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omments4.xml" ContentType="application/vnd.openxmlformats-officedocument.spreadsheetml.comments+xml"/>
  <Override PartName="/xl/threadedComments/threadedComment4.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mc:AlternateContent xmlns:mc="http://schemas.openxmlformats.org/markup-compatibility/2006">
    <mc:Choice Requires="x15">
      <x15ac:absPath xmlns:x15ac="http://schemas.microsoft.com/office/spreadsheetml/2010/11/ac" url="https://polimi365-my.sharepoint.com/personal/10530006_polimi_it/Documents/Work_cloud/DOTTORATO/Sperimentazione UIT/"/>
    </mc:Choice>
  </mc:AlternateContent>
  <xr:revisionPtr revIDLastSave="5422" documentId="13_ncr:1_{6F6F8880-C64E-4AA3-846C-F64A769BDFFD}" xr6:coauthVersionLast="47" xr6:coauthVersionMax="47" xr10:uidLastSave="{23A7CE10-66EA-475F-B1EB-31A986E32DBC}"/>
  <bookViews>
    <workbookView xWindow="-120" yWindow="-120" windowWidth="29040" windowHeight="15720" firstSheet="5" activeTab="1" xr2:uid="{00000000-000D-0000-FFFF-FFFF00000000}"/>
  </bookViews>
  <sheets>
    <sheet name="README" sheetId="9" r:id="rId1"/>
    <sheet name="Substrate characterization" sheetId="2" r:id="rId2"/>
    <sheet name="R1 feed" sheetId="12" r:id="rId3"/>
    <sheet name="R2 feed" sheetId="11" r:id="rId4"/>
    <sheet name="Reactor volumes" sheetId="15" r:id="rId5"/>
    <sheet name="Combi_real" sheetId="13" r:id="rId6"/>
    <sheet name="Selector notes" sheetId="14" r:id="rId7"/>
    <sheet name="R1 measurements" sheetId="5" r:id="rId8"/>
    <sheet name="R2 measurements" sheetId="10" r:id="rId9"/>
    <sheet name="SteadyState" sheetId="4" r:id="rId10"/>
    <sheet name="Reactor analysis" sheetId="3" r:id="rId11"/>
    <sheet name="Catenacci" sheetId="6" r:id="rId12"/>
    <sheet name="Direct" sheetId="7" r:id="rId13"/>
    <sheet name="NIR" sheetId="8" r:id="rId14"/>
  </sheets>
  <definedNames>
    <definedName name="_xlnm._FilterDatabase" localSheetId="3" hidden="1">'R2 feed'!$D$1:$D$78</definedName>
    <definedName name="_xlnm._FilterDatabase" localSheetId="8" hidden="1">'R2 measurements'!$T$1:$T$101</definedName>
    <definedName name="_xlnm._FilterDatabase" localSheetId="1" hidden="1">'Substrate characterization'!$C$1:$C$63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01" i="12" l="1"/>
  <c r="R101" i="12" s="1"/>
  <c r="T101" i="12" s="1"/>
  <c r="C102" i="12"/>
  <c r="R102" i="12" s="1"/>
  <c r="T102" i="12" s="1"/>
  <c r="C108" i="11"/>
  <c r="R108" i="11" s="1"/>
  <c r="T108" i="11" s="1"/>
  <c r="C3" i="15"/>
  <c r="C4" i="15"/>
  <c r="C5" i="15"/>
  <c r="C6" i="15"/>
  <c r="C7" i="15"/>
  <c r="C8" i="15"/>
  <c r="C9" i="15"/>
  <c r="C10" i="15"/>
  <c r="C11" i="15"/>
  <c r="C12" i="15"/>
  <c r="C13" i="15"/>
  <c r="C14" i="15"/>
  <c r="C15" i="15"/>
  <c r="C16" i="15"/>
  <c r="C17" i="15"/>
  <c r="C18" i="15"/>
  <c r="C19" i="15"/>
  <c r="C20" i="15"/>
  <c r="C21" i="15"/>
  <c r="C13" i="5"/>
  <c r="C14" i="5"/>
  <c r="C15" i="5"/>
  <c r="C16" i="5"/>
  <c r="C17" i="5"/>
  <c r="C18" i="5"/>
  <c r="C19" i="5"/>
  <c r="C20" i="5"/>
  <c r="C21" i="5"/>
  <c r="C22" i="5"/>
  <c r="C23" i="5"/>
  <c r="C24" i="5"/>
  <c r="C25" i="5"/>
  <c r="C26" i="5"/>
  <c r="C27" i="5"/>
  <c r="C28" i="5"/>
  <c r="C29" i="5"/>
  <c r="C30" i="5"/>
  <c r="C31" i="5"/>
  <c r="C32" i="5"/>
  <c r="C33" i="5"/>
  <c r="C34" i="5"/>
  <c r="C35" i="5"/>
  <c r="C36" i="5"/>
  <c r="C37" i="5"/>
  <c r="C38" i="5"/>
  <c r="C39" i="5"/>
  <c r="C40" i="5"/>
  <c r="C41" i="5"/>
  <c r="C42" i="5"/>
  <c r="C43" i="5"/>
  <c r="C44" i="5"/>
  <c r="C45" i="5"/>
  <c r="C46" i="5"/>
  <c r="C47" i="5"/>
  <c r="C48" i="5"/>
  <c r="C49" i="5"/>
  <c r="C50" i="5"/>
  <c r="C51" i="5"/>
  <c r="C52" i="5"/>
  <c r="C53" i="5"/>
  <c r="C54" i="5"/>
  <c r="C55" i="5"/>
  <c r="C56" i="5"/>
  <c r="C57" i="5"/>
  <c r="C58" i="5"/>
  <c r="C59" i="5"/>
  <c r="C60" i="5"/>
  <c r="C61" i="5"/>
  <c r="C62" i="5"/>
  <c r="C63" i="5"/>
  <c r="C64" i="5"/>
  <c r="C65" i="5"/>
  <c r="C66" i="5"/>
  <c r="C67" i="5"/>
  <c r="C68" i="5"/>
  <c r="C69" i="5"/>
  <c r="C70" i="5"/>
  <c r="C71" i="5"/>
  <c r="C72" i="5"/>
  <c r="C73" i="5"/>
  <c r="C74" i="5"/>
  <c r="C75" i="5"/>
  <c r="C76" i="5"/>
  <c r="C77" i="5"/>
  <c r="C78" i="5"/>
  <c r="C79" i="5"/>
  <c r="C80" i="5"/>
  <c r="C81" i="5"/>
  <c r="C82" i="5"/>
  <c r="C83" i="5"/>
  <c r="C84" i="5"/>
  <c r="C85" i="5"/>
  <c r="C86" i="5"/>
  <c r="C87" i="5"/>
  <c r="C88" i="5"/>
  <c r="C89" i="5"/>
  <c r="C90" i="5"/>
  <c r="C91" i="5"/>
  <c r="C92" i="5"/>
  <c r="C93" i="5"/>
  <c r="C94" i="5"/>
  <c r="C95" i="5"/>
  <c r="C96" i="5"/>
  <c r="C97" i="5"/>
  <c r="C98" i="5"/>
  <c r="C99" i="5"/>
  <c r="C100" i="5"/>
  <c r="C101" i="5"/>
  <c r="C102" i="5"/>
  <c r="C103" i="5"/>
  <c r="C104" i="5"/>
  <c r="C105" i="5"/>
  <c r="C106" i="5"/>
  <c r="C107" i="5"/>
  <c r="C108" i="5"/>
  <c r="C109" i="5"/>
  <c r="C110" i="5"/>
  <c r="C111" i="5"/>
  <c r="C112" i="5"/>
  <c r="C113" i="5"/>
  <c r="C114" i="5"/>
  <c r="C115" i="5"/>
  <c r="C116" i="5"/>
  <c r="C117" i="5"/>
  <c r="C118" i="5"/>
  <c r="C119" i="5"/>
  <c r="C120" i="5"/>
  <c r="C121" i="5"/>
  <c r="C122" i="5"/>
  <c r="C123" i="5"/>
  <c r="C124" i="5"/>
  <c r="C125" i="5"/>
  <c r="C126" i="5"/>
  <c r="C127" i="5"/>
  <c r="C128" i="5"/>
  <c r="C129" i="5"/>
  <c r="C130" i="5"/>
  <c r="C131" i="5"/>
  <c r="C132" i="5"/>
  <c r="C133" i="5"/>
  <c r="C134" i="5"/>
  <c r="C135" i="5"/>
  <c r="C136" i="5"/>
  <c r="C137" i="5"/>
  <c r="C3" i="5"/>
  <c r="C4" i="5"/>
  <c r="C5" i="5"/>
  <c r="C6" i="5"/>
  <c r="C7" i="5"/>
  <c r="C8" i="5"/>
  <c r="C9" i="5"/>
  <c r="C10" i="5"/>
  <c r="C11" i="5"/>
  <c r="C12" i="5"/>
  <c r="P111" i="10"/>
  <c r="P114" i="10"/>
  <c r="P118" i="10"/>
  <c r="P120" i="10"/>
  <c r="P121" i="10"/>
  <c r="P122" i="10"/>
  <c r="P123" i="10"/>
  <c r="P124" i="10"/>
  <c r="L129" i="10"/>
  <c r="L130" i="10"/>
  <c r="L131" i="10"/>
  <c r="L132" i="10"/>
  <c r="L133" i="10"/>
  <c r="L134" i="10"/>
  <c r="L135" i="10"/>
  <c r="L136" i="10"/>
  <c r="AB127" i="10"/>
  <c r="AF127" i="10" s="1"/>
  <c r="AC127" i="10"/>
  <c r="AD127" i="10"/>
  <c r="AE127" i="10"/>
  <c r="AB128" i="10"/>
  <c r="AC128" i="10"/>
  <c r="AD128" i="10"/>
  <c r="AE128" i="10"/>
  <c r="AB130" i="10"/>
  <c r="AF130" i="10" s="1"/>
  <c r="AC130" i="10"/>
  <c r="AD130" i="10"/>
  <c r="AE130" i="10"/>
  <c r="AB132" i="10"/>
  <c r="AC132" i="10"/>
  <c r="AD132" i="10"/>
  <c r="AE132" i="10"/>
  <c r="AB134" i="10"/>
  <c r="AC134" i="10"/>
  <c r="AD134" i="10"/>
  <c r="AE134" i="10"/>
  <c r="AB136" i="10"/>
  <c r="AF136" i="10" s="1"/>
  <c r="AC136" i="10"/>
  <c r="AD136" i="10"/>
  <c r="AE136" i="10"/>
  <c r="X127" i="10"/>
  <c r="Z127" i="10"/>
  <c r="X128" i="10"/>
  <c r="AC134" i="5"/>
  <c r="AG134" i="5" s="1"/>
  <c r="AD134" i="5"/>
  <c r="AE134" i="5"/>
  <c r="AF134" i="5"/>
  <c r="Y134" i="5"/>
  <c r="AA134" i="5"/>
  <c r="Y128" i="5"/>
  <c r="AC128" i="5" s="1"/>
  <c r="X130" i="10"/>
  <c r="X132" i="10"/>
  <c r="X134" i="10"/>
  <c r="X136" i="10"/>
  <c r="AD126" i="10"/>
  <c r="AE126" i="10"/>
  <c r="X126" i="10"/>
  <c r="AB126" i="10" s="1"/>
  <c r="AF126" i="10" s="1"/>
  <c r="Z126" i="10"/>
  <c r="AC126" i="10"/>
  <c r="AB122" i="10"/>
  <c r="AF122" i="10" s="1"/>
  <c r="AC122" i="10"/>
  <c r="AD122" i="10"/>
  <c r="AE122" i="10"/>
  <c r="AB123" i="10"/>
  <c r="AC123" i="10"/>
  <c r="AD123" i="10"/>
  <c r="AE123" i="10"/>
  <c r="AB124" i="10"/>
  <c r="AF124" i="10" s="1"/>
  <c r="AC124" i="10"/>
  <c r="AD124" i="10"/>
  <c r="AE124" i="10"/>
  <c r="AB125" i="10"/>
  <c r="AC125" i="10"/>
  <c r="AD125" i="10"/>
  <c r="AE125" i="10"/>
  <c r="X125" i="10"/>
  <c r="X124" i="10"/>
  <c r="X123" i="10"/>
  <c r="X122" i="10"/>
  <c r="AC118" i="10"/>
  <c r="AD118" i="10"/>
  <c r="AE118" i="10"/>
  <c r="AF118" i="10"/>
  <c r="AC119" i="10"/>
  <c r="AD119" i="10"/>
  <c r="AE119" i="10"/>
  <c r="AC120" i="10"/>
  <c r="AD120" i="10"/>
  <c r="AE120" i="10"/>
  <c r="AF120" i="10"/>
  <c r="AC121" i="10"/>
  <c r="AD121" i="10"/>
  <c r="AE121" i="10"/>
  <c r="X121" i="10"/>
  <c r="AB121" i="10" s="1"/>
  <c r="AF121" i="10" s="1"/>
  <c r="X120" i="10"/>
  <c r="AB120" i="10"/>
  <c r="X119" i="10"/>
  <c r="AB119" i="10"/>
  <c r="AF119" i="10" s="1"/>
  <c r="X118" i="10"/>
  <c r="AB118" i="10"/>
  <c r="X110" i="10"/>
  <c r="AB110" i="10"/>
  <c r="AF110" i="10"/>
  <c r="X109" i="10"/>
  <c r="AB109" i="10"/>
  <c r="AF109" i="10"/>
  <c r="AD110" i="10"/>
  <c r="AE110" i="10"/>
  <c r="AC110" i="10"/>
  <c r="AD109" i="10"/>
  <c r="AE109" i="10"/>
  <c r="Z109" i="10"/>
  <c r="AC109" i="10"/>
  <c r="AF122" i="5"/>
  <c r="AE122" i="5"/>
  <c r="Y122" i="5"/>
  <c r="AC122" i="5" s="1"/>
  <c r="AB122" i="5"/>
  <c r="AA122" i="5"/>
  <c r="AD122" i="5"/>
  <c r="AC133" i="5"/>
  <c r="AD133" i="5"/>
  <c r="AE133" i="5"/>
  <c r="AF133" i="5"/>
  <c r="AD132" i="5"/>
  <c r="AE132" i="5"/>
  <c r="AF132" i="5"/>
  <c r="Y120" i="5"/>
  <c r="Y116" i="5"/>
  <c r="AC116" i="5" s="1"/>
  <c r="AG111" i="5"/>
  <c r="AG112" i="5"/>
  <c r="AD110" i="5"/>
  <c r="AD111" i="5"/>
  <c r="AD112" i="5"/>
  <c r="AF112" i="5"/>
  <c r="AE112" i="5"/>
  <c r="Y112" i="5"/>
  <c r="AC112" i="5"/>
  <c r="Y111" i="5"/>
  <c r="AC111" i="5"/>
  <c r="AF111" i="5"/>
  <c r="AE111" i="5"/>
  <c r="AG106" i="5"/>
  <c r="AF106" i="5"/>
  <c r="AD106" i="5"/>
  <c r="Y106" i="5"/>
  <c r="AC106" i="5" s="1"/>
  <c r="AE106" i="5"/>
  <c r="AD116" i="5"/>
  <c r="AE116" i="5"/>
  <c r="AF116" i="5"/>
  <c r="AC118" i="5"/>
  <c r="AD118" i="5"/>
  <c r="AE118" i="5"/>
  <c r="AF118" i="5"/>
  <c r="AC119" i="5"/>
  <c r="AD119" i="5"/>
  <c r="AE119" i="5"/>
  <c r="AF119" i="5"/>
  <c r="AC120" i="5"/>
  <c r="AD120" i="5"/>
  <c r="AE120" i="5"/>
  <c r="AF120" i="5"/>
  <c r="AC121" i="5"/>
  <c r="AD121" i="5"/>
  <c r="AE121" i="5"/>
  <c r="AF121" i="5"/>
  <c r="AG121" i="5" s="1"/>
  <c r="AC123" i="5"/>
  <c r="AG123" i="5" s="1"/>
  <c r="AD123" i="5"/>
  <c r="AE123" i="5"/>
  <c r="AF123" i="5"/>
  <c r="AC124" i="5"/>
  <c r="AD124" i="5"/>
  <c r="AE124" i="5"/>
  <c r="AF124" i="5"/>
  <c r="AC126" i="5"/>
  <c r="AD126" i="5"/>
  <c r="AE126" i="5"/>
  <c r="AF126" i="5"/>
  <c r="AD128" i="5"/>
  <c r="AE128" i="5"/>
  <c r="AF128" i="5"/>
  <c r="AC130" i="5"/>
  <c r="AD130" i="5"/>
  <c r="AE130" i="5"/>
  <c r="AF130" i="5"/>
  <c r="AC132" i="5"/>
  <c r="AG132" i="5" s="1"/>
  <c r="AC135" i="5"/>
  <c r="AD135" i="5"/>
  <c r="AE135" i="5"/>
  <c r="AF135" i="5"/>
  <c r="AA133" i="5"/>
  <c r="Y132" i="5"/>
  <c r="AA123" i="5"/>
  <c r="Y126" i="5"/>
  <c r="Y130" i="5"/>
  <c r="Y133" i="5"/>
  <c r="Y135" i="5"/>
  <c r="Y121" i="5"/>
  <c r="Y123" i="5"/>
  <c r="Y124" i="5"/>
  <c r="Y119" i="5"/>
  <c r="Y118" i="5"/>
  <c r="K137" i="5"/>
  <c r="J137" i="5"/>
  <c r="AH137" i="5"/>
  <c r="X137" i="5"/>
  <c r="AN136" i="10"/>
  <c r="AG136" i="10"/>
  <c r="W136" i="10"/>
  <c r="U136" i="10"/>
  <c r="J136" i="10"/>
  <c r="K136" i="10" s="1"/>
  <c r="I136" i="10"/>
  <c r="C135" i="10"/>
  <c r="C136" i="10"/>
  <c r="C134" i="10"/>
  <c r="AJ132" i="5"/>
  <c r="AH132" i="5"/>
  <c r="X132" i="5"/>
  <c r="V132" i="5"/>
  <c r="K132" i="5"/>
  <c r="J132" i="5"/>
  <c r="D132" i="5"/>
  <c r="Q2" i="15"/>
  <c r="R2" i="15"/>
  <c r="P2" i="15"/>
  <c r="O3" i="15"/>
  <c r="O2" i="15"/>
  <c r="E4" i="15"/>
  <c r="E5" i="15"/>
  <c r="E6" i="15"/>
  <c r="E7" i="15"/>
  <c r="E8" i="15"/>
  <c r="E9" i="15"/>
  <c r="E10" i="15"/>
  <c r="E11" i="15"/>
  <c r="E12" i="15"/>
  <c r="E13" i="15"/>
  <c r="E14" i="15"/>
  <c r="E15" i="15"/>
  <c r="E16" i="15"/>
  <c r="E17" i="15"/>
  <c r="E18" i="15"/>
  <c r="E19" i="15"/>
  <c r="E20" i="15"/>
  <c r="E21" i="15"/>
  <c r="E3" i="15"/>
  <c r="G9" i="15" s="1"/>
  <c r="F6" i="15"/>
  <c r="F9" i="15"/>
  <c r="F10" i="15"/>
  <c r="G10" i="15" s="1"/>
  <c r="F12" i="15"/>
  <c r="F13" i="15"/>
  <c r="F14" i="15"/>
  <c r="F17" i="15"/>
  <c r="F18" i="15"/>
  <c r="G18" i="15" s="1"/>
  <c r="F20" i="15"/>
  <c r="F21" i="15"/>
  <c r="D13" i="15"/>
  <c r="D14" i="15"/>
  <c r="D15" i="15"/>
  <c r="F15" i="15" s="1"/>
  <c r="G15" i="15" s="1"/>
  <c r="D16" i="15"/>
  <c r="F16" i="15" s="1"/>
  <c r="D17" i="15"/>
  <c r="D18" i="15"/>
  <c r="D19" i="15"/>
  <c r="F19" i="15" s="1"/>
  <c r="D20" i="15"/>
  <c r="D21" i="15"/>
  <c r="D3" i="15"/>
  <c r="D4" i="15"/>
  <c r="F4" i="15" s="1"/>
  <c r="D5" i="15"/>
  <c r="F5" i="15" s="1"/>
  <c r="D6" i="15"/>
  <c r="D7" i="15"/>
  <c r="F7" i="15" s="1"/>
  <c r="G7" i="15" s="1"/>
  <c r="D8" i="15"/>
  <c r="F8" i="15" s="1"/>
  <c r="D9" i="15"/>
  <c r="D10" i="15"/>
  <c r="D11" i="15"/>
  <c r="F11" i="15" s="1"/>
  <c r="D12" i="15"/>
  <c r="S106" i="11"/>
  <c r="G3" i="15"/>
  <c r="G8" i="15" s="1"/>
  <c r="AP1381" i="13"/>
  <c r="S1381" i="13"/>
  <c r="U1381" i="13" s="1"/>
  <c r="AQ1398" i="13"/>
  <c r="AS1398" i="13"/>
  <c r="T1381" i="13"/>
  <c r="V1381" i="13" s="1"/>
  <c r="S1382" i="13"/>
  <c r="U1382" i="13" s="1"/>
  <c r="T1382" i="13"/>
  <c r="V1382" i="13" s="1"/>
  <c r="S1383" i="13"/>
  <c r="U1383" i="13" s="1"/>
  <c r="T1383" i="13"/>
  <c r="V1383" i="13" s="1"/>
  <c r="T1384" i="13"/>
  <c r="V1384" i="13" s="1"/>
  <c r="T1385" i="13"/>
  <c r="V1385" i="13" s="1"/>
  <c r="T1386" i="13"/>
  <c r="V1386" i="13" s="1"/>
  <c r="T1387" i="13"/>
  <c r="V1387" i="13" s="1"/>
  <c r="T1388" i="13"/>
  <c r="V1388" i="13" s="1"/>
  <c r="T1389" i="13"/>
  <c r="V1389" i="13" s="1"/>
  <c r="T1390" i="13"/>
  <c r="V1390" i="13" s="1"/>
  <c r="T1391" i="13"/>
  <c r="V1391" i="13" s="1"/>
  <c r="T1392" i="13"/>
  <c r="V1392" i="13" s="1"/>
  <c r="T1393" i="13"/>
  <c r="V1393" i="13" s="1"/>
  <c r="T1394" i="13"/>
  <c r="V1394" i="13" s="1"/>
  <c r="T1395" i="13"/>
  <c r="V1395" i="13" s="1"/>
  <c r="T1396" i="13"/>
  <c r="V1396" i="13" s="1"/>
  <c r="T1397" i="13"/>
  <c r="V1397" i="13" s="1"/>
  <c r="T1398" i="13"/>
  <c r="V1398" i="13" s="1"/>
  <c r="AQ1381" i="13"/>
  <c r="AS1381" i="13" s="1"/>
  <c r="AR1381" i="13"/>
  <c r="AP1382" i="13"/>
  <c r="AR1382" i="13" s="1"/>
  <c r="AQ1382" i="13"/>
  <c r="AS1382" i="13" s="1"/>
  <c r="AQ1383" i="13"/>
  <c r="AS1383" i="13" s="1"/>
  <c r="AQ1384" i="13"/>
  <c r="AS1384" i="13" s="1"/>
  <c r="AQ1385" i="13"/>
  <c r="AS1385" i="13" s="1"/>
  <c r="AQ1386" i="13"/>
  <c r="AS1386" i="13" s="1"/>
  <c r="AQ1387" i="13"/>
  <c r="AS1387" i="13" s="1"/>
  <c r="AQ1388" i="13"/>
  <c r="AS1388" i="13" s="1"/>
  <c r="AQ1389" i="13"/>
  <c r="AS1389" i="13" s="1"/>
  <c r="AQ1390" i="13"/>
  <c r="AS1390" i="13" s="1"/>
  <c r="AQ1391" i="13"/>
  <c r="AS1391" i="13" s="1"/>
  <c r="AQ1392" i="13"/>
  <c r="AS1392" i="13" s="1"/>
  <c r="AQ1393" i="13"/>
  <c r="AS1393" i="13" s="1"/>
  <c r="AQ1394" i="13"/>
  <c r="AS1394" i="13" s="1"/>
  <c r="AQ1395" i="13"/>
  <c r="AS1395" i="13" s="1"/>
  <c r="AQ1396" i="13"/>
  <c r="AS1396" i="13" s="1"/>
  <c r="AQ1397" i="13"/>
  <c r="AS1397" i="13" s="1"/>
  <c r="Y110" i="13"/>
  <c r="Z110" i="13"/>
  <c r="Y111" i="13"/>
  <c r="Z111" i="13" s="1"/>
  <c r="Y112" i="13"/>
  <c r="Z112" i="13"/>
  <c r="Y113" i="13"/>
  <c r="Z113" i="13" s="1"/>
  <c r="Y114" i="13"/>
  <c r="Z114" i="13"/>
  <c r="Y115" i="13"/>
  <c r="Z115" i="13" s="1"/>
  <c r="AE110" i="13"/>
  <c r="AF110" i="13"/>
  <c r="AE111" i="13"/>
  <c r="AF111" i="13"/>
  <c r="AE112" i="13"/>
  <c r="AF112" i="13"/>
  <c r="AE113" i="13"/>
  <c r="AF113" i="13"/>
  <c r="AE114" i="13"/>
  <c r="AF114" i="13"/>
  <c r="AE115" i="13"/>
  <c r="AF115" i="13"/>
  <c r="H110" i="13"/>
  <c r="I110" i="13"/>
  <c r="H111" i="13"/>
  <c r="I111" i="13"/>
  <c r="H112" i="13"/>
  <c r="I112" i="13"/>
  <c r="H113" i="13"/>
  <c r="I113" i="13"/>
  <c r="H114" i="13"/>
  <c r="I114" i="13"/>
  <c r="H115" i="13"/>
  <c r="I115" i="13"/>
  <c r="B115" i="13"/>
  <c r="C115" i="13"/>
  <c r="B111" i="13"/>
  <c r="C111" i="13" s="1"/>
  <c r="B112" i="13"/>
  <c r="C112" i="13"/>
  <c r="B113" i="13"/>
  <c r="C113" i="13" s="1"/>
  <c r="B114" i="13"/>
  <c r="C114" i="13"/>
  <c r="B110" i="13"/>
  <c r="C110" i="13"/>
  <c r="R100" i="12"/>
  <c r="T100" i="12" s="1"/>
  <c r="S100" i="12"/>
  <c r="U100" i="12" s="1"/>
  <c r="V100" i="12" s="1"/>
  <c r="W100" i="12" s="1"/>
  <c r="X100" i="12" s="1"/>
  <c r="Y100" i="12"/>
  <c r="Z100" i="12"/>
  <c r="S101" i="12"/>
  <c r="U101" i="12" s="1"/>
  <c r="V101" i="12" s="1"/>
  <c r="Y101" i="12"/>
  <c r="Z101" i="12"/>
  <c r="S102" i="12"/>
  <c r="U102" i="12"/>
  <c r="V102" i="12"/>
  <c r="Y102" i="12"/>
  <c r="Z102" i="12"/>
  <c r="Y108" i="11"/>
  <c r="Z108" i="11"/>
  <c r="S108" i="11"/>
  <c r="U108" i="11" s="1"/>
  <c r="V108" i="11" s="1"/>
  <c r="L105" i="11"/>
  <c r="L106" i="11"/>
  <c r="L107" i="11"/>
  <c r="L108" i="11"/>
  <c r="L104" i="11"/>
  <c r="M108" i="11"/>
  <c r="P108" i="11" s="1"/>
  <c r="O108" i="11"/>
  <c r="K108" i="11"/>
  <c r="N108" i="11" s="1"/>
  <c r="Q108" i="11" s="1"/>
  <c r="J108" i="11"/>
  <c r="J99" i="11"/>
  <c r="J100" i="11"/>
  <c r="J101" i="11"/>
  <c r="J102" i="11"/>
  <c r="J103" i="11"/>
  <c r="J104" i="11"/>
  <c r="J105" i="11"/>
  <c r="J106" i="11"/>
  <c r="J107" i="11"/>
  <c r="J98" i="11"/>
  <c r="L99" i="12"/>
  <c r="L100" i="12"/>
  <c r="L101" i="12"/>
  <c r="L102" i="12"/>
  <c r="L98" i="12"/>
  <c r="J102" i="12"/>
  <c r="O102" i="12"/>
  <c r="P102" i="12"/>
  <c r="M102" i="12"/>
  <c r="K102" i="12"/>
  <c r="N102" i="12" s="1"/>
  <c r="Q102" i="12" s="1"/>
  <c r="J100" i="12"/>
  <c r="K100" i="12" s="1"/>
  <c r="N100" i="12" s="1"/>
  <c r="M100" i="12"/>
  <c r="P100" i="12" s="1"/>
  <c r="O100" i="12"/>
  <c r="J101" i="12"/>
  <c r="K101" i="12"/>
  <c r="M101" i="12"/>
  <c r="N101" i="12"/>
  <c r="Q101" i="12" s="1"/>
  <c r="O101" i="12"/>
  <c r="P101" i="12"/>
  <c r="J93" i="12"/>
  <c r="J94" i="12"/>
  <c r="J95" i="12"/>
  <c r="J96" i="12"/>
  <c r="J97" i="12"/>
  <c r="J98" i="12"/>
  <c r="J99" i="12"/>
  <c r="J92" i="12"/>
  <c r="D43" i="2"/>
  <c r="E43" i="2"/>
  <c r="BZ43" i="2" s="1"/>
  <c r="D44" i="2"/>
  <c r="E44" i="2" s="1"/>
  <c r="BZ8" i="2"/>
  <c r="BZ9" i="2"/>
  <c r="BZ10" i="2"/>
  <c r="BZ11" i="2"/>
  <c r="BZ12" i="2"/>
  <c r="BZ13" i="2"/>
  <c r="BZ14" i="2"/>
  <c r="BZ15" i="2"/>
  <c r="BZ16" i="2"/>
  <c r="BZ17" i="2"/>
  <c r="BZ18" i="2"/>
  <c r="BZ29" i="2"/>
  <c r="BZ30" i="2"/>
  <c r="BZ31" i="2"/>
  <c r="BZ32" i="2"/>
  <c r="BZ33" i="2"/>
  <c r="BZ34" i="2"/>
  <c r="BZ35" i="2"/>
  <c r="BZ36" i="2"/>
  <c r="BZ37" i="2"/>
  <c r="BZ38" i="2"/>
  <c r="BZ39" i="2"/>
  <c r="BZ40" i="2"/>
  <c r="BZ41" i="2"/>
  <c r="BZ42" i="2"/>
  <c r="BZ45" i="2"/>
  <c r="BZ46" i="2"/>
  <c r="BZ47" i="2"/>
  <c r="BZ48" i="2"/>
  <c r="BZ49" i="2"/>
  <c r="BZ50" i="2"/>
  <c r="BZ51" i="2"/>
  <c r="BZ52" i="2"/>
  <c r="BZ54" i="2"/>
  <c r="BZ55" i="2"/>
  <c r="BZ56" i="2"/>
  <c r="BZ57" i="2"/>
  <c r="BZ58" i="2"/>
  <c r="BZ53" i="2"/>
  <c r="AI10" i="2"/>
  <c r="BC53" i="2"/>
  <c r="BB53" i="2"/>
  <c r="AZ53" i="2"/>
  <c r="BB55" i="2"/>
  <c r="BA55" i="2"/>
  <c r="AZ55" i="2"/>
  <c r="AW58" i="2"/>
  <c r="AW57" i="2"/>
  <c r="F101" i="12"/>
  <c r="F106" i="11"/>
  <c r="Y113" i="5"/>
  <c r="Y115" i="5"/>
  <c r="AC115" i="5" s="1"/>
  <c r="AD115" i="5"/>
  <c r="AE115" i="5"/>
  <c r="AF115" i="5"/>
  <c r="M126" i="5"/>
  <c r="M127" i="5"/>
  <c r="M128" i="5"/>
  <c r="M129" i="5"/>
  <c r="M130" i="5"/>
  <c r="M131" i="5"/>
  <c r="M133" i="5"/>
  <c r="J133" i="5"/>
  <c r="N133" i="5" s="1"/>
  <c r="K133" i="5"/>
  <c r="J135" i="5"/>
  <c r="K135" i="5"/>
  <c r="S137" i="5"/>
  <c r="AJ137" i="5"/>
  <c r="AJ135" i="5"/>
  <c r="AH135" i="5"/>
  <c r="X135" i="5"/>
  <c r="S135" i="5"/>
  <c r="W137" i="5"/>
  <c r="V137" i="5"/>
  <c r="V135" i="5"/>
  <c r="AJ134" i="5"/>
  <c r="AH134" i="5"/>
  <c r="X134" i="5"/>
  <c r="V134" i="5"/>
  <c r="D137" i="5"/>
  <c r="D131" i="5"/>
  <c r="D133" i="5"/>
  <c r="D134" i="5"/>
  <c r="D135" i="5"/>
  <c r="D136" i="5"/>
  <c r="L14" i="15"/>
  <c r="W102" i="12" l="1"/>
  <c r="X102" i="12" s="1"/>
  <c r="O133" i="5"/>
  <c r="P133" i="5" s="1"/>
  <c r="M136" i="10"/>
  <c r="AG133" i="5"/>
  <c r="AF128" i="10"/>
  <c r="AF132" i="10"/>
  <c r="AF125" i="10"/>
  <c r="AF123" i="10"/>
  <c r="AF134" i="10"/>
  <c r="N136" i="10"/>
  <c r="O136" i="10" s="1"/>
  <c r="P136" i="10" s="1"/>
  <c r="AG128" i="5"/>
  <c r="AG118" i="5"/>
  <c r="AG119" i="5"/>
  <c r="AG130" i="5"/>
  <c r="AG126" i="5"/>
  <c r="AG124" i="5"/>
  <c r="AG135" i="5"/>
  <c r="AG122" i="5"/>
  <c r="AG116" i="5"/>
  <c r="AG120" i="5"/>
  <c r="L132" i="5"/>
  <c r="L137" i="5"/>
  <c r="AG115" i="5"/>
  <c r="L135" i="5"/>
  <c r="W108" i="11"/>
  <c r="X108" i="11" s="1"/>
  <c r="Q15" i="15"/>
  <c r="O15" i="15"/>
  <c r="O18" i="15"/>
  <c r="Q18" i="15"/>
  <c r="Q9" i="15"/>
  <c r="O9" i="15"/>
  <c r="Q8" i="15"/>
  <c r="O8" i="15"/>
  <c r="Q100" i="12"/>
  <c r="O10" i="15"/>
  <c r="Q10" i="15"/>
  <c r="W101" i="12"/>
  <c r="X101" i="12" s="1"/>
  <c r="Q7" i="15"/>
  <c r="O7" i="15"/>
  <c r="G4" i="15"/>
  <c r="G14" i="15"/>
  <c r="G6" i="15"/>
  <c r="BZ44" i="2"/>
  <c r="AP1383" i="13"/>
  <c r="G21" i="15"/>
  <c r="G13" i="15"/>
  <c r="G5" i="15"/>
  <c r="Q3" i="15"/>
  <c r="G20" i="15"/>
  <c r="G12" i="15"/>
  <c r="G19" i="15"/>
  <c r="G11" i="15"/>
  <c r="S1384" i="13"/>
  <c r="G17" i="15"/>
  <c r="G16" i="15"/>
  <c r="L133" i="5"/>
  <c r="L165" i="10"/>
  <c r="J165" i="10"/>
  <c r="I165" i="10"/>
  <c r="L164" i="10"/>
  <c r="J164" i="10"/>
  <c r="N164" i="10" s="1"/>
  <c r="I164" i="10"/>
  <c r="L163" i="10"/>
  <c r="J163" i="10"/>
  <c r="I163" i="10"/>
  <c r="O5" i="15" l="1"/>
  <c r="Q5" i="15"/>
  <c r="O13" i="15"/>
  <c r="Q13" i="15"/>
  <c r="Q21" i="15"/>
  <c r="O21" i="15"/>
  <c r="O4" i="15"/>
  <c r="Q4" i="15"/>
  <c r="O19" i="15"/>
  <c r="Q19" i="15"/>
  <c r="S1385" i="13"/>
  <c r="U1384" i="13"/>
  <c r="AP1384" i="13"/>
  <c r="AR1383" i="13"/>
  <c r="O12" i="15"/>
  <c r="Q12" i="15"/>
  <c r="Q6" i="15"/>
  <c r="O6" i="15"/>
  <c r="Q16" i="15"/>
  <c r="O16" i="15"/>
  <c r="Q17" i="15"/>
  <c r="O17" i="15"/>
  <c r="O11" i="15"/>
  <c r="Q11" i="15"/>
  <c r="O20" i="15"/>
  <c r="Q20" i="15"/>
  <c r="Q14" i="15"/>
  <c r="O14" i="15"/>
  <c r="M165" i="10"/>
  <c r="N165" i="10"/>
  <c r="O165" i="10" s="1"/>
  <c r="O164" i="10"/>
  <c r="M164" i="10"/>
  <c r="K164" i="10"/>
  <c r="P164" i="10" s="1"/>
  <c r="K165" i="10"/>
  <c r="K163" i="10"/>
  <c r="N163" i="10"/>
  <c r="O163" i="10" s="1"/>
  <c r="M163" i="10"/>
  <c r="AR1384" i="13" l="1"/>
  <c r="AP1385" i="13"/>
  <c r="U1385" i="13"/>
  <c r="S1386" i="13"/>
  <c r="P165" i="10"/>
  <c r="P163" i="10"/>
  <c r="S1387" i="13" l="1"/>
  <c r="U1386" i="13"/>
  <c r="AP1386" i="13"/>
  <c r="AR1385" i="13"/>
  <c r="J117" i="10"/>
  <c r="I117" i="10"/>
  <c r="K113" i="5"/>
  <c r="O113" i="5" s="1"/>
  <c r="J113" i="5"/>
  <c r="M113" i="5"/>
  <c r="K115" i="5"/>
  <c r="J115" i="5"/>
  <c r="K126" i="5"/>
  <c r="K127" i="5"/>
  <c r="K128" i="5"/>
  <c r="K129" i="5"/>
  <c r="K130" i="5"/>
  <c r="O130" i="5" s="1"/>
  <c r="K131" i="5"/>
  <c r="O131" i="5" s="1"/>
  <c r="J126" i="5"/>
  <c r="N126" i="5" s="1"/>
  <c r="J127" i="5"/>
  <c r="N127" i="5" s="1"/>
  <c r="J128" i="5"/>
  <c r="N128" i="5" s="1"/>
  <c r="J129" i="5"/>
  <c r="N129" i="5" s="1"/>
  <c r="J130" i="5"/>
  <c r="N130" i="5" s="1"/>
  <c r="J131" i="5"/>
  <c r="N131" i="5" s="1"/>
  <c r="K125" i="5"/>
  <c r="K124" i="5"/>
  <c r="J125" i="5"/>
  <c r="J124" i="5"/>
  <c r="L124" i="5" s="1"/>
  <c r="M125" i="5"/>
  <c r="M124" i="5"/>
  <c r="J135" i="10"/>
  <c r="N135" i="10" s="1"/>
  <c r="O135" i="10" s="1"/>
  <c r="I135" i="10"/>
  <c r="J134" i="10"/>
  <c r="I134" i="10"/>
  <c r="M134" i="10" s="1"/>
  <c r="K133" i="10"/>
  <c r="J133" i="10"/>
  <c r="N133" i="10" s="1"/>
  <c r="O133" i="10" s="1"/>
  <c r="I133" i="10"/>
  <c r="M133" i="10" s="1"/>
  <c r="J132" i="10"/>
  <c r="I132" i="10"/>
  <c r="M132" i="10" s="1"/>
  <c r="J131" i="10"/>
  <c r="N131" i="10" s="1"/>
  <c r="I131" i="10"/>
  <c r="K130" i="10"/>
  <c r="J130" i="10"/>
  <c r="N130" i="10" s="1"/>
  <c r="O130" i="10" s="1"/>
  <c r="I130" i="10"/>
  <c r="M130" i="10" s="1"/>
  <c r="J129" i="10"/>
  <c r="N129" i="10" s="1"/>
  <c r="I129" i="10"/>
  <c r="J128" i="10"/>
  <c r="N128" i="10" s="1"/>
  <c r="O128" i="10" s="1"/>
  <c r="I128" i="10"/>
  <c r="L128" i="10"/>
  <c r="AN134" i="10"/>
  <c r="AG134" i="10"/>
  <c r="W134" i="10"/>
  <c r="U134" i="10"/>
  <c r="AN132" i="10"/>
  <c r="AG132" i="10"/>
  <c r="W132" i="10"/>
  <c r="U132" i="10"/>
  <c r="C132" i="10"/>
  <c r="AJ130" i="5"/>
  <c r="AH130" i="5"/>
  <c r="X130" i="5"/>
  <c r="V130" i="5"/>
  <c r="D130" i="5"/>
  <c r="AJ128" i="5"/>
  <c r="AH128" i="5"/>
  <c r="AH126" i="5"/>
  <c r="X128" i="5"/>
  <c r="V126" i="5"/>
  <c r="V128" i="5"/>
  <c r="C9" i="10"/>
  <c r="C10" i="10"/>
  <c r="C11" i="10"/>
  <c r="C12" i="10"/>
  <c r="C13" i="10"/>
  <c r="C14" i="10"/>
  <c r="C15" i="10"/>
  <c r="C16" i="10"/>
  <c r="C17" i="10"/>
  <c r="C18" i="10"/>
  <c r="C19" i="10"/>
  <c r="C20" i="10"/>
  <c r="C21" i="10"/>
  <c r="C22" i="10"/>
  <c r="C23" i="10"/>
  <c r="C24" i="10"/>
  <c r="C25" i="10"/>
  <c r="C26" i="10"/>
  <c r="C27" i="10"/>
  <c r="C28" i="10"/>
  <c r="C29" i="10"/>
  <c r="C30" i="10"/>
  <c r="C31" i="10"/>
  <c r="C32" i="10"/>
  <c r="C33" i="10"/>
  <c r="C34" i="10"/>
  <c r="C35" i="10"/>
  <c r="C36" i="10"/>
  <c r="C37" i="10"/>
  <c r="C38" i="10"/>
  <c r="C39" i="10"/>
  <c r="C40" i="10"/>
  <c r="C41" i="10"/>
  <c r="C42" i="10"/>
  <c r="C43" i="10"/>
  <c r="C44" i="10"/>
  <c r="C45" i="10"/>
  <c r="C46" i="10"/>
  <c r="C47" i="10"/>
  <c r="C48" i="10"/>
  <c r="C49" i="10"/>
  <c r="C50" i="10"/>
  <c r="C51" i="10"/>
  <c r="C52" i="10"/>
  <c r="C53" i="10"/>
  <c r="C54" i="10"/>
  <c r="C55" i="10"/>
  <c r="C56" i="10"/>
  <c r="C57" i="10"/>
  <c r="C58" i="10"/>
  <c r="C59" i="10"/>
  <c r="C60" i="10"/>
  <c r="C61" i="10"/>
  <c r="C62" i="10"/>
  <c r="C63" i="10"/>
  <c r="C64" i="10"/>
  <c r="C65" i="10"/>
  <c r="C66" i="10"/>
  <c r="C67" i="10"/>
  <c r="C68" i="10"/>
  <c r="C69" i="10"/>
  <c r="C70" i="10"/>
  <c r="C71" i="10"/>
  <c r="C72" i="10"/>
  <c r="C73" i="10"/>
  <c r="C74" i="10"/>
  <c r="C75" i="10"/>
  <c r="C76" i="10"/>
  <c r="C77" i="10"/>
  <c r="C78" i="10"/>
  <c r="C79" i="10"/>
  <c r="C80" i="10"/>
  <c r="C81" i="10"/>
  <c r="C82" i="10"/>
  <c r="C83" i="10"/>
  <c r="C84" i="10"/>
  <c r="C85" i="10"/>
  <c r="C86" i="10"/>
  <c r="C87" i="10"/>
  <c r="C88" i="10"/>
  <c r="C89" i="10"/>
  <c r="C90" i="10"/>
  <c r="C91" i="10"/>
  <c r="C92" i="10"/>
  <c r="C93" i="10"/>
  <c r="C94" i="10"/>
  <c r="C95" i="10"/>
  <c r="C96" i="10"/>
  <c r="C97" i="10"/>
  <c r="C98" i="10"/>
  <c r="C99" i="10"/>
  <c r="C100" i="10"/>
  <c r="C101" i="10"/>
  <c r="C102" i="10"/>
  <c r="C103" i="10"/>
  <c r="C104" i="10"/>
  <c r="C105" i="10"/>
  <c r="C106" i="10"/>
  <c r="C107" i="10"/>
  <c r="C108" i="10"/>
  <c r="C109" i="10"/>
  <c r="C110" i="10"/>
  <c r="C111" i="10"/>
  <c r="C112" i="10"/>
  <c r="C113" i="10"/>
  <c r="C114" i="10"/>
  <c r="C115" i="10"/>
  <c r="C116" i="10"/>
  <c r="C117" i="10"/>
  <c r="C118" i="10"/>
  <c r="C119" i="10"/>
  <c r="C120" i="10"/>
  <c r="C121" i="10"/>
  <c r="C122" i="10"/>
  <c r="C123" i="10"/>
  <c r="C124" i="10"/>
  <c r="C125" i="10"/>
  <c r="C126" i="10"/>
  <c r="C127" i="10"/>
  <c r="C128" i="10"/>
  <c r="C130" i="10"/>
  <c r="C3" i="10"/>
  <c r="C4" i="10"/>
  <c r="C5" i="10"/>
  <c r="C6" i="10"/>
  <c r="C7" i="10"/>
  <c r="C8" i="10"/>
  <c r="D126" i="5"/>
  <c r="D128" i="5"/>
  <c r="AC55" i="8"/>
  <c r="AG55" i="8" s="1"/>
  <c r="AD55" i="8"/>
  <c r="AF55" i="8" s="1"/>
  <c r="AE55" i="8"/>
  <c r="AL55" i="8"/>
  <c r="AM55" i="8"/>
  <c r="AN130" i="10"/>
  <c r="AN128" i="10"/>
  <c r="AJ126" i="5"/>
  <c r="AJ124" i="5"/>
  <c r="AH124" i="5"/>
  <c r="X126" i="5"/>
  <c r="X124" i="5"/>
  <c r="W124" i="5"/>
  <c r="V124" i="5"/>
  <c r="AG130" i="10"/>
  <c r="AG128" i="10"/>
  <c r="W130" i="10"/>
  <c r="W128" i="10"/>
  <c r="V128" i="10"/>
  <c r="U130" i="10"/>
  <c r="U128" i="10"/>
  <c r="D124" i="5"/>
  <c r="M123" i="5"/>
  <c r="K123" i="5"/>
  <c r="J123" i="5"/>
  <c r="M122" i="5"/>
  <c r="K122" i="5"/>
  <c r="J122" i="5"/>
  <c r="D108" i="5"/>
  <c r="D109" i="5"/>
  <c r="D110" i="5"/>
  <c r="D111" i="5"/>
  <c r="D112" i="5"/>
  <c r="D113" i="5"/>
  <c r="D114" i="5"/>
  <c r="D115" i="5"/>
  <c r="D116" i="5"/>
  <c r="D117" i="5"/>
  <c r="D118" i="5"/>
  <c r="D119" i="5"/>
  <c r="D120" i="5"/>
  <c r="D121" i="5"/>
  <c r="D122" i="5"/>
  <c r="D123" i="5"/>
  <c r="I126" i="10"/>
  <c r="J126" i="10"/>
  <c r="L126" i="10"/>
  <c r="I127" i="10"/>
  <c r="J127" i="10"/>
  <c r="L127" i="10"/>
  <c r="AH122" i="5"/>
  <c r="X122" i="5"/>
  <c r="AG126" i="10"/>
  <c r="W126" i="10"/>
  <c r="AJ120" i="5"/>
  <c r="AH120" i="5"/>
  <c r="X120" i="5"/>
  <c r="V121" i="5"/>
  <c r="V120" i="5"/>
  <c r="M121" i="5"/>
  <c r="K121" i="5"/>
  <c r="J121" i="5"/>
  <c r="M120" i="5"/>
  <c r="K120" i="5"/>
  <c r="J120" i="5"/>
  <c r="M119" i="5"/>
  <c r="K119" i="5"/>
  <c r="J119" i="5"/>
  <c r="U125" i="10"/>
  <c r="AN124" i="10"/>
  <c r="AG124" i="10"/>
  <c r="W124" i="10"/>
  <c r="U124" i="10"/>
  <c r="L125" i="10"/>
  <c r="J125" i="10"/>
  <c r="I125" i="10"/>
  <c r="L124" i="10"/>
  <c r="J124" i="10"/>
  <c r="I124" i="10"/>
  <c r="L123" i="10"/>
  <c r="J123" i="10"/>
  <c r="I123" i="10"/>
  <c r="K123" i="10" s="1"/>
  <c r="U126" i="10"/>
  <c r="R126" i="10"/>
  <c r="S122" i="5"/>
  <c r="AJ122" i="5"/>
  <c r="V122" i="5"/>
  <c r="AH118" i="5"/>
  <c r="X118" i="5"/>
  <c r="M118" i="5"/>
  <c r="K118" i="5"/>
  <c r="J118" i="5"/>
  <c r="L122" i="10"/>
  <c r="J122" i="10"/>
  <c r="I122" i="10"/>
  <c r="AG122" i="10"/>
  <c r="W122" i="10"/>
  <c r="V122" i="10"/>
  <c r="U122" i="10"/>
  <c r="W115" i="10"/>
  <c r="V118" i="5"/>
  <c r="AJ118" i="5"/>
  <c r="W118" i="5"/>
  <c r="S118" i="5"/>
  <c r="AN122" i="10"/>
  <c r="R122" i="10"/>
  <c r="M3" i="15"/>
  <c r="J3" i="15"/>
  <c r="I161" i="10"/>
  <c r="J161" i="10"/>
  <c r="L161" i="10"/>
  <c r="I162" i="10"/>
  <c r="J162" i="10"/>
  <c r="L162" i="10"/>
  <c r="K106" i="11"/>
  <c r="N106" i="11" s="1"/>
  <c r="M106" i="11"/>
  <c r="P106" i="11" s="1"/>
  <c r="O106" i="11"/>
  <c r="R106" i="11"/>
  <c r="T106" i="11" s="1"/>
  <c r="U106" i="11"/>
  <c r="V106" i="11" s="1"/>
  <c r="W106" i="11" s="1"/>
  <c r="X106" i="11" s="1"/>
  <c r="Y106" i="11"/>
  <c r="Z106" i="11"/>
  <c r="K107" i="11"/>
  <c r="N107" i="11" s="1"/>
  <c r="Q107" i="11" s="1"/>
  <c r="O107" i="11"/>
  <c r="M107" i="11"/>
  <c r="P107" i="11"/>
  <c r="R107" i="11"/>
  <c r="T107" i="11" s="1"/>
  <c r="S107" i="11"/>
  <c r="U107" i="11"/>
  <c r="V107" i="11"/>
  <c r="Y107" i="11"/>
  <c r="Z107" i="11"/>
  <c r="C107" i="11"/>
  <c r="F107" i="11"/>
  <c r="C184" i="8"/>
  <c r="D184" i="8"/>
  <c r="E184" i="8"/>
  <c r="F184" i="8"/>
  <c r="G184" i="8"/>
  <c r="H184" i="8"/>
  <c r="I184" i="8"/>
  <c r="J184" i="8"/>
  <c r="K184" i="8"/>
  <c r="L184" i="8"/>
  <c r="M184" i="8"/>
  <c r="N184" i="8"/>
  <c r="O184" i="8"/>
  <c r="P184" i="8"/>
  <c r="Q184" i="8"/>
  <c r="R184" i="8"/>
  <c r="S184" i="8"/>
  <c r="T184" i="8"/>
  <c r="U184" i="8"/>
  <c r="V184" i="8"/>
  <c r="W184" i="8"/>
  <c r="X184" i="8"/>
  <c r="Y184" i="8"/>
  <c r="Z184" i="8"/>
  <c r="AA184" i="8"/>
  <c r="B184" i="8"/>
  <c r="C176" i="8"/>
  <c r="D176" i="8"/>
  <c r="E176" i="8"/>
  <c r="F176" i="8"/>
  <c r="G176" i="8"/>
  <c r="H176" i="8"/>
  <c r="I176" i="8"/>
  <c r="J176" i="8"/>
  <c r="K176" i="8"/>
  <c r="L176" i="8"/>
  <c r="M176" i="8"/>
  <c r="N176" i="8"/>
  <c r="O176" i="8"/>
  <c r="P176" i="8"/>
  <c r="Q176" i="8"/>
  <c r="R176" i="8"/>
  <c r="S176" i="8"/>
  <c r="T176" i="8"/>
  <c r="U176" i="8"/>
  <c r="V176" i="8"/>
  <c r="W176" i="8"/>
  <c r="X176" i="8"/>
  <c r="Y176" i="8"/>
  <c r="Z176" i="8"/>
  <c r="AA176" i="8"/>
  <c r="B176" i="8"/>
  <c r="U183" i="8"/>
  <c r="R183" i="8"/>
  <c r="N183" i="8"/>
  <c r="S183" i="8"/>
  <c r="T183" i="8"/>
  <c r="V183" i="8"/>
  <c r="W183" i="8"/>
  <c r="AL183" i="8" s="1"/>
  <c r="C183" i="8"/>
  <c r="B183" i="8"/>
  <c r="AI183" i="8"/>
  <c r="M183" i="8"/>
  <c r="J183" i="8"/>
  <c r="I183" i="8"/>
  <c r="H183" i="8"/>
  <c r="F180" i="8"/>
  <c r="G180" i="8" s="1"/>
  <c r="H180" i="8" s="1"/>
  <c r="I180" i="8" s="1"/>
  <c r="J180" i="8" s="1"/>
  <c r="K180" i="8" s="1"/>
  <c r="L180" i="8" s="1"/>
  <c r="M180" i="8" s="1"/>
  <c r="N180" i="8" s="1"/>
  <c r="O180" i="8" s="1"/>
  <c r="P180" i="8" s="1"/>
  <c r="Q180" i="8" s="1"/>
  <c r="R180" i="8" s="1"/>
  <c r="S180" i="8" s="1"/>
  <c r="T180" i="8" s="1"/>
  <c r="U180" i="8" s="1"/>
  <c r="V180" i="8" s="1"/>
  <c r="W180" i="8" s="1"/>
  <c r="X180" i="8" s="1"/>
  <c r="Y180" i="8" s="1"/>
  <c r="Z180" i="8" s="1"/>
  <c r="AA180" i="8" s="1"/>
  <c r="E180" i="8"/>
  <c r="D180" i="8"/>
  <c r="C180" i="8"/>
  <c r="B179" i="8"/>
  <c r="C179" i="8" s="1"/>
  <c r="D179" i="8" s="1"/>
  <c r="E179" i="8" s="1"/>
  <c r="F179" i="8" s="1"/>
  <c r="G179" i="8" s="1"/>
  <c r="H179" i="8" s="1"/>
  <c r="I179" i="8" s="1"/>
  <c r="J179" i="8" s="1"/>
  <c r="K179" i="8" s="1"/>
  <c r="L179" i="8" s="1"/>
  <c r="M179" i="8" s="1"/>
  <c r="N179" i="8" s="1"/>
  <c r="O179" i="8" s="1"/>
  <c r="P179" i="8" s="1"/>
  <c r="Q179" i="8" s="1"/>
  <c r="R179" i="8" s="1"/>
  <c r="S179" i="8" s="1"/>
  <c r="T179" i="8" s="1"/>
  <c r="U179" i="8" s="1"/>
  <c r="V179" i="8" s="1"/>
  <c r="W179" i="8" s="1"/>
  <c r="X179" i="8" s="1"/>
  <c r="Y179" i="8" s="1"/>
  <c r="Z179" i="8" s="1"/>
  <c r="AA179" i="8" s="1"/>
  <c r="N175" i="8"/>
  <c r="S175" i="8"/>
  <c r="T175" i="8"/>
  <c r="U175" i="8"/>
  <c r="V175" i="8"/>
  <c r="W175" i="8"/>
  <c r="R175" i="8"/>
  <c r="C175" i="8"/>
  <c r="B175" i="8"/>
  <c r="AI175" i="8"/>
  <c r="E172" i="8"/>
  <c r="F172" i="8" s="1"/>
  <c r="G172" i="8" s="1"/>
  <c r="H172" i="8" s="1"/>
  <c r="I172" i="8" s="1"/>
  <c r="J172" i="8" s="1"/>
  <c r="K172" i="8" s="1"/>
  <c r="L172" i="8" s="1"/>
  <c r="M172" i="8" s="1"/>
  <c r="N172" i="8" s="1"/>
  <c r="O172" i="8" s="1"/>
  <c r="P172" i="8" s="1"/>
  <c r="Q172" i="8" s="1"/>
  <c r="R172" i="8" s="1"/>
  <c r="S172" i="8" s="1"/>
  <c r="T172" i="8" s="1"/>
  <c r="U172" i="8" s="1"/>
  <c r="V172" i="8" s="1"/>
  <c r="W172" i="8" s="1"/>
  <c r="X172" i="8" s="1"/>
  <c r="Y172" i="8" s="1"/>
  <c r="Z172" i="8" s="1"/>
  <c r="AA172" i="8" s="1"/>
  <c r="D172" i="8"/>
  <c r="C172" i="8"/>
  <c r="B171" i="8"/>
  <c r="C171" i="8" s="1"/>
  <c r="D171" i="8" s="1"/>
  <c r="E171" i="8" s="1"/>
  <c r="F171" i="8" s="1"/>
  <c r="G171" i="8" s="1"/>
  <c r="H171" i="8" s="1"/>
  <c r="I171" i="8" s="1"/>
  <c r="J171" i="8" s="1"/>
  <c r="K171" i="8" s="1"/>
  <c r="L171" i="8" s="1"/>
  <c r="M171" i="8" s="1"/>
  <c r="N171" i="8" s="1"/>
  <c r="O171" i="8" s="1"/>
  <c r="P171" i="8" s="1"/>
  <c r="Q171" i="8" s="1"/>
  <c r="R171" i="8" s="1"/>
  <c r="S171" i="8" s="1"/>
  <c r="T171" i="8" s="1"/>
  <c r="U171" i="8" s="1"/>
  <c r="V171" i="8" s="1"/>
  <c r="W171" i="8" s="1"/>
  <c r="X171" i="8" s="1"/>
  <c r="Y171" i="8" s="1"/>
  <c r="Z171" i="8" s="1"/>
  <c r="AA171" i="8" s="1"/>
  <c r="T38" i="4"/>
  <c r="T36" i="4"/>
  <c r="T37" i="4"/>
  <c r="R46" i="4"/>
  <c r="R45" i="4"/>
  <c r="R44" i="4"/>
  <c r="R38" i="4"/>
  <c r="R37" i="4"/>
  <c r="R36" i="4"/>
  <c r="R4" i="4"/>
  <c r="R5" i="4"/>
  <c r="R3" i="4"/>
  <c r="AD168" i="8"/>
  <c r="M112" i="8"/>
  <c r="L112" i="8"/>
  <c r="K112" i="8"/>
  <c r="J112" i="8"/>
  <c r="C112" i="8"/>
  <c r="AM111" i="8"/>
  <c r="AL111" i="8"/>
  <c r="AN111" i="8" s="1"/>
  <c r="AO111" i="8" s="1"/>
  <c r="AI111" i="8"/>
  <c r="AE111" i="8"/>
  <c r="AE112" i="8" s="1"/>
  <c r="AC111" i="8"/>
  <c r="M111" i="8"/>
  <c r="L111" i="8"/>
  <c r="K111" i="8"/>
  <c r="J111" i="8"/>
  <c r="C111" i="8"/>
  <c r="C108" i="8"/>
  <c r="D108" i="8" s="1"/>
  <c r="E108" i="8" s="1"/>
  <c r="F108" i="8" s="1"/>
  <c r="G108" i="8" s="1"/>
  <c r="H108" i="8" s="1"/>
  <c r="I108" i="8" s="1"/>
  <c r="J108" i="8" s="1"/>
  <c r="K108" i="8" s="1"/>
  <c r="L108" i="8" s="1"/>
  <c r="M108" i="8" s="1"/>
  <c r="N108" i="8" s="1"/>
  <c r="O108" i="8" s="1"/>
  <c r="P108" i="8" s="1"/>
  <c r="Q108" i="8" s="1"/>
  <c r="R108" i="8" s="1"/>
  <c r="S108" i="8" s="1"/>
  <c r="T108" i="8" s="1"/>
  <c r="U108" i="8" s="1"/>
  <c r="V108" i="8" s="1"/>
  <c r="W108" i="8" s="1"/>
  <c r="X108" i="8" s="1"/>
  <c r="Y108" i="8" s="1"/>
  <c r="Z108" i="8" s="1"/>
  <c r="AA108" i="8" s="1"/>
  <c r="C107" i="8"/>
  <c r="D107" i="8" s="1"/>
  <c r="E107" i="8" s="1"/>
  <c r="F107" i="8" s="1"/>
  <c r="G107" i="8" s="1"/>
  <c r="H107" i="8" s="1"/>
  <c r="I107" i="8" s="1"/>
  <c r="J107" i="8" s="1"/>
  <c r="K107" i="8" s="1"/>
  <c r="L107" i="8" s="1"/>
  <c r="M107" i="8" s="1"/>
  <c r="N107" i="8" s="1"/>
  <c r="O107" i="8" s="1"/>
  <c r="P107" i="8" s="1"/>
  <c r="Q107" i="8" s="1"/>
  <c r="R107" i="8" s="1"/>
  <c r="S107" i="8" s="1"/>
  <c r="T107" i="8" s="1"/>
  <c r="U107" i="8" s="1"/>
  <c r="V107" i="8" s="1"/>
  <c r="W107" i="8" s="1"/>
  <c r="X107" i="8" s="1"/>
  <c r="Y107" i="8" s="1"/>
  <c r="Z107" i="8" s="1"/>
  <c r="AA107" i="8" s="1"/>
  <c r="B107" i="8"/>
  <c r="C103" i="8"/>
  <c r="C106" i="11"/>
  <c r="F100" i="12"/>
  <c r="C100" i="12"/>
  <c r="R7" i="10"/>
  <c r="R11" i="10"/>
  <c r="R13" i="10"/>
  <c r="R15" i="10"/>
  <c r="R16" i="10"/>
  <c r="R18" i="10"/>
  <c r="R20" i="10"/>
  <c r="R22" i="10"/>
  <c r="R24" i="10"/>
  <c r="R26" i="10"/>
  <c r="R28" i="10"/>
  <c r="R30" i="10"/>
  <c r="R32" i="10"/>
  <c r="R34" i="10"/>
  <c r="R36" i="10"/>
  <c r="R38" i="10"/>
  <c r="R40" i="10"/>
  <c r="R42" i="10"/>
  <c r="R51" i="10"/>
  <c r="R53" i="10"/>
  <c r="R56" i="10"/>
  <c r="R58" i="10"/>
  <c r="AC111" i="10"/>
  <c r="AD111" i="10"/>
  <c r="AE111" i="10"/>
  <c r="AC112" i="10"/>
  <c r="AD112" i="10"/>
  <c r="AE112" i="10"/>
  <c r="AC113" i="10"/>
  <c r="AD113" i="10"/>
  <c r="AE113" i="10"/>
  <c r="AC114" i="10"/>
  <c r="AD114" i="10"/>
  <c r="AE114" i="10"/>
  <c r="AC115" i="10"/>
  <c r="AD115" i="10"/>
  <c r="AE115" i="10"/>
  <c r="AC117" i="10"/>
  <c r="AD117" i="10"/>
  <c r="AE117" i="10"/>
  <c r="X111" i="10"/>
  <c r="AB111" i="10" s="1"/>
  <c r="X112" i="10"/>
  <c r="AB112" i="10" s="1"/>
  <c r="X113" i="10"/>
  <c r="AB113" i="10" s="1"/>
  <c r="X114" i="10"/>
  <c r="AB114" i="10" s="1"/>
  <c r="X115" i="10"/>
  <c r="AB115" i="10" s="1"/>
  <c r="X117" i="10"/>
  <c r="AB117" i="10" s="1"/>
  <c r="AD108" i="5"/>
  <c r="AE108" i="5"/>
  <c r="AF108" i="5"/>
  <c r="AD109" i="5"/>
  <c r="AE109" i="5"/>
  <c r="AF109" i="5"/>
  <c r="AE110" i="5"/>
  <c r="AF110" i="5"/>
  <c r="AD113" i="5"/>
  <c r="AE113" i="5"/>
  <c r="AF113" i="5"/>
  <c r="Y108" i="5"/>
  <c r="AC108" i="5" s="1"/>
  <c r="Y109" i="5"/>
  <c r="AC109" i="5" s="1"/>
  <c r="Y110" i="5"/>
  <c r="AC110" i="5" s="1"/>
  <c r="AC113" i="5"/>
  <c r="S1317" i="13"/>
  <c r="U1317" i="13" s="1"/>
  <c r="T1317" i="13"/>
  <c r="V1317" i="13" s="1"/>
  <c r="T1318" i="13"/>
  <c r="V1318" i="13"/>
  <c r="T1319" i="13"/>
  <c r="V1319" i="13" s="1"/>
  <c r="T1320" i="13"/>
  <c r="V1320" i="13"/>
  <c r="T1321" i="13"/>
  <c r="V1321" i="13" s="1"/>
  <c r="T1322" i="13"/>
  <c r="V1322" i="13"/>
  <c r="T1323" i="13"/>
  <c r="V1323" i="13" s="1"/>
  <c r="T1324" i="13"/>
  <c r="V1324" i="13"/>
  <c r="T1325" i="13"/>
  <c r="V1325" i="13" s="1"/>
  <c r="T1326" i="13"/>
  <c r="V1326" i="13"/>
  <c r="T1327" i="13"/>
  <c r="V1327" i="13" s="1"/>
  <c r="T1328" i="13"/>
  <c r="V1328" i="13"/>
  <c r="T1329" i="13"/>
  <c r="V1329" i="13" s="1"/>
  <c r="T1330" i="13"/>
  <c r="V1330" i="13"/>
  <c r="T1331" i="13"/>
  <c r="V1331" i="13" s="1"/>
  <c r="T1332" i="13"/>
  <c r="V1332" i="13"/>
  <c r="T1333" i="13"/>
  <c r="V1333" i="13" s="1"/>
  <c r="T1334" i="13"/>
  <c r="V1334" i="13"/>
  <c r="T1335" i="13"/>
  <c r="V1335" i="13" s="1"/>
  <c r="T1336" i="13"/>
  <c r="V1336" i="13"/>
  <c r="T1337" i="13"/>
  <c r="V1337" i="13" s="1"/>
  <c r="T1338" i="13"/>
  <c r="V1338" i="13"/>
  <c r="T1339" i="13"/>
  <c r="V1339" i="13" s="1"/>
  <c r="T1340" i="13"/>
  <c r="V1340" i="13"/>
  <c r="T1341" i="13"/>
  <c r="V1341" i="13" s="1"/>
  <c r="T1342" i="13"/>
  <c r="V1342" i="13"/>
  <c r="T1343" i="13"/>
  <c r="V1343" i="13" s="1"/>
  <c r="T1344" i="13"/>
  <c r="V1344" i="13"/>
  <c r="T1345" i="13"/>
  <c r="V1345" i="13" s="1"/>
  <c r="T1346" i="13"/>
  <c r="V1346" i="13"/>
  <c r="T1347" i="13"/>
  <c r="V1347" i="13" s="1"/>
  <c r="T1348" i="13"/>
  <c r="V1348" i="13"/>
  <c r="T1349" i="13"/>
  <c r="V1349" i="13" s="1"/>
  <c r="T1350" i="13"/>
  <c r="V1350" i="13"/>
  <c r="T1351" i="13"/>
  <c r="V1351" i="13" s="1"/>
  <c r="T1352" i="13"/>
  <c r="V1352" i="13"/>
  <c r="T1353" i="13"/>
  <c r="V1353" i="13" s="1"/>
  <c r="T1354" i="13"/>
  <c r="V1354" i="13"/>
  <c r="T1355" i="13"/>
  <c r="V1355" i="13" s="1"/>
  <c r="T1356" i="13"/>
  <c r="V1356" i="13"/>
  <c r="T1357" i="13"/>
  <c r="V1357" i="13"/>
  <c r="T1358" i="13"/>
  <c r="V1358" i="13"/>
  <c r="T1359" i="13"/>
  <c r="V1359" i="13"/>
  <c r="T1360" i="13"/>
  <c r="V1360" i="13"/>
  <c r="T1361" i="13"/>
  <c r="V1361" i="13"/>
  <c r="T1362" i="13"/>
  <c r="V1362" i="13"/>
  <c r="T1363" i="13"/>
  <c r="V1363" i="13"/>
  <c r="T1364" i="13"/>
  <c r="V1364" i="13"/>
  <c r="T1365" i="13"/>
  <c r="V1365" i="13"/>
  <c r="T1366" i="13"/>
  <c r="V1366" i="13"/>
  <c r="T1367" i="13"/>
  <c r="V1367" i="13"/>
  <c r="T1368" i="13"/>
  <c r="V1368" i="13"/>
  <c r="T1369" i="13"/>
  <c r="V1369" i="13"/>
  <c r="T1370" i="13"/>
  <c r="V1370" i="13"/>
  <c r="T1371" i="13"/>
  <c r="V1371" i="13"/>
  <c r="T1372" i="13"/>
  <c r="V1372" i="13"/>
  <c r="T1373" i="13"/>
  <c r="V1373" i="13"/>
  <c r="T1374" i="13"/>
  <c r="V1374" i="13"/>
  <c r="T1375" i="13"/>
  <c r="V1375" i="13"/>
  <c r="T1376" i="13"/>
  <c r="V1376" i="13"/>
  <c r="T1377" i="13"/>
  <c r="V1377" i="13"/>
  <c r="T1378" i="13"/>
  <c r="V1378" i="13"/>
  <c r="T1379" i="13"/>
  <c r="V1379" i="13"/>
  <c r="T1380" i="13"/>
  <c r="V1380" i="13"/>
  <c r="AP1342" i="13"/>
  <c r="AR1342" i="13" s="1"/>
  <c r="AQ1342" i="13"/>
  <c r="AS1342" i="13" s="1"/>
  <c r="AQ1343" i="13"/>
  <c r="AS1343" i="13"/>
  <c r="AQ1344" i="13"/>
  <c r="AS1344" i="13" s="1"/>
  <c r="AQ1345" i="13"/>
  <c r="AS1345" i="13"/>
  <c r="AQ1346" i="13"/>
  <c r="AS1346" i="13" s="1"/>
  <c r="AQ1347" i="13"/>
  <c r="AS1347" i="13"/>
  <c r="AQ1348" i="13"/>
  <c r="AS1348" i="13" s="1"/>
  <c r="AQ1349" i="13"/>
  <c r="AS1349" i="13"/>
  <c r="AQ1350" i="13"/>
  <c r="AS1350" i="13" s="1"/>
  <c r="AQ1351" i="13"/>
  <c r="AS1351" i="13"/>
  <c r="AQ1352" i="13"/>
  <c r="AS1352" i="13" s="1"/>
  <c r="AQ1353" i="13"/>
  <c r="AS1353" i="13"/>
  <c r="AQ1354" i="13"/>
  <c r="AS1354" i="13" s="1"/>
  <c r="AQ1355" i="13"/>
  <c r="AS1355" i="13"/>
  <c r="AQ1356" i="13"/>
  <c r="AS1356" i="13" s="1"/>
  <c r="AQ1357" i="13"/>
  <c r="AS1357" i="13"/>
  <c r="AQ1358" i="13"/>
  <c r="AS1358" i="13" s="1"/>
  <c r="AQ1359" i="13"/>
  <c r="AS1359" i="13"/>
  <c r="AQ1360" i="13"/>
  <c r="AS1360" i="13" s="1"/>
  <c r="AQ1361" i="13"/>
  <c r="AS1361" i="13"/>
  <c r="AQ1362" i="13"/>
  <c r="AS1362" i="13" s="1"/>
  <c r="AQ1363" i="13"/>
  <c r="AS1363" i="13"/>
  <c r="AQ1364" i="13"/>
  <c r="AS1364" i="13" s="1"/>
  <c r="AQ1365" i="13"/>
  <c r="AS1365" i="13"/>
  <c r="AQ1366" i="13"/>
  <c r="AS1366" i="13" s="1"/>
  <c r="AQ1367" i="13"/>
  <c r="AS1367" i="13"/>
  <c r="AQ1368" i="13"/>
  <c r="AS1368" i="13" s="1"/>
  <c r="AQ1369" i="13"/>
  <c r="AS1369" i="13"/>
  <c r="AQ1370" i="13"/>
  <c r="AS1370" i="13" s="1"/>
  <c r="AQ1371" i="13"/>
  <c r="AS1371" i="13"/>
  <c r="AQ1372" i="13"/>
  <c r="AS1372" i="13" s="1"/>
  <c r="AQ1373" i="13"/>
  <c r="AS1373" i="13"/>
  <c r="AQ1374" i="13"/>
  <c r="AS1374" i="13" s="1"/>
  <c r="AQ1375" i="13"/>
  <c r="AS1375" i="13"/>
  <c r="AQ1376" i="13"/>
  <c r="AS1376" i="13" s="1"/>
  <c r="AQ1377" i="13"/>
  <c r="AS1377" i="13"/>
  <c r="AQ1378" i="13"/>
  <c r="AS1378" i="13" s="1"/>
  <c r="AQ1379" i="13"/>
  <c r="AS1379" i="13"/>
  <c r="AQ1380" i="13"/>
  <c r="AS1380" i="13" s="1"/>
  <c r="AP1329" i="13"/>
  <c r="AR1329" i="13" s="1"/>
  <c r="AQ1329" i="13"/>
  <c r="AS1329" i="13" s="1"/>
  <c r="AQ1330" i="13"/>
  <c r="AS1330" i="13"/>
  <c r="AQ1331" i="13"/>
  <c r="AS1331" i="13" s="1"/>
  <c r="AQ1332" i="13"/>
  <c r="AS1332" i="13"/>
  <c r="AQ1333" i="13"/>
  <c r="AS1333" i="13" s="1"/>
  <c r="AQ1334" i="13"/>
  <c r="AS1334" i="13"/>
  <c r="AQ1335" i="13"/>
  <c r="AS1335" i="13" s="1"/>
  <c r="AQ1336" i="13"/>
  <c r="AS1336" i="13"/>
  <c r="AQ1337" i="13"/>
  <c r="AS1337" i="13" s="1"/>
  <c r="AQ1338" i="13"/>
  <c r="AS1338" i="13"/>
  <c r="AQ1339" i="13"/>
  <c r="AS1339" i="13" s="1"/>
  <c r="AQ1340" i="13"/>
  <c r="AS1340" i="13"/>
  <c r="AQ1341" i="13"/>
  <c r="AS1341" i="13" s="1"/>
  <c r="AP1317" i="13"/>
  <c r="AR1317" i="13" s="1"/>
  <c r="AQ1317" i="13"/>
  <c r="AS1317" i="13"/>
  <c r="AQ1318" i="13"/>
  <c r="AS1318" i="13" s="1"/>
  <c r="AQ1319" i="13"/>
  <c r="AS1319" i="13"/>
  <c r="AQ1320" i="13"/>
  <c r="AS1320" i="13" s="1"/>
  <c r="AQ1321" i="13"/>
  <c r="AS1321" i="13"/>
  <c r="AQ1322" i="13"/>
  <c r="AS1322" i="13" s="1"/>
  <c r="AQ1323" i="13"/>
  <c r="AS1323" i="13"/>
  <c r="AQ1324" i="13"/>
  <c r="AS1324" i="13" s="1"/>
  <c r="AQ1325" i="13"/>
  <c r="AS1325" i="13"/>
  <c r="AQ1326" i="13"/>
  <c r="AS1326" i="13" s="1"/>
  <c r="AQ1327" i="13"/>
  <c r="AS1327" i="13"/>
  <c r="AQ1328" i="13"/>
  <c r="AS1328" i="13" s="1"/>
  <c r="AF108" i="13"/>
  <c r="AE108" i="13"/>
  <c r="AF104" i="13"/>
  <c r="AE104" i="13"/>
  <c r="AF109" i="13"/>
  <c r="AE109" i="13"/>
  <c r="Y109" i="13"/>
  <c r="Z109" i="13" s="1"/>
  <c r="Z108" i="13"/>
  <c r="Y108" i="13"/>
  <c r="AF107" i="13"/>
  <c r="AE107" i="13"/>
  <c r="Y107" i="13"/>
  <c r="Z107" i="13" s="1"/>
  <c r="AF106" i="13"/>
  <c r="AE106" i="13"/>
  <c r="Z106" i="13"/>
  <c r="Y106" i="13"/>
  <c r="AF105" i="13"/>
  <c r="AE105" i="13"/>
  <c r="Y105" i="13"/>
  <c r="Z105" i="13" s="1"/>
  <c r="Z104" i="13"/>
  <c r="Y104" i="13"/>
  <c r="H104" i="13"/>
  <c r="I104" i="13"/>
  <c r="H105" i="13"/>
  <c r="I105" i="13"/>
  <c r="H106" i="13"/>
  <c r="I106" i="13"/>
  <c r="H107" i="13"/>
  <c r="I107" i="13"/>
  <c r="H108" i="13"/>
  <c r="I108" i="13"/>
  <c r="H109" i="13"/>
  <c r="I109" i="13"/>
  <c r="B104" i="13"/>
  <c r="C104" i="13"/>
  <c r="B105" i="13"/>
  <c r="C105" i="13" s="1"/>
  <c r="B106" i="13"/>
  <c r="C106" i="13"/>
  <c r="B107" i="13"/>
  <c r="C107" i="13"/>
  <c r="B108" i="13"/>
  <c r="C108" i="13"/>
  <c r="B109" i="13"/>
  <c r="C109" i="13" s="1"/>
  <c r="K103" i="11"/>
  <c r="N103" i="11" s="1"/>
  <c r="L103" i="11"/>
  <c r="O103" i="11" s="1"/>
  <c r="M103" i="11"/>
  <c r="P103" i="11" s="1"/>
  <c r="R103" i="11"/>
  <c r="T103" i="11" s="1"/>
  <c r="S103" i="11"/>
  <c r="U103" i="11" s="1"/>
  <c r="V103" i="11" s="1"/>
  <c r="W103" i="11" s="1"/>
  <c r="X103" i="11" s="1"/>
  <c r="Y103" i="11"/>
  <c r="Z103" i="11"/>
  <c r="K104" i="11"/>
  <c r="N104" i="11" s="1"/>
  <c r="O104" i="11"/>
  <c r="M104" i="11"/>
  <c r="P104" i="11"/>
  <c r="R104" i="11"/>
  <c r="T104" i="11" s="1"/>
  <c r="S104" i="11"/>
  <c r="U104" i="11" s="1"/>
  <c r="V104" i="11" s="1"/>
  <c r="W104" i="11" s="1"/>
  <c r="X104" i="11" s="1"/>
  <c r="Y104" i="11"/>
  <c r="Z104" i="11"/>
  <c r="K105" i="11"/>
  <c r="N105" i="11" s="1"/>
  <c r="Q105" i="11" s="1"/>
  <c r="M105" i="11"/>
  <c r="O105" i="11"/>
  <c r="P105" i="11"/>
  <c r="R105" i="11"/>
  <c r="T105" i="11" s="1"/>
  <c r="S105" i="11"/>
  <c r="U105" i="11" s="1"/>
  <c r="V105" i="11" s="1"/>
  <c r="Y105" i="11"/>
  <c r="Z105" i="11"/>
  <c r="K97" i="12"/>
  <c r="N97" i="12" s="1"/>
  <c r="Q97" i="12" s="1"/>
  <c r="L97" i="12"/>
  <c r="M97" i="12"/>
  <c r="P97" i="12" s="1"/>
  <c r="O97" i="12"/>
  <c r="R97" i="12"/>
  <c r="T97" i="12" s="1"/>
  <c r="S97" i="12"/>
  <c r="U97" i="12" s="1"/>
  <c r="V97" i="12" s="1"/>
  <c r="W97" i="12" s="1"/>
  <c r="X97" i="12" s="1"/>
  <c r="Y97" i="12"/>
  <c r="Z97" i="12"/>
  <c r="K98" i="12"/>
  <c r="N98" i="12" s="1"/>
  <c r="O98" i="12"/>
  <c r="M98" i="12"/>
  <c r="P98" i="12"/>
  <c r="R98" i="12"/>
  <c r="T98" i="12" s="1"/>
  <c r="S98" i="12"/>
  <c r="U98" i="12" s="1"/>
  <c r="V98" i="12" s="1"/>
  <c r="W98" i="12" s="1"/>
  <c r="X98" i="12" s="1"/>
  <c r="Y98" i="12"/>
  <c r="Z98" i="12"/>
  <c r="K99" i="12"/>
  <c r="N99" i="12" s="1"/>
  <c r="Q99" i="12" s="1"/>
  <c r="M99" i="12"/>
  <c r="O99" i="12"/>
  <c r="P99" i="12"/>
  <c r="R99" i="12"/>
  <c r="T99" i="12" s="1"/>
  <c r="S99" i="12"/>
  <c r="U99" i="12" s="1"/>
  <c r="V99" i="12" s="1"/>
  <c r="W99" i="12" s="1"/>
  <c r="X99" i="12" s="1"/>
  <c r="Y99" i="12"/>
  <c r="Z99" i="12"/>
  <c r="L160" i="10"/>
  <c r="L159" i="10"/>
  <c r="J160" i="10"/>
  <c r="J159" i="10"/>
  <c r="I160" i="10"/>
  <c r="I159" i="10"/>
  <c r="J158" i="10"/>
  <c r="J157" i="10"/>
  <c r="I158" i="10"/>
  <c r="I157" i="10"/>
  <c r="L158" i="10"/>
  <c r="L157" i="10"/>
  <c r="M148" i="5"/>
  <c r="K148" i="5"/>
  <c r="J148" i="5"/>
  <c r="M147" i="5"/>
  <c r="K147" i="5"/>
  <c r="J147" i="5"/>
  <c r="M55" i="5"/>
  <c r="M60" i="5"/>
  <c r="L113" i="10"/>
  <c r="J113" i="10"/>
  <c r="I113" i="10"/>
  <c r="M110" i="5"/>
  <c r="K110" i="5"/>
  <c r="J110" i="5"/>
  <c r="M104" i="5"/>
  <c r="K104" i="5"/>
  <c r="J104" i="5"/>
  <c r="L95" i="10"/>
  <c r="J95" i="10"/>
  <c r="I95" i="10"/>
  <c r="F105" i="11"/>
  <c r="E105" i="11"/>
  <c r="D105" i="11"/>
  <c r="C105" i="11"/>
  <c r="F99" i="12"/>
  <c r="C99" i="12"/>
  <c r="L119" i="10"/>
  <c r="J119" i="10"/>
  <c r="I119" i="10"/>
  <c r="L105" i="10"/>
  <c r="J105" i="10"/>
  <c r="I105" i="10"/>
  <c r="P97" i="10"/>
  <c r="P98" i="10"/>
  <c r="P99" i="10"/>
  <c r="P100" i="10"/>
  <c r="P101" i="10"/>
  <c r="P104" i="10"/>
  <c r="P106" i="10"/>
  <c r="P108" i="10"/>
  <c r="P109" i="10"/>
  <c r="P44" i="10"/>
  <c r="P45" i="10"/>
  <c r="P46" i="10"/>
  <c r="P47" i="10"/>
  <c r="P48" i="10"/>
  <c r="P49" i="10"/>
  <c r="P50" i="10"/>
  <c r="P55" i="10"/>
  <c r="Q106" i="5"/>
  <c r="Q42" i="5"/>
  <c r="Q43" i="5"/>
  <c r="Q44" i="5"/>
  <c r="Q45" i="5"/>
  <c r="Q46" i="5"/>
  <c r="Q47" i="5"/>
  <c r="Q52" i="5"/>
  <c r="L156" i="10"/>
  <c r="J156" i="10"/>
  <c r="I156" i="10"/>
  <c r="L155" i="10"/>
  <c r="J155" i="10"/>
  <c r="I155" i="10"/>
  <c r="L116" i="10"/>
  <c r="J116" i="10"/>
  <c r="I116" i="10"/>
  <c r="L115" i="10"/>
  <c r="J115" i="10"/>
  <c r="I115" i="10"/>
  <c r="M112" i="5"/>
  <c r="K112" i="5"/>
  <c r="J112" i="5"/>
  <c r="O53" i="2"/>
  <c r="N53" i="2"/>
  <c r="G53" i="2"/>
  <c r="AW53" i="2"/>
  <c r="AU53" i="2"/>
  <c r="AT53" i="2"/>
  <c r="W102" i="10"/>
  <c r="AN102" i="10"/>
  <c r="AN115" i="10"/>
  <c r="AG115" i="10"/>
  <c r="R102" i="10"/>
  <c r="R115" i="10"/>
  <c r="U115" i="10"/>
  <c r="S112" i="5"/>
  <c r="S99" i="5"/>
  <c r="AJ112" i="5"/>
  <c r="AH112" i="5"/>
  <c r="X99" i="5"/>
  <c r="X112" i="5"/>
  <c r="V112" i="5"/>
  <c r="E104" i="11"/>
  <c r="D104" i="11"/>
  <c r="F104" i="11"/>
  <c r="C104" i="11"/>
  <c r="F98" i="12"/>
  <c r="C98" i="12"/>
  <c r="F103" i="11"/>
  <c r="E103" i="11"/>
  <c r="D103" i="11"/>
  <c r="C103" i="11"/>
  <c r="F97" i="12"/>
  <c r="C97" i="12"/>
  <c r="AM103" i="8"/>
  <c r="AL103" i="8"/>
  <c r="AM151" i="8"/>
  <c r="AL151" i="8"/>
  <c r="AM159" i="8"/>
  <c r="AL159" i="8"/>
  <c r="AM167" i="8"/>
  <c r="AL167" i="8"/>
  <c r="A60" i="2"/>
  <c r="A61" i="2" s="1"/>
  <c r="A62" i="2" s="1"/>
  <c r="A63" i="2" s="1"/>
  <c r="A64" i="2" s="1"/>
  <c r="A65" i="2" s="1"/>
  <c r="A66" i="2" s="1"/>
  <c r="A67" i="2" s="1"/>
  <c r="A68" i="2" s="1"/>
  <c r="A69" i="2" s="1"/>
  <c r="AQ35" i="13"/>
  <c r="AS35" i="13" s="1"/>
  <c r="AR35" i="13"/>
  <c r="AQ36" i="13"/>
  <c r="AS36" i="13" s="1"/>
  <c r="AR36" i="13"/>
  <c r="AQ37" i="13"/>
  <c r="AS37" i="13" s="1"/>
  <c r="AR37" i="13"/>
  <c r="AQ38" i="13"/>
  <c r="AS38" i="13" s="1"/>
  <c r="AR38" i="13"/>
  <c r="AQ39" i="13"/>
  <c r="AR39" i="13"/>
  <c r="AS39" i="13"/>
  <c r="AQ40" i="13"/>
  <c r="AR40" i="13"/>
  <c r="AS40" i="13"/>
  <c r="AQ41" i="13"/>
  <c r="AR41" i="13"/>
  <c r="AS41" i="13"/>
  <c r="AQ42" i="13"/>
  <c r="AR42" i="13"/>
  <c r="AS42" i="13"/>
  <c r="AQ43" i="13"/>
  <c r="AS43" i="13" s="1"/>
  <c r="AR43" i="13"/>
  <c r="AQ44" i="13"/>
  <c r="AS44" i="13" s="1"/>
  <c r="AR44" i="13"/>
  <c r="AQ45" i="13"/>
  <c r="AS45" i="13" s="1"/>
  <c r="AR45" i="13"/>
  <c r="AQ46" i="13"/>
  <c r="AS46" i="13" s="1"/>
  <c r="AR46" i="13"/>
  <c r="AQ47" i="13"/>
  <c r="AR47" i="13"/>
  <c r="AS47" i="13"/>
  <c r="AQ48" i="13"/>
  <c r="AS48" i="13" s="1"/>
  <c r="AR48" i="13"/>
  <c r="AQ49" i="13"/>
  <c r="AR49" i="13"/>
  <c r="AS49" i="13"/>
  <c r="AQ50" i="13"/>
  <c r="AR50" i="13"/>
  <c r="AS50" i="13"/>
  <c r="AQ51" i="13"/>
  <c r="AS51" i="13" s="1"/>
  <c r="AR51" i="13"/>
  <c r="AQ52" i="13"/>
  <c r="AS52" i="13" s="1"/>
  <c r="AR52" i="13"/>
  <c r="AQ53" i="13"/>
  <c r="AS53" i="13" s="1"/>
  <c r="AR53" i="13"/>
  <c r="AQ54" i="13"/>
  <c r="AS54" i="13" s="1"/>
  <c r="AR54" i="13"/>
  <c r="AQ55" i="13"/>
  <c r="AR55" i="13"/>
  <c r="AS55" i="13"/>
  <c r="AQ56" i="13"/>
  <c r="AS56" i="13" s="1"/>
  <c r="AR56" i="13"/>
  <c r="AQ57" i="13"/>
  <c r="AS57" i="13" s="1"/>
  <c r="AR57" i="13"/>
  <c r="AQ58" i="13"/>
  <c r="AR58" i="13"/>
  <c r="AS58" i="13"/>
  <c r="AQ59" i="13"/>
  <c r="AS59" i="13" s="1"/>
  <c r="AR59" i="13"/>
  <c r="AQ60" i="13"/>
  <c r="AS60" i="13" s="1"/>
  <c r="AR60" i="13"/>
  <c r="AQ61" i="13"/>
  <c r="AS61" i="13" s="1"/>
  <c r="AR61" i="13"/>
  <c r="AQ62" i="13"/>
  <c r="AS62" i="13" s="1"/>
  <c r="AR62" i="13"/>
  <c r="AQ63" i="13"/>
  <c r="AR63" i="13"/>
  <c r="AS63" i="13"/>
  <c r="AQ64" i="13"/>
  <c r="AS64" i="13" s="1"/>
  <c r="AR64" i="13"/>
  <c r="AQ65" i="13"/>
  <c r="AS65" i="13" s="1"/>
  <c r="AR65" i="13"/>
  <c r="AQ66" i="13"/>
  <c r="AR66" i="13"/>
  <c r="AS66" i="13"/>
  <c r="AQ67" i="13"/>
  <c r="AS67" i="13" s="1"/>
  <c r="AR67" i="13"/>
  <c r="AQ68" i="13"/>
  <c r="AS68" i="13" s="1"/>
  <c r="AR68" i="13"/>
  <c r="AQ69" i="13"/>
  <c r="AS69" i="13" s="1"/>
  <c r="AR69" i="13"/>
  <c r="AQ70" i="13"/>
  <c r="AS70" i="13" s="1"/>
  <c r="AR70" i="13"/>
  <c r="AQ71" i="13"/>
  <c r="AR71" i="13"/>
  <c r="AS71" i="13"/>
  <c r="AQ72" i="13"/>
  <c r="AS72" i="13" s="1"/>
  <c r="AR72" i="13"/>
  <c r="AQ73" i="13"/>
  <c r="AS73" i="13" s="1"/>
  <c r="AR73" i="13"/>
  <c r="AQ74" i="13"/>
  <c r="AR74" i="13"/>
  <c r="AS74" i="13"/>
  <c r="AQ75" i="13"/>
  <c r="AS75" i="13" s="1"/>
  <c r="AR75" i="13"/>
  <c r="AQ76" i="13"/>
  <c r="AS76" i="13" s="1"/>
  <c r="AR76" i="13"/>
  <c r="AQ77" i="13"/>
  <c r="AS77" i="13" s="1"/>
  <c r="AR77" i="13"/>
  <c r="AQ78" i="13"/>
  <c r="AS78" i="13" s="1"/>
  <c r="AR78" i="13"/>
  <c r="AQ79" i="13"/>
  <c r="AR79" i="13"/>
  <c r="AS79" i="13"/>
  <c r="AQ80" i="13"/>
  <c r="AS80" i="13" s="1"/>
  <c r="AR80" i="13"/>
  <c r="AQ81" i="13"/>
  <c r="AS81" i="13" s="1"/>
  <c r="AR81" i="13"/>
  <c r="AQ82" i="13"/>
  <c r="AR82" i="13"/>
  <c r="AS82" i="13"/>
  <c r="AQ83" i="13"/>
  <c r="AS83" i="13" s="1"/>
  <c r="AR83" i="13"/>
  <c r="AQ84" i="13"/>
  <c r="AS84" i="13" s="1"/>
  <c r="AR84" i="13"/>
  <c r="AQ85" i="13"/>
  <c r="AS85" i="13" s="1"/>
  <c r="AR85" i="13"/>
  <c r="AQ86" i="13"/>
  <c r="AS86" i="13" s="1"/>
  <c r="AR86" i="13"/>
  <c r="AQ87" i="13"/>
  <c r="AR87" i="13"/>
  <c r="AS87" i="13"/>
  <c r="AQ88" i="13"/>
  <c r="AS88" i="13" s="1"/>
  <c r="AR88" i="13"/>
  <c r="AQ89" i="13"/>
  <c r="AS89" i="13" s="1"/>
  <c r="AR89" i="13"/>
  <c r="AQ90" i="13"/>
  <c r="AR90" i="13"/>
  <c r="AS90" i="13"/>
  <c r="AQ91" i="13"/>
  <c r="AS91" i="13" s="1"/>
  <c r="AR91" i="13"/>
  <c r="AQ92" i="13"/>
  <c r="AS92" i="13" s="1"/>
  <c r="AR92" i="13"/>
  <c r="AQ93" i="13"/>
  <c r="AS93" i="13" s="1"/>
  <c r="AR93" i="13"/>
  <c r="AQ94" i="13"/>
  <c r="AS94" i="13" s="1"/>
  <c r="AR94" i="13"/>
  <c r="AQ95" i="13"/>
  <c r="AR95" i="13"/>
  <c r="AS95" i="13"/>
  <c r="AQ96" i="13"/>
  <c r="AS96" i="13" s="1"/>
  <c r="AR96" i="13"/>
  <c r="AQ97" i="13"/>
  <c r="AS97" i="13" s="1"/>
  <c r="AR97" i="13"/>
  <c r="AQ98" i="13"/>
  <c r="AR98" i="13"/>
  <c r="AS98" i="13"/>
  <c r="AQ99" i="13"/>
  <c r="AS99" i="13" s="1"/>
  <c r="AR99" i="13"/>
  <c r="AQ100" i="13"/>
  <c r="AS100" i="13" s="1"/>
  <c r="AR100" i="13"/>
  <c r="AQ101" i="13"/>
  <c r="AS101" i="13" s="1"/>
  <c r="AR101" i="13"/>
  <c r="AQ102" i="13"/>
  <c r="AS102" i="13" s="1"/>
  <c r="AR102" i="13"/>
  <c r="AQ103" i="13"/>
  <c r="AR103" i="13"/>
  <c r="AS103" i="13"/>
  <c r="AQ104" i="13"/>
  <c r="AS104" i="13" s="1"/>
  <c r="AR104" i="13"/>
  <c r="AQ105" i="13"/>
  <c r="AS105" i="13" s="1"/>
  <c r="AR105" i="13"/>
  <c r="AQ106" i="13"/>
  <c r="AR106" i="13"/>
  <c r="AS106" i="13"/>
  <c r="AQ107" i="13"/>
  <c r="AR107" i="13"/>
  <c r="AS107" i="13"/>
  <c r="AQ108" i="13"/>
  <c r="AS108" i="13" s="1"/>
  <c r="AR108" i="13"/>
  <c r="AQ109" i="13"/>
  <c r="AS109" i="13" s="1"/>
  <c r="AR109" i="13"/>
  <c r="AQ110" i="13"/>
  <c r="AR110" i="13"/>
  <c r="AS110" i="13"/>
  <c r="AQ111" i="13"/>
  <c r="AR111" i="13"/>
  <c r="AS111" i="13"/>
  <c r="AQ112" i="13"/>
  <c r="AS112" i="13" s="1"/>
  <c r="AR112" i="13"/>
  <c r="AQ113" i="13"/>
  <c r="AS113" i="13" s="1"/>
  <c r="AR113" i="13"/>
  <c r="AQ114" i="13"/>
  <c r="AR114" i="13"/>
  <c r="AS114" i="13"/>
  <c r="AQ115" i="13"/>
  <c r="AR115" i="13"/>
  <c r="AS115" i="13"/>
  <c r="AQ116" i="13"/>
  <c r="AS116" i="13" s="1"/>
  <c r="AR116" i="13"/>
  <c r="AQ117" i="13"/>
  <c r="AS117" i="13" s="1"/>
  <c r="AR117" i="13"/>
  <c r="AQ118" i="13"/>
  <c r="AR118" i="13"/>
  <c r="AS118" i="13"/>
  <c r="AQ119" i="13"/>
  <c r="AR119" i="13"/>
  <c r="AS119" i="13"/>
  <c r="AQ120" i="13"/>
  <c r="AS120" i="13" s="1"/>
  <c r="AR120" i="13"/>
  <c r="AQ121" i="13"/>
  <c r="AS121" i="13" s="1"/>
  <c r="AR121" i="13"/>
  <c r="AQ122" i="13"/>
  <c r="AR122" i="13"/>
  <c r="AS122" i="13"/>
  <c r="AQ123" i="13"/>
  <c r="AR123" i="13"/>
  <c r="AS123" i="13"/>
  <c r="AQ124" i="13"/>
  <c r="AS124" i="13" s="1"/>
  <c r="AR124" i="13"/>
  <c r="AQ125" i="13"/>
  <c r="AS125" i="13" s="1"/>
  <c r="AR125" i="13"/>
  <c r="AQ126" i="13"/>
  <c r="AR126" i="13"/>
  <c r="AS126" i="13"/>
  <c r="AQ127" i="13"/>
  <c r="AR127" i="13"/>
  <c r="AS127" i="13"/>
  <c r="AQ128" i="13"/>
  <c r="AS128" i="13" s="1"/>
  <c r="AR128" i="13"/>
  <c r="AQ129" i="13"/>
  <c r="AS129" i="13" s="1"/>
  <c r="AR129" i="13"/>
  <c r="AQ130" i="13"/>
  <c r="AR130" i="13"/>
  <c r="AS130" i="13"/>
  <c r="AQ131" i="13"/>
  <c r="AR131" i="13"/>
  <c r="AS131" i="13"/>
  <c r="AQ132" i="13"/>
  <c r="AS132" i="13" s="1"/>
  <c r="AR132" i="13"/>
  <c r="AQ133" i="13"/>
  <c r="AS133" i="13" s="1"/>
  <c r="AR133" i="13"/>
  <c r="AQ134" i="13"/>
  <c r="AR134" i="13"/>
  <c r="AS134" i="13"/>
  <c r="AQ135" i="13"/>
  <c r="AR135" i="13"/>
  <c r="AS135" i="13"/>
  <c r="AQ136" i="13"/>
  <c r="AS136" i="13" s="1"/>
  <c r="AR136" i="13"/>
  <c r="AQ137" i="13"/>
  <c r="AS137" i="13" s="1"/>
  <c r="AR137" i="13"/>
  <c r="AQ138" i="13"/>
  <c r="AR138" i="13"/>
  <c r="AS138" i="13"/>
  <c r="AQ139" i="13"/>
  <c r="AR139" i="13"/>
  <c r="AS139" i="13"/>
  <c r="AQ140" i="13"/>
  <c r="AS140" i="13" s="1"/>
  <c r="AR140" i="13"/>
  <c r="AQ141" i="13"/>
  <c r="AS141" i="13" s="1"/>
  <c r="AR141" i="13"/>
  <c r="AQ142" i="13"/>
  <c r="AR142" i="13"/>
  <c r="AS142" i="13"/>
  <c r="AQ143" i="13"/>
  <c r="AR143" i="13"/>
  <c r="AS143" i="13"/>
  <c r="AQ144" i="13"/>
  <c r="AS144" i="13" s="1"/>
  <c r="AR144" i="13"/>
  <c r="AQ145" i="13"/>
  <c r="AS145" i="13" s="1"/>
  <c r="AR145" i="13"/>
  <c r="AQ146" i="13"/>
  <c r="AR146" i="13"/>
  <c r="AS146" i="13"/>
  <c r="AQ147" i="13"/>
  <c r="AR147" i="13"/>
  <c r="AS147" i="13"/>
  <c r="AQ148" i="13"/>
  <c r="AS148" i="13" s="1"/>
  <c r="AR148" i="13"/>
  <c r="AQ149" i="13"/>
  <c r="AS149" i="13" s="1"/>
  <c r="AR149" i="13"/>
  <c r="AQ150" i="13"/>
  <c r="AR150" i="13"/>
  <c r="AS150" i="13"/>
  <c r="AQ151" i="13"/>
  <c r="AR151" i="13"/>
  <c r="AS151" i="13"/>
  <c r="AQ152" i="13"/>
  <c r="AS152" i="13" s="1"/>
  <c r="AR152" i="13"/>
  <c r="AQ153" i="13"/>
  <c r="AS153" i="13" s="1"/>
  <c r="AR153" i="13"/>
  <c r="AQ154" i="13"/>
  <c r="AR154" i="13"/>
  <c r="AS154" i="13"/>
  <c r="AQ155" i="13"/>
  <c r="AR155" i="13"/>
  <c r="AS155" i="13"/>
  <c r="AQ156" i="13"/>
  <c r="AS156" i="13" s="1"/>
  <c r="AR156" i="13"/>
  <c r="AQ157" i="13"/>
  <c r="AS157" i="13" s="1"/>
  <c r="AR157" i="13"/>
  <c r="AQ158" i="13"/>
  <c r="AR158" i="13"/>
  <c r="AS158" i="13"/>
  <c r="AQ159" i="13"/>
  <c r="AR159" i="13"/>
  <c r="AS159" i="13"/>
  <c r="AQ160" i="13"/>
  <c r="AS160" i="13" s="1"/>
  <c r="AR160" i="13"/>
  <c r="AQ161" i="13"/>
  <c r="AS161" i="13" s="1"/>
  <c r="AR161" i="13"/>
  <c r="AQ162" i="13"/>
  <c r="AS162" i="13" s="1"/>
  <c r="AR162" i="13"/>
  <c r="AQ163" i="13"/>
  <c r="AR163" i="13"/>
  <c r="AS163" i="13"/>
  <c r="AQ164" i="13"/>
  <c r="AS164" i="13" s="1"/>
  <c r="AR164" i="13"/>
  <c r="AQ165" i="13"/>
  <c r="AS165" i="13" s="1"/>
  <c r="AR165" i="13"/>
  <c r="AQ166" i="13"/>
  <c r="AR166" i="13"/>
  <c r="AS166" i="13"/>
  <c r="AQ167" i="13"/>
  <c r="AR167" i="13"/>
  <c r="AS167" i="13"/>
  <c r="AQ168" i="13"/>
  <c r="AS168" i="13" s="1"/>
  <c r="AR168" i="13"/>
  <c r="AQ169" i="13"/>
  <c r="AS169" i="13" s="1"/>
  <c r="AR169" i="13"/>
  <c r="AQ170" i="13"/>
  <c r="AS170" i="13" s="1"/>
  <c r="AR170" i="13"/>
  <c r="AQ171" i="13"/>
  <c r="AR171" i="13"/>
  <c r="AS171" i="13"/>
  <c r="AQ172" i="13"/>
  <c r="AS172" i="13" s="1"/>
  <c r="AR172" i="13"/>
  <c r="AQ173" i="13"/>
  <c r="AS173" i="13" s="1"/>
  <c r="AR173" i="13"/>
  <c r="AQ174" i="13"/>
  <c r="AR174" i="13"/>
  <c r="AS174" i="13"/>
  <c r="AQ175" i="13"/>
  <c r="AR175" i="13"/>
  <c r="AS175" i="13"/>
  <c r="AQ176" i="13"/>
  <c r="AS176" i="13" s="1"/>
  <c r="AR176" i="13"/>
  <c r="AQ177" i="13"/>
  <c r="AS177" i="13" s="1"/>
  <c r="AR177" i="13"/>
  <c r="AQ178" i="13"/>
  <c r="AS178" i="13" s="1"/>
  <c r="AR178" i="13"/>
  <c r="AQ179" i="13"/>
  <c r="AR179" i="13"/>
  <c r="AS179" i="13"/>
  <c r="AQ180" i="13"/>
  <c r="AS180" i="13" s="1"/>
  <c r="AR180" i="13"/>
  <c r="AQ181" i="13"/>
  <c r="AS181" i="13" s="1"/>
  <c r="AR181" i="13"/>
  <c r="AQ182" i="13"/>
  <c r="AR182" i="13"/>
  <c r="AS182" i="13"/>
  <c r="AQ183" i="13"/>
  <c r="AR183" i="13"/>
  <c r="AS183" i="13"/>
  <c r="AQ184" i="13"/>
  <c r="AS184" i="13" s="1"/>
  <c r="AR184" i="13"/>
  <c r="AQ185" i="13"/>
  <c r="AS185" i="13" s="1"/>
  <c r="AR185" i="13"/>
  <c r="AQ186" i="13"/>
  <c r="AS186" i="13" s="1"/>
  <c r="AR186" i="13"/>
  <c r="AQ187" i="13"/>
  <c r="AR187" i="13"/>
  <c r="AS187" i="13"/>
  <c r="AQ188" i="13"/>
  <c r="AS188" i="13" s="1"/>
  <c r="AR188" i="13"/>
  <c r="AQ189" i="13"/>
  <c r="AS189" i="13" s="1"/>
  <c r="AR189" i="13"/>
  <c r="AQ190" i="13"/>
  <c r="AR190" i="13"/>
  <c r="AS190" i="13"/>
  <c r="AQ191" i="13"/>
  <c r="AR191" i="13"/>
  <c r="AS191" i="13"/>
  <c r="AQ192" i="13"/>
  <c r="AS192" i="13" s="1"/>
  <c r="AR192" i="13"/>
  <c r="AQ193" i="13"/>
  <c r="AS193" i="13" s="1"/>
  <c r="AR193" i="13"/>
  <c r="AQ194" i="13"/>
  <c r="AR194" i="13"/>
  <c r="AS194" i="13"/>
  <c r="AQ195" i="13"/>
  <c r="AR195" i="13"/>
  <c r="AS195" i="13"/>
  <c r="AQ196" i="13"/>
  <c r="AS196" i="13" s="1"/>
  <c r="AR196" i="13"/>
  <c r="AQ197" i="13"/>
  <c r="AS197" i="13" s="1"/>
  <c r="AR197" i="13"/>
  <c r="AQ198" i="13"/>
  <c r="AR198" i="13"/>
  <c r="AS198" i="13"/>
  <c r="AQ199" i="13"/>
  <c r="AR199" i="13"/>
  <c r="AS199" i="13"/>
  <c r="AQ200" i="13"/>
  <c r="AR200" i="13"/>
  <c r="AS200" i="13"/>
  <c r="AQ201" i="13"/>
  <c r="AS201" i="13" s="1"/>
  <c r="AR201" i="13"/>
  <c r="AQ202" i="13"/>
  <c r="AR202" i="13"/>
  <c r="AS202" i="13"/>
  <c r="AQ203" i="13"/>
  <c r="AR203" i="13"/>
  <c r="AS203" i="13"/>
  <c r="AQ204" i="13"/>
  <c r="AS204" i="13" s="1"/>
  <c r="AR204" i="13"/>
  <c r="AQ205" i="13"/>
  <c r="AS205" i="13" s="1"/>
  <c r="AR205" i="13"/>
  <c r="AQ206" i="13"/>
  <c r="AS206" i="13" s="1"/>
  <c r="AR206" i="13"/>
  <c r="AQ207" i="13"/>
  <c r="AR207" i="13"/>
  <c r="AS207" i="13"/>
  <c r="AQ208" i="13"/>
  <c r="AR208" i="13"/>
  <c r="AS208" i="13"/>
  <c r="AQ209" i="13"/>
  <c r="AS209" i="13" s="1"/>
  <c r="AR209" i="13"/>
  <c r="AQ210" i="13"/>
  <c r="AS210" i="13" s="1"/>
  <c r="AR210" i="13"/>
  <c r="AQ211" i="13"/>
  <c r="AR211" i="13"/>
  <c r="AS211" i="13"/>
  <c r="AQ212" i="13"/>
  <c r="AS212" i="13" s="1"/>
  <c r="AR212" i="13"/>
  <c r="AQ213" i="13"/>
  <c r="AS213" i="13" s="1"/>
  <c r="AR213" i="13"/>
  <c r="AQ214" i="13"/>
  <c r="AS214" i="13" s="1"/>
  <c r="AR214" i="13"/>
  <c r="AQ215" i="13"/>
  <c r="AR215" i="13"/>
  <c r="AS215" i="13"/>
  <c r="AQ216" i="13"/>
  <c r="AS216" i="13" s="1"/>
  <c r="AR216" i="13"/>
  <c r="AQ217" i="13"/>
  <c r="AR217" i="13"/>
  <c r="AS217" i="13"/>
  <c r="AQ218" i="13"/>
  <c r="AS218" i="13" s="1"/>
  <c r="AR218" i="13"/>
  <c r="AQ219" i="13"/>
  <c r="AR219" i="13"/>
  <c r="AS219" i="13"/>
  <c r="AQ220" i="13"/>
  <c r="AS220" i="13" s="1"/>
  <c r="AR220" i="13"/>
  <c r="AQ221" i="13"/>
  <c r="AS221" i="13" s="1"/>
  <c r="AR221" i="13"/>
  <c r="AQ222" i="13"/>
  <c r="AR222" i="13"/>
  <c r="AS222" i="13"/>
  <c r="AQ223" i="13"/>
  <c r="AR223" i="13"/>
  <c r="AS223" i="13"/>
  <c r="AQ224" i="13"/>
  <c r="AS224" i="13" s="1"/>
  <c r="AR224" i="13"/>
  <c r="AQ225" i="13"/>
  <c r="AS225" i="13" s="1"/>
  <c r="AR225" i="13"/>
  <c r="AQ226" i="13"/>
  <c r="AS226" i="13" s="1"/>
  <c r="AR226" i="13"/>
  <c r="AQ227" i="13"/>
  <c r="AR227" i="13"/>
  <c r="AS227" i="13"/>
  <c r="AQ228" i="13"/>
  <c r="AR228" i="13"/>
  <c r="AS228" i="13"/>
  <c r="AQ229" i="13"/>
  <c r="AS229" i="13" s="1"/>
  <c r="AR229" i="13"/>
  <c r="AQ230" i="13"/>
  <c r="AR230" i="13"/>
  <c r="AS230" i="13"/>
  <c r="AQ231" i="13"/>
  <c r="AR231" i="13"/>
  <c r="AS231" i="13"/>
  <c r="AQ232" i="13"/>
  <c r="AS232" i="13" s="1"/>
  <c r="AR232" i="13"/>
  <c r="AQ233" i="13"/>
  <c r="AS233" i="13" s="1"/>
  <c r="AR233" i="13"/>
  <c r="AQ234" i="13"/>
  <c r="AS234" i="13" s="1"/>
  <c r="AR234" i="13"/>
  <c r="AQ235" i="13"/>
  <c r="AR235" i="13"/>
  <c r="AS235" i="13"/>
  <c r="AQ236" i="13"/>
  <c r="AR236" i="13"/>
  <c r="AS236" i="13"/>
  <c r="AQ237" i="13"/>
  <c r="AS237" i="13" s="1"/>
  <c r="AR237" i="13"/>
  <c r="AQ238" i="13"/>
  <c r="AR238" i="13"/>
  <c r="AS238" i="13"/>
  <c r="AQ239" i="13"/>
  <c r="AR239" i="13"/>
  <c r="AS239" i="13"/>
  <c r="AQ240" i="13"/>
  <c r="AS240" i="13" s="1"/>
  <c r="AR240" i="13"/>
  <c r="AQ241" i="13"/>
  <c r="AS241" i="13" s="1"/>
  <c r="AR241" i="13"/>
  <c r="AQ242" i="13"/>
  <c r="AS242" i="13" s="1"/>
  <c r="AR242" i="13"/>
  <c r="AQ243" i="13"/>
  <c r="AR243" i="13"/>
  <c r="AS243" i="13"/>
  <c r="AQ244" i="13"/>
  <c r="AS244" i="13" s="1"/>
  <c r="AR244" i="13"/>
  <c r="AQ245" i="13"/>
  <c r="AS245" i="13" s="1"/>
  <c r="AR245" i="13"/>
  <c r="AQ246" i="13"/>
  <c r="AR246" i="13"/>
  <c r="AS246" i="13"/>
  <c r="AQ247" i="13"/>
  <c r="AR247" i="13"/>
  <c r="AS247" i="13"/>
  <c r="AQ248" i="13"/>
  <c r="AS248" i="13" s="1"/>
  <c r="AR248" i="13"/>
  <c r="AQ249" i="13"/>
  <c r="AS249" i="13" s="1"/>
  <c r="AR249" i="13"/>
  <c r="AQ250" i="13"/>
  <c r="AR250" i="13"/>
  <c r="AS250" i="13"/>
  <c r="AQ251" i="13"/>
  <c r="AR251" i="13"/>
  <c r="AS251" i="13"/>
  <c r="AQ252" i="13"/>
  <c r="AS252" i="13" s="1"/>
  <c r="AR252" i="13"/>
  <c r="AQ253" i="13"/>
  <c r="AS253" i="13" s="1"/>
  <c r="AR253" i="13"/>
  <c r="AQ254" i="13"/>
  <c r="AR254" i="13"/>
  <c r="AS254" i="13"/>
  <c r="AQ255" i="13"/>
  <c r="AR255" i="13"/>
  <c r="AS255" i="13"/>
  <c r="AQ256" i="13"/>
  <c r="AS256" i="13" s="1"/>
  <c r="AR256" i="13"/>
  <c r="AQ257" i="13"/>
  <c r="AS257" i="13" s="1"/>
  <c r="AR257" i="13"/>
  <c r="AQ258" i="13"/>
  <c r="AS258" i="13" s="1"/>
  <c r="AR258" i="13"/>
  <c r="AQ259" i="13"/>
  <c r="AR259" i="13"/>
  <c r="AS259" i="13"/>
  <c r="AQ260" i="13"/>
  <c r="AS260" i="13" s="1"/>
  <c r="AR260" i="13"/>
  <c r="AQ261" i="13"/>
  <c r="AS261" i="13" s="1"/>
  <c r="AR261" i="13"/>
  <c r="AQ262" i="13"/>
  <c r="AR262" i="13"/>
  <c r="AS262" i="13"/>
  <c r="AQ263" i="13"/>
  <c r="AR263" i="13"/>
  <c r="AS263" i="13"/>
  <c r="AQ264" i="13"/>
  <c r="AS264" i="13" s="1"/>
  <c r="AR264" i="13"/>
  <c r="AQ265" i="13"/>
  <c r="AR265" i="13"/>
  <c r="AS265" i="13"/>
  <c r="AQ266" i="13"/>
  <c r="AS266" i="13" s="1"/>
  <c r="AR266" i="13"/>
  <c r="AQ267" i="13"/>
  <c r="AS267" i="13" s="1"/>
  <c r="AR267" i="13"/>
  <c r="AQ268" i="13"/>
  <c r="AS268" i="13" s="1"/>
  <c r="AR268" i="13"/>
  <c r="AQ269" i="13"/>
  <c r="AS269" i="13" s="1"/>
  <c r="AR269" i="13"/>
  <c r="AQ270" i="13"/>
  <c r="AS270" i="13" s="1"/>
  <c r="AR270" i="13"/>
  <c r="AQ271" i="13"/>
  <c r="AR271" i="13"/>
  <c r="AS271" i="13"/>
  <c r="AQ272" i="13"/>
  <c r="AS272" i="13" s="1"/>
  <c r="AR272" i="13"/>
  <c r="AQ273" i="13"/>
  <c r="AS273" i="13" s="1"/>
  <c r="AR273" i="13"/>
  <c r="AQ274" i="13"/>
  <c r="AS274" i="13" s="1"/>
  <c r="AR274" i="13"/>
  <c r="AQ275" i="13"/>
  <c r="AS275" i="13" s="1"/>
  <c r="AR275" i="13"/>
  <c r="AQ276" i="13"/>
  <c r="AR276" i="13"/>
  <c r="AS276" i="13"/>
  <c r="AQ277" i="13"/>
  <c r="AS277" i="13" s="1"/>
  <c r="AR277" i="13"/>
  <c r="AQ278" i="13"/>
  <c r="AS278" i="13" s="1"/>
  <c r="AR278" i="13"/>
  <c r="AQ279" i="13"/>
  <c r="AR279" i="13"/>
  <c r="AS279" i="13"/>
  <c r="AQ280" i="13"/>
  <c r="AS280" i="13" s="1"/>
  <c r="AR280" i="13"/>
  <c r="AQ281" i="13"/>
  <c r="AS281" i="13" s="1"/>
  <c r="AR281" i="13"/>
  <c r="AQ282" i="13"/>
  <c r="AS282" i="13" s="1"/>
  <c r="AR282" i="13"/>
  <c r="AQ283" i="13"/>
  <c r="AR283" i="13"/>
  <c r="AS283" i="13"/>
  <c r="AQ284" i="13"/>
  <c r="AR284" i="13"/>
  <c r="AS284" i="13"/>
  <c r="AQ285" i="13"/>
  <c r="AS285" i="13" s="1"/>
  <c r="AR285" i="13"/>
  <c r="AQ286" i="13"/>
  <c r="AS286" i="13" s="1"/>
  <c r="AR286" i="13"/>
  <c r="AQ287" i="13"/>
  <c r="AR287" i="13"/>
  <c r="AS287" i="13"/>
  <c r="AQ288" i="13"/>
  <c r="AS288" i="13" s="1"/>
  <c r="AR288" i="13"/>
  <c r="AQ289" i="13"/>
  <c r="AS289" i="13" s="1"/>
  <c r="AR289" i="13"/>
  <c r="AQ290" i="13"/>
  <c r="AR290" i="13"/>
  <c r="AS290" i="13"/>
  <c r="AQ291" i="13"/>
  <c r="AS291" i="13" s="1"/>
  <c r="AR291" i="13"/>
  <c r="AQ292" i="13"/>
  <c r="AS292" i="13" s="1"/>
  <c r="AR292" i="13"/>
  <c r="AQ293" i="13"/>
  <c r="AS293" i="13" s="1"/>
  <c r="AR293" i="13"/>
  <c r="AQ294" i="13"/>
  <c r="AR294" i="13"/>
  <c r="AS294" i="13"/>
  <c r="AQ295" i="13"/>
  <c r="AR295" i="13"/>
  <c r="AS295" i="13"/>
  <c r="AQ296" i="13"/>
  <c r="AS296" i="13" s="1"/>
  <c r="AR296" i="13"/>
  <c r="AQ297" i="13"/>
  <c r="AS297" i="13" s="1"/>
  <c r="AR297" i="13"/>
  <c r="AQ298" i="13"/>
  <c r="AR298" i="13"/>
  <c r="AS298" i="13"/>
  <c r="AQ299" i="13"/>
  <c r="AR299" i="13"/>
  <c r="AS299" i="13"/>
  <c r="AQ300" i="13"/>
  <c r="AS300" i="13" s="1"/>
  <c r="AR300" i="13"/>
  <c r="AQ301" i="13"/>
  <c r="AS301" i="13" s="1"/>
  <c r="AR301" i="13"/>
  <c r="AQ302" i="13"/>
  <c r="AR302" i="13"/>
  <c r="AS302" i="13"/>
  <c r="AQ303" i="13"/>
  <c r="AR303" i="13"/>
  <c r="AS303" i="13"/>
  <c r="AQ304" i="13"/>
  <c r="AS304" i="13" s="1"/>
  <c r="AR304" i="13"/>
  <c r="AQ305" i="13"/>
  <c r="AS305" i="13" s="1"/>
  <c r="AR305" i="13"/>
  <c r="AQ306" i="13"/>
  <c r="AS306" i="13" s="1"/>
  <c r="AR306" i="13"/>
  <c r="AQ307" i="13"/>
  <c r="AR307" i="13"/>
  <c r="AS307" i="13"/>
  <c r="AQ308" i="13"/>
  <c r="AR308" i="13"/>
  <c r="AS308" i="13"/>
  <c r="AQ309" i="13"/>
  <c r="AS309" i="13" s="1"/>
  <c r="AR309" i="13"/>
  <c r="AQ310" i="13"/>
  <c r="AS310" i="13" s="1"/>
  <c r="AR310" i="13"/>
  <c r="AQ311" i="13"/>
  <c r="AR311" i="13"/>
  <c r="AS311" i="13"/>
  <c r="AQ312" i="13"/>
  <c r="AS312" i="13" s="1"/>
  <c r="AR312" i="13"/>
  <c r="AQ313" i="13"/>
  <c r="AS313" i="13" s="1"/>
  <c r="AR313" i="13"/>
  <c r="AQ314" i="13"/>
  <c r="AS314" i="13" s="1"/>
  <c r="AR314" i="13"/>
  <c r="AQ315" i="13"/>
  <c r="AS315" i="13" s="1"/>
  <c r="AR315" i="13"/>
  <c r="AQ316" i="13"/>
  <c r="AR316" i="13"/>
  <c r="AS316" i="13"/>
  <c r="AQ317" i="13"/>
  <c r="AS317" i="13" s="1"/>
  <c r="AR317" i="13"/>
  <c r="AQ318" i="13"/>
  <c r="AR318" i="13"/>
  <c r="AS318" i="13"/>
  <c r="AQ319" i="13"/>
  <c r="AR319" i="13"/>
  <c r="AS319" i="13"/>
  <c r="AQ320" i="13"/>
  <c r="AS320" i="13" s="1"/>
  <c r="AR320" i="13"/>
  <c r="AQ321" i="13"/>
  <c r="AS321" i="13" s="1"/>
  <c r="AR321" i="13"/>
  <c r="AQ322" i="13"/>
  <c r="AS322" i="13" s="1"/>
  <c r="AR322" i="13"/>
  <c r="AQ323" i="13"/>
  <c r="AS323" i="13" s="1"/>
  <c r="AR323" i="13"/>
  <c r="AQ324" i="13"/>
  <c r="AS324" i="13" s="1"/>
  <c r="AR324" i="13"/>
  <c r="AQ325" i="13"/>
  <c r="AS325" i="13" s="1"/>
  <c r="AR325" i="13"/>
  <c r="AQ326" i="13"/>
  <c r="AR326" i="13"/>
  <c r="AS326" i="13"/>
  <c r="AQ327" i="13"/>
  <c r="AR327" i="13"/>
  <c r="AS327" i="13"/>
  <c r="AQ328" i="13"/>
  <c r="AS328" i="13" s="1"/>
  <c r="AR328" i="13"/>
  <c r="AQ329" i="13"/>
  <c r="AS329" i="13" s="1"/>
  <c r="AR329" i="13"/>
  <c r="AQ330" i="13"/>
  <c r="AS330" i="13" s="1"/>
  <c r="AR330" i="13"/>
  <c r="AQ331" i="13"/>
  <c r="AR331" i="13"/>
  <c r="AS331" i="13"/>
  <c r="AQ332" i="13"/>
  <c r="AR332" i="13"/>
  <c r="AS332" i="13"/>
  <c r="AQ333" i="13"/>
  <c r="AS333" i="13" s="1"/>
  <c r="AR333" i="13"/>
  <c r="AQ334" i="13"/>
  <c r="AR334" i="13"/>
  <c r="AS334" i="13"/>
  <c r="AQ335" i="13"/>
  <c r="AR335" i="13"/>
  <c r="AS335" i="13"/>
  <c r="AQ336" i="13"/>
  <c r="AS336" i="13" s="1"/>
  <c r="AR336" i="13"/>
  <c r="AQ337" i="13"/>
  <c r="AS337" i="13" s="1"/>
  <c r="AR337" i="13"/>
  <c r="AQ338" i="13"/>
  <c r="AS338" i="13" s="1"/>
  <c r="AR338" i="13"/>
  <c r="AQ339" i="13"/>
  <c r="AR339" i="13"/>
  <c r="AS339" i="13"/>
  <c r="AQ340" i="13"/>
  <c r="AS340" i="13" s="1"/>
  <c r="AR340" i="13"/>
  <c r="AQ341" i="13"/>
  <c r="AS341" i="13" s="1"/>
  <c r="AR341" i="13"/>
  <c r="AQ342" i="13"/>
  <c r="AR342" i="13"/>
  <c r="AS342" i="13"/>
  <c r="AQ343" i="13"/>
  <c r="AR343" i="13"/>
  <c r="AS343" i="13"/>
  <c r="AQ344" i="13"/>
  <c r="AS344" i="13" s="1"/>
  <c r="AR344" i="13"/>
  <c r="AQ345" i="13"/>
  <c r="AS345" i="13" s="1"/>
  <c r="AR345" i="13"/>
  <c r="AQ346" i="13"/>
  <c r="AS346" i="13" s="1"/>
  <c r="AR346" i="13"/>
  <c r="AQ347" i="13"/>
  <c r="AR347" i="13"/>
  <c r="AS347" i="13"/>
  <c r="AQ348" i="13"/>
  <c r="AS348" i="13" s="1"/>
  <c r="AR348" i="13"/>
  <c r="AQ349" i="13"/>
  <c r="AS349" i="13" s="1"/>
  <c r="AR349" i="13"/>
  <c r="AQ350" i="13"/>
  <c r="AR350" i="13"/>
  <c r="AS350" i="13"/>
  <c r="AQ351" i="13"/>
  <c r="AR351" i="13"/>
  <c r="AS351" i="13"/>
  <c r="AQ352" i="13"/>
  <c r="AS352" i="13" s="1"/>
  <c r="AR352" i="13"/>
  <c r="AQ353" i="13"/>
  <c r="AS353" i="13" s="1"/>
  <c r="AR353" i="13"/>
  <c r="AQ354" i="13"/>
  <c r="AR354" i="13"/>
  <c r="AS354" i="13"/>
  <c r="AQ355" i="13"/>
  <c r="AR355" i="13"/>
  <c r="AS355" i="13"/>
  <c r="AQ356" i="13"/>
  <c r="AS356" i="13" s="1"/>
  <c r="AR356" i="13"/>
  <c r="AQ357" i="13"/>
  <c r="AS357" i="13" s="1"/>
  <c r="AR357" i="13"/>
  <c r="AQ358" i="13"/>
  <c r="AR358" i="13"/>
  <c r="AS358" i="13"/>
  <c r="AQ359" i="13"/>
  <c r="AR359" i="13"/>
  <c r="AS359" i="13"/>
  <c r="AQ360" i="13"/>
  <c r="AS360" i="13" s="1"/>
  <c r="AR360" i="13"/>
  <c r="AQ361" i="13"/>
  <c r="AS361" i="13" s="1"/>
  <c r="AR361" i="13"/>
  <c r="AQ362" i="13"/>
  <c r="AR362" i="13"/>
  <c r="AS362" i="13"/>
  <c r="AQ363" i="13"/>
  <c r="AR363" i="13"/>
  <c r="AS363" i="13"/>
  <c r="AQ364" i="13"/>
  <c r="AS364" i="13" s="1"/>
  <c r="AR364" i="13"/>
  <c r="AQ365" i="13"/>
  <c r="AS365" i="13" s="1"/>
  <c r="AR365" i="13"/>
  <c r="AQ366" i="13"/>
  <c r="AS366" i="13" s="1"/>
  <c r="AR366" i="13"/>
  <c r="AQ367" i="13"/>
  <c r="AR367" i="13"/>
  <c r="AS367" i="13"/>
  <c r="AQ368" i="13"/>
  <c r="AS368" i="13" s="1"/>
  <c r="AR368" i="13"/>
  <c r="AQ369" i="13"/>
  <c r="AS369" i="13" s="1"/>
  <c r="AR369" i="13"/>
  <c r="AQ370" i="13"/>
  <c r="AR370" i="13"/>
  <c r="AS370" i="13"/>
  <c r="AQ371" i="13"/>
  <c r="AR371" i="13"/>
  <c r="AS371" i="13"/>
  <c r="AQ372" i="13"/>
  <c r="AS372" i="13" s="1"/>
  <c r="AR372" i="13"/>
  <c r="AQ373" i="13"/>
  <c r="AS373" i="13" s="1"/>
  <c r="AR373" i="13"/>
  <c r="AQ374" i="13"/>
  <c r="AR374" i="13"/>
  <c r="AS374" i="13"/>
  <c r="AQ375" i="13"/>
  <c r="AR375" i="13"/>
  <c r="AS375" i="13"/>
  <c r="AQ376" i="13"/>
  <c r="AS376" i="13" s="1"/>
  <c r="AR376" i="13"/>
  <c r="AQ377" i="13"/>
  <c r="AS377" i="13" s="1"/>
  <c r="AR377" i="13"/>
  <c r="AQ378" i="13"/>
  <c r="AS378" i="13" s="1"/>
  <c r="AR378" i="13"/>
  <c r="AQ379" i="13"/>
  <c r="AR379" i="13"/>
  <c r="AS379" i="13"/>
  <c r="AQ380" i="13"/>
  <c r="AS380" i="13" s="1"/>
  <c r="AR380" i="13"/>
  <c r="AQ381" i="13"/>
  <c r="AS381" i="13" s="1"/>
  <c r="AR381" i="13"/>
  <c r="AQ382" i="13"/>
  <c r="AR382" i="13"/>
  <c r="AS382" i="13"/>
  <c r="AQ383" i="13"/>
  <c r="AR383" i="13"/>
  <c r="AS383" i="13"/>
  <c r="AQ384" i="13"/>
  <c r="AS384" i="13" s="1"/>
  <c r="AR384" i="13"/>
  <c r="AQ385" i="13"/>
  <c r="AS385" i="13" s="1"/>
  <c r="AR385" i="13"/>
  <c r="AQ386" i="13"/>
  <c r="AS386" i="13" s="1"/>
  <c r="AR386" i="13"/>
  <c r="AQ387" i="13"/>
  <c r="AR387" i="13"/>
  <c r="AS387" i="13"/>
  <c r="AQ388" i="13"/>
  <c r="AS388" i="13" s="1"/>
  <c r="AR388" i="13"/>
  <c r="AQ389" i="13"/>
  <c r="AS389" i="13" s="1"/>
  <c r="AR389" i="13"/>
  <c r="AQ390" i="13"/>
  <c r="AR390" i="13"/>
  <c r="AS390" i="13"/>
  <c r="AQ391" i="13"/>
  <c r="AR391" i="13"/>
  <c r="AS391" i="13"/>
  <c r="AQ392" i="13"/>
  <c r="AS392" i="13" s="1"/>
  <c r="AR392" i="13"/>
  <c r="AQ393" i="13"/>
  <c r="AS393" i="13" s="1"/>
  <c r="AR393" i="13"/>
  <c r="AQ394" i="13"/>
  <c r="AS394" i="13" s="1"/>
  <c r="AR394" i="13"/>
  <c r="AQ395" i="13"/>
  <c r="AR395" i="13"/>
  <c r="AS395" i="13"/>
  <c r="AQ396" i="13"/>
  <c r="AS396" i="13" s="1"/>
  <c r="AR396" i="13"/>
  <c r="AQ397" i="13"/>
  <c r="AS397" i="13" s="1"/>
  <c r="AR397" i="13"/>
  <c r="AQ398" i="13"/>
  <c r="AR398" i="13"/>
  <c r="AS398" i="13"/>
  <c r="AQ399" i="13"/>
  <c r="AR399" i="13"/>
  <c r="AS399" i="13"/>
  <c r="AQ400" i="13"/>
  <c r="AS400" i="13" s="1"/>
  <c r="AR400" i="13"/>
  <c r="AQ401" i="13"/>
  <c r="AS401" i="13" s="1"/>
  <c r="AR401" i="13"/>
  <c r="AQ402" i="13"/>
  <c r="AR402" i="13"/>
  <c r="AS402" i="13"/>
  <c r="AQ403" i="13"/>
  <c r="AR403" i="13"/>
  <c r="AS403" i="13"/>
  <c r="AQ404" i="13"/>
  <c r="AS404" i="13" s="1"/>
  <c r="AR404" i="13"/>
  <c r="AQ405" i="13"/>
  <c r="AS405" i="13" s="1"/>
  <c r="AR405" i="13"/>
  <c r="AQ406" i="13"/>
  <c r="AR406" i="13"/>
  <c r="AS406" i="13"/>
  <c r="AQ407" i="13"/>
  <c r="AR407" i="13"/>
  <c r="AS407" i="13"/>
  <c r="AQ408" i="13"/>
  <c r="AS408" i="13" s="1"/>
  <c r="AR408" i="13"/>
  <c r="AQ409" i="13"/>
  <c r="AS409" i="13" s="1"/>
  <c r="AR409" i="13"/>
  <c r="AQ410" i="13"/>
  <c r="AR410" i="13"/>
  <c r="AS410" i="13"/>
  <c r="AQ411" i="13"/>
  <c r="AR411" i="13"/>
  <c r="AS411" i="13"/>
  <c r="AQ412" i="13"/>
  <c r="AS412" i="13" s="1"/>
  <c r="AR412" i="13"/>
  <c r="AQ413" i="13"/>
  <c r="AS413" i="13" s="1"/>
  <c r="AR413" i="13"/>
  <c r="AQ414" i="13"/>
  <c r="AR414" i="13"/>
  <c r="AS414" i="13"/>
  <c r="AQ415" i="13"/>
  <c r="AR415" i="13"/>
  <c r="AS415" i="13"/>
  <c r="AQ416" i="13"/>
  <c r="AS416" i="13" s="1"/>
  <c r="AR416" i="13"/>
  <c r="AQ417" i="13"/>
  <c r="AS417" i="13" s="1"/>
  <c r="AR417" i="13"/>
  <c r="AQ418" i="13"/>
  <c r="AS418" i="13" s="1"/>
  <c r="AR418" i="13"/>
  <c r="AQ419" i="13"/>
  <c r="AR419" i="13"/>
  <c r="AS419" i="13"/>
  <c r="AQ420" i="13"/>
  <c r="AR420" i="13"/>
  <c r="AS420" i="13"/>
  <c r="AQ421" i="13"/>
  <c r="AS421" i="13" s="1"/>
  <c r="AR421" i="13"/>
  <c r="AQ422" i="13"/>
  <c r="AR422" i="13"/>
  <c r="AS422" i="13"/>
  <c r="AQ423" i="13"/>
  <c r="AR423" i="13"/>
  <c r="AS423" i="13"/>
  <c r="AQ424" i="13"/>
  <c r="AS424" i="13" s="1"/>
  <c r="AR424" i="13"/>
  <c r="AQ425" i="13"/>
  <c r="AS425" i="13" s="1"/>
  <c r="AR425" i="13"/>
  <c r="AQ426" i="13"/>
  <c r="AS426" i="13" s="1"/>
  <c r="AR426" i="13"/>
  <c r="AQ427" i="13"/>
  <c r="AR427" i="13"/>
  <c r="AS427" i="13"/>
  <c r="AQ428" i="13"/>
  <c r="AS428" i="13" s="1"/>
  <c r="AR428" i="13"/>
  <c r="AQ429" i="13"/>
  <c r="AS429" i="13" s="1"/>
  <c r="AR429" i="13"/>
  <c r="AQ430" i="13"/>
  <c r="AR430" i="13"/>
  <c r="AS430" i="13"/>
  <c r="AQ431" i="13"/>
  <c r="AR431" i="13"/>
  <c r="AS431" i="13"/>
  <c r="AQ432" i="13"/>
  <c r="AS432" i="13" s="1"/>
  <c r="AR432" i="13"/>
  <c r="AQ433" i="13"/>
  <c r="AS433" i="13" s="1"/>
  <c r="AR433" i="13"/>
  <c r="AQ434" i="13"/>
  <c r="AS434" i="13" s="1"/>
  <c r="AR434" i="13"/>
  <c r="AQ435" i="13"/>
  <c r="AR435" i="13"/>
  <c r="AS435" i="13"/>
  <c r="AQ436" i="13"/>
  <c r="AS436" i="13" s="1"/>
  <c r="AR436" i="13"/>
  <c r="AQ437" i="13"/>
  <c r="AS437" i="13" s="1"/>
  <c r="AR437" i="13"/>
  <c r="AQ438" i="13"/>
  <c r="AR438" i="13"/>
  <c r="AS438" i="13"/>
  <c r="AQ439" i="13"/>
  <c r="AR439" i="13"/>
  <c r="AS439" i="13"/>
  <c r="AQ440" i="13"/>
  <c r="AS440" i="13" s="1"/>
  <c r="AR440" i="13"/>
  <c r="AQ441" i="13"/>
  <c r="AR441" i="13"/>
  <c r="AS441" i="13"/>
  <c r="AQ442" i="13"/>
  <c r="AS442" i="13" s="1"/>
  <c r="AR442" i="13"/>
  <c r="AQ443" i="13"/>
  <c r="AR443" i="13"/>
  <c r="AS443" i="13"/>
  <c r="AQ444" i="13"/>
  <c r="AS444" i="13" s="1"/>
  <c r="AR444" i="13"/>
  <c r="AQ445" i="13"/>
  <c r="AS445" i="13" s="1"/>
  <c r="AR445" i="13"/>
  <c r="AQ446" i="13"/>
  <c r="AR446" i="13"/>
  <c r="AS446" i="13"/>
  <c r="AQ447" i="13"/>
  <c r="AR447" i="13"/>
  <c r="AS447" i="13"/>
  <c r="AQ448" i="13"/>
  <c r="AS448" i="13" s="1"/>
  <c r="AR448" i="13"/>
  <c r="AQ449" i="13"/>
  <c r="AS449" i="13" s="1"/>
  <c r="AR449" i="13"/>
  <c r="AQ450" i="13"/>
  <c r="AR450" i="13"/>
  <c r="AS450" i="13"/>
  <c r="AQ451" i="13"/>
  <c r="AR451" i="13"/>
  <c r="AS451" i="13"/>
  <c r="AQ452" i="13"/>
  <c r="AS452" i="13" s="1"/>
  <c r="AR452" i="13"/>
  <c r="AQ453" i="13"/>
  <c r="AS453" i="13" s="1"/>
  <c r="AR453" i="13"/>
  <c r="AQ454" i="13"/>
  <c r="AR454" i="13"/>
  <c r="AS454" i="13"/>
  <c r="AQ455" i="13"/>
  <c r="AR455" i="13"/>
  <c r="AS455" i="13"/>
  <c r="AQ456" i="13"/>
  <c r="AS456" i="13" s="1"/>
  <c r="AR456" i="13"/>
  <c r="AQ457" i="13"/>
  <c r="AS457" i="13" s="1"/>
  <c r="AR457" i="13"/>
  <c r="AQ458" i="13"/>
  <c r="AR458" i="13"/>
  <c r="AS458" i="13"/>
  <c r="AQ459" i="13"/>
  <c r="AR459" i="13"/>
  <c r="AS459" i="13"/>
  <c r="AQ460" i="13"/>
  <c r="AS460" i="13" s="1"/>
  <c r="AR460" i="13"/>
  <c r="AQ461" i="13"/>
  <c r="AS461" i="13" s="1"/>
  <c r="AR461" i="13"/>
  <c r="AQ462" i="13"/>
  <c r="AR462" i="13"/>
  <c r="AS462" i="13"/>
  <c r="AQ463" i="13"/>
  <c r="AR463" i="13"/>
  <c r="AS463" i="13"/>
  <c r="AQ464" i="13"/>
  <c r="AS464" i="13" s="1"/>
  <c r="AR464" i="13"/>
  <c r="AQ465" i="13"/>
  <c r="AS465" i="13" s="1"/>
  <c r="AR465" i="13"/>
  <c r="AQ466" i="13"/>
  <c r="AS466" i="13" s="1"/>
  <c r="AR466" i="13"/>
  <c r="AQ467" i="13"/>
  <c r="AR467" i="13"/>
  <c r="AS467" i="13"/>
  <c r="AQ468" i="13"/>
  <c r="AR468" i="13"/>
  <c r="AS468" i="13"/>
  <c r="AQ469" i="13"/>
  <c r="AS469" i="13" s="1"/>
  <c r="AR469" i="13"/>
  <c r="AQ470" i="13"/>
  <c r="AR470" i="13"/>
  <c r="AS470" i="13"/>
  <c r="AQ471" i="13"/>
  <c r="AR471" i="13"/>
  <c r="AS471" i="13"/>
  <c r="AQ472" i="13"/>
  <c r="AS472" i="13" s="1"/>
  <c r="AR472" i="13"/>
  <c r="AQ473" i="13"/>
  <c r="AS473" i="13" s="1"/>
  <c r="AR473" i="13"/>
  <c r="AQ474" i="13"/>
  <c r="AS474" i="13" s="1"/>
  <c r="AR474" i="13"/>
  <c r="AQ475" i="13"/>
  <c r="AR475" i="13"/>
  <c r="AS475" i="13"/>
  <c r="AQ476" i="13"/>
  <c r="AR476" i="13"/>
  <c r="AS476" i="13"/>
  <c r="AQ477" i="13"/>
  <c r="AS477" i="13" s="1"/>
  <c r="AR477" i="13"/>
  <c r="AQ478" i="13"/>
  <c r="AR478" i="13"/>
  <c r="AS478" i="13"/>
  <c r="AQ479" i="13"/>
  <c r="AR479" i="13"/>
  <c r="AS479" i="13"/>
  <c r="AQ480" i="13"/>
  <c r="AS480" i="13" s="1"/>
  <c r="AR480" i="13"/>
  <c r="AQ481" i="13"/>
  <c r="AS481" i="13" s="1"/>
  <c r="AR481" i="13"/>
  <c r="AQ482" i="13"/>
  <c r="AS482" i="13" s="1"/>
  <c r="AR482" i="13"/>
  <c r="AQ483" i="13"/>
  <c r="AR483" i="13"/>
  <c r="AS483" i="13"/>
  <c r="AQ484" i="13"/>
  <c r="AR484" i="13"/>
  <c r="AS484" i="13"/>
  <c r="AQ485" i="13"/>
  <c r="AS485" i="13" s="1"/>
  <c r="AR485" i="13"/>
  <c r="AQ486" i="13"/>
  <c r="AS486" i="13" s="1"/>
  <c r="AR486" i="13"/>
  <c r="AQ487" i="13"/>
  <c r="AR487" i="13"/>
  <c r="AS487" i="13"/>
  <c r="AQ488" i="13"/>
  <c r="AS488" i="13" s="1"/>
  <c r="AR488" i="13"/>
  <c r="AQ489" i="13"/>
  <c r="AS489" i="13" s="1"/>
  <c r="AR489" i="13"/>
  <c r="AQ490" i="13"/>
  <c r="AR490" i="13"/>
  <c r="AS490" i="13"/>
  <c r="AQ491" i="13"/>
  <c r="AR491" i="13"/>
  <c r="AS491" i="13"/>
  <c r="AQ492" i="13"/>
  <c r="AR492" i="13"/>
  <c r="AS492" i="13"/>
  <c r="AQ493" i="13"/>
  <c r="AS493" i="13" s="1"/>
  <c r="AR493" i="13"/>
  <c r="AQ494" i="13"/>
  <c r="AR494" i="13"/>
  <c r="AS494" i="13"/>
  <c r="AQ495" i="13"/>
  <c r="AR495" i="13"/>
  <c r="AS495" i="13"/>
  <c r="AQ496" i="13"/>
  <c r="AS496" i="13" s="1"/>
  <c r="AR496" i="13"/>
  <c r="AQ497" i="13"/>
  <c r="AS497" i="13" s="1"/>
  <c r="AR497" i="13"/>
  <c r="AQ498" i="13"/>
  <c r="AS498" i="13" s="1"/>
  <c r="AR498" i="13"/>
  <c r="AQ499" i="13"/>
  <c r="AR499" i="13"/>
  <c r="AS499" i="13"/>
  <c r="AQ500" i="13"/>
  <c r="AR500" i="13"/>
  <c r="AS500" i="13"/>
  <c r="AQ501" i="13"/>
  <c r="AS501" i="13" s="1"/>
  <c r="AR501" i="13"/>
  <c r="AQ502" i="13"/>
  <c r="AS502" i="13" s="1"/>
  <c r="AR502" i="13"/>
  <c r="AQ503" i="13"/>
  <c r="AR503" i="13"/>
  <c r="AS503" i="13"/>
  <c r="AQ504" i="13"/>
  <c r="AR504" i="13"/>
  <c r="AS504" i="13"/>
  <c r="AQ505" i="13"/>
  <c r="AS505" i="13" s="1"/>
  <c r="AR505" i="13"/>
  <c r="AQ506" i="13"/>
  <c r="AS506" i="13" s="1"/>
  <c r="AR506" i="13"/>
  <c r="AQ507" i="13"/>
  <c r="AR507" i="13"/>
  <c r="AS507" i="13"/>
  <c r="AQ508" i="13"/>
  <c r="AS508" i="13" s="1"/>
  <c r="AR508" i="13"/>
  <c r="AQ509" i="13"/>
  <c r="AS509" i="13" s="1"/>
  <c r="AR509" i="13"/>
  <c r="AQ510" i="13"/>
  <c r="AR510" i="13"/>
  <c r="AS510" i="13"/>
  <c r="AQ511" i="13"/>
  <c r="AR511" i="13"/>
  <c r="AS511" i="13"/>
  <c r="AQ512" i="13"/>
  <c r="AS512" i="13" s="1"/>
  <c r="AR512" i="13"/>
  <c r="AQ513" i="13"/>
  <c r="AS513" i="13" s="1"/>
  <c r="AR513" i="13"/>
  <c r="AQ514" i="13"/>
  <c r="AS514" i="13" s="1"/>
  <c r="AR514" i="13"/>
  <c r="AQ515" i="13"/>
  <c r="AR515" i="13"/>
  <c r="AS515" i="13"/>
  <c r="AQ516" i="13"/>
  <c r="AS516" i="13" s="1"/>
  <c r="AR516" i="13"/>
  <c r="AQ517" i="13"/>
  <c r="AS517" i="13" s="1"/>
  <c r="AR517" i="13"/>
  <c r="AQ518" i="13"/>
  <c r="AR518" i="13"/>
  <c r="AS518" i="13"/>
  <c r="AQ519" i="13"/>
  <c r="AR519" i="13"/>
  <c r="AS519" i="13"/>
  <c r="AQ520" i="13"/>
  <c r="AR520" i="13"/>
  <c r="AS520" i="13"/>
  <c r="AQ521" i="13"/>
  <c r="AR521" i="13"/>
  <c r="AS521" i="13"/>
  <c r="AQ522" i="13"/>
  <c r="AS522" i="13" s="1"/>
  <c r="AR522" i="13"/>
  <c r="AQ523" i="13"/>
  <c r="AR523" i="13"/>
  <c r="AS523" i="13"/>
  <c r="AQ524" i="13"/>
  <c r="AS524" i="13" s="1"/>
  <c r="AR524" i="13"/>
  <c r="AQ525" i="13"/>
  <c r="AS525" i="13" s="1"/>
  <c r="AR525" i="13"/>
  <c r="AQ526" i="13"/>
  <c r="AS526" i="13" s="1"/>
  <c r="AR526" i="13"/>
  <c r="AQ527" i="13"/>
  <c r="AR527" i="13"/>
  <c r="AS527" i="13"/>
  <c r="AQ528" i="13"/>
  <c r="AR528" i="13"/>
  <c r="AS528" i="13"/>
  <c r="AQ529" i="13"/>
  <c r="AS529" i="13" s="1"/>
  <c r="AR529" i="13"/>
  <c r="AQ530" i="13"/>
  <c r="AS530" i="13" s="1"/>
  <c r="AR530" i="13"/>
  <c r="AQ531" i="13"/>
  <c r="AR531" i="13"/>
  <c r="AS531" i="13"/>
  <c r="AQ532" i="13"/>
  <c r="AR532" i="13"/>
  <c r="AS532" i="13"/>
  <c r="AQ533" i="13"/>
  <c r="AS533" i="13" s="1"/>
  <c r="AR533" i="13"/>
  <c r="AQ534" i="13"/>
  <c r="AR534" i="13"/>
  <c r="AS534" i="13"/>
  <c r="AQ535" i="13"/>
  <c r="AR535" i="13"/>
  <c r="AS535" i="13"/>
  <c r="AQ536" i="13"/>
  <c r="AS536" i="13" s="1"/>
  <c r="AR536" i="13"/>
  <c r="AQ537" i="13"/>
  <c r="AS537" i="13" s="1"/>
  <c r="AR537" i="13"/>
  <c r="AQ538" i="13"/>
  <c r="AS538" i="13" s="1"/>
  <c r="AR538" i="13"/>
  <c r="AQ539" i="13"/>
  <c r="AR539" i="13"/>
  <c r="AS539" i="13"/>
  <c r="AQ540" i="13"/>
  <c r="AS540" i="13" s="1"/>
  <c r="AR540" i="13"/>
  <c r="AQ541" i="13"/>
  <c r="AS541" i="13" s="1"/>
  <c r="AR541" i="13"/>
  <c r="AQ542" i="13"/>
  <c r="AR542" i="13"/>
  <c r="AS542" i="13"/>
  <c r="AQ543" i="13"/>
  <c r="AR543" i="13"/>
  <c r="AS543" i="13"/>
  <c r="AQ544" i="13"/>
  <c r="AS544" i="13" s="1"/>
  <c r="AR544" i="13"/>
  <c r="AQ545" i="13"/>
  <c r="AS545" i="13" s="1"/>
  <c r="AR545" i="13"/>
  <c r="AQ546" i="13"/>
  <c r="AS546" i="13" s="1"/>
  <c r="AR546" i="13"/>
  <c r="AQ547" i="13"/>
  <c r="AR547" i="13"/>
  <c r="AS547" i="13"/>
  <c r="AQ548" i="13"/>
  <c r="AR548" i="13"/>
  <c r="AS548" i="13"/>
  <c r="AQ549" i="13"/>
  <c r="AS549" i="13" s="1"/>
  <c r="AR549" i="13"/>
  <c r="AQ550" i="13"/>
  <c r="AR550" i="13"/>
  <c r="AS550" i="13"/>
  <c r="AQ551" i="13"/>
  <c r="AR551" i="13"/>
  <c r="AS551" i="13"/>
  <c r="AQ552" i="13"/>
  <c r="AS552" i="13" s="1"/>
  <c r="AR552" i="13"/>
  <c r="AQ553" i="13"/>
  <c r="AS553" i="13" s="1"/>
  <c r="AR553" i="13"/>
  <c r="AQ554" i="13"/>
  <c r="AS554" i="13" s="1"/>
  <c r="AR554" i="13"/>
  <c r="AQ555" i="13"/>
  <c r="AR555" i="13"/>
  <c r="AS555" i="13"/>
  <c r="AQ556" i="13"/>
  <c r="AR556" i="13"/>
  <c r="AS556" i="13"/>
  <c r="AQ557" i="13"/>
  <c r="AS557" i="13" s="1"/>
  <c r="AR557" i="13"/>
  <c r="AQ558" i="13"/>
  <c r="AS558" i="13" s="1"/>
  <c r="AR558" i="13"/>
  <c r="AQ559" i="13"/>
  <c r="AR559" i="13"/>
  <c r="AS559" i="13"/>
  <c r="AQ560" i="13"/>
  <c r="AS560" i="13" s="1"/>
  <c r="AR560" i="13"/>
  <c r="AQ561" i="13"/>
  <c r="AR561" i="13"/>
  <c r="AS561" i="13"/>
  <c r="AQ562" i="13"/>
  <c r="AS562" i="13" s="1"/>
  <c r="AR562" i="13"/>
  <c r="AQ563" i="13"/>
  <c r="AR563" i="13"/>
  <c r="AS563" i="13"/>
  <c r="AQ564" i="13"/>
  <c r="AR564" i="13"/>
  <c r="AS564" i="13"/>
  <c r="AQ565" i="13"/>
  <c r="AS565" i="13" s="1"/>
  <c r="AR565" i="13"/>
  <c r="AQ566" i="13"/>
  <c r="AS566" i="13" s="1"/>
  <c r="AR566" i="13"/>
  <c r="AQ567" i="13"/>
  <c r="AR567" i="13"/>
  <c r="AS567" i="13"/>
  <c r="AQ568" i="13"/>
  <c r="AS568" i="13" s="1"/>
  <c r="AR568" i="13"/>
  <c r="AQ569" i="13"/>
  <c r="AR569" i="13"/>
  <c r="AS569" i="13"/>
  <c r="AQ570" i="13"/>
  <c r="AS570" i="13" s="1"/>
  <c r="AR570" i="13"/>
  <c r="AQ571" i="13"/>
  <c r="AR571" i="13"/>
  <c r="AS571" i="13"/>
  <c r="AQ572" i="13"/>
  <c r="AS572" i="13" s="1"/>
  <c r="AR572" i="13"/>
  <c r="AQ573" i="13"/>
  <c r="AS573" i="13" s="1"/>
  <c r="AR573" i="13"/>
  <c r="AQ574" i="13"/>
  <c r="AS574" i="13" s="1"/>
  <c r="AR574" i="13"/>
  <c r="AQ575" i="13"/>
  <c r="AR575" i="13"/>
  <c r="AS575" i="13"/>
  <c r="AQ576" i="13"/>
  <c r="AS576" i="13" s="1"/>
  <c r="AR576" i="13"/>
  <c r="AQ577" i="13"/>
  <c r="AR577" i="13"/>
  <c r="AS577" i="13"/>
  <c r="AQ578" i="13"/>
  <c r="AS578" i="13" s="1"/>
  <c r="AR578" i="13"/>
  <c r="AQ579" i="13"/>
  <c r="AS579" i="13" s="1"/>
  <c r="AR579" i="13"/>
  <c r="AQ580" i="13"/>
  <c r="AR580" i="13"/>
  <c r="AS580" i="13"/>
  <c r="AQ581" i="13"/>
  <c r="AS581" i="13" s="1"/>
  <c r="AR581" i="13"/>
  <c r="AQ582" i="13"/>
  <c r="AS582" i="13" s="1"/>
  <c r="AR582" i="13"/>
  <c r="AQ583" i="13"/>
  <c r="AR583" i="13"/>
  <c r="AS583" i="13"/>
  <c r="AQ584" i="13"/>
  <c r="AS584" i="13" s="1"/>
  <c r="AR584" i="13"/>
  <c r="AQ585" i="13"/>
  <c r="AR585" i="13"/>
  <c r="AS585" i="13"/>
  <c r="AQ586" i="13"/>
  <c r="AR586" i="13"/>
  <c r="AS586" i="13"/>
  <c r="AQ587" i="13"/>
  <c r="AS587" i="13" s="1"/>
  <c r="AR587" i="13"/>
  <c r="AQ588" i="13"/>
  <c r="AS588" i="13" s="1"/>
  <c r="AR588" i="13"/>
  <c r="AQ589" i="13"/>
  <c r="AS589" i="13" s="1"/>
  <c r="AR589" i="13"/>
  <c r="AQ590" i="13"/>
  <c r="AS590" i="13" s="1"/>
  <c r="AR590" i="13"/>
  <c r="AQ591" i="13"/>
  <c r="AR591" i="13"/>
  <c r="AS591" i="13"/>
  <c r="AQ592" i="13"/>
  <c r="AS592" i="13" s="1"/>
  <c r="AR592" i="13"/>
  <c r="AQ593" i="13"/>
  <c r="AR593" i="13"/>
  <c r="AS593" i="13"/>
  <c r="AQ594" i="13"/>
  <c r="AR594" i="13"/>
  <c r="AS594" i="13"/>
  <c r="AQ595" i="13"/>
  <c r="AS595" i="13" s="1"/>
  <c r="AR595" i="13"/>
  <c r="AQ596" i="13"/>
  <c r="AS596" i="13" s="1"/>
  <c r="AR596" i="13"/>
  <c r="AQ597" i="13"/>
  <c r="AS597" i="13" s="1"/>
  <c r="AR597" i="13"/>
  <c r="AQ598" i="13"/>
  <c r="AS598" i="13" s="1"/>
  <c r="AR598" i="13"/>
  <c r="AQ599" i="13"/>
  <c r="AR599" i="13"/>
  <c r="AS599" i="13"/>
  <c r="AQ600" i="13"/>
  <c r="AS600" i="13" s="1"/>
  <c r="AR600" i="13"/>
  <c r="AQ601" i="13"/>
  <c r="AR601" i="13"/>
  <c r="AS601" i="13"/>
  <c r="AQ602" i="13"/>
  <c r="AR602" i="13"/>
  <c r="AS602" i="13"/>
  <c r="AQ603" i="13"/>
  <c r="AR603" i="13"/>
  <c r="AS603" i="13"/>
  <c r="AQ604" i="13"/>
  <c r="AS604" i="13" s="1"/>
  <c r="AR604" i="13"/>
  <c r="AQ605" i="13"/>
  <c r="AS605" i="13" s="1"/>
  <c r="AR605" i="13"/>
  <c r="AQ606" i="13"/>
  <c r="AR606" i="13"/>
  <c r="AS606" i="13"/>
  <c r="AQ607" i="13"/>
  <c r="AR607" i="13"/>
  <c r="AS607" i="13"/>
  <c r="AQ608" i="13"/>
  <c r="AS608" i="13" s="1"/>
  <c r="AR608" i="13"/>
  <c r="AQ609" i="13"/>
  <c r="AR609" i="13"/>
  <c r="AS609" i="13"/>
  <c r="AQ610" i="13"/>
  <c r="AR610" i="13"/>
  <c r="AS610" i="13"/>
  <c r="AQ611" i="13"/>
  <c r="AR611" i="13"/>
  <c r="AS611" i="13"/>
  <c r="AQ612" i="13"/>
  <c r="AS612" i="13" s="1"/>
  <c r="AR612" i="13"/>
  <c r="AQ613" i="13"/>
  <c r="AS613" i="13" s="1"/>
  <c r="AR613" i="13"/>
  <c r="AQ614" i="13"/>
  <c r="AR614" i="13"/>
  <c r="AS614" i="13"/>
  <c r="AQ615" i="13"/>
  <c r="AR615" i="13"/>
  <c r="AS615" i="13"/>
  <c r="AQ616" i="13"/>
  <c r="AS616" i="13" s="1"/>
  <c r="AR616" i="13"/>
  <c r="AQ617" i="13"/>
  <c r="AR617" i="13"/>
  <c r="AS617" i="13"/>
  <c r="AQ618" i="13"/>
  <c r="AR618" i="13"/>
  <c r="AS618" i="13"/>
  <c r="AQ619" i="13"/>
  <c r="AR619" i="13"/>
  <c r="AS619" i="13"/>
  <c r="AQ620" i="13"/>
  <c r="AS620" i="13" s="1"/>
  <c r="AR620" i="13"/>
  <c r="AQ621" i="13"/>
  <c r="AS621" i="13" s="1"/>
  <c r="AR621" i="13"/>
  <c r="AQ622" i="13"/>
  <c r="AR622" i="13"/>
  <c r="AS622" i="13"/>
  <c r="AQ623" i="13"/>
  <c r="AR623" i="13"/>
  <c r="AS623" i="13"/>
  <c r="AQ624" i="13"/>
  <c r="AS624" i="13" s="1"/>
  <c r="AR624" i="13"/>
  <c r="AQ625" i="13"/>
  <c r="AR625" i="13"/>
  <c r="AS625" i="13"/>
  <c r="AQ626" i="13"/>
  <c r="AR626" i="13"/>
  <c r="AS626" i="13"/>
  <c r="AQ627" i="13"/>
  <c r="AR627" i="13"/>
  <c r="AS627" i="13"/>
  <c r="AQ628" i="13"/>
  <c r="AS628" i="13" s="1"/>
  <c r="AR628" i="13"/>
  <c r="AQ629" i="13"/>
  <c r="AS629" i="13" s="1"/>
  <c r="AR629" i="13"/>
  <c r="AQ630" i="13"/>
  <c r="AR630" i="13"/>
  <c r="AS630" i="13"/>
  <c r="AQ631" i="13"/>
  <c r="AR631" i="13"/>
  <c r="AS631" i="13"/>
  <c r="AQ632" i="13"/>
  <c r="AS632" i="13" s="1"/>
  <c r="AR632" i="13"/>
  <c r="AQ633" i="13"/>
  <c r="AR633" i="13"/>
  <c r="AS633" i="13"/>
  <c r="AQ634" i="13"/>
  <c r="AR634" i="13"/>
  <c r="AS634" i="13"/>
  <c r="AQ635" i="13"/>
  <c r="AR635" i="13"/>
  <c r="AS635" i="13"/>
  <c r="AQ636" i="13"/>
  <c r="AS636" i="13" s="1"/>
  <c r="AR636" i="13"/>
  <c r="AQ637" i="13"/>
  <c r="AS637" i="13" s="1"/>
  <c r="AR637" i="13"/>
  <c r="AQ638" i="13"/>
  <c r="AR638" i="13"/>
  <c r="AS638" i="13"/>
  <c r="AQ639" i="13"/>
  <c r="AR639" i="13"/>
  <c r="AS639" i="13"/>
  <c r="AQ640" i="13"/>
  <c r="AS640" i="13" s="1"/>
  <c r="AR640" i="13"/>
  <c r="AQ641" i="13"/>
  <c r="AR641" i="13"/>
  <c r="AS641" i="13"/>
  <c r="AQ642" i="13"/>
  <c r="AR642" i="13"/>
  <c r="AS642" i="13"/>
  <c r="AQ643" i="13"/>
  <c r="AR643" i="13"/>
  <c r="AS643" i="13"/>
  <c r="AQ644" i="13"/>
  <c r="AS644" i="13" s="1"/>
  <c r="AR644" i="13"/>
  <c r="AQ645" i="13"/>
  <c r="AS645" i="13" s="1"/>
  <c r="AR645" i="13"/>
  <c r="AQ646" i="13"/>
  <c r="AR646" i="13"/>
  <c r="AS646" i="13"/>
  <c r="AQ647" i="13"/>
  <c r="AR647" i="13"/>
  <c r="AS647" i="13"/>
  <c r="AQ648" i="13"/>
  <c r="AS648" i="13" s="1"/>
  <c r="AR648" i="13"/>
  <c r="AQ649" i="13"/>
  <c r="AR649" i="13"/>
  <c r="AS649" i="13"/>
  <c r="AQ650" i="13"/>
  <c r="AR650" i="13"/>
  <c r="AS650" i="13"/>
  <c r="AQ651" i="13"/>
  <c r="AS651" i="13" s="1"/>
  <c r="AR651" i="13"/>
  <c r="AQ652" i="13"/>
  <c r="AS652" i="13" s="1"/>
  <c r="AR652" i="13"/>
  <c r="AQ653" i="13"/>
  <c r="AS653" i="13" s="1"/>
  <c r="AR653" i="13"/>
  <c r="AQ654" i="13"/>
  <c r="AR654" i="13"/>
  <c r="AS654" i="13"/>
  <c r="AQ655" i="13"/>
  <c r="AR655" i="13"/>
  <c r="AS655" i="13"/>
  <c r="AQ656" i="13"/>
  <c r="AS656" i="13" s="1"/>
  <c r="AR656" i="13"/>
  <c r="AQ657" i="13"/>
  <c r="AR657" i="13"/>
  <c r="AS657" i="13"/>
  <c r="AQ658" i="13"/>
  <c r="AR658" i="13"/>
  <c r="AS658" i="13"/>
  <c r="AQ659" i="13"/>
  <c r="AR659" i="13"/>
  <c r="AS659" i="13"/>
  <c r="AQ660" i="13"/>
  <c r="AS660" i="13" s="1"/>
  <c r="AR660" i="13"/>
  <c r="AQ661" i="13"/>
  <c r="AS661" i="13" s="1"/>
  <c r="AR661" i="13"/>
  <c r="AQ662" i="13"/>
  <c r="AR662" i="13"/>
  <c r="AS662" i="13"/>
  <c r="AQ663" i="13"/>
  <c r="AR663" i="13"/>
  <c r="AS663" i="13"/>
  <c r="AQ664" i="13"/>
  <c r="AS664" i="13" s="1"/>
  <c r="AR664" i="13"/>
  <c r="AQ665" i="13"/>
  <c r="AR665" i="13"/>
  <c r="AS665" i="13"/>
  <c r="AQ666" i="13"/>
  <c r="AR666" i="13"/>
  <c r="AS666" i="13"/>
  <c r="AQ667" i="13"/>
  <c r="AR667" i="13"/>
  <c r="AS667" i="13"/>
  <c r="AQ668" i="13"/>
  <c r="AS668" i="13" s="1"/>
  <c r="AR668" i="13"/>
  <c r="AQ669" i="13"/>
  <c r="AS669" i="13" s="1"/>
  <c r="AR669" i="13"/>
  <c r="AQ670" i="13"/>
  <c r="AR670" i="13"/>
  <c r="AS670" i="13"/>
  <c r="AQ671" i="13"/>
  <c r="AR671" i="13"/>
  <c r="AS671" i="13"/>
  <c r="AQ672" i="13"/>
  <c r="AS672" i="13" s="1"/>
  <c r="AR672" i="13"/>
  <c r="AQ673" i="13"/>
  <c r="AR673" i="13"/>
  <c r="AS673" i="13"/>
  <c r="AQ674" i="13"/>
  <c r="AR674" i="13"/>
  <c r="AS674" i="13"/>
  <c r="AQ675" i="13"/>
  <c r="AR675" i="13"/>
  <c r="AS675" i="13"/>
  <c r="AQ676" i="13"/>
  <c r="AS676" i="13" s="1"/>
  <c r="AR676" i="13"/>
  <c r="AQ677" i="13"/>
  <c r="AS677" i="13" s="1"/>
  <c r="AR677" i="13"/>
  <c r="AQ678" i="13"/>
  <c r="AR678" i="13"/>
  <c r="AS678" i="13"/>
  <c r="AQ679" i="13"/>
  <c r="AR679" i="13"/>
  <c r="AS679" i="13"/>
  <c r="AQ680" i="13"/>
  <c r="AS680" i="13" s="1"/>
  <c r="AR680" i="13"/>
  <c r="AQ681" i="13"/>
  <c r="AR681" i="13"/>
  <c r="AS681" i="13"/>
  <c r="AQ682" i="13"/>
  <c r="AS682" i="13" s="1"/>
  <c r="AR682" i="13"/>
  <c r="AQ683" i="13"/>
  <c r="AR683" i="13"/>
  <c r="AS683" i="13"/>
  <c r="AQ684" i="13"/>
  <c r="AS684" i="13" s="1"/>
  <c r="AR684" i="13"/>
  <c r="AQ685" i="13"/>
  <c r="AS685" i="13" s="1"/>
  <c r="AR685" i="13"/>
  <c r="AQ686" i="13"/>
  <c r="AR686" i="13"/>
  <c r="AS686" i="13"/>
  <c r="AQ687" i="13"/>
  <c r="AR687" i="13"/>
  <c r="AS687" i="13"/>
  <c r="AQ688" i="13"/>
  <c r="AS688" i="13" s="1"/>
  <c r="AR688" i="13"/>
  <c r="AQ689" i="13"/>
  <c r="AR689" i="13"/>
  <c r="AS689" i="13"/>
  <c r="AQ690" i="13"/>
  <c r="AR690" i="13"/>
  <c r="AS690" i="13"/>
  <c r="AQ691" i="13"/>
  <c r="AR691" i="13"/>
  <c r="AS691" i="13"/>
  <c r="AQ692" i="13"/>
  <c r="AS692" i="13" s="1"/>
  <c r="AR692" i="13"/>
  <c r="AQ693" i="13"/>
  <c r="AS693" i="13" s="1"/>
  <c r="AR693" i="13"/>
  <c r="AQ694" i="13"/>
  <c r="AR694" i="13"/>
  <c r="AS694" i="13"/>
  <c r="AQ695" i="13"/>
  <c r="AR695" i="13"/>
  <c r="AS695" i="13"/>
  <c r="AQ696" i="13"/>
  <c r="AS696" i="13" s="1"/>
  <c r="AR696" i="13"/>
  <c r="AQ697" i="13"/>
  <c r="AS697" i="13" s="1"/>
  <c r="AR697" i="13"/>
  <c r="AQ698" i="13"/>
  <c r="AR698" i="13"/>
  <c r="AS698" i="13"/>
  <c r="AQ699" i="13"/>
  <c r="AR699" i="13"/>
  <c r="AS699" i="13"/>
  <c r="AQ700" i="13"/>
  <c r="AS700" i="13" s="1"/>
  <c r="AR700" i="13"/>
  <c r="AQ701" i="13"/>
  <c r="AS701" i="13" s="1"/>
  <c r="AR701" i="13"/>
  <c r="AQ702" i="13"/>
  <c r="AR702" i="13"/>
  <c r="AS702" i="13"/>
  <c r="AQ703" i="13"/>
  <c r="AR703" i="13"/>
  <c r="AS703" i="13"/>
  <c r="AQ704" i="13"/>
  <c r="AS704" i="13" s="1"/>
  <c r="AR704" i="13"/>
  <c r="AQ705" i="13"/>
  <c r="AS705" i="13" s="1"/>
  <c r="AR705" i="13"/>
  <c r="AQ706" i="13"/>
  <c r="AR706" i="13"/>
  <c r="AS706" i="13"/>
  <c r="AQ707" i="13"/>
  <c r="AR707" i="13"/>
  <c r="AS707" i="13"/>
  <c r="AQ708" i="13"/>
  <c r="AS708" i="13" s="1"/>
  <c r="AR708" i="13"/>
  <c r="AQ709" i="13"/>
  <c r="AS709" i="13" s="1"/>
  <c r="AR709" i="13"/>
  <c r="AQ710" i="13"/>
  <c r="AR710" i="13"/>
  <c r="AS710" i="13"/>
  <c r="AQ711" i="13"/>
  <c r="AR711" i="13"/>
  <c r="AS711" i="13"/>
  <c r="AQ712" i="13"/>
  <c r="AS712" i="13" s="1"/>
  <c r="AR712" i="13"/>
  <c r="AQ713" i="13"/>
  <c r="AS713" i="13" s="1"/>
  <c r="AR713" i="13"/>
  <c r="AQ714" i="13"/>
  <c r="AR714" i="13"/>
  <c r="AS714" i="13"/>
  <c r="AQ715" i="13"/>
  <c r="AS715" i="13" s="1"/>
  <c r="AR715" i="13"/>
  <c r="AQ716" i="13"/>
  <c r="AS716" i="13" s="1"/>
  <c r="AR716" i="13"/>
  <c r="AQ717" i="13"/>
  <c r="AR717" i="13"/>
  <c r="AS717" i="13"/>
  <c r="AQ718" i="13"/>
  <c r="AS718" i="13" s="1"/>
  <c r="AR718" i="13"/>
  <c r="AQ719" i="13"/>
  <c r="AR719" i="13"/>
  <c r="AS719" i="13"/>
  <c r="AQ720" i="13"/>
  <c r="AS720" i="13" s="1"/>
  <c r="AR720" i="13"/>
  <c r="AQ721" i="13"/>
  <c r="AS721" i="13" s="1"/>
  <c r="AR721" i="13"/>
  <c r="AQ722" i="13"/>
  <c r="AR722" i="13"/>
  <c r="AS722" i="13"/>
  <c r="AQ723" i="13"/>
  <c r="AS723" i="13" s="1"/>
  <c r="AR723" i="13"/>
  <c r="AQ724" i="13"/>
  <c r="AR724" i="13"/>
  <c r="AS724" i="13"/>
  <c r="AQ725" i="13"/>
  <c r="AR725" i="13"/>
  <c r="AS725" i="13"/>
  <c r="AQ726" i="13"/>
  <c r="AS726" i="13" s="1"/>
  <c r="AR726" i="13"/>
  <c r="AQ727" i="13"/>
  <c r="AR727" i="13"/>
  <c r="AS727" i="13"/>
  <c r="AQ728" i="13"/>
  <c r="AS728" i="13" s="1"/>
  <c r="AR728" i="13"/>
  <c r="AQ729" i="13"/>
  <c r="AS729" i="13" s="1"/>
  <c r="AR729" i="13"/>
  <c r="AQ730" i="13"/>
  <c r="AR730" i="13"/>
  <c r="AS730" i="13"/>
  <c r="AQ731" i="13"/>
  <c r="AS731" i="13" s="1"/>
  <c r="AR731" i="13"/>
  <c r="AQ732" i="13"/>
  <c r="AR732" i="13"/>
  <c r="AS732" i="13"/>
  <c r="AQ733" i="13"/>
  <c r="AR733" i="13"/>
  <c r="AS733" i="13"/>
  <c r="AQ734" i="13"/>
  <c r="AS734" i="13" s="1"/>
  <c r="AR734" i="13"/>
  <c r="AQ735" i="13"/>
  <c r="AR735" i="13"/>
  <c r="AS735" i="13"/>
  <c r="AQ736" i="13"/>
  <c r="AS736" i="13" s="1"/>
  <c r="AR736" i="13"/>
  <c r="AQ737" i="13"/>
  <c r="AS737" i="13" s="1"/>
  <c r="AR737" i="13"/>
  <c r="AQ738" i="13"/>
  <c r="AR738" i="13"/>
  <c r="AS738" i="13"/>
  <c r="AQ739" i="13"/>
  <c r="AS739" i="13" s="1"/>
  <c r="AR739" i="13"/>
  <c r="AQ740" i="13"/>
  <c r="AR740" i="13"/>
  <c r="AS740" i="13"/>
  <c r="AQ741" i="13"/>
  <c r="AR741" i="13"/>
  <c r="AS741" i="13"/>
  <c r="AQ742" i="13"/>
  <c r="AS742" i="13" s="1"/>
  <c r="AR742" i="13"/>
  <c r="AQ743" i="13"/>
  <c r="AR743" i="13"/>
  <c r="AS743" i="13"/>
  <c r="AQ744" i="13"/>
  <c r="AS744" i="13" s="1"/>
  <c r="AR744" i="13"/>
  <c r="AQ745" i="13"/>
  <c r="AS745" i="13" s="1"/>
  <c r="AR745" i="13"/>
  <c r="AQ746" i="13"/>
  <c r="AR746" i="13"/>
  <c r="AS746" i="13"/>
  <c r="AQ747" i="13"/>
  <c r="AS747" i="13" s="1"/>
  <c r="AR747" i="13"/>
  <c r="AQ748" i="13"/>
  <c r="AR748" i="13"/>
  <c r="AS748" i="13"/>
  <c r="AQ749" i="13"/>
  <c r="AR749" i="13"/>
  <c r="AS749" i="13"/>
  <c r="AQ750" i="13"/>
  <c r="AS750" i="13" s="1"/>
  <c r="AR750" i="13"/>
  <c r="AQ751" i="13"/>
  <c r="AR751" i="13"/>
  <c r="AS751" i="13"/>
  <c r="AQ752" i="13"/>
  <c r="AS752" i="13" s="1"/>
  <c r="AR752" i="13"/>
  <c r="AQ753" i="13"/>
  <c r="AS753" i="13" s="1"/>
  <c r="AR753" i="13"/>
  <c r="AQ754" i="13"/>
  <c r="AR754" i="13"/>
  <c r="AS754" i="13"/>
  <c r="AQ755" i="13"/>
  <c r="AS755" i="13" s="1"/>
  <c r="AR755" i="13"/>
  <c r="AQ756" i="13"/>
  <c r="AR756" i="13"/>
  <c r="AS756" i="13"/>
  <c r="AQ757" i="13"/>
  <c r="AR757" i="13"/>
  <c r="AS757" i="13"/>
  <c r="AQ758" i="13"/>
  <c r="AS758" i="13" s="1"/>
  <c r="AR758" i="13"/>
  <c r="AQ759" i="13"/>
  <c r="AR759" i="13"/>
  <c r="AS759" i="13"/>
  <c r="AQ760" i="13"/>
  <c r="AS760" i="13" s="1"/>
  <c r="AR760" i="13"/>
  <c r="AQ761" i="13"/>
  <c r="AS761" i="13" s="1"/>
  <c r="AR761" i="13"/>
  <c r="AQ762" i="13"/>
  <c r="AR762" i="13"/>
  <c r="AS762" i="13"/>
  <c r="AQ763" i="13"/>
  <c r="AS763" i="13" s="1"/>
  <c r="AR763" i="13"/>
  <c r="AQ764" i="13"/>
  <c r="AR764" i="13"/>
  <c r="AS764" i="13"/>
  <c r="AQ765" i="13"/>
  <c r="AR765" i="13"/>
  <c r="AS765" i="13"/>
  <c r="AQ766" i="13"/>
  <c r="AS766" i="13" s="1"/>
  <c r="AR766" i="13"/>
  <c r="AQ767" i="13"/>
  <c r="AR767" i="13"/>
  <c r="AS767" i="13"/>
  <c r="AQ768" i="13"/>
  <c r="AS768" i="13" s="1"/>
  <c r="AR768" i="13"/>
  <c r="AQ769" i="13"/>
  <c r="AS769" i="13" s="1"/>
  <c r="AR769" i="13"/>
  <c r="AQ770" i="13"/>
  <c r="AR770" i="13"/>
  <c r="AS770" i="13"/>
  <c r="AQ771" i="13"/>
  <c r="AS771" i="13" s="1"/>
  <c r="AR771" i="13"/>
  <c r="AQ772" i="13"/>
  <c r="AR772" i="13"/>
  <c r="AS772" i="13"/>
  <c r="AQ773" i="13"/>
  <c r="AR773" i="13"/>
  <c r="AS773" i="13"/>
  <c r="AQ774" i="13"/>
  <c r="AS774" i="13" s="1"/>
  <c r="AR774" i="13"/>
  <c r="AQ775" i="13"/>
  <c r="AR775" i="13"/>
  <c r="AS775" i="13"/>
  <c r="AQ776" i="13"/>
  <c r="AS776" i="13" s="1"/>
  <c r="AR776" i="13"/>
  <c r="AQ777" i="13"/>
  <c r="AS777" i="13" s="1"/>
  <c r="AR777" i="13"/>
  <c r="AQ778" i="13"/>
  <c r="AR778" i="13"/>
  <c r="AS778" i="13"/>
  <c r="AQ779" i="13"/>
  <c r="AS779" i="13" s="1"/>
  <c r="AR779" i="13"/>
  <c r="AQ780" i="13"/>
  <c r="AR780" i="13"/>
  <c r="AS780" i="13"/>
  <c r="AQ781" i="13"/>
  <c r="AR781" i="13"/>
  <c r="AS781" i="13"/>
  <c r="AQ782" i="13"/>
  <c r="AS782" i="13" s="1"/>
  <c r="AR782" i="13"/>
  <c r="AQ783" i="13"/>
  <c r="AR783" i="13"/>
  <c r="AS783" i="13"/>
  <c r="AQ784" i="13"/>
  <c r="AS784" i="13" s="1"/>
  <c r="AR784" i="13"/>
  <c r="AQ785" i="13"/>
  <c r="AS785" i="13" s="1"/>
  <c r="AR785" i="13"/>
  <c r="AQ786" i="13"/>
  <c r="AR786" i="13"/>
  <c r="AS786" i="13"/>
  <c r="AQ787" i="13"/>
  <c r="AS787" i="13" s="1"/>
  <c r="AR787" i="13"/>
  <c r="AQ788" i="13"/>
  <c r="AR788" i="13"/>
  <c r="AS788" i="13"/>
  <c r="AQ789" i="13"/>
  <c r="AR789" i="13"/>
  <c r="AS789" i="13"/>
  <c r="AQ790" i="13"/>
  <c r="AS790" i="13" s="1"/>
  <c r="AR790" i="13"/>
  <c r="AQ791" i="13"/>
  <c r="AR791" i="13"/>
  <c r="AS791" i="13"/>
  <c r="AQ792" i="13"/>
  <c r="AS792" i="13" s="1"/>
  <c r="AR792" i="13"/>
  <c r="AQ793" i="13"/>
  <c r="AS793" i="13" s="1"/>
  <c r="AR793" i="13"/>
  <c r="AQ794" i="13"/>
  <c r="AR794" i="13"/>
  <c r="AS794" i="13"/>
  <c r="AQ795" i="13"/>
  <c r="AS795" i="13" s="1"/>
  <c r="AR795" i="13"/>
  <c r="AQ796" i="13"/>
  <c r="AR796" i="13"/>
  <c r="AS796" i="13"/>
  <c r="AQ797" i="13"/>
  <c r="AR797" i="13"/>
  <c r="AS797" i="13"/>
  <c r="AQ798" i="13"/>
  <c r="AS798" i="13" s="1"/>
  <c r="AR798" i="13"/>
  <c r="AQ799" i="13"/>
  <c r="AR799" i="13"/>
  <c r="AS799" i="13"/>
  <c r="AQ800" i="13"/>
  <c r="AS800" i="13" s="1"/>
  <c r="AR800" i="13"/>
  <c r="AQ801" i="13"/>
  <c r="AS801" i="13" s="1"/>
  <c r="AR801" i="13"/>
  <c r="AQ802" i="13"/>
  <c r="AR802" i="13"/>
  <c r="AS802" i="13"/>
  <c r="AQ803" i="13"/>
  <c r="AS803" i="13" s="1"/>
  <c r="AR803" i="13"/>
  <c r="AQ804" i="13"/>
  <c r="AR804" i="13"/>
  <c r="AS804" i="13"/>
  <c r="AQ805" i="13"/>
  <c r="AR805" i="13"/>
  <c r="AS805" i="13"/>
  <c r="AQ806" i="13"/>
  <c r="AS806" i="13" s="1"/>
  <c r="AR806" i="13"/>
  <c r="AQ807" i="13"/>
  <c r="AR807" i="13"/>
  <c r="AS807" i="13"/>
  <c r="AQ808" i="13"/>
  <c r="AS808" i="13" s="1"/>
  <c r="AR808" i="13"/>
  <c r="AQ809" i="13"/>
  <c r="AS809" i="13" s="1"/>
  <c r="AR809" i="13"/>
  <c r="AQ810" i="13"/>
  <c r="AR810" i="13"/>
  <c r="AS810" i="13"/>
  <c r="AQ811" i="13"/>
  <c r="AS811" i="13" s="1"/>
  <c r="AR811" i="13"/>
  <c r="AQ812" i="13"/>
  <c r="AR812" i="13"/>
  <c r="AS812" i="13"/>
  <c r="AQ813" i="13"/>
  <c r="AR813" i="13"/>
  <c r="AS813" i="13"/>
  <c r="AQ814" i="13"/>
  <c r="AS814" i="13" s="1"/>
  <c r="AR814" i="13"/>
  <c r="AQ815" i="13"/>
  <c r="AR815" i="13"/>
  <c r="AS815" i="13"/>
  <c r="AQ816" i="13"/>
  <c r="AS816" i="13" s="1"/>
  <c r="AR816" i="13"/>
  <c r="AQ817" i="13"/>
  <c r="AS817" i="13" s="1"/>
  <c r="AR817" i="13"/>
  <c r="AQ818" i="13"/>
  <c r="AR818" i="13"/>
  <c r="AS818" i="13"/>
  <c r="AQ819" i="13"/>
  <c r="AS819" i="13" s="1"/>
  <c r="AR819" i="13"/>
  <c r="AQ820" i="13"/>
  <c r="AR820" i="13"/>
  <c r="AS820" i="13"/>
  <c r="AQ821" i="13"/>
  <c r="AR821" i="13"/>
  <c r="AS821" i="13"/>
  <c r="AQ822" i="13"/>
  <c r="AS822" i="13" s="1"/>
  <c r="AR822" i="13"/>
  <c r="AQ823" i="13"/>
  <c r="AR823" i="13"/>
  <c r="AS823" i="13"/>
  <c r="AQ824" i="13"/>
  <c r="AS824" i="13" s="1"/>
  <c r="AR824" i="13"/>
  <c r="AQ825" i="13"/>
  <c r="AS825" i="13" s="1"/>
  <c r="AR825" i="13"/>
  <c r="AQ826" i="13"/>
  <c r="AR826" i="13"/>
  <c r="AS826" i="13"/>
  <c r="AQ827" i="13"/>
  <c r="AS827" i="13" s="1"/>
  <c r="AR827" i="13"/>
  <c r="AQ828" i="13"/>
  <c r="AR828" i="13"/>
  <c r="AS828" i="13"/>
  <c r="AQ829" i="13"/>
  <c r="AR829" i="13"/>
  <c r="AS829" i="13"/>
  <c r="AQ830" i="13"/>
  <c r="AS830" i="13" s="1"/>
  <c r="AR830" i="13"/>
  <c r="AQ831" i="13"/>
  <c r="AR831" i="13"/>
  <c r="AS831" i="13"/>
  <c r="AQ832" i="13"/>
  <c r="AS832" i="13" s="1"/>
  <c r="AR832" i="13"/>
  <c r="AQ833" i="13"/>
  <c r="AS833" i="13" s="1"/>
  <c r="AR833" i="13"/>
  <c r="AQ834" i="13"/>
  <c r="AR834" i="13"/>
  <c r="AS834" i="13"/>
  <c r="AQ835" i="13"/>
  <c r="AS835" i="13" s="1"/>
  <c r="AR835" i="13"/>
  <c r="AQ836" i="13"/>
  <c r="AR836" i="13"/>
  <c r="AS836" i="13"/>
  <c r="AQ837" i="13"/>
  <c r="AR837" i="13"/>
  <c r="AS837" i="13"/>
  <c r="AQ838" i="13"/>
  <c r="AS838" i="13" s="1"/>
  <c r="AR838" i="13"/>
  <c r="AQ839" i="13"/>
  <c r="AR839" i="13"/>
  <c r="AS839" i="13"/>
  <c r="AQ840" i="13"/>
  <c r="AS840" i="13" s="1"/>
  <c r="AR840" i="13"/>
  <c r="AQ841" i="13"/>
  <c r="AS841" i="13" s="1"/>
  <c r="AR841" i="13"/>
  <c r="AQ842" i="13"/>
  <c r="AR842" i="13"/>
  <c r="AS842" i="13"/>
  <c r="AQ843" i="13"/>
  <c r="AS843" i="13" s="1"/>
  <c r="AR843" i="13"/>
  <c r="AQ844" i="13"/>
  <c r="AR844" i="13"/>
  <c r="AS844" i="13"/>
  <c r="AQ845" i="13"/>
  <c r="AR845" i="13"/>
  <c r="AS845" i="13"/>
  <c r="AQ846" i="13"/>
  <c r="AS846" i="13" s="1"/>
  <c r="AR846" i="13"/>
  <c r="AQ847" i="13"/>
  <c r="AR847" i="13"/>
  <c r="AS847" i="13"/>
  <c r="AQ848" i="13"/>
  <c r="AS848" i="13" s="1"/>
  <c r="AR848" i="13"/>
  <c r="AQ849" i="13"/>
  <c r="AS849" i="13" s="1"/>
  <c r="AR849" i="13"/>
  <c r="AQ850" i="13"/>
  <c r="AR850" i="13"/>
  <c r="AS850" i="13"/>
  <c r="AQ851" i="13"/>
  <c r="AS851" i="13" s="1"/>
  <c r="AR851" i="13"/>
  <c r="AQ852" i="13"/>
  <c r="AR852" i="13"/>
  <c r="AS852" i="13"/>
  <c r="AQ853" i="13"/>
  <c r="AR853" i="13"/>
  <c r="AS853" i="13"/>
  <c r="AQ854" i="13"/>
  <c r="AS854" i="13" s="1"/>
  <c r="AR854" i="13"/>
  <c r="AQ855" i="13"/>
  <c r="AR855" i="13"/>
  <c r="AS855" i="13"/>
  <c r="AQ856" i="13"/>
  <c r="AS856" i="13" s="1"/>
  <c r="AR856" i="13"/>
  <c r="AQ857" i="13"/>
  <c r="AS857" i="13" s="1"/>
  <c r="AR857" i="13"/>
  <c r="AQ858" i="13"/>
  <c r="AR858" i="13"/>
  <c r="AS858" i="13"/>
  <c r="AQ859" i="13"/>
  <c r="AS859" i="13" s="1"/>
  <c r="AR859" i="13"/>
  <c r="AQ860" i="13"/>
  <c r="AR860" i="13"/>
  <c r="AS860" i="13"/>
  <c r="AQ861" i="13"/>
  <c r="AR861" i="13"/>
  <c r="AS861" i="13"/>
  <c r="AQ862" i="13"/>
  <c r="AS862" i="13" s="1"/>
  <c r="AR862" i="13"/>
  <c r="AQ863" i="13"/>
  <c r="AR863" i="13"/>
  <c r="AS863" i="13"/>
  <c r="AQ864" i="13"/>
  <c r="AS864" i="13" s="1"/>
  <c r="AR864" i="13"/>
  <c r="AQ865" i="13"/>
  <c r="AS865" i="13" s="1"/>
  <c r="AR865" i="13"/>
  <c r="AQ866" i="13"/>
  <c r="AR866" i="13"/>
  <c r="AS866" i="13"/>
  <c r="AQ867" i="13"/>
  <c r="AS867" i="13" s="1"/>
  <c r="AR867" i="13"/>
  <c r="AQ868" i="13"/>
  <c r="AR868" i="13"/>
  <c r="AS868" i="13"/>
  <c r="AQ869" i="13"/>
  <c r="AR869" i="13"/>
  <c r="AS869" i="13"/>
  <c r="AQ870" i="13"/>
  <c r="AS870" i="13" s="1"/>
  <c r="AR870" i="13"/>
  <c r="AQ871" i="13"/>
  <c r="AR871" i="13"/>
  <c r="AS871" i="13"/>
  <c r="AQ872" i="13"/>
  <c r="AS872" i="13" s="1"/>
  <c r="AR872" i="13"/>
  <c r="AQ873" i="13"/>
  <c r="AS873" i="13" s="1"/>
  <c r="AR873" i="13"/>
  <c r="AQ874" i="13"/>
  <c r="AR874" i="13"/>
  <c r="AS874" i="13"/>
  <c r="AQ875" i="13"/>
  <c r="AS875" i="13" s="1"/>
  <c r="AR875" i="13"/>
  <c r="AQ876" i="13"/>
  <c r="AR876" i="13"/>
  <c r="AS876" i="13"/>
  <c r="AQ877" i="13"/>
  <c r="AR877" i="13"/>
  <c r="AS877" i="13"/>
  <c r="AQ878" i="13"/>
  <c r="AS878" i="13" s="1"/>
  <c r="AR878" i="13"/>
  <c r="AQ879" i="13"/>
  <c r="AR879" i="13"/>
  <c r="AS879" i="13"/>
  <c r="AQ880" i="13"/>
  <c r="AS880" i="13" s="1"/>
  <c r="AR880" i="13"/>
  <c r="AQ881" i="13"/>
  <c r="AS881" i="13" s="1"/>
  <c r="AR881" i="13"/>
  <c r="AQ882" i="13"/>
  <c r="AR882" i="13"/>
  <c r="AS882" i="13"/>
  <c r="AQ883" i="13"/>
  <c r="AS883" i="13" s="1"/>
  <c r="AR883" i="13"/>
  <c r="AQ884" i="13"/>
  <c r="AR884" i="13"/>
  <c r="AS884" i="13"/>
  <c r="AQ885" i="13"/>
  <c r="AR885" i="13"/>
  <c r="AS885" i="13"/>
  <c r="AQ886" i="13"/>
  <c r="AS886" i="13" s="1"/>
  <c r="AR886" i="13"/>
  <c r="AQ887" i="13"/>
  <c r="AR887" i="13"/>
  <c r="AS887" i="13"/>
  <c r="AQ888" i="13"/>
  <c r="AS888" i="13" s="1"/>
  <c r="AR888" i="13"/>
  <c r="AQ889" i="13"/>
  <c r="AS889" i="13" s="1"/>
  <c r="AR889" i="13"/>
  <c r="AQ890" i="13"/>
  <c r="AR890" i="13"/>
  <c r="AS890" i="13"/>
  <c r="AQ891" i="13"/>
  <c r="AS891" i="13" s="1"/>
  <c r="AR891" i="13"/>
  <c r="AQ892" i="13"/>
  <c r="AR892" i="13"/>
  <c r="AS892" i="13"/>
  <c r="AQ893" i="13"/>
  <c r="AR893" i="13"/>
  <c r="AS893" i="13"/>
  <c r="AQ894" i="13"/>
  <c r="AS894" i="13" s="1"/>
  <c r="AR894" i="13"/>
  <c r="AQ895" i="13"/>
  <c r="AR895" i="13"/>
  <c r="AS895" i="13"/>
  <c r="AQ896" i="13"/>
  <c r="AS896" i="13" s="1"/>
  <c r="AR896" i="13"/>
  <c r="AQ897" i="13"/>
  <c r="AS897" i="13" s="1"/>
  <c r="AR897" i="13"/>
  <c r="AQ898" i="13"/>
  <c r="AR898" i="13"/>
  <c r="AS898" i="13"/>
  <c r="AQ899" i="13"/>
  <c r="AS899" i="13" s="1"/>
  <c r="AR899" i="13"/>
  <c r="AQ900" i="13"/>
  <c r="AR900" i="13"/>
  <c r="AS900" i="13"/>
  <c r="AQ901" i="13"/>
  <c r="AR901" i="13"/>
  <c r="AS901" i="13"/>
  <c r="AQ902" i="13"/>
  <c r="AS902" i="13" s="1"/>
  <c r="AR902" i="13"/>
  <c r="AQ903" i="13"/>
  <c r="AR903" i="13"/>
  <c r="AS903" i="13"/>
  <c r="AQ904" i="13"/>
  <c r="AS904" i="13" s="1"/>
  <c r="AR904" i="13"/>
  <c r="AQ905" i="13"/>
  <c r="AS905" i="13" s="1"/>
  <c r="AR905" i="13"/>
  <c r="AQ906" i="13"/>
  <c r="AR906" i="13"/>
  <c r="AS906" i="13"/>
  <c r="AQ907" i="13"/>
  <c r="AS907" i="13" s="1"/>
  <c r="AR907" i="13"/>
  <c r="AQ908" i="13"/>
  <c r="AR908" i="13"/>
  <c r="AS908" i="13"/>
  <c r="AQ909" i="13"/>
  <c r="AR909" i="13"/>
  <c r="AS909" i="13"/>
  <c r="AQ910" i="13"/>
  <c r="AS910" i="13" s="1"/>
  <c r="AR910" i="13"/>
  <c r="AQ911" i="13"/>
  <c r="AR911" i="13"/>
  <c r="AS911" i="13"/>
  <c r="AQ912" i="13"/>
  <c r="AS912" i="13" s="1"/>
  <c r="AR912" i="13"/>
  <c r="AQ913" i="13"/>
  <c r="AS913" i="13" s="1"/>
  <c r="AR913" i="13"/>
  <c r="AQ914" i="13"/>
  <c r="AR914" i="13"/>
  <c r="AS914" i="13"/>
  <c r="AQ915" i="13"/>
  <c r="AS915" i="13" s="1"/>
  <c r="AR915" i="13"/>
  <c r="AQ916" i="13"/>
  <c r="AS916" i="13" s="1"/>
  <c r="AR916" i="13"/>
  <c r="AQ917" i="13"/>
  <c r="AR917" i="13"/>
  <c r="AS917" i="13"/>
  <c r="AQ918" i="13"/>
  <c r="AS918" i="13" s="1"/>
  <c r="AR918" i="13"/>
  <c r="AQ919" i="13"/>
  <c r="AR919" i="13"/>
  <c r="AS919" i="13"/>
  <c r="AQ920" i="13"/>
  <c r="AS920" i="13" s="1"/>
  <c r="AR920" i="13"/>
  <c r="AQ921" i="13"/>
  <c r="AS921" i="13" s="1"/>
  <c r="AR921" i="13"/>
  <c r="AQ922" i="13"/>
  <c r="AR922" i="13"/>
  <c r="AS922" i="13"/>
  <c r="AQ923" i="13"/>
  <c r="AS923" i="13" s="1"/>
  <c r="AR923" i="13"/>
  <c r="AQ924" i="13"/>
  <c r="AS924" i="13" s="1"/>
  <c r="AR924" i="13"/>
  <c r="AQ925" i="13"/>
  <c r="AR925" i="13"/>
  <c r="AS925" i="13"/>
  <c r="AQ926" i="13"/>
  <c r="AR926" i="13"/>
  <c r="AS926" i="13"/>
  <c r="AQ927" i="13"/>
  <c r="AR927" i="13"/>
  <c r="AS927" i="13"/>
  <c r="AQ928" i="13"/>
  <c r="AS928" i="13" s="1"/>
  <c r="AR928" i="13"/>
  <c r="AQ929" i="13"/>
  <c r="AS929" i="13" s="1"/>
  <c r="AR929" i="13"/>
  <c r="AQ930" i="13"/>
  <c r="AR930" i="13"/>
  <c r="AS930" i="13"/>
  <c r="AQ931" i="13"/>
  <c r="AS931" i="13" s="1"/>
  <c r="AR931" i="13"/>
  <c r="AQ932" i="13"/>
  <c r="AS932" i="13" s="1"/>
  <c r="AR932" i="13"/>
  <c r="AQ933" i="13"/>
  <c r="AR933" i="13"/>
  <c r="AS933" i="13"/>
  <c r="AQ934" i="13"/>
  <c r="AR934" i="13"/>
  <c r="AS934" i="13"/>
  <c r="AQ935" i="13"/>
  <c r="AR935" i="13"/>
  <c r="AS935" i="13"/>
  <c r="AQ936" i="13"/>
  <c r="AS936" i="13" s="1"/>
  <c r="AR936" i="13"/>
  <c r="AQ937" i="13"/>
  <c r="AS937" i="13" s="1"/>
  <c r="AR937" i="13"/>
  <c r="AQ938" i="13"/>
  <c r="AR938" i="13"/>
  <c r="AS938" i="13"/>
  <c r="AQ939" i="13"/>
  <c r="AS939" i="13" s="1"/>
  <c r="AR939" i="13"/>
  <c r="AQ940" i="13"/>
  <c r="AS940" i="13" s="1"/>
  <c r="AR940" i="13"/>
  <c r="AQ941" i="13"/>
  <c r="AR941" i="13"/>
  <c r="AS941" i="13"/>
  <c r="AQ942" i="13"/>
  <c r="AR942" i="13"/>
  <c r="AS942" i="13"/>
  <c r="AQ943" i="13"/>
  <c r="AR943" i="13"/>
  <c r="AS943" i="13"/>
  <c r="AQ944" i="13"/>
  <c r="AS944" i="13" s="1"/>
  <c r="AR944" i="13"/>
  <c r="AQ945" i="13"/>
  <c r="AS945" i="13" s="1"/>
  <c r="AR945" i="13"/>
  <c r="AQ946" i="13"/>
  <c r="AR946" i="13"/>
  <c r="AS946" i="13"/>
  <c r="AQ947" i="13"/>
  <c r="AS947" i="13" s="1"/>
  <c r="AR947" i="13"/>
  <c r="AQ948" i="13"/>
  <c r="AS948" i="13" s="1"/>
  <c r="AR948" i="13"/>
  <c r="AQ949" i="13"/>
  <c r="AR949" i="13"/>
  <c r="AS949" i="13"/>
  <c r="AQ950" i="13"/>
  <c r="AR950" i="13"/>
  <c r="AS950" i="13"/>
  <c r="AQ951" i="13"/>
  <c r="AR951" i="13"/>
  <c r="AS951" i="13"/>
  <c r="AQ952" i="13"/>
  <c r="AS952" i="13" s="1"/>
  <c r="AR952" i="13"/>
  <c r="AQ953" i="13"/>
  <c r="AS953" i="13" s="1"/>
  <c r="AR953" i="13"/>
  <c r="AQ954" i="13"/>
  <c r="AR954" i="13"/>
  <c r="AS954" i="13"/>
  <c r="AQ955" i="13"/>
  <c r="AS955" i="13" s="1"/>
  <c r="AR955" i="13"/>
  <c r="AQ956" i="13"/>
  <c r="AS956" i="13" s="1"/>
  <c r="AR956" i="13"/>
  <c r="AQ957" i="13"/>
  <c r="AR957" i="13"/>
  <c r="AS957" i="13"/>
  <c r="AQ958" i="13"/>
  <c r="AR958" i="13"/>
  <c r="AS958" i="13"/>
  <c r="AQ959" i="13"/>
  <c r="AR959" i="13"/>
  <c r="AS959" i="13"/>
  <c r="AQ960" i="13"/>
  <c r="AS960" i="13" s="1"/>
  <c r="AR960" i="13"/>
  <c r="AQ961" i="13"/>
  <c r="AS961" i="13" s="1"/>
  <c r="AR961" i="13"/>
  <c r="AQ962" i="13"/>
  <c r="AR962" i="13"/>
  <c r="AS962" i="13"/>
  <c r="AQ963" i="13"/>
  <c r="AS963" i="13" s="1"/>
  <c r="AR963" i="13"/>
  <c r="AQ964" i="13"/>
  <c r="AS964" i="13" s="1"/>
  <c r="AR964" i="13"/>
  <c r="AQ965" i="13"/>
  <c r="AR965" i="13"/>
  <c r="AS965" i="13"/>
  <c r="AQ966" i="13"/>
  <c r="AR966" i="13"/>
  <c r="AS966" i="13"/>
  <c r="AQ967" i="13"/>
  <c r="AR967" i="13"/>
  <c r="AS967" i="13"/>
  <c r="AQ968" i="13"/>
  <c r="AS968" i="13" s="1"/>
  <c r="AR968" i="13"/>
  <c r="AQ969" i="13"/>
  <c r="AS969" i="13" s="1"/>
  <c r="AR969" i="13"/>
  <c r="AQ970" i="13"/>
  <c r="AR970" i="13"/>
  <c r="AS970" i="13"/>
  <c r="AQ971" i="13"/>
  <c r="AS971" i="13" s="1"/>
  <c r="AR971" i="13"/>
  <c r="AQ972" i="13"/>
  <c r="AS972" i="13" s="1"/>
  <c r="AR972" i="13"/>
  <c r="AQ973" i="13"/>
  <c r="AR973" i="13"/>
  <c r="AS973" i="13"/>
  <c r="AQ974" i="13"/>
  <c r="AR974" i="13"/>
  <c r="AS974" i="13"/>
  <c r="AQ975" i="13"/>
  <c r="AR975" i="13"/>
  <c r="AS975" i="13"/>
  <c r="AQ976" i="13"/>
  <c r="AS976" i="13" s="1"/>
  <c r="AR976" i="13"/>
  <c r="AQ977" i="13"/>
  <c r="AS977" i="13" s="1"/>
  <c r="AR977" i="13"/>
  <c r="AQ978" i="13"/>
  <c r="AR978" i="13"/>
  <c r="AS978" i="13"/>
  <c r="AQ979" i="13"/>
  <c r="AS979" i="13" s="1"/>
  <c r="AR979" i="13"/>
  <c r="AQ980" i="13"/>
  <c r="AS980" i="13" s="1"/>
  <c r="AR980" i="13"/>
  <c r="AQ981" i="13"/>
  <c r="AR981" i="13"/>
  <c r="AS981" i="13"/>
  <c r="AQ982" i="13"/>
  <c r="AR982" i="13"/>
  <c r="AS982" i="13"/>
  <c r="AQ983" i="13"/>
  <c r="AR983" i="13"/>
  <c r="AS983" i="13"/>
  <c r="AQ984" i="13"/>
  <c r="AS984" i="13" s="1"/>
  <c r="AR984" i="13"/>
  <c r="AQ985" i="13"/>
  <c r="AS985" i="13" s="1"/>
  <c r="AR985" i="13"/>
  <c r="AQ986" i="13"/>
  <c r="AR986" i="13"/>
  <c r="AS986" i="13"/>
  <c r="AQ987" i="13"/>
  <c r="AS987" i="13" s="1"/>
  <c r="AR987" i="13"/>
  <c r="AQ988" i="13"/>
  <c r="AS988" i="13" s="1"/>
  <c r="AR988" i="13"/>
  <c r="AQ989" i="13"/>
  <c r="AR989" i="13"/>
  <c r="AS989" i="13"/>
  <c r="AQ990" i="13"/>
  <c r="AS990" i="13" s="1"/>
  <c r="AR990" i="13"/>
  <c r="AQ991" i="13"/>
  <c r="AR991" i="13"/>
  <c r="AS991" i="13"/>
  <c r="AQ992" i="13"/>
  <c r="AS992" i="13" s="1"/>
  <c r="AR992" i="13"/>
  <c r="AQ993" i="13"/>
  <c r="AS993" i="13" s="1"/>
  <c r="AR993" i="13"/>
  <c r="AQ994" i="13"/>
  <c r="AR994" i="13"/>
  <c r="AS994" i="13"/>
  <c r="AQ995" i="13"/>
  <c r="AS995" i="13" s="1"/>
  <c r="AR995" i="13"/>
  <c r="AQ996" i="13"/>
  <c r="AS996" i="13" s="1"/>
  <c r="AR996" i="13"/>
  <c r="AQ997" i="13"/>
  <c r="AR997" i="13"/>
  <c r="AS997" i="13"/>
  <c r="AQ998" i="13"/>
  <c r="AR998" i="13"/>
  <c r="AS998" i="13"/>
  <c r="AQ999" i="13"/>
  <c r="AR999" i="13"/>
  <c r="AS999" i="13"/>
  <c r="AQ1000" i="13"/>
  <c r="AS1000" i="13" s="1"/>
  <c r="AR1000" i="13"/>
  <c r="AQ1001" i="13"/>
  <c r="AS1001" i="13" s="1"/>
  <c r="AR1001" i="13"/>
  <c r="AQ1002" i="13"/>
  <c r="AR1002" i="13"/>
  <c r="AS1002" i="13"/>
  <c r="AQ1003" i="13"/>
  <c r="AS1003" i="13" s="1"/>
  <c r="AR1003" i="13"/>
  <c r="AQ1004" i="13"/>
  <c r="AS1004" i="13" s="1"/>
  <c r="AR1004" i="13"/>
  <c r="AQ1005" i="13"/>
  <c r="AR1005" i="13"/>
  <c r="AS1005" i="13"/>
  <c r="AQ1006" i="13"/>
  <c r="AS1006" i="13" s="1"/>
  <c r="AR1006" i="13"/>
  <c r="AQ1007" i="13"/>
  <c r="AR1007" i="13"/>
  <c r="AS1007" i="13"/>
  <c r="AQ1008" i="13"/>
  <c r="AS1008" i="13" s="1"/>
  <c r="AR1008" i="13"/>
  <c r="AQ1009" i="13"/>
  <c r="AS1009" i="13" s="1"/>
  <c r="AR1009" i="13"/>
  <c r="AQ1010" i="13"/>
  <c r="AR1010" i="13"/>
  <c r="AS1010" i="13"/>
  <c r="AQ1011" i="13"/>
  <c r="AS1011" i="13" s="1"/>
  <c r="AR1011" i="13"/>
  <c r="AQ1012" i="13"/>
  <c r="AS1012" i="13" s="1"/>
  <c r="AR1012" i="13"/>
  <c r="AQ1013" i="13"/>
  <c r="AR1013" i="13"/>
  <c r="AS1013" i="13"/>
  <c r="AQ1014" i="13"/>
  <c r="AS1014" i="13" s="1"/>
  <c r="AR1014" i="13"/>
  <c r="AQ1015" i="13"/>
  <c r="AR1015" i="13"/>
  <c r="AS1015" i="13"/>
  <c r="AQ1016" i="13"/>
  <c r="AS1016" i="13" s="1"/>
  <c r="AR1016" i="13"/>
  <c r="AQ1017" i="13"/>
  <c r="AS1017" i="13" s="1"/>
  <c r="AR1017" i="13"/>
  <c r="AQ1018" i="13"/>
  <c r="AR1018" i="13"/>
  <c r="AS1018" i="13"/>
  <c r="AQ1019" i="13"/>
  <c r="AS1019" i="13" s="1"/>
  <c r="AR1019" i="13"/>
  <c r="AQ1020" i="13"/>
  <c r="AS1020" i="13" s="1"/>
  <c r="AR1020" i="13"/>
  <c r="AQ1021" i="13"/>
  <c r="AR1021" i="13"/>
  <c r="AS1021" i="13"/>
  <c r="AQ1022" i="13"/>
  <c r="AS1022" i="13" s="1"/>
  <c r="AR1022" i="13"/>
  <c r="AQ1023" i="13"/>
  <c r="AR1023" i="13"/>
  <c r="AS1023" i="13"/>
  <c r="AQ1024" i="13"/>
  <c r="AS1024" i="13" s="1"/>
  <c r="AR1024" i="13"/>
  <c r="AQ1025" i="13"/>
  <c r="AS1025" i="13" s="1"/>
  <c r="AR1025" i="13"/>
  <c r="AQ1026" i="13"/>
  <c r="AR1026" i="13"/>
  <c r="AS1026" i="13"/>
  <c r="AQ1027" i="13"/>
  <c r="AS1027" i="13" s="1"/>
  <c r="AR1027" i="13"/>
  <c r="AQ1028" i="13"/>
  <c r="AS1028" i="13" s="1"/>
  <c r="AR1028" i="13"/>
  <c r="AQ1029" i="13"/>
  <c r="AR1029" i="13"/>
  <c r="AS1029" i="13"/>
  <c r="AQ1030" i="13"/>
  <c r="AS1030" i="13" s="1"/>
  <c r="AR1030" i="13"/>
  <c r="AQ1031" i="13"/>
  <c r="AR1031" i="13"/>
  <c r="AS1031" i="13"/>
  <c r="AQ1032" i="13"/>
  <c r="AS1032" i="13" s="1"/>
  <c r="AR1032" i="13"/>
  <c r="AQ1033" i="13"/>
  <c r="AS1033" i="13" s="1"/>
  <c r="AR1033" i="13"/>
  <c r="AQ1034" i="13"/>
  <c r="AR1034" i="13"/>
  <c r="AS1034" i="13"/>
  <c r="AQ1035" i="13"/>
  <c r="AS1035" i="13" s="1"/>
  <c r="AR1035" i="13"/>
  <c r="AQ1036" i="13"/>
  <c r="AS1036" i="13" s="1"/>
  <c r="AR1036" i="13"/>
  <c r="AQ1037" i="13"/>
  <c r="AR1037" i="13"/>
  <c r="AS1037" i="13"/>
  <c r="AQ1038" i="13"/>
  <c r="AS1038" i="13" s="1"/>
  <c r="AR1038" i="13"/>
  <c r="AQ1039" i="13"/>
  <c r="AR1039" i="13"/>
  <c r="AS1039" i="13"/>
  <c r="AQ1040" i="13"/>
  <c r="AS1040" i="13" s="1"/>
  <c r="AR1040" i="13"/>
  <c r="AQ1041" i="13"/>
  <c r="AS1041" i="13" s="1"/>
  <c r="AR1041" i="13"/>
  <c r="AQ1042" i="13"/>
  <c r="AR1042" i="13"/>
  <c r="AS1042" i="13"/>
  <c r="AQ1043" i="13"/>
  <c r="AS1043" i="13" s="1"/>
  <c r="AR1043" i="13"/>
  <c r="AQ1044" i="13"/>
  <c r="AS1044" i="13" s="1"/>
  <c r="AR1044" i="13"/>
  <c r="AQ1045" i="13"/>
  <c r="AR1045" i="13"/>
  <c r="AS1045" i="13"/>
  <c r="AQ1046" i="13"/>
  <c r="AS1046" i="13" s="1"/>
  <c r="AR1046" i="13"/>
  <c r="AQ1047" i="13"/>
  <c r="AR1047" i="13"/>
  <c r="AS1047" i="13"/>
  <c r="AQ1048" i="13"/>
  <c r="AS1048" i="13" s="1"/>
  <c r="AR1048" i="13"/>
  <c r="AQ1049" i="13"/>
  <c r="AS1049" i="13" s="1"/>
  <c r="AR1049" i="13"/>
  <c r="AQ1050" i="13"/>
  <c r="AR1050" i="13"/>
  <c r="AS1050" i="13"/>
  <c r="AQ1051" i="13"/>
  <c r="AS1051" i="13" s="1"/>
  <c r="AR1051" i="13"/>
  <c r="AQ1052" i="13"/>
  <c r="AS1052" i="13" s="1"/>
  <c r="AR1052" i="13"/>
  <c r="AQ1053" i="13"/>
  <c r="AR1053" i="13"/>
  <c r="AS1053" i="13"/>
  <c r="AQ1054" i="13"/>
  <c r="AS1054" i="13" s="1"/>
  <c r="AR1054" i="13"/>
  <c r="AQ1055" i="13"/>
  <c r="AR1055" i="13"/>
  <c r="AS1055" i="13"/>
  <c r="AQ1056" i="13"/>
  <c r="AS1056" i="13" s="1"/>
  <c r="AR1056" i="13"/>
  <c r="AQ1057" i="13"/>
  <c r="AS1057" i="13" s="1"/>
  <c r="AR1057" i="13"/>
  <c r="AQ1058" i="13"/>
  <c r="AR1058" i="13"/>
  <c r="AS1058" i="13"/>
  <c r="AQ1059" i="13"/>
  <c r="AS1059" i="13" s="1"/>
  <c r="AR1059" i="13"/>
  <c r="AQ1060" i="13"/>
  <c r="AS1060" i="13" s="1"/>
  <c r="AR1060" i="13"/>
  <c r="AQ1061" i="13"/>
  <c r="AR1061" i="13"/>
  <c r="AS1061" i="13"/>
  <c r="AQ1062" i="13"/>
  <c r="AR1062" i="13"/>
  <c r="AS1062" i="13"/>
  <c r="AQ1063" i="13"/>
  <c r="AR1063" i="13"/>
  <c r="AS1063" i="13"/>
  <c r="AQ1064" i="13"/>
  <c r="AS1064" i="13" s="1"/>
  <c r="AR1064" i="13"/>
  <c r="AQ1065" i="13"/>
  <c r="AS1065" i="13" s="1"/>
  <c r="AR1065" i="13"/>
  <c r="AQ1066" i="13"/>
  <c r="AR1066" i="13"/>
  <c r="AS1066" i="13"/>
  <c r="AQ1067" i="13"/>
  <c r="AS1067" i="13" s="1"/>
  <c r="AR1067" i="13"/>
  <c r="AQ1068" i="13"/>
  <c r="AS1068" i="13" s="1"/>
  <c r="AR1068" i="13"/>
  <c r="AQ1069" i="13"/>
  <c r="AR1069" i="13"/>
  <c r="AS1069" i="13"/>
  <c r="AQ1070" i="13"/>
  <c r="AS1070" i="13" s="1"/>
  <c r="AR1070" i="13"/>
  <c r="AQ1071" i="13"/>
  <c r="AR1071" i="13"/>
  <c r="AS1071" i="13"/>
  <c r="AQ1072" i="13"/>
  <c r="AS1072" i="13" s="1"/>
  <c r="AR1072" i="13"/>
  <c r="AQ1073" i="13"/>
  <c r="AS1073" i="13" s="1"/>
  <c r="AR1073" i="13"/>
  <c r="AQ1074" i="13"/>
  <c r="AR1074" i="13"/>
  <c r="AS1074" i="13"/>
  <c r="AQ1075" i="13"/>
  <c r="AS1075" i="13" s="1"/>
  <c r="AR1075" i="13"/>
  <c r="AQ1076" i="13"/>
  <c r="AS1076" i="13" s="1"/>
  <c r="AR1076" i="13"/>
  <c r="AQ1077" i="13"/>
  <c r="AR1077" i="13"/>
  <c r="AS1077" i="13"/>
  <c r="AQ1078" i="13"/>
  <c r="AS1078" i="13" s="1"/>
  <c r="AR1078" i="13"/>
  <c r="AQ1079" i="13"/>
  <c r="AR1079" i="13"/>
  <c r="AS1079" i="13"/>
  <c r="AQ1080" i="13"/>
  <c r="AS1080" i="13" s="1"/>
  <c r="AR1080" i="13"/>
  <c r="AQ1081" i="13"/>
  <c r="AS1081" i="13" s="1"/>
  <c r="AR1081" i="13"/>
  <c r="AQ1082" i="13"/>
  <c r="AR1082" i="13"/>
  <c r="AS1082" i="13"/>
  <c r="AQ1083" i="13"/>
  <c r="AS1083" i="13" s="1"/>
  <c r="AR1083" i="13"/>
  <c r="AQ1084" i="13"/>
  <c r="AS1084" i="13" s="1"/>
  <c r="AR1084" i="13"/>
  <c r="AQ1085" i="13"/>
  <c r="AR1085" i="13"/>
  <c r="AS1085" i="13"/>
  <c r="AQ1086" i="13"/>
  <c r="AS1086" i="13" s="1"/>
  <c r="AR1086" i="13"/>
  <c r="AQ1087" i="13"/>
  <c r="AR1087" i="13"/>
  <c r="AS1087" i="13"/>
  <c r="AQ1088" i="13"/>
  <c r="AS1088" i="13" s="1"/>
  <c r="AR1088" i="13"/>
  <c r="AQ1089" i="13"/>
  <c r="AS1089" i="13" s="1"/>
  <c r="AR1089" i="13"/>
  <c r="AQ1090" i="13"/>
  <c r="AR1090" i="13"/>
  <c r="AS1090" i="13"/>
  <c r="AQ1091" i="13"/>
  <c r="AS1091" i="13" s="1"/>
  <c r="AR1091" i="13"/>
  <c r="AQ1092" i="13"/>
  <c r="AS1092" i="13" s="1"/>
  <c r="AR1092" i="13"/>
  <c r="AQ1093" i="13"/>
  <c r="AR1093" i="13"/>
  <c r="AS1093" i="13"/>
  <c r="AQ1094" i="13"/>
  <c r="AS1094" i="13" s="1"/>
  <c r="AR1094" i="13"/>
  <c r="AQ1095" i="13"/>
  <c r="AR1095" i="13"/>
  <c r="AS1095" i="13"/>
  <c r="AQ1096" i="13"/>
  <c r="AS1096" i="13" s="1"/>
  <c r="AR1096" i="13"/>
  <c r="AQ1097" i="13"/>
  <c r="AS1097" i="13" s="1"/>
  <c r="AR1097" i="13"/>
  <c r="AQ1098" i="13"/>
  <c r="AR1098" i="13"/>
  <c r="AS1098" i="13"/>
  <c r="AQ1099" i="13"/>
  <c r="AS1099" i="13" s="1"/>
  <c r="AR1099" i="13"/>
  <c r="AQ1100" i="13"/>
  <c r="AS1100" i="13" s="1"/>
  <c r="AR1100" i="13"/>
  <c r="AQ1101" i="13"/>
  <c r="AR1101" i="13"/>
  <c r="AS1101" i="13"/>
  <c r="AQ1102" i="13"/>
  <c r="AS1102" i="13" s="1"/>
  <c r="AR1102" i="13"/>
  <c r="AQ1103" i="13"/>
  <c r="AR1103" i="13"/>
  <c r="AS1103" i="13"/>
  <c r="AQ1104" i="13"/>
  <c r="AS1104" i="13" s="1"/>
  <c r="AR1104" i="13"/>
  <c r="AQ1105" i="13"/>
  <c r="AS1105" i="13" s="1"/>
  <c r="AR1105" i="13"/>
  <c r="AQ1106" i="13"/>
  <c r="AR1106" i="13"/>
  <c r="AS1106" i="13"/>
  <c r="AQ1107" i="13"/>
  <c r="AS1107" i="13" s="1"/>
  <c r="AR1107" i="13"/>
  <c r="AQ1108" i="13"/>
  <c r="AS1108" i="13" s="1"/>
  <c r="AR1108" i="13"/>
  <c r="AQ1109" i="13"/>
  <c r="AR1109" i="13"/>
  <c r="AS1109" i="13"/>
  <c r="AQ1110" i="13"/>
  <c r="AS1110" i="13" s="1"/>
  <c r="AR1110" i="13"/>
  <c r="AQ1111" i="13"/>
  <c r="AR1111" i="13"/>
  <c r="AS1111" i="13"/>
  <c r="AQ1112" i="13"/>
  <c r="AS1112" i="13" s="1"/>
  <c r="AR1112" i="13"/>
  <c r="AQ1113" i="13"/>
  <c r="AS1113" i="13" s="1"/>
  <c r="AR1113" i="13"/>
  <c r="AQ1114" i="13"/>
  <c r="AR1114" i="13"/>
  <c r="AS1114" i="13"/>
  <c r="AQ1115" i="13"/>
  <c r="AS1115" i="13" s="1"/>
  <c r="AR1115" i="13"/>
  <c r="AQ1116" i="13"/>
  <c r="AS1116" i="13" s="1"/>
  <c r="AR1116" i="13"/>
  <c r="AQ1117" i="13"/>
  <c r="AR1117" i="13"/>
  <c r="AS1117" i="13"/>
  <c r="AQ1118" i="13"/>
  <c r="AS1118" i="13" s="1"/>
  <c r="AR1118" i="13"/>
  <c r="AQ1119" i="13"/>
  <c r="AR1119" i="13"/>
  <c r="AS1119" i="13"/>
  <c r="AQ1120" i="13"/>
  <c r="AS1120" i="13" s="1"/>
  <c r="AR1120" i="13"/>
  <c r="AQ1121" i="13"/>
  <c r="AS1121" i="13" s="1"/>
  <c r="AR1121" i="13"/>
  <c r="AQ1122" i="13"/>
  <c r="AR1122" i="13"/>
  <c r="AS1122" i="13"/>
  <c r="AQ1123" i="13"/>
  <c r="AS1123" i="13" s="1"/>
  <c r="AR1123" i="13"/>
  <c r="AQ1124" i="13"/>
  <c r="AS1124" i="13" s="1"/>
  <c r="AR1124" i="13"/>
  <c r="AQ1125" i="13"/>
  <c r="AR1125" i="13"/>
  <c r="AS1125" i="13"/>
  <c r="AQ1126" i="13"/>
  <c r="AS1126" i="13" s="1"/>
  <c r="AR1126" i="13"/>
  <c r="AQ1127" i="13"/>
  <c r="AR1127" i="13"/>
  <c r="AS1127" i="13"/>
  <c r="AQ1128" i="13"/>
  <c r="AS1128" i="13" s="1"/>
  <c r="AR1128" i="13"/>
  <c r="AQ1129" i="13"/>
  <c r="AS1129" i="13" s="1"/>
  <c r="AR1129" i="13"/>
  <c r="AQ1130" i="13"/>
  <c r="AR1130" i="13"/>
  <c r="AS1130" i="13"/>
  <c r="AQ1131" i="13"/>
  <c r="AS1131" i="13" s="1"/>
  <c r="AR1131" i="13"/>
  <c r="AQ1132" i="13"/>
  <c r="AR1132" i="13"/>
  <c r="AS1132" i="13"/>
  <c r="AQ1133" i="13"/>
  <c r="AR1133" i="13"/>
  <c r="AS1133" i="13"/>
  <c r="AQ1134" i="13"/>
  <c r="AS1134" i="13" s="1"/>
  <c r="AR1134" i="13"/>
  <c r="AQ1135" i="13"/>
  <c r="AR1135" i="13"/>
  <c r="AS1135" i="13"/>
  <c r="AQ1136" i="13"/>
  <c r="AS1136" i="13" s="1"/>
  <c r="AR1136" i="13"/>
  <c r="AQ1137" i="13"/>
  <c r="AS1137" i="13" s="1"/>
  <c r="AR1137" i="13"/>
  <c r="AQ1138" i="13"/>
  <c r="AR1138" i="13"/>
  <c r="AS1138" i="13"/>
  <c r="AQ1139" i="13"/>
  <c r="AS1139" i="13" s="1"/>
  <c r="AR1139" i="13"/>
  <c r="AQ1140" i="13"/>
  <c r="AR1140" i="13"/>
  <c r="AS1140" i="13"/>
  <c r="AQ1141" i="13"/>
  <c r="AR1141" i="13"/>
  <c r="AS1141" i="13"/>
  <c r="AQ1142" i="13"/>
  <c r="AS1142" i="13" s="1"/>
  <c r="AR1142" i="13"/>
  <c r="AQ1143" i="13"/>
  <c r="AR1143" i="13"/>
  <c r="AS1143" i="13"/>
  <c r="AQ1144" i="13"/>
  <c r="AS1144" i="13" s="1"/>
  <c r="AR1144" i="13"/>
  <c r="AQ1145" i="13"/>
  <c r="AS1145" i="13" s="1"/>
  <c r="AR1145" i="13"/>
  <c r="AQ1146" i="13"/>
  <c r="AR1146" i="13"/>
  <c r="AS1146" i="13"/>
  <c r="AQ1147" i="13"/>
  <c r="AS1147" i="13" s="1"/>
  <c r="AR1147" i="13"/>
  <c r="AQ1148" i="13"/>
  <c r="AR1148" i="13"/>
  <c r="AS1148" i="13"/>
  <c r="AQ1149" i="13"/>
  <c r="AR1149" i="13"/>
  <c r="AS1149" i="13"/>
  <c r="AQ1150" i="13"/>
  <c r="AS1150" i="13" s="1"/>
  <c r="AR1150" i="13"/>
  <c r="AQ1151" i="13"/>
  <c r="AR1151" i="13"/>
  <c r="AS1151" i="13"/>
  <c r="AQ1152" i="13"/>
  <c r="AS1152" i="13" s="1"/>
  <c r="AR1152" i="13"/>
  <c r="AQ1153" i="13"/>
  <c r="AS1153" i="13" s="1"/>
  <c r="AR1153" i="13"/>
  <c r="AQ1154" i="13"/>
  <c r="AR1154" i="13"/>
  <c r="AS1154" i="13"/>
  <c r="AQ1155" i="13"/>
  <c r="AS1155" i="13" s="1"/>
  <c r="AR1155" i="13"/>
  <c r="AQ1156" i="13"/>
  <c r="AS1156" i="13" s="1"/>
  <c r="AR1156" i="13"/>
  <c r="AQ1157" i="13"/>
  <c r="AR1157" i="13"/>
  <c r="AS1157" i="13"/>
  <c r="AQ1158" i="13"/>
  <c r="AR1158" i="13"/>
  <c r="AS1158" i="13"/>
  <c r="AQ1159" i="13"/>
  <c r="AR1159" i="13"/>
  <c r="AS1159" i="13"/>
  <c r="AQ1160" i="13"/>
  <c r="AS1160" i="13" s="1"/>
  <c r="AR1160" i="13"/>
  <c r="AQ1161" i="13"/>
  <c r="AS1161" i="13" s="1"/>
  <c r="AR1161" i="13"/>
  <c r="AQ1162" i="13"/>
  <c r="AR1162" i="13"/>
  <c r="AS1162" i="13"/>
  <c r="AQ1163" i="13"/>
  <c r="AS1163" i="13" s="1"/>
  <c r="AR1163" i="13"/>
  <c r="AQ1164" i="13"/>
  <c r="AS1164" i="13" s="1"/>
  <c r="AR1164" i="13"/>
  <c r="AQ1165" i="13"/>
  <c r="AR1165" i="13"/>
  <c r="AS1165" i="13"/>
  <c r="AQ1166" i="13"/>
  <c r="AR1166" i="13"/>
  <c r="AS1166" i="13"/>
  <c r="AQ1167" i="13"/>
  <c r="AR1167" i="13"/>
  <c r="AS1167" i="13"/>
  <c r="AQ1168" i="13"/>
  <c r="AS1168" i="13" s="1"/>
  <c r="AR1168" i="13"/>
  <c r="AQ1169" i="13"/>
  <c r="AS1169" i="13" s="1"/>
  <c r="AR1169" i="13"/>
  <c r="AQ1170" i="13"/>
  <c r="AR1170" i="13"/>
  <c r="AS1170" i="13"/>
  <c r="AQ1171" i="13"/>
  <c r="AS1171" i="13" s="1"/>
  <c r="AR1171" i="13"/>
  <c r="AQ1172" i="13"/>
  <c r="AS1172" i="13" s="1"/>
  <c r="AR1172" i="13"/>
  <c r="AQ1173" i="13"/>
  <c r="AR1173" i="13"/>
  <c r="AS1173" i="13"/>
  <c r="AQ1174" i="13"/>
  <c r="AR1174" i="13"/>
  <c r="AS1174" i="13"/>
  <c r="AQ1175" i="13"/>
  <c r="AR1175" i="13"/>
  <c r="AS1175" i="13"/>
  <c r="AQ1176" i="13"/>
  <c r="AS1176" i="13" s="1"/>
  <c r="AR1176" i="13"/>
  <c r="AQ1177" i="13"/>
  <c r="AS1177" i="13" s="1"/>
  <c r="AR1177" i="13"/>
  <c r="AQ1178" i="13"/>
  <c r="AR1178" i="13"/>
  <c r="AS1178" i="13"/>
  <c r="AQ1179" i="13"/>
  <c r="AS1179" i="13" s="1"/>
  <c r="AR1179" i="13"/>
  <c r="AQ1180" i="13"/>
  <c r="AS1180" i="13" s="1"/>
  <c r="AR1180" i="13"/>
  <c r="AQ1181" i="13"/>
  <c r="AR1181" i="13"/>
  <c r="AS1181" i="13"/>
  <c r="AQ1182" i="13"/>
  <c r="AR1182" i="13"/>
  <c r="AS1182" i="13"/>
  <c r="AQ1183" i="13"/>
  <c r="AR1183" i="13"/>
  <c r="AS1183" i="13"/>
  <c r="AQ1184" i="13"/>
  <c r="AS1184" i="13" s="1"/>
  <c r="AR1184" i="13"/>
  <c r="AQ1185" i="13"/>
  <c r="AS1185" i="13" s="1"/>
  <c r="AR1185" i="13"/>
  <c r="AQ1186" i="13"/>
  <c r="AR1186" i="13"/>
  <c r="AS1186" i="13"/>
  <c r="AQ1187" i="13"/>
  <c r="AS1187" i="13" s="1"/>
  <c r="AR1187" i="13"/>
  <c r="AQ1188" i="13"/>
  <c r="AS1188" i="13" s="1"/>
  <c r="AR1188" i="13"/>
  <c r="AQ1189" i="13"/>
  <c r="AR1189" i="13"/>
  <c r="AS1189" i="13"/>
  <c r="AQ1190" i="13"/>
  <c r="AR1190" i="13"/>
  <c r="AS1190" i="13"/>
  <c r="AQ1191" i="13"/>
  <c r="AR1191" i="13"/>
  <c r="AS1191" i="13"/>
  <c r="AQ1192" i="13"/>
  <c r="AS1192" i="13" s="1"/>
  <c r="AR1192" i="13"/>
  <c r="AQ1193" i="13"/>
  <c r="AS1193" i="13" s="1"/>
  <c r="AR1193" i="13"/>
  <c r="AQ1194" i="13"/>
  <c r="AR1194" i="13"/>
  <c r="AS1194" i="13"/>
  <c r="AQ1195" i="13"/>
  <c r="AS1195" i="13" s="1"/>
  <c r="AR1195" i="13"/>
  <c r="AQ1196" i="13"/>
  <c r="AS1196" i="13" s="1"/>
  <c r="AR1196" i="13"/>
  <c r="AQ1197" i="13"/>
  <c r="AR1197" i="13"/>
  <c r="AS1197" i="13"/>
  <c r="AQ1198" i="13"/>
  <c r="AR1198" i="13"/>
  <c r="AS1198" i="13"/>
  <c r="AQ1199" i="13"/>
  <c r="AR1199" i="13"/>
  <c r="AS1199" i="13"/>
  <c r="AQ1200" i="13"/>
  <c r="AS1200" i="13" s="1"/>
  <c r="AR1200" i="13"/>
  <c r="AQ1201" i="13"/>
  <c r="AS1201" i="13" s="1"/>
  <c r="AR1201" i="13"/>
  <c r="AQ1202" i="13"/>
  <c r="AR1202" i="13"/>
  <c r="AS1202" i="13"/>
  <c r="AQ1203" i="13"/>
  <c r="AS1203" i="13" s="1"/>
  <c r="AR1203" i="13"/>
  <c r="AQ1204" i="13"/>
  <c r="AS1204" i="13" s="1"/>
  <c r="AR1204" i="13"/>
  <c r="AQ1205" i="13"/>
  <c r="AR1205" i="13"/>
  <c r="AS1205" i="13"/>
  <c r="AQ1206" i="13"/>
  <c r="AR1206" i="13"/>
  <c r="AS1206" i="13"/>
  <c r="AQ1207" i="13"/>
  <c r="AR1207" i="13"/>
  <c r="AS1207" i="13"/>
  <c r="AQ1208" i="13"/>
  <c r="AS1208" i="13" s="1"/>
  <c r="AR1208" i="13"/>
  <c r="AQ1209" i="13"/>
  <c r="AS1209" i="13" s="1"/>
  <c r="AR1209" i="13"/>
  <c r="AQ1210" i="13"/>
  <c r="AR1210" i="13"/>
  <c r="AS1210" i="13"/>
  <c r="AQ1211" i="13"/>
  <c r="AS1211" i="13" s="1"/>
  <c r="AR1211" i="13"/>
  <c r="AQ1212" i="13"/>
  <c r="AS1212" i="13" s="1"/>
  <c r="AR1212" i="13"/>
  <c r="AQ1213" i="13"/>
  <c r="AR1213" i="13"/>
  <c r="AS1213" i="13"/>
  <c r="AQ1214" i="13"/>
  <c r="AR1214" i="13"/>
  <c r="AS1214" i="13"/>
  <c r="AQ1215" i="13"/>
  <c r="AR1215" i="13"/>
  <c r="AS1215" i="13"/>
  <c r="AQ1216" i="13"/>
  <c r="AS1216" i="13" s="1"/>
  <c r="AR1216" i="13"/>
  <c r="AQ1217" i="13"/>
  <c r="AS1217" i="13" s="1"/>
  <c r="AR1217" i="13"/>
  <c r="AQ1218" i="13"/>
  <c r="AR1218" i="13"/>
  <c r="AS1218" i="13"/>
  <c r="AQ1219" i="13"/>
  <c r="AS1219" i="13" s="1"/>
  <c r="AR1219" i="13"/>
  <c r="AQ1220" i="13"/>
  <c r="AS1220" i="13" s="1"/>
  <c r="AR1220" i="13"/>
  <c r="AQ1221" i="13"/>
  <c r="AR1221" i="13"/>
  <c r="AS1221" i="13"/>
  <c r="AQ1222" i="13"/>
  <c r="AR1222" i="13"/>
  <c r="AS1222" i="13"/>
  <c r="AQ1223" i="13"/>
  <c r="AR1223" i="13"/>
  <c r="AS1223" i="13"/>
  <c r="AQ1224" i="13"/>
  <c r="AS1224" i="13" s="1"/>
  <c r="AR1224" i="13"/>
  <c r="AQ1225" i="13"/>
  <c r="AS1225" i="13" s="1"/>
  <c r="AR1225" i="13"/>
  <c r="AQ1226" i="13"/>
  <c r="AR1226" i="13"/>
  <c r="AS1226" i="13"/>
  <c r="AQ1227" i="13"/>
  <c r="AS1227" i="13" s="1"/>
  <c r="AR1227" i="13"/>
  <c r="AQ1228" i="13"/>
  <c r="AS1228" i="13" s="1"/>
  <c r="AR1228" i="13"/>
  <c r="AQ1229" i="13"/>
  <c r="AR1229" i="13"/>
  <c r="AS1229" i="13"/>
  <c r="AQ1230" i="13"/>
  <c r="AR1230" i="13"/>
  <c r="AS1230" i="13"/>
  <c r="AQ1231" i="13"/>
  <c r="AR1231" i="13"/>
  <c r="AS1231" i="13"/>
  <c r="AQ1232" i="13"/>
  <c r="AS1232" i="13" s="1"/>
  <c r="AR1232" i="13"/>
  <c r="AQ1233" i="13"/>
  <c r="AS1233" i="13" s="1"/>
  <c r="AR1233" i="13"/>
  <c r="AQ1234" i="13"/>
  <c r="AR1234" i="13"/>
  <c r="AS1234" i="13"/>
  <c r="AQ1235" i="13"/>
  <c r="AS1235" i="13" s="1"/>
  <c r="AR1235" i="13"/>
  <c r="AQ1236" i="13"/>
  <c r="AS1236" i="13" s="1"/>
  <c r="AR1236" i="13"/>
  <c r="AQ1237" i="13"/>
  <c r="AR1237" i="13"/>
  <c r="AS1237" i="13"/>
  <c r="AQ1238" i="13"/>
  <c r="AR1238" i="13"/>
  <c r="AS1238" i="13"/>
  <c r="AQ1239" i="13"/>
  <c r="AR1239" i="13"/>
  <c r="AS1239" i="13"/>
  <c r="AQ1240" i="13"/>
  <c r="AS1240" i="13" s="1"/>
  <c r="AR1240" i="13"/>
  <c r="AQ1241" i="13"/>
  <c r="AS1241" i="13" s="1"/>
  <c r="AR1241" i="13"/>
  <c r="AQ1242" i="13"/>
  <c r="AR1242" i="13"/>
  <c r="AS1242" i="13"/>
  <c r="AQ1243" i="13"/>
  <c r="AS1243" i="13" s="1"/>
  <c r="AR1243" i="13"/>
  <c r="AQ1244" i="13"/>
  <c r="AS1244" i="13" s="1"/>
  <c r="AR1244" i="13"/>
  <c r="AQ1245" i="13"/>
  <c r="AR1245" i="13"/>
  <c r="AS1245" i="13"/>
  <c r="AQ1246" i="13"/>
  <c r="AR1246" i="13"/>
  <c r="AS1246" i="13"/>
  <c r="AQ1247" i="13"/>
  <c r="AR1247" i="13"/>
  <c r="AS1247" i="13"/>
  <c r="AQ1248" i="13"/>
  <c r="AS1248" i="13" s="1"/>
  <c r="AR1248" i="13"/>
  <c r="AQ1249" i="13"/>
  <c r="AS1249" i="13" s="1"/>
  <c r="AR1249" i="13"/>
  <c r="AQ1250" i="13"/>
  <c r="AR1250" i="13"/>
  <c r="AS1250" i="13"/>
  <c r="AQ1251" i="13"/>
  <c r="AS1251" i="13" s="1"/>
  <c r="AR1251" i="13"/>
  <c r="AQ1252" i="13"/>
  <c r="AS1252" i="13" s="1"/>
  <c r="AR1252" i="13"/>
  <c r="AQ1253" i="13"/>
  <c r="AR1253" i="13"/>
  <c r="AS1253" i="13"/>
  <c r="AQ1254" i="13"/>
  <c r="AR1254" i="13"/>
  <c r="AS1254" i="13"/>
  <c r="AQ1255" i="13"/>
  <c r="AR1255" i="13"/>
  <c r="AS1255" i="13"/>
  <c r="AQ1256" i="13"/>
  <c r="AS1256" i="13" s="1"/>
  <c r="AR1256" i="13"/>
  <c r="AQ1257" i="13"/>
  <c r="AS1257" i="13" s="1"/>
  <c r="AR1257" i="13"/>
  <c r="AQ1258" i="13"/>
  <c r="AR1258" i="13"/>
  <c r="AS1258" i="13"/>
  <c r="AQ1259" i="13"/>
  <c r="AS1259" i="13" s="1"/>
  <c r="AR1259" i="13"/>
  <c r="AQ1260" i="13"/>
  <c r="AS1260" i="13" s="1"/>
  <c r="AR1260" i="13"/>
  <c r="AQ1261" i="13"/>
  <c r="AR1261" i="13"/>
  <c r="AS1261" i="13"/>
  <c r="AQ1262" i="13"/>
  <c r="AS1262" i="13" s="1"/>
  <c r="AR1262" i="13"/>
  <c r="AQ1263" i="13"/>
  <c r="AR1263" i="13"/>
  <c r="AS1263" i="13"/>
  <c r="AQ1264" i="13"/>
  <c r="AS1264" i="13" s="1"/>
  <c r="AR1264" i="13"/>
  <c r="AQ1265" i="13"/>
  <c r="AS1265" i="13" s="1"/>
  <c r="AR1265" i="13"/>
  <c r="AQ1266" i="13"/>
  <c r="AR1266" i="13"/>
  <c r="AS1266" i="13"/>
  <c r="AQ1267" i="13"/>
  <c r="AS1267" i="13" s="1"/>
  <c r="AR1267" i="13"/>
  <c r="AQ1268" i="13"/>
  <c r="AS1268" i="13" s="1"/>
  <c r="AR1268" i="13"/>
  <c r="AQ1269" i="13"/>
  <c r="AR1269" i="13"/>
  <c r="AS1269" i="13"/>
  <c r="AQ1270" i="13"/>
  <c r="AS1270" i="13" s="1"/>
  <c r="AR1270" i="13"/>
  <c r="AQ1271" i="13"/>
  <c r="AR1271" i="13"/>
  <c r="AS1271" i="13"/>
  <c r="AQ1272" i="13"/>
  <c r="AS1272" i="13" s="1"/>
  <c r="AR1272" i="13"/>
  <c r="AQ1273" i="13"/>
  <c r="AS1273" i="13" s="1"/>
  <c r="AR1273" i="13"/>
  <c r="AQ1274" i="13"/>
  <c r="AR1274" i="13"/>
  <c r="AS1274" i="13"/>
  <c r="AQ1275" i="13"/>
  <c r="AS1275" i="13" s="1"/>
  <c r="AR1275" i="13"/>
  <c r="AQ1276" i="13"/>
  <c r="AS1276" i="13" s="1"/>
  <c r="AR1276" i="13"/>
  <c r="AQ1277" i="13"/>
  <c r="AR1277" i="13"/>
  <c r="AS1277" i="13"/>
  <c r="AQ1278" i="13"/>
  <c r="AS1278" i="13" s="1"/>
  <c r="AR1278" i="13"/>
  <c r="AQ1279" i="13"/>
  <c r="AR1279" i="13"/>
  <c r="AS1279" i="13"/>
  <c r="AQ1280" i="13"/>
  <c r="AS1280" i="13" s="1"/>
  <c r="AR1280" i="13"/>
  <c r="AQ1281" i="13"/>
  <c r="AS1281" i="13" s="1"/>
  <c r="AR1281" i="13"/>
  <c r="AQ1282" i="13"/>
  <c r="AR1282" i="13"/>
  <c r="AS1282" i="13"/>
  <c r="AQ1283" i="13"/>
  <c r="AS1283" i="13" s="1"/>
  <c r="AR1283" i="13"/>
  <c r="AQ1284" i="13"/>
  <c r="AS1284" i="13" s="1"/>
  <c r="AR1284" i="13"/>
  <c r="AQ1285" i="13"/>
  <c r="AR1285" i="13"/>
  <c r="AS1285" i="13"/>
  <c r="AQ1286" i="13"/>
  <c r="AS1286" i="13" s="1"/>
  <c r="AR1286" i="13"/>
  <c r="AQ1287" i="13"/>
  <c r="AR1287" i="13"/>
  <c r="AS1287" i="13"/>
  <c r="AQ1288" i="13"/>
  <c r="AS1288" i="13" s="1"/>
  <c r="AR1288" i="13"/>
  <c r="AQ1289" i="13"/>
  <c r="AS1289" i="13" s="1"/>
  <c r="AR1289" i="13"/>
  <c r="AQ1290" i="13"/>
  <c r="AR1290" i="13"/>
  <c r="AS1290" i="13"/>
  <c r="AQ1291" i="13"/>
  <c r="AS1291" i="13" s="1"/>
  <c r="AR1291" i="13"/>
  <c r="AQ1292" i="13"/>
  <c r="AS1292" i="13" s="1"/>
  <c r="AR1292" i="13"/>
  <c r="AQ1293" i="13"/>
  <c r="AR1293" i="13"/>
  <c r="AS1293" i="13"/>
  <c r="AQ1294" i="13"/>
  <c r="AS1294" i="13" s="1"/>
  <c r="AR1294" i="13"/>
  <c r="AQ1295" i="13"/>
  <c r="AR1295" i="13"/>
  <c r="AS1295" i="13"/>
  <c r="AQ1296" i="13"/>
  <c r="AS1296" i="13" s="1"/>
  <c r="AR1296" i="13"/>
  <c r="AQ1297" i="13"/>
  <c r="AS1297" i="13" s="1"/>
  <c r="AR1297" i="13"/>
  <c r="AQ1298" i="13"/>
  <c r="AR1298" i="13"/>
  <c r="AS1298" i="13"/>
  <c r="AQ1299" i="13"/>
  <c r="AS1299" i="13" s="1"/>
  <c r="AR1299" i="13"/>
  <c r="AQ1300" i="13"/>
  <c r="AS1300" i="13" s="1"/>
  <c r="AR1300" i="13"/>
  <c r="AQ1301" i="13"/>
  <c r="AR1301" i="13"/>
  <c r="AS1301" i="13"/>
  <c r="AQ1302" i="13"/>
  <c r="AS1302" i="13" s="1"/>
  <c r="AR1302" i="13"/>
  <c r="AQ1303" i="13"/>
  <c r="AR1303" i="13"/>
  <c r="AS1303" i="13"/>
  <c r="AQ1304" i="13"/>
  <c r="AS1304" i="13" s="1"/>
  <c r="AR1304" i="13"/>
  <c r="AQ1305" i="13"/>
  <c r="AS1305" i="13" s="1"/>
  <c r="AR1305" i="13"/>
  <c r="AQ1306" i="13"/>
  <c r="AR1306" i="13"/>
  <c r="AS1306" i="13"/>
  <c r="AQ1307" i="13"/>
  <c r="AS1307" i="13" s="1"/>
  <c r="AR1307" i="13"/>
  <c r="AQ1308" i="13"/>
  <c r="AS1308" i="13" s="1"/>
  <c r="AR1308" i="13"/>
  <c r="AQ1309" i="13"/>
  <c r="AR1309" i="13"/>
  <c r="AS1309" i="13"/>
  <c r="AQ1310" i="13"/>
  <c r="AS1310" i="13" s="1"/>
  <c r="AR1310" i="13"/>
  <c r="AQ1311" i="13"/>
  <c r="AR1311" i="13"/>
  <c r="AS1311" i="13"/>
  <c r="AQ1312" i="13"/>
  <c r="AS1312" i="13" s="1"/>
  <c r="AR1312" i="13"/>
  <c r="AQ1313" i="13"/>
  <c r="AS1313" i="13" s="1"/>
  <c r="AR1313" i="13"/>
  <c r="AQ1314" i="13"/>
  <c r="AR1314" i="13"/>
  <c r="AS1314" i="13"/>
  <c r="AQ1315" i="13"/>
  <c r="AS1315" i="13" s="1"/>
  <c r="AR1315" i="13"/>
  <c r="AQ1316" i="13"/>
  <c r="AS1316" i="13" s="1"/>
  <c r="AR1316" i="13"/>
  <c r="V1123" i="13"/>
  <c r="V1126" i="13"/>
  <c r="V1131" i="13"/>
  <c r="V1134" i="13"/>
  <c r="V1139" i="13"/>
  <c r="V1142" i="13"/>
  <c r="V1147" i="13"/>
  <c r="V1150" i="13"/>
  <c r="V1155" i="13"/>
  <c r="V1158" i="13"/>
  <c r="V1163" i="13"/>
  <c r="V1166" i="13"/>
  <c r="V1171" i="13"/>
  <c r="V1174" i="13"/>
  <c r="V1179" i="13"/>
  <c r="V1182" i="13"/>
  <c r="V1187" i="13"/>
  <c r="V1190" i="13"/>
  <c r="V1195" i="13"/>
  <c r="V1198" i="13"/>
  <c r="V1203" i="13"/>
  <c r="V1206" i="13"/>
  <c r="V1211" i="13"/>
  <c r="V1214" i="13"/>
  <c r="V1219" i="13"/>
  <c r="V1222" i="13"/>
  <c r="V1227" i="13"/>
  <c r="V1230" i="13"/>
  <c r="V1235" i="13"/>
  <c r="V1238" i="13"/>
  <c r="V1243" i="13"/>
  <c r="V1246" i="13"/>
  <c r="V1251" i="13"/>
  <c r="V1254" i="13"/>
  <c r="V1259" i="13"/>
  <c r="V1262" i="13"/>
  <c r="V1267" i="13"/>
  <c r="V1270" i="13"/>
  <c r="V1275" i="13"/>
  <c r="V1278" i="13"/>
  <c r="V1280" i="13"/>
  <c r="V1283" i="13"/>
  <c r="V1286" i="13"/>
  <c r="V1288" i="13"/>
  <c r="V1291" i="13"/>
  <c r="V1294" i="13"/>
  <c r="V1296" i="13"/>
  <c r="V1299" i="13"/>
  <c r="V1302" i="13"/>
  <c r="V1304" i="13"/>
  <c r="V1307" i="13"/>
  <c r="V1310" i="13"/>
  <c r="V1312" i="13"/>
  <c r="V1315" i="13"/>
  <c r="T1120" i="13"/>
  <c r="V1120" i="13" s="1"/>
  <c r="T1121" i="13"/>
  <c r="V1121" i="13" s="1"/>
  <c r="T1122" i="13"/>
  <c r="V1122" i="13" s="1"/>
  <c r="T1123" i="13"/>
  <c r="T1124" i="13"/>
  <c r="V1124" i="13" s="1"/>
  <c r="T1125" i="13"/>
  <c r="V1125" i="13" s="1"/>
  <c r="T1126" i="13"/>
  <c r="T1127" i="13"/>
  <c r="V1127" i="13" s="1"/>
  <c r="T1128" i="13"/>
  <c r="V1128" i="13" s="1"/>
  <c r="T1129" i="13"/>
  <c r="V1129" i="13" s="1"/>
  <c r="T1130" i="13"/>
  <c r="V1130" i="13" s="1"/>
  <c r="T1131" i="13"/>
  <c r="T1132" i="13"/>
  <c r="V1132" i="13" s="1"/>
  <c r="T1133" i="13"/>
  <c r="V1133" i="13" s="1"/>
  <c r="T1134" i="13"/>
  <c r="T1135" i="13"/>
  <c r="V1135" i="13" s="1"/>
  <c r="T1136" i="13"/>
  <c r="V1136" i="13" s="1"/>
  <c r="T1137" i="13"/>
  <c r="V1137" i="13" s="1"/>
  <c r="T1138" i="13"/>
  <c r="V1138" i="13" s="1"/>
  <c r="T1139" i="13"/>
  <c r="T1140" i="13"/>
  <c r="V1140" i="13" s="1"/>
  <c r="T1141" i="13"/>
  <c r="V1141" i="13" s="1"/>
  <c r="T1142" i="13"/>
  <c r="T1143" i="13"/>
  <c r="V1143" i="13" s="1"/>
  <c r="T1144" i="13"/>
  <c r="V1144" i="13" s="1"/>
  <c r="T1145" i="13"/>
  <c r="V1145" i="13" s="1"/>
  <c r="T1146" i="13"/>
  <c r="V1146" i="13" s="1"/>
  <c r="T1147" i="13"/>
  <c r="T1148" i="13"/>
  <c r="V1148" i="13" s="1"/>
  <c r="T1149" i="13"/>
  <c r="V1149" i="13" s="1"/>
  <c r="T1150" i="13"/>
  <c r="T1151" i="13"/>
  <c r="V1151" i="13" s="1"/>
  <c r="T1152" i="13"/>
  <c r="V1152" i="13" s="1"/>
  <c r="T1153" i="13"/>
  <c r="V1153" i="13" s="1"/>
  <c r="T1154" i="13"/>
  <c r="V1154" i="13" s="1"/>
  <c r="T1155" i="13"/>
  <c r="T1156" i="13"/>
  <c r="V1156" i="13" s="1"/>
  <c r="T1157" i="13"/>
  <c r="V1157" i="13" s="1"/>
  <c r="T1158" i="13"/>
  <c r="T1159" i="13"/>
  <c r="V1159" i="13" s="1"/>
  <c r="T1160" i="13"/>
  <c r="V1160" i="13" s="1"/>
  <c r="T1161" i="13"/>
  <c r="V1161" i="13" s="1"/>
  <c r="T1162" i="13"/>
  <c r="V1162" i="13" s="1"/>
  <c r="T1163" i="13"/>
  <c r="T1164" i="13"/>
  <c r="V1164" i="13" s="1"/>
  <c r="T1165" i="13"/>
  <c r="V1165" i="13" s="1"/>
  <c r="T1166" i="13"/>
  <c r="T1167" i="13"/>
  <c r="V1167" i="13" s="1"/>
  <c r="T1168" i="13"/>
  <c r="V1168" i="13" s="1"/>
  <c r="T1169" i="13"/>
  <c r="V1169" i="13" s="1"/>
  <c r="T1170" i="13"/>
  <c r="V1170" i="13" s="1"/>
  <c r="T1171" i="13"/>
  <c r="T1172" i="13"/>
  <c r="V1172" i="13" s="1"/>
  <c r="T1173" i="13"/>
  <c r="V1173" i="13" s="1"/>
  <c r="T1174" i="13"/>
  <c r="T1175" i="13"/>
  <c r="V1175" i="13" s="1"/>
  <c r="T1176" i="13"/>
  <c r="V1176" i="13" s="1"/>
  <c r="T1177" i="13"/>
  <c r="V1177" i="13" s="1"/>
  <c r="T1178" i="13"/>
  <c r="V1178" i="13" s="1"/>
  <c r="T1179" i="13"/>
  <c r="T1180" i="13"/>
  <c r="V1180" i="13" s="1"/>
  <c r="T1181" i="13"/>
  <c r="V1181" i="13" s="1"/>
  <c r="T1182" i="13"/>
  <c r="T1183" i="13"/>
  <c r="V1183" i="13" s="1"/>
  <c r="T1184" i="13"/>
  <c r="V1184" i="13" s="1"/>
  <c r="T1185" i="13"/>
  <c r="V1185" i="13" s="1"/>
  <c r="T1186" i="13"/>
  <c r="V1186" i="13" s="1"/>
  <c r="T1187" i="13"/>
  <c r="T1188" i="13"/>
  <c r="V1188" i="13" s="1"/>
  <c r="T1189" i="13"/>
  <c r="V1189" i="13" s="1"/>
  <c r="T1190" i="13"/>
  <c r="T1191" i="13"/>
  <c r="V1191" i="13" s="1"/>
  <c r="T1192" i="13"/>
  <c r="V1192" i="13" s="1"/>
  <c r="T1193" i="13"/>
  <c r="V1193" i="13" s="1"/>
  <c r="T1194" i="13"/>
  <c r="V1194" i="13" s="1"/>
  <c r="T1195" i="13"/>
  <c r="T1196" i="13"/>
  <c r="V1196" i="13" s="1"/>
  <c r="T1197" i="13"/>
  <c r="V1197" i="13" s="1"/>
  <c r="T1198" i="13"/>
  <c r="T1199" i="13"/>
  <c r="V1199" i="13" s="1"/>
  <c r="T1200" i="13"/>
  <c r="V1200" i="13" s="1"/>
  <c r="T1201" i="13"/>
  <c r="V1201" i="13" s="1"/>
  <c r="T1202" i="13"/>
  <c r="V1202" i="13" s="1"/>
  <c r="T1203" i="13"/>
  <c r="T1204" i="13"/>
  <c r="V1204" i="13" s="1"/>
  <c r="T1205" i="13"/>
  <c r="V1205" i="13" s="1"/>
  <c r="T1206" i="13"/>
  <c r="T1207" i="13"/>
  <c r="V1207" i="13" s="1"/>
  <c r="T1208" i="13"/>
  <c r="V1208" i="13" s="1"/>
  <c r="T1209" i="13"/>
  <c r="V1209" i="13" s="1"/>
  <c r="T1210" i="13"/>
  <c r="V1210" i="13" s="1"/>
  <c r="T1211" i="13"/>
  <c r="T1212" i="13"/>
  <c r="V1212" i="13" s="1"/>
  <c r="T1213" i="13"/>
  <c r="V1213" i="13" s="1"/>
  <c r="T1214" i="13"/>
  <c r="T1215" i="13"/>
  <c r="V1215" i="13" s="1"/>
  <c r="T1216" i="13"/>
  <c r="V1216" i="13" s="1"/>
  <c r="T1217" i="13"/>
  <c r="V1217" i="13" s="1"/>
  <c r="T1218" i="13"/>
  <c r="V1218" i="13" s="1"/>
  <c r="T1219" i="13"/>
  <c r="T1220" i="13"/>
  <c r="V1220" i="13" s="1"/>
  <c r="T1221" i="13"/>
  <c r="V1221" i="13" s="1"/>
  <c r="T1222" i="13"/>
  <c r="T1223" i="13"/>
  <c r="V1223" i="13" s="1"/>
  <c r="T1224" i="13"/>
  <c r="V1224" i="13" s="1"/>
  <c r="T1225" i="13"/>
  <c r="V1225" i="13" s="1"/>
  <c r="T1226" i="13"/>
  <c r="V1226" i="13" s="1"/>
  <c r="T1227" i="13"/>
  <c r="T1228" i="13"/>
  <c r="V1228" i="13" s="1"/>
  <c r="T1229" i="13"/>
  <c r="V1229" i="13" s="1"/>
  <c r="T1230" i="13"/>
  <c r="T1231" i="13"/>
  <c r="V1231" i="13" s="1"/>
  <c r="T1232" i="13"/>
  <c r="V1232" i="13" s="1"/>
  <c r="T1233" i="13"/>
  <c r="V1233" i="13" s="1"/>
  <c r="T1234" i="13"/>
  <c r="V1234" i="13" s="1"/>
  <c r="T1235" i="13"/>
  <c r="T1236" i="13"/>
  <c r="V1236" i="13" s="1"/>
  <c r="T1237" i="13"/>
  <c r="V1237" i="13" s="1"/>
  <c r="T1238" i="13"/>
  <c r="T1239" i="13"/>
  <c r="V1239" i="13" s="1"/>
  <c r="T1240" i="13"/>
  <c r="V1240" i="13" s="1"/>
  <c r="T1241" i="13"/>
  <c r="V1241" i="13" s="1"/>
  <c r="T1242" i="13"/>
  <c r="V1242" i="13" s="1"/>
  <c r="T1243" i="13"/>
  <c r="T1244" i="13"/>
  <c r="V1244" i="13" s="1"/>
  <c r="T1245" i="13"/>
  <c r="V1245" i="13" s="1"/>
  <c r="T1246" i="13"/>
  <c r="T1247" i="13"/>
  <c r="V1247" i="13" s="1"/>
  <c r="T1248" i="13"/>
  <c r="V1248" i="13" s="1"/>
  <c r="T1249" i="13"/>
  <c r="V1249" i="13" s="1"/>
  <c r="T1250" i="13"/>
  <c r="V1250" i="13" s="1"/>
  <c r="T1251" i="13"/>
  <c r="T1252" i="13"/>
  <c r="V1252" i="13" s="1"/>
  <c r="T1253" i="13"/>
  <c r="V1253" i="13" s="1"/>
  <c r="T1254" i="13"/>
  <c r="T1255" i="13"/>
  <c r="V1255" i="13" s="1"/>
  <c r="T1256" i="13"/>
  <c r="V1256" i="13" s="1"/>
  <c r="T1257" i="13"/>
  <c r="V1257" i="13" s="1"/>
  <c r="T1258" i="13"/>
  <c r="V1258" i="13" s="1"/>
  <c r="T1259" i="13"/>
  <c r="T1260" i="13"/>
  <c r="V1260" i="13" s="1"/>
  <c r="T1261" i="13"/>
  <c r="V1261" i="13" s="1"/>
  <c r="T1262" i="13"/>
  <c r="T1263" i="13"/>
  <c r="V1263" i="13" s="1"/>
  <c r="T1264" i="13"/>
  <c r="V1264" i="13" s="1"/>
  <c r="T1265" i="13"/>
  <c r="V1265" i="13" s="1"/>
  <c r="T1266" i="13"/>
  <c r="V1266" i="13" s="1"/>
  <c r="T1267" i="13"/>
  <c r="T1268" i="13"/>
  <c r="V1268" i="13" s="1"/>
  <c r="T1269" i="13"/>
  <c r="V1269" i="13" s="1"/>
  <c r="T1270" i="13"/>
  <c r="T1271" i="13"/>
  <c r="V1271" i="13" s="1"/>
  <c r="T1272" i="13"/>
  <c r="V1272" i="13" s="1"/>
  <c r="T1273" i="13"/>
  <c r="V1273" i="13" s="1"/>
  <c r="T1274" i="13"/>
  <c r="V1274" i="13" s="1"/>
  <c r="T1275" i="13"/>
  <c r="T1276" i="13"/>
  <c r="V1276" i="13" s="1"/>
  <c r="T1277" i="13"/>
  <c r="V1277" i="13" s="1"/>
  <c r="T1278" i="13"/>
  <c r="T1279" i="13"/>
  <c r="V1279" i="13" s="1"/>
  <c r="T1280" i="13"/>
  <c r="T1281" i="13"/>
  <c r="V1281" i="13" s="1"/>
  <c r="T1282" i="13"/>
  <c r="V1282" i="13" s="1"/>
  <c r="T1283" i="13"/>
  <c r="T1284" i="13"/>
  <c r="V1284" i="13" s="1"/>
  <c r="T1285" i="13"/>
  <c r="V1285" i="13" s="1"/>
  <c r="T1286" i="13"/>
  <c r="T1287" i="13"/>
  <c r="V1287" i="13" s="1"/>
  <c r="T1288" i="13"/>
  <c r="T1289" i="13"/>
  <c r="V1289" i="13" s="1"/>
  <c r="T1290" i="13"/>
  <c r="V1290" i="13" s="1"/>
  <c r="T1291" i="13"/>
  <c r="T1292" i="13"/>
  <c r="V1292" i="13" s="1"/>
  <c r="T1293" i="13"/>
  <c r="V1293" i="13" s="1"/>
  <c r="T1294" i="13"/>
  <c r="T1295" i="13"/>
  <c r="V1295" i="13" s="1"/>
  <c r="T1296" i="13"/>
  <c r="T1297" i="13"/>
  <c r="V1297" i="13" s="1"/>
  <c r="T1298" i="13"/>
  <c r="V1298" i="13" s="1"/>
  <c r="T1299" i="13"/>
  <c r="T1300" i="13"/>
  <c r="V1300" i="13" s="1"/>
  <c r="T1301" i="13"/>
  <c r="V1301" i="13" s="1"/>
  <c r="T1302" i="13"/>
  <c r="T1303" i="13"/>
  <c r="V1303" i="13" s="1"/>
  <c r="T1304" i="13"/>
  <c r="T1305" i="13"/>
  <c r="V1305" i="13" s="1"/>
  <c r="T1306" i="13"/>
  <c r="V1306" i="13" s="1"/>
  <c r="T1307" i="13"/>
  <c r="T1308" i="13"/>
  <c r="V1308" i="13" s="1"/>
  <c r="T1309" i="13"/>
  <c r="V1309" i="13" s="1"/>
  <c r="T1310" i="13"/>
  <c r="T1311" i="13"/>
  <c r="V1311" i="13" s="1"/>
  <c r="T1312" i="13"/>
  <c r="T1313" i="13"/>
  <c r="V1313" i="13" s="1"/>
  <c r="T1314" i="13"/>
  <c r="V1314" i="13" s="1"/>
  <c r="T1315" i="13"/>
  <c r="T1316" i="13"/>
  <c r="V1316" i="13" s="1"/>
  <c r="T1114" i="13"/>
  <c r="T1115" i="13"/>
  <c r="T1116" i="13"/>
  <c r="T1117" i="13"/>
  <c r="T1118" i="13"/>
  <c r="T1119" i="13"/>
  <c r="AE71" i="13"/>
  <c r="AF71" i="13"/>
  <c r="AE72" i="13"/>
  <c r="AF72" i="13"/>
  <c r="AE73" i="13"/>
  <c r="AF73" i="13"/>
  <c r="AE74" i="13"/>
  <c r="AF74" i="13"/>
  <c r="AE75" i="13"/>
  <c r="AF75" i="13"/>
  <c r="AE76" i="13"/>
  <c r="AF76" i="13"/>
  <c r="AE77" i="13"/>
  <c r="AF77" i="13"/>
  <c r="AE78" i="13"/>
  <c r="AF78" i="13"/>
  <c r="AE79" i="13"/>
  <c r="AF79" i="13"/>
  <c r="AE80" i="13"/>
  <c r="AF80" i="13"/>
  <c r="AE81" i="13"/>
  <c r="AF81" i="13"/>
  <c r="AE82" i="13"/>
  <c r="AF82" i="13"/>
  <c r="AE83" i="13"/>
  <c r="AF83" i="13"/>
  <c r="AE84" i="13"/>
  <c r="AF84" i="13"/>
  <c r="AE85" i="13"/>
  <c r="AF85" i="13"/>
  <c r="AE86" i="13"/>
  <c r="AF86" i="13"/>
  <c r="AE87" i="13"/>
  <c r="AF87" i="13"/>
  <c r="AE88" i="13"/>
  <c r="AF88" i="13"/>
  <c r="AE89" i="13"/>
  <c r="AF89" i="13"/>
  <c r="AE90" i="13"/>
  <c r="AF90" i="13"/>
  <c r="AE91" i="13"/>
  <c r="AF91" i="13"/>
  <c r="AE92" i="13"/>
  <c r="AF92" i="13"/>
  <c r="AE93" i="13"/>
  <c r="AF93" i="13"/>
  <c r="AE94" i="13"/>
  <c r="AF94" i="13"/>
  <c r="AE95" i="13"/>
  <c r="AF95" i="13"/>
  <c r="AE96" i="13"/>
  <c r="AF96" i="13"/>
  <c r="AE97" i="13"/>
  <c r="AF97" i="13"/>
  <c r="AE98" i="13"/>
  <c r="AF98" i="13"/>
  <c r="AE99" i="13"/>
  <c r="AF99" i="13"/>
  <c r="AE100" i="13"/>
  <c r="AF100" i="13"/>
  <c r="AE101" i="13"/>
  <c r="AF101" i="13"/>
  <c r="AE102" i="13"/>
  <c r="AF102" i="13"/>
  <c r="AE103" i="13"/>
  <c r="AF103" i="13"/>
  <c r="AE53" i="13"/>
  <c r="AF53" i="13"/>
  <c r="AE54" i="13"/>
  <c r="AF54" i="13"/>
  <c r="AE55" i="13"/>
  <c r="AF55" i="13"/>
  <c r="AE56" i="13"/>
  <c r="AF56" i="13"/>
  <c r="AE57" i="13"/>
  <c r="AF57" i="13"/>
  <c r="AE58" i="13"/>
  <c r="AF58" i="13"/>
  <c r="AE59" i="13"/>
  <c r="AF59" i="13"/>
  <c r="AE60" i="13"/>
  <c r="AF60" i="13"/>
  <c r="AE61" i="13"/>
  <c r="AF61" i="13"/>
  <c r="AE62" i="13"/>
  <c r="AF62" i="13"/>
  <c r="AE63" i="13"/>
  <c r="AF63" i="13"/>
  <c r="AE64" i="13"/>
  <c r="AF64" i="13"/>
  <c r="AE65" i="13"/>
  <c r="AF65" i="13"/>
  <c r="AE66" i="13"/>
  <c r="AF66" i="13"/>
  <c r="AE67" i="13"/>
  <c r="AF67" i="13"/>
  <c r="AE68" i="13"/>
  <c r="AF68" i="13"/>
  <c r="AE69" i="13"/>
  <c r="AF69" i="13"/>
  <c r="AE70" i="13"/>
  <c r="AF70" i="13"/>
  <c r="AE51" i="13"/>
  <c r="AF51" i="13"/>
  <c r="AE52" i="13"/>
  <c r="AF52" i="13"/>
  <c r="AE37" i="13"/>
  <c r="AF37" i="13"/>
  <c r="AE38" i="13"/>
  <c r="AF38" i="13"/>
  <c r="AE39" i="13"/>
  <c r="AF39" i="13"/>
  <c r="AE40" i="13"/>
  <c r="AF40" i="13"/>
  <c r="AE41" i="13"/>
  <c r="AF41" i="13"/>
  <c r="AE42" i="13"/>
  <c r="AF42" i="13"/>
  <c r="AE43" i="13"/>
  <c r="AF43" i="13"/>
  <c r="AE44" i="13"/>
  <c r="AF44" i="13"/>
  <c r="AE45" i="13"/>
  <c r="AF45" i="13"/>
  <c r="AE46" i="13"/>
  <c r="AF46" i="13"/>
  <c r="AE47" i="13"/>
  <c r="AF47" i="13"/>
  <c r="AE48" i="13"/>
  <c r="AF48" i="13"/>
  <c r="AE49" i="13"/>
  <c r="AF49" i="13"/>
  <c r="AE50" i="13"/>
  <c r="AF50" i="13"/>
  <c r="AE35" i="13"/>
  <c r="AF35" i="13"/>
  <c r="AE36" i="13"/>
  <c r="AF36" i="13"/>
  <c r="Y43" i="13"/>
  <c r="Z43" i="13" s="1"/>
  <c r="Z36" i="13"/>
  <c r="Y21" i="13"/>
  <c r="Z21" i="13" s="1"/>
  <c r="Y19" i="13"/>
  <c r="Z19" i="13" s="1"/>
  <c r="Y17" i="13"/>
  <c r="Z17" i="13" s="1"/>
  <c r="Y103" i="13"/>
  <c r="Z103" i="13" s="1"/>
  <c r="Z102" i="13"/>
  <c r="Y102" i="13"/>
  <c r="Y101" i="13"/>
  <c r="Z101" i="13" s="1"/>
  <c r="Z100" i="13"/>
  <c r="Y100" i="13"/>
  <c r="Y99" i="13"/>
  <c r="Z99" i="13" s="1"/>
  <c r="Z98" i="13"/>
  <c r="Y98" i="13"/>
  <c r="Y97" i="13"/>
  <c r="Z97" i="13" s="1"/>
  <c r="Z96" i="13"/>
  <c r="Y96" i="13"/>
  <c r="Y95" i="13"/>
  <c r="Z95" i="13" s="1"/>
  <c r="Z94" i="13"/>
  <c r="Y94" i="13"/>
  <c r="Y93" i="13"/>
  <c r="Z93" i="13" s="1"/>
  <c r="Z92" i="13"/>
  <c r="Y92" i="13"/>
  <c r="Y91" i="13"/>
  <c r="Z91" i="13" s="1"/>
  <c r="Z90" i="13"/>
  <c r="Y90" i="13"/>
  <c r="Y89" i="13"/>
  <c r="Z89" i="13" s="1"/>
  <c r="Z88" i="13"/>
  <c r="Y88" i="13"/>
  <c r="Y87" i="13"/>
  <c r="Z87" i="13" s="1"/>
  <c r="Z86" i="13"/>
  <c r="Y86" i="13"/>
  <c r="Y85" i="13"/>
  <c r="Z85" i="13" s="1"/>
  <c r="Z84" i="13"/>
  <c r="Y84" i="13"/>
  <c r="Y83" i="13"/>
  <c r="Z83" i="13" s="1"/>
  <c r="Z82" i="13"/>
  <c r="Y82" i="13"/>
  <c r="Y81" i="13"/>
  <c r="Z81" i="13" s="1"/>
  <c r="Z80" i="13"/>
  <c r="Y80" i="13"/>
  <c r="Y79" i="13"/>
  <c r="Z79" i="13" s="1"/>
  <c r="Z78" i="13"/>
  <c r="Y78" i="13"/>
  <c r="Y77" i="13"/>
  <c r="Z77" i="13" s="1"/>
  <c r="Z76" i="13"/>
  <c r="Y76" i="13"/>
  <c r="Y75" i="13"/>
  <c r="Z75" i="13" s="1"/>
  <c r="Z74" i="13"/>
  <c r="Y74" i="13"/>
  <c r="Y73" i="13"/>
  <c r="Z73" i="13" s="1"/>
  <c r="Z72" i="13"/>
  <c r="Y72" i="13"/>
  <c r="Y71" i="13"/>
  <c r="Z71" i="13" s="1"/>
  <c r="Z70" i="13"/>
  <c r="Y70" i="13"/>
  <c r="Y69" i="13"/>
  <c r="Z69" i="13" s="1"/>
  <c r="Z68" i="13"/>
  <c r="Y68" i="13"/>
  <c r="Y67" i="13"/>
  <c r="Z67" i="13" s="1"/>
  <c r="Z66" i="13"/>
  <c r="Y66" i="13"/>
  <c r="Y65" i="13"/>
  <c r="Z65" i="13" s="1"/>
  <c r="Z64" i="13"/>
  <c r="Y64" i="13"/>
  <c r="Y63" i="13"/>
  <c r="Z63" i="13" s="1"/>
  <c r="Z62" i="13"/>
  <c r="Y62" i="13"/>
  <c r="Y61" i="13"/>
  <c r="Z61" i="13" s="1"/>
  <c r="Z60" i="13"/>
  <c r="Y60" i="13"/>
  <c r="Y59" i="13"/>
  <c r="Z59" i="13" s="1"/>
  <c r="Z58" i="13"/>
  <c r="Y58" i="13"/>
  <c r="Y57" i="13"/>
  <c r="Z57" i="13" s="1"/>
  <c r="Z56" i="13"/>
  <c r="Y56" i="13"/>
  <c r="Y55" i="13"/>
  <c r="Z55" i="13" s="1"/>
  <c r="Z54" i="13"/>
  <c r="Y53" i="13"/>
  <c r="Z53" i="13" s="1"/>
  <c r="Z52" i="13"/>
  <c r="Y51" i="13"/>
  <c r="Z51" i="13" s="1"/>
  <c r="Z50" i="13"/>
  <c r="Y49" i="13"/>
  <c r="Z49" i="13" s="1"/>
  <c r="Z48" i="13"/>
  <c r="Z47" i="13"/>
  <c r="Y47" i="13"/>
  <c r="Z46" i="13"/>
  <c r="Y45" i="13"/>
  <c r="Z45" i="13" s="1"/>
  <c r="Z44" i="13"/>
  <c r="Z42" i="13"/>
  <c r="Y41" i="13"/>
  <c r="Z41" i="13" s="1"/>
  <c r="Z40" i="13"/>
  <c r="Y39" i="13"/>
  <c r="Z39" i="13" s="1"/>
  <c r="Z38" i="13"/>
  <c r="Y37" i="13"/>
  <c r="Z37" i="13" s="1"/>
  <c r="Y35" i="13"/>
  <c r="Z35" i="13" s="1"/>
  <c r="Z34" i="13"/>
  <c r="Y33" i="13"/>
  <c r="Z33" i="13" s="1"/>
  <c r="Z32" i="13"/>
  <c r="Y31" i="13"/>
  <c r="Z31" i="13" s="1"/>
  <c r="Z30" i="13"/>
  <c r="Y29" i="13"/>
  <c r="Z29" i="13" s="1"/>
  <c r="Z28" i="13"/>
  <c r="Y27" i="13"/>
  <c r="Z27" i="13" s="1"/>
  <c r="Z26" i="13"/>
  <c r="Y25" i="13"/>
  <c r="Z25" i="13" s="1"/>
  <c r="Z24" i="13"/>
  <c r="Y23" i="13"/>
  <c r="Z23" i="13" s="1"/>
  <c r="Z22" i="13"/>
  <c r="Z16" i="13"/>
  <c r="Y15" i="13"/>
  <c r="Z15" i="13" s="1"/>
  <c r="Z14" i="13"/>
  <c r="Y13" i="13"/>
  <c r="Z13" i="13" s="1"/>
  <c r="Z12" i="13"/>
  <c r="Y11" i="13"/>
  <c r="Z11" i="13" s="1"/>
  <c r="Z10" i="13"/>
  <c r="Y9" i="13"/>
  <c r="Z9" i="13" s="1"/>
  <c r="Z8" i="13"/>
  <c r="Y7" i="13"/>
  <c r="Z7" i="13" s="1"/>
  <c r="Z6" i="13"/>
  <c r="Y5" i="13"/>
  <c r="Z5" i="13" s="1"/>
  <c r="Z4" i="13"/>
  <c r="Y3" i="13"/>
  <c r="Z3" i="13" s="1"/>
  <c r="Z2" i="13"/>
  <c r="H92" i="13"/>
  <c r="I92" i="13"/>
  <c r="H93" i="13"/>
  <c r="I93" i="13"/>
  <c r="H94" i="13"/>
  <c r="I94" i="13"/>
  <c r="H95" i="13"/>
  <c r="I95" i="13"/>
  <c r="H96" i="13"/>
  <c r="I96" i="13"/>
  <c r="H97" i="13"/>
  <c r="I97" i="13"/>
  <c r="H98" i="13"/>
  <c r="I98" i="13"/>
  <c r="H99" i="13"/>
  <c r="I99" i="13"/>
  <c r="H100" i="13"/>
  <c r="I100" i="13"/>
  <c r="H101" i="13"/>
  <c r="I101" i="13"/>
  <c r="H102" i="13"/>
  <c r="I102" i="13"/>
  <c r="H103" i="13"/>
  <c r="I103" i="13"/>
  <c r="B92" i="13"/>
  <c r="C92" i="13"/>
  <c r="B93" i="13"/>
  <c r="C93" i="13" s="1"/>
  <c r="B94" i="13"/>
  <c r="C94" i="13"/>
  <c r="B95" i="13"/>
  <c r="C95" i="13" s="1"/>
  <c r="B96" i="13"/>
  <c r="C96" i="13"/>
  <c r="B97" i="13"/>
  <c r="C97" i="13" s="1"/>
  <c r="B98" i="13"/>
  <c r="C98" i="13"/>
  <c r="B99" i="13"/>
  <c r="C99" i="13" s="1"/>
  <c r="B100" i="13"/>
  <c r="C100" i="13"/>
  <c r="B101" i="13"/>
  <c r="C101" i="13" s="1"/>
  <c r="B102" i="13"/>
  <c r="C102" i="13"/>
  <c r="B103" i="13"/>
  <c r="C103" i="13" s="1"/>
  <c r="AQ34" i="13"/>
  <c r="AS34" i="13" s="1"/>
  <c r="AF34" i="13"/>
  <c r="AE34" i="13"/>
  <c r="AQ33" i="13"/>
  <c r="AS33" i="13" s="1"/>
  <c r="AF33" i="13"/>
  <c r="AE33" i="13"/>
  <c r="AQ32" i="13"/>
  <c r="AS32" i="13" s="1"/>
  <c r="AF32" i="13"/>
  <c r="AE32" i="13"/>
  <c r="AS31" i="13"/>
  <c r="AF31" i="13"/>
  <c r="AE31" i="13"/>
  <c r="AQ30" i="13"/>
  <c r="AS30" i="13" s="1"/>
  <c r="AF30" i="13"/>
  <c r="AE30" i="13"/>
  <c r="AQ29" i="13"/>
  <c r="AS29" i="13" s="1"/>
  <c r="AF29" i="13"/>
  <c r="AE29" i="13"/>
  <c r="AQ28" i="13"/>
  <c r="AS28" i="13" s="1"/>
  <c r="AF28" i="13"/>
  <c r="AE28" i="13"/>
  <c r="AQ27" i="13"/>
  <c r="AS27" i="13" s="1"/>
  <c r="AF27" i="13"/>
  <c r="AE27" i="13"/>
  <c r="AQ26" i="13"/>
  <c r="AS26" i="13" s="1"/>
  <c r="AF26" i="13"/>
  <c r="AE26" i="13"/>
  <c r="AQ25" i="13"/>
  <c r="AS25" i="13" s="1"/>
  <c r="AF25" i="13"/>
  <c r="AE25" i="13"/>
  <c r="AQ24" i="13"/>
  <c r="AS24" i="13" s="1"/>
  <c r="AF24" i="13"/>
  <c r="AE24" i="13"/>
  <c r="AQ23" i="13"/>
  <c r="AS23" i="13" s="1"/>
  <c r="AF23" i="13"/>
  <c r="AE23" i="13"/>
  <c r="AQ22" i="13"/>
  <c r="AS22" i="13" s="1"/>
  <c r="AF22" i="13"/>
  <c r="AE22" i="13"/>
  <c r="AQ21" i="13"/>
  <c r="AS21" i="13" s="1"/>
  <c r="AF21" i="13"/>
  <c r="AE21" i="13"/>
  <c r="AQ20" i="13"/>
  <c r="AS20" i="13" s="1"/>
  <c r="AF20" i="13"/>
  <c r="AE20" i="13"/>
  <c r="AQ19" i="13"/>
  <c r="AS19" i="13" s="1"/>
  <c r="AF19" i="13"/>
  <c r="AE19" i="13"/>
  <c r="AQ18" i="13"/>
  <c r="AS18" i="13" s="1"/>
  <c r="AF18" i="13"/>
  <c r="AE18" i="13"/>
  <c r="AQ17" i="13"/>
  <c r="AS17" i="13" s="1"/>
  <c r="AF17" i="13"/>
  <c r="AE17" i="13"/>
  <c r="AQ16" i="13"/>
  <c r="AS16" i="13" s="1"/>
  <c r="AF16" i="13"/>
  <c r="AE16" i="13"/>
  <c r="AQ15" i="13"/>
  <c r="AS15" i="13" s="1"/>
  <c r="AF15" i="13"/>
  <c r="AE15" i="13"/>
  <c r="AQ14" i="13"/>
  <c r="AS14" i="13" s="1"/>
  <c r="AF14" i="13"/>
  <c r="AE14" i="13"/>
  <c r="AQ13" i="13"/>
  <c r="AS13" i="13" s="1"/>
  <c r="AF13" i="13"/>
  <c r="AE13" i="13"/>
  <c r="AQ12" i="13"/>
  <c r="AS12" i="13" s="1"/>
  <c r="AF12" i="13"/>
  <c r="AE12" i="13"/>
  <c r="AQ11" i="13"/>
  <c r="AS11" i="13" s="1"/>
  <c r="AF11" i="13"/>
  <c r="AE11" i="13"/>
  <c r="AQ10" i="13"/>
  <c r="AS10" i="13" s="1"/>
  <c r="AF10" i="13"/>
  <c r="AE10" i="13"/>
  <c r="AQ9" i="13"/>
  <c r="AS9" i="13" s="1"/>
  <c r="AF9" i="13"/>
  <c r="AE9" i="13"/>
  <c r="AQ8" i="13"/>
  <c r="AS8" i="13" s="1"/>
  <c r="AF8" i="13"/>
  <c r="AE8" i="13"/>
  <c r="AQ7" i="13"/>
  <c r="AS7" i="13" s="1"/>
  <c r="AF7" i="13"/>
  <c r="AE7" i="13"/>
  <c r="AQ6" i="13"/>
  <c r="AS6" i="13" s="1"/>
  <c r="AF6" i="13"/>
  <c r="AE6" i="13"/>
  <c r="AQ5" i="13"/>
  <c r="AS5" i="13" s="1"/>
  <c r="AF5" i="13"/>
  <c r="AE5" i="13"/>
  <c r="AQ4" i="13"/>
  <c r="AS4" i="13" s="1"/>
  <c r="AF4" i="13"/>
  <c r="AE4" i="13"/>
  <c r="AQ3" i="13"/>
  <c r="AS3" i="13" s="1"/>
  <c r="AF3" i="13"/>
  <c r="AE3" i="13"/>
  <c r="AQ2" i="13"/>
  <c r="AS2" i="13" s="1"/>
  <c r="AP2" i="13"/>
  <c r="AR2" i="13" s="1"/>
  <c r="AF2" i="13"/>
  <c r="AE2" i="13"/>
  <c r="J51" i="12"/>
  <c r="J52" i="12"/>
  <c r="J53" i="12"/>
  <c r="J60" i="11"/>
  <c r="J61" i="11"/>
  <c r="J62" i="11"/>
  <c r="J63" i="11"/>
  <c r="J64" i="11"/>
  <c r="J65" i="11"/>
  <c r="J66" i="11"/>
  <c r="J67" i="11"/>
  <c r="J68" i="11"/>
  <c r="J69" i="11"/>
  <c r="J70" i="11"/>
  <c r="J71" i="11"/>
  <c r="J72" i="11"/>
  <c r="J73" i="11"/>
  <c r="J74" i="11"/>
  <c r="J75" i="11"/>
  <c r="J76" i="11"/>
  <c r="J77" i="11"/>
  <c r="J78" i="11"/>
  <c r="J79" i="11"/>
  <c r="J80" i="11"/>
  <c r="K80" i="11" s="1"/>
  <c r="N80" i="11" s="1"/>
  <c r="Q80" i="11" s="1"/>
  <c r="J81" i="11"/>
  <c r="J82" i="11"/>
  <c r="J83" i="11"/>
  <c r="J84" i="11"/>
  <c r="J85" i="11"/>
  <c r="J86" i="11"/>
  <c r="J87" i="11"/>
  <c r="J88" i="11"/>
  <c r="J89" i="11"/>
  <c r="J90" i="11"/>
  <c r="J91" i="11"/>
  <c r="J92" i="11"/>
  <c r="J93" i="11"/>
  <c r="J94" i="11"/>
  <c r="J95" i="11"/>
  <c r="J96" i="11"/>
  <c r="J97" i="11"/>
  <c r="K102" i="11"/>
  <c r="N102" i="11" s="1"/>
  <c r="Q102" i="11" s="1"/>
  <c r="J54" i="12"/>
  <c r="J55" i="12"/>
  <c r="J56" i="12"/>
  <c r="J57" i="12"/>
  <c r="J58" i="12"/>
  <c r="J59" i="12"/>
  <c r="J61" i="12"/>
  <c r="J62" i="12"/>
  <c r="J63" i="12"/>
  <c r="J64" i="12"/>
  <c r="J65" i="12"/>
  <c r="J66" i="12"/>
  <c r="J67" i="12"/>
  <c r="J68" i="12"/>
  <c r="J69" i="12"/>
  <c r="J70" i="12"/>
  <c r="J71" i="12"/>
  <c r="J72" i="12"/>
  <c r="J73" i="12"/>
  <c r="J74" i="12"/>
  <c r="J60" i="12"/>
  <c r="J76" i="12"/>
  <c r="J77" i="12"/>
  <c r="J78" i="12"/>
  <c r="J79" i="12"/>
  <c r="J80" i="12"/>
  <c r="J81" i="12"/>
  <c r="J82" i="12"/>
  <c r="J75" i="12"/>
  <c r="J84" i="12"/>
  <c r="J85" i="12"/>
  <c r="J86" i="12"/>
  <c r="J83" i="12"/>
  <c r="J88" i="12"/>
  <c r="J89" i="12"/>
  <c r="J90" i="12"/>
  <c r="J91" i="12"/>
  <c r="J87" i="12"/>
  <c r="K94" i="12"/>
  <c r="N94" i="12" s="1"/>
  <c r="K95" i="12"/>
  <c r="N95" i="12" s="1"/>
  <c r="Q95" i="12" s="1"/>
  <c r="K91" i="12"/>
  <c r="N91" i="12" s="1"/>
  <c r="L91" i="12"/>
  <c r="O91" i="12" s="1"/>
  <c r="M91" i="12"/>
  <c r="P91" i="12"/>
  <c r="R91" i="12"/>
  <c r="T91" i="12" s="1"/>
  <c r="S91" i="12"/>
  <c r="U91" i="12" s="1"/>
  <c r="V91" i="12" s="1"/>
  <c r="W91" i="12" s="1"/>
  <c r="X91" i="12" s="1"/>
  <c r="Y91" i="12"/>
  <c r="Z91" i="12"/>
  <c r="K92" i="12"/>
  <c r="N92" i="12" s="1"/>
  <c r="Q92" i="12" s="1"/>
  <c r="L92" i="12"/>
  <c r="M92" i="12"/>
  <c r="O92" i="12"/>
  <c r="P92" i="12"/>
  <c r="R92" i="12"/>
  <c r="T92" i="12" s="1"/>
  <c r="S92" i="12"/>
  <c r="U92" i="12" s="1"/>
  <c r="V92" i="12" s="1"/>
  <c r="W92" i="12" s="1"/>
  <c r="X92" i="12" s="1"/>
  <c r="Y92" i="12"/>
  <c r="Z92" i="12"/>
  <c r="K93" i="12"/>
  <c r="N93" i="12" s="1"/>
  <c r="Q93" i="12" s="1"/>
  <c r="L93" i="12"/>
  <c r="M93" i="12"/>
  <c r="O93" i="12"/>
  <c r="P93" i="12"/>
  <c r="R93" i="12"/>
  <c r="T93" i="12" s="1"/>
  <c r="S93" i="12"/>
  <c r="U93" i="12" s="1"/>
  <c r="V93" i="12" s="1"/>
  <c r="Y93" i="12"/>
  <c r="Z93" i="12"/>
  <c r="L94" i="12"/>
  <c r="M94" i="12"/>
  <c r="P94" i="12" s="1"/>
  <c r="O94" i="12"/>
  <c r="R94" i="12"/>
  <c r="T94" i="12" s="1"/>
  <c r="S94" i="12"/>
  <c r="U94" i="12"/>
  <c r="V94" i="12" s="1"/>
  <c r="Y94" i="12"/>
  <c r="Z94" i="12"/>
  <c r="L95" i="12"/>
  <c r="O95" i="12" s="1"/>
  <c r="M95" i="12"/>
  <c r="P95" i="12"/>
  <c r="R95" i="12"/>
  <c r="S95" i="12"/>
  <c r="U95" i="12" s="1"/>
  <c r="V95" i="12" s="1"/>
  <c r="W95" i="12" s="1"/>
  <c r="X95" i="12" s="1"/>
  <c r="T95" i="12"/>
  <c r="Y95" i="12"/>
  <c r="Z95" i="12"/>
  <c r="K96" i="12"/>
  <c r="N96" i="12" s="1"/>
  <c r="Q96" i="12" s="1"/>
  <c r="L96" i="12"/>
  <c r="M96" i="12"/>
  <c r="O96" i="12"/>
  <c r="P96" i="12"/>
  <c r="R96" i="12"/>
  <c r="T96" i="12" s="1"/>
  <c r="S96" i="12"/>
  <c r="U96" i="12" s="1"/>
  <c r="V96" i="12" s="1"/>
  <c r="W96" i="12" s="1"/>
  <c r="X96" i="12" s="1"/>
  <c r="Y96" i="12"/>
  <c r="Z96" i="12"/>
  <c r="K97" i="11"/>
  <c r="N97" i="11" s="1"/>
  <c r="Q97" i="11" s="1"/>
  <c r="L97" i="11"/>
  <c r="M97" i="11"/>
  <c r="O97" i="11"/>
  <c r="P97" i="11"/>
  <c r="R97" i="11"/>
  <c r="T97" i="11" s="1"/>
  <c r="S97" i="11"/>
  <c r="U97" i="11" s="1"/>
  <c r="V97" i="11" s="1"/>
  <c r="W97" i="11" s="1"/>
  <c r="X97" i="11" s="1"/>
  <c r="Y97" i="11"/>
  <c r="Z97" i="11"/>
  <c r="K98" i="11"/>
  <c r="N98" i="11" s="1"/>
  <c r="Q98" i="11" s="1"/>
  <c r="L98" i="11"/>
  <c r="M98" i="11"/>
  <c r="O98" i="11"/>
  <c r="P98" i="11"/>
  <c r="R98" i="11"/>
  <c r="T98" i="11" s="1"/>
  <c r="S98" i="11"/>
  <c r="U98" i="11" s="1"/>
  <c r="V98" i="11" s="1"/>
  <c r="W98" i="11" s="1"/>
  <c r="X98" i="11" s="1"/>
  <c r="Y98" i="11"/>
  <c r="Z98" i="11"/>
  <c r="K99" i="11"/>
  <c r="N99" i="11" s="1"/>
  <c r="Q99" i="11" s="1"/>
  <c r="L99" i="11"/>
  <c r="M99" i="11"/>
  <c r="O99" i="11"/>
  <c r="P99" i="11"/>
  <c r="R99" i="11"/>
  <c r="T99" i="11" s="1"/>
  <c r="S99" i="11"/>
  <c r="U99" i="11" s="1"/>
  <c r="V99" i="11" s="1"/>
  <c r="Y99" i="11"/>
  <c r="Z99" i="11"/>
  <c r="K100" i="11"/>
  <c r="N100" i="11" s="1"/>
  <c r="Q100" i="11" s="1"/>
  <c r="L100" i="11"/>
  <c r="M100" i="11"/>
  <c r="O100" i="11"/>
  <c r="P100" i="11"/>
  <c r="R100" i="11"/>
  <c r="T100" i="11" s="1"/>
  <c r="S100" i="11"/>
  <c r="U100" i="11" s="1"/>
  <c r="V100" i="11" s="1"/>
  <c r="Y100" i="11"/>
  <c r="Z100" i="11"/>
  <c r="K101" i="11"/>
  <c r="N101" i="11" s="1"/>
  <c r="Q101" i="11" s="1"/>
  <c r="L101" i="11"/>
  <c r="M101" i="11"/>
  <c r="O101" i="11"/>
  <c r="P101" i="11"/>
  <c r="R101" i="11"/>
  <c r="T101" i="11" s="1"/>
  <c r="W101" i="11" s="1"/>
  <c r="X101" i="11" s="1"/>
  <c r="S101" i="11"/>
  <c r="U101" i="11"/>
  <c r="V101" i="11"/>
  <c r="Y101" i="11"/>
  <c r="Z101" i="11"/>
  <c r="L102" i="11"/>
  <c r="M102" i="11"/>
  <c r="O102" i="11"/>
  <c r="P102" i="11"/>
  <c r="R102" i="11"/>
  <c r="S102" i="11"/>
  <c r="T102" i="11"/>
  <c r="U102" i="11"/>
  <c r="V102" i="11"/>
  <c r="W102" i="11"/>
  <c r="X102" i="11"/>
  <c r="Y102" i="11"/>
  <c r="Z102" i="11"/>
  <c r="M168" i="8"/>
  <c r="J168" i="8"/>
  <c r="I168" i="8"/>
  <c r="H168" i="8"/>
  <c r="AI167" i="8"/>
  <c r="AE167" i="8"/>
  <c r="AE168" i="8" s="1"/>
  <c r="AC167" i="8"/>
  <c r="M167" i="8"/>
  <c r="J167" i="8"/>
  <c r="I167" i="8"/>
  <c r="H167" i="8"/>
  <c r="C164" i="8"/>
  <c r="D164" i="8" s="1"/>
  <c r="E164" i="8" s="1"/>
  <c r="F164" i="8" s="1"/>
  <c r="G164" i="8" s="1"/>
  <c r="H164" i="8" s="1"/>
  <c r="I164" i="8" s="1"/>
  <c r="J164" i="8" s="1"/>
  <c r="K164" i="8" s="1"/>
  <c r="L164" i="8" s="1"/>
  <c r="M164" i="8" s="1"/>
  <c r="N164" i="8" s="1"/>
  <c r="O164" i="8" s="1"/>
  <c r="P164" i="8" s="1"/>
  <c r="Q164" i="8" s="1"/>
  <c r="R164" i="8" s="1"/>
  <c r="S164" i="8" s="1"/>
  <c r="T164" i="8" s="1"/>
  <c r="U164" i="8" s="1"/>
  <c r="V164" i="8" s="1"/>
  <c r="W164" i="8" s="1"/>
  <c r="X164" i="8" s="1"/>
  <c r="Y164" i="8" s="1"/>
  <c r="Z164" i="8" s="1"/>
  <c r="AA164" i="8" s="1"/>
  <c r="B163" i="8"/>
  <c r="C163" i="8" s="1"/>
  <c r="D163" i="8" s="1"/>
  <c r="E163" i="8" s="1"/>
  <c r="F163" i="8" s="1"/>
  <c r="G163" i="8" s="1"/>
  <c r="H163" i="8" s="1"/>
  <c r="I163" i="8" s="1"/>
  <c r="J163" i="8" s="1"/>
  <c r="K163" i="8" s="1"/>
  <c r="L163" i="8" s="1"/>
  <c r="M163" i="8" s="1"/>
  <c r="N163" i="8" s="1"/>
  <c r="O163" i="8" s="1"/>
  <c r="P163" i="8" s="1"/>
  <c r="Q163" i="8" s="1"/>
  <c r="R163" i="8" s="1"/>
  <c r="S163" i="8" s="1"/>
  <c r="T163" i="8" s="1"/>
  <c r="U163" i="8" s="1"/>
  <c r="V163" i="8" s="1"/>
  <c r="W163" i="8" s="1"/>
  <c r="X163" i="8" s="1"/>
  <c r="Y163" i="8" s="1"/>
  <c r="Z163" i="8" s="1"/>
  <c r="AA163" i="8" s="1"/>
  <c r="AE159" i="8"/>
  <c r="AD159" i="8"/>
  <c r="AD160" i="8" s="1"/>
  <c r="C156" i="8"/>
  <c r="D156" i="8" s="1"/>
  <c r="E156" i="8" s="1"/>
  <c r="F156" i="8" s="1"/>
  <c r="G156" i="8" s="1"/>
  <c r="H156" i="8" s="1"/>
  <c r="I156" i="8" s="1"/>
  <c r="J156" i="8" s="1"/>
  <c r="K156" i="8" s="1"/>
  <c r="L156" i="8" s="1"/>
  <c r="M156" i="8" s="1"/>
  <c r="N156" i="8" s="1"/>
  <c r="O156" i="8" s="1"/>
  <c r="P156" i="8" s="1"/>
  <c r="Q156" i="8" s="1"/>
  <c r="R156" i="8" s="1"/>
  <c r="S156" i="8" s="1"/>
  <c r="T156" i="8" s="1"/>
  <c r="U156" i="8" s="1"/>
  <c r="V156" i="8" s="1"/>
  <c r="W156" i="8" s="1"/>
  <c r="X156" i="8" s="1"/>
  <c r="Y156" i="8" s="1"/>
  <c r="Z156" i="8" s="1"/>
  <c r="AA156" i="8" s="1"/>
  <c r="B155" i="8"/>
  <c r="C155" i="8" s="1"/>
  <c r="D155" i="8" s="1"/>
  <c r="E155" i="8" s="1"/>
  <c r="F155" i="8" s="1"/>
  <c r="G155" i="8" s="1"/>
  <c r="H155" i="8" s="1"/>
  <c r="I155" i="8" s="1"/>
  <c r="J155" i="8" s="1"/>
  <c r="K155" i="8" s="1"/>
  <c r="L155" i="8" s="1"/>
  <c r="M155" i="8" s="1"/>
  <c r="N155" i="8" s="1"/>
  <c r="O155" i="8" s="1"/>
  <c r="P155" i="8" s="1"/>
  <c r="Q155" i="8" s="1"/>
  <c r="R155" i="8" s="1"/>
  <c r="S155" i="8" s="1"/>
  <c r="T155" i="8" s="1"/>
  <c r="U155" i="8" s="1"/>
  <c r="V155" i="8" s="1"/>
  <c r="W155" i="8" s="1"/>
  <c r="X155" i="8" s="1"/>
  <c r="Y155" i="8" s="1"/>
  <c r="Z155" i="8" s="1"/>
  <c r="AA155" i="8" s="1"/>
  <c r="L154" i="10"/>
  <c r="J154" i="10"/>
  <c r="I154" i="10"/>
  <c r="L153" i="10"/>
  <c r="J153" i="10"/>
  <c r="I153" i="10"/>
  <c r="M107" i="5"/>
  <c r="K107" i="5"/>
  <c r="J107" i="5"/>
  <c r="L110" i="10"/>
  <c r="J110" i="10"/>
  <c r="I110" i="10"/>
  <c r="L112" i="10"/>
  <c r="J112" i="10"/>
  <c r="I112" i="10"/>
  <c r="M109" i="5"/>
  <c r="K109" i="5"/>
  <c r="O109" i="5" s="1"/>
  <c r="J109" i="5"/>
  <c r="E102" i="11"/>
  <c r="D102" i="11"/>
  <c r="F102" i="11"/>
  <c r="C102" i="11"/>
  <c r="F96" i="12"/>
  <c r="C96" i="12"/>
  <c r="E101" i="11"/>
  <c r="D101" i="11"/>
  <c r="F101" i="11"/>
  <c r="C101" i="11"/>
  <c r="F95" i="12"/>
  <c r="C95" i="12"/>
  <c r="F94" i="12"/>
  <c r="C94" i="12"/>
  <c r="F100" i="11"/>
  <c r="E100" i="11"/>
  <c r="D100" i="11"/>
  <c r="C100" i="11"/>
  <c r="M108" i="5"/>
  <c r="K108" i="5"/>
  <c r="J108" i="5"/>
  <c r="R108" i="5"/>
  <c r="Q111" i="10"/>
  <c r="F93" i="12"/>
  <c r="C93" i="12"/>
  <c r="F99" i="11"/>
  <c r="C99" i="11"/>
  <c r="C104" i="8"/>
  <c r="J104" i="8"/>
  <c r="K104" i="8"/>
  <c r="L104" i="8"/>
  <c r="M104" i="8"/>
  <c r="AD151" i="8"/>
  <c r="C148" i="8"/>
  <c r="D148" i="8" s="1"/>
  <c r="E148" i="8" s="1"/>
  <c r="F148" i="8" s="1"/>
  <c r="G148" i="8" s="1"/>
  <c r="H148" i="8" s="1"/>
  <c r="I148" i="8" s="1"/>
  <c r="J148" i="8" s="1"/>
  <c r="K148" i="8" s="1"/>
  <c r="L148" i="8" s="1"/>
  <c r="M148" i="8" s="1"/>
  <c r="N148" i="8" s="1"/>
  <c r="O148" i="8" s="1"/>
  <c r="P148" i="8" s="1"/>
  <c r="Q148" i="8" s="1"/>
  <c r="R148" i="8" s="1"/>
  <c r="S148" i="8" s="1"/>
  <c r="T148" i="8" s="1"/>
  <c r="U148" i="8" s="1"/>
  <c r="V148" i="8" s="1"/>
  <c r="W148" i="8" s="1"/>
  <c r="X148" i="8" s="1"/>
  <c r="Y148" i="8" s="1"/>
  <c r="Z148" i="8" s="1"/>
  <c r="AA148" i="8" s="1"/>
  <c r="B147" i="8"/>
  <c r="C147" i="8" s="1"/>
  <c r="D147" i="8" s="1"/>
  <c r="E147" i="8" s="1"/>
  <c r="F147" i="8" s="1"/>
  <c r="G147" i="8" s="1"/>
  <c r="H147" i="8" s="1"/>
  <c r="I147" i="8" s="1"/>
  <c r="J147" i="8" s="1"/>
  <c r="K147" i="8" s="1"/>
  <c r="L147" i="8" s="1"/>
  <c r="M147" i="8" s="1"/>
  <c r="N147" i="8" s="1"/>
  <c r="O147" i="8" s="1"/>
  <c r="P147" i="8" s="1"/>
  <c r="Q147" i="8" s="1"/>
  <c r="R147" i="8" s="1"/>
  <c r="S147" i="8" s="1"/>
  <c r="T147" i="8" s="1"/>
  <c r="U147" i="8" s="1"/>
  <c r="V147" i="8" s="1"/>
  <c r="W147" i="8" s="1"/>
  <c r="X147" i="8" s="1"/>
  <c r="Y147" i="8" s="1"/>
  <c r="Z147" i="8" s="1"/>
  <c r="AA147" i="8" s="1"/>
  <c r="E99" i="11"/>
  <c r="D99" i="11"/>
  <c r="AC106" i="10"/>
  <c r="AE106" i="10"/>
  <c r="AC107" i="10"/>
  <c r="AD107" i="10"/>
  <c r="AE107" i="10"/>
  <c r="AC108" i="10"/>
  <c r="AD108" i="10"/>
  <c r="AE108" i="10"/>
  <c r="AC92" i="5"/>
  <c r="AD92" i="5"/>
  <c r="AE92" i="5"/>
  <c r="AF92" i="5"/>
  <c r="AD93" i="5"/>
  <c r="AE93" i="5"/>
  <c r="AF93" i="5"/>
  <c r="AD94" i="5"/>
  <c r="AE94" i="5"/>
  <c r="AF94" i="5"/>
  <c r="AD95" i="5"/>
  <c r="AE95" i="5"/>
  <c r="AF95" i="5"/>
  <c r="AD96" i="5"/>
  <c r="AE96" i="5"/>
  <c r="AF96" i="5"/>
  <c r="AD97" i="5"/>
  <c r="AE97" i="5"/>
  <c r="AF97" i="5"/>
  <c r="AD98" i="5"/>
  <c r="AE98" i="5"/>
  <c r="AF98" i="5"/>
  <c r="AD99" i="5"/>
  <c r="AE99" i="5"/>
  <c r="AF99" i="5"/>
  <c r="AD101" i="5"/>
  <c r="AE101" i="5"/>
  <c r="AF101" i="5"/>
  <c r="AD102" i="5"/>
  <c r="AE102" i="5"/>
  <c r="AF102" i="5"/>
  <c r="AD103" i="5"/>
  <c r="AE103" i="5"/>
  <c r="AF103" i="5"/>
  <c r="AD104" i="5"/>
  <c r="AE104" i="5"/>
  <c r="AF104" i="5"/>
  <c r="AD105" i="5"/>
  <c r="AE105" i="5"/>
  <c r="AF105" i="5"/>
  <c r="Y94" i="5"/>
  <c r="AC94" i="5" s="1"/>
  <c r="Y93" i="5"/>
  <c r="AC93" i="5" s="1"/>
  <c r="Y97" i="5"/>
  <c r="AC97" i="5" s="1"/>
  <c r="Y98" i="5"/>
  <c r="AC98" i="5" s="1"/>
  <c r="Y95" i="5"/>
  <c r="AC95" i="5" s="1"/>
  <c r="Y96" i="5"/>
  <c r="AC96" i="5" s="1"/>
  <c r="Y101" i="5"/>
  <c r="AC101" i="5" s="1"/>
  <c r="Y99" i="5"/>
  <c r="AC99" i="5" s="1"/>
  <c r="Y102" i="5"/>
  <c r="AC102" i="5" s="1"/>
  <c r="AG102" i="5" s="1"/>
  <c r="Y103" i="5"/>
  <c r="AC103" i="5" s="1"/>
  <c r="Y104" i="5"/>
  <c r="AC104" i="5" s="1"/>
  <c r="Y105" i="5"/>
  <c r="AC105" i="5" s="1"/>
  <c r="Z106" i="10"/>
  <c r="AD106" i="10" s="1"/>
  <c r="X106" i="10"/>
  <c r="AB106" i="10" s="1"/>
  <c r="X107" i="10"/>
  <c r="AB107" i="10" s="1"/>
  <c r="X108" i="10"/>
  <c r="AB108" i="10" s="1"/>
  <c r="M105" i="5"/>
  <c r="K105" i="5"/>
  <c r="J105" i="5"/>
  <c r="L107" i="10"/>
  <c r="J107" i="10"/>
  <c r="I107" i="10"/>
  <c r="D99" i="5"/>
  <c r="D100" i="5"/>
  <c r="D101" i="5"/>
  <c r="D102" i="5"/>
  <c r="D103" i="5"/>
  <c r="D104" i="5"/>
  <c r="D105" i="5"/>
  <c r="D106" i="5"/>
  <c r="D107" i="5"/>
  <c r="F92" i="12"/>
  <c r="C92" i="12"/>
  <c r="F91" i="12"/>
  <c r="C91" i="12"/>
  <c r="R107" i="5"/>
  <c r="R105" i="5"/>
  <c r="R104" i="5"/>
  <c r="R106" i="5"/>
  <c r="D109" i="10"/>
  <c r="E98" i="11"/>
  <c r="D98" i="11"/>
  <c r="Q110" i="10"/>
  <c r="Q109" i="10"/>
  <c r="Q108" i="10"/>
  <c r="Q107" i="10"/>
  <c r="F98" i="11"/>
  <c r="F97" i="11"/>
  <c r="C98" i="11"/>
  <c r="E97" i="11"/>
  <c r="D97" i="11"/>
  <c r="C97" i="11"/>
  <c r="C80" i="11"/>
  <c r="R80" i="11" s="1"/>
  <c r="T80" i="11" s="1"/>
  <c r="L80" i="11"/>
  <c r="M80" i="11"/>
  <c r="P80" i="11" s="1"/>
  <c r="O80" i="11"/>
  <c r="S80" i="11"/>
  <c r="U80" i="11" s="1"/>
  <c r="V80" i="11" s="1"/>
  <c r="W80" i="11" s="1"/>
  <c r="X80" i="11" s="1"/>
  <c r="Y80" i="11"/>
  <c r="Z80" i="11"/>
  <c r="V99" i="5"/>
  <c r="U102" i="10"/>
  <c r="AC104" i="10"/>
  <c r="AD104" i="10"/>
  <c r="AE104" i="10"/>
  <c r="AC105" i="10"/>
  <c r="AD105" i="10"/>
  <c r="AE105" i="10"/>
  <c r="X105" i="10"/>
  <c r="AB105" i="10" s="1"/>
  <c r="X104" i="10"/>
  <c r="AB104" i="10" s="1"/>
  <c r="X101" i="10"/>
  <c r="AB101" i="10" s="1"/>
  <c r="AH99" i="5"/>
  <c r="AG102" i="10"/>
  <c r="M4" i="12"/>
  <c r="M5" i="12"/>
  <c r="M6" i="12"/>
  <c r="M7" i="12"/>
  <c r="M8" i="12"/>
  <c r="M9" i="12"/>
  <c r="M10" i="12"/>
  <c r="M11" i="12"/>
  <c r="M12" i="12"/>
  <c r="M13" i="12"/>
  <c r="M14" i="12"/>
  <c r="M15" i="12"/>
  <c r="M16" i="12"/>
  <c r="M17" i="12"/>
  <c r="M18" i="12"/>
  <c r="M19" i="12"/>
  <c r="M20" i="12"/>
  <c r="M21" i="12"/>
  <c r="M22" i="12"/>
  <c r="M23" i="12"/>
  <c r="M24" i="12"/>
  <c r="M25" i="12"/>
  <c r="M26" i="12"/>
  <c r="M27" i="12"/>
  <c r="M28" i="12"/>
  <c r="M29" i="12"/>
  <c r="M30" i="12"/>
  <c r="M31" i="12"/>
  <c r="M32" i="12"/>
  <c r="M33" i="12"/>
  <c r="M34" i="12"/>
  <c r="M35" i="12"/>
  <c r="M36" i="12"/>
  <c r="M37" i="12"/>
  <c r="M38" i="12"/>
  <c r="M39" i="12"/>
  <c r="M40" i="12"/>
  <c r="M41" i="12"/>
  <c r="M42" i="12"/>
  <c r="M43" i="12"/>
  <c r="M44" i="12"/>
  <c r="M45" i="12"/>
  <c r="M46" i="12"/>
  <c r="M47" i="12"/>
  <c r="M48" i="12"/>
  <c r="M49" i="12"/>
  <c r="M50" i="12"/>
  <c r="M51" i="12"/>
  <c r="M52" i="12"/>
  <c r="M53" i="12"/>
  <c r="M54" i="12"/>
  <c r="M55" i="12"/>
  <c r="M56" i="12"/>
  <c r="M57" i="12"/>
  <c r="M58" i="12"/>
  <c r="M59" i="12"/>
  <c r="M60" i="12"/>
  <c r="M61" i="12"/>
  <c r="M62" i="12"/>
  <c r="M63" i="12"/>
  <c r="M64" i="12"/>
  <c r="M65" i="12"/>
  <c r="M66" i="12"/>
  <c r="M67" i="12"/>
  <c r="M68" i="12"/>
  <c r="M69" i="12"/>
  <c r="M70" i="12"/>
  <c r="M71" i="12"/>
  <c r="M72" i="12"/>
  <c r="M73" i="12"/>
  <c r="M74" i="12"/>
  <c r="M75" i="12"/>
  <c r="M76" i="12"/>
  <c r="M77" i="12"/>
  <c r="M78" i="12"/>
  <c r="M79" i="12"/>
  <c r="M80" i="12"/>
  <c r="M81" i="12"/>
  <c r="M82" i="12"/>
  <c r="M83" i="12"/>
  <c r="M84" i="12"/>
  <c r="M85" i="12"/>
  <c r="M86" i="12"/>
  <c r="M87" i="12"/>
  <c r="M88" i="12"/>
  <c r="M89" i="12"/>
  <c r="M90" i="12"/>
  <c r="M3" i="12"/>
  <c r="M3" i="11"/>
  <c r="M4" i="11"/>
  <c r="M6" i="11"/>
  <c r="M7" i="11"/>
  <c r="M8" i="11"/>
  <c r="M9" i="11"/>
  <c r="M10" i="11"/>
  <c r="M11" i="11"/>
  <c r="M12" i="11"/>
  <c r="M13" i="11"/>
  <c r="M14" i="11"/>
  <c r="M15" i="11"/>
  <c r="M16" i="11"/>
  <c r="M17" i="11"/>
  <c r="M18" i="11"/>
  <c r="M19" i="11"/>
  <c r="M20" i="11"/>
  <c r="M21" i="11"/>
  <c r="M22" i="11"/>
  <c r="M23" i="11"/>
  <c r="M24" i="11"/>
  <c r="M25" i="11"/>
  <c r="M26" i="11"/>
  <c r="M27" i="11"/>
  <c r="M28" i="11"/>
  <c r="M29" i="11"/>
  <c r="M30" i="11"/>
  <c r="M31" i="11"/>
  <c r="M32" i="11"/>
  <c r="M33" i="11"/>
  <c r="M34" i="11"/>
  <c r="M35" i="11"/>
  <c r="M36" i="11"/>
  <c r="M37" i="11"/>
  <c r="M38" i="11"/>
  <c r="M39" i="11"/>
  <c r="M40" i="11"/>
  <c r="M41" i="11"/>
  <c r="M42" i="11"/>
  <c r="M43" i="11"/>
  <c r="M44" i="11"/>
  <c r="M45" i="11"/>
  <c r="M46" i="11"/>
  <c r="M47" i="11"/>
  <c r="M48" i="11"/>
  <c r="M49" i="11"/>
  <c r="M50" i="11"/>
  <c r="M51" i="11"/>
  <c r="M52" i="11"/>
  <c r="M53" i="11"/>
  <c r="M54" i="11"/>
  <c r="M55" i="11"/>
  <c r="M56" i="11"/>
  <c r="M57" i="11"/>
  <c r="M58" i="11"/>
  <c r="M59" i="11"/>
  <c r="M60" i="11"/>
  <c r="M61" i="11"/>
  <c r="M62" i="11"/>
  <c r="M63" i="11"/>
  <c r="M64" i="11"/>
  <c r="M65" i="11"/>
  <c r="M66" i="11"/>
  <c r="M67" i="11"/>
  <c r="M68" i="11"/>
  <c r="M69" i="11"/>
  <c r="M70" i="11"/>
  <c r="M71" i="11"/>
  <c r="M72" i="11"/>
  <c r="M73" i="11"/>
  <c r="M74" i="11"/>
  <c r="M75" i="11"/>
  <c r="M76" i="11"/>
  <c r="M77" i="11"/>
  <c r="M78" i="11"/>
  <c r="M79" i="11"/>
  <c r="M81" i="11"/>
  <c r="M82" i="11"/>
  <c r="M83" i="11"/>
  <c r="M84" i="11"/>
  <c r="M85" i="11"/>
  <c r="M86" i="11"/>
  <c r="M87" i="11"/>
  <c r="M88" i="11"/>
  <c r="M89" i="11"/>
  <c r="M90" i="11"/>
  <c r="M91" i="11"/>
  <c r="M92" i="11"/>
  <c r="M93" i="11"/>
  <c r="M94" i="11"/>
  <c r="M95" i="11"/>
  <c r="M96" i="11"/>
  <c r="M5" i="11"/>
  <c r="J93" i="5"/>
  <c r="K93" i="5"/>
  <c r="M93" i="5"/>
  <c r="J94" i="5"/>
  <c r="K94" i="5"/>
  <c r="M94" i="5"/>
  <c r="J95" i="5"/>
  <c r="K95" i="5"/>
  <c r="L95" i="5" s="1"/>
  <c r="M95" i="5"/>
  <c r="J96" i="5"/>
  <c r="K96" i="5"/>
  <c r="M96" i="5"/>
  <c r="N96" i="5"/>
  <c r="J97" i="5"/>
  <c r="K97" i="5"/>
  <c r="L97" i="5" s="1"/>
  <c r="M97" i="5"/>
  <c r="J98" i="5"/>
  <c r="K98" i="5"/>
  <c r="M98" i="5"/>
  <c r="J99" i="5"/>
  <c r="K99" i="5"/>
  <c r="L99" i="5" s="1"/>
  <c r="M99" i="5"/>
  <c r="J100" i="5"/>
  <c r="K100" i="5"/>
  <c r="M100" i="5"/>
  <c r="J101" i="5"/>
  <c r="K101" i="5"/>
  <c r="L101" i="5" s="1"/>
  <c r="M101" i="5"/>
  <c r="J102" i="5"/>
  <c r="K102" i="5"/>
  <c r="M102" i="5"/>
  <c r="J103" i="5"/>
  <c r="K103" i="5"/>
  <c r="M103" i="5"/>
  <c r="AB96" i="10"/>
  <c r="AC96" i="10"/>
  <c r="AD96" i="10"/>
  <c r="AE96" i="10"/>
  <c r="AB97" i="10"/>
  <c r="AC97" i="10"/>
  <c r="AD97" i="10"/>
  <c r="AE97" i="10"/>
  <c r="AC98" i="10"/>
  <c r="AD98" i="10"/>
  <c r="AE98" i="10"/>
  <c r="AC99" i="10"/>
  <c r="AE99" i="10"/>
  <c r="AC100" i="10"/>
  <c r="AD100" i="10"/>
  <c r="AE100" i="10"/>
  <c r="AC101" i="10"/>
  <c r="AD101" i="10"/>
  <c r="AE101" i="10"/>
  <c r="AC102" i="10"/>
  <c r="AD102" i="10"/>
  <c r="AE102" i="10"/>
  <c r="L103" i="10"/>
  <c r="J103" i="10"/>
  <c r="I103" i="10"/>
  <c r="L102" i="10"/>
  <c r="J102" i="10"/>
  <c r="I102" i="10"/>
  <c r="L96" i="10"/>
  <c r="J96" i="10"/>
  <c r="I96" i="10"/>
  <c r="F89" i="12"/>
  <c r="F95" i="11"/>
  <c r="Q104" i="10"/>
  <c r="Q106" i="10"/>
  <c r="Q105" i="10"/>
  <c r="R103" i="5"/>
  <c r="R102" i="5"/>
  <c r="R101" i="5"/>
  <c r="F94" i="11"/>
  <c r="F88" i="12"/>
  <c r="F87" i="12"/>
  <c r="F86" i="12"/>
  <c r="F93" i="11"/>
  <c r="X99" i="10"/>
  <c r="AB99" i="10" s="1"/>
  <c r="X100" i="10"/>
  <c r="AB100" i="10" s="1"/>
  <c r="X102" i="10"/>
  <c r="AB102" i="10" s="1"/>
  <c r="X98" i="10"/>
  <c r="AB98" i="10" s="1"/>
  <c r="Z99" i="10"/>
  <c r="AD99" i="10" s="1"/>
  <c r="Y4" i="12"/>
  <c r="Z4" i="12"/>
  <c r="Y5" i="12"/>
  <c r="Z5" i="12"/>
  <c r="Y6" i="12"/>
  <c r="Z6" i="12"/>
  <c r="Y7" i="12"/>
  <c r="Z7" i="12"/>
  <c r="Y8" i="12"/>
  <c r="Z8" i="12"/>
  <c r="Y9" i="12"/>
  <c r="Z9" i="12"/>
  <c r="Y10" i="12"/>
  <c r="Z10" i="12"/>
  <c r="Y11" i="12"/>
  <c r="Z11" i="12"/>
  <c r="Y12" i="12"/>
  <c r="Z12" i="12"/>
  <c r="Y13" i="12"/>
  <c r="Z13" i="12"/>
  <c r="Y14" i="12"/>
  <c r="Z14" i="12"/>
  <c r="Y15" i="12"/>
  <c r="Z15" i="12"/>
  <c r="Y16" i="12"/>
  <c r="Z16" i="12"/>
  <c r="Y17" i="12"/>
  <c r="Z17" i="12"/>
  <c r="Y18" i="12"/>
  <c r="Z18" i="12"/>
  <c r="Y19" i="12"/>
  <c r="Z19" i="12"/>
  <c r="Y20" i="12"/>
  <c r="Z20" i="12"/>
  <c r="Y21" i="12"/>
  <c r="Z21" i="12"/>
  <c r="Y22" i="12"/>
  <c r="Z22" i="12"/>
  <c r="Y23" i="12"/>
  <c r="Z23" i="12"/>
  <c r="Y24" i="12"/>
  <c r="Z24" i="12"/>
  <c r="Y25" i="12"/>
  <c r="Z25" i="12"/>
  <c r="Y26" i="12"/>
  <c r="Z26" i="12"/>
  <c r="Y27" i="12"/>
  <c r="Z27" i="12"/>
  <c r="Y28" i="12"/>
  <c r="Z28" i="12"/>
  <c r="Y29" i="12"/>
  <c r="Z29" i="12"/>
  <c r="Y30" i="12"/>
  <c r="Z30" i="12"/>
  <c r="Y31" i="12"/>
  <c r="Z31" i="12"/>
  <c r="Y32" i="12"/>
  <c r="Z32" i="12"/>
  <c r="Y33" i="12"/>
  <c r="Z33" i="12"/>
  <c r="Y34" i="12"/>
  <c r="Z34" i="12"/>
  <c r="Y35" i="12"/>
  <c r="Z35" i="12"/>
  <c r="Y36" i="12"/>
  <c r="Z36" i="12"/>
  <c r="Y37" i="12"/>
  <c r="Z37" i="12"/>
  <c r="Y38" i="12"/>
  <c r="Z38" i="12"/>
  <c r="Y39" i="12"/>
  <c r="Z39" i="12"/>
  <c r="Y40" i="12"/>
  <c r="Z40" i="12"/>
  <c r="Y41" i="12"/>
  <c r="Z41" i="12"/>
  <c r="Y42" i="12"/>
  <c r="Z42" i="12"/>
  <c r="Y43" i="12"/>
  <c r="Z43" i="12"/>
  <c r="Y44" i="12"/>
  <c r="Z44" i="12"/>
  <c r="Y45" i="12"/>
  <c r="Z45" i="12"/>
  <c r="Y46" i="12"/>
  <c r="Z46" i="12"/>
  <c r="Y47" i="12"/>
  <c r="Z47" i="12"/>
  <c r="Y48" i="12"/>
  <c r="Z48" i="12"/>
  <c r="Y49" i="12"/>
  <c r="Z49" i="12"/>
  <c r="Y50" i="12"/>
  <c r="Z50" i="12"/>
  <c r="Y51" i="12"/>
  <c r="Z51" i="12"/>
  <c r="Y52" i="12"/>
  <c r="Z52" i="12"/>
  <c r="Y53" i="12"/>
  <c r="Z53" i="12"/>
  <c r="Y54" i="12"/>
  <c r="Z54" i="12"/>
  <c r="Y55" i="12"/>
  <c r="Z55" i="12"/>
  <c r="Y56" i="12"/>
  <c r="Z56" i="12"/>
  <c r="Y57" i="12"/>
  <c r="Z57" i="12"/>
  <c r="Y58" i="12"/>
  <c r="Z58" i="12"/>
  <c r="Y59" i="12"/>
  <c r="Z59" i="12"/>
  <c r="Y60" i="12"/>
  <c r="Z60" i="12"/>
  <c r="Y61" i="12"/>
  <c r="Z61" i="12"/>
  <c r="Y62" i="12"/>
  <c r="Z62" i="12"/>
  <c r="Y63" i="12"/>
  <c r="Z63" i="12"/>
  <c r="Y64" i="12"/>
  <c r="Z64" i="12"/>
  <c r="Y65" i="12"/>
  <c r="Z65" i="12"/>
  <c r="Y66" i="12"/>
  <c r="Z66" i="12"/>
  <c r="Y67" i="12"/>
  <c r="Z67" i="12"/>
  <c r="Y68" i="12"/>
  <c r="Z68" i="12"/>
  <c r="Y69" i="12"/>
  <c r="Z69" i="12"/>
  <c r="Y70" i="12"/>
  <c r="Z70" i="12"/>
  <c r="Y71" i="12"/>
  <c r="Z71" i="12"/>
  <c r="Y72" i="12"/>
  <c r="Z72" i="12"/>
  <c r="Y73" i="12"/>
  <c r="Z73" i="12"/>
  <c r="Y74" i="12"/>
  <c r="Z74" i="12"/>
  <c r="Y75" i="12"/>
  <c r="Z75" i="12"/>
  <c r="Y76" i="12"/>
  <c r="Z76" i="12"/>
  <c r="Y77" i="12"/>
  <c r="Z77" i="12"/>
  <c r="Y78" i="12"/>
  <c r="Z78" i="12"/>
  <c r="Y79" i="12"/>
  <c r="Z79" i="12"/>
  <c r="Y80" i="12"/>
  <c r="Z80" i="12"/>
  <c r="Y81" i="12"/>
  <c r="Z81" i="12"/>
  <c r="Y82" i="12"/>
  <c r="Z82" i="12"/>
  <c r="Y83" i="12"/>
  <c r="Z83" i="12"/>
  <c r="Y84" i="12"/>
  <c r="Z84" i="12"/>
  <c r="Y85" i="12"/>
  <c r="Z85" i="12"/>
  <c r="Y86" i="12"/>
  <c r="Z86" i="12"/>
  <c r="Y87" i="12"/>
  <c r="Z87" i="12"/>
  <c r="Y88" i="12"/>
  <c r="Z88" i="12"/>
  <c r="Y89" i="12"/>
  <c r="Z89" i="12"/>
  <c r="Y90" i="12"/>
  <c r="Z90" i="12"/>
  <c r="Z3" i="12"/>
  <c r="Y3" i="12"/>
  <c r="R79" i="12"/>
  <c r="T79" i="12" s="1"/>
  <c r="S79" i="12"/>
  <c r="U79" i="12" s="1"/>
  <c r="V79" i="12" s="1"/>
  <c r="W79" i="12" s="1"/>
  <c r="X79" i="12" s="1"/>
  <c r="R80" i="12"/>
  <c r="S80" i="12"/>
  <c r="U80" i="12" s="1"/>
  <c r="V80" i="12" s="1"/>
  <c r="W80" i="12" s="1"/>
  <c r="X80" i="12" s="1"/>
  <c r="T80" i="12"/>
  <c r="R81" i="12"/>
  <c r="S81" i="12"/>
  <c r="T81" i="12"/>
  <c r="U81" i="12"/>
  <c r="V81" i="12" s="1"/>
  <c r="W81" i="12" s="1"/>
  <c r="X81" i="12" s="1"/>
  <c r="R82" i="12"/>
  <c r="S82" i="12"/>
  <c r="T82" i="12"/>
  <c r="U82" i="12"/>
  <c r="V82" i="12" s="1"/>
  <c r="W82" i="12" s="1"/>
  <c r="X82" i="12" s="1"/>
  <c r="R83" i="12"/>
  <c r="S83" i="12"/>
  <c r="T83" i="12"/>
  <c r="U83" i="12"/>
  <c r="V83" i="12"/>
  <c r="W83" i="12" s="1"/>
  <c r="X83" i="12" s="1"/>
  <c r="R84" i="12"/>
  <c r="S84" i="12"/>
  <c r="T84" i="12"/>
  <c r="U84" i="12"/>
  <c r="V84" i="12"/>
  <c r="W84" i="12"/>
  <c r="X84" i="12" s="1"/>
  <c r="R85" i="12"/>
  <c r="T85" i="12" s="1"/>
  <c r="S85" i="12"/>
  <c r="U85" i="12"/>
  <c r="V85" i="12" s="1"/>
  <c r="W85" i="12" s="1"/>
  <c r="X85" i="12" s="1"/>
  <c r="S86" i="12"/>
  <c r="U86" i="12" s="1"/>
  <c r="V86" i="12" s="1"/>
  <c r="S87" i="12"/>
  <c r="U87" i="12" s="1"/>
  <c r="V87" i="12" s="1"/>
  <c r="S88" i="12"/>
  <c r="U88" i="12" s="1"/>
  <c r="V88" i="12" s="1"/>
  <c r="S89" i="12"/>
  <c r="U89" i="12" s="1"/>
  <c r="V89" i="12" s="1"/>
  <c r="S90" i="12"/>
  <c r="U90" i="12" s="1"/>
  <c r="V90" i="12" s="1"/>
  <c r="D87" i="5"/>
  <c r="D88" i="5"/>
  <c r="D89" i="5"/>
  <c r="D90" i="5"/>
  <c r="D91" i="5"/>
  <c r="D92" i="5"/>
  <c r="D93" i="5"/>
  <c r="D94" i="5"/>
  <c r="D95" i="5"/>
  <c r="D96" i="5"/>
  <c r="D97" i="5"/>
  <c r="D98" i="5"/>
  <c r="V31" i="13"/>
  <c r="N45" i="4"/>
  <c r="P45" i="4" s="1"/>
  <c r="Y47" i="4"/>
  <c r="X47" i="4"/>
  <c r="W47" i="4"/>
  <c r="T46" i="4"/>
  <c r="V46" i="4" s="1"/>
  <c r="S46" i="4"/>
  <c r="P46" i="4"/>
  <c r="Y45" i="4"/>
  <c r="U45" i="4"/>
  <c r="T45" i="4"/>
  <c r="S45" i="4"/>
  <c r="Y44" i="4"/>
  <c r="U44" i="4"/>
  <c r="T44" i="4"/>
  <c r="S44" i="4"/>
  <c r="P44" i="4"/>
  <c r="W39" i="4"/>
  <c r="X39" i="4"/>
  <c r="Y39" i="4"/>
  <c r="S38" i="4"/>
  <c r="P38" i="4"/>
  <c r="S37" i="4"/>
  <c r="P37" i="4"/>
  <c r="S36" i="4"/>
  <c r="P36" i="4"/>
  <c r="N11" i="4"/>
  <c r="T3" i="13"/>
  <c r="V3" i="13" s="1"/>
  <c r="T4" i="13"/>
  <c r="V4" i="13" s="1"/>
  <c r="T5" i="13"/>
  <c r="V5" i="13" s="1"/>
  <c r="T6" i="13"/>
  <c r="V6" i="13" s="1"/>
  <c r="T7" i="13"/>
  <c r="V7" i="13" s="1"/>
  <c r="T8" i="13"/>
  <c r="V8" i="13" s="1"/>
  <c r="T9" i="13"/>
  <c r="V9" i="13" s="1"/>
  <c r="T10" i="13"/>
  <c r="V10" i="13" s="1"/>
  <c r="T11" i="13"/>
  <c r="V11" i="13" s="1"/>
  <c r="T12" i="13"/>
  <c r="V12" i="13" s="1"/>
  <c r="T13" i="13"/>
  <c r="V13" i="13" s="1"/>
  <c r="T14" i="13"/>
  <c r="V14" i="13" s="1"/>
  <c r="T15" i="13"/>
  <c r="V15" i="13" s="1"/>
  <c r="T16" i="13"/>
  <c r="V16" i="13" s="1"/>
  <c r="T17" i="13"/>
  <c r="V17" i="13" s="1"/>
  <c r="T18" i="13"/>
  <c r="V18" i="13" s="1"/>
  <c r="T19" i="13"/>
  <c r="V19" i="13" s="1"/>
  <c r="T20" i="13"/>
  <c r="V20" i="13" s="1"/>
  <c r="T21" i="13"/>
  <c r="V21" i="13" s="1"/>
  <c r="T22" i="13"/>
  <c r="V22" i="13" s="1"/>
  <c r="T23" i="13"/>
  <c r="V23" i="13" s="1"/>
  <c r="T24" i="13"/>
  <c r="V24" i="13" s="1"/>
  <c r="T25" i="13"/>
  <c r="V25" i="13" s="1"/>
  <c r="T26" i="13"/>
  <c r="V26" i="13" s="1"/>
  <c r="T27" i="13"/>
  <c r="V27" i="13" s="1"/>
  <c r="T28" i="13"/>
  <c r="V28" i="13" s="1"/>
  <c r="T29" i="13"/>
  <c r="V29" i="13" s="1"/>
  <c r="T30" i="13"/>
  <c r="V30" i="13" s="1"/>
  <c r="T32" i="13"/>
  <c r="V32" i="13" s="1"/>
  <c r="T33" i="13"/>
  <c r="V33" i="13" s="1"/>
  <c r="T34" i="13"/>
  <c r="V34" i="13" s="1"/>
  <c r="T35" i="13"/>
  <c r="V35" i="13" s="1"/>
  <c r="T36" i="13"/>
  <c r="V36" i="13" s="1"/>
  <c r="T37" i="13"/>
  <c r="V37" i="13" s="1"/>
  <c r="T38" i="13"/>
  <c r="V38" i="13" s="1"/>
  <c r="T39" i="13"/>
  <c r="V39" i="13" s="1"/>
  <c r="T40" i="13"/>
  <c r="V40" i="13" s="1"/>
  <c r="T41" i="13"/>
  <c r="V41" i="13" s="1"/>
  <c r="T42" i="13"/>
  <c r="V42" i="13" s="1"/>
  <c r="T43" i="13"/>
  <c r="V43" i="13" s="1"/>
  <c r="T44" i="13"/>
  <c r="V44" i="13" s="1"/>
  <c r="T45" i="13"/>
  <c r="V45" i="13" s="1"/>
  <c r="T46" i="13"/>
  <c r="V46" i="13" s="1"/>
  <c r="T47" i="13"/>
  <c r="V47" i="13" s="1"/>
  <c r="T48" i="13"/>
  <c r="V48" i="13" s="1"/>
  <c r="T49" i="13"/>
  <c r="V49" i="13" s="1"/>
  <c r="T50" i="13"/>
  <c r="V50" i="13" s="1"/>
  <c r="T51" i="13"/>
  <c r="V51" i="13" s="1"/>
  <c r="T52" i="13"/>
  <c r="V52" i="13" s="1"/>
  <c r="T53" i="13"/>
  <c r="V53" i="13" s="1"/>
  <c r="T54" i="13"/>
  <c r="V54" i="13" s="1"/>
  <c r="T55" i="13"/>
  <c r="V55" i="13" s="1"/>
  <c r="T56" i="13"/>
  <c r="V56" i="13" s="1"/>
  <c r="T57" i="13"/>
  <c r="V57" i="13" s="1"/>
  <c r="T58" i="13"/>
  <c r="V58" i="13" s="1"/>
  <c r="T59" i="13"/>
  <c r="V59" i="13" s="1"/>
  <c r="T60" i="13"/>
  <c r="V60" i="13" s="1"/>
  <c r="T61" i="13"/>
  <c r="V61" i="13" s="1"/>
  <c r="T62" i="13"/>
  <c r="V62" i="13" s="1"/>
  <c r="T63" i="13"/>
  <c r="V63" i="13" s="1"/>
  <c r="T64" i="13"/>
  <c r="V64" i="13" s="1"/>
  <c r="T65" i="13"/>
  <c r="V65" i="13" s="1"/>
  <c r="T66" i="13"/>
  <c r="V66" i="13" s="1"/>
  <c r="T67" i="13"/>
  <c r="V67" i="13" s="1"/>
  <c r="T68" i="13"/>
  <c r="V68" i="13" s="1"/>
  <c r="T69" i="13"/>
  <c r="V69" i="13" s="1"/>
  <c r="T70" i="13"/>
  <c r="V70" i="13" s="1"/>
  <c r="T71" i="13"/>
  <c r="V71" i="13" s="1"/>
  <c r="T72" i="13"/>
  <c r="V72" i="13" s="1"/>
  <c r="T73" i="13"/>
  <c r="V73" i="13" s="1"/>
  <c r="T74" i="13"/>
  <c r="V74" i="13" s="1"/>
  <c r="T75" i="13"/>
  <c r="V75" i="13" s="1"/>
  <c r="T76" i="13"/>
  <c r="V76" i="13" s="1"/>
  <c r="T77" i="13"/>
  <c r="V77" i="13" s="1"/>
  <c r="T78" i="13"/>
  <c r="V78" i="13" s="1"/>
  <c r="T79" i="13"/>
  <c r="V79" i="13" s="1"/>
  <c r="T80" i="13"/>
  <c r="V80" i="13" s="1"/>
  <c r="T81" i="13"/>
  <c r="V81" i="13" s="1"/>
  <c r="T82" i="13"/>
  <c r="V82" i="13" s="1"/>
  <c r="T83" i="13"/>
  <c r="V83" i="13" s="1"/>
  <c r="T84" i="13"/>
  <c r="V84" i="13" s="1"/>
  <c r="T85" i="13"/>
  <c r="V85" i="13" s="1"/>
  <c r="T86" i="13"/>
  <c r="V86" i="13" s="1"/>
  <c r="T87" i="13"/>
  <c r="V87" i="13" s="1"/>
  <c r="T88" i="13"/>
  <c r="V88" i="13" s="1"/>
  <c r="T89" i="13"/>
  <c r="V89" i="13" s="1"/>
  <c r="T90" i="13"/>
  <c r="V90" i="13" s="1"/>
  <c r="T91" i="13"/>
  <c r="V91" i="13" s="1"/>
  <c r="T92" i="13"/>
  <c r="V92" i="13" s="1"/>
  <c r="T93" i="13"/>
  <c r="V93" i="13" s="1"/>
  <c r="T94" i="13"/>
  <c r="V94" i="13" s="1"/>
  <c r="T95" i="13"/>
  <c r="V95" i="13" s="1"/>
  <c r="T96" i="13"/>
  <c r="V96" i="13" s="1"/>
  <c r="T97" i="13"/>
  <c r="V97" i="13" s="1"/>
  <c r="T98" i="13"/>
  <c r="V98" i="13" s="1"/>
  <c r="T99" i="13"/>
  <c r="V99" i="13" s="1"/>
  <c r="T100" i="13"/>
  <c r="V100" i="13" s="1"/>
  <c r="T101" i="13"/>
  <c r="V101" i="13" s="1"/>
  <c r="T102" i="13"/>
  <c r="V102" i="13" s="1"/>
  <c r="T103" i="13"/>
  <c r="V103" i="13" s="1"/>
  <c r="T104" i="13"/>
  <c r="V104" i="13" s="1"/>
  <c r="T105" i="13"/>
  <c r="V105" i="13" s="1"/>
  <c r="T106" i="13"/>
  <c r="V106" i="13" s="1"/>
  <c r="T107" i="13"/>
  <c r="V107" i="13" s="1"/>
  <c r="T108" i="13"/>
  <c r="V108" i="13" s="1"/>
  <c r="T109" i="13"/>
  <c r="V109" i="13" s="1"/>
  <c r="T110" i="13"/>
  <c r="V110" i="13" s="1"/>
  <c r="T111" i="13"/>
  <c r="V111" i="13" s="1"/>
  <c r="T112" i="13"/>
  <c r="V112" i="13" s="1"/>
  <c r="T113" i="13"/>
  <c r="V113" i="13" s="1"/>
  <c r="T114" i="13"/>
  <c r="V114" i="13" s="1"/>
  <c r="T115" i="13"/>
  <c r="V115" i="13" s="1"/>
  <c r="T116" i="13"/>
  <c r="V116" i="13" s="1"/>
  <c r="T117" i="13"/>
  <c r="V117" i="13" s="1"/>
  <c r="T118" i="13"/>
  <c r="V118" i="13" s="1"/>
  <c r="T119" i="13"/>
  <c r="V119" i="13" s="1"/>
  <c r="T120" i="13"/>
  <c r="V120" i="13" s="1"/>
  <c r="T121" i="13"/>
  <c r="V121" i="13" s="1"/>
  <c r="T122" i="13"/>
  <c r="V122" i="13" s="1"/>
  <c r="T123" i="13"/>
  <c r="V123" i="13" s="1"/>
  <c r="T124" i="13"/>
  <c r="V124" i="13" s="1"/>
  <c r="T125" i="13"/>
  <c r="V125" i="13" s="1"/>
  <c r="T126" i="13"/>
  <c r="V126" i="13" s="1"/>
  <c r="T127" i="13"/>
  <c r="V127" i="13" s="1"/>
  <c r="T128" i="13"/>
  <c r="V128" i="13" s="1"/>
  <c r="T129" i="13"/>
  <c r="V129" i="13" s="1"/>
  <c r="T130" i="13"/>
  <c r="V130" i="13" s="1"/>
  <c r="T131" i="13"/>
  <c r="V131" i="13" s="1"/>
  <c r="T132" i="13"/>
  <c r="V132" i="13" s="1"/>
  <c r="T133" i="13"/>
  <c r="V133" i="13" s="1"/>
  <c r="T134" i="13"/>
  <c r="V134" i="13" s="1"/>
  <c r="T135" i="13"/>
  <c r="V135" i="13" s="1"/>
  <c r="T136" i="13"/>
  <c r="V136" i="13" s="1"/>
  <c r="T137" i="13"/>
  <c r="V137" i="13" s="1"/>
  <c r="T138" i="13"/>
  <c r="V138" i="13" s="1"/>
  <c r="T139" i="13"/>
  <c r="V139" i="13" s="1"/>
  <c r="T140" i="13"/>
  <c r="V140" i="13" s="1"/>
  <c r="T141" i="13"/>
  <c r="V141" i="13" s="1"/>
  <c r="T142" i="13"/>
  <c r="V142" i="13" s="1"/>
  <c r="T143" i="13"/>
  <c r="V143" i="13" s="1"/>
  <c r="T144" i="13"/>
  <c r="V144" i="13" s="1"/>
  <c r="T145" i="13"/>
  <c r="V145" i="13" s="1"/>
  <c r="T146" i="13"/>
  <c r="V146" i="13" s="1"/>
  <c r="T147" i="13"/>
  <c r="V147" i="13" s="1"/>
  <c r="T148" i="13"/>
  <c r="V148" i="13" s="1"/>
  <c r="T149" i="13"/>
  <c r="V149" i="13" s="1"/>
  <c r="T150" i="13"/>
  <c r="V150" i="13" s="1"/>
  <c r="T151" i="13"/>
  <c r="V151" i="13" s="1"/>
  <c r="T152" i="13"/>
  <c r="V152" i="13" s="1"/>
  <c r="T153" i="13"/>
  <c r="V153" i="13" s="1"/>
  <c r="T154" i="13"/>
  <c r="V154" i="13" s="1"/>
  <c r="T155" i="13"/>
  <c r="V155" i="13" s="1"/>
  <c r="T156" i="13"/>
  <c r="V156" i="13" s="1"/>
  <c r="T157" i="13"/>
  <c r="V157" i="13" s="1"/>
  <c r="T158" i="13"/>
  <c r="V158" i="13" s="1"/>
  <c r="T159" i="13"/>
  <c r="V159" i="13" s="1"/>
  <c r="T160" i="13"/>
  <c r="V160" i="13" s="1"/>
  <c r="T161" i="13"/>
  <c r="V161" i="13" s="1"/>
  <c r="T162" i="13"/>
  <c r="V162" i="13" s="1"/>
  <c r="T163" i="13"/>
  <c r="V163" i="13" s="1"/>
  <c r="T164" i="13"/>
  <c r="V164" i="13" s="1"/>
  <c r="T165" i="13"/>
  <c r="V165" i="13" s="1"/>
  <c r="T166" i="13"/>
  <c r="V166" i="13" s="1"/>
  <c r="T167" i="13"/>
  <c r="V167" i="13" s="1"/>
  <c r="T168" i="13"/>
  <c r="V168" i="13" s="1"/>
  <c r="T169" i="13"/>
  <c r="V169" i="13" s="1"/>
  <c r="T170" i="13"/>
  <c r="V170" i="13" s="1"/>
  <c r="T171" i="13"/>
  <c r="V171" i="13" s="1"/>
  <c r="T172" i="13"/>
  <c r="V172" i="13" s="1"/>
  <c r="T173" i="13"/>
  <c r="V173" i="13" s="1"/>
  <c r="T174" i="13"/>
  <c r="V174" i="13" s="1"/>
  <c r="T175" i="13"/>
  <c r="V175" i="13" s="1"/>
  <c r="T176" i="13"/>
  <c r="V176" i="13" s="1"/>
  <c r="T177" i="13"/>
  <c r="V177" i="13" s="1"/>
  <c r="T178" i="13"/>
  <c r="V178" i="13" s="1"/>
  <c r="T179" i="13"/>
  <c r="V179" i="13" s="1"/>
  <c r="T180" i="13"/>
  <c r="V180" i="13" s="1"/>
  <c r="T181" i="13"/>
  <c r="V181" i="13" s="1"/>
  <c r="T182" i="13"/>
  <c r="V182" i="13" s="1"/>
  <c r="T183" i="13"/>
  <c r="V183" i="13" s="1"/>
  <c r="T184" i="13"/>
  <c r="V184" i="13" s="1"/>
  <c r="T185" i="13"/>
  <c r="V185" i="13" s="1"/>
  <c r="T186" i="13"/>
  <c r="V186" i="13" s="1"/>
  <c r="T187" i="13"/>
  <c r="V187" i="13" s="1"/>
  <c r="T188" i="13"/>
  <c r="V188" i="13" s="1"/>
  <c r="T189" i="13"/>
  <c r="V189" i="13" s="1"/>
  <c r="T190" i="13"/>
  <c r="V190" i="13" s="1"/>
  <c r="T191" i="13"/>
  <c r="V191" i="13" s="1"/>
  <c r="T192" i="13"/>
  <c r="V192" i="13" s="1"/>
  <c r="T193" i="13"/>
  <c r="V193" i="13" s="1"/>
  <c r="T194" i="13"/>
  <c r="V194" i="13" s="1"/>
  <c r="T195" i="13"/>
  <c r="V195" i="13" s="1"/>
  <c r="T196" i="13"/>
  <c r="V196" i="13" s="1"/>
  <c r="T197" i="13"/>
  <c r="V197" i="13" s="1"/>
  <c r="T198" i="13"/>
  <c r="V198" i="13" s="1"/>
  <c r="T199" i="13"/>
  <c r="V199" i="13" s="1"/>
  <c r="T200" i="13"/>
  <c r="V200" i="13" s="1"/>
  <c r="T201" i="13"/>
  <c r="V201" i="13" s="1"/>
  <c r="T202" i="13"/>
  <c r="V202" i="13" s="1"/>
  <c r="T203" i="13"/>
  <c r="V203" i="13" s="1"/>
  <c r="T204" i="13"/>
  <c r="V204" i="13" s="1"/>
  <c r="T205" i="13"/>
  <c r="V205" i="13" s="1"/>
  <c r="T206" i="13"/>
  <c r="V206" i="13" s="1"/>
  <c r="T207" i="13"/>
  <c r="V207" i="13" s="1"/>
  <c r="T208" i="13"/>
  <c r="V208" i="13" s="1"/>
  <c r="T209" i="13"/>
  <c r="V209" i="13" s="1"/>
  <c r="T210" i="13"/>
  <c r="V210" i="13" s="1"/>
  <c r="T211" i="13"/>
  <c r="V211" i="13" s="1"/>
  <c r="T212" i="13"/>
  <c r="V212" i="13" s="1"/>
  <c r="T213" i="13"/>
  <c r="V213" i="13" s="1"/>
  <c r="T214" i="13"/>
  <c r="V214" i="13" s="1"/>
  <c r="T215" i="13"/>
  <c r="V215" i="13" s="1"/>
  <c r="T216" i="13"/>
  <c r="V216" i="13" s="1"/>
  <c r="T217" i="13"/>
  <c r="V217" i="13" s="1"/>
  <c r="T218" i="13"/>
  <c r="V218" i="13" s="1"/>
  <c r="T219" i="13"/>
  <c r="V219" i="13" s="1"/>
  <c r="T220" i="13"/>
  <c r="V220" i="13" s="1"/>
  <c r="T221" i="13"/>
  <c r="V221" i="13" s="1"/>
  <c r="T222" i="13"/>
  <c r="V222" i="13" s="1"/>
  <c r="T223" i="13"/>
  <c r="V223" i="13" s="1"/>
  <c r="T224" i="13"/>
  <c r="V224" i="13" s="1"/>
  <c r="T225" i="13"/>
  <c r="V225" i="13" s="1"/>
  <c r="T226" i="13"/>
  <c r="V226" i="13" s="1"/>
  <c r="T227" i="13"/>
  <c r="V227" i="13" s="1"/>
  <c r="T228" i="13"/>
  <c r="V228" i="13" s="1"/>
  <c r="T229" i="13"/>
  <c r="V229" i="13" s="1"/>
  <c r="T230" i="13"/>
  <c r="V230" i="13" s="1"/>
  <c r="T231" i="13"/>
  <c r="V231" i="13" s="1"/>
  <c r="T232" i="13"/>
  <c r="V232" i="13" s="1"/>
  <c r="T233" i="13"/>
  <c r="V233" i="13" s="1"/>
  <c r="T234" i="13"/>
  <c r="V234" i="13" s="1"/>
  <c r="T235" i="13"/>
  <c r="V235" i="13" s="1"/>
  <c r="T236" i="13"/>
  <c r="V236" i="13" s="1"/>
  <c r="T237" i="13"/>
  <c r="V237" i="13" s="1"/>
  <c r="T238" i="13"/>
  <c r="V238" i="13" s="1"/>
  <c r="T239" i="13"/>
  <c r="V239" i="13" s="1"/>
  <c r="T240" i="13"/>
  <c r="V240" i="13" s="1"/>
  <c r="T241" i="13"/>
  <c r="V241" i="13" s="1"/>
  <c r="T242" i="13"/>
  <c r="V242" i="13" s="1"/>
  <c r="T243" i="13"/>
  <c r="V243" i="13" s="1"/>
  <c r="T244" i="13"/>
  <c r="V244" i="13" s="1"/>
  <c r="T245" i="13"/>
  <c r="V245" i="13" s="1"/>
  <c r="T246" i="13"/>
  <c r="V246" i="13" s="1"/>
  <c r="T247" i="13"/>
  <c r="V247" i="13" s="1"/>
  <c r="T248" i="13"/>
  <c r="V248" i="13" s="1"/>
  <c r="T249" i="13"/>
  <c r="V249" i="13" s="1"/>
  <c r="T250" i="13"/>
  <c r="V250" i="13" s="1"/>
  <c r="T251" i="13"/>
  <c r="V251" i="13" s="1"/>
  <c r="T252" i="13"/>
  <c r="V252" i="13" s="1"/>
  <c r="T253" i="13"/>
  <c r="V253" i="13" s="1"/>
  <c r="T254" i="13"/>
  <c r="V254" i="13" s="1"/>
  <c r="T255" i="13"/>
  <c r="V255" i="13" s="1"/>
  <c r="T256" i="13"/>
  <c r="V256" i="13" s="1"/>
  <c r="T257" i="13"/>
  <c r="V257" i="13" s="1"/>
  <c r="T258" i="13"/>
  <c r="V258" i="13" s="1"/>
  <c r="T259" i="13"/>
  <c r="V259" i="13" s="1"/>
  <c r="T260" i="13"/>
  <c r="V260" i="13" s="1"/>
  <c r="T261" i="13"/>
  <c r="V261" i="13" s="1"/>
  <c r="T262" i="13"/>
  <c r="V262" i="13" s="1"/>
  <c r="T263" i="13"/>
  <c r="V263" i="13" s="1"/>
  <c r="T264" i="13"/>
  <c r="V264" i="13" s="1"/>
  <c r="T265" i="13"/>
  <c r="V265" i="13" s="1"/>
  <c r="T266" i="13"/>
  <c r="V266" i="13" s="1"/>
  <c r="T267" i="13"/>
  <c r="V267" i="13" s="1"/>
  <c r="T268" i="13"/>
  <c r="V268" i="13" s="1"/>
  <c r="T269" i="13"/>
  <c r="V269" i="13" s="1"/>
  <c r="T270" i="13"/>
  <c r="V270" i="13" s="1"/>
  <c r="T271" i="13"/>
  <c r="V271" i="13" s="1"/>
  <c r="T272" i="13"/>
  <c r="V272" i="13" s="1"/>
  <c r="T273" i="13"/>
  <c r="V273" i="13" s="1"/>
  <c r="T274" i="13"/>
  <c r="V274" i="13" s="1"/>
  <c r="T275" i="13"/>
  <c r="V275" i="13" s="1"/>
  <c r="T276" i="13"/>
  <c r="V276" i="13" s="1"/>
  <c r="T277" i="13"/>
  <c r="V277" i="13" s="1"/>
  <c r="T278" i="13"/>
  <c r="V278" i="13" s="1"/>
  <c r="T279" i="13"/>
  <c r="V279" i="13" s="1"/>
  <c r="T280" i="13"/>
  <c r="V280" i="13" s="1"/>
  <c r="T281" i="13"/>
  <c r="V281" i="13" s="1"/>
  <c r="T282" i="13"/>
  <c r="V282" i="13" s="1"/>
  <c r="T283" i="13"/>
  <c r="V283" i="13" s="1"/>
  <c r="T284" i="13"/>
  <c r="V284" i="13" s="1"/>
  <c r="T285" i="13"/>
  <c r="V285" i="13" s="1"/>
  <c r="T286" i="13"/>
  <c r="V286" i="13" s="1"/>
  <c r="T287" i="13"/>
  <c r="V287" i="13" s="1"/>
  <c r="T288" i="13"/>
  <c r="V288" i="13" s="1"/>
  <c r="T289" i="13"/>
  <c r="V289" i="13" s="1"/>
  <c r="T290" i="13"/>
  <c r="V290" i="13" s="1"/>
  <c r="T291" i="13"/>
  <c r="V291" i="13" s="1"/>
  <c r="T292" i="13"/>
  <c r="V292" i="13" s="1"/>
  <c r="T293" i="13"/>
  <c r="V293" i="13" s="1"/>
  <c r="T294" i="13"/>
  <c r="V294" i="13" s="1"/>
  <c r="T295" i="13"/>
  <c r="V295" i="13" s="1"/>
  <c r="T296" i="13"/>
  <c r="V296" i="13" s="1"/>
  <c r="T297" i="13"/>
  <c r="V297" i="13" s="1"/>
  <c r="T298" i="13"/>
  <c r="V298" i="13" s="1"/>
  <c r="T299" i="13"/>
  <c r="V299" i="13" s="1"/>
  <c r="T300" i="13"/>
  <c r="V300" i="13" s="1"/>
  <c r="T301" i="13"/>
  <c r="V301" i="13" s="1"/>
  <c r="T302" i="13"/>
  <c r="V302" i="13" s="1"/>
  <c r="T303" i="13"/>
  <c r="V303" i="13" s="1"/>
  <c r="T304" i="13"/>
  <c r="V304" i="13" s="1"/>
  <c r="T305" i="13"/>
  <c r="V305" i="13" s="1"/>
  <c r="T306" i="13"/>
  <c r="V306" i="13" s="1"/>
  <c r="T307" i="13"/>
  <c r="V307" i="13" s="1"/>
  <c r="T308" i="13"/>
  <c r="V308" i="13" s="1"/>
  <c r="T309" i="13"/>
  <c r="V309" i="13" s="1"/>
  <c r="T310" i="13"/>
  <c r="V310" i="13" s="1"/>
  <c r="T311" i="13"/>
  <c r="V311" i="13" s="1"/>
  <c r="T312" i="13"/>
  <c r="V312" i="13" s="1"/>
  <c r="T313" i="13"/>
  <c r="V313" i="13" s="1"/>
  <c r="T314" i="13"/>
  <c r="V314" i="13" s="1"/>
  <c r="T315" i="13"/>
  <c r="V315" i="13" s="1"/>
  <c r="T316" i="13"/>
  <c r="V316" i="13" s="1"/>
  <c r="T317" i="13"/>
  <c r="V317" i="13" s="1"/>
  <c r="T318" i="13"/>
  <c r="V318" i="13" s="1"/>
  <c r="T319" i="13"/>
  <c r="V319" i="13" s="1"/>
  <c r="T320" i="13"/>
  <c r="V320" i="13" s="1"/>
  <c r="T321" i="13"/>
  <c r="V321" i="13" s="1"/>
  <c r="T322" i="13"/>
  <c r="V322" i="13" s="1"/>
  <c r="T323" i="13"/>
  <c r="V323" i="13" s="1"/>
  <c r="T324" i="13"/>
  <c r="V324" i="13" s="1"/>
  <c r="T325" i="13"/>
  <c r="V325" i="13" s="1"/>
  <c r="T326" i="13"/>
  <c r="V326" i="13" s="1"/>
  <c r="T327" i="13"/>
  <c r="V327" i="13" s="1"/>
  <c r="T328" i="13"/>
  <c r="V328" i="13" s="1"/>
  <c r="T329" i="13"/>
  <c r="V329" i="13" s="1"/>
  <c r="T330" i="13"/>
  <c r="V330" i="13" s="1"/>
  <c r="T331" i="13"/>
  <c r="V331" i="13" s="1"/>
  <c r="T332" i="13"/>
  <c r="V332" i="13" s="1"/>
  <c r="T333" i="13"/>
  <c r="V333" i="13" s="1"/>
  <c r="T334" i="13"/>
  <c r="V334" i="13" s="1"/>
  <c r="T335" i="13"/>
  <c r="V335" i="13" s="1"/>
  <c r="T336" i="13"/>
  <c r="V336" i="13" s="1"/>
  <c r="T337" i="13"/>
  <c r="V337" i="13" s="1"/>
  <c r="T338" i="13"/>
  <c r="V338" i="13" s="1"/>
  <c r="T339" i="13"/>
  <c r="V339" i="13" s="1"/>
  <c r="T340" i="13"/>
  <c r="V340" i="13" s="1"/>
  <c r="T341" i="13"/>
  <c r="V341" i="13" s="1"/>
  <c r="T342" i="13"/>
  <c r="V342" i="13" s="1"/>
  <c r="T343" i="13"/>
  <c r="V343" i="13" s="1"/>
  <c r="T344" i="13"/>
  <c r="V344" i="13" s="1"/>
  <c r="T345" i="13"/>
  <c r="V345" i="13" s="1"/>
  <c r="T346" i="13"/>
  <c r="V346" i="13" s="1"/>
  <c r="T347" i="13"/>
  <c r="V347" i="13" s="1"/>
  <c r="T348" i="13"/>
  <c r="V348" i="13" s="1"/>
  <c r="T349" i="13"/>
  <c r="V349" i="13" s="1"/>
  <c r="T350" i="13"/>
  <c r="V350" i="13" s="1"/>
  <c r="T351" i="13"/>
  <c r="V351" i="13" s="1"/>
  <c r="T352" i="13"/>
  <c r="V352" i="13" s="1"/>
  <c r="T353" i="13"/>
  <c r="V353" i="13" s="1"/>
  <c r="T354" i="13"/>
  <c r="V354" i="13" s="1"/>
  <c r="T355" i="13"/>
  <c r="V355" i="13" s="1"/>
  <c r="T356" i="13"/>
  <c r="V356" i="13" s="1"/>
  <c r="T357" i="13"/>
  <c r="V357" i="13" s="1"/>
  <c r="T358" i="13"/>
  <c r="V358" i="13" s="1"/>
  <c r="T359" i="13"/>
  <c r="V359" i="13" s="1"/>
  <c r="T360" i="13"/>
  <c r="V360" i="13" s="1"/>
  <c r="T361" i="13"/>
  <c r="V361" i="13" s="1"/>
  <c r="T362" i="13"/>
  <c r="V362" i="13" s="1"/>
  <c r="T363" i="13"/>
  <c r="V363" i="13" s="1"/>
  <c r="T364" i="13"/>
  <c r="V364" i="13" s="1"/>
  <c r="T365" i="13"/>
  <c r="V365" i="13" s="1"/>
  <c r="T366" i="13"/>
  <c r="V366" i="13" s="1"/>
  <c r="T367" i="13"/>
  <c r="V367" i="13" s="1"/>
  <c r="T368" i="13"/>
  <c r="V368" i="13" s="1"/>
  <c r="T369" i="13"/>
  <c r="V369" i="13" s="1"/>
  <c r="T370" i="13"/>
  <c r="V370" i="13" s="1"/>
  <c r="T371" i="13"/>
  <c r="V371" i="13" s="1"/>
  <c r="T372" i="13"/>
  <c r="V372" i="13" s="1"/>
  <c r="T373" i="13"/>
  <c r="V373" i="13" s="1"/>
  <c r="T374" i="13"/>
  <c r="V374" i="13" s="1"/>
  <c r="T375" i="13"/>
  <c r="V375" i="13" s="1"/>
  <c r="T376" i="13"/>
  <c r="V376" i="13" s="1"/>
  <c r="T377" i="13"/>
  <c r="V377" i="13" s="1"/>
  <c r="T378" i="13"/>
  <c r="V378" i="13" s="1"/>
  <c r="T379" i="13"/>
  <c r="V379" i="13" s="1"/>
  <c r="T380" i="13"/>
  <c r="V380" i="13" s="1"/>
  <c r="T381" i="13"/>
  <c r="V381" i="13" s="1"/>
  <c r="T382" i="13"/>
  <c r="V382" i="13" s="1"/>
  <c r="T383" i="13"/>
  <c r="V383" i="13" s="1"/>
  <c r="T384" i="13"/>
  <c r="V384" i="13" s="1"/>
  <c r="T385" i="13"/>
  <c r="V385" i="13" s="1"/>
  <c r="T386" i="13"/>
  <c r="V386" i="13" s="1"/>
  <c r="T387" i="13"/>
  <c r="V387" i="13" s="1"/>
  <c r="T388" i="13"/>
  <c r="V388" i="13" s="1"/>
  <c r="T389" i="13"/>
  <c r="V389" i="13" s="1"/>
  <c r="T390" i="13"/>
  <c r="V390" i="13" s="1"/>
  <c r="T391" i="13"/>
  <c r="V391" i="13" s="1"/>
  <c r="T392" i="13"/>
  <c r="V392" i="13" s="1"/>
  <c r="T393" i="13"/>
  <c r="V393" i="13" s="1"/>
  <c r="T394" i="13"/>
  <c r="V394" i="13" s="1"/>
  <c r="T395" i="13"/>
  <c r="V395" i="13" s="1"/>
  <c r="T396" i="13"/>
  <c r="V396" i="13" s="1"/>
  <c r="T397" i="13"/>
  <c r="V397" i="13" s="1"/>
  <c r="T398" i="13"/>
  <c r="V398" i="13" s="1"/>
  <c r="T399" i="13"/>
  <c r="V399" i="13" s="1"/>
  <c r="T400" i="13"/>
  <c r="V400" i="13" s="1"/>
  <c r="T401" i="13"/>
  <c r="V401" i="13" s="1"/>
  <c r="T402" i="13"/>
  <c r="V402" i="13" s="1"/>
  <c r="T403" i="13"/>
  <c r="V403" i="13" s="1"/>
  <c r="T404" i="13"/>
  <c r="V404" i="13" s="1"/>
  <c r="T405" i="13"/>
  <c r="V405" i="13" s="1"/>
  <c r="T406" i="13"/>
  <c r="V406" i="13" s="1"/>
  <c r="T407" i="13"/>
  <c r="V407" i="13" s="1"/>
  <c r="T408" i="13"/>
  <c r="V408" i="13" s="1"/>
  <c r="T409" i="13"/>
  <c r="V409" i="13" s="1"/>
  <c r="T410" i="13"/>
  <c r="V410" i="13" s="1"/>
  <c r="T411" i="13"/>
  <c r="V411" i="13" s="1"/>
  <c r="T412" i="13"/>
  <c r="V412" i="13" s="1"/>
  <c r="T413" i="13"/>
  <c r="V413" i="13" s="1"/>
  <c r="T414" i="13"/>
  <c r="V414" i="13" s="1"/>
  <c r="T415" i="13"/>
  <c r="V415" i="13" s="1"/>
  <c r="T416" i="13"/>
  <c r="V416" i="13" s="1"/>
  <c r="T417" i="13"/>
  <c r="V417" i="13" s="1"/>
  <c r="T418" i="13"/>
  <c r="V418" i="13" s="1"/>
  <c r="T419" i="13"/>
  <c r="V419" i="13" s="1"/>
  <c r="T420" i="13"/>
  <c r="V420" i="13" s="1"/>
  <c r="T421" i="13"/>
  <c r="V421" i="13" s="1"/>
  <c r="T422" i="13"/>
  <c r="V422" i="13" s="1"/>
  <c r="T423" i="13"/>
  <c r="V423" i="13" s="1"/>
  <c r="T424" i="13"/>
  <c r="V424" i="13" s="1"/>
  <c r="T425" i="13"/>
  <c r="V425" i="13" s="1"/>
  <c r="T426" i="13"/>
  <c r="V426" i="13" s="1"/>
  <c r="T427" i="13"/>
  <c r="V427" i="13" s="1"/>
  <c r="T428" i="13"/>
  <c r="V428" i="13" s="1"/>
  <c r="T429" i="13"/>
  <c r="V429" i="13" s="1"/>
  <c r="T430" i="13"/>
  <c r="V430" i="13" s="1"/>
  <c r="T431" i="13"/>
  <c r="V431" i="13" s="1"/>
  <c r="T432" i="13"/>
  <c r="V432" i="13" s="1"/>
  <c r="T433" i="13"/>
  <c r="V433" i="13" s="1"/>
  <c r="T434" i="13"/>
  <c r="V434" i="13" s="1"/>
  <c r="T435" i="13"/>
  <c r="V435" i="13" s="1"/>
  <c r="T436" i="13"/>
  <c r="V436" i="13" s="1"/>
  <c r="T437" i="13"/>
  <c r="V437" i="13" s="1"/>
  <c r="T438" i="13"/>
  <c r="V438" i="13" s="1"/>
  <c r="T439" i="13"/>
  <c r="V439" i="13" s="1"/>
  <c r="T440" i="13"/>
  <c r="V440" i="13" s="1"/>
  <c r="T441" i="13"/>
  <c r="V441" i="13" s="1"/>
  <c r="T442" i="13"/>
  <c r="V442" i="13" s="1"/>
  <c r="T443" i="13"/>
  <c r="V443" i="13" s="1"/>
  <c r="T444" i="13"/>
  <c r="V444" i="13" s="1"/>
  <c r="T445" i="13"/>
  <c r="V445" i="13" s="1"/>
  <c r="T446" i="13"/>
  <c r="V446" i="13" s="1"/>
  <c r="T447" i="13"/>
  <c r="V447" i="13" s="1"/>
  <c r="T448" i="13"/>
  <c r="V448" i="13" s="1"/>
  <c r="T449" i="13"/>
  <c r="V449" i="13" s="1"/>
  <c r="T450" i="13"/>
  <c r="V450" i="13" s="1"/>
  <c r="T451" i="13"/>
  <c r="V451" i="13" s="1"/>
  <c r="T452" i="13"/>
  <c r="V452" i="13" s="1"/>
  <c r="T453" i="13"/>
  <c r="V453" i="13" s="1"/>
  <c r="T454" i="13"/>
  <c r="V454" i="13" s="1"/>
  <c r="T455" i="13"/>
  <c r="V455" i="13" s="1"/>
  <c r="T456" i="13"/>
  <c r="V456" i="13" s="1"/>
  <c r="T457" i="13"/>
  <c r="V457" i="13" s="1"/>
  <c r="T458" i="13"/>
  <c r="V458" i="13" s="1"/>
  <c r="T459" i="13"/>
  <c r="V459" i="13" s="1"/>
  <c r="T460" i="13"/>
  <c r="V460" i="13" s="1"/>
  <c r="T461" i="13"/>
  <c r="V461" i="13" s="1"/>
  <c r="T462" i="13"/>
  <c r="V462" i="13" s="1"/>
  <c r="T463" i="13"/>
  <c r="V463" i="13" s="1"/>
  <c r="T464" i="13"/>
  <c r="V464" i="13" s="1"/>
  <c r="T465" i="13"/>
  <c r="V465" i="13" s="1"/>
  <c r="T466" i="13"/>
  <c r="V466" i="13" s="1"/>
  <c r="T467" i="13"/>
  <c r="V467" i="13" s="1"/>
  <c r="T468" i="13"/>
  <c r="V468" i="13" s="1"/>
  <c r="T469" i="13"/>
  <c r="V469" i="13" s="1"/>
  <c r="T470" i="13"/>
  <c r="V470" i="13" s="1"/>
  <c r="T471" i="13"/>
  <c r="V471" i="13" s="1"/>
  <c r="T472" i="13"/>
  <c r="V472" i="13" s="1"/>
  <c r="T473" i="13"/>
  <c r="V473" i="13" s="1"/>
  <c r="T474" i="13"/>
  <c r="V474" i="13" s="1"/>
  <c r="T475" i="13"/>
  <c r="V475" i="13" s="1"/>
  <c r="T476" i="13"/>
  <c r="V476" i="13" s="1"/>
  <c r="T477" i="13"/>
  <c r="V477" i="13" s="1"/>
  <c r="T478" i="13"/>
  <c r="V478" i="13" s="1"/>
  <c r="T479" i="13"/>
  <c r="V479" i="13" s="1"/>
  <c r="T480" i="13"/>
  <c r="V480" i="13" s="1"/>
  <c r="T481" i="13"/>
  <c r="V481" i="13" s="1"/>
  <c r="T482" i="13"/>
  <c r="V482" i="13" s="1"/>
  <c r="T483" i="13"/>
  <c r="V483" i="13" s="1"/>
  <c r="T484" i="13"/>
  <c r="V484" i="13" s="1"/>
  <c r="T485" i="13"/>
  <c r="V485" i="13" s="1"/>
  <c r="T486" i="13"/>
  <c r="V486" i="13" s="1"/>
  <c r="T487" i="13"/>
  <c r="V487" i="13" s="1"/>
  <c r="T488" i="13"/>
  <c r="V488" i="13" s="1"/>
  <c r="T489" i="13"/>
  <c r="V489" i="13" s="1"/>
  <c r="T490" i="13"/>
  <c r="V490" i="13" s="1"/>
  <c r="T491" i="13"/>
  <c r="V491" i="13" s="1"/>
  <c r="T492" i="13"/>
  <c r="V492" i="13" s="1"/>
  <c r="T493" i="13"/>
  <c r="V493" i="13" s="1"/>
  <c r="T494" i="13"/>
  <c r="V494" i="13" s="1"/>
  <c r="T495" i="13"/>
  <c r="V495" i="13" s="1"/>
  <c r="T496" i="13"/>
  <c r="V496" i="13" s="1"/>
  <c r="T497" i="13"/>
  <c r="V497" i="13" s="1"/>
  <c r="T498" i="13"/>
  <c r="V498" i="13" s="1"/>
  <c r="T499" i="13"/>
  <c r="V499" i="13" s="1"/>
  <c r="T500" i="13"/>
  <c r="V500" i="13" s="1"/>
  <c r="T501" i="13"/>
  <c r="V501" i="13" s="1"/>
  <c r="T502" i="13"/>
  <c r="V502" i="13" s="1"/>
  <c r="T503" i="13"/>
  <c r="V503" i="13" s="1"/>
  <c r="T504" i="13"/>
  <c r="V504" i="13" s="1"/>
  <c r="T505" i="13"/>
  <c r="V505" i="13" s="1"/>
  <c r="T506" i="13"/>
  <c r="V506" i="13" s="1"/>
  <c r="T507" i="13"/>
  <c r="V507" i="13" s="1"/>
  <c r="T508" i="13"/>
  <c r="V508" i="13" s="1"/>
  <c r="T509" i="13"/>
  <c r="V509" i="13" s="1"/>
  <c r="T510" i="13"/>
  <c r="V510" i="13" s="1"/>
  <c r="T511" i="13"/>
  <c r="V511" i="13" s="1"/>
  <c r="T512" i="13"/>
  <c r="V512" i="13" s="1"/>
  <c r="T513" i="13"/>
  <c r="V513" i="13" s="1"/>
  <c r="T514" i="13"/>
  <c r="V514" i="13" s="1"/>
  <c r="T515" i="13"/>
  <c r="V515" i="13" s="1"/>
  <c r="T516" i="13"/>
  <c r="V516" i="13" s="1"/>
  <c r="T517" i="13"/>
  <c r="V517" i="13" s="1"/>
  <c r="T518" i="13"/>
  <c r="V518" i="13" s="1"/>
  <c r="T519" i="13"/>
  <c r="V519" i="13" s="1"/>
  <c r="T520" i="13"/>
  <c r="V520" i="13" s="1"/>
  <c r="T521" i="13"/>
  <c r="V521" i="13" s="1"/>
  <c r="T522" i="13"/>
  <c r="V522" i="13" s="1"/>
  <c r="T523" i="13"/>
  <c r="V523" i="13" s="1"/>
  <c r="T524" i="13"/>
  <c r="V524" i="13" s="1"/>
  <c r="T525" i="13"/>
  <c r="V525" i="13" s="1"/>
  <c r="T526" i="13"/>
  <c r="V526" i="13" s="1"/>
  <c r="T527" i="13"/>
  <c r="V527" i="13" s="1"/>
  <c r="T528" i="13"/>
  <c r="V528" i="13" s="1"/>
  <c r="T529" i="13"/>
  <c r="V529" i="13" s="1"/>
  <c r="T530" i="13"/>
  <c r="V530" i="13" s="1"/>
  <c r="T531" i="13"/>
  <c r="V531" i="13" s="1"/>
  <c r="T532" i="13"/>
  <c r="V532" i="13" s="1"/>
  <c r="T533" i="13"/>
  <c r="V533" i="13" s="1"/>
  <c r="T534" i="13"/>
  <c r="V534" i="13" s="1"/>
  <c r="T535" i="13"/>
  <c r="V535" i="13" s="1"/>
  <c r="T536" i="13"/>
  <c r="V536" i="13" s="1"/>
  <c r="T537" i="13"/>
  <c r="V537" i="13" s="1"/>
  <c r="T538" i="13"/>
  <c r="V538" i="13" s="1"/>
  <c r="T539" i="13"/>
  <c r="V539" i="13" s="1"/>
  <c r="T540" i="13"/>
  <c r="V540" i="13" s="1"/>
  <c r="T541" i="13"/>
  <c r="V541" i="13" s="1"/>
  <c r="T542" i="13"/>
  <c r="V542" i="13" s="1"/>
  <c r="T543" i="13"/>
  <c r="V543" i="13" s="1"/>
  <c r="T544" i="13"/>
  <c r="V544" i="13" s="1"/>
  <c r="T545" i="13"/>
  <c r="V545" i="13" s="1"/>
  <c r="T546" i="13"/>
  <c r="V546" i="13" s="1"/>
  <c r="T547" i="13"/>
  <c r="V547" i="13" s="1"/>
  <c r="T548" i="13"/>
  <c r="V548" i="13" s="1"/>
  <c r="T549" i="13"/>
  <c r="V549" i="13" s="1"/>
  <c r="T550" i="13"/>
  <c r="V550" i="13" s="1"/>
  <c r="T551" i="13"/>
  <c r="V551" i="13" s="1"/>
  <c r="T552" i="13"/>
  <c r="V552" i="13" s="1"/>
  <c r="T553" i="13"/>
  <c r="V553" i="13" s="1"/>
  <c r="T554" i="13"/>
  <c r="V554" i="13" s="1"/>
  <c r="T555" i="13"/>
  <c r="V555" i="13" s="1"/>
  <c r="T556" i="13"/>
  <c r="V556" i="13" s="1"/>
  <c r="T557" i="13"/>
  <c r="V557" i="13" s="1"/>
  <c r="T558" i="13"/>
  <c r="V558" i="13" s="1"/>
  <c r="T559" i="13"/>
  <c r="V559" i="13" s="1"/>
  <c r="T560" i="13"/>
  <c r="V560" i="13" s="1"/>
  <c r="T561" i="13"/>
  <c r="V561" i="13" s="1"/>
  <c r="T562" i="13"/>
  <c r="V562" i="13" s="1"/>
  <c r="T563" i="13"/>
  <c r="V563" i="13" s="1"/>
  <c r="T564" i="13"/>
  <c r="V564" i="13" s="1"/>
  <c r="T565" i="13"/>
  <c r="V565" i="13" s="1"/>
  <c r="T566" i="13"/>
  <c r="V566" i="13" s="1"/>
  <c r="T567" i="13"/>
  <c r="V567" i="13" s="1"/>
  <c r="T568" i="13"/>
  <c r="V568" i="13" s="1"/>
  <c r="T569" i="13"/>
  <c r="V569" i="13" s="1"/>
  <c r="T570" i="13"/>
  <c r="V570" i="13" s="1"/>
  <c r="T571" i="13"/>
  <c r="V571" i="13" s="1"/>
  <c r="T572" i="13"/>
  <c r="V572" i="13" s="1"/>
  <c r="T573" i="13"/>
  <c r="V573" i="13" s="1"/>
  <c r="T574" i="13"/>
  <c r="V574" i="13" s="1"/>
  <c r="T575" i="13"/>
  <c r="V575" i="13" s="1"/>
  <c r="T576" i="13"/>
  <c r="V576" i="13" s="1"/>
  <c r="T577" i="13"/>
  <c r="V577" i="13" s="1"/>
  <c r="T578" i="13"/>
  <c r="V578" i="13" s="1"/>
  <c r="T579" i="13"/>
  <c r="V579" i="13" s="1"/>
  <c r="T580" i="13"/>
  <c r="V580" i="13" s="1"/>
  <c r="T581" i="13"/>
  <c r="V581" i="13" s="1"/>
  <c r="T582" i="13"/>
  <c r="V582" i="13" s="1"/>
  <c r="T583" i="13"/>
  <c r="V583" i="13" s="1"/>
  <c r="T584" i="13"/>
  <c r="V584" i="13" s="1"/>
  <c r="T585" i="13"/>
  <c r="V585" i="13" s="1"/>
  <c r="T586" i="13"/>
  <c r="V586" i="13" s="1"/>
  <c r="T587" i="13"/>
  <c r="V587" i="13" s="1"/>
  <c r="T588" i="13"/>
  <c r="V588" i="13" s="1"/>
  <c r="T589" i="13"/>
  <c r="V589" i="13" s="1"/>
  <c r="T590" i="13"/>
  <c r="V590" i="13" s="1"/>
  <c r="T591" i="13"/>
  <c r="V591" i="13" s="1"/>
  <c r="T592" i="13"/>
  <c r="V592" i="13" s="1"/>
  <c r="T593" i="13"/>
  <c r="V593" i="13" s="1"/>
  <c r="T594" i="13"/>
  <c r="V594" i="13" s="1"/>
  <c r="T595" i="13"/>
  <c r="V595" i="13" s="1"/>
  <c r="T596" i="13"/>
  <c r="V596" i="13" s="1"/>
  <c r="T597" i="13"/>
  <c r="V597" i="13" s="1"/>
  <c r="T598" i="13"/>
  <c r="V598" i="13" s="1"/>
  <c r="T599" i="13"/>
  <c r="V599" i="13" s="1"/>
  <c r="T600" i="13"/>
  <c r="V600" i="13" s="1"/>
  <c r="T601" i="13"/>
  <c r="V601" i="13" s="1"/>
  <c r="T602" i="13"/>
  <c r="V602" i="13" s="1"/>
  <c r="T603" i="13"/>
  <c r="V603" i="13" s="1"/>
  <c r="T604" i="13"/>
  <c r="V604" i="13" s="1"/>
  <c r="T605" i="13"/>
  <c r="V605" i="13" s="1"/>
  <c r="T606" i="13"/>
  <c r="V606" i="13" s="1"/>
  <c r="T607" i="13"/>
  <c r="V607" i="13" s="1"/>
  <c r="T608" i="13"/>
  <c r="V608" i="13" s="1"/>
  <c r="T609" i="13"/>
  <c r="V609" i="13" s="1"/>
  <c r="T610" i="13"/>
  <c r="V610" i="13" s="1"/>
  <c r="T611" i="13"/>
  <c r="V611" i="13" s="1"/>
  <c r="T612" i="13"/>
  <c r="V612" i="13" s="1"/>
  <c r="T613" i="13"/>
  <c r="V613" i="13" s="1"/>
  <c r="T614" i="13"/>
  <c r="V614" i="13" s="1"/>
  <c r="T615" i="13"/>
  <c r="V615" i="13" s="1"/>
  <c r="T616" i="13"/>
  <c r="V616" i="13" s="1"/>
  <c r="T617" i="13"/>
  <c r="V617" i="13" s="1"/>
  <c r="T618" i="13"/>
  <c r="V618" i="13" s="1"/>
  <c r="T619" i="13"/>
  <c r="V619" i="13" s="1"/>
  <c r="T620" i="13"/>
  <c r="V620" i="13" s="1"/>
  <c r="T621" i="13"/>
  <c r="V621" i="13" s="1"/>
  <c r="T622" i="13"/>
  <c r="V622" i="13" s="1"/>
  <c r="T623" i="13"/>
  <c r="V623" i="13" s="1"/>
  <c r="T624" i="13"/>
  <c r="V624" i="13" s="1"/>
  <c r="T625" i="13"/>
  <c r="V625" i="13" s="1"/>
  <c r="T626" i="13"/>
  <c r="V626" i="13" s="1"/>
  <c r="T627" i="13"/>
  <c r="V627" i="13" s="1"/>
  <c r="T628" i="13"/>
  <c r="V628" i="13" s="1"/>
  <c r="T629" i="13"/>
  <c r="V629" i="13" s="1"/>
  <c r="T630" i="13"/>
  <c r="V630" i="13" s="1"/>
  <c r="T631" i="13"/>
  <c r="V631" i="13" s="1"/>
  <c r="T632" i="13"/>
  <c r="V632" i="13" s="1"/>
  <c r="T633" i="13"/>
  <c r="V633" i="13" s="1"/>
  <c r="T634" i="13"/>
  <c r="V634" i="13" s="1"/>
  <c r="T635" i="13"/>
  <c r="V635" i="13" s="1"/>
  <c r="T636" i="13"/>
  <c r="V636" i="13" s="1"/>
  <c r="T637" i="13"/>
  <c r="V637" i="13" s="1"/>
  <c r="T638" i="13"/>
  <c r="V638" i="13" s="1"/>
  <c r="T639" i="13"/>
  <c r="V639" i="13" s="1"/>
  <c r="T640" i="13"/>
  <c r="V640" i="13" s="1"/>
  <c r="T641" i="13"/>
  <c r="V641" i="13" s="1"/>
  <c r="T642" i="13"/>
  <c r="V642" i="13" s="1"/>
  <c r="T643" i="13"/>
  <c r="V643" i="13" s="1"/>
  <c r="T644" i="13"/>
  <c r="V644" i="13" s="1"/>
  <c r="T645" i="13"/>
  <c r="V645" i="13" s="1"/>
  <c r="T646" i="13"/>
  <c r="V646" i="13" s="1"/>
  <c r="T647" i="13"/>
  <c r="V647" i="13" s="1"/>
  <c r="T648" i="13"/>
  <c r="V648" i="13" s="1"/>
  <c r="T649" i="13"/>
  <c r="V649" i="13" s="1"/>
  <c r="T650" i="13"/>
  <c r="V650" i="13" s="1"/>
  <c r="T651" i="13"/>
  <c r="V651" i="13" s="1"/>
  <c r="T652" i="13"/>
  <c r="V652" i="13" s="1"/>
  <c r="T653" i="13"/>
  <c r="V653" i="13" s="1"/>
  <c r="T654" i="13"/>
  <c r="V654" i="13" s="1"/>
  <c r="T655" i="13"/>
  <c r="V655" i="13" s="1"/>
  <c r="T656" i="13"/>
  <c r="V656" i="13" s="1"/>
  <c r="T657" i="13"/>
  <c r="V657" i="13" s="1"/>
  <c r="T658" i="13"/>
  <c r="V658" i="13" s="1"/>
  <c r="T659" i="13"/>
  <c r="V659" i="13" s="1"/>
  <c r="T660" i="13"/>
  <c r="V660" i="13" s="1"/>
  <c r="T661" i="13"/>
  <c r="V661" i="13" s="1"/>
  <c r="T662" i="13"/>
  <c r="V662" i="13" s="1"/>
  <c r="T663" i="13"/>
  <c r="V663" i="13" s="1"/>
  <c r="T664" i="13"/>
  <c r="V664" i="13" s="1"/>
  <c r="T665" i="13"/>
  <c r="V665" i="13" s="1"/>
  <c r="T666" i="13"/>
  <c r="V666" i="13" s="1"/>
  <c r="T667" i="13"/>
  <c r="V667" i="13" s="1"/>
  <c r="T668" i="13"/>
  <c r="V668" i="13" s="1"/>
  <c r="T669" i="13"/>
  <c r="V669" i="13" s="1"/>
  <c r="T670" i="13"/>
  <c r="V670" i="13" s="1"/>
  <c r="T671" i="13"/>
  <c r="V671" i="13" s="1"/>
  <c r="T672" i="13"/>
  <c r="V672" i="13" s="1"/>
  <c r="T673" i="13"/>
  <c r="V673" i="13" s="1"/>
  <c r="T674" i="13"/>
  <c r="V674" i="13" s="1"/>
  <c r="T675" i="13"/>
  <c r="V675" i="13" s="1"/>
  <c r="T676" i="13"/>
  <c r="V676" i="13" s="1"/>
  <c r="T677" i="13"/>
  <c r="V677" i="13" s="1"/>
  <c r="T678" i="13"/>
  <c r="V678" i="13" s="1"/>
  <c r="T679" i="13"/>
  <c r="V679" i="13" s="1"/>
  <c r="T680" i="13"/>
  <c r="V680" i="13" s="1"/>
  <c r="T681" i="13"/>
  <c r="V681" i="13" s="1"/>
  <c r="T682" i="13"/>
  <c r="V682" i="13" s="1"/>
  <c r="T683" i="13"/>
  <c r="V683" i="13" s="1"/>
  <c r="T684" i="13"/>
  <c r="V684" i="13" s="1"/>
  <c r="T685" i="13"/>
  <c r="V685" i="13" s="1"/>
  <c r="T686" i="13"/>
  <c r="V686" i="13" s="1"/>
  <c r="T687" i="13"/>
  <c r="V687" i="13" s="1"/>
  <c r="T688" i="13"/>
  <c r="V688" i="13" s="1"/>
  <c r="T689" i="13"/>
  <c r="V689" i="13" s="1"/>
  <c r="T690" i="13"/>
  <c r="V690" i="13" s="1"/>
  <c r="T691" i="13"/>
  <c r="V691" i="13" s="1"/>
  <c r="T692" i="13"/>
  <c r="V692" i="13" s="1"/>
  <c r="T693" i="13"/>
  <c r="V693" i="13" s="1"/>
  <c r="T694" i="13"/>
  <c r="V694" i="13" s="1"/>
  <c r="T695" i="13"/>
  <c r="V695" i="13" s="1"/>
  <c r="T696" i="13"/>
  <c r="V696" i="13" s="1"/>
  <c r="T697" i="13"/>
  <c r="V697" i="13" s="1"/>
  <c r="T698" i="13"/>
  <c r="V698" i="13" s="1"/>
  <c r="T699" i="13"/>
  <c r="V699" i="13" s="1"/>
  <c r="T700" i="13"/>
  <c r="V700" i="13" s="1"/>
  <c r="T701" i="13"/>
  <c r="V701" i="13" s="1"/>
  <c r="T702" i="13"/>
  <c r="V702" i="13" s="1"/>
  <c r="T703" i="13"/>
  <c r="V703" i="13" s="1"/>
  <c r="T704" i="13"/>
  <c r="V704" i="13" s="1"/>
  <c r="T705" i="13"/>
  <c r="V705" i="13" s="1"/>
  <c r="T706" i="13"/>
  <c r="V706" i="13" s="1"/>
  <c r="T707" i="13"/>
  <c r="V707" i="13" s="1"/>
  <c r="T708" i="13"/>
  <c r="V708" i="13" s="1"/>
  <c r="T709" i="13"/>
  <c r="V709" i="13" s="1"/>
  <c r="T710" i="13"/>
  <c r="V710" i="13" s="1"/>
  <c r="T711" i="13"/>
  <c r="V711" i="13" s="1"/>
  <c r="T712" i="13"/>
  <c r="V712" i="13" s="1"/>
  <c r="T713" i="13"/>
  <c r="V713" i="13" s="1"/>
  <c r="T714" i="13"/>
  <c r="V714" i="13" s="1"/>
  <c r="T715" i="13"/>
  <c r="V715" i="13" s="1"/>
  <c r="T716" i="13"/>
  <c r="V716" i="13" s="1"/>
  <c r="T717" i="13"/>
  <c r="V717" i="13" s="1"/>
  <c r="T718" i="13"/>
  <c r="V718" i="13" s="1"/>
  <c r="T719" i="13"/>
  <c r="V719" i="13" s="1"/>
  <c r="T720" i="13"/>
  <c r="V720" i="13" s="1"/>
  <c r="T721" i="13"/>
  <c r="V721" i="13" s="1"/>
  <c r="T722" i="13"/>
  <c r="V722" i="13" s="1"/>
  <c r="T723" i="13"/>
  <c r="V723" i="13" s="1"/>
  <c r="T724" i="13"/>
  <c r="V724" i="13" s="1"/>
  <c r="T725" i="13"/>
  <c r="V725" i="13" s="1"/>
  <c r="T726" i="13"/>
  <c r="V726" i="13" s="1"/>
  <c r="T727" i="13"/>
  <c r="V727" i="13" s="1"/>
  <c r="T728" i="13"/>
  <c r="V728" i="13" s="1"/>
  <c r="T729" i="13"/>
  <c r="V729" i="13" s="1"/>
  <c r="T730" i="13"/>
  <c r="V730" i="13" s="1"/>
  <c r="T731" i="13"/>
  <c r="V731" i="13" s="1"/>
  <c r="T732" i="13"/>
  <c r="V732" i="13" s="1"/>
  <c r="T733" i="13"/>
  <c r="V733" i="13" s="1"/>
  <c r="T734" i="13"/>
  <c r="V734" i="13" s="1"/>
  <c r="T735" i="13"/>
  <c r="V735" i="13" s="1"/>
  <c r="T736" i="13"/>
  <c r="V736" i="13" s="1"/>
  <c r="T737" i="13"/>
  <c r="V737" i="13" s="1"/>
  <c r="T738" i="13"/>
  <c r="V738" i="13" s="1"/>
  <c r="T739" i="13"/>
  <c r="V739" i="13" s="1"/>
  <c r="T740" i="13"/>
  <c r="V740" i="13" s="1"/>
  <c r="T741" i="13"/>
  <c r="V741" i="13" s="1"/>
  <c r="T742" i="13"/>
  <c r="V742" i="13" s="1"/>
  <c r="T743" i="13"/>
  <c r="V743" i="13" s="1"/>
  <c r="T744" i="13"/>
  <c r="V744" i="13" s="1"/>
  <c r="T745" i="13"/>
  <c r="V745" i="13" s="1"/>
  <c r="T746" i="13"/>
  <c r="V746" i="13" s="1"/>
  <c r="T747" i="13"/>
  <c r="V747" i="13" s="1"/>
  <c r="T748" i="13"/>
  <c r="V748" i="13" s="1"/>
  <c r="T749" i="13"/>
  <c r="V749" i="13" s="1"/>
  <c r="T750" i="13"/>
  <c r="V750" i="13" s="1"/>
  <c r="T751" i="13"/>
  <c r="V751" i="13" s="1"/>
  <c r="T752" i="13"/>
  <c r="V752" i="13" s="1"/>
  <c r="T753" i="13"/>
  <c r="V753" i="13" s="1"/>
  <c r="T754" i="13"/>
  <c r="V754" i="13" s="1"/>
  <c r="T755" i="13"/>
  <c r="V755" i="13" s="1"/>
  <c r="T756" i="13"/>
  <c r="V756" i="13" s="1"/>
  <c r="T757" i="13"/>
  <c r="V757" i="13" s="1"/>
  <c r="T758" i="13"/>
  <c r="V758" i="13" s="1"/>
  <c r="T759" i="13"/>
  <c r="V759" i="13" s="1"/>
  <c r="T760" i="13"/>
  <c r="V760" i="13" s="1"/>
  <c r="T761" i="13"/>
  <c r="V761" i="13" s="1"/>
  <c r="T762" i="13"/>
  <c r="V762" i="13" s="1"/>
  <c r="T763" i="13"/>
  <c r="V763" i="13" s="1"/>
  <c r="T764" i="13"/>
  <c r="V764" i="13" s="1"/>
  <c r="T765" i="13"/>
  <c r="V765" i="13" s="1"/>
  <c r="T766" i="13"/>
  <c r="V766" i="13" s="1"/>
  <c r="T767" i="13"/>
  <c r="V767" i="13" s="1"/>
  <c r="T768" i="13"/>
  <c r="V768" i="13" s="1"/>
  <c r="T769" i="13"/>
  <c r="V769" i="13" s="1"/>
  <c r="T770" i="13"/>
  <c r="V770" i="13" s="1"/>
  <c r="T771" i="13"/>
  <c r="V771" i="13" s="1"/>
  <c r="T772" i="13"/>
  <c r="V772" i="13" s="1"/>
  <c r="T773" i="13"/>
  <c r="V773" i="13" s="1"/>
  <c r="T774" i="13"/>
  <c r="V774" i="13" s="1"/>
  <c r="T775" i="13"/>
  <c r="V775" i="13" s="1"/>
  <c r="T776" i="13"/>
  <c r="V776" i="13" s="1"/>
  <c r="T777" i="13"/>
  <c r="V777" i="13" s="1"/>
  <c r="T778" i="13"/>
  <c r="V778" i="13" s="1"/>
  <c r="T779" i="13"/>
  <c r="V779" i="13" s="1"/>
  <c r="T780" i="13"/>
  <c r="V780" i="13" s="1"/>
  <c r="T781" i="13"/>
  <c r="V781" i="13" s="1"/>
  <c r="T782" i="13"/>
  <c r="V782" i="13" s="1"/>
  <c r="T783" i="13"/>
  <c r="V783" i="13" s="1"/>
  <c r="T784" i="13"/>
  <c r="V784" i="13" s="1"/>
  <c r="T785" i="13"/>
  <c r="V785" i="13" s="1"/>
  <c r="T786" i="13"/>
  <c r="V786" i="13" s="1"/>
  <c r="T787" i="13"/>
  <c r="V787" i="13" s="1"/>
  <c r="T788" i="13"/>
  <c r="V788" i="13" s="1"/>
  <c r="T789" i="13"/>
  <c r="V789" i="13" s="1"/>
  <c r="T790" i="13"/>
  <c r="V790" i="13" s="1"/>
  <c r="T791" i="13"/>
  <c r="V791" i="13" s="1"/>
  <c r="T792" i="13"/>
  <c r="V792" i="13" s="1"/>
  <c r="T793" i="13"/>
  <c r="V793" i="13" s="1"/>
  <c r="T794" i="13"/>
  <c r="V794" i="13" s="1"/>
  <c r="T795" i="13"/>
  <c r="V795" i="13" s="1"/>
  <c r="T796" i="13"/>
  <c r="V796" i="13" s="1"/>
  <c r="T797" i="13"/>
  <c r="V797" i="13" s="1"/>
  <c r="T798" i="13"/>
  <c r="V798" i="13" s="1"/>
  <c r="T799" i="13"/>
  <c r="V799" i="13" s="1"/>
  <c r="T800" i="13"/>
  <c r="V800" i="13" s="1"/>
  <c r="T801" i="13"/>
  <c r="V801" i="13" s="1"/>
  <c r="T802" i="13"/>
  <c r="V802" i="13" s="1"/>
  <c r="T803" i="13"/>
  <c r="V803" i="13" s="1"/>
  <c r="T804" i="13"/>
  <c r="V804" i="13" s="1"/>
  <c r="T805" i="13"/>
  <c r="V805" i="13" s="1"/>
  <c r="T806" i="13"/>
  <c r="V806" i="13" s="1"/>
  <c r="T807" i="13"/>
  <c r="V807" i="13" s="1"/>
  <c r="T808" i="13"/>
  <c r="V808" i="13" s="1"/>
  <c r="T809" i="13"/>
  <c r="V809" i="13" s="1"/>
  <c r="T810" i="13"/>
  <c r="V810" i="13" s="1"/>
  <c r="T811" i="13"/>
  <c r="V811" i="13" s="1"/>
  <c r="T812" i="13"/>
  <c r="V812" i="13" s="1"/>
  <c r="T813" i="13"/>
  <c r="V813" i="13" s="1"/>
  <c r="T814" i="13"/>
  <c r="V814" i="13" s="1"/>
  <c r="T815" i="13"/>
  <c r="V815" i="13" s="1"/>
  <c r="T816" i="13"/>
  <c r="V816" i="13" s="1"/>
  <c r="T817" i="13"/>
  <c r="V817" i="13" s="1"/>
  <c r="T818" i="13"/>
  <c r="V818" i="13" s="1"/>
  <c r="T819" i="13"/>
  <c r="V819" i="13" s="1"/>
  <c r="T820" i="13"/>
  <c r="V820" i="13" s="1"/>
  <c r="T821" i="13"/>
  <c r="V821" i="13" s="1"/>
  <c r="T822" i="13"/>
  <c r="V822" i="13" s="1"/>
  <c r="T823" i="13"/>
  <c r="V823" i="13" s="1"/>
  <c r="T824" i="13"/>
  <c r="V824" i="13" s="1"/>
  <c r="T825" i="13"/>
  <c r="V825" i="13" s="1"/>
  <c r="T826" i="13"/>
  <c r="V826" i="13" s="1"/>
  <c r="T827" i="13"/>
  <c r="V827" i="13" s="1"/>
  <c r="T828" i="13"/>
  <c r="V828" i="13" s="1"/>
  <c r="T829" i="13"/>
  <c r="V829" i="13" s="1"/>
  <c r="T830" i="13"/>
  <c r="V830" i="13" s="1"/>
  <c r="T831" i="13"/>
  <c r="V831" i="13" s="1"/>
  <c r="T832" i="13"/>
  <c r="V832" i="13" s="1"/>
  <c r="T833" i="13"/>
  <c r="V833" i="13" s="1"/>
  <c r="T834" i="13"/>
  <c r="V834" i="13" s="1"/>
  <c r="T835" i="13"/>
  <c r="V835" i="13" s="1"/>
  <c r="T836" i="13"/>
  <c r="V836" i="13" s="1"/>
  <c r="T837" i="13"/>
  <c r="V837" i="13" s="1"/>
  <c r="T838" i="13"/>
  <c r="V838" i="13" s="1"/>
  <c r="T839" i="13"/>
  <c r="V839" i="13" s="1"/>
  <c r="T840" i="13"/>
  <c r="V840" i="13" s="1"/>
  <c r="T841" i="13"/>
  <c r="V841" i="13" s="1"/>
  <c r="T842" i="13"/>
  <c r="V842" i="13" s="1"/>
  <c r="T843" i="13"/>
  <c r="V843" i="13" s="1"/>
  <c r="T844" i="13"/>
  <c r="V844" i="13" s="1"/>
  <c r="T845" i="13"/>
  <c r="V845" i="13" s="1"/>
  <c r="T846" i="13"/>
  <c r="V846" i="13" s="1"/>
  <c r="T847" i="13"/>
  <c r="V847" i="13" s="1"/>
  <c r="T848" i="13"/>
  <c r="V848" i="13" s="1"/>
  <c r="T849" i="13"/>
  <c r="V849" i="13" s="1"/>
  <c r="T850" i="13"/>
  <c r="V850" i="13" s="1"/>
  <c r="T851" i="13"/>
  <c r="V851" i="13" s="1"/>
  <c r="T852" i="13"/>
  <c r="V852" i="13" s="1"/>
  <c r="T853" i="13"/>
  <c r="V853" i="13" s="1"/>
  <c r="T854" i="13"/>
  <c r="V854" i="13" s="1"/>
  <c r="T855" i="13"/>
  <c r="V855" i="13" s="1"/>
  <c r="T856" i="13"/>
  <c r="V856" i="13" s="1"/>
  <c r="T857" i="13"/>
  <c r="V857" i="13" s="1"/>
  <c r="T858" i="13"/>
  <c r="V858" i="13" s="1"/>
  <c r="T859" i="13"/>
  <c r="V859" i="13" s="1"/>
  <c r="T860" i="13"/>
  <c r="V860" i="13" s="1"/>
  <c r="T861" i="13"/>
  <c r="V861" i="13" s="1"/>
  <c r="T862" i="13"/>
  <c r="V862" i="13" s="1"/>
  <c r="T863" i="13"/>
  <c r="V863" i="13" s="1"/>
  <c r="T864" i="13"/>
  <c r="V864" i="13" s="1"/>
  <c r="T865" i="13"/>
  <c r="V865" i="13" s="1"/>
  <c r="T866" i="13"/>
  <c r="V866" i="13" s="1"/>
  <c r="T867" i="13"/>
  <c r="V867" i="13" s="1"/>
  <c r="T868" i="13"/>
  <c r="V868" i="13" s="1"/>
  <c r="T869" i="13"/>
  <c r="V869" i="13" s="1"/>
  <c r="T870" i="13"/>
  <c r="V870" i="13" s="1"/>
  <c r="T871" i="13"/>
  <c r="V871" i="13" s="1"/>
  <c r="T872" i="13"/>
  <c r="V872" i="13" s="1"/>
  <c r="T873" i="13"/>
  <c r="V873" i="13" s="1"/>
  <c r="T874" i="13"/>
  <c r="V874" i="13" s="1"/>
  <c r="T875" i="13"/>
  <c r="V875" i="13" s="1"/>
  <c r="T876" i="13"/>
  <c r="V876" i="13" s="1"/>
  <c r="T877" i="13"/>
  <c r="V877" i="13" s="1"/>
  <c r="T878" i="13"/>
  <c r="V878" i="13" s="1"/>
  <c r="T879" i="13"/>
  <c r="V879" i="13" s="1"/>
  <c r="T880" i="13"/>
  <c r="V880" i="13" s="1"/>
  <c r="T881" i="13"/>
  <c r="V881" i="13" s="1"/>
  <c r="T882" i="13"/>
  <c r="V882" i="13" s="1"/>
  <c r="T883" i="13"/>
  <c r="V883" i="13" s="1"/>
  <c r="T884" i="13"/>
  <c r="V884" i="13" s="1"/>
  <c r="T885" i="13"/>
  <c r="V885" i="13" s="1"/>
  <c r="T886" i="13"/>
  <c r="V886" i="13" s="1"/>
  <c r="T887" i="13"/>
  <c r="V887" i="13" s="1"/>
  <c r="T888" i="13"/>
  <c r="V888" i="13" s="1"/>
  <c r="T889" i="13"/>
  <c r="V889" i="13" s="1"/>
  <c r="T890" i="13"/>
  <c r="V890" i="13" s="1"/>
  <c r="T891" i="13"/>
  <c r="V891" i="13" s="1"/>
  <c r="T892" i="13"/>
  <c r="V892" i="13" s="1"/>
  <c r="T893" i="13"/>
  <c r="V893" i="13" s="1"/>
  <c r="T894" i="13"/>
  <c r="V894" i="13" s="1"/>
  <c r="T895" i="13"/>
  <c r="V895" i="13" s="1"/>
  <c r="T896" i="13"/>
  <c r="V896" i="13" s="1"/>
  <c r="T897" i="13"/>
  <c r="V897" i="13" s="1"/>
  <c r="T898" i="13"/>
  <c r="V898" i="13" s="1"/>
  <c r="T899" i="13"/>
  <c r="V899" i="13" s="1"/>
  <c r="T900" i="13"/>
  <c r="V900" i="13" s="1"/>
  <c r="T901" i="13"/>
  <c r="V901" i="13" s="1"/>
  <c r="T902" i="13"/>
  <c r="V902" i="13" s="1"/>
  <c r="T903" i="13"/>
  <c r="V903" i="13" s="1"/>
  <c r="T904" i="13"/>
  <c r="V904" i="13" s="1"/>
  <c r="T905" i="13"/>
  <c r="V905" i="13" s="1"/>
  <c r="T906" i="13"/>
  <c r="V906" i="13" s="1"/>
  <c r="T907" i="13"/>
  <c r="V907" i="13" s="1"/>
  <c r="T908" i="13"/>
  <c r="V908" i="13" s="1"/>
  <c r="T909" i="13"/>
  <c r="V909" i="13" s="1"/>
  <c r="T910" i="13"/>
  <c r="V910" i="13" s="1"/>
  <c r="T911" i="13"/>
  <c r="V911" i="13" s="1"/>
  <c r="T912" i="13"/>
  <c r="V912" i="13" s="1"/>
  <c r="T913" i="13"/>
  <c r="V913" i="13" s="1"/>
  <c r="T914" i="13"/>
  <c r="V914" i="13" s="1"/>
  <c r="T915" i="13"/>
  <c r="V915" i="13" s="1"/>
  <c r="T916" i="13"/>
  <c r="V916" i="13" s="1"/>
  <c r="T917" i="13"/>
  <c r="V917" i="13" s="1"/>
  <c r="T918" i="13"/>
  <c r="V918" i="13" s="1"/>
  <c r="T919" i="13"/>
  <c r="V919" i="13" s="1"/>
  <c r="T920" i="13"/>
  <c r="V920" i="13" s="1"/>
  <c r="T921" i="13"/>
  <c r="V921" i="13" s="1"/>
  <c r="T922" i="13"/>
  <c r="V922" i="13" s="1"/>
  <c r="T923" i="13"/>
  <c r="V923" i="13" s="1"/>
  <c r="T924" i="13"/>
  <c r="V924" i="13" s="1"/>
  <c r="T925" i="13"/>
  <c r="V925" i="13" s="1"/>
  <c r="T926" i="13"/>
  <c r="V926" i="13" s="1"/>
  <c r="T927" i="13"/>
  <c r="V927" i="13" s="1"/>
  <c r="T928" i="13"/>
  <c r="V928" i="13" s="1"/>
  <c r="T929" i="13"/>
  <c r="V929" i="13" s="1"/>
  <c r="T930" i="13"/>
  <c r="V930" i="13" s="1"/>
  <c r="T931" i="13"/>
  <c r="V931" i="13" s="1"/>
  <c r="T932" i="13"/>
  <c r="V932" i="13" s="1"/>
  <c r="T933" i="13"/>
  <c r="V933" i="13" s="1"/>
  <c r="T934" i="13"/>
  <c r="V934" i="13" s="1"/>
  <c r="T935" i="13"/>
  <c r="V935" i="13" s="1"/>
  <c r="T936" i="13"/>
  <c r="V936" i="13" s="1"/>
  <c r="T937" i="13"/>
  <c r="V937" i="13" s="1"/>
  <c r="T938" i="13"/>
  <c r="V938" i="13" s="1"/>
  <c r="T939" i="13"/>
  <c r="V939" i="13" s="1"/>
  <c r="T940" i="13"/>
  <c r="V940" i="13" s="1"/>
  <c r="T941" i="13"/>
  <c r="V941" i="13" s="1"/>
  <c r="T942" i="13"/>
  <c r="V942" i="13" s="1"/>
  <c r="T943" i="13"/>
  <c r="V943" i="13" s="1"/>
  <c r="T944" i="13"/>
  <c r="V944" i="13" s="1"/>
  <c r="T945" i="13"/>
  <c r="V945" i="13" s="1"/>
  <c r="T946" i="13"/>
  <c r="V946" i="13" s="1"/>
  <c r="T947" i="13"/>
  <c r="V947" i="13" s="1"/>
  <c r="T948" i="13"/>
  <c r="V948" i="13" s="1"/>
  <c r="T949" i="13"/>
  <c r="V949" i="13" s="1"/>
  <c r="T950" i="13"/>
  <c r="V950" i="13" s="1"/>
  <c r="T951" i="13"/>
  <c r="V951" i="13" s="1"/>
  <c r="T952" i="13"/>
  <c r="V952" i="13" s="1"/>
  <c r="T953" i="13"/>
  <c r="V953" i="13" s="1"/>
  <c r="T954" i="13"/>
  <c r="V954" i="13" s="1"/>
  <c r="T955" i="13"/>
  <c r="V955" i="13" s="1"/>
  <c r="T956" i="13"/>
  <c r="V956" i="13" s="1"/>
  <c r="T957" i="13"/>
  <c r="V957" i="13" s="1"/>
  <c r="T958" i="13"/>
  <c r="V958" i="13" s="1"/>
  <c r="T959" i="13"/>
  <c r="V959" i="13" s="1"/>
  <c r="T960" i="13"/>
  <c r="V960" i="13" s="1"/>
  <c r="T961" i="13"/>
  <c r="V961" i="13" s="1"/>
  <c r="T962" i="13"/>
  <c r="V962" i="13" s="1"/>
  <c r="T963" i="13"/>
  <c r="V963" i="13" s="1"/>
  <c r="T964" i="13"/>
  <c r="V964" i="13" s="1"/>
  <c r="T965" i="13"/>
  <c r="V965" i="13" s="1"/>
  <c r="T966" i="13"/>
  <c r="V966" i="13" s="1"/>
  <c r="T967" i="13"/>
  <c r="V967" i="13" s="1"/>
  <c r="T968" i="13"/>
  <c r="V968" i="13" s="1"/>
  <c r="T969" i="13"/>
  <c r="V969" i="13" s="1"/>
  <c r="T970" i="13"/>
  <c r="V970" i="13" s="1"/>
  <c r="T971" i="13"/>
  <c r="V971" i="13" s="1"/>
  <c r="T972" i="13"/>
  <c r="V972" i="13" s="1"/>
  <c r="T973" i="13"/>
  <c r="V973" i="13" s="1"/>
  <c r="T974" i="13"/>
  <c r="V974" i="13" s="1"/>
  <c r="T975" i="13"/>
  <c r="V975" i="13" s="1"/>
  <c r="T976" i="13"/>
  <c r="V976" i="13" s="1"/>
  <c r="T977" i="13"/>
  <c r="V977" i="13" s="1"/>
  <c r="T978" i="13"/>
  <c r="V978" i="13" s="1"/>
  <c r="T979" i="13"/>
  <c r="V979" i="13" s="1"/>
  <c r="T980" i="13"/>
  <c r="V980" i="13" s="1"/>
  <c r="T981" i="13"/>
  <c r="V981" i="13" s="1"/>
  <c r="T982" i="13"/>
  <c r="V982" i="13" s="1"/>
  <c r="T983" i="13"/>
  <c r="V983" i="13" s="1"/>
  <c r="T984" i="13"/>
  <c r="V984" i="13" s="1"/>
  <c r="T985" i="13"/>
  <c r="V985" i="13" s="1"/>
  <c r="T986" i="13"/>
  <c r="V986" i="13" s="1"/>
  <c r="T987" i="13"/>
  <c r="V987" i="13" s="1"/>
  <c r="T988" i="13"/>
  <c r="V988" i="13" s="1"/>
  <c r="T989" i="13"/>
  <c r="V989" i="13" s="1"/>
  <c r="T990" i="13"/>
  <c r="V990" i="13" s="1"/>
  <c r="T991" i="13"/>
  <c r="V991" i="13" s="1"/>
  <c r="T992" i="13"/>
  <c r="V992" i="13" s="1"/>
  <c r="T993" i="13"/>
  <c r="V993" i="13" s="1"/>
  <c r="T994" i="13"/>
  <c r="V994" i="13" s="1"/>
  <c r="T995" i="13"/>
  <c r="V995" i="13" s="1"/>
  <c r="T996" i="13"/>
  <c r="V996" i="13" s="1"/>
  <c r="T997" i="13"/>
  <c r="V997" i="13" s="1"/>
  <c r="T998" i="13"/>
  <c r="V998" i="13" s="1"/>
  <c r="T999" i="13"/>
  <c r="V999" i="13" s="1"/>
  <c r="T1000" i="13"/>
  <c r="V1000" i="13" s="1"/>
  <c r="T1001" i="13"/>
  <c r="V1001" i="13" s="1"/>
  <c r="T1002" i="13"/>
  <c r="V1002" i="13" s="1"/>
  <c r="T1003" i="13"/>
  <c r="V1003" i="13" s="1"/>
  <c r="T1004" i="13"/>
  <c r="V1004" i="13" s="1"/>
  <c r="T1005" i="13"/>
  <c r="V1005" i="13" s="1"/>
  <c r="T1006" i="13"/>
  <c r="V1006" i="13" s="1"/>
  <c r="T1007" i="13"/>
  <c r="V1007" i="13" s="1"/>
  <c r="T1008" i="13"/>
  <c r="V1008" i="13" s="1"/>
  <c r="T1009" i="13"/>
  <c r="V1009" i="13" s="1"/>
  <c r="T1010" i="13"/>
  <c r="V1010" i="13" s="1"/>
  <c r="T1011" i="13"/>
  <c r="V1011" i="13" s="1"/>
  <c r="T1012" i="13"/>
  <c r="V1012" i="13" s="1"/>
  <c r="T1013" i="13"/>
  <c r="V1013" i="13" s="1"/>
  <c r="T1014" i="13"/>
  <c r="V1014" i="13" s="1"/>
  <c r="T1015" i="13"/>
  <c r="V1015" i="13" s="1"/>
  <c r="T1016" i="13"/>
  <c r="V1016" i="13" s="1"/>
  <c r="T1017" i="13"/>
  <c r="V1017" i="13" s="1"/>
  <c r="T1018" i="13"/>
  <c r="V1018" i="13" s="1"/>
  <c r="T1019" i="13"/>
  <c r="V1019" i="13" s="1"/>
  <c r="T1020" i="13"/>
  <c r="V1020" i="13" s="1"/>
  <c r="T1021" i="13"/>
  <c r="V1021" i="13" s="1"/>
  <c r="T1022" i="13"/>
  <c r="V1022" i="13" s="1"/>
  <c r="T1023" i="13"/>
  <c r="V1023" i="13" s="1"/>
  <c r="T1024" i="13"/>
  <c r="V1024" i="13" s="1"/>
  <c r="T1025" i="13"/>
  <c r="V1025" i="13" s="1"/>
  <c r="T1026" i="13"/>
  <c r="V1026" i="13" s="1"/>
  <c r="T1027" i="13"/>
  <c r="V1027" i="13" s="1"/>
  <c r="T1028" i="13"/>
  <c r="V1028" i="13" s="1"/>
  <c r="T1029" i="13"/>
  <c r="V1029" i="13" s="1"/>
  <c r="T1030" i="13"/>
  <c r="V1030" i="13" s="1"/>
  <c r="T1031" i="13"/>
  <c r="V1031" i="13" s="1"/>
  <c r="T1032" i="13"/>
  <c r="V1032" i="13" s="1"/>
  <c r="T1033" i="13"/>
  <c r="V1033" i="13" s="1"/>
  <c r="T1034" i="13"/>
  <c r="V1034" i="13" s="1"/>
  <c r="T1035" i="13"/>
  <c r="V1035" i="13" s="1"/>
  <c r="T1036" i="13"/>
  <c r="V1036" i="13" s="1"/>
  <c r="T1037" i="13"/>
  <c r="V1037" i="13" s="1"/>
  <c r="T1038" i="13"/>
  <c r="V1038" i="13" s="1"/>
  <c r="T1039" i="13"/>
  <c r="V1039" i="13" s="1"/>
  <c r="T1040" i="13"/>
  <c r="V1040" i="13" s="1"/>
  <c r="T1041" i="13"/>
  <c r="V1041" i="13" s="1"/>
  <c r="T1042" i="13"/>
  <c r="V1042" i="13" s="1"/>
  <c r="T1043" i="13"/>
  <c r="V1043" i="13" s="1"/>
  <c r="T1044" i="13"/>
  <c r="V1044" i="13" s="1"/>
  <c r="T1045" i="13"/>
  <c r="V1045" i="13" s="1"/>
  <c r="T1046" i="13"/>
  <c r="V1046" i="13" s="1"/>
  <c r="T1047" i="13"/>
  <c r="V1047" i="13" s="1"/>
  <c r="T1048" i="13"/>
  <c r="V1048" i="13" s="1"/>
  <c r="T1049" i="13"/>
  <c r="V1049" i="13" s="1"/>
  <c r="T1050" i="13"/>
  <c r="V1050" i="13" s="1"/>
  <c r="T1051" i="13"/>
  <c r="V1051" i="13" s="1"/>
  <c r="T1052" i="13"/>
  <c r="V1052" i="13" s="1"/>
  <c r="T1053" i="13"/>
  <c r="V1053" i="13" s="1"/>
  <c r="T1054" i="13"/>
  <c r="V1054" i="13" s="1"/>
  <c r="T1055" i="13"/>
  <c r="V1055" i="13" s="1"/>
  <c r="T1056" i="13"/>
  <c r="V1056" i="13" s="1"/>
  <c r="T1057" i="13"/>
  <c r="V1057" i="13" s="1"/>
  <c r="T1058" i="13"/>
  <c r="V1058" i="13" s="1"/>
  <c r="T1059" i="13"/>
  <c r="V1059" i="13" s="1"/>
  <c r="T1060" i="13"/>
  <c r="V1060" i="13" s="1"/>
  <c r="T1061" i="13"/>
  <c r="V1061" i="13" s="1"/>
  <c r="T1062" i="13"/>
  <c r="V1062" i="13" s="1"/>
  <c r="T1063" i="13"/>
  <c r="V1063" i="13" s="1"/>
  <c r="T1064" i="13"/>
  <c r="V1064" i="13" s="1"/>
  <c r="T1065" i="13"/>
  <c r="V1065" i="13" s="1"/>
  <c r="T1066" i="13"/>
  <c r="V1066" i="13" s="1"/>
  <c r="T1067" i="13"/>
  <c r="V1067" i="13" s="1"/>
  <c r="T1068" i="13"/>
  <c r="V1068" i="13" s="1"/>
  <c r="T1069" i="13"/>
  <c r="V1069" i="13" s="1"/>
  <c r="T1070" i="13"/>
  <c r="V1070" i="13" s="1"/>
  <c r="T1071" i="13"/>
  <c r="V1071" i="13" s="1"/>
  <c r="T1072" i="13"/>
  <c r="V1072" i="13" s="1"/>
  <c r="T1073" i="13"/>
  <c r="V1073" i="13" s="1"/>
  <c r="T1074" i="13"/>
  <c r="V1074" i="13" s="1"/>
  <c r="T1075" i="13"/>
  <c r="V1075" i="13" s="1"/>
  <c r="T1076" i="13"/>
  <c r="V1076" i="13" s="1"/>
  <c r="T1077" i="13"/>
  <c r="V1077" i="13" s="1"/>
  <c r="T1078" i="13"/>
  <c r="V1078" i="13" s="1"/>
  <c r="T1079" i="13"/>
  <c r="V1079" i="13" s="1"/>
  <c r="T1080" i="13"/>
  <c r="V1080" i="13" s="1"/>
  <c r="T1081" i="13"/>
  <c r="V1081" i="13" s="1"/>
  <c r="T1082" i="13"/>
  <c r="V1082" i="13" s="1"/>
  <c r="T1083" i="13"/>
  <c r="V1083" i="13" s="1"/>
  <c r="T1084" i="13"/>
  <c r="V1084" i="13" s="1"/>
  <c r="T1085" i="13"/>
  <c r="V1085" i="13" s="1"/>
  <c r="T1086" i="13"/>
  <c r="V1086" i="13" s="1"/>
  <c r="T1087" i="13"/>
  <c r="V1087" i="13" s="1"/>
  <c r="T1088" i="13"/>
  <c r="V1088" i="13" s="1"/>
  <c r="T1089" i="13"/>
  <c r="V1089" i="13" s="1"/>
  <c r="T1090" i="13"/>
  <c r="V1090" i="13" s="1"/>
  <c r="T1091" i="13"/>
  <c r="V1091" i="13" s="1"/>
  <c r="T1092" i="13"/>
  <c r="V1092" i="13" s="1"/>
  <c r="T1093" i="13"/>
  <c r="V1093" i="13" s="1"/>
  <c r="T1094" i="13"/>
  <c r="V1094" i="13" s="1"/>
  <c r="T1095" i="13"/>
  <c r="V1095" i="13" s="1"/>
  <c r="T1096" i="13"/>
  <c r="V1096" i="13" s="1"/>
  <c r="T1097" i="13"/>
  <c r="V1097" i="13" s="1"/>
  <c r="T1098" i="13"/>
  <c r="V1098" i="13" s="1"/>
  <c r="T1099" i="13"/>
  <c r="V1099" i="13" s="1"/>
  <c r="T1100" i="13"/>
  <c r="V1100" i="13" s="1"/>
  <c r="T1101" i="13"/>
  <c r="V1101" i="13" s="1"/>
  <c r="T1102" i="13"/>
  <c r="V1102" i="13" s="1"/>
  <c r="T1103" i="13"/>
  <c r="V1103" i="13" s="1"/>
  <c r="T1104" i="13"/>
  <c r="V1104" i="13" s="1"/>
  <c r="T1105" i="13"/>
  <c r="V1105" i="13" s="1"/>
  <c r="T1106" i="13"/>
  <c r="V1106" i="13" s="1"/>
  <c r="T1107" i="13"/>
  <c r="V1107" i="13" s="1"/>
  <c r="T1108" i="13"/>
  <c r="V1108" i="13" s="1"/>
  <c r="T1109" i="13"/>
  <c r="V1109" i="13" s="1"/>
  <c r="T1110" i="13"/>
  <c r="V1110" i="13" s="1"/>
  <c r="T1111" i="13"/>
  <c r="V1111" i="13" s="1"/>
  <c r="T1112" i="13"/>
  <c r="V1112" i="13" s="1"/>
  <c r="T1113" i="13"/>
  <c r="V1113" i="13" s="1"/>
  <c r="V1114" i="13"/>
  <c r="V1115" i="13"/>
  <c r="V1116" i="13"/>
  <c r="V1117" i="13"/>
  <c r="V1118" i="13"/>
  <c r="V1119" i="13"/>
  <c r="T2" i="13"/>
  <c r="V2" i="13" s="1"/>
  <c r="S2" i="13"/>
  <c r="S3" i="13" s="1"/>
  <c r="I91" i="13"/>
  <c r="H91" i="13"/>
  <c r="I90" i="13"/>
  <c r="H90" i="13"/>
  <c r="I89" i="13"/>
  <c r="H89" i="13"/>
  <c r="I88" i="13"/>
  <c r="H88" i="13"/>
  <c r="I87" i="13"/>
  <c r="H87" i="13"/>
  <c r="I86" i="13"/>
  <c r="H86" i="13"/>
  <c r="I85" i="13"/>
  <c r="H85" i="13"/>
  <c r="I84" i="13"/>
  <c r="H84" i="13"/>
  <c r="I83" i="13"/>
  <c r="H83" i="13"/>
  <c r="I82" i="13"/>
  <c r="H82" i="13"/>
  <c r="I81" i="13"/>
  <c r="H81" i="13"/>
  <c r="I80" i="13"/>
  <c r="H80" i="13"/>
  <c r="I79" i="13"/>
  <c r="H79" i="13"/>
  <c r="I78" i="13"/>
  <c r="H78" i="13"/>
  <c r="I77" i="13"/>
  <c r="H77" i="13"/>
  <c r="I76" i="13"/>
  <c r="H76" i="13"/>
  <c r="I75" i="13"/>
  <c r="H75" i="13"/>
  <c r="I74" i="13"/>
  <c r="H74" i="13"/>
  <c r="I73" i="13"/>
  <c r="H73" i="13"/>
  <c r="I72" i="13"/>
  <c r="H72" i="13"/>
  <c r="I71" i="13"/>
  <c r="H71" i="13"/>
  <c r="I70" i="13"/>
  <c r="H70" i="13"/>
  <c r="I69" i="13"/>
  <c r="H69" i="13"/>
  <c r="I68" i="13"/>
  <c r="H68" i="13"/>
  <c r="B91" i="13"/>
  <c r="C91" i="13" s="1"/>
  <c r="C90" i="13"/>
  <c r="B90" i="13"/>
  <c r="B89" i="13"/>
  <c r="C89" i="13" s="1"/>
  <c r="C88" i="13"/>
  <c r="B88" i="13"/>
  <c r="B87" i="13"/>
  <c r="C87" i="13" s="1"/>
  <c r="C86" i="13"/>
  <c r="B86" i="13"/>
  <c r="B85" i="13"/>
  <c r="C85" i="13" s="1"/>
  <c r="C84" i="13"/>
  <c r="B84" i="13"/>
  <c r="B83" i="13"/>
  <c r="C83" i="13" s="1"/>
  <c r="C82" i="13"/>
  <c r="B82" i="13"/>
  <c r="B81" i="13"/>
  <c r="C81" i="13" s="1"/>
  <c r="C80" i="13"/>
  <c r="B80" i="13"/>
  <c r="B79" i="13"/>
  <c r="C79" i="13" s="1"/>
  <c r="C78" i="13"/>
  <c r="B78" i="13"/>
  <c r="B77" i="13"/>
  <c r="C77" i="13" s="1"/>
  <c r="C76" i="13"/>
  <c r="B76" i="13"/>
  <c r="B75" i="13"/>
  <c r="C75" i="13" s="1"/>
  <c r="C74" i="13"/>
  <c r="B74" i="13"/>
  <c r="B73" i="13"/>
  <c r="C73" i="13" s="1"/>
  <c r="C72" i="13"/>
  <c r="B72" i="13"/>
  <c r="B71" i="13"/>
  <c r="C71" i="13" s="1"/>
  <c r="C70" i="13"/>
  <c r="B70" i="13"/>
  <c r="B69" i="13"/>
  <c r="C69" i="13" s="1"/>
  <c r="C68" i="13"/>
  <c r="B68" i="13"/>
  <c r="X84" i="11"/>
  <c r="R85" i="11"/>
  <c r="T85" i="11" s="1"/>
  <c r="S85" i="11"/>
  <c r="U85" i="11" s="1"/>
  <c r="V85" i="11" s="1"/>
  <c r="W85" i="11" s="1"/>
  <c r="X85" i="11" s="1"/>
  <c r="Y85" i="11"/>
  <c r="Z85" i="11"/>
  <c r="R86" i="11"/>
  <c r="T86" i="11" s="1"/>
  <c r="S86" i="11"/>
  <c r="U86" i="11" s="1"/>
  <c r="V86" i="11" s="1"/>
  <c r="W86" i="11" s="1"/>
  <c r="X86" i="11" s="1"/>
  <c r="Y86" i="11"/>
  <c r="Z86" i="11"/>
  <c r="R87" i="11"/>
  <c r="T87" i="11" s="1"/>
  <c r="S87" i="11"/>
  <c r="U87" i="11" s="1"/>
  <c r="V87" i="11" s="1"/>
  <c r="W87" i="11" s="1"/>
  <c r="X87" i="11" s="1"/>
  <c r="Y87" i="11"/>
  <c r="Z87" i="11"/>
  <c r="R88" i="11"/>
  <c r="T88" i="11" s="1"/>
  <c r="S88" i="11"/>
  <c r="U88" i="11" s="1"/>
  <c r="V88" i="11" s="1"/>
  <c r="W88" i="11" s="1"/>
  <c r="X88" i="11" s="1"/>
  <c r="Y88" i="11"/>
  <c r="Z88" i="11"/>
  <c r="R89" i="11"/>
  <c r="T89" i="11" s="1"/>
  <c r="S89" i="11"/>
  <c r="U89" i="11" s="1"/>
  <c r="V89" i="11" s="1"/>
  <c r="W89" i="11" s="1"/>
  <c r="X89" i="11" s="1"/>
  <c r="Y89" i="11"/>
  <c r="Z89" i="11"/>
  <c r="R90" i="11"/>
  <c r="T90" i="11" s="1"/>
  <c r="S90" i="11"/>
  <c r="U90" i="11"/>
  <c r="V90" i="11" s="1"/>
  <c r="W90" i="11" s="1"/>
  <c r="X90" i="11" s="1"/>
  <c r="Y90" i="11"/>
  <c r="Z90" i="11"/>
  <c r="S91" i="11"/>
  <c r="U91" i="11" s="1"/>
  <c r="V91" i="11" s="1"/>
  <c r="Y91" i="11"/>
  <c r="Z91" i="11"/>
  <c r="S92" i="11"/>
  <c r="U92" i="11" s="1"/>
  <c r="V92" i="11" s="1"/>
  <c r="Y92" i="11"/>
  <c r="Z92" i="11"/>
  <c r="S93" i="11"/>
  <c r="U93" i="11" s="1"/>
  <c r="V93" i="11" s="1"/>
  <c r="Y93" i="11"/>
  <c r="Z93" i="11"/>
  <c r="S94" i="11"/>
  <c r="U94" i="11" s="1"/>
  <c r="V94" i="11" s="1"/>
  <c r="Y94" i="11"/>
  <c r="Z94" i="11"/>
  <c r="S95" i="11"/>
  <c r="U95" i="11"/>
  <c r="V95" i="11" s="1"/>
  <c r="Y95" i="11"/>
  <c r="Z95" i="11"/>
  <c r="S96" i="11"/>
  <c r="U96" i="11" s="1"/>
  <c r="V96" i="11" s="1"/>
  <c r="Y96" i="11"/>
  <c r="Z96" i="11"/>
  <c r="AG8" i="4"/>
  <c r="Z8" i="4"/>
  <c r="V8" i="4"/>
  <c r="F92" i="11"/>
  <c r="K117" i="10" l="1"/>
  <c r="P117" i="10" s="1"/>
  <c r="K128" i="10"/>
  <c r="P128" i="10" s="1"/>
  <c r="O131" i="10"/>
  <c r="K135" i="10"/>
  <c r="P135" i="10" s="1"/>
  <c r="M135" i="10"/>
  <c r="K129" i="10"/>
  <c r="M129" i="10"/>
  <c r="K132" i="10"/>
  <c r="N132" i="10"/>
  <c r="O132" i="10" s="1"/>
  <c r="K131" i="10"/>
  <c r="M131" i="10"/>
  <c r="O129" i="10"/>
  <c r="P129" i="10" s="1"/>
  <c r="K134" i="10"/>
  <c r="N134" i="10"/>
  <c r="O134" i="10" s="1"/>
  <c r="P133" i="10"/>
  <c r="M128" i="10"/>
  <c r="P130" i="10"/>
  <c r="N104" i="5"/>
  <c r="N123" i="5"/>
  <c r="AG96" i="5"/>
  <c r="L96" i="5"/>
  <c r="N120" i="5"/>
  <c r="AG94" i="5"/>
  <c r="P130" i="5"/>
  <c r="N99" i="5"/>
  <c r="N98" i="5"/>
  <c r="N125" i="5"/>
  <c r="AG98" i="5"/>
  <c r="L103" i="5"/>
  <c r="L115" i="5"/>
  <c r="P131" i="5"/>
  <c r="N124" i="5"/>
  <c r="L131" i="5"/>
  <c r="N101" i="5"/>
  <c r="L130" i="5"/>
  <c r="L127" i="5"/>
  <c r="O127" i="5"/>
  <c r="P127" i="5" s="1"/>
  <c r="P113" i="5"/>
  <c r="AG101" i="5"/>
  <c r="N147" i="5"/>
  <c r="O121" i="5"/>
  <c r="P121" i="5" s="1"/>
  <c r="L129" i="5"/>
  <c r="O129" i="5"/>
  <c r="P129" i="5" s="1"/>
  <c r="L126" i="5"/>
  <c r="O126" i="5"/>
  <c r="P126" i="5" s="1"/>
  <c r="AG95" i="5"/>
  <c r="AG108" i="5"/>
  <c r="O125" i="5"/>
  <c r="P125" i="5" s="1"/>
  <c r="AG93" i="5"/>
  <c r="O124" i="5"/>
  <c r="P124" i="5" s="1"/>
  <c r="L128" i="5"/>
  <c r="O128" i="5"/>
  <c r="P128" i="5" s="1"/>
  <c r="N113" i="5"/>
  <c r="Q98" i="12"/>
  <c r="Q104" i="11"/>
  <c r="J4" i="15"/>
  <c r="P3" i="15"/>
  <c r="Q106" i="11"/>
  <c r="M4" i="15"/>
  <c r="R3" i="15"/>
  <c r="AR1386" i="13"/>
  <c r="AP1387" i="13"/>
  <c r="U1387" i="13"/>
  <c r="S1388" i="13"/>
  <c r="AN55" i="8"/>
  <c r="AO55" i="8" s="1"/>
  <c r="N108" i="5"/>
  <c r="N109" i="5"/>
  <c r="N124" i="10"/>
  <c r="N103" i="5"/>
  <c r="K122" i="10"/>
  <c r="L113" i="5"/>
  <c r="O100" i="5"/>
  <c r="P100" i="5" s="1"/>
  <c r="L98" i="5"/>
  <c r="N125" i="10"/>
  <c r="O99" i="5"/>
  <c r="P99" i="5" s="1"/>
  <c r="Q99" i="5" s="1"/>
  <c r="N97" i="5"/>
  <c r="N95" i="5"/>
  <c r="O118" i="5"/>
  <c r="P118" i="5" s="1"/>
  <c r="N123" i="10"/>
  <c r="O123" i="10" s="1"/>
  <c r="N118" i="5"/>
  <c r="L125" i="5"/>
  <c r="O123" i="5"/>
  <c r="P123" i="5" s="1"/>
  <c r="O122" i="5"/>
  <c r="P122" i="5" s="1"/>
  <c r="N122" i="5"/>
  <c r="N121" i="5"/>
  <c r="L119" i="5"/>
  <c r="N119" i="5"/>
  <c r="O119" i="5"/>
  <c r="P119" i="5" s="1"/>
  <c r="AH55" i="8"/>
  <c r="N127" i="10"/>
  <c r="O127" i="10" s="1"/>
  <c r="P127" i="10" s="1"/>
  <c r="O124" i="10"/>
  <c r="M124" i="10"/>
  <c r="O125" i="10"/>
  <c r="K127" i="10"/>
  <c r="M125" i="10"/>
  <c r="M126" i="10"/>
  <c r="M123" i="10"/>
  <c r="K126" i="10"/>
  <c r="L123" i="5"/>
  <c r="L122" i="5"/>
  <c r="N126" i="10"/>
  <c r="O126" i="10" s="1"/>
  <c r="P126" i="10" s="1"/>
  <c r="M127" i="10"/>
  <c r="L120" i="5"/>
  <c r="O120" i="5"/>
  <c r="P120" i="5" s="1"/>
  <c r="O96" i="5"/>
  <c r="P96" i="5" s="1"/>
  <c r="Q96" i="5" s="1"/>
  <c r="O147" i="5"/>
  <c r="P147" i="5" s="1"/>
  <c r="AG110" i="5"/>
  <c r="L121" i="5"/>
  <c r="O108" i="5"/>
  <c r="P108" i="5" s="1"/>
  <c r="N100" i="5"/>
  <c r="O148" i="5"/>
  <c r="P148" i="5" s="1"/>
  <c r="N94" i="5"/>
  <c r="L104" i="5"/>
  <c r="N148" i="5"/>
  <c r="L100" i="5"/>
  <c r="O98" i="5"/>
  <c r="P98" i="5" s="1"/>
  <c r="L94" i="5"/>
  <c r="O105" i="5"/>
  <c r="P105" i="5" s="1"/>
  <c r="AG92" i="5"/>
  <c r="O104" i="5"/>
  <c r="P104" i="5" s="1"/>
  <c r="K125" i="10"/>
  <c r="K124" i="10"/>
  <c r="N96" i="10"/>
  <c r="O96" i="10" s="1"/>
  <c r="K157" i="10"/>
  <c r="M95" i="10"/>
  <c r="N158" i="10"/>
  <c r="O158" i="10" s="1"/>
  <c r="M162" i="10"/>
  <c r="M115" i="10"/>
  <c r="K105" i="10"/>
  <c r="AF115" i="10"/>
  <c r="AF114" i="10"/>
  <c r="N122" i="10"/>
  <c r="O122" i="10" s="1"/>
  <c r="AF112" i="10"/>
  <c r="N116" i="10"/>
  <c r="O116" i="10" s="1"/>
  <c r="AF113" i="10"/>
  <c r="N112" i="10"/>
  <c r="O112" i="10" s="1"/>
  <c r="P112" i="10" s="1"/>
  <c r="AF111" i="10"/>
  <c r="N95" i="10"/>
  <c r="O95" i="10" s="1"/>
  <c r="K95" i="10"/>
  <c r="K113" i="10"/>
  <c r="M155" i="10"/>
  <c r="AF108" i="10"/>
  <c r="M122" i="10"/>
  <c r="K160" i="10"/>
  <c r="M161" i="10"/>
  <c r="M119" i="10"/>
  <c r="M158" i="10"/>
  <c r="N159" i="10"/>
  <c r="O159" i="10" s="1"/>
  <c r="K161" i="10"/>
  <c r="M159" i="10"/>
  <c r="M160" i="10"/>
  <c r="K158" i="10"/>
  <c r="L118" i="5"/>
  <c r="K162" i="10"/>
  <c r="N162" i="10"/>
  <c r="O162" i="10" s="1"/>
  <c r="N161" i="10"/>
  <c r="O161" i="10" s="1"/>
  <c r="W107" i="11"/>
  <c r="X107" i="11" s="1"/>
  <c r="AD175" i="8"/>
  <c r="AE183" i="8"/>
  <c r="AE184" i="8" s="1"/>
  <c r="AM183" i="8"/>
  <c r="AN183" i="8" s="1"/>
  <c r="AO183" i="8" s="1"/>
  <c r="AC183" i="8"/>
  <c r="AD183" i="8"/>
  <c r="AC175" i="8"/>
  <c r="AE175" i="8"/>
  <c r="AE176" i="8" s="1"/>
  <c r="AL175" i="8"/>
  <c r="AM175" i="8"/>
  <c r="AD176" i="8"/>
  <c r="AD111" i="8"/>
  <c r="AF111" i="8" s="1"/>
  <c r="AN159" i="8"/>
  <c r="AO159" i="8" s="1"/>
  <c r="AD167" i="8"/>
  <c r="AF167" i="8" s="1"/>
  <c r="AG113" i="5"/>
  <c r="AG109" i="5"/>
  <c r="AN103" i="8"/>
  <c r="AO103" i="8" s="1"/>
  <c r="AF117" i="10"/>
  <c r="N160" i="10"/>
  <c r="O160" i="10" s="1"/>
  <c r="M105" i="10"/>
  <c r="N119" i="10"/>
  <c r="O119" i="10" s="1"/>
  <c r="M157" i="10"/>
  <c r="M96" i="10"/>
  <c r="AF106" i="10"/>
  <c r="K159" i="10"/>
  <c r="S1318" i="13"/>
  <c r="AP1343" i="13"/>
  <c r="AP1330" i="13"/>
  <c r="AP1318" i="13"/>
  <c r="W105" i="11"/>
  <c r="X105" i="11" s="1"/>
  <c r="Q103" i="11"/>
  <c r="N157" i="10"/>
  <c r="O157" i="10" s="1"/>
  <c r="L148" i="5"/>
  <c r="Q148" i="5" s="1"/>
  <c r="L147" i="5"/>
  <c r="M113" i="10"/>
  <c r="N113" i="10"/>
  <c r="O113" i="10" s="1"/>
  <c r="P113" i="10" s="1"/>
  <c r="N110" i="5"/>
  <c r="O110" i="5"/>
  <c r="P110" i="5" s="1"/>
  <c r="L110" i="5"/>
  <c r="N105" i="10"/>
  <c r="O105" i="10" s="1"/>
  <c r="O102" i="5"/>
  <c r="P102" i="5" s="1"/>
  <c r="K119" i="10"/>
  <c r="N156" i="10"/>
  <c r="O156" i="10" s="1"/>
  <c r="L102" i="5"/>
  <c r="M110" i="10"/>
  <c r="N154" i="10"/>
  <c r="O154" i="10" s="1"/>
  <c r="K156" i="10"/>
  <c r="M156" i="10"/>
  <c r="K155" i="10"/>
  <c r="N155" i="10"/>
  <c r="O155" i="10" s="1"/>
  <c r="K116" i="10"/>
  <c r="M116" i="10"/>
  <c r="M112" i="10"/>
  <c r="N153" i="10"/>
  <c r="O153" i="10" s="1"/>
  <c r="AF107" i="10"/>
  <c r="N110" i="10"/>
  <c r="O110" i="10" s="1"/>
  <c r="N115" i="10"/>
  <c r="O115" i="10" s="1"/>
  <c r="K115" i="10"/>
  <c r="L112" i="5"/>
  <c r="O112" i="5"/>
  <c r="P112" i="5" s="1"/>
  <c r="N112" i="5"/>
  <c r="AN151" i="8"/>
  <c r="AO151" i="8" s="1"/>
  <c r="AN167" i="8"/>
  <c r="AO167" i="8" s="1"/>
  <c r="Z20" i="13"/>
  <c r="Z18" i="13"/>
  <c r="AP3" i="13"/>
  <c r="W93" i="12"/>
  <c r="X93" i="12" s="1"/>
  <c r="Q94" i="12"/>
  <c r="W94" i="12"/>
  <c r="X94" i="12" s="1"/>
  <c r="Q91" i="12"/>
  <c r="W100" i="11"/>
  <c r="X100" i="11" s="1"/>
  <c r="W99" i="11"/>
  <c r="X99" i="11" s="1"/>
  <c r="M154" i="10"/>
  <c r="M153" i="10"/>
  <c r="K154" i="10"/>
  <c r="K153" i="10"/>
  <c r="L107" i="5"/>
  <c r="O107" i="5"/>
  <c r="P107" i="5" s="1"/>
  <c r="N107" i="5"/>
  <c r="K110" i="10"/>
  <c r="K112" i="10"/>
  <c r="P109" i="5"/>
  <c r="L109" i="5"/>
  <c r="L108" i="5"/>
  <c r="AF104" i="10"/>
  <c r="AF102" i="10"/>
  <c r="AF100" i="10"/>
  <c r="AF101" i="10"/>
  <c r="AF99" i="10"/>
  <c r="AG105" i="5"/>
  <c r="AG104" i="5"/>
  <c r="AG103" i="5"/>
  <c r="AG99" i="5"/>
  <c r="AG97" i="5"/>
  <c r="AF98" i="10"/>
  <c r="N102" i="10"/>
  <c r="O102" i="10" s="1"/>
  <c r="AF96" i="10"/>
  <c r="M107" i="10"/>
  <c r="AF97" i="10"/>
  <c r="AF105" i="10"/>
  <c r="N105" i="5"/>
  <c r="L105" i="5"/>
  <c r="K107" i="10"/>
  <c r="N107" i="10"/>
  <c r="O107" i="10" s="1"/>
  <c r="N93" i="5"/>
  <c r="L93" i="5"/>
  <c r="O101" i="5"/>
  <c r="P101" i="5" s="1"/>
  <c r="Q101" i="5" s="1"/>
  <c r="O93" i="5"/>
  <c r="P93" i="5" s="1"/>
  <c r="Q93" i="5" s="1"/>
  <c r="O94" i="5"/>
  <c r="P94" i="5" s="1"/>
  <c r="O103" i="5"/>
  <c r="P103" i="5" s="1"/>
  <c r="Q103" i="5" s="1"/>
  <c r="N102" i="5"/>
  <c r="O95" i="5"/>
  <c r="P95" i="5" s="1"/>
  <c r="Q95" i="5" s="1"/>
  <c r="O97" i="5"/>
  <c r="P97" i="5" s="1"/>
  <c r="Q97" i="5" s="1"/>
  <c r="N103" i="10"/>
  <c r="O103" i="10" s="1"/>
  <c r="M103" i="10"/>
  <c r="M102" i="10"/>
  <c r="K103" i="10"/>
  <c r="K102" i="10"/>
  <c r="K96" i="10"/>
  <c r="S4" i="13"/>
  <c r="U3" i="13"/>
  <c r="U2" i="13"/>
  <c r="N47" i="4"/>
  <c r="P47" i="4"/>
  <c r="P48" i="4" s="1"/>
  <c r="V45" i="4"/>
  <c r="X45" i="4" s="1"/>
  <c r="W45" i="4"/>
  <c r="X46" i="4"/>
  <c r="W46" i="4"/>
  <c r="U46" i="4"/>
  <c r="Y46" i="4" s="1"/>
  <c r="Y48" i="4" s="1"/>
  <c r="V44" i="4"/>
  <c r="U36" i="4"/>
  <c r="Y36" i="4" s="1"/>
  <c r="V36" i="4"/>
  <c r="X36" i="4" s="1"/>
  <c r="U38" i="4"/>
  <c r="Y38" i="4" s="1"/>
  <c r="V38" i="4"/>
  <c r="P39" i="4"/>
  <c r="L152" i="10"/>
  <c r="J152" i="10"/>
  <c r="I152" i="10"/>
  <c r="L151" i="10"/>
  <c r="J151" i="10"/>
  <c r="I151" i="10"/>
  <c r="AB94" i="10"/>
  <c r="AC94" i="10"/>
  <c r="AD94" i="10"/>
  <c r="AE94" i="10"/>
  <c r="AB95" i="10"/>
  <c r="AC95" i="10"/>
  <c r="AD95" i="10"/>
  <c r="AE95" i="10"/>
  <c r="AS60" i="10"/>
  <c r="AS61" i="10"/>
  <c r="AS62" i="10"/>
  <c r="AS63" i="10"/>
  <c r="AS64" i="10"/>
  <c r="AS65" i="10"/>
  <c r="AS67" i="10"/>
  <c r="AS68" i="10"/>
  <c r="AS69" i="10"/>
  <c r="AS70" i="10"/>
  <c r="AS71" i="10"/>
  <c r="AS72" i="10"/>
  <c r="AS73" i="10"/>
  <c r="AS75" i="10"/>
  <c r="AS76" i="10"/>
  <c r="AS78" i="10"/>
  <c r="AS79" i="10"/>
  <c r="AS80" i="10"/>
  <c r="AS81" i="10"/>
  <c r="AS82" i="10"/>
  <c r="AS83" i="10"/>
  <c r="AS84" i="10"/>
  <c r="AS86" i="10"/>
  <c r="AS87" i="10"/>
  <c r="AS88" i="10"/>
  <c r="AS89" i="10"/>
  <c r="AS90" i="10"/>
  <c r="AS91" i="10"/>
  <c r="AS92" i="10"/>
  <c r="M92" i="5"/>
  <c r="K92" i="5"/>
  <c r="J92" i="5"/>
  <c r="I144" i="8"/>
  <c r="H144" i="8"/>
  <c r="AI143" i="8"/>
  <c r="AE143" i="8"/>
  <c r="AE144" i="8" s="1"/>
  <c r="AC143" i="8"/>
  <c r="AG143" i="8" s="1"/>
  <c r="AD143" i="8"/>
  <c r="I143" i="8"/>
  <c r="H143" i="8"/>
  <c r="C140" i="8"/>
  <c r="D140" i="8" s="1"/>
  <c r="E140" i="8" s="1"/>
  <c r="F140" i="8" s="1"/>
  <c r="G140" i="8" s="1"/>
  <c r="H140" i="8" s="1"/>
  <c r="I140" i="8" s="1"/>
  <c r="J140" i="8" s="1"/>
  <c r="K140" i="8" s="1"/>
  <c r="L140" i="8" s="1"/>
  <c r="M140" i="8" s="1"/>
  <c r="N140" i="8" s="1"/>
  <c r="O140" i="8" s="1"/>
  <c r="P140" i="8" s="1"/>
  <c r="Q140" i="8" s="1"/>
  <c r="R140" i="8" s="1"/>
  <c r="S140" i="8" s="1"/>
  <c r="T140" i="8" s="1"/>
  <c r="U140" i="8" s="1"/>
  <c r="V140" i="8" s="1"/>
  <c r="W140" i="8" s="1"/>
  <c r="X140" i="8" s="1"/>
  <c r="Y140" i="8" s="1"/>
  <c r="Z140" i="8" s="1"/>
  <c r="AA140" i="8" s="1"/>
  <c r="B139" i="8"/>
  <c r="C139" i="8" s="1"/>
  <c r="D139" i="8" s="1"/>
  <c r="E139" i="8" s="1"/>
  <c r="F139" i="8" s="1"/>
  <c r="G139" i="8" s="1"/>
  <c r="H139" i="8" s="1"/>
  <c r="I139" i="8" s="1"/>
  <c r="J139" i="8" s="1"/>
  <c r="K139" i="8" s="1"/>
  <c r="L139" i="8" s="1"/>
  <c r="M139" i="8" s="1"/>
  <c r="N139" i="8" s="1"/>
  <c r="O139" i="8" s="1"/>
  <c r="P139" i="8" s="1"/>
  <c r="Q139" i="8" s="1"/>
  <c r="R139" i="8" s="1"/>
  <c r="S139" i="8" s="1"/>
  <c r="T139" i="8" s="1"/>
  <c r="U139" i="8" s="1"/>
  <c r="V139" i="8" s="1"/>
  <c r="W139" i="8" s="1"/>
  <c r="X139" i="8" s="1"/>
  <c r="Y139" i="8" s="1"/>
  <c r="Z139" i="8" s="1"/>
  <c r="AA139" i="8" s="1"/>
  <c r="AR4" i="5"/>
  <c r="AR5" i="5"/>
  <c r="AR6" i="5"/>
  <c r="AR8" i="5"/>
  <c r="AR10" i="5"/>
  <c r="AR12" i="5"/>
  <c r="AR15" i="5"/>
  <c r="AR17" i="5"/>
  <c r="AR19" i="5"/>
  <c r="AR21" i="5"/>
  <c r="AR23" i="5"/>
  <c r="AR25" i="5"/>
  <c r="AR27" i="5"/>
  <c r="AR29" i="5"/>
  <c r="AR30" i="5"/>
  <c r="AR31" i="5"/>
  <c r="AR33" i="5"/>
  <c r="AR35" i="5"/>
  <c r="AR37" i="5"/>
  <c r="AR39" i="5"/>
  <c r="AR41" i="5"/>
  <c r="AR42" i="5"/>
  <c r="AR43" i="5"/>
  <c r="AR45" i="5"/>
  <c r="AR46" i="5"/>
  <c r="AR49" i="5"/>
  <c r="AR51" i="5"/>
  <c r="AR52" i="5"/>
  <c r="AR54" i="5"/>
  <c r="AR56" i="5"/>
  <c r="AR57" i="5"/>
  <c r="AR58" i="5"/>
  <c r="AR59" i="5"/>
  <c r="AR60" i="5"/>
  <c r="AR61" i="5"/>
  <c r="AR62" i="5"/>
  <c r="AR63" i="5"/>
  <c r="AR64" i="5"/>
  <c r="AR66" i="5"/>
  <c r="AR67" i="5"/>
  <c r="AR68" i="5"/>
  <c r="AR69" i="5"/>
  <c r="AR70" i="5"/>
  <c r="AR72" i="5"/>
  <c r="AR73" i="5"/>
  <c r="AR76" i="5"/>
  <c r="AR77" i="5"/>
  <c r="AR78" i="5"/>
  <c r="AR79" i="5"/>
  <c r="AR80" i="5"/>
  <c r="AR81" i="5"/>
  <c r="AR83" i="5"/>
  <c r="AR84" i="5"/>
  <c r="AR85" i="5"/>
  <c r="AR86" i="5"/>
  <c r="AR87" i="5"/>
  <c r="AR88" i="5"/>
  <c r="AR89" i="5"/>
  <c r="AR91" i="5"/>
  <c r="AR3" i="5"/>
  <c r="AP42" i="5"/>
  <c r="AQ42" i="5" s="1"/>
  <c r="AP43" i="5"/>
  <c r="AQ43" i="5" s="1"/>
  <c r="AP44" i="5"/>
  <c r="AQ44" i="5" s="1"/>
  <c r="AP45" i="5"/>
  <c r="AQ45" i="5" s="1"/>
  <c r="AP46" i="5"/>
  <c r="AQ46" i="5" s="1"/>
  <c r="AP47" i="5"/>
  <c r="AQ47" i="5" s="1"/>
  <c r="AP52" i="5"/>
  <c r="AQ52" i="5" s="1"/>
  <c r="AJ90" i="5"/>
  <c r="AH90" i="5"/>
  <c r="AR90" i="5" s="1"/>
  <c r="AC83" i="5"/>
  <c r="AD83" i="5"/>
  <c r="AE83" i="5"/>
  <c r="AF83" i="5"/>
  <c r="AC84" i="5"/>
  <c r="AD84" i="5"/>
  <c r="AE84" i="5"/>
  <c r="AF84" i="5"/>
  <c r="AC85" i="5"/>
  <c r="AD85" i="5"/>
  <c r="AE85" i="5"/>
  <c r="AF85" i="5"/>
  <c r="AC86" i="5"/>
  <c r="AD86" i="5"/>
  <c r="AE86" i="5"/>
  <c r="AF86" i="5"/>
  <c r="AC87" i="5"/>
  <c r="AD87" i="5"/>
  <c r="AE87" i="5"/>
  <c r="AF87" i="5"/>
  <c r="AC88" i="5"/>
  <c r="AD88" i="5"/>
  <c r="AE88" i="5"/>
  <c r="AF88" i="5"/>
  <c r="AC89" i="5"/>
  <c r="AD89" i="5"/>
  <c r="AE89" i="5"/>
  <c r="AF89" i="5"/>
  <c r="AC90" i="5"/>
  <c r="AD90" i="5"/>
  <c r="AE90" i="5"/>
  <c r="AF90" i="5"/>
  <c r="X90" i="5"/>
  <c r="W90" i="5"/>
  <c r="V90" i="5"/>
  <c r="S90" i="5"/>
  <c r="J84" i="5"/>
  <c r="K84" i="5"/>
  <c r="M84" i="5"/>
  <c r="J85" i="5"/>
  <c r="K85" i="5"/>
  <c r="M85" i="5"/>
  <c r="J86" i="5"/>
  <c r="K86" i="5"/>
  <c r="M86" i="5"/>
  <c r="J87" i="5"/>
  <c r="K87" i="5"/>
  <c r="L87" i="5" s="1"/>
  <c r="AP87" i="5" s="1"/>
  <c r="AQ87" i="5" s="1"/>
  <c r="M87" i="5"/>
  <c r="J88" i="5"/>
  <c r="K88" i="5"/>
  <c r="M88" i="5"/>
  <c r="J89" i="5"/>
  <c r="K89" i="5"/>
  <c r="L89" i="5" s="1"/>
  <c r="AP89" i="5" s="1"/>
  <c r="AQ89" i="5" s="1"/>
  <c r="M89" i="5"/>
  <c r="J90" i="5"/>
  <c r="K90" i="5"/>
  <c r="M90" i="5"/>
  <c r="J91" i="5"/>
  <c r="K91" i="5"/>
  <c r="M91" i="5"/>
  <c r="AJ82" i="5"/>
  <c r="AH82" i="5"/>
  <c r="AR82" i="5" s="1"/>
  <c r="X82" i="5"/>
  <c r="S82" i="5"/>
  <c r="W82" i="5"/>
  <c r="V82" i="5"/>
  <c r="AV4" i="10"/>
  <c r="AV6" i="10"/>
  <c r="AV8" i="10"/>
  <c r="AV10" i="10"/>
  <c r="AV12" i="10"/>
  <c r="AV14" i="10"/>
  <c r="AV17" i="10"/>
  <c r="AV19" i="10"/>
  <c r="AV21" i="10"/>
  <c r="AV23" i="10"/>
  <c r="AV25" i="10"/>
  <c r="AV27" i="10"/>
  <c r="AV29" i="10"/>
  <c r="AV31" i="10"/>
  <c r="AV33" i="10"/>
  <c r="AV35" i="10"/>
  <c r="AV37" i="10"/>
  <c r="AV39" i="10"/>
  <c r="AV41" i="10"/>
  <c r="AV43" i="10"/>
  <c r="AV44" i="10"/>
  <c r="AV45" i="10"/>
  <c r="AV46" i="10"/>
  <c r="AV48" i="10"/>
  <c r="AV49" i="10"/>
  <c r="AV52" i="10"/>
  <c r="AV54" i="10"/>
  <c r="AV55" i="10"/>
  <c r="AV57" i="10"/>
  <c r="AV59" i="10"/>
  <c r="AV60" i="10"/>
  <c r="AV61" i="10"/>
  <c r="AV62" i="10"/>
  <c r="AV63" i="10"/>
  <c r="AV64" i="10"/>
  <c r="AV65" i="10"/>
  <c r="AV66" i="10"/>
  <c r="AV67" i="10"/>
  <c r="AV69" i="10"/>
  <c r="AV70" i="10"/>
  <c r="AV71" i="10"/>
  <c r="AV72" i="10"/>
  <c r="AV73" i="10"/>
  <c r="AV75" i="10"/>
  <c r="AV76" i="10"/>
  <c r="AV78" i="10"/>
  <c r="AV79" i="10"/>
  <c r="AV80" i="10"/>
  <c r="AV81" i="10"/>
  <c r="AV82" i="10"/>
  <c r="AV83" i="10"/>
  <c r="AV84" i="10"/>
  <c r="AV86" i="10"/>
  <c r="AV87" i="10"/>
  <c r="AV88" i="10"/>
  <c r="AV89" i="10"/>
  <c r="AV90" i="10"/>
  <c r="AV91" i="10"/>
  <c r="AV92" i="10"/>
  <c r="AV94" i="10"/>
  <c r="AV3" i="10"/>
  <c r="AT44" i="10"/>
  <c r="AU44" i="10" s="1"/>
  <c r="AT45" i="10"/>
  <c r="AU45" i="10" s="1"/>
  <c r="AT46" i="10"/>
  <c r="AU46" i="10" s="1"/>
  <c r="AT47" i="10"/>
  <c r="AU47" i="10" s="1"/>
  <c r="AT48" i="10"/>
  <c r="AU48" i="10" s="1"/>
  <c r="AT49" i="10"/>
  <c r="AU49" i="10" s="1"/>
  <c r="AT50" i="10"/>
  <c r="AU50" i="10" s="1"/>
  <c r="AT55" i="10"/>
  <c r="AU55" i="10" s="1"/>
  <c r="K86" i="12"/>
  <c r="N86" i="12" s="1"/>
  <c r="K89" i="12"/>
  <c r="N89" i="12" s="1"/>
  <c r="K78" i="12"/>
  <c r="N78" i="12" s="1"/>
  <c r="K79" i="12"/>
  <c r="N79" i="12" s="1"/>
  <c r="K80" i="12"/>
  <c r="N80" i="12" s="1"/>
  <c r="K81" i="12"/>
  <c r="N81" i="12" s="1"/>
  <c r="K60" i="12"/>
  <c r="N60" i="12" s="1"/>
  <c r="K61" i="12"/>
  <c r="N61" i="12" s="1"/>
  <c r="K65" i="12"/>
  <c r="K67" i="12"/>
  <c r="N67" i="12" s="1"/>
  <c r="K55" i="12"/>
  <c r="N55" i="12" s="1"/>
  <c r="K57" i="12"/>
  <c r="N57" i="12" s="1"/>
  <c r="K58" i="12"/>
  <c r="N58" i="12" s="1"/>
  <c r="Q58" i="12" s="1"/>
  <c r="J23" i="12"/>
  <c r="J24" i="12"/>
  <c r="J25" i="12"/>
  <c r="J26" i="12"/>
  <c r="J9" i="12"/>
  <c r="J10" i="12"/>
  <c r="J11" i="12"/>
  <c r="J12" i="12"/>
  <c r="J13" i="12"/>
  <c r="K13" i="12" s="1"/>
  <c r="P90" i="12"/>
  <c r="L90" i="12"/>
  <c r="O90" i="12" s="1"/>
  <c r="K90" i="12"/>
  <c r="N90" i="12" s="1"/>
  <c r="P89" i="12"/>
  <c r="L89" i="12"/>
  <c r="O89" i="12" s="1"/>
  <c r="P88" i="12"/>
  <c r="L88" i="12"/>
  <c r="O88" i="12" s="1"/>
  <c r="K88" i="12"/>
  <c r="N88" i="12" s="1"/>
  <c r="P87" i="12"/>
  <c r="L87" i="12"/>
  <c r="O87" i="12" s="1"/>
  <c r="K87" i="12"/>
  <c r="N87" i="12" s="1"/>
  <c r="P86" i="12"/>
  <c r="L86" i="12"/>
  <c r="O86" i="12" s="1"/>
  <c r="L85" i="12"/>
  <c r="O85" i="12" s="1"/>
  <c r="K85" i="12"/>
  <c r="N85" i="12" s="1"/>
  <c r="L84" i="12"/>
  <c r="O84" i="12" s="1"/>
  <c r="K84" i="12"/>
  <c r="N84" i="12" s="1"/>
  <c r="L83" i="12"/>
  <c r="O83" i="12" s="1"/>
  <c r="K83" i="12"/>
  <c r="N83" i="12" s="1"/>
  <c r="L82" i="12"/>
  <c r="O82" i="12" s="1"/>
  <c r="K82" i="12"/>
  <c r="N82" i="12" s="1"/>
  <c r="L81" i="12"/>
  <c r="O81" i="12" s="1"/>
  <c r="L80" i="12"/>
  <c r="O80" i="12" s="1"/>
  <c r="L79" i="12"/>
  <c r="O79" i="12" s="1"/>
  <c r="L78" i="12"/>
  <c r="O78" i="12" s="1"/>
  <c r="L77" i="12"/>
  <c r="O77" i="12" s="1"/>
  <c r="K77" i="12"/>
  <c r="N77" i="12" s="1"/>
  <c r="L76" i="12"/>
  <c r="O76" i="12" s="1"/>
  <c r="K76" i="12"/>
  <c r="N76" i="12" s="1"/>
  <c r="L75" i="12"/>
  <c r="O75" i="12" s="1"/>
  <c r="K75" i="12"/>
  <c r="N75" i="12" s="1"/>
  <c r="P74" i="12"/>
  <c r="L74" i="12"/>
  <c r="O74" i="12" s="1"/>
  <c r="K74" i="12"/>
  <c r="N74" i="12" s="1"/>
  <c r="P73" i="12"/>
  <c r="L73" i="12"/>
  <c r="K73" i="12"/>
  <c r="P72" i="12"/>
  <c r="L72" i="12"/>
  <c r="K72" i="12"/>
  <c r="L71" i="12"/>
  <c r="O71" i="12" s="1"/>
  <c r="K71" i="12"/>
  <c r="N71" i="12" s="1"/>
  <c r="L70" i="12"/>
  <c r="K70" i="12"/>
  <c r="P69" i="12"/>
  <c r="L69" i="12"/>
  <c r="K69" i="12"/>
  <c r="P68" i="12"/>
  <c r="L68" i="12"/>
  <c r="O68" i="12" s="1"/>
  <c r="K68" i="12"/>
  <c r="N68" i="12" s="1"/>
  <c r="P67" i="12"/>
  <c r="L67" i="12"/>
  <c r="O67" i="12" s="1"/>
  <c r="L66" i="12"/>
  <c r="O66" i="12" s="1"/>
  <c r="K66" i="12"/>
  <c r="N66" i="12" s="1"/>
  <c r="P65" i="12"/>
  <c r="L65" i="12"/>
  <c r="P64" i="12"/>
  <c r="L64" i="12"/>
  <c r="O64" i="12" s="1"/>
  <c r="K64" i="12"/>
  <c r="N64" i="12" s="1"/>
  <c r="L63" i="12"/>
  <c r="O63" i="12" s="1"/>
  <c r="K63" i="12"/>
  <c r="N63" i="12" s="1"/>
  <c r="P62" i="12"/>
  <c r="L62" i="12"/>
  <c r="K62" i="12"/>
  <c r="P61" i="12"/>
  <c r="L61" i="12"/>
  <c r="O61" i="12" s="1"/>
  <c r="L60" i="12"/>
  <c r="O60" i="12" s="1"/>
  <c r="P59" i="12"/>
  <c r="L59" i="12"/>
  <c r="O59" i="12" s="1"/>
  <c r="K59" i="12"/>
  <c r="N59" i="12" s="1"/>
  <c r="P58" i="12"/>
  <c r="L58" i="12"/>
  <c r="O58" i="12" s="1"/>
  <c r="L57" i="12"/>
  <c r="O57" i="12" s="1"/>
  <c r="P56" i="12"/>
  <c r="L56" i="12"/>
  <c r="K56" i="12"/>
  <c r="L55" i="12"/>
  <c r="O55" i="12" s="1"/>
  <c r="P54" i="12"/>
  <c r="L54" i="12"/>
  <c r="O54" i="12" s="1"/>
  <c r="K54" i="12"/>
  <c r="N54" i="12" s="1"/>
  <c r="P53" i="12"/>
  <c r="L53" i="12"/>
  <c r="O53" i="12" s="1"/>
  <c r="K53" i="12"/>
  <c r="N53" i="12" s="1"/>
  <c r="L52" i="12"/>
  <c r="O52" i="12" s="1"/>
  <c r="K52" i="12"/>
  <c r="N52" i="12" s="1"/>
  <c r="P51" i="12"/>
  <c r="L51" i="12"/>
  <c r="O51" i="12" s="1"/>
  <c r="K51" i="12"/>
  <c r="P50" i="12"/>
  <c r="L50" i="12"/>
  <c r="K50" i="12"/>
  <c r="J50" i="12"/>
  <c r="P49" i="12"/>
  <c r="L49" i="12"/>
  <c r="O49" i="12" s="1"/>
  <c r="K49" i="12"/>
  <c r="N49" i="12" s="1"/>
  <c r="J49" i="12"/>
  <c r="L48" i="12"/>
  <c r="O48" i="12" s="1"/>
  <c r="J48" i="12"/>
  <c r="K48" i="12" s="1"/>
  <c r="N48" i="12" s="1"/>
  <c r="P47" i="12"/>
  <c r="L47" i="12"/>
  <c r="O47" i="12" s="1"/>
  <c r="J47" i="12"/>
  <c r="K47" i="12" s="1"/>
  <c r="N47" i="12" s="1"/>
  <c r="L46" i="12"/>
  <c r="O46" i="12" s="1"/>
  <c r="J46" i="12"/>
  <c r="K46" i="12" s="1"/>
  <c r="N46" i="12" s="1"/>
  <c r="P45" i="12"/>
  <c r="L45" i="12"/>
  <c r="O45" i="12" s="1"/>
  <c r="K45" i="12"/>
  <c r="N45" i="12" s="1"/>
  <c r="J45" i="12"/>
  <c r="P44" i="12"/>
  <c r="L44" i="12"/>
  <c r="O44" i="12" s="1"/>
  <c r="K44" i="12"/>
  <c r="N44" i="12" s="1"/>
  <c r="J44" i="12"/>
  <c r="L43" i="12"/>
  <c r="O43" i="12" s="1"/>
  <c r="K43" i="12"/>
  <c r="N43" i="12" s="1"/>
  <c r="J43" i="12"/>
  <c r="P42" i="12"/>
  <c r="L42" i="12"/>
  <c r="J42" i="12"/>
  <c r="K42" i="12" s="1"/>
  <c r="P41" i="12"/>
  <c r="L41" i="12"/>
  <c r="O41" i="12" s="1"/>
  <c r="K41" i="12"/>
  <c r="N41" i="12" s="1"/>
  <c r="J41" i="12"/>
  <c r="L40" i="12"/>
  <c r="O40" i="12" s="1"/>
  <c r="J40" i="12"/>
  <c r="K40" i="12" s="1"/>
  <c r="N40" i="12" s="1"/>
  <c r="P39" i="12"/>
  <c r="L39" i="12"/>
  <c r="J39" i="12"/>
  <c r="K39" i="12" s="1"/>
  <c r="P38" i="12"/>
  <c r="L38" i="12"/>
  <c r="O38" i="12" s="1"/>
  <c r="J38" i="12"/>
  <c r="K38" i="12" s="1"/>
  <c r="N38" i="12" s="1"/>
  <c r="L37" i="12"/>
  <c r="O37" i="12" s="1"/>
  <c r="K37" i="12"/>
  <c r="N37" i="12" s="1"/>
  <c r="J37" i="12"/>
  <c r="P36" i="12"/>
  <c r="L36" i="12"/>
  <c r="O36" i="12" s="1"/>
  <c r="K36" i="12"/>
  <c r="N36" i="12" s="1"/>
  <c r="J36" i="12"/>
  <c r="P35" i="12"/>
  <c r="L35" i="12"/>
  <c r="O35" i="12" s="1"/>
  <c r="J35" i="12"/>
  <c r="K35" i="12" s="1"/>
  <c r="N35" i="12" s="1"/>
  <c r="L34" i="12"/>
  <c r="O34" i="12" s="1"/>
  <c r="J34" i="12"/>
  <c r="K34" i="12" s="1"/>
  <c r="N34" i="12" s="1"/>
  <c r="P33" i="12"/>
  <c r="L33" i="12"/>
  <c r="K33" i="12"/>
  <c r="J33" i="12"/>
  <c r="P32" i="12"/>
  <c r="L32" i="12"/>
  <c r="O32" i="12" s="1"/>
  <c r="J32" i="12"/>
  <c r="K32" i="12" s="1"/>
  <c r="N32" i="12" s="1"/>
  <c r="L31" i="12"/>
  <c r="O31" i="12" s="1"/>
  <c r="J31" i="12"/>
  <c r="K31" i="12" s="1"/>
  <c r="N31" i="12" s="1"/>
  <c r="P30" i="12"/>
  <c r="L30" i="12"/>
  <c r="J30" i="12"/>
  <c r="K30" i="12" s="1"/>
  <c r="P29" i="12"/>
  <c r="L29" i="12"/>
  <c r="O29" i="12" s="1"/>
  <c r="J29" i="12"/>
  <c r="K29" i="12" s="1"/>
  <c r="N29" i="12" s="1"/>
  <c r="L28" i="12"/>
  <c r="O28" i="12" s="1"/>
  <c r="J28" i="12"/>
  <c r="K28" i="12" s="1"/>
  <c r="N28" i="12" s="1"/>
  <c r="P27" i="12"/>
  <c r="L27" i="12"/>
  <c r="O27" i="12" s="1"/>
  <c r="J27" i="12"/>
  <c r="K27" i="12" s="1"/>
  <c r="N27" i="12" s="1"/>
  <c r="L26" i="12"/>
  <c r="O26" i="12" s="1"/>
  <c r="K26" i="12"/>
  <c r="N26" i="12" s="1"/>
  <c r="P25" i="12"/>
  <c r="L25" i="12"/>
  <c r="K25" i="12"/>
  <c r="P24" i="12"/>
  <c r="L24" i="12"/>
  <c r="O24" i="12" s="1"/>
  <c r="K24" i="12"/>
  <c r="N24" i="12" s="1"/>
  <c r="L23" i="12"/>
  <c r="O23" i="12" s="1"/>
  <c r="K23" i="12"/>
  <c r="N23" i="12" s="1"/>
  <c r="P22" i="12"/>
  <c r="L22" i="12"/>
  <c r="J22" i="12"/>
  <c r="K22" i="12" s="1"/>
  <c r="P21" i="12"/>
  <c r="L21" i="12"/>
  <c r="O21" i="12" s="1"/>
  <c r="J21" i="12"/>
  <c r="K21" i="12" s="1"/>
  <c r="N21" i="12" s="1"/>
  <c r="L20" i="12"/>
  <c r="O20" i="12" s="1"/>
  <c r="J20" i="12"/>
  <c r="K20" i="12" s="1"/>
  <c r="N20" i="12" s="1"/>
  <c r="P19" i="12"/>
  <c r="L19" i="12"/>
  <c r="O19" i="12" s="1"/>
  <c r="J19" i="12"/>
  <c r="K19" i="12" s="1"/>
  <c r="N19" i="12" s="1"/>
  <c r="P18" i="12"/>
  <c r="L18" i="12"/>
  <c r="O18" i="12" s="1"/>
  <c r="K18" i="12"/>
  <c r="N18" i="12" s="1"/>
  <c r="J18" i="12"/>
  <c r="L17" i="12"/>
  <c r="O17" i="12" s="1"/>
  <c r="K17" i="12"/>
  <c r="N17" i="12" s="1"/>
  <c r="J17" i="12"/>
  <c r="P16" i="12"/>
  <c r="L16" i="12"/>
  <c r="J16" i="12"/>
  <c r="K16" i="12" s="1"/>
  <c r="P15" i="12"/>
  <c r="L15" i="12"/>
  <c r="O15" i="12" s="1"/>
  <c r="K15" i="12"/>
  <c r="N15" i="12" s="1"/>
  <c r="J15" i="12"/>
  <c r="L14" i="12"/>
  <c r="O14" i="12" s="1"/>
  <c r="K14" i="12"/>
  <c r="N14" i="12" s="1"/>
  <c r="J14" i="12"/>
  <c r="P13" i="12"/>
  <c r="L13" i="12"/>
  <c r="P12" i="12"/>
  <c r="L12" i="12"/>
  <c r="O12" i="12" s="1"/>
  <c r="K12" i="12"/>
  <c r="N12" i="12" s="1"/>
  <c r="L11" i="12"/>
  <c r="O11" i="12" s="1"/>
  <c r="K11" i="12"/>
  <c r="N11" i="12" s="1"/>
  <c r="P10" i="12"/>
  <c r="L10" i="12"/>
  <c r="O10" i="12" s="1"/>
  <c r="K10" i="12"/>
  <c r="N10" i="12" s="1"/>
  <c r="P9" i="12"/>
  <c r="L9" i="12"/>
  <c r="O9" i="12" s="1"/>
  <c r="K9" i="12"/>
  <c r="N9" i="12" s="1"/>
  <c r="P8" i="12"/>
  <c r="L8" i="12"/>
  <c r="O8" i="12" s="1"/>
  <c r="J8" i="12"/>
  <c r="K8" i="12" s="1"/>
  <c r="N8" i="12" s="1"/>
  <c r="L7" i="12"/>
  <c r="O7" i="12" s="1"/>
  <c r="K7" i="12"/>
  <c r="N7" i="12" s="1"/>
  <c r="J7" i="12"/>
  <c r="L6" i="12"/>
  <c r="O6" i="12" s="1"/>
  <c r="J6" i="12"/>
  <c r="K6" i="12" s="1"/>
  <c r="N6" i="12" s="1"/>
  <c r="O5" i="12"/>
  <c r="P5" i="12"/>
  <c r="L5" i="12"/>
  <c r="K5" i="12"/>
  <c r="N5" i="12" s="1"/>
  <c r="J5" i="12"/>
  <c r="P4" i="12"/>
  <c r="L4" i="12"/>
  <c r="K4" i="12"/>
  <c r="J4" i="12"/>
  <c r="P3" i="12"/>
  <c r="L3" i="12"/>
  <c r="J3" i="12"/>
  <c r="K3" i="12" s="1"/>
  <c r="Q23" i="11"/>
  <c r="Q55" i="11"/>
  <c r="P19" i="11"/>
  <c r="Q19" i="11" s="1"/>
  <c r="P23" i="11"/>
  <c r="P31" i="11"/>
  <c r="Q31" i="11" s="1"/>
  <c r="P35" i="11"/>
  <c r="Q35" i="11" s="1"/>
  <c r="P43" i="11"/>
  <c r="Q43" i="11" s="1"/>
  <c r="P51" i="11"/>
  <c r="Q51" i="11" s="1"/>
  <c r="P55" i="11"/>
  <c r="P59" i="11"/>
  <c r="Q59" i="11" s="1"/>
  <c r="P67" i="11"/>
  <c r="P71" i="11"/>
  <c r="P75" i="11"/>
  <c r="P79" i="11"/>
  <c r="P95" i="11"/>
  <c r="R2" i="11"/>
  <c r="P4" i="11"/>
  <c r="Q4" i="11" s="1"/>
  <c r="P5" i="11"/>
  <c r="Q5" i="11" s="1"/>
  <c r="P6" i="11"/>
  <c r="Q6" i="11" s="1"/>
  <c r="P12" i="11"/>
  <c r="Q12" i="11" s="1"/>
  <c r="P13" i="11"/>
  <c r="Q13" i="11" s="1"/>
  <c r="P14" i="11"/>
  <c r="Q14" i="11" s="1"/>
  <c r="P16" i="11"/>
  <c r="Q16" i="11" s="1"/>
  <c r="P17" i="11"/>
  <c r="Q17" i="11" s="1"/>
  <c r="P20" i="11"/>
  <c r="Q20" i="11" s="1"/>
  <c r="P22" i="11"/>
  <c r="Q22" i="11" s="1"/>
  <c r="P25" i="11"/>
  <c r="Q25" i="11" s="1"/>
  <c r="P26" i="11"/>
  <c r="Q26" i="11" s="1"/>
  <c r="P28" i="11"/>
  <c r="Q28" i="11" s="1"/>
  <c r="P29" i="11"/>
  <c r="Q29" i="11" s="1"/>
  <c r="P33" i="11"/>
  <c r="Q33" i="11" s="1"/>
  <c r="P36" i="11"/>
  <c r="Q36" i="11" s="1"/>
  <c r="P37" i="11"/>
  <c r="Q37" i="11" s="1"/>
  <c r="P38" i="11"/>
  <c r="Q38" i="11" s="1"/>
  <c r="P40" i="11"/>
  <c r="Q40" i="11" s="1"/>
  <c r="P41" i="11"/>
  <c r="Q41" i="11" s="1"/>
  <c r="P45" i="11"/>
  <c r="Q45" i="11" s="1"/>
  <c r="P46" i="11"/>
  <c r="Q46" i="11" s="1"/>
  <c r="P48" i="11"/>
  <c r="Q48" i="11" s="1"/>
  <c r="P49" i="11"/>
  <c r="Q49" i="11" s="1"/>
  <c r="P52" i="11"/>
  <c r="Q52" i="11" s="1"/>
  <c r="P54" i="11"/>
  <c r="Q54" i="11" s="1"/>
  <c r="P56" i="11"/>
  <c r="Q56" i="11" s="1"/>
  <c r="P57" i="11"/>
  <c r="Q57" i="11" s="1"/>
  <c r="P60" i="11"/>
  <c r="P62" i="11"/>
  <c r="P64" i="11"/>
  <c r="Q64" i="11" s="1"/>
  <c r="P65" i="11"/>
  <c r="P68" i="11"/>
  <c r="P70" i="11"/>
  <c r="Q70" i="11" s="1"/>
  <c r="P73" i="11"/>
  <c r="P74" i="11"/>
  <c r="P78" i="11"/>
  <c r="P92" i="11"/>
  <c r="P93" i="11"/>
  <c r="P94" i="11"/>
  <c r="P96" i="11"/>
  <c r="P3" i="11"/>
  <c r="Q3" i="11" s="1"/>
  <c r="L61" i="11"/>
  <c r="O61" i="11" s="1"/>
  <c r="L62" i="11"/>
  <c r="L63" i="11"/>
  <c r="O63" i="11" s="1"/>
  <c r="L64" i="11"/>
  <c r="O64" i="11" s="1"/>
  <c r="L65" i="11"/>
  <c r="O65" i="11" s="1"/>
  <c r="L66" i="11"/>
  <c r="O66" i="11" s="1"/>
  <c r="L67" i="11"/>
  <c r="O67" i="11" s="1"/>
  <c r="L68" i="11"/>
  <c r="L69" i="11"/>
  <c r="O69" i="11" s="1"/>
  <c r="L70" i="11"/>
  <c r="O70" i="11" s="1"/>
  <c r="L71" i="11"/>
  <c r="L72" i="11"/>
  <c r="O72" i="11" s="1"/>
  <c r="L73" i="11"/>
  <c r="O73" i="11" s="1"/>
  <c r="L74" i="11"/>
  <c r="O74" i="11" s="1"/>
  <c r="L75" i="11"/>
  <c r="L76" i="11"/>
  <c r="L77" i="11"/>
  <c r="O77" i="11" s="1"/>
  <c r="L78" i="11"/>
  <c r="L79" i="11"/>
  <c r="L81" i="11"/>
  <c r="O81" i="11" s="1"/>
  <c r="L82" i="11"/>
  <c r="O82" i="11" s="1"/>
  <c r="L83" i="11"/>
  <c r="O83" i="11" s="1"/>
  <c r="L84" i="11"/>
  <c r="O84" i="11" s="1"/>
  <c r="L85" i="11"/>
  <c r="O85" i="11" s="1"/>
  <c r="L86" i="11"/>
  <c r="O86" i="11" s="1"/>
  <c r="L87" i="11"/>
  <c r="O87" i="11" s="1"/>
  <c r="L88" i="11"/>
  <c r="O88" i="11" s="1"/>
  <c r="L89" i="11"/>
  <c r="L90" i="11"/>
  <c r="L91" i="11"/>
  <c r="L92" i="11"/>
  <c r="L93" i="11"/>
  <c r="L94" i="11"/>
  <c r="L95" i="11"/>
  <c r="L96" i="11"/>
  <c r="L60" i="11"/>
  <c r="O60" i="11" s="1"/>
  <c r="L4" i="11"/>
  <c r="O4" i="11" s="1"/>
  <c r="L5" i="11"/>
  <c r="L6" i="11"/>
  <c r="O6" i="11" s="1"/>
  <c r="L7" i="11"/>
  <c r="O7" i="11" s="1"/>
  <c r="L8" i="11"/>
  <c r="O8" i="11" s="1"/>
  <c r="L9" i="11"/>
  <c r="O9" i="11" s="1"/>
  <c r="L10" i="11"/>
  <c r="O10" i="11" s="1"/>
  <c r="L11" i="11"/>
  <c r="O11" i="11" s="1"/>
  <c r="L12" i="11"/>
  <c r="O12" i="11" s="1"/>
  <c r="L13" i="11"/>
  <c r="O13" i="11" s="1"/>
  <c r="L14" i="11"/>
  <c r="O14" i="11" s="1"/>
  <c r="L15" i="11"/>
  <c r="O15" i="11" s="1"/>
  <c r="L16" i="11"/>
  <c r="O16" i="11" s="1"/>
  <c r="L17" i="11"/>
  <c r="L18" i="11"/>
  <c r="O18" i="11" s="1"/>
  <c r="L19" i="11"/>
  <c r="O19" i="11" s="1"/>
  <c r="L20" i="11"/>
  <c r="L21" i="11"/>
  <c r="O21" i="11" s="1"/>
  <c r="L22" i="11"/>
  <c r="O22" i="11" s="1"/>
  <c r="L23" i="11"/>
  <c r="O23" i="11" s="1"/>
  <c r="L24" i="11"/>
  <c r="O24" i="11" s="1"/>
  <c r="L25" i="11"/>
  <c r="O25" i="11" s="1"/>
  <c r="L26" i="11"/>
  <c r="L27" i="11"/>
  <c r="O27" i="11" s="1"/>
  <c r="L28" i="11"/>
  <c r="O28" i="11" s="1"/>
  <c r="L29" i="11"/>
  <c r="L30" i="11"/>
  <c r="O30" i="11" s="1"/>
  <c r="L31" i="11"/>
  <c r="O31" i="11" s="1"/>
  <c r="L32" i="11"/>
  <c r="O32" i="11" s="1"/>
  <c r="L33" i="11"/>
  <c r="L34" i="11"/>
  <c r="O34" i="11" s="1"/>
  <c r="L35" i="11"/>
  <c r="O35" i="11" s="1"/>
  <c r="L36" i="11"/>
  <c r="O36" i="11" s="1"/>
  <c r="L37" i="11"/>
  <c r="O37" i="11" s="1"/>
  <c r="L38" i="11"/>
  <c r="L39" i="11"/>
  <c r="O39" i="11" s="1"/>
  <c r="L40" i="11"/>
  <c r="O40" i="11" s="1"/>
  <c r="L41" i="11"/>
  <c r="O41" i="11" s="1"/>
  <c r="L42" i="11"/>
  <c r="O42" i="11" s="1"/>
  <c r="L43" i="11"/>
  <c r="L44" i="11"/>
  <c r="O44" i="11" s="1"/>
  <c r="L45" i="11"/>
  <c r="O45" i="11" s="1"/>
  <c r="L46" i="11"/>
  <c r="L47" i="11"/>
  <c r="O47" i="11" s="1"/>
  <c r="L48" i="11"/>
  <c r="O48" i="11" s="1"/>
  <c r="L49" i="11"/>
  <c r="O49" i="11" s="1"/>
  <c r="L50" i="11"/>
  <c r="O50" i="11" s="1"/>
  <c r="L51" i="11"/>
  <c r="O51" i="11" s="1"/>
  <c r="L52" i="11"/>
  <c r="O52" i="11" s="1"/>
  <c r="L53" i="11"/>
  <c r="O53" i="11" s="1"/>
  <c r="L54" i="11"/>
  <c r="O54" i="11" s="1"/>
  <c r="L55" i="11"/>
  <c r="L56" i="11"/>
  <c r="O56" i="11" s="1"/>
  <c r="L57" i="11"/>
  <c r="O57" i="11" s="1"/>
  <c r="L58" i="11"/>
  <c r="O58" i="11" s="1"/>
  <c r="L59" i="11"/>
  <c r="O59" i="11" s="1"/>
  <c r="L3" i="11"/>
  <c r="K90" i="11"/>
  <c r="K91" i="11"/>
  <c r="K92" i="11"/>
  <c r="K93" i="11"/>
  <c r="K94" i="11"/>
  <c r="K95" i="11"/>
  <c r="K96" i="11"/>
  <c r="K89" i="11"/>
  <c r="K82" i="11"/>
  <c r="N82" i="11" s="1"/>
  <c r="K83" i="11"/>
  <c r="N83" i="11" s="1"/>
  <c r="K84" i="11"/>
  <c r="N84" i="11" s="1"/>
  <c r="K85" i="11"/>
  <c r="N85" i="11" s="1"/>
  <c r="K86" i="11"/>
  <c r="N86" i="11" s="1"/>
  <c r="K87" i="11"/>
  <c r="N87" i="11" s="1"/>
  <c r="K88" i="11"/>
  <c r="N88" i="11" s="1"/>
  <c r="K81" i="11"/>
  <c r="N81" i="11" s="1"/>
  <c r="K70" i="11"/>
  <c r="N70" i="11" s="1"/>
  <c r="K71" i="11"/>
  <c r="K72" i="11"/>
  <c r="N72" i="11" s="1"/>
  <c r="K73" i="11"/>
  <c r="N73" i="11" s="1"/>
  <c r="K74" i="11"/>
  <c r="N74" i="11" s="1"/>
  <c r="K75" i="11"/>
  <c r="K76" i="11"/>
  <c r="K77" i="11"/>
  <c r="N77" i="11" s="1"/>
  <c r="K78" i="11"/>
  <c r="K79" i="11"/>
  <c r="K69" i="11"/>
  <c r="N69" i="11" s="1"/>
  <c r="K61" i="11"/>
  <c r="N61" i="11" s="1"/>
  <c r="K62" i="11"/>
  <c r="K63" i="11"/>
  <c r="N63" i="11" s="1"/>
  <c r="K64" i="11"/>
  <c r="N64" i="11" s="1"/>
  <c r="K65" i="11"/>
  <c r="N65" i="11" s="1"/>
  <c r="K66" i="11"/>
  <c r="N66" i="11" s="1"/>
  <c r="K67" i="11"/>
  <c r="N67" i="11" s="1"/>
  <c r="K68" i="11"/>
  <c r="K60" i="11"/>
  <c r="N60" i="11" s="1"/>
  <c r="J28" i="11"/>
  <c r="K28" i="11" s="1"/>
  <c r="N28" i="11" s="1"/>
  <c r="J29" i="11"/>
  <c r="K29" i="11" s="1"/>
  <c r="J30" i="11"/>
  <c r="K30" i="11" s="1"/>
  <c r="N30" i="11" s="1"/>
  <c r="J31" i="11"/>
  <c r="K31" i="11" s="1"/>
  <c r="N31" i="11" s="1"/>
  <c r="J32" i="11"/>
  <c r="K32" i="11" s="1"/>
  <c r="N32" i="11" s="1"/>
  <c r="J33" i="11"/>
  <c r="K33" i="11" s="1"/>
  <c r="J34" i="11"/>
  <c r="K34" i="11" s="1"/>
  <c r="N34" i="11" s="1"/>
  <c r="J35" i="11"/>
  <c r="K35" i="11" s="1"/>
  <c r="N35" i="11" s="1"/>
  <c r="J36" i="11"/>
  <c r="K36" i="11" s="1"/>
  <c r="N36" i="11" s="1"/>
  <c r="J37" i="11"/>
  <c r="K37" i="11" s="1"/>
  <c r="N37" i="11" s="1"/>
  <c r="J38" i="11"/>
  <c r="K38" i="11" s="1"/>
  <c r="J39" i="11"/>
  <c r="K39" i="11" s="1"/>
  <c r="N39" i="11" s="1"/>
  <c r="J40" i="11"/>
  <c r="K40" i="11" s="1"/>
  <c r="N40" i="11" s="1"/>
  <c r="J41" i="11"/>
  <c r="K41" i="11" s="1"/>
  <c r="N41" i="11" s="1"/>
  <c r="J42" i="11"/>
  <c r="K42" i="11" s="1"/>
  <c r="N42" i="11" s="1"/>
  <c r="J43" i="11"/>
  <c r="K43" i="11" s="1"/>
  <c r="J44" i="11"/>
  <c r="K44" i="11" s="1"/>
  <c r="N44" i="11" s="1"/>
  <c r="J45" i="11"/>
  <c r="K45" i="11" s="1"/>
  <c r="N45" i="11" s="1"/>
  <c r="J46" i="11"/>
  <c r="K46" i="11" s="1"/>
  <c r="J47" i="11"/>
  <c r="K47" i="11" s="1"/>
  <c r="N47" i="11" s="1"/>
  <c r="J48" i="11"/>
  <c r="K48" i="11" s="1"/>
  <c r="N48" i="11" s="1"/>
  <c r="J49" i="11"/>
  <c r="K49" i="11" s="1"/>
  <c r="N49" i="11" s="1"/>
  <c r="J50" i="11"/>
  <c r="K50" i="11" s="1"/>
  <c r="N50" i="11" s="1"/>
  <c r="J51" i="11"/>
  <c r="K51" i="11" s="1"/>
  <c r="N51" i="11" s="1"/>
  <c r="J52" i="11"/>
  <c r="K52" i="11" s="1"/>
  <c r="N52" i="11" s="1"/>
  <c r="J53" i="11"/>
  <c r="K53" i="11" s="1"/>
  <c r="N53" i="11" s="1"/>
  <c r="J54" i="11"/>
  <c r="K54" i="11" s="1"/>
  <c r="N54" i="11" s="1"/>
  <c r="J55" i="11"/>
  <c r="K55" i="11" s="1"/>
  <c r="J56" i="11"/>
  <c r="K56" i="11" s="1"/>
  <c r="N56" i="11" s="1"/>
  <c r="J57" i="11"/>
  <c r="K57" i="11" s="1"/>
  <c r="J58" i="11"/>
  <c r="K58" i="11" s="1"/>
  <c r="N58" i="11" s="1"/>
  <c r="J59" i="11"/>
  <c r="K59" i="11" s="1"/>
  <c r="N59" i="11" s="1"/>
  <c r="J27" i="11"/>
  <c r="K27" i="11" s="1"/>
  <c r="N27" i="11" s="1"/>
  <c r="J14" i="11"/>
  <c r="K14" i="11" s="1"/>
  <c r="N14" i="11" s="1"/>
  <c r="J16" i="11"/>
  <c r="K16" i="11" s="1"/>
  <c r="N16" i="11" s="1"/>
  <c r="J17" i="11"/>
  <c r="K17" i="11" s="1"/>
  <c r="J18" i="11"/>
  <c r="K18" i="11" s="1"/>
  <c r="N18" i="11" s="1"/>
  <c r="J19" i="11"/>
  <c r="K19" i="11" s="1"/>
  <c r="N19" i="11" s="1"/>
  <c r="J20" i="11"/>
  <c r="K20" i="11" s="1"/>
  <c r="J21" i="11"/>
  <c r="K21" i="11" s="1"/>
  <c r="N21" i="11" s="1"/>
  <c r="J22" i="11"/>
  <c r="K22" i="11" s="1"/>
  <c r="N22" i="11" s="1"/>
  <c r="J23" i="11"/>
  <c r="K23" i="11" s="1"/>
  <c r="N23" i="11" s="1"/>
  <c r="J24" i="11"/>
  <c r="K24" i="11" s="1"/>
  <c r="N24" i="11" s="1"/>
  <c r="J25" i="11"/>
  <c r="K25" i="11" s="1"/>
  <c r="N25" i="11" s="1"/>
  <c r="J26" i="11"/>
  <c r="K26" i="11" s="1"/>
  <c r="J15" i="11"/>
  <c r="K15" i="11" s="1"/>
  <c r="N15" i="11" s="1"/>
  <c r="J4" i="11"/>
  <c r="K4" i="11" s="1"/>
  <c r="N4" i="11" s="1"/>
  <c r="J5" i="11"/>
  <c r="K5" i="11" s="1"/>
  <c r="J6" i="11"/>
  <c r="K6" i="11" s="1"/>
  <c r="N6" i="11" s="1"/>
  <c r="J7" i="11"/>
  <c r="K7" i="11" s="1"/>
  <c r="N7" i="11" s="1"/>
  <c r="J8" i="11"/>
  <c r="K8" i="11" s="1"/>
  <c r="N8" i="11" s="1"/>
  <c r="J9" i="11"/>
  <c r="K9" i="11" s="1"/>
  <c r="N9" i="11" s="1"/>
  <c r="J10" i="11"/>
  <c r="K10" i="11" s="1"/>
  <c r="N10" i="11" s="1"/>
  <c r="J11" i="11"/>
  <c r="K11" i="11" s="1"/>
  <c r="N11" i="11" s="1"/>
  <c r="J12" i="11"/>
  <c r="K12" i="11" s="1"/>
  <c r="N12" i="11" s="1"/>
  <c r="J13" i="11"/>
  <c r="K13" i="11" s="1"/>
  <c r="N13" i="11" s="1"/>
  <c r="J3" i="11"/>
  <c r="K3" i="11" s="1"/>
  <c r="P116" i="10" l="1"/>
  <c r="P115" i="10"/>
  <c r="P119" i="10"/>
  <c r="P134" i="10"/>
  <c r="P125" i="10"/>
  <c r="P131" i="10"/>
  <c r="P132" i="10"/>
  <c r="L84" i="5"/>
  <c r="AP84" i="5" s="1"/>
  <c r="AQ84" i="5" s="1"/>
  <c r="L86" i="5"/>
  <c r="AP86" i="5" s="1"/>
  <c r="AQ86" i="5" s="1"/>
  <c r="Q98" i="5"/>
  <c r="Q100" i="5"/>
  <c r="Q102" i="5"/>
  <c r="L85" i="5"/>
  <c r="AP85" i="5" s="1"/>
  <c r="AQ85" i="5" s="1"/>
  <c r="Q105" i="5"/>
  <c r="Q94" i="5"/>
  <c r="N85" i="5"/>
  <c r="R4" i="15"/>
  <c r="M5" i="15"/>
  <c r="S1389" i="13"/>
  <c r="U1388" i="13"/>
  <c r="P4" i="15"/>
  <c r="J5" i="15"/>
  <c r="AP1388" i="13"/>
  <c r="AR1387" i="13"/>
  <c r="N89" i="5"/>
  <c r="Q147" i="5"/>
  <c r="L88" i="5"/>
  <c r="AP88" i="5" s="1"/>
  <c r="AQ88" i="5" s="1"/>
  <c r="N88" i="5"/>
  <c r="L90" i="5"/>
  <c r="AP90" i="5" s="1"/>
  <c r="AQ90" i="5" s="1"/>
  <c r="O87" i="5"/>
  <c r="P87" i="5" s="1"/>
  <c r="Q87" i="5" s="1"/>
  <c r="Q104" i="5"/>
  <c r="P95" i="10"/>
  <c r="P105" i="10"/>
  <c r="P157" i="10"/>
  <c r="O88" i="5"/>
  <c r="P88" i="5" s="1"/>
  <c r="O85" i="5"/>
  <c r="P85" i="5" s="1"/>
  <c r="N86" i="5"/>
  <c r="N84" i="5"/>
  <c r="Q107" i="5"/>
  <c r="O89" i="5"/>
  <c r="P89" i="5" s="1"/>
  <c r="Q89" i="5" s="1"/>
  <c r="AG90" i="5"/>
  <c r="N91" i="5"/>
  <c r="N87" i="5"/>
  <c r="P158" i="10"/>
  <c r="P161" i="10"/>
  <c r="P160" i="10"/>
  <c r="P159" i="10"/>
  <c r="P96" i="10"/>
  <c r="P103" i="10"/>
  <c r="P156" i="10"/>
  <c r="P102" i="10"/>
  <c r="P162" i="10"/>
  <c r="AD184" i="8"/>
  <c r="AF183" i="8"/>
  <c r="AF175" i="8"/>
  <c r="AN175" i="8"/>
  <c r="AO175" i="8" s="1"/>
  <c r="AD112" i="8"/>
  <c r="P110" i="10"/>
  <c r="P107" i="10"/>
  <c r="P154" i="10"/>
  <c r="S1319" i="13"/>
  <c r="U1318" i="13"/>
  <c r="AP1344" i="13"/>
  <c r="AR1343" i="13"/>
  <c r="AP1331" i="13"/>
  <c r="AR1330" i="13"/>
  <c r="AP1319" i="13"/>
  <c r="AR1318" i="13"/>
  <c r="O92" i="5"/>
  <c r="P92" i="5" s="1"/>
  <c r="N92" i="5"/>
  <c r="P153" i="10"/>
  <c r="P155" i="10"/>
  <c r="AR3" i="13"/>
  <c r="AP4" i="13"/>
  <c r="Q60" i="11"/>
  <c r="Q65" i="11"/>
  <c r="Q74" i="11"/>
  <c r="Q73" i="11"/>
  <c r="Q67" i="11"/>
  <c r="AE151" i="8"/>
  <c r="AI151" i="8"/>
  <c r="AC151" i="8"/>
  <c r="AG151" i="8" s="1"/>
  <c r="W36" i="4"/>
  <c r="Q15" i="12"/>
  <c r="Q38" i="12"/>
  <c r="Q74" i="12"/>
  <c r="Q90" i="12"/>
  <c r="Q19" i="12"/>
  <c r="Q88" i="12"/>
  <c r="Q10" i="12"/>
  <c r="Q54" i="12"/>
  <c r="Q41" i="12"/>
  <c r="Q9" i="12"/>
  <c r="Q27" i="12"/>
  <c r="Q8" i="12"/>
  <c r="Q36" i="12"/>
  <c r="Q89" i="12"/>
  <c r="N152" i="10"/>
  <c r="O152" i="10" s="1"/>
  <c r="AF94" i="10"/>
  <c r="S5" i="13"/>
  <c r="U4" i="13"/>
  <c r="V48" i="4"/>
  <c r="X44" i="4"/>
  <c r="X48" i="4" s="1"/>
  <c r="W44" i="4"/>
  <c r="W48" i="4" s="1"/>
  <c r="U48" i="4"/>
  <c r="N39" i="4"/>
  <c r="X38" i="4"/>
  <c r="W38" i="4"/>
  <c r="Y40" i="4"/>
  <c r="V37" i="4"/>
  <c r="U37" i="4"/>
  <c r="M151" i="10"/>
  <c r="N151" i="10"/>
  <c r="O151" i="10" s="1"/>
  <c r="M152" i="10"/>
  <c r="K152" i="10"/>
  <c r="K151" i="10"/>
  <c r="AF95" i="10"/>
  <c r="L92" i="5"/>
  <c r="AG85" i="5"/>
  <c r="AG89" i="5"/>
  <c r="AG84" i="5"/>
  <c r="AG86" i="5"/>
  <c r="AG87" i="5"/>
  <c r="AG88" i="5"/>
  <c r="AG83" i="5"/>
  <c r="L91" i="5"/>
  <c r="AP91" i="5" s="1"/>
  <c r="AQ91" i="5" s="1"/>
  <c r="N90" i="5"/>
  <c r="AF143" i="8"/>
  <c r="AH143" i="8" s="1"/>
  <c r="O90" i="5"/>
  <c r="P90" i="5" s="1"/>
  <c r="O91" i="5"/>
  <c r="P91" i="5" s="1"/>
  <c r="O84" i="5"/>
  <c r="P84" i="5" s="1"/>
  <c r="Q84" i="5" s="1"/>
  <c r="O86" i="5"/>
  <c r="P86" i="5" s="1"/>
  <c r="Q61" i="12"/>
  <c r="Q21" i="12"/>
  <c r="Q29" i="12"/>
  <c r="Q67" i="12"/>
  <c r="Q49" i="12"/>
  <c r="Q59" i="12"/>
  <c r="Q12" i="12"/>
  <c r="Q47" i="12"/>
  <c r="Q64" i="12"/>
  <c r="Q53" i="12"/>
  <c r="Q35" i="12"/>
  <c r="Q44" i="12"/>
  <c r="Q5" i="12"/>
  <c r="Q24" i="12"/>
  <c r="Q32" i="12"/>
  <c r="Q18" i="12"/>
  <c r="Q45" i="12"/>
  <c r="Q86" i="12"/>
  <c r="Q68" i="12"/>
  <c r="Q87" i="12"/>
  <c r="Q86" i="5" l="1"/>
  <c r="Q85" i="5"/>
  <c r="Q88" i="5"/>
  <c r="Q90" i="5"/>
  <c r="J6" i="15"/>
  <c r="P5" i="15"/>
  <c r="AR1388" i="13"/>
  <c r="AP1389" i="13"/>
  <c r="R5" i="15"/>
  <c r="M6" i="15"/>
  <c r="U1389" i="13"/>
  <c r="S1390" i="13"/>
  <c r="Q91" i="5"/>
  <c r="P151" i="10"/>
  <c r="W40" i="4"/>
  <c r="U1319" i="13"/>
  <c r="S1320" i="13"/>
  <c r="AR1344" i="13"/>
  <c r="AP1345" i="13"/>
  <c r="AR1331" i="13"/>
  <c r="AP1332" i="13"/>
  <c r="AR1319" i="13"/>
  <c r="AP1320" i="13"/>
  <c r="Q92" i="5"/>
  <c r="P152" i="10"/>
  <c r="AR4" i="13"/>
  <c r="AP5" i="13"/>
  <c r="AE152" i="8"/>
  <c r="AF151" i="8"/>
  <c r="AH151" i="8" s="1"/>
  <c r="S6" i="13"/>
  <c r="U5" i="13"/>
  <c r="X37" i="4"/>
  <c r="X40" i="4" s="1"/>
  <c r="W37" i="4"/>
  <c r="V40" i="4"/>
  <c r="Y37" i="4"/>
  <c r="U40" i="4"/>
  <c r="P40" i="4"/>
  <c r="C92" i="11"/>
  <c r="R92" i="11" s="1"/>
  <c r="T92" i="11" s="1"/>
  <c r="W92" i="11" s="1"/>
  <c r="X92" i="11" s="1"/>
  <c r="C93" i="11"/>
  <c r="R93" i="11" s="1"/>
  <c r="T93" i="11" s="1"/>
  <c r="W93" i="11" s="1"/>
  <c r="X93" i="11" s="1"/>
  <c r="C94" i="11"/>
  <c r="R94" i="11" s="1"/>
  <c r="T94" i="11" s="1"/>
  <c r="W94" i="11" s="1"/>
  <c r="X94" i="11" s="1"/>
  <c r="C95" i="11"/>
  <c r="R95" i="11" s="1"/>
  <c r="T95" i="11" s="1"/>
  <c r="W95" i="11" s="1"/>
  <c r="X95" i="11" s="1"/>
  <c r="C96" i="11"/>
  <c r="R96" i="11" s="1"/>
  <c r="T96" i="11" s="1"/>
  <c r="W96" i="11" s="1"/>
  <c r="X96" i="11" s="1"/>
  <c r="C85" i="12"/>
  <c r="C86" i="12"/>
  <c r="R86" i="12" s="1"/>
  <c r="T86" i="12" s="1"/>
  <c r="W86" i="12" s="1"/>
  <c r="X86" i="12" s="1"/>
  <c r="C87" i="12"/>
  <c r="R87" i="12" s="1"/>
  <c r="T87" i="12" s="1"/>
  <c r="W87" i="12" s="1"/>
  <c r="X87" i="12" s="1"/>
  <c r="C88" i="12"/>
  <c r="R88" i="12" s="1"/>
  <c r="T88" i="12" s="1"/>
  <c r="W88" i="12" s="1"/>
  <c r="X88" i="12" s="1"/>
  <c r="C89" i="12"/>
  <c r="R89" i="12" s="1"/>
  <c r="T89" i="12" s="1"/>
  <c r="W89" i="12" s="1"/>
  <c r="X89" i="12" s="1"/>
  <c r="C90" i="12"/>
  <c r="R90" i="12" s="1"/>
  <c r="T90" i="12" s="1"/>
  <c r="W90" i="12" s="1"/>
  <c r="X90" i="12" s="1"/>
  <c r="Z88" i="10"/>
  <c r="AD88" i="10" s="1"/>
  <c r="AB86" i="10"/>
  <c r="AC86" i="10"/>
  <c r="AD86" i="10"/>
  <c r="AE86" i="10"/>
  <c r="AB87" i="10"/>
  <c r="AC87" i="10"/>
  <c r="AD87" i="10"/>
  <c r="AE87" i="10"/>
  <c r="AB88" i="10"/>
  <c r="AC88" i="10"/>
  <c r="AE88" i="10"/>
  <c r="AB89" i="10"/>
  <c r="AC89" i="10"/>
  <c r="AD89" i="10"/>
  <c r="AE89" i="10"/>
  <c r="AB90" i="10"/>
  <c r="AC90" i="10"/>
  <c r="AD90" i="10"/>
  <c r="AE90" i="10"/>
  <c r="AB91" i="10"/>
  <c r="AC91" i="10"/>
  <c r="AD91" i="10"/>
  <c r="AE91" i="10"/>
  <c r="AB92" i="10"/>
  <c r="AC92" i="10"/>
  <c r="AD92" i="10"/>
  <c r="AE92" i="10"/>
  <c r="AB93" i="10"/>
  <c r="AC93" i="10"/>
  <c r="AD93" i="10"/>
  <c r="AE93" i="10"/>
  <c r="L94" i="10"/>
  <c r="J94" i="10"/>
  <c r="I94" i="10"/>
  <c r="AN93" i="10"/>
  <c r="AG93" i="10"/>
  <c r="AV93" i="10" s="1"/>
  <c r="W93" i="10"/>
  <c r="V93" i="10"/>
  <c r="U93" i="10"/>
  <c r="AS93" i="10" s="1"/>
  <c r="I86" i="10"/>
  <c r="J86" i="10"/>
  <c r="L86" i="10"/>
  <c r="I87" i="10"/>
  <c r="J87" i="10"/>
  <c r="L87" i="10"/>
  <c r="I88" i="10"/>
  <c r="J88" i="10"/>
  <c r="L88" i="10"/>
  <c r="I89" i="10"/>
  <c r="J89" i="10"/>
  <c r="L89" i="10"/>
  <c r="I90" i="10"/>
  <c r="J90" i="10"/>
  <c r="L90" i="10"/>
  <c r="I91" i="10"/>
  <c r="J91" i="10"/>
  <c r="L91" i="10"/>
  <c r="I92" i="10"/>
  <c r="J92" i="10"/>
  <c r="L92" i="10"/>
  <c r="I93" i="10"/>
  <c r="J93" i="10"/>
  <c r="L93" i="10"/>
  <c r="F91" i="11"/>
  <c r="P91" i="11" s="1"/>
  <c r="F85" i="12"/>
  <c r="P85" i="12" s="1"/>
  <c r="Q85" i="12" s="1"/>
  <c r="C91" i="11"/>
  <c r="R91" i="11" s="1"/>
  <c r="T91" i="11" s="1"/>
  <c r="W91" i="11" s="1"/>
  <c r="X91" i="11" s="1"/>
  <c r="F84" i="12"/>
  <c r="P84" i="12" s="1"/>
  <c r="Q84" i="12" s="1"/>
  <c r="F90" i="11"/>
  <c r="P90" i="11" s="1"/>
  <c r="D84" i="5"/>
  <c r="D85" i="5"/>
  <c r="D86" i="5"/>
  <c r="C84" i="12"/>
  <c r="C90" i="11"/>
  <c r="D70" i="5"/>
  <c r="D71" i="5"/>
  <c r="D72" i="5"/>
  <c r="D73" i="5"/>
  <c r="D74" i="5"/>
  <c r="D62" i="5"/>
  <c r="D60" i="5"/>
  <c r="D61" i="5"/>
  <c r="D75" i="5"/>
  <c r="D76" i="5"/>
  <c r="D77" i="5"/>
  <c r="D78" i="5"/>
  <c r="D79" i="5"/>
  <c r="D80" i="5"/>
  <c r="D81" i="5"/>
  <c r="D82" i="5"/>
  <c r="D83" i="5"/>
  <c r="M83" i="5"/>
  <c r="K83" i="5"/>
  <c r="J83" i="5"/>
  <c r="J76" i="5"/>
  <c r="K76" i="5"/>
  <c r="M76" i="5"/>
  <c r="J77" i="5"/>
  <c r="K77" i="5"/>
  <c r="M77" i="5"/>
  <c r="J78" i="5"/>
  <c r="K78" i="5"/>
  <c r="M78" i="5"/>
  <c r="J79" i="5"/>
  <c r="K79" i="5"/>
  <c r="M79" i="5"/>
  <c r="J80" i="5"/>
  <c r="K80" i="5"/>
  <c r="M80" i="5"/>
  <c r="J81" i="5"/>
  <c r="K81" i="5"/>
  <c r="M81" i="5"/>
  <c r="M75" i="5"/>
  <c r="K75" i="5"/>
  <c r="J75" i="5"/>
  <c r="C83" i="12"/>
  <c r="C89" i="11"/>
  <c r="W30" i="5"/>
  <c r="AJ30" i="5"/>
  <c r="X30" i="5"/>
  <c r="S30" i="5"/>
  <c r="F89" i="11"/>
  <c r="P89" i="11" s="1"/>
  <c r="F83" i="12"/>
  <c r="P83" i="12" s="1"/>
  <c r="Q83" i="12" s="1"/>
  <c r="L150" i="10"/>
  <c r="J150" i="10"/>
  <c r="I150" i="10"/>
  <c r="L149" i="10"/>
  <c r="J149" i="10"/>
  <c r="I149" i="10"/>
  <c r="M82" i="5"/>
  <c r="K82" i="5"/>
  <c r="J82" i="5"/>
  <c r="M57" i="5"/>
  <c r="K57" i="5"/>
  <c r="J57" i="5"/>
  <c r="L60" i="10"/>
  <c r="J60" i="10"/>
  <c r="I60" i="10"/>
  <c r="L75" i="10"/>
  <c r="J75" i="10"/>
  <c r="I75" i="10"/>
  <c r="L63" i="10"/>
  <c r="J63" i="10"/>
  <c r="I63" i="10"/>
  <c r="K60" i="5"/>
  <c r="J60" i="5"/>
  <c r="N60" i="5" s="1"/>
  <c r="E75" i="5"/>
  <c r="M72" i="5"/>
  <c r="K72" i="5"/>
  <c r="J72" i="5"/>
  <c r="N76" i="5" l="1"/>
  <c r="AP1390" i="13"/>
  <c r="AR1389" i="13"/>
  <c r="S1391" i="13"/>
  <c r="U1390" i="13"/>
  <c r="M7" i="15"/>
  <c r="R6" i="15"/>
  <c r="J7" i="15"/>
  <c r="P6" i="15"/>
  <c r="L79" i="5"/>
  <c r="AP79" i="5" s="1"/>
  <c r="AQ79" i="5" s="1"/>
  <c r="N81" i="5"/>
  <c r="K89" i="10"/>
  <c r="AT89" i="10" s="1"/>
  <c r="L83" i="5"/>
  <c r="AP83" i="5" s="1"/>
  <c r="AQ83" i="5" s="1"/>
  <c r="O77" i="5"/>
  <c r="P77" i="5" s="1"/>
  <c r="N79" i="5"/>
  <c r="O75" i="5"/>
  <c r="L80" i="5"/>
  <c r="AP80" i="5" s="1"/>
  <c r="AQ80" i="5" s="1"/>
  <c r="O57" i="5"/>
  <c r="P57" i="5" s="1"/>
  <c r="L77" i="5"/>
  <c r="AP77" i="5" s="1"/>
  <c r="AQ77" i="5" s="1"/>
  <c r="N83" i="5"/>
  <c r="O79" i="5"/>
  <c r="P79" i="5" s="1"/>
  <c r="N77" i="5"/>
  <c r="O81" i="5"/>
  <c r="P81" i="5" s="1"/>
  <c r="AR75" i="5"/>
  <c r="N78" i="5"/>
  <c r="L60" i="5"/>
  <c r="AP60" i="5" s="1"/>
  <c r="AQ60" i="5" s="1"/>
  <c r="O60" i="5"/>
  <c r="P60" i="5" s="1"/>
  <c r="Q60" i="5" s="1"/>
  <c r="N80" i="5"/>
  <c r="L78" i="5"/>
  <c r="AP78" i="5" s="1"/>
  <c r="AQ78" i="5" s="1"/>
  <c r="L76" i="5"/>
  <c r="AP76" i="5" s="1"/>
  <c r="AQ76" i="5" s="1"/>
  <c r="N63" i="10"/>
  <c r="O63" i="10" s="1"/>
  <c r="S1321" i="13"/>
  <c r="U1320" i="13"/>
  <c r="AP1346" i="13"/>
  <c r="AR1345" i="13"/>
  <c r="AP1333" i="13"/>
  <c r="AR1332" i="13"/>
  <c r="AP1321" i="13"/>
  <c r="AR1320" i="13"/>
  <c r="O82" i="5"/>
  <c r="N60" i="10"/>
  <c r="O60" i="10" s="1"/>
  <c r="M91" i="10"/>
  <c r="K91" i="10"/>
  <c r="AT91" i="10" s="1"/>
  <c r="AR5" i="13"/>
  <c r="AP6" i="13"/>
  <c r="M92" i="10"/>
  <c r="M87" i="10"/>
  <c r="K92" i="10"/>
  <c r="AT92" i="10" s="1"/>
  <c r="K87" i="10"/>
  <c r="AT87" i="10" s="1"/>
  <c r="S7" i="13"/>
  <c r="U6" i="13"/>
  <c r="N94" i="10"/>
  <c r="O94" i="10" s="1"/>
  <c r="M89" i="10"/>
  <c r="AF91" i="10"/>
  <c r="K94" i="10"/>
  <c r="AT94" i="10" s="1"/>
  <c r="M94" i="10"/>
  <c r="M60" i="10"/>
  <c r="N149" i="10"/>
  <c r="O149" i="10" s="1"/>
  <c r="K93" i="10"/>
  <c r="AT93" i="10" s="1"/>
  <c r="N91" i="10"/>
  <c r="O91" i="10" s="1"/>
  <c r="N75" i="10"/>
  <c r="O75" i="10" s="1"/>
  <c r="N92" i="10"/>
  <c r="O92" i="10" s="1"/>
  <c r="K86" i="10"/>
  <c r="AT86" i="10" s="1"/>
  <c r="M90" i="10"/>
  <c r="M88" i="10"/>
  <c r="M86" i="10"/>
  <c r="K90" i="10"/>
  <c r="AT90" i="10" s="1"/>
  <c r="K88" i="10"/>
  <c r="AT88" i="10" s="1"/>
  <c r="AF90" i="10"/>
  <c r="AF93" i="10"/>
  <c r="AF92" i="10"/>
  <c r="AF89" i="10"/>
  <c r="AF88" i="10"/>
  <c r="AF87" i="10"/>
  <c r="AF86" i="10"/>
  <c r="M93" i="10"/>
  <c r="N89" i="10"/>
  <c r="O89" i="10" s="1"/>
  <c r="P89" i="10" s="1"/>
  <c r="AU89" i="10" s="1"/>
  <c r="N87" i="10"/>
  <c r="O87" i="10" s="1"/>
  <c r="N90" i="10"/>
  <c r="O90" i="10" s="1"/>
  <c r="N93" i="10"/>
  <c r="O93" i="10" s="1"/>
  <c r="N86" i="10"/>
  <c r="O86" i="10" s="1"/>
  <c r="N88" i="10"/>
  <c r="O88" i="10" s="1"/>
  <c r="O83" i="5"/>
  <c r="P83" i="5" s="1"/>
  <c r="L81" i="5"/>
  <c r="AP81" i="5" s="1"/>
  <c r="AQ81" i="5" s="1"/>
  <c r="O76" i="5"/>
  <c r="P76" i="5" s="1"/>
  <c r="O80" i="5"/>
  <c r="P80" i="5" s="1"/>
  <c r="O78" i="5"/>
  <c r="P78" i="5" s="1"/>
  <c r="N75" i="5"/>
  <c r="P75" i="5"/>
  <c r="L75" i="5"/>
  <c r="AP75" i="5" s="1"/>
  <c r="AQ75" i="5" s="1"/>
  <c r="M75" i="10"/>
  <c r="M150" i="10"/>
  <c r="N150" i="10"/>
  <c r="O150" i="10" s="1"/>
  <c r="K149" i="10"/>
  <c r="M149" i="10"/>
  <c r="K150" i="10"/>
  <c r="P82" i="5"/>
  <c r="N82" i="5"/>
  <c r="L82" i="5"/>
  <c r="AP82" i="5" s="1"/>
  <c r="AQ82" i="5" s="1"/>
  <c r="N57" i="5"/>
  <c r="L57" i="5"/>
  <c r="AP57" i="5" s="1"/>
  <c r="AQ57" i="5" s="1"/>
  <c r="K60" i="10"/>
  <c r="AT60" i="10" s="1"/>
  <c r="AU60" i="10" s="1"/>
  <c r="M63" i="10"/>
  <c r="K75" i="10"/>
  <c r="AT75" i="10" s="1"/>
  <c r="K63" i="10"/>
  <c r="AT63" i="10" s="1"/>
  <c r="L72" i="5"/>
  <c r="AP72" i="5" s="1"/>
  <c r="AQ72" i="5" s="1"/>
  <c r="N72" i="5"/>
  <c r="O72" i="5"/>
  <c r="P72" i="5" s="1"/>
  <c r="Q79" i="5" l="1"/>
  <c r="Q76" i="5"/>
  <c r="Q80" i="5"/>
  <c r="P7" i="15"/>
  <c r="J8" i="15"/>
  <c r="R7" i="15"/>
  <c r="M8" i="15"/>
  <c r="U1391" i="13"/>
  <c r="S1392" i="13"/>
  <c r="AR1390" i="13"/>
  <c r="AP1391" i="13"/>
  <c r="Q78" i="5"/>
  <c r="Q83" i="5"/>
  <c r="P87" i="10"/>
  <c r="AU87" i="10" s="1"/>
  <c r="P92" i="10"/>
  <c r="Q82" i="5"/>
  <c r="Q75" i="5"/>
  <c r="Q72" i="5"/>
  <c r="Q81" i="5"/>
  <c r="Q77" i="5"/>
  <c r="P90" i="10"/>
  <c r="AU90" i="10" s="1"/>
  <c r="P150" i="10"/>
  <c r="P91" i="10"/>
  <c r="AU91" i="10" s="1"/>
  <c r="P94" i="10"/>
  <c r="P86" i="10"/>
  <c r="AU86" i="10" s="1"/>
  <c r="P75" i="10"/>
  <c r="AU75" i="10" s="1"/>
  <c r="P88" i="10"/>
  <c r="AU88" i="10" s="1"/>
  <c r="P63" i="10"/>
  <c r="AU63" i="10" s="1"/>
  <c r="P93" i="10"/>
  <c r="AU93" i="10" s="1"/>
  <c r="AU92" i="10"/>
  <c r="U1321" i="13"/>
  <c r="S1322" i="13"/>
  <c r="AR1346" i="13"/>
  <c r="AP1347" i="13"/>
  <c r="AR1333" i="13"/>
  <c r="AP1334" i="13"/>
  <c r="AR1321" i="13"/>
  <c r="AP1322" i="13"/>
  <c r="P149" i="10"/>
  <c r="AU94" i="10"/>
  <c r="AR6" i="13"/>
  <c r="AP7" i="13"/>
  <c r="S8" i="13"/>
  <c r="U7" i="13"/>
  <c r="E96" i="11"/>
  <c r="O96" i="11" s="1"/>
  <c r="E95" i="11"/>
  <c r="O95" i="11" s="1"/>
  <c r="E94" i="11"/>
  <c r="O94" i="11" s="1"/>
  <c r="E93" i="11"/>
  <c r="O93" i="11" s="1"/>
  <c r="E92" i="11"/>
  <c r="O92" i="11" s="1"/>
  <c r="E91" i="11"/>
  <c r="O91" i="11" s="1"/>
  <c r="E90" i="11"/>
  <c r="O90" i="11" s="1"/>
  <c r="E89" i="11"/>
  <c r="O89" i="11" s="1"/>
  <c r="D95" i="11"/>
  <c r="N95" i="11" s="1"/>
  <c r="Q95" i="11" s="1"/>
  <c r="D96" i="11"/>
  <c r="N96" i="11" s="1"/>
  <c r="Q96" i="11" s="1"/>
  <c r="D94" i="11"/>
  <c r="N94" i="11" s="1"/>
  <c r="Q94" i="11" s="1"/>
  <c r="D93" i="11"/>
  <c r="N93" i="11" s="1"/>
  <c r="Q93" i="11" s="1"/>
  <c r="D92" i="11"/>
  <c r="N92" i="11" s="1"/>
  <c r="Q92" i="11" s="1"/>
  <c r="D91" i="11"/>
  <c r="N91" i="11" s="1"/>
  <c r="Q91" i="11" s="1"/>
  <c r="D90" i="11"/>
  <c r="N90" i="11" s="1"/>
  <c r="Q90" i="11" s="1"/>
  <c r="D89" i="11"/>
  <c r="N89" i="11" s="1"/>
  <c r="Q89" i="11" s="1"/>
  <c r="AC80" i="5"/>
  <c r="AD80" i="5"/>
  <c r="AE80" i="5"/>
  <c r="AF80" i="5"/>
  <c r="AC81" i="5"/>
  <c r="AD81" i="5"/>
  <c r="AE81" i="5"/>
  <c r="AF81" i="5"/>
  <c r="AC82" i="5"/>
  <c r="AD82" i="5"/>
  <c r="AE82" i="5"/>
  <c r="AF82" i="5"/>
  <c r="AB83" i="10"/>
  <c r="AC83" i="10"/>
  <c r="AD83" i="10"/>
  <c r="AE83" i="10"/>
  <c r="AB84" i="10"/>
  <c r="AC84" i="10"/>
  <c r="AD84" i="10"/>
  <c r="AE84" i="10"/>
  <c r="AB85" i="10"/>
  <c r="AC85" i="10"/>
  <c r="AD85" i="10"/>
  <c r="AE85" i="10"/>
  <c r="AN85" i="10"/>
  <c r="AG85" i="10"/>
  <c r="AV85" i="10" s="1"/>
  <c r="W85" i="10"/>
  <c r="V85" i="10"/>
  <c r="U85" i="10"/>
  <c r="AS85" i="10" s="1"/>
  <c r="R85" i="10"/>
  <c r="I78" i="10"/>
  <c r="J78" i="10"/>
  <c r="L78" i="10"/>
  <c r="I79" i="10"/>
  <c r="J79" i="10"/>
  <c r="L79" i="10"/>
  <c r="I80" i="10"/>
  <c r="J80" i="10"/>
  <c r="L80" i="10"/>
  <c r="I81" i="10"/>
  <c r="J81" i="10"/>
  <c r="L81" i="10"/>
  <c r="I82" i="10"/>
  <c r="J82" i="10"/>
  <c r="L82" i="10"/>
  <c r="I83" i="10"/>
  <c r="J83" i="10"/>
  <c r="L83" i="10"/>
  <c r="I84" i="10"/>
  <c r="J84" i="10"/>
  <c r="L84" i="10"/>
  <c r="I85" i="10"/>
  <c r="J85" i="10"/>
  <c r="L85" i="10"/>
  <c r="F82" i="12"/>
  <c r="P82" i="12" s="1"/>
  <c r="Q82" i="12" s="1"/>
  <c r="C82" i="12"/>
  <c r="F88" i="11"/>
  <c r="P88" i="11" s="1"/>
  <c r="Q88" i="11" s="1"/>
  <c r="AW43" i="2"/>
  <c r="G43" i="2"/>
  <c r="G45" i="2"/>
  <c r="AW45" i="2"/>
  <c r="L148" i="10"/>
  <c r="J148" i="10"/>
  <c r="I148" i="10"/>
  <c r="L147" i="10"/>
  <c r="J147" i="10"/>
  <c r="I147" i="10"/>
  <c r="AZ42" i="2"/>
  <c r="BB42" i="2"/>
  <c r="BA42" i="2"/>
  <c r="F81" i="12"/>
  <c r="P81" i="12" s="1"/>
  <c r="Q81" i="12" s="1"/>
  <c r="C81" i="12"/>
  <c r="F80" i="12"/>
  <c r="P80" i="12" s="1"/>
  <c r="Q80" i="12" s="1"/>
  <c r="C80" i="12"/>
  <c r="F87" i="11"/>
  <c r="P87" i="11" s="1"/>
  <c r="Q87" i="11" s="1"/>
  <c r="C88" i="11"/>
  <c r="C87" i="11"/>
  <c r="AB78" i="10"/>
  <c r="AC78" i="10"/>
  <c r="AD78" i="10"/>
  <c r="AE78" i="10"/>
  <c r="AB79" i="10"/>
  <c r="AC79" i="10"/>
  <c r="AD79" i="10"/>
  <c r="AE79" i="10"/>
  <c r="AB80" i="10"/>
  <c r="AC80" i="10"/>
  <c r="AD80" i="10"/>
  <c r="AE80" i="10"/>
  <c r="AB81" i="10"/>
  <c r="AC81" i="10"/>
  <c r="AD81" i="10"/>
  <c r="AE81" i="10"/>
  <c r="AB82" i="10"/>
  <c r="AC82" i="10"/>
  <c r="AD82" i="10"/>
  <c r="AE82" i="10"/>
  <c r="AC75" i="5"/>
  <c r="AD75" i="5"/>
  <c r="AE75" i="5"/>
  <c r="AF75" i="5"/>
  <c r="AC76" i="5"/>
  <c r="AD76" i="5"/>
  <c r="AE76" i="5"/>
  <c r="AF76" i="5"/>
  <c r="AC77" i="5"/>
  <c r="AD77" i="5"/>
  <c r="AE77" i="5"/>
  <c r="AF77" i="5"/>
  <c r="AC78" i="5"/>
  <c r="AD78" i="5"/>
  <c r="AE78" i="5"/>
  <c r="AF78" i="5"/>
  <c r="AC79" i="5"/>
  <c r="AD79" i="5"/>
  <c r="AE79" i="5"/>
  <c r="AF79" i="5"/>
  <c r="F86" i="11"/>
  <c r="P86" i="11" s="1"/>
  <c r="Q86" i="11" s="1"/>
  <c r="C86" i="11"/>
  <c r="AH74" i="5"/>
  <c r="AR74" i="5" s="1"/>
  <c r="X74" i="5"/>
  <c r="V74" i="5"/>
  <c r="AG77" i="10"/>
  <c r="AV77" i="10" s="1"/>
  <c r="W77" i="10"/>
  <c r="U77" i="10"/>
  <c r="AS77" i="10" s="1"/>
  <c r="AB76" i="10"/>
  <c r="AC76" i="10"/>
  <c r="AD76" i="10"/>
  <c r="AE76" i="10"/>
  <c r="AB77" i="10"/>
  <c r="AC77" i="10"/>
  <c r="AD77" i="10"/>
  <c r="AE77" i="10"/>
  <c r="F79" i="12"/>
  <c r="P79" i="12" s="1"/>
  <c r="Q79" i="12" s="1"/>
  <c r="C79" i="12"/>
  <c r="F85" i="11"/>
  <c r="P85" i="11" s="1"/>
  <c r="Q85" i="11" s="1"/>
  <c r="C85" i="11"/>
  <c r="J74" i="5"/>
  <c r="K74" i="5"/>
  <c r="M74" i="5"/>
  <c r="AC71" i="5"/>
  <c r="AD71" i="5"/>
  <c r="AE71" i="5"/>
  <c r="AF71" i="5"/>
  <c r="AC73" i="5"/>
  <c r="AD73" i="5"/>
  <c r="AE73" i="5"/>
  <c r="AF73" i="5"/>
  <c r="AC74" i="5"/>
  <c r="AD74" i="5"/>
  <c r="AE74" i="5"/>
  <c r="AF74" i="5"/>
  <c r="L77" i="10"/>
  <c r="J77" i="10"/>
  <c r="I77" i="10"/>
  <c r="AE61" i="10"/>
  <c r="AE62" i="10"/>
  <c r="AE64" i="10"/>
  <c r="AE65" i="10"/>
  <c r="AE66" i="10"/>
  <c r="AE67" i="10"/>
  <c r="AE68" i="10"/>
  <c r="AE69" i="10"/>
  <c r="AE70" i="10"/>
  <c r="AE71" i="10"/>
  <c r="AE72" i="10"/>
  <c r="AE73" i="10"/>
  <c r="AE74" i="10"/>
  <c r="AD61" i="10"/>
  <c r="AD62" i="10"/>
  <c r="AD64" i="10"/>
  <c r="AD65" i="10"/>
  <c r="AD66" i="10"/>
  <c r="AD67" i="10"/>
  <c r="AD68" i="10"/>
  <c r="AD69" i="10"/>
  <c r="AD70" i="10"/>
  <c r="AD71" i="10"/>
  <c r="AD72" i="10"/>
  <c r="AD73" i="10"/>
  <c r="AD74" i="10"/>
  <c r="AC61" i="10"/>
  <c r="AC62" i="10"/>
  <c r="AC64" i="10"/>
  <c r="AC65" i="10"/>
  <c r="AC66" i="10"/>
  <c r="AC67" i="10"/>
  <c r="AC68" i="10"/>
  <c r="AC69" i="10"/>
  <c r="AC70" i="10"/>
  <c r="AC71" i="10"/>
  <c r="AC72" i="10"/>
  <c r="AC73" i="10"/>
  <c r="AC74" i="10"/>
  <c r="AB61" i="10"/>
  <c r="AB62" i="10"/>
  <c r="AB64" i="10"/>
  <c r="AB65" i="10"/>
  <c r="AB66" i="10"/>
  <c r="AB67" i="10"/>
  <c r="AB68" i="10"/>
  <c r="AB69" i="10"/>
  <c r="AB70" i="10"/>
  <c r="AB71" i="10"/>
  <c r="AB72" i="10"/>
  <c r="AB73" i="10"/>
  <c r="AB74" i="10"/>
  <c r="AC58" i="5"/>
  <c r="AD58" i="5"/>
  <c r="AE58" i="5"/>
  <c r="AF58" i="5"/>
  <c r="AC59" i="5"/>
  <c r="AD59" i="5"/>
  <c r="AF59" i="5"/>
  <c r="AC61" i="5"/>
  <c r="AD61" i="5"/>
  <c r="AE61" i="5"/>
  <c r="AF61" i="5"/>
  <c r="AC62" i="5"/>
  <c r="AD62" i="5"/>
  <c r="AE62" i="5"/>
  <c r="AF62" i="5"/>
  <c r="AC63" i="5"/>
  <c r="AD63" i="5"/>
  <c r="AE63" i="5"/>
  <c r="AF63" i="5"/>
  <c r="AC64" i="5"/>
  <c r="AD64" i="5"/>
  <c r="AE64" i="5"/>
  <c r="AF64" i="5"/>
  <c r="AC65" i="5"/>
  <c r="AD65" i="5"/>
  <c r="AE65" i="5"/>
  <c r="AF65" i="5"/>
  <c r="AC66" i="5"/>
  <c r="AD66" i="5"/>
  <c r="AE66" i="5"/>
  <c r="AF66" i="5"/>
  <c r="AC67" i="5"/>
  <c r="AD67" i="5"/>
  <c r="AE67" i="5"/>
  <c r="AF67" i="5"/>
  <c r="AC68" i="5"/>
  <c r="AD68" i="5"/>
  <c r="AE68" i="5"/>
  <c r="AF68" i="5"/>
  <c r="AC69" i="5"/>
  <c r="AD69" i="5"/>
  <c r="AE69" i="5"/>
  <c r="AF69" i="5"/>
  <c r="AC70" i="5"/>
  <c r="AD70" i="5"/>
  <c r="AE70" i="5"/>
  <c r="AF70" i="5"/>
  <c r="AF57" i="5"/>
  <c r="AE57" i="5"/>
  <c r="AD57" i="5"/>
  <c r="AC57" i="5"/>
  <c r="AE60" i="10"/>
  <c r="AD60" i="10"/>
  <c r="AC60" i="10"/>
  <c r="AB60" i="10"/>
  <c r="C54" i="13"/>
  <c r="C56" i="13"/>
  <c r="C58" i="13"/>
  <c r="C60" i="13"/>
  <c r="C62" i="13"/>
  <c r="C64" i="13"/>
  <c r="C66" i="13"/>
  <c r="H56" i="13"/>
  <c r="I56" i="13"/>
  <c r="H57" i="13"/>
  <c r="I57" i="13"/>
  <c r="H58" i="13"/>
  <c r="I58" i="13"/>
  <c r="H59" i="13"/>
  <c r="I59" i="13"/>
  <c r="H60" i="13"/>
  <c r="I60" i="13"/>
  <c r="H61" i="13"/>
  <c r="I61" i="13"/>
  <c r="H62" i="13"/>
  <c r="I62" i="13"/>
  <c r="H63" i="13"/>
  <c r="I63" i="13"/>
  <c r="H64" i="13"/>
  <c r="I64" i="13"/>
  <c r="H65" i="13"/>
  <c r="I65" i="13"/>
  <c r="H66" i="13"/>
  <c r="I66" i="13"/>
  <c r="H67" i="13"/>
  <c r="I67" i="13"/>
  <c r="B56" i="13"/>
  <c r="B57" i="13"/>
  <c r="C57" i="13" s="1"/>
  <c r="B58" i="13"/>
  <c r="B59" i="13"/>
  <c r="C59" i="13" s="1"/>
  <c r="B60" i="13"/>
  <c r="B61" i="13"/>
  <c r="C61" i="13" s="1"/>
  <c r="B62" i="13"/>
  <c r="B63" i="13"/>
  <c r="C63" i="13" s="1"/>
  <c r="B64" i="13"/>
  <c r="B65" i="13"/>
  <c r="C65" i="13" s="1"/>
  <c r="B66" i="13"/>
  <c r="B67" i="13"/>
  <c r="C67" i="13" s="1"/>
  <c r="AG74" i="10"/>
  <c r="AV74" i="10" s="1"/>
  <c r="W74" i="10"/>
  <c r="U74" i="10"/>
  <c r="AS74" i="10" s="1"/>
  <c r="R74" i="10"/>
  <c r="I62" i="10"/>
  <c r="J62" i="10"/>
  <c r="L62" i="10"/>
  <c r="I64" i="10"/>
  <c r="J64" i="10"/>
  <c r="L64" i="10"/>
  <c r="I65" i="10"/>
  <c r="J65" i="10"/>
  <c r="L65" i="10"/>
  <c r="I66" i="10"/>
  <c r="J66" i="10"/>
  <c r="L66" i="10"/>
  <c r="I67" i="10"/>
  <c r="J67" i="10"/>
  <c r="L67" i="10"/>
  <c r="I68" i="10"/>
  <c r="J68" i="10"/>
  <c r="L68" i="10"/>
  <c r="I69" i="10"/>
  <c r="J69" i="10"/>
  <c r="L69" i="10"/>
  <c r="I70" i="10"/>
  <c r="J70" i="10"/>
  <c r="L70" i="10"/>
  <c r="I71" i="10"/>
  <c r="J71" i="10"/>
  <c r="L71" i="10"/>
  <c r="I72" i="10"/>
  <c r="J72" i="10"/>
  <c r="L72" i="10"/>
  <c r="I73" i="10"/>
  <c r="J73" i="10"/>
  <c r="L73" i="10"/>
  <c r="I74" i="10"/>
  <c r="J74" i="10"/>
  <c r="L74" i="10"/>
  <c r="I76" i="10"/>
  <c r="J76" i="10"/>
  <c r="L76" i="10"/>
  <c r="J59" i="5"/>
  <c r="K59" i="5"/>
  <c r="M59" i="5"/>
  <c r="J61" i="5"/>
  <c r="K61" i="5"/>
  <c r="M61" i="5"/>
  <c r="J62" i="5"/>
  <c r="K62" i="5"/>
  <c r="M62" i="5"/>
  <c r="J63" i="5"/>
  <c r="K63" i="5"/>
  <c r="M63" i="5"/>
  <c r="J64" i="5"/>
  <c r="K64" i="5"/>
  <c r="M64" i="5"/>
  <c r="J65" i="5"/>
  <c r="K65" i="5"/>
  <c r="M65" i="5"/>
  <c r="J66" i="5"/>
  <c r="K66" i="5"/>
  <c r="M66" i="5"/>
  <c r="J67" i="5"/>
  <c r="K67" i="5"/>
  <c r="L67" i="5" s="1"/>
  <c r="AP67" i="5" s="1"/>
  <c r="AQ67" i="5" s="1"/>
  <c r="M67" i="5"/>
  <c r="J68" i="5"/>
  <c r="K68" i="5"/>
  <c r="M68" i="5"/>
  <c r="J69" i="5"/>
  <c r="K69" i="5"/>
  <c r="M69" i="5"/>
  <c r="J70" i="5"/>
  <c r="K70" i="5"/>
  <c r="M70" i="5"/>
  <c r="J71" i="5"/>
  <c r="K71" i="5"/>
  <c r="M71" i="5"/>
  <c r="J73" i="5"/>
  <c r="K73" i="5"/>
  <c r="M73" i="5"/>
  <c r="AH71" i="5"/>
  <c r="AR71" i="5" s="1"/>
  <c r="X71" i="5"/>
  <c r="V71" i="5"/>
  <c r="S71" i="5"/>
  <c r="S69" i="12"/>
  <c r="S70" i="12"/>
  <c r="S71" i="12"/>
  <c r="S72" i="12"/>
  <c r="S73" i="12"/>
  <c r="S74" i="12"/>
  <c r="S75" i="12"/>
  <c r="S76" i="12"/>
  <c r="S77" i="12"/>
  <c r="S78" i="12"/>
  <c r="S79" i="11"/>
  <c r="S81" i="11"/>
  <c r="Y81" i="11"/>
  <c r="Z81" i="11"/>
  <c r="S82" i="11"/>
  <c r="Y82" i="11"/>
  <c r="Z82" i="11"/>
  <c r="S83" i="11"/>
  <c r="Y83" i="11"/>
  <c r="Z83" i="11"/>
  <c r="S84" i="11"/>
  <c r="Y84" i="11"/>
  <c r="Z84" i="11"/>
  <c r="D68" i="5"/>
  <c r="D69" i="5"/>
  <c r="D67" i="5"/>
  <c r="D68" i="10"/>
  <c r="AV68" i="10" s="1"/>
  <c r="E65" i="5"/>
  <c r="D63" i="5"/>
  <c r="D64" i="5"/>
  <c r="D65" i="5"/>
  <c r="D66" i="5"/>
  <c r="F78" i="12"/>
  <c r="P78" i="12" s="1"/>
  <c r="Q78" i="12" s="1"/>
  <c r="C78" i="12"/>
  <c r="R78" i="12" s="1"/>
  <c r="T78" i="12" s="1"/>
  <c r="F84" i="11"/>
  <c r="P84" i="11" s="1"/>
  <c r="Q84" i="11" s="1"/>
  <c r="C84" i="11"/>
  <c r="R84" i="11" s="1"/>
  <c r="F83" i="11"/>
  <c r="P83" i="11" s="1"/>
  <c r="Q83" i="11" s="1"/>
  <c r="C83" i="11"/>
  <c r="R83" i="11" s="1"/>
  <c r="C77" i="12"/>
  <c r="R77" i="12" s="1"/>
  <c r="T77" i="12" s="1"/>
  <c r="F77" i="12"/>
  <c r="P77" i="12" s="1"/>
  <c r="Q77" i="12" s="1"/>
  <c r="C76" i="12"/>
  <c r="R76" i="12" s="1"/>
  <c r="T76" i="12" s="1"/>
  <c r="F76" i="12"/>
  <c r="P76" i="12" s="1"/>
  <c r="Q76" i="12" s="1"/>
  <c r="F82" i="11"/>
  <c r="P82" i="11" s="1"/>
  <c r="Q82" i="11" s="1"/>
  <c r="F81" i="11"/>
  <c r="P81" i="11" s="1"/>
  <c r="Q81" i="11" s="1"/>
  <c r="F75" i="12"/>
  <c r="P75" i="12" s="1"/>
  <c r="Q75" i="12" s="1"/>
  <c r="C75" i="12"/>
  <c r="R75" i="12" s="1"/>
  <c r="T75" i="12" s="1"/>
  <c r="C81" i="11"/>
  <c r="R81" i="11" s="1"/>
  <c r="C82" i="11"/>
  <c r="R82" i="11" s="1"/>
  <c r="L146" i="10"/>
  <c r="J146" i="10"/>
  <c r="I146" i="10"/>
  <c r="L145" i="10"/>
  <c r="J145" i="10"/>
  <c r="I145" i="10"/>
  <c r="E73" i="12"/>
  <c r="O73" i="12" s="1"/>
  <c r="D73" i="12"/>
  <c r="N73" i="12" s="1"/>
  <c r="C73" i="12"/>
  <c r="R73" i="12" s="1"/>
  <c r="T73" i="12" s="1"/>
  <c r="C74" i="12"/>
  <c r="R74" i="12" s="1"/>
  <c r="T74" i="12" s="1"/>
  <c r="U66" i="10"/>
  <c r="AS66" i="10" s="1"/>
  <c r="C79" i="11"/>
  <c r="R79" i="11" s="1"/>
  <c r="E79" i="11"/>
  <c r="D79" i="11"/>
  <c r="AP1392" i="13" l="1"/>
  <c r="AR1391" i="13"/>
  <c r="S1393" i="13"/>
  <c r="U1392" i="13"/>
  <c r="R8" i="15"/>
  <c r="M9" i="15"/>
  <c r="J9" i="15"/>
  <c r="P8" i="15"/>
  <c r="L69" i="5"/>
  <c r="AP69" i="5" s="1"/>
  <c r="AQ69" i="5" s="1"/>
  <c r="AR65" i="5"/>
  <c r="AG71" i="5"/>
  <c r="N66" i="5"/>
  <c r="K84" i="10"/>
  <c r="AT84" i="10" s="1"/>
  <c r="K68" i="10"/>
  <c r="AT68" i="10" s="1"/>
  <c r="S1323" i="13"/>
  <c r="U1322" i="13"/>
  <c r="AP1348" i="13"/>
  <c r="AR1347" i="13"/>
  <c r="AP1335" i="13"/>
  <c r="AR1334" i="13"/>
  <c r="AP1323" i="13"/>
  <c r="AR1322" i="13"/>
  <c r="AR7" i="13"/>
  <c r="AP8" i="13"/>
  <c r="K85" i="10"/>
  <c r="AT85" i="10" s="1"/>
  <c r="M82" i="10"/>
  <c r="M80" i="10"/>
  <c r="S9" i="13"/>
  <c r="U8" i="13"/>
  <c r="M76" i="10"/>
  <c r="AF76" i="10"/>
  <c r="M69" i="10"/>
  <c r="AF60" i="10"/>
  <c r="Q73" i="12"/>
  <c r="Y79" i="11"/>
  <c r="O79" i="11"/>
  <c r="Z79" i="11"/>
  <c r="N79" i="11"/>
  <c r="Q79" i="11" s="1"/>
  <c r="T82" i="11"/>
  <c r="T83" i="11"/>
  <c r="T81" i="11"/>
  <c r="T84" i="11"/>
  <c r="T79" i="11"/>
  <c r="M78" i="10"/>
  <c r="M85" i="10"/>
  <c r="N83" i="10"/>
  <c r="O83" i="10" s="1"/>
  <c r="AF85" i="10"/>
  <c r="M81" i="10"/>
  <c r="K79" i="10"/>
  <c r="AT79" i="10" s="1"/>
  <c r="K62" i="10"/>
  <c r="AT62" i="10" s="1"/>
  <c r="M70" i="10"/>
  <c r="M77" i="10"/>
  <c r="M65" i="10"/>
  <c r="AF64" i="10"/>
  <c r="K83" i="10"/>
  <c r="AT83" i="10" s="1"/>
  <c r="K81" i="10"/>
  <c r="AT81" i="10" s="1"/>
  <c r="N84" i="10"/>
  <c r="O84" i="10" s="1"/>
  <c r="K77" i="10"/>
  <c r="AT77" i="10" s="1"/>
  <c r="N77" i="10"/>
  <c r="O77" i="10" s="1"/>
  <c r="M79" i="10"/>
  <c r="AF84" i="10"/>
  <c r="N74" i="10"/>
  <c r="O74" i="10" s="1"/>
  <c r="M71" i="10"/>
  <c r="N66" i="10"/>
  <c r="O66" i="10" s="1"/>
  <c r="N62" i="10"/>
  <c r="O62" i="10" s="1"/>
  <c r="M83" i="10"/>
  <c r="AF77" i="10"/>
  <c r="K78" i="10"/>
  <c r="AT78" i="10" s="1"/>
  <c r="K73" i="10"/>
  <c r="AT73" i="10" s="1"/>
  <c r="N76" i="10"/>
  <c r="O76" i="10" s="1"/>
  <c r="N70" i="10"/>
  <c r="O70" i="10" s="1"/>
  <c r="K82" i="10"/>
  <c r="AT82" i="10" s="1"/>
  <c r="K80" i="10"/>
  <c r="AT80" i="10" s="1"/>
  <c r="M72" i="10"/>
  <c r="M67" i="10"/>
  <c r="K72" i="10"/>
  <c r="AT72" i="10" s="1"/>
  <c r="N67" i="10"/>
  <c r="O67" i="10" s="1"/>
  <c r="AF82" i="10"/>
  <c r="AF83" i="10"/>
  <c r="AF61" i="10"/>
  <c r="AF80" i="10"/>
  <c r="N147" i="10"/>
  <c r="O147" i="10" s="1"/>
  <c r="N71" i="10"/>
  <c r="O71" i="10" s="1"/>
  <c r="M147" i="10"/>
  <c r="N79" i="10"/>
  <c r="O79" i="10" s="1"/>
  <c r="M84" i="10"/>
  <c r="M73" i="10"/>
  <c r="K71" i="10"/>
  <c r="AT71" i="10" s="1"/>
  <c r="M62" i="10"/>
  <c r="AF79" i="10"/>
  <c r="N81" i="10"/>
  <c r="O81" i="10" s="1"/>
  <c r="N71" i="5"/>
  <c r="N63" i="5"/>
  <c r="AG66" i="5"/>
  <c r="L74" i="5"/>
  <c r="AP74" i="5" s="1"/>
  <c r="AQ74" i="5" s="1"/>
  <c r="AG57" i="5"/>
  <c r="AG58" i="5"/>
  <c r="AG79" i="5"/>
  <c r="AG73" i="5"/>
  <c r="AG78" i="5"/>
  <c r="N74" i="5"/>
  <c r="AG82" i="5"/>
  <c r="AG80" i="5"/>
  <c r="L62" i="5"/>
  <c r="AP62" i="5" s="1"/>
  <c r="AQ62" i="5" s="1"/>
  <c r="L64" i="5"/>
  <c r="AP64" i="5" s="1"/>
  <c r="AQ64" i="5" s="1"/>
  <c r="AG65" i="5"/>
  <c r="AG68" i="5"/>
  <c r="AG74" i="5"/>
  <c r="AG77" i="5"/>
  <c r="AG70" i="5"/>
  <c r="N62" i="5"/>
  <c r="AG64" i="5"/>
  <c r="AG62" i="5"/>
  <c r="AG81" i="5"/>
  <c r="AG69" i="5"/>
  <c r="N69" i="5"/>
  <c r="N64" i="5"/>
  <c r="AG67" i="5"/>
  <c r="AG61" i="5"/>
  <c r="AG76" i="5"/>
  <c r="AG63" i="5"/>
  <c r="O61" i="5"/>
  <c r="P61" i="5" s="1"/>
  <c r="AG75" i="5"/>
  <c r="AF72" i="10"/>
  <c r="AF78" i="10"/>
  <c r="AF81" i="10"/>
  <c r="M148" i="10"/>
  <c r="N85" i="10"/>
  <c r="O85" i="10" s="1"/>
  <c r="P85" i="10" s="1"/>
  <c r="N78" i="10"/>
  <c r="O78" i="10" s="1"/>
  <c r="N80" i="10"/>
  <c r="O80" i="10" s="1"/>
  <c r="N82" i="10"/>
  <c r="O82" i="10" s="1"/>
  <c r="K148" i="10"/>
  <c r="N148" i="10"/>
  <c r="O148" i="10" s="1"/>
  <c r="K147" i="10"/>
  <c r="O74" i="5"/>
  <c r="P74" i="5" s="1"/>
  <c r="Q74" i="5" s="1"/>
  <c r="AF68" i="10"/>
  <c r="AF74" i="10"/>
  <c r="AF70" i="10"/>
  <c r="AF66" i="10"/>
  <c r="AF71" i="10"/>
  <c r="AF62" i="10"/>
  <c r="AF73" i="10"/>
  <c r="AF67" i="10"/>
  <c r="AF65" i="10"/>
  <c r="AF69" i="10"/>
  <c r="L65" i="5"/>
  <c r="AP65" i="5" s="1"/>
  <c r="AQ65" i="5" s="1"/>
  <c r="L73" i="5"/>
  <c r="AP73" i="5" s="1"/>
  <c r="AQ73" i="5" s="1"/>
  <c r="L59" i="5"/>
  <c r="AP59" i="5" s="1"/>
  <c r="AQ59" i="5" s="1"/>
  <c r="O71" i="5"/>
  <c r="P71" i="5" s="1"/>
  <c r="N68" i="5"/>
  <c r="L66" i="5"/>
  <c r="AP66" i="5" s="1"/>
  <c r="AQ66" i="5" s="1"/>
  <c r="L68" i="5"/>
  <c r="AP68" i="5" s="1"/>
  <c r="AQ68" i="5" s="1"/>
  <c r="N61" i="5"/>
  <c r="N73" i="5"/>
  <c r="O65" i="5"/>
  <c r="P65" i="5" s="1"/>
  <c r="L70" i="5"/>
  <c r="AP70" i="5" s="1"/>
  <c r="AQ70" i="5" s="1"/>
  <c r="O67" i="5"/>
  <c r="P67" i="5" s="1"/>
  <c r="Q67" i="5" s="1"/>
  <c r="O63" i="5"/>
  <c r="P63" i="5" s="1"/>
  <c r="N59" i="5"/>
  <c r="N65" i="5"/>
  <c r="O73" i="5"/>
  <c r="P73" i="5" s="1"/>
  <c r="Q73" i="5" s="1"/>
  <c r="O69" i="5"/>
  <c r="P69" i="5" s="1"/>
  <c r="Q69" i="5" s="1"/>
  <c r="N67" i="5"/>
  <c r="N70" i="5"/>
  <c r="L61" i="5"/>
  <c r="AP61" i="5" s="1"/>
  <c r="AQ61" i="5" s="1"/>
  <c r="O64" i="5"/>
  <c r="P64" i="5" s="1"/>
  <c r="N73" i="10"/>
  <c r="O73" i="10" s="1"/>
  <c r="K76" i="10"/>
  <c r="AT76" i="10" s="1"/>
  <c r="K69" i="10"/>
  <c r="AT69" i="10" s="1"/>
  <c r="K67" i="10"/>
  <c r="AT67" i="10" s="1"/>
  <c r="K65" i="10"/>
  <c r="AT65" i="10" s="1"/>
  <c r="M64" i="10"/>
  <c r="N68" i="10"/>
  <c r="O68" i="10" s="1"/>
  <c r="K64" i="10"/>
  <c r="AT64" i="10" s="1"/>
  <c r="M74" i="10"/>
  <c r="M66" i="10"/>
  <c r="K70" i="10"/>
  <c r="AT70" i="10" s="1"/>
  <c r="K74" i="10"/>
  <c r="AT74" i="10" s="1"/>
  <c r="N69" i="10"/>
  <c r="O69" i="10" s="1"/>
  <c r="M68" i="10"/>
  <c r="K66" i="10"/>
  <c r="AT66" i="10" s="1"/>
  <c r="N72" i="10"/>
  <c r="O72" i="10" s="1"/>
  <c r="N64" i="10"/>
  <c r="O64" i="10" s="1"/>
  <c r="N65" i="10"/>
  <c r="O65" i="10" s="1"/>
  <c r="L71" i="5"/>
  <c r="AP71" i="5" s="1"/>
  <c r="AQ71" i="5" s="1"/>
  <c r="O66" i="5"/>
  <c r="P66" i="5" s="1"/>
  <c r="L63" i="5"/>
  <c r="AP63" i="5" s="1"/>
  <c r="AQ63" i="5" s="1"/>
  <c r="O68" i="5"/>
  <c r="P68" i="5" s="1"/>
  <c r="O59" i="5"/>
  <c r="P59" i="5" s="1"/>
  <c r="Q59" i="5" s="1"/>
  <c r="O70" i="5"/>
  <c r="P70" i="5" s="1"/>
  <c r="Q70" i="5" s="1"/>
  <c r="O62" i="5"/>
  <c r="P62" i="5" s="1"/>
  <c r="N146" i="10"/>
  <c r="O146" i="10" s="1"/>
  <c r="N145" i="10"/>
  <c r="O145" i="10" s="1"/>
  <c r="K146" i="10"/>
  <c r="K145" i="10"/>
  <c r="M146" i="10"/>
  <c r="M145" i="10"/>
  <c r="D8" i="5"/>
  <c r="D9" i="5"/>
  <c r="D10" i="5"/>
  <c r="D11" i="5"/>
  <c r="D12" i="5"/>
  <c r="D13" i="5"/>
  <c r="D14" i="5"/>
  <c r="D15" i="5"/>
  <c r="D16" i="5"/>
  <c r="D17" i="5"/>
  <c r="D18" i="5"/>
  <c r="D19" i="5"/>
  <c r="D20" i="5"/>
  <c r="D21" i="5"/>
  <c r="D22" i="5"/>
  <c r="D23" i="5"/>
  <c r="D24" i="5"/>
  <c r="D25" i="5"/>
  <c r="D26" i="5"/>
  <c r="D27" i="5"/>
  <c r="D28" i="5"/>
  <c r="D29" i="5"/>
  <c r="D30" i="5"/>
  <c r="D31" i="5"/>
  <c r="D32" i="5"/>
  <c r="D33" i="5"/>
  <c r="D34" i="5"/>
  <c r="D35" i="5"/>
  <c r="D36" i="5"/>
  <c r="D37" i="5"/>
  <c r="D38" i="5"/>
  <c r="D39" i="5"/>
  <c r="D40" i="5"/>
  <c r="D41" i="5"/>
  <c r="D42" i="5"/>
  <c r="D43" i="5"/>
  <c r="D44" i="5"/>
  <c r="D45" i="5"/>
  <c r="D46" i="5"/>
  <c r="D47" i="5"/>
  <c r="D48" i="5"/>
  <c r="D49" i="5"/>
  <c r="D50" i="5"/>
  <c r="D51" i="5"/>
  <c r="D52" i="5"/>
  <c r="D53" i="5"/>
  <c r="D54" i="5"/>
  <c r="D55" i="5"/>
  <c r="D56" i="5"/>
  <c r="D57" i="5"/>
  <c r="D58" i="5"/>
  <c r="D59" i="5"/>
  <c r="D5" i="5"/>
  <c r="D6" i="5"/>
  <c r="D7" i="5"/>
  <c r="D4" i="5"/>
  <c r="Z6" i="4"/>
  <c r="I4" i="13"/>
  <c r="I5" i="13"/>
  <c r="I6" i="13"/>
  <c r="I7" i="13"/>
  <c r="I8" i="13"/>
  <c r="I9" i="13"/>
  <c r="I10" i="13"/>
  <c r="I11" i="13"/>
  <c r="I12" i="13"/>
  <c r="I13" i="13"/>
  <c r="I14" i="13"/>
  <c r="I15" i="13"/>
  <c r="I16" i="13"/>
  <c r="I17" i="13"/>
  <c r="I18" i="13"/>
  <c r="I19" i="13"/>
  <c r="I20" i="13"/>
  <c r="I21" i="13"/>
  <c r="I22" i="13"/>
  <c r="I23" i="13"/>
  <c r="I24" i="13"/>
  <c r="I25" i="13"/>
  <c r="I26" i="13"/>
  <c r="I27" i="13"/>
  <c r="I28" i="13"/>
  <c r="I29" i="13"/>
  <c r="I30" i="13"/>
  <c r="I31" i="13"/>
  <c r="I32" i="13"/>
  <c r="I33" i="13"/>
  <c r="I34" i="13"/>
  <c r="I35" i="13"/>
  <c r="I36" i="13"/>
  <c r="I37" i="13"/>
  <c r="I38" i="13"/>
  <c r="I39" i="13"/>
  <c r="I40" i="13"/>
  <c r="I41" i="13"/>
  <c r="I42" i="13"/>
  <c r="I43" i="13"/>
  <c r="I44" i="13"/>
  <c r="I45" i="13"/>
  <c r="I46" i="13"/>
  <c r="I47" i="13"/>
  <c r="I48" i="13"/>
  <c r="I49" i="13"/>
  <c r="I50" i="13"/>
  <c r="I51" i="13"/>
  <c r="I52" i="13"/>
  <c r="I53" i="13"/>
  <c r="I54" i="13"/>
  <c r="I55" i="13"/>
  <c r="H50" i="13"/>
  <c r="H51" i="13"/>
  <c r="H52" i="13"/>
  <c r="H53" i="13"/>
  <c r="H54" i="13"/>
  <c r="H55" i="13"/>
  <c r="H4" i="13"/>
  <c r="H5" i="13"/>
  <c r="H6" i="13"/>
  <c r="H7" i="13"/>
  <c r="H8" i="13"/>
  <c r="H9" i="13"/>
  <c r="H10" i="13"/>
  <c r="H11" i="13"/>
  <c r="H12" i="13"/>
  <c r="H13" i="13"/>
  <c r="H14" i="13"/>
  <c r="H15" i="13"/>
  <c r="H16" i="13"/>
  <c r="H17" i="13"/>
  <c r="H18" i="13"/>
  <c r="H19" i="13"/>
  <c r="H20" i="13"/>
  <c r="H21" i="13"/>
  <c r="H22" i="13"/>
  <c r="H23" i="13"/>
  <c r="H24" i="13"/>
  <c r="H25" i="13"/>
  <c r="H26" i="13"/>
  <c r="H27" i="13"/>
  <c r="H28" i="13"/>
  <c r="H29" i="13"/>
  <c r="H30" i="13"/>
  <c r="H31" i="13"/>
  <c r="H32" i="13"/>
  <c r="H33" i="13"/>
  <c r="H34" i="13"/>
  <c r="H35" i="13"/>
  <c r="H36" i="13"/>
  <c r="H37" i="13"/>
  <c r="H38" i="13"/>
  <c r="H39" i="13"/>
  <c r="H40" i="13"/>
  <c r="H41" i="13"/>
  <c r="H42" i="13"/>
  <c r="H43" i="13"/>
  <c r="H44" i="13"/>
  <c r="H45" i="13"/>
  <c r="H46" i="13"/>
  <c r="H47" i="13"/>
  <c r="H48" i="13"/>
  <c r="H49" i="13"/>
  <c r="C50" i="13"/>
  <c r="C52" i="13"/>
  <c r="B31" i="13"/>
  <c r="C31" i="13" s="1"/>
  <c r="B33" i="13"/>
  <c r="C33" i="13" s="1"/>
  <c r="B35" i="13"/>
  <c r="C35" i="13" s="1"/>
  <c r="B37" i="13"/>
  <c r="B39" i="13"/>
  <c r="C39" i="13" s="1"/>
  <c r="B41" i="13"/>
  <c r="C41" i="13" s="1"/>
  <c r="B43" i="13"/>
  <c r="C43" i="13" s="1"/>
  <c r="B45" i="13"/>
  <c r="C45" i="13" s="1"/>
  <c r="B47" i="13"/>
  <c r="C47" i="13" s="1"/>
  <c r="B49" i="13"/>
  <c r="C49" i="13" s="1"/>
  <c r="B51" i="13"/>
  <c r="C51" i="13" s="1"/>
  <c r="B53" i="13"/>
  <c r="C53" i="13" s="1"/>
  <c r="B55" i="13"/>
  <c r="C55" i="13" s="1"/>
  <c r="B5" i="13"/>
  <c r="C5" i="13" s="1"/>
  <c r="B7" i="13"/>
  <c r="C7" i="13" s="1"/>
  <c r="B9" i="13"/>
  <c r="C9" i="13" s="1"/>
  <c r="B11" i="13"/>
  <c r="C11" i="13" s="1"/>
  <c r="B13" i="13"/>
  <c r="C13" i="13" s="1"/>
  <c r="B15" i="13"/>
  <c r="C15" i="13" s="1"/>
  <c r="B17" i="13"/>
  <c r="C17" i="13" s="1"/>
  <c r="B19" i="13"/>
  <c r="C19" i="13" s="1"/>
  <c r="B21" i="13"/>
  <c r="C21" i="13" s="1"/>
  <c r="B23" i="13"/>
  <c r="C23" i="13" s="1"/>
  <c r="B25" i="13"/>
  <c r="C25" i="13" s="1"/>
  <c r="B27" i="13"/>
  <c r="C27" i="13" s="1"/>
  <c r="B29" i="13"/>
  <c r="C29" i="13" s="1"/>
  <c r="C4" i="13"/>
  <c r="C6" i="13"/>
  <c r="C8" i="13"/>
  <c r="C10" i="13"/>
  <c r="C12" i="13"/>
  <c r="C14" i="13"/>
  <c r="C16" i="13"/>
  <c r="C18" i="13"/>
  <c r="C20" i="13"/>
  <c r="C22" i="13"/>
  <c r="C24" i="13"/>
  <c r="C26" i="13"/>
  <c r="C28" i="13"/>
  <c r="C30" i="13"/>
  <c r="C32" i="13"/>
  <c r="C34" i="13"/>
  <c r="C36" i="13"/>
  <c r="C37" i="13"/>
  <c r="C38" i="13"/>
  <c r="C40" i="13"/>
  <c r="C42" i="13"/>
  <c r="C44" i="13"/>
  <c r="C46" i="13"/>
  <c r="C48" i="13"/>
  <c r="C2" i="13"/>
  <c r="B3" i="13"/>
  <c r="C3" i="13" s="1"/>
  <c r="AA59" i="5"/>
  <c r="AE59" i="5" s="1"/>
  <c r="AG59" i="5" s="1"/>
  <c r="S74" i="11"/>
  <c r="Y74" i="11"/>
  <c r="Z74" i="11"/>
  <c r="S75" i="11"/>
  <c r="S76" i="11"/>
  <c r="S77" i="11"/>
  <c r="Y77" i="11"/>
  <c r="Z77" i="11"/>
  <c r="S78" i="11"/>
  <c r="C75" i="11"/>
  <c r="R75" i="11" s="1"/>
  <c r="C74" i="11"/>
  <c r="R74" i="11" s="1"/>
  <c r="F71" i="12"/>
  <c r="P71" i="12" s="1"/>
  <c r="Q71" i="12" s="1"/>
  <c r="F77" i="11"/>
  <c r="P77" i="11" s="1"/>
  <c r="Q77" i="11" s="1"/>
  <c r="F76" i="11"/>
  <c r="P76" i="11" s="1"/>
  <c r="F70" i="12"/>
  <c r="P70" i="12" s="1"/>
  <c r="BD36" i="2"/>
  <c r="BB36" i="2"/>
  <c r="BC33" i="2"/>
  <c r="BB33" i="2"/>
  <c r="BA33" i="2"/>
  <c r="AZ33" i="2"/>
  <c r="BA36" i="2"/>
  <c r="AZ36" i="2"/>
  <c r="BD23" i="2"/>
  <c r="BB23" i="2"/>
  <c r="BA23" i="2"/>
  <c r="AZ23" i="2"/>
  <c r="E72" i="12"/>
  <c r="O72" i="12" s="1"/>
  <c r="D72" i="12"/>
  <c r="N72" i="12" s="1"/>
  <c r="Q72" i="12" s="1"/>
  <c r="C72" i="12"/>
  <c r="R72" i="12" s="1"/>
  <c r="T72" i="12" s="1"/>
  <c r="C71" i="12"/>
  <c r="R71" i="12" s="1"/>
  <c r="T71" i="12" s="1"/>
  <c r="E70" i="12"/>
  <c r="O70" i="12" s="1"/>
  <c r="D70" i="12"/>
  <c r="N70" i="12" s="1"/>
  <c r="C70" i="12"/>
  <c r="R70" i="12" s="1"/>
  <c r="T70" i="12" s="1"/>
  <c r="E69" i="12"/>
  <c r="O69" i="12" s="1"/>
  <c r="D69" i="12"/>
  <c r="N69" i="12" s="1"/>
  <c r="Q69" i="12" s="1"/>
  <c r="C69" i="12"/>
  <c r="R69" i="12" s="1"/>
  <c r="T69" i="12" s="1"/>
  <c r="C76" i="11"/>
  <c r="R76" i="11" s="1"/>
  <c r="C77" i="11"/>
  <c r="R77" i="11" s="1"/>
  <c r="C78" i="11"/>
  <c r="R78" i="11" s="1"/>
  <c r="E78" i="11"/>
  <c r="D78" i="11"/>
  <c r="E76" i="11"/>
  <c r="D76" i="11"/>
  <c r="I3" i="13"/>
  <c r="H3" i="13"/>
  <c r="I2" i="13"/>
  <c r="H2" i="13"/>
  <c r="M103" i="8"/>
  <c r="L103" i="8"/>
  <c r="K103" i="8"/>
  <c r="J103" i="8"/>
  <c r="Q64" i="5" l="1"/>
  <c r="Q62" i="5"/>
  <c r="Q68" i="5"/>
  <c r="J10" i="15"/>
  <c r="P9" i="15"/>
  <c r="U1393" i="13"/>
  <c r="S1394" i="13"/>
  <c r="M10" i="15"/>
  <c r="R9" i="15"/>
  <c r="AR1392" i="13"/>
  <c r="AP1393" i="13"/>
  <c r="P68" i="10"/>
  <c r="Q71" i="5"/>
  <c r="Q65" i="5"/>
  <c r="P84" i="10"/>
  <c r="AU84" i="10" s="1"/>
  <c r="P73" i="10"/>
  <c r="AU73" i="10" s="1"/>
  <c r="P82" i="10"/>
  <c r="AU82" i="10" s="1"/>
  <c r="P81" i="10"/>
  <c r="AU81" i="10" s="1"/>
  <c r="P71" i="10"/>
  <c r="AU71" i="10" s="1"/>
  <c r="Q63" i="5"/>
  <c r="Q66" i="5"/>
  <c r="Q61" i="5"/>
  <c r="P64" i="10"/>
  <c r="AU64" i="10" s="1"/>
  <c r="P80" i="10"/>
  <c r="AU80" i="10" s="1"/>
  <c r="P79" i="10"/>
  <c r="P69" i="10"/>
  <c r="AU69" i="10" s="1"/>
  <c r="P77" i="10"/>
  <c r="AU77" i="10" s="1"/>
  <c r="P78" i="10"/>
  <c r="AU78" i="10" s="1"/>
  <c r="P62" i="10"/>
  <c r="AU62" i="10" s="1"/>
  <c r="P72" i="10"/>
  <c r="AU72" i="10" s="1"/>
  <c r="P147" i="10"/>
  <c r="P145" i="10"/>
  <c r="AU79" i="10"/>
  <c r="P65" i="10"/>
  <c r="AU65" i="10" s="1"/>
  <c r="P66" i="10"/>
  <c r="AU66" i="10" s="1"/>
  <c r="AU68" i="10"/>
  <c r="P70" i="10"/>
  <c r="AU70" i="10" s="1"/>
  <c r="P76" i="10"/>
  <c r="AU76" i="10" s="1"/>
  <c r="P74" i="10"/>
  <c r="AU74" i="10" s="1"/>
  <c r="P83" i="10"/>
  <c r="AU83" i="10" s="1"/>
  <c r="P67" i="10"/>
  <c r="AU67" i="10" s="1"/>
  <c r="U1323" i="13"/>
  <c r="S1324" i="13"/>
  <c r="AR1348" i="13"/>
  <c r="AP1349" i="13"/>
  <c r="AR1335" i="13"/>
  <c r="AP1336" i="13"/>
  <c r="AR1323" i="13"/>
  <c r="AP1324" i="13"/>
  <c r="P148" i="10"/>
  <c r="P146" i="10"/>
  <c r="AU85" i="10"/>
  <c r="AR8" i="13"/>
  <c r="AP9" i="13"/>
  <c r="S10" i="13"/>
  <c r="U9" i="13"/>
  <c r="Q70" i="12"/>
  <c r="Y76" i="11"/>
  <c r="O76" i="11"/>
  <c r="Y78" i="11"/>
  <c r="O78" i="11"/>
  <c r="Z76" i="11"/>
  <c r="N76" i="11"/>
  <c r="Q76" i="11" s="1"/>
  <c r="Z78" i="11"/>
  <c r="N78" i="11"/>
  <c r="Q78" i="11" s="1"/>
  <c r="T76" i="11"/>
  <c r="T74" i="11"/>
  <c r="T75" i="11"/>
  <c r="T77" i="11"/>
  <c r="T78" i="11"/>
  <c r="J16" i="2"/>
  <c r="J14" i="2"/>
  <c r="J12" i="2"/>
  <c r="J13" i="2"/>
  <c r="S26" i="11"/>
  <c r="E26" i="11"/>
  <c r="D26" i="11"/>
  <c r="C26" i="11"/>
  <c r="R26" i="11" s="1"/>
  <c r="S22" i="12"/>
  <c r="E22" i="12"/>
  <c r="O22" i="12" s="1"/>
  <c r="D22" i="12"/>
  <c r="N22" i="12" s="1"/>
  <c r="C22" i="12"/>
  <c r="R22" i="12" s="1"/>
  <c r="T22" i="12" s="1"/>
  <c r="Z4" i="11"/>
  <c r="Z6" i="11"/>
  <c r="Z7" i="11"/>
  <c r="Z8" i="11"/>
  <c r="Z9" i="11"/>
  <c r="Z10" i="11"/>
  <c r="Z11" i="11"/>
  <c r="Z12" i="11"/>
  <c r="Z13" i="11"/>
  <c r="Z14" i="11"/>
  <c r="Z15" i="11"/>
  <c r="Z16" i="11"/>
  <c r="Z18" i="11"/>
  <c r="Z19" i="11"/>
  <c r="Z21" i="11"/>
  <c r="Z22" i="11"/>
  <c r="Z23" i="11"/>
  <c r="Z24" i="11"/>
  <c r="Z25" i="11"/>
  <c r="Z27" i="11"/>
  <c r="Z28" i="11"/>
  <c r="Z30" i="11"/>
  <c r="Z31" i="11"/>
  <c r="Z32" i="11"/>
  <c r="Z34" i="11"/>
  <c r="Z35" i="11"/>
  <c r="Z36" i="11"/>
  <c r="Z37" i="11"/>
  <c r="Z39" i="11"/>
  <c r="Z40" i="11"/>
  <c r="Z41" i="11"/>
  <c r="Z42" i="11"/>
  <c r="Z44" i="11"/>
  <c r="Z45" i="11"/>
  <c r="Z47" i="11"/>
  <c r="Z48" i="11"/>
  <c r="Z49" i="11"/>
  <c r="Z50" i="11"/>
  <c r="Z51" i="11"/>
  <c r="Z52" i="11"/>
  <c r="Z53" i="11"/>
  <c r="Z54" i="11"/>
  <c r="Z56" i="11"/>
  <c r="Z58" i="11"/>
  <c r="Z59" i="11"/>
  <c r="Z60" i="11"/>
  <c r="Z61" i="11"/>
  <c r="Z63" i="11"/>
  <c r="Z64" i="11"/>
  <c r="Z65" i="11"/>
  <c r="Z66" i="11"/>
  <c r="Z67" i="11"/>
  <c r="Z69" i="11"/>
  <c r="Z70" i="11"/>
  <c r="Z72" i="11"/>
  <c r="Z73" i="11"/>
  <c r="Y4" i="11"/>
  <c r="Y6" i="11"/>
  <c r="Y7" i="11"/>
  <c r="Y8" i="11"/>
  <c r="Y9" i="11"/>
  <c r="Y10" i="11"/>
  <c r="Y11" i="11"/>
  <c r="Y12" i="11"/>
  <c r="Y13" i="11"/>
  <c r="Y14" i="11"/>
  <c r="Y15" i="11"/>
  <c r="Y16" i="11"/>
  <c r="Y18" i="11"/>
  <c r="Y19" i="11"/>
  <c r="Y21" i="11"/>
  <c r="Y22" i="11"/>
  <c r="Y23" i="11"/>
  <c r="Y24" i="11"/>
  <c r="Y25" i="11"/>
  <c r="Y27" i="11"/>
  <c r="Y28" i="11"/>
  <c r="Y30" i="11"/>
  <c r="Y31" i="11"/>
  <c r="Y32" i="11"/>
  <c r="Y34" i="11"/>
  <c r="Y35" i="11"/>
  <c r="Y36" i="11"/>
  <c r="Y37" i="11"/>
  <c r="Y39" i="11"/>
  <c r="Y40" i="11"/>
  <c r="Y41" i="11"/>
  <c r="Y42" i="11"/>
  <c r="Y44" i="11"/>
  <c r="Y45" i="11"/>
  <c r="Y47" i="11"/>
  <c r="Y48" i="11"/>
  <c r="Y49" i="11"/>
  <c r="Y50" i="11"/>
  <c r="Y51" i="11"/>
  <c r="Y52" i="11"/>
  <c r="Y53" i="11"/>
  <c r="Y54" i="11"/>
  <c r="Y56" i="11"/>
  <c r="Y57" i="11"/>
  <c r="Y58" i="11"/>
  <c r="Y59" i="11"/>
  <c r="Y60" i="11"/>
  <c r="Y61" i="11"/>
  <c r="Y63" i="11"/>
  <c r="Y64" i="11"/>
  <c r="Y65" i="11"/>
  <c r="Y66" i="11"/>
  <c r="Y67" i="11"/>
  <c r="Y69" i="11"/>
  <c r="Y70" i="11"/>
  <c r="Y72" i="11"/>
  <c r="Y73" i="11"/>
  <c r="S69" i="11"/>
  <c r="S70" i="11"/>
  <c r="S71" i="11"/>
  <c r="S72" i="11"/>
  <c r="S73" i="11"/>
  <c r="S68" i="11"/>
  <c r="S67" i="11"/>
  <c r="S66" i="11"/>
  <c r="S65" i="11"/>
  <c r="S64" i="11"/>
  <c r="S63" i="11"/>
  <c r="S62" i="11"/>
  <c r="S61" i="11"/>
  <c r="S60" i="11"/>
  <c r="S59" i="11"/>
  <c r="S58" i="11"/>
  <c r="S57" i="11"/>
  <c r="S56" i="11"/>
  <c r="S55" i="11"/>
  <c r="S54" i="11"/>
  <c r="S53" i="11"/>
  <c r="S52" i="11"/>
  <c r="S51" i="11"/>
  <c r="S50" i="11"/>
  <c r="S49" i="11"/>
  <c r="S48" i="11"/>
  <c r="S47" i="11"/>
  <c r="S46" i="11"/>
  <c r="S45" i="11"/>
  <c r="S44" i="11"/>
  <c r="S43" i="11"/>
  <c r="S42" i="11"/>
  <c r="S41" i="11"/>
  <c r="S40" i="11"/>
  <c r="S39" i="11"/>
  <c r="S38" i="11"/>
  <c r="S37" i="11"/>
  <c r="S36" i="11"/>
  <c r="S35" i="11"/>
  <c r="S34" i="11"/>
  <c r="S33" i="11"/>
  <c r="S32" i="11"/>
  <c r="S31" i="11"/>
  <c r="S30" i="11"/>
  <c r="S29" i="11"/>
  <c r="S28" i="11"/>
  <c r="S27" i="11"/>
  <c r="S25" i="11"/>
  <c r="S24" i="11"/>
  <c r="S23" i="11"/>
  <c r="S22" i="11"/>
  <c r="S21" i="11"/>
  <c r="S20" i="11"/>
  <c r="S19" i="11"/>
  <c r="S18" i="11"/>
  <c r="S17" i="11"/>
  <c r="S16" i="11"/>
  <c r="S15" i="11"/>
  <c r="S14" i="11"/>
  <c r="S13" i="11"/>
  <c r="S12" i="11"/>
  <c r="S11" i="11"/>
  <c r="S10" i="11"/>
  <c r="S9" i="11"/>
  <c r="S8" i="11"/>
  <c r="S7" i="11"/>
  <c r="S6" i="11"/>
  <c r="S5" i="11"/>
  <c r="S4" i="11"/>
  <c r="S3" i="11"/>
  <c r="R2" i="12"/>
  <c r="S15" i="12"/>
  <c r="S16" i="12"/>
  <c r="S17" i="12"/>
  <c r="S18" i="12"/>
  <c r="S19" i="12"/>
  <c r="S20" i="12"/>
  <c r="S21" i="12"/>
  <c r="S23" i="12"/>
  <c r="S24" i="12"/>
  <c r="S25" i="12"/>
  <c r="S26" i="12"/>
  <c r="S27" i="12"/>
  <c r="S28" i="12"/>
  <c r="S29" i="12"/>
  <c r="S30" i="12"/>
  <c r="S31" i="12"/>
  <c r="S32" i="12"/>
  <c r="S33" i="12"/>
  <c r="S34" i="12"/>
  <c r="S35" i="12"/>
  <c r="S36" i="12"/>
  <c r="S37" i="12"/>
  <c r="S38" i="12"/>
  <c r="S39" i="12"/>
  <c r="S40" i="12"/>
  <c r="S41" i="12"/>
  <c r="S42" i="12"/>
  <c r="S43" i="12"/>
  <c r="S44" i="12"/>
  <c r="S45" i="12"/>
  <c r="S46" i="12"/>
  <c r="S47" i="12"/>
  <c r="S48" i="12"/>
  <c r="S49" i="12"/>
  <c r="S50" i="12"/>
  <c r="S51" i="12"/>
  <c r="S52" i="12"/>
  <c r="S53" i="12"/>
  <c r="S54" i="12"/>
  <c r="S55" i="12"/>
  <c r="S56" i="12"/>
  <c r="S57" i="12"/>
  <c r="S58" i="12"/>
  <c r="S59" i="12"/>
  <c r="S60" i="12"/>
  <c r="S61" i="12"/>
  <c r="S62" i="12"/>
  <c r="S63" i="12"/>
  <c r="S64" i="12"/>
  <c r="S65" i="12"/>
  <c r="S66" i="12"/>
  <c r="S67" i="12"/>
  <c r="S68" i="12"/>
  <c r="S4" i="12"/>
  <c r="S5" i="12"/>
  <c r="S6" i="12"/>
  <c r="S7" i="12"/>
  <c r="S8" i="12"/>
  <c r="S9" i="12"/>
  <c r="S10" i="12"/>
  <c r="S11" i="12"/>
  <c r="S12" i="12"/>
  <c r="S13" i="12"/>
  <c r="S14" i="12"/>
  <c r="S3" i="12"/>
  <c r="AC43" i="5"/>
  <c r="AD43" i="5"/>
  <c r="AE43" i="5"/>
  <c r="AF43" i="5"/>
  <c r="AC44" i="5"/>
  <c r="AD44" i="5"/>
  <c r="AE44" i="5"/>
  <c r="AF44" i="5"/>
  <c r="AC45" i="5"/>
  <c r="AD45" i="5"/>
  <c r="AE45" i="5"/>
  <c r="AF45" i="5"/>
  <c r="AC46" i="5"/>
  <c r="AD46" i="5"/>
  <c r="AE46" i="5"/>
  <c r="AF46" i="5"/>
  <c r="AC47" i="5"/>
  <c r="AD47" i="5"/>
  <c r="AE47" i="5"/>
  <c r="AF47" i="5"/>
  <c r="AC48" i="5"/>
  <c r="AD48" i="5"/>
  <c r="AE48" i="5"/>
  <c r="AF48" i="5"/>
  <c r="AF42" i="5"/>
  <c r="AE42" i="5"/>
  <c r="AD42" i="5"/>
  <c r="AC42" i="5"/>
  <c r="AF20" i="5"/>
  <c r="AE20" i="5"/>
  <c r="AD20" i="5"/>
  <c r="AC20" i="5"/>
  <c r="AE22" i="10"/>
  <c r="AD22" i="10"/>
  <c r="AC22" i="10"/>
  <c r="AB22" i="10"/>
  <c r="L61" i="10"/>
  <c r="J61" i="10"/>
  <c r="I61" i="10"/>
  <c r="M58" i="5"/>
  <c r="K58" i="5"/>
  <c r="J58" i="5"/>
  <c r="E75" i="11"/>
  <c r="D75" i="11"/>
  <c r="C68" i="12"/>
  <c r="R68" i="12" s="1"/>
  <c r="T68" i="12" s="1"/>
  <c r="AB44" i="10"/>
  <c r="AC44" i="10"/>
  <c r="AD44" i="10"/>
  <c r="AE44" i="10"/>
  <c r="AB45" i="10"/>
  <c r="AC45" i="10"/>
  <c r="AD45" i="10"/>
  <c r="AE45" i="10"/>
  <c r="AB46" i="10"/>
  <c r="AC46" i="10"/>
  <c r="AD46" i="10"/>
  <c r="AE46" i="10"/>
  <c r="AB47" i="10"/>
  <c r="AC47" i="10"/>
  <c r="AD47" i="10"/>
  <c r="AE47" i="10"/>
  <c r="AB48" i="10"/>
  <c r="AC48" i="10"/>
  <c r="AD48" i="10"/>
  <c r="AE48" i="10"/>
  <c r="AB49" i="10"/>
  <c r="AC49" i="10"/>
  <c r="AD49" i="10"/>
  <c r="AE49" i="10"/>
  <c r="AB50" i="10"/>
  <c r="AC50" i="10"/>
  <c r="AD50" i="10"/>
  <c r="AE50" i="10"/>
  <c r="AB51" i="10"/>
  <c r="AC51" i="10"/>
  <c r="AE51" i="10"/>
  <c r="AB52" i="10"/>
  <c r="AC52" i="10"/>
  <c r="AD52" i="10"/>
  <c r="AE52" i="10"/>
  <c r="F39" i="11"/>
  <c r="P39" i="11" s="1"/>
  <c r="Q39" i="11" s="1"/>
  <c r="AN58" i="10"/>
  <c r="AS59" i="10"/>
  <c r="AG58" i="10"/>
  <c r="AV58" i="10" s="1"/>
  <c r="W58" i="10"/>
  <c r="V58" i="10"/>
  <c r="U58" i="10"/>
  <c r="AS58" i="10" s="1"/>
  <c r="S55" i="5"/>
  <c r="AJ55" i="5"/>
  <c r="AH55" i="5"/>
  <c r="AR55" i="5" s="1"/>
  <c r="X55" i="5"/>
  <c r="W55" i="5"/>
  <c r="V55" i="5"/>
  <c r="AF59" i="10"/>
  <c r="L59" i="10"/>
  <c r="J59" i="10"/>
  <c r="I59" i="10"/>
  <c r="AE58" i="10"/>
  <c r="AD58" i="10"/>
  <c r="AC58" i="10"/>
  <c r="AB58" i="10"/>
  <c r="L58" i="10"/>
  <c r="J58" i="10"/>
  <c r="I58" i="10"/>
  <c r="AG56" i="5"/>
  <c r="M56" i="5"/>
  <c r="K56" i="5"/>
  <c r="J56" i="5"/>
  <c r="AF55" i="5"/>
  <c r="AE55" i="5"/>
  <c r="AD55" i="5"/>
  <c r="AC55" i="5"/>
  <c r="K55" i="5"/>
  <c r="O55" i="5" s="1"/>
  <c r="J55" i="5"/>
  <c r="N55" i="5" s="1"/>
  <c r="C73" i="11"/>
  <c r="R73" i="11" s="1"/>
  <c r="F72" i="11"/>
  <c r="P72" i="11" s="1"/>
  <c r="Q72" i="11" s="1"/>
  <c r="C72" i="11"/>
  <c r="R72" i="11" s="1"/>
  <c r="C66" i="12"/>
  <c r="R66" i="12" s="1"/>
  <c r="T66" i="12" s="1"/>
  <c r="C67" i="12"/>
  <c r="R67" i="12" s="1"/>
  <c r="T67" i="12" s="1"/>
  <c r="F66" i="12"/>
  <c r="P66" i="12" s="1"/>
  <c r="Q66" i="12" s="1"/>
  <c r="AN56" i="10"/>
  <c r="AG56" i="10"/>
  <c r="AV56" i="10" s="1"/>
  <c r="W56" i="10"/>
  <c r="V56" i="10"/>
  <c r="U56" i="10"/>
  <c r="AS56" i="10" s="1"/>
  <c r="AS57" i="10"/>
  <c r="AE57" i="10"/>
  <c r="AD57" i="10"/>
  <c r="AC57" i="10"/>
  <c r="AB57" i="10"/>
  <c r="L57" i="10"/>
  <c r="J57" i="10"/>
  <c r="I57" i="10"/>
  <c r="AE56" i="10"/>
  <c r="AD56" i="10"/>
  <c r="AC56" i="10"/>
  <c r="AB56" i="10"/>
  <c r="L56" i="10"/>
  <c r="J56" i="10"/>
  <c r="I56" i="10"/>
  <c r="AS43" i="10"/>
  <c r="AS44" i="10"/>
  <c r="AS45" i="10"/>
  <c r="AS46" i="10"/>
  <c r="AS47" i="10"/>
  <c r="AS48" i="10"/>
  <c r="AS49" i="10"/>
  <c r="AS50" i="10"/>
  <c r="AS52" i="10"/>
  <c r="AS54" i="10"/>
  <c r="AJ32" i="5"/>
  <c r="AJ53" i="5"/>
  <c r="AH53" i="5"/>
  <c r="AR53" i="5" s="1"/>
  <c r="X53" i="5"/>
  <c r="W53" i="5"/>
  <c r="V53" i="5"/>
  <c r="S53" i="5"/>
  <c r="AG54" i="5"/>
  <c r="M54" i="5"/>
  <c r="K54" i="5"/>
  <c r="J54" i="5"/>
  <c r="AF53" i="5"/>
  <c r="AE53" i="5"/>
  <c r="AD53" i="5"/>
  <c r="AC53" i="5"/>
  <c r="M53" i="5"/>
  <c r="K53" i="5"/>
  <c r="J53" i="5"/>
  <c r="C4" i="11"/>
  <c r="R4" i="11" s="1"/>
  <c r="C5" i="11"/>
  <c r="R5" i="11" s="1"/>
  <c r="C6" i="11"/>
  <c r="R6" i="11" s="1"/>
  <c r="C7" i="11"/>
  <c r="R7" i="11" s="1"/>
  <c r="C8" i="11"/>
  <c r="R8" i="11" s="1"/>
  <c r="C9" i="11"/>
  <c r="R9" i="11" s="1"/>
  <c r="C10" i="11"/>
  <c r="R10" i="11" s="1"/>
  <c r="C11" i="11"/>
  <c r="R11" i="11" s="1"/>
  <c r="C12" i="11"/>
  <c r="R12" i="11" s="1"/>
  <c r="C13" i="11"/>
  <c r="R13" i="11" s="1"/>
  <c r="C14" i="11"/>
  <c r="R14" i="11" s="1"/>
  <c r="C15" i="11"/>
  <c r="R15" i="11" s="1"/>
  <c r="C16" i="11"/>
  <c r="R16" i="11" s="1"/>
  <c r="C17" i="11"/>
  <c r="R17" i="11" s="1"/>
  <c r="C18" i="11"/>
  <c r="R18" i="11" s="1"/>
  <c r="C19" i="11"/>
  <c r="R19" i="11" s="1"/>
  <c r="C20" i="11"/>
  <c r="R20" i="11" s="1"/>
  <c r="C21" i="11"/>
  <c r="R21" i="11" s="1"/>
  <c r="C22" i="11"/>
  <c r="R22" i="11" s="1"/>
  <c r="C23" i="11"/>
  <c r="R23" i="11" s="1"/>
  <c r="C24" i="11"/>
  <c r="R24" i="11" s="1"/>
  <c r="C25" i="11"/>
  <c r="R25" i="11" s="1"/>
  <c r="C27" i="11"/>
  <c r="R27" i="11" s="1"/>
  <c r="C28" i="11"/>
  <c r="R28" i="11" s="1"/>
  <c r="C29" i="11"/>
  <c r="R29" i="11" s="1"/>
  <c r="C30" i="11"/>
  <c r="R30" i="11" s="1"/>
  <c r="C31" i="11"/>
  <c r="R31" i="11" s="1"/>
  <c r="C32" i="11"/>
  <c r="R32" i="11" s="1"/>
  <c r="C33" i="11"/>
  <c r="R33" i="11" s="1"/>
  <c r="C34" i="11"/>
  <c r="R34" i="11" s="1"/>
  <c r="C35" i="11"/>
  <c r="R35" i="11" s="1"/>
  <c r="C36" i="11"/>
  <c r="R36" i="11" s="1"/>
  <c r="C37" i="11"/>
  <c r="R37" i="11" s="1"/>
  <c r="C38" i="11"/>
  <c r="R38" i="11" s="1"/>
  <c r="C39" i="11"/>
  <c r="R39" i="11" s="1"/>
  <c r="C40" i="11"/>
  <c r="R40" i="11" s="1"/>
  <c r="C41" i="11"/>
  <c r="R41" i="11" s="1"/>
  <c r="C42" i="11"/>
  <c r="R42" i="11" s="1"/>
  <c r="C43" i="11"/>
  <c r="R43" i="11" s="1"/>
  <c r="C44" i="11"/>
  <c r="R44" i="11" s="1"/>
  <c r="C45" i="11"/>
  <c r="R45" i="11" s="1"/>
  <c r="C46" i="11"/>
  <c r="R46" i="11" s="1"/>
  <c r="C47" i="11"/>
  <c r="R47" i="11" s="1"/>
  <c r="C48" i="11"/>
  <c r="R48" i="11" s="1"/>
  <c r="C49" i="11"/>
  <c r="R49" i="11" s="1"/>
  <c r="C50" i="11"/>
  <c r="R50" i="11" s="1"/>
  <c r="C51" i="11"/>
  <c r="R51" i="11" s="1"/>
  <c r="C52" i="11"/>
  <c r="R52" i="11" s="1"/>
  <c r="C53" i="11"/>
  <c r="R53" i="11" s="1"/>
  <c r="C54" i="11"/>
  <c r="R54" i="11" s="1"/>
  <c r="C55" i="11"/>
  <c r="R55" i="11" s="1"/>
  <c r="C56" i="11"/>
  <c r="R56" i="11" s="1"/>
  <c r="C57" i="11"/>
  <c r="R57" i="11" s="1"/>
  <c r="C58" i="11"/>
  <c r="R58" i="11" s="1"/>
  <c r="C59" i="11"/>
  <c r="R59" i="11" s="1"/>
  <c r="C60" i="11"/>
  <c r="R60" i="11" s="1"/>
  <c r="C61" i="11"/>
  <c r="R61" i="11" s="1"/>
  <c r="C62" i="11"/>
  <c r="R62" i="11" s="1"/>
  <c r="C63" i="11"/>
  <c r="R63" i="11" s="1"/>
  <c r="C64" i="11"/>
  <c r="R64" i="11" s="1"/>
  <c r="C65" i="11"/>
  <c r="R65" i="11" s="1"/>
  <c r="C66" i="11"/>
  <c r="R66" i="11" s="1"/>
  <c r="C67" i="11"/>
  <c r="R67" i="11" s="1"/>
  <c r="C68" i="11"/>
  <c r="R68" i="11" s="1"/>
  <c r="C69" i="11"/>
  <c r="R69" i="11" s="1"/>
  <c r="C70" i="11"/>
  <c r="R70" i="11" s="1"/>
  <c r="C71" i="11"/>
  <c r="R71" i="11" s="1"/>
  <c r="C3" i="11"/>
  <c r="R3" i="11" s="1"/>
  <c r="C4" i="12"/>
  <c r="R4" i="12" s="1"/>
  <c r="T4" i="12" s="1"/>
  <c r="C5" i="12"/>
  <c r="R5" i="12" s="1"/>
  <c r="T5" i="12" s="1"/>
  <c r="C6" i="12"/>
  <c r="R6" i="12" s="1"/>
  <c r="T6" i="12" s="1"/>
  <c r="C7" i="12"/>
  <c r="R7" i="12" s="1"/>
  <c r="T7" i="12" s="1"/>
  <c r="C8" i="12"/>
  <c r="R8" i="12" s="1"/>
  <c r="T8" i="12" s="1"/>
  <c r="C9" i="12"/>
  <c r="R9" i="12" s="1"/>
  <c r="T9" i="12" s="1"/>
  <c r="C10" i="12"/>
  <c r="R10" i="12" s="1"/>
  <c r="T10" i="12" s="1"/>
  <c r="C11" i="12"/>
  <c r="R11" i="12" s="1"/>
  <c r="T11" i="12" s="1"/>
  <c r="C12" i="12"/>
  <c r="R12" i="12" s="1"/>
  <c r="T12" i="12" s="1"/>
  <c r="C13" i="12"/>
  <c r="R13" i="12" s="1"/>
  <c r="T13" i="12" s="1"/>
  <c r="C14" i="12"/>
  <c r="R14" i="12" s="1"/>
  <c r="T14" i="12" s="1"/>
  <c r="C15" i="12"/>
  <c r="R15" i="12" s="1"/>
  <c r="T15" i="12" s="1"/>
  <c r="C16" i="12"/>
  <c r="R16" i="12" s="1"/>
  <c r="T16" i="12" s="1"/>
  <c r="C17" i="12"/>
  <c r="R17" i="12" s="1"/>
  <c r="T17" i="12" s="1"/>
  <c r="C18" i="12"/>
  <c r="R18" i="12" s="1"/>
  <c r="T18" i="12" s="1"/>
  <c r="C19" i="12"/>
  <c r="R19" i="12" s="1"/>
  <c r="T19" i="12" s="1"/>
  <c r="C20" i="12"/>
  <c r="R20" i="12" s="1"/>
  <c r="T20" i="12" s="1"/>
  <c r="C21" i="12"/>
  <c r="R21" i="12" s="1"/>
  <c r="T21" i="12" s="1"/>
  <c r="C23" i="12"/>
  <c r="R23" i="12" s="1"/>
  <c r="T23" i="12" s="1"/>
  <c r="C24" i="12"/>
  <c r="R24" i="12" s="1"/>
  <c r="T24" i="12" s="1"/>
  <c r="C25" i="12"/>
  <c r="R25" i="12" s="1"/>
  <c r="T25" i="12" s="1"/>
  <c r="C26" i="12"/>
  <c r="R26" i="12" s="1"/>
  <c r="T26" i="12" s="1"/>
  <c r="C27" i="12"/>
  <c r="R27" i="12" s="1"/>
  <c r="T27" i="12" s="1"/>
  <c r="C28" i="12"/>
  <c r="R28" i="12" s="1"/>
  <c r="T28" i="12" s="1"/>
  <c r="C29" i="12"/>
  <c r="R29" i="12" s="1"/>
  <c r="T29" i="12" s="1"/>
  <c r="C30" i="12"/>
  <c r="R30" i="12" s="1"/>
  <c r="T30" i="12" s="1"/>
  <c r="C31" i="12"/>
  <c r="R31" i="12" s="1"/>
  <c r="T31" i="12" s="1"/>
  <c r="C32" i="12"/>
  <c r="R32" i="12" s="1"/>
  <c r="T32" i="12" s="1"/>
  <c r="C33" i="12"/>
  <c r="R33" i="12" s="1"/>
  <c r="T33" i="12" s="1"/>
  <c r="C34" i="12"/>
  <c r="R34" i="12" s="1"/>
  <c r="T34" i="12" s="1"/>
  <c r="C35" i="12"/>
  <c r="R35" i="12" s="1"/>
  <c r="T35" i="12" s="1"/>
  <c r="C36" i="12"/>
  <c r="R36" i="12" s="1"/>
  <c r="T36" i="12" s="1"/>
  <c r="C37" i="12"/>
  <c r="R37" i="12" s="1"/>
  <c r="T37" i="12" s="1"/>
  <c r="C38" i="12"/>
  <c r="R38" i="12" s="1"/>
  <c r="T38" i="12" s="1"/>
  <c r="C39" i="12"/>
  <c r="R39" i="12" s="1"/>
  <c r="T39" i="12" s="1"/>
  <c r="C40" i="12"/>
  <c r="R40" i="12" s="1"/>
  <c r="T40" i="12" s="1"/>
  <c r="C41" i="12"/>
  <c r="R41" i="12" s="1"/>
  <c r="T41" i="12" s="1"/>
  <c r="C42" i="12"/>
  <c r="R42" i="12" s="1"/>
  <c r="T42" i="12" s="1"/>
  <c r="C43" i="12"/>
  <c r="R43" i="12" s="1"/>
  <c r="T43" i="12" s="1"/>
  <c r="C44" i="12"/>
  <c r="R44" i="12" s="1"/>
  <c r="T44" i="12" s="1"/>
  <c r="C45" i="12"/>
  <c r="R45" i="12" s="1"/>
  <c r="T45" i="12" s="1"/>
  <c r="C46" i="12"/>
  <c r="R46" i="12" s="1"/>
  <c r="T46" i="12" s="1"/>
  <c r="C47" i="12"/>
  <c r="R47" i="12" s="1"/>
  <c r="T47" i="12" s="1"/>
  <c r="C48" i="12"/>
  <c r="R48" i="12" s="1"/>
  <c r="T48" i="12" s="1"/>
  <c r="C49" i="12"/>
  <c r="R49" i="12" s="1"/>
  <c r="T49" i="12" s="1"/>
  <c r="C50" i="12"/>
  <c r="R50" i="12" s="1"/>
  <c r="T50" i="12" s="1"/>
  <c r="C51" i="12"/>
  <c r="R51" i="12" s="1"/>
  <c r="T51" i="12" s="1"/>
  <c r="C52" i="12"/>
  <c r="R52" i="12" s="1"/>
  <c r="T52" i="12" s="1"/>
  <c r="C53" i="12"/>
  <c r="R53" i="12" s="1"/>
  <c r="T53" i="12" s="1"/>
  <c r="C54" i="12"/>
  <c r="R54" i="12" s="1"/>
  <c r="T54" i="12" s="1"/>
  <c r="C55" i="12"/>
  <c r="R55" i="12" s="1"/>
  <c r="T55" i="12" s="1"/>
  <c r="C56" i="12"/>
  <c r="R56" i="12" s="1"/>
  <c r="T56" i="12" s="1"/>
  <c r="C57" i="12"/>
  <c r="R57" i="12" s="1"/>
  <c r="T57" i="12" s="1"/>
  <c r="C58" i="12"/>
  <c r="R58" i="12" s="1"/>
  <c r="T58" i="12" s="1"/>
  <c r="C59" i="12"/>
  <c r="R59" i="12" s="1"/>
  <c r="T59" i="12" s="1"/>
  <c r="C60" i="12"/>
  <c r="R60" i="12" s="1"/>
  <c r="T60" i="12" s="1"/>
  <c r="C61" i="12"/>
  <c r="R61" i="12" s="1"/>
  <c r="T61" i="12" s="1"/>
  <c r="C62" i="12"/>
  <c r="R62" i="12" s="1"/>
  <c r="T62" i="12" s="1"/>
  <c r="C63" i="12"/>
  <c r="R63" i="12" s="1"/>
  <c r="T63" i="12" s="1"/>
  <c r="C64" i="12"/>
  <c r="R64" i="12" s="1"/>
  <c r="T64" i="12" s="1"/>
  <c r="C65" i="12"/>
  <c r="R65" i="12" s="1"/>
  <c r="T65" i="12" s="1"/>
  <c r="C3" i="12"/>
  <c r="R3" i="12" s="1"/>
  <c r="T3" i="12" s="1"/>
  <c r="E65" i="12"/>
  <c r="O65" i="12" s="1"/>
  <c r="D65" i="12"/>
  <c r="N65" i="12" s="1"/>
  <c r="E71" i="11"/>
  <c r="D71" i="11"/>
  <c r="F69" i="11"/>
  <c r="P69" i="11" s="1"/>
  <c r="Q69" i="11" s="1"/>
  <c r="F63" i="12"/>
  <c r="P63" i="12" s="1"/>
  <c r="Q63" i="12" s="1"/>
  <c r="E62" i="12"/>
  <c r="O62" i="12" s="1"/>
  <c r="D62" i="12"/>
  <c r="N62" i="12" s="1"/>
  <c r="E68" i="11"/>
  <c r="D68" i="11"/>
  <c r="F66" i="11"/>
  <c r="P66" i="11" s="1"/>
  <c r="Q66" i="11" s="1"/>
  <c r="F60" i="12"/>
  <c r="P60" i="12" s="1"/>
  <c r="Q60" i="12" s="1"/>
  <c r="AG4" i="5"/>
  <c r="AG5" i="5"/>
  <c r="AG6" i="5"/>
  <c r="AG8" i="5"/>
  <c r="AG10" i="5"/>
  <c r="AG12" i="5"/>
  <c r="AG15" i="5"/>
  <c r="AG17" i="5"/>
  <c r="AG19" i="5"/>
  <c r="AG21" i="5"/>
  <c r="AG23" i="5"/>
  <c r="AG25" i="5"/>
  <c r="AG27" i="5"/>
  <c r="AG29" i="5"/>
  <c r="AG31" i="5"/>
  <c r="AG33" i="5"/>
  <c r="AG41" i="5"/>
  <c r="AG49" i="5"/>
  <c r="AG51" i="5"/>
  <c r="AF4" i="10"/>
  <c r="AF6" i="10"/>
  <c r="AF8" i="10"/>
  <c r="AF10" i="10"/>
  <c r="AF12" i="10"/>
  <c r="AF14" i="10"/>
  <c r="AF16" i="10"/>
  <c r="AF17" i="10"/>
  <c r="AF19" i="10"/>
  <c r="AF21" i="10"/>
  <c r="AF23" i="10"/>
  <c r="AF25" i="10"/>
  <c r="AF27" i="10"/>
  <c r="AF29" i="10"/>
  <c r="AF31" i="10"/>
  <c r="AF33" i="10"/>
  <c r="AF35" i="10"/>
  <c r="AG47" i="10"/>
  <c r="AV47" i="10" s="1"/>
  <c r="AG50" i="10"/>
  <c r="AV50" i="10" s="1"/>
  <c r="W50" i="10"/>
  <c r="W47" i="10"/>
  <c r="AH47" i="5"/>
  <c r="AH44" i="5"/>
  <c r="X47" i="5"/>
  <c r="X44" i="5"/>
  <c r="AO42" i="5"/>
  <c r="AO43" i="5"/>
  <c r="AO45" i="5"/>
  <c r="AO46" i="5"/>
  <c r="Z51" i="10"/>
  <c r="AD51" i="10" s="1"/>
  <c r="Z42" i="10"/>
  <c r="AD42" i="10" s="1"/>
  <c r="AN51" i="10"/>
  <c r="AG51" i="10"/>
  <c r="AV51" i="10" s="1"/>
  <c r="W51" i="10"/>
  <c r="V51" i="10"/>
  <c r="U51" i="10"/>
  <c r="AS51" i="10" s="1"/>
  <c r="L52" i="10"/>
  <c r="J52" i="10"/>
  <c r="I52" i="10"/>
  <c r="L51" i="10"/>
  <c r="J51" i="10"/>
  <c r="I51" i="10"/>
  <c r="AJ48" i="5"/>
  <c r="AH48" i="5"/>
  <c r="AR48" i="5" s="1"/>
  <c r="X48" i="5"/>
  <c r="W48" i="5"/>
  <c r="V48" i="5"/>
  <c r="S48" i="5"/>
  <c r="M49" i="5"/>
  <c r="K49" i="5"/>
  <c r="J49" i="5"/>
  <c r="M48" i="5"/>
  <c r="K48" i="5"/>
  <c r="J48" i="5"/>
  <c r="F63" i="11"/>
  <c r="P63" i="11" s="1"/>
  <c r="Q63" i="11" s="1"/>
  <c r="E62" i="11"/>
  <c r="D62" i="11"/>
  <c r="F61" i="11"/>
  <c r="P61" i="11" s="1"/>
  <c r="Q61" i="11" s="1"/>
  <c r="E56" i="12"/>
  <c r="O56" i="12" s="1"/>
  <c r="D56" i="12"/>
  <c r="N56" i="12" s="1"/>
  <c r="Q56" i="12" s="1"/>
  <c r="F57" i="12"/>
  <c r="P57" i="12" s="1"/>
  <c r="Q57" i="12" s="1"/>
  <c r="F55" i="12"/>
  <c r="P55" i="12" s="1"/>
  <c r="Q55" i="12" s="1"/>
  <c r="AN53" i="10"/>
  <c r="AG53" i="10"/>
  <c r="AV53" i="10" s="1"/>
  <c r="U53" i="10"/>
  <c r="AS53" i="10" s="1"/>
  <c r="AB53" i="10"/>
  <c r="AC53" i="10"/>
  <c r="AD53" i="10"/>
  <c r="AE53" i="10"/>
  <c r="AB54" i="10"/>
  <c r="AC54" i="10"/>
  <c r="AD54" i="10"/>
  <c r="AE54" i="10"/>
  <c r="I53" i="10"/>
  <c r="J53" i="10"/>
  <c r="L53" i="10"/>
  <c r="I54" i="10"/>
  <c r="J54" i="10"/>
  <c r="L54" i="10"/>
  <c r="K41" i="5"/>
  <c r="J41" i="5"/>
  <c r="M41" i="5"/>
  <c r="J51" i="5"/>
  <c r="K51" i="5"/>
  <c r="M51" i="5"/>
  <c r="AJ50" i="5"/>
  <c r="AH50" i="5"/>
  <c r="AR50" i="5" s="1"/>
  <c r="V50" i="5"/>
  <c r="S50" i="5"/>
  <c r="J50" i="5"/>
  <c r="K50" i="5"/>
  <c r="M50" i="5"/>
  <c r="AC50" i="5"/>
  <c r="AD50" i="5"/>
  <c r="AE50" i="5"/>
  <c r="AF50" i="5"/>
  <c r="AN28" i="10"/>
  <c r="AG28" i="10"/>
  <c r="AV28" i="10" s="1"/>
  <c r="W28" i="10"/>
  <c r="V28" i="10"/>
  <c r="U28" i="10"/>
  <c r="S28" i="10"/>
  <c r="AC34" i="5"/>
  <c r="AH20" i="5"/>
  <c r="AR20" i="5" s="1"/>
  <c r="X20" i="5"/>
  <c r="AK26" i="5"/>
  <c r="AO28" i="10"/>
  <c r="AN42" i="10"/>
  <c r="AG42" i="10"/>
  <c r="AV42" i="10" s="1"/>
  <c r="W42" i="10"/>
  <c r="V42" i="10"/>
  <c r="U42" i="10"/>
  <c r="AS42" i="10" s="1"/>
  <c r="AJ40" i="5"/>
  <c r="AH40" i="5"/>
  <c r="AR40" i="5" s="1"/>
  <c r="X40" i="5"/>
  <c r="W40" i="5"/>
  <c r="V40" i="5"/>
  <c r="S40" i="5"/>
  <c r="AE43" i="10"/>
  <c r="AD43" i="10"/>
  <c r="AC43" i="10"/>
  <c r="AB43" i="10"/>
  <c r="L43" i="10"/>
  <c r="J43" i="10"/>
  <c r="I43" i="10"/>
  <c r="AE42" i="10"/>
  <c r="AC42" i="10"/>
  <c r="AB42" i="10"/>
  <c r="L42" i="10"/>
  <c r="J42" i="10"/>
  <c r="I42" i="10"/>
  <c r="AF40" i="5"/>
  <c r="AE40" i="5"/>
  <c r="AD40" i="5"/>
  <c r="AC40" i="5"/>
  <c r="M40" i="5"/>
  <c r="K40" i="5"/>
  <c r="J40" i="5"/>
  <c r="F58" i="11"/>
  <c r="P58" i="11" s="1"/>
  <c r="Q58" i="11" s="1"/>
  <c r="D57" i="11"/>
  <c r="F52" i="12"/>
  <c r="P52" i="12" s="1"/>
  <c r="Q52" i="12" s="1"/>
  <c r="D51" i="12"/>
  <c r="N51" i="12" s="1"/>
  <c r="Q51" i="12" s="1"/>
  <c r="AP1394" i="13" l="1"/>
  <c r="AR1393" i="13"/>
  <c r="R10" i="15"/>
  <c r="M11" i="15"/>
  <c r="S1395" i="13"/>
  <c r="U1394" i="13"/>
  <c r="J11" i="15"/>
  <c r="P10" i="15"/>
  <c r="AO47" i="5"/>
  <c r="AR47" i="5"/>
  <c r="P55" i="5"/>
  <c r="AO44" i="5"/>
  <c r="AR44" i="5"/>
  <c r="S1325" i="13"/>
  <c r="U1324" i="13"/>
  <c r="AP1350" i="13"/>
  <c r="AR1349" i="13"/>
  <c r="AP1337" i="13"/>
  <c r="AR1336" i="13"/>
  <c r="AP1325" i="13"/>
  <c r="AR1324" i="13"/>
  <c r="AR9" i="13"/>
  <c r="AP10" i="13"/>
  <c r="Q65" i="12"/>
  <c r="S11" i="13"/>
  <c r="U10" i="13"/>
  <c r="U22" i="12"/>
  <c r="V22" i="12" s="1"/>
  <c r="W22" i="12" s="1"/>
  <c r="X22" i="12" s="1"/>
  <c r="Q62" i="12"/>
  <c r="U76" i="12"/>
  <c r="V76" i="12" s="1"/>
  <c r="W76" i="12" s="1"/>
  <c r="X76" i="12" s="1"/>
  <c r="U75" i="12"/>
  <c r="V75" i="12" s="1"/>
  <c r="W75" i="12" s="1"/>
  <c r="X75" i="12" s="1"/>
  <c r="U73" i="12"/>
  <c r="V73" i="12" s="1"/>
  <c r="W73" i="12" s="1"/>
  <c r="X73" i="12" s="1"/>
  <c r="U72" i="12"/>
  <c r="V72" i="12" s="1"/>
  <c r="W72" i="12" s="1"/>
  <c r="X72" i="12" s="1"/>
  <c r="U74" i="12"/>
  <c r="V74" i="12" s="1"/>
  <c r="W74" i="12" s="1"/>
  <c r="X74" i="12" s="1"/>
  <c r="U71" i="12"/>
  <c r="V71" i="12" s="1"/>
  <c r="W71" i="12" s="1"/>
  <c r="X71" i="12" s="1"/>
  <c r="U70" i="12"/>
  <c r="V70" i="12" s="1"/>
  <c r="W70" i="12" s="1"/>
  <c r="X70" i="12" s="1"/>
  <c r="U69" i="12"/>
  <c r="V69" i="12" s="1"/>
  <c r="W69" i="12" s="1"/>
  <c r="X69" i="12" s="1"/>
  <c r="U78" i="12"/>
  <c r="V78" i="12" s="1"/>
  <c r="W78" i="12" s="1"/>
  <c r="X78" i="12" s="1"/>
  <c r="U77" i="12"/>
  <c r="V77" i="12" s="1"/>
  <c r="W77" i="12" s="1"/>
  <c r="X77" i="12" s="1"/>
  <c r="Q22" i="12"/>
  <c r="Y68" i="11"/>
  <c r="O68" i="11"/>
  <c r="Y75" i="11"/>
  <c r="O75" i="11"/>
  <c r="Y26" i="11"/>
  <c r="O26" i="11"/>
  <c r="Y71" i="11"/>
  <c r="O71" i="11"/>
  <c r="Y62" i="11"/>
  <c r="O62" i="11"/>
  <c r="Z57" i="11"/>
  <c r="N57" i="11"/>
  <c r="Z26" i="11"/>
  <c r="N26" i="11"/>
  <c r="Z71" i="11"/>
  <c r="N71" i="11"/>
  <c r="Q71" i="11" s="1"/>
  <c r="Z75" i="11"/>
  <c r="N75" i="11"/>
  <c r="Q75" i="11" s="1"/>
  <c r="Z68" i="11"/>
  <c r="N68" i="11"/>
  <c r="Q68" i="11" s="1"/>
  <c r="Z62" i="11"/>
  <c r="N62" i="11"/>
  <c r="Q62" i="11" s="1"/>
  <c r="T69" i="11"/>
  <c r="T61" i="11"/>
  <c r="T53" i="11"/>
  <c r="T45" i="11"/>
  <c r="T37" i="11"/>
  <c r="T29" i="11"/>
  <c r="T20" i="11"/>
  <c r="T12" i="11"/>
  <c r="T4" i="11"/>
  <c r="T68" i="11"/>
  <c r="T60" i="11"/>
  <c r="T52" i="11"/>
  <c r="T44" i="11"/>
  <c r="T36" i="11"/>
  <c r="T28" i="11"/>
  <c r="T19" i="11"/>
  <c r="T11" i="11"/>
  <c r="T72" i="11"/>
  <c r="T67" i="11"/>
  <c r="T59" i="11"/>
  <c r="T51" i="11"/>
  <c r="T43" i="11"/>
  <c r="T35" i="11"/>
  <c r="T27" i="11"/>
  <c r="T18" i="11"/>
  <c r="T10" i="11"/>
  <c r="T66" i="11"/>
  <c r="T58" i="11"/>
  <c r="T50" i="11"/>
  <c r="T42" i="11"/>
  <c r="T34" i="11"/>
  <c r="T25" i="11"/>
  <c r="T17" i="11"/>
  <c r="T9" i="11"/>
  <c r="T73" i="11"/>
  <c r="T65" i="11"/>
  <c r="T57" i="11"/>
  <c r="T49" i="11"/>
  <c r="T41" i="11"/>
  <c r="T33" i="11"/>
  <c r="T24" i="11"/>
  <c r="T16" i="11"/>
  <c r="T8" i="11"/>
  <c r="T3" i="11"/>
  <c r="T64" i="11"/>
  <c r="T56" i="11"/>
  <c r="T48" i="11"/>
  <c r="T40" i="11"/>
  <c r="T32" i="11"/>
  <c r="T23" i="11"/>
  <c r="T15" i="11"/>
  <c r="T7" i="11"/>
  <c r="T71" i="11"/>
  <c r="T63" i="11"/>
  <c r="T55" i="11"/>
  <c r="T47" i="11"/>
  <c r="T39" i="11"/>
  <c r="T31" i="11"/>
  <c r="T22" i="11"/>
  <c r="T14" i="11"/>
  <c r="T6" i="11"/>
  <c r="T26" i="11"/>
  <c r="T70" i="11"/>
  <c r="T62" i="11"/>
  <c r="T54" i="11"/>
  <c r="T46" i="11"/>
  <c r="T38" i="11"/>
  <c r="T30" i="11"/>
  <c r="T21" i="11"/>
  <c r="T13" i="11"/>
  <c r="T5" i="11"/>
  <c r="U81" i="11"/>
  <c r="V81" i="11" s="1"/>
  <c r="W81" i="11" s="1"/>
  <c r="X81" i="11" s="1"/>
  <c r="U79" i="11"/>
  <c r="V79" i="11" s="1"/>
  <c r="W79" i="11" s="1"/>
  <c r="X79" i="11" s="1"/>
  <c r="U84" i="11"/>
  <c r="V84" i="11" s="1"/>
  <c r="W84" i="11" s="1"/>
  <c r="U82" i="11"/>
  <c r="V82" i="11" s="1"/>
  <c r="W82" i="11" s="1"/>
  <c r="X82" i="11" s="1"/>
  <c r="U83" i="11"/>
  <c r="V83" i="11" s="1"/>
  <c r="W83" i="11" s="1"/>
  <c r="X83" i="11" s="1"/>
  <c r="N56" i="5"/>
  <c r="AF45" i="10"/>
  <c r="L58" i="5"/>
  <c r="AP58" i="5" s="1"/>
  <c r="AQ58" i="5" s="1"/>
  <c r="N58" i="5"/>
  <c r="AG42" i="5"/>
  <c r="AG43" i="5"/>
  <c r="U77" i="11"/>
  <c r="V77" i="11" s="1"/>
  <c r="W77" i="11" s="1"/>
  <c r="X77" i="11" s="1"/>
  <c r="U78" i="11"/>
  <c r="V78" i="11" s="1"/>
  <c r="W78" i="11" s="1"/>
  <c r="X78" i="11" s="1"/>
  <c r="U74" i="11"/>
  <c r="V74" i="11" s="1"/>
  <c r="W74" i="11" s="1"/>
  <c r="X74" i="11" s="1"/>
  <c r="U76" i="11"/>
  <c r="V76" i="11" s="1"/>
  <c r="W76" i="11" s="1"/>
  <c r="X76" i="11" s="1"/>
  <c r="U75" i="11"/>
  <c r="V75" i="11" s="1"/>
  <c r="W75" i="11" s="1"/>
  <c r="X75" i="11" s="1"/>
  <c r="AG44" i="5"/>
  <c r="AG47" i="5"/>
  <c r="AG48" i="5"/>
  <c r="O58" i="5"/>
  <c r="P58" i="5" s="1"/>
  <c r="Q58" i="5" s="1"/>
  <c r="AG45" i="5"/>
  <c r="L51" i="5"/>
  <c r="AP51" i="5" s="1"/>
  <c r="AQ51" i="5" s="1"/>
  <c r="AG46" i="5"/>
  <c r="AG20" i="5"/>
  <c r="U26" i="11"/>
  <c r="V26" i="11" s="1"/>
  <c r="U32" i="12"/>
  <c r="V32" i="12" s="1"/>
  <c r="W32" i="12" s="1"/>
  <c r="X32" i="12" s="1"/>
  <c r="U6" i="12"/>
  <c r="V6" i="12" s="1"/>
  <c r="W6" i="12" s="1"/>
  <c r="X6" i="12" s="1"/>
  <c r="U23" i="12"/>
  <c r="V23" i="12" s="1"/>
  <c r="W23" i="12" s="1"/>
  <c r="X23" i="12" s="1"/>
  <c r="U13" i="12"/>
  <c r="V13" i="12" s="1"/>
  <c r="W13" i="12" s="1"/>
  <c r="X13" i="12" s="1"/>
  <c r="U29" i="12"/>
  <c r="V29" i="12" s="1"/>
  <c r="W29" i="12" s="1"/>
  <c r="X29" i="12" s="1"/>
  <c r="U62" i="12"/>
  <c r="V62" i="12" s="1"/>
  <c r="W62" i="12" s="1"/>
  <c r="X62" i="12" s="1"/>
  <c r="U54" i="12"/>
  <c r="V54" i="12" s="1"/>
  <c r="W54" i="12" s="1"/>
  <c r="X54" i="12" s="1"/>
  <c r="U46" i="12"/>
  <c r="V46" i="12" s="1"/>
  <c r="W46" i="12" s="1"/>
  <c r="X46" i="12" s="1"/>
  <c r="U38" i="12"/>
  <c r="V38" i="12" s="1"/>
  <c r="W38" i="12" s="1"/>
  <c r="X38" i="12" s="1"/>
  <c r="U30" i="12"/>
  <c r="V30" i="12" s="1"/>
  <c r="W30" i="12" s="1"/>
  <c r="X30" i="12" s="1"/>
  <c r="U21" i="12"/>
  <c r="V21" i="12" s="1"/>
  <c r="W21" i="12" s="1"/>
  <c r="X21" i="12" s="1"/>
  <c r="U64" i="12"/>
  <c r="V64" i="12" s="1"/>
  <c r="W64" i="12" s="1"/>
  <c r="X64" i="12" s="1"/>
  <c r="U15" i="12"/>
  <c r="V15" i="12" s="1"/>
  <c r="U39" i="12"/>
  <c r="V39" i="12" s="1"/>
  <c r="W39" i="12" s="1"/>
  <c r="X39" i="12" s="1"/>
  <c r="U7" i="12"/>
  <c r="V7" i="12" s="1"/>
  <c r="W7" i="12" s="1"/>
  <c r="X7" i="12" s="1"/>
  <c r="U24" i="12"/>
  <c r="V24" i="12" s="1"/>
  <c r="U47" i="12"/>
  <c r="V47" i="12" s="1"/>
  <c r="W47" i="12" s="1"/>
  <c r="X47" i="12" s="1"/>
  <c r="U11" i="12"/>
  <c r="V11" i="12" s="1"/>
  <c r="U68" i="12"/>
  <c r="V68" i="12" s="1"/>
  <c r="W68" i="12" s="1"/>
  <c r="X68" i="12" s="1"/>
  <c r="U60" i="12"/>
  <c r="V60" i="12" s="1"/>
  <c r="W60" i="12" s="1"/>
  <c r="X60" i="12" s="1"/>
  <c r="U52" i="12"/>
  <c r="V52" i="12" s="1"/>
  <c r="W52" i="12" s="1"/>
  <c r="X52" i="12" s="1"/>
  <c r="U44" i="12"/>
  <c r="V44" i="12" s="1"/>
  <c r="W44" i="12" s="1"/>
  <c r="X44" i="12" s="1"/>
  <c r="U36" i="12"/>
  <c r="V36" i="12" s="1"/>
  <c r="W36" i="12" s="1"/>
  <c r="X36" i="12" s="1"/>
  <c r="U28" i="12"/>
  <c r="V28" i="12" s="1"/>
  <c r="W28" i="12" s="1"/>
  <c r="X28" i="12" s="1"/>
  <c r="U19" i="12"/>
  <c r="V19" i="12" s="1"/>
  <c r="W19" i="12" s="1"/>
  <c r="X19" i="12" s="1"/>
  <c r="U48" i="12"/>
  <c r="V48" i="12" s="1"/>
  <c r="U55" i="12"/>
  <c r="V55" i="12" s="1"/>
  <c r="W55" i="12" s="1"/>
  <c r="X55" i="12" s="1"/>
  <c r="U10" i="12"/>
  <c r="V10" i="12" s="1"/>
  <c r="W10" i="12" s="1"/>
  <c r="X10" i="12" s="1"/>
  <c r="U67" i="12"/>
  <c r="V67" i="12" s="1"/>
  <c r="W67" i="12" s="1"/>
  <c r="X67" i="12" s="1"/>
  <c r="U59" i="12"/>
  <c r="V59" i="12" s="1"/>
  <c r="W59" i="12" s="1"/>
  <c r="X59" i="12" s="1"/>
  <c r="U51" i="12"/>
  <c r="V51" i="12" s="1"/>
  <c r="W51" i="12" s="1"/>
  <c r="X51" i="12" s="1"/>
  <c r="U43" i="12"/>
  <c r="V43" i="12" s="1"/>
  <c r="W43" i="12" s="1"/>
  <c r="X43" i="12" s="1"/>
  <c r="U35" i="12"/>
  <c r="V35" i="12" s="1"/>
  <c r="W35" i="12" s="1"/>
  <c r="X35" i="12" s="1"/>
  <c r="U27" i="12"/>
  <c r="V27" i="12" s="1"/>
  <c r="W27" i="12" s="1"/>
  <c r="X27" i="12" s="1"/>
  <c r="U18" i="12"/>
  <c r="V18" i="12" s="1"/>
  <c r="W18" i="12" s="1"/>
  <c r="X18" i="12" s="1"/>
  <c r="U40" i="12"/>
  <c r="V40" i="12" s="1"/>
  <c r="W40" i="12" s="1"/>
  <c r="X40" i="12" s="1"/>
  <c r="U14" i="12"/>
  <c r="V14" i="12" s="1"/>
  <c r="W14" i="12" s="1"/>
  <c r="X14" i="12" s="1"/>
  <c r="U31" i="12"/>
  <c r="V31" i="12" s="1"/>
  <c r="W31" i="12" s="1"/>
  <c r="X31" i="12" s="1"/>
  <c r="U9" i="12"/>
  <c r="V9" i="12" s="1"/>
  <c r="W9" i="12" s="1"/>
  <c r="X9" i="12" s="1"/>
  <c r="U66" i="12"/>
  <c r="V66" i="12" s="1"/>
  <c r="U58" i="12"/>
  <c r="V58" i="12" s="1"/>
  <c r="U50" i="12"/>
  <c r="V50" i="12" s="1"/>
  <c r="U42" i="12"/>
  <c r="V42" i="12" s="1"/>
  <c r="W42" i="12" s="1"/>
  <c r="X42" i="12" s="1"/>
  <c r="U34" i="12"/>
  <c r="V34" i="12" s="1"/>
  <c r="W34" i="12" s="1"/>
  <c r="X34" i="12" s="1"/>
  <c r="U26" i="12"/>
  <c r="V26" i="12" s="1"/>
  <c r="W26" i="12" s="1"/>
  <c r="X26" i="12" s="1"/>
  <c r="U17" i="12"/>
  <c r="V17" i="12" s="1"/>
  <c r="W17" i="12" s="1"/>
  <c r="X17" i="12" s="1"/>
  <c r="U56" i="12"/>
  <c r="V56" i="12" s="1"/>
  <c r="W56" i="12" s="1"/>
  <c r="X56" i="12" s="1"/>
  <c r="U63" i="12"/>
  <c r="V63" i="12" s="1"/>
  <c r="W63" i="12" s="1"/>
  <c r="X63" i="12" s="1"/>
  <c r="U8" i="12"/>
  <c r="V8" i="12" s="1"/>
  <c r="W8" i="12" s="1"/>
  <c r="X8" i="12" s="1"/>
  <c r="U65" i="12"/>
  <c r="V65" i="12" s="1"/>
  <c r="U57" i="12"/>
  <c r="V57" i="12" s="1"/>
  <c r="W57" i="12" s="1"/>
  <c r="X57" i="12" s="1"/>
  <c r="U49" i="12"/>
  <c r="V49" i="12" s="1"/>
  <c r="W49" i="12" s="1"/>
  <c r="X49" i="12" s="1"/>
  <c r="U41" i="12"/>
  <c r="V41" i="12" s="1"/>
  <c r="U33" i="12"/>
  <c r="V33" i="12" s="1"/>
  <c r="W33" i="12" s="1"/>
  <c r="X33" i="12" s="1"/>
  <c r="U25" i="12"/>
  <c r="V25" i="12" s="1"/>
  <c r="W25" i="12" s="1"/>
  <c r="X25" i="12" s="1"/>
  <c r="U16" i="12"/>
  <c r="V16" i="12" s="1"/>
  <c r="W48" i="12"/>
  <c r="X48" i="12" s="1"/>
  <c r="W24" i="12"/>
  <c r="X24" i="12" s="1"/>
  <c r="W15" i="12"/>
  <c r="X15" i="12" s="1"/>
  <c r="W11" i="12"/>
  <c r="X11" i="12" s="1"/>
  <c r="W66" i="12"/>
  <c r="X66" i="12" s="1"/>
  <c r="W58" i="12"/>
  <c r="X58" i="12" s="1"/>
  <c r="W50" i="12"/>
  <c r="X50" i="12" s="1"/>
  <c r="W65" i="12"/>
  <c r="X65" i="12" s="1"/>
  <c r="W41" i="12"/>
  <c r="X41" i="12" s="1"/>
  <c r="W16" i="12"/>
  <c r="X16" i="12" s="1"/>
  <c r="U20" i="12"/>
  <c r="V20" i="12" s="1"/>
  <c r="W20" i="12" s="1"/>
  <c r="X20" i="12" s="1"/>
  <c r="U53" i="12"/>
  <c r="V53" i="12" s="1"/>
  <c r="W53" i="12" s="1"/>
  <c r="X53" i="12" s="1"/>
  <c r="U45" i="12"/>
  <c r="V45" i="12" s="1"/>
  <c r="W45" i="12" s="1"/>
  <c r="X45" i="12" s="1"/>
  <c r="U12" i="12"/>
  <c r="V12" i="12" s="1"/>
  <c r="W12" i="12" s="1"/>
  <c r="X12" i="12" s="1"/>
  <c r="U3" i="12"/>
  <c r="V3" i="12" s="1"/>
  <c r="W3" i="12" s="1"/>
  <c r="X3" i="12" s="1"/>
  <c r="U5" i="12"/>
  <c r="V5" i="12" s="1"/>
  <c r="W5" i="12" s="1"/>
  <c r="X5" i="12" s="1"/>
  <c r="U61" i="12"/>
  <c r="V61" i="12" s="1"/>
  <c r="W61" i="12" s="1"/>
  <c r="X61" i="12" s="1"/>
  <c r="U37" i="12"/>
  <c r="V37" i="12" s="1"/>
  <c r="W37" i="12" s="1"/>
  <c r="X37" i="12" s="1"/>
  <c r="U4" i="12"/>
  <c r="V4" i="12" s="1"/>
  <c r="W4" i="12" s="1"/>
  <c r="X4" i="12" s="1"/>
  <c r="U71" i="11"/>
  <c r="V71" i="11" s="1"/>
  <c r="U73" i="11"/>
  <c r="V73" i="11" s="1"/>
  <c r="U66" i="11"/>
  <c r="V66" i="11" s="1"/>
  <c r="U27" i="11"/>
  <c r="V27" i="11" s="1"/>
  <c r="U52" i="11"/>
  <c r="V52" i="11" s="1"/>
  <c r="U16" i="11"/>
  <c r="V16" i="11" s="1"/>
  <c r="U11" i="11"/>
  <c r="V11" i="11" s="1"/>
  <c r="U59" i="11"/>
  <c r="V59" i="11" s="1"/>
  <c r="U8" i="11"/>
  <c r="V8" i="11" s="1"/>
  <c r="U18" i="11"/>
  <c r="V18" i="11" s="1"/>
  <c r="U25" i="11"/>
  <c r="V25" i="11" s="1"/>
  <c r="U33" i="11"/>
  <c r="V33" i="11" s="1"/>
  <c r="U37" i="11"/>
  <c r="V37" i="11" s="1"/>
  <c r="U40" i="11"/>
  <c r="V40" i="11" s="1"/>
  <c r="U44" i="11"/>
  <c r="V44" i="11" s="1"/>
  <c r="U51" i="11"/>
  <c r="V51" i="11" s="1"/>
  <c r="U58" i="11"/>
  <c r="V58" i="11" s="1"/>
  <c r="U65" i="11"/>
  <c r="V65" i="11" s="1"/>
  <c r="U72" i="11"/>
  <c r="V72" i="11" s="1"/>
  <c r="U41" i="11"/>
  <c r="V41" i="11" s="1"/>
  <c r="U12" i="11"/>
  <c r="V12" i="11" s="1"/>
  <c r="U15" i="11"/>
  <c r="V15" i="11" s="1"/>
  <c r="U70" i="11"/>
  <c r="V70" i="11" s="1"/>
  <c r="U19" i="11"/>
  <c r="V19" i="11" s="1"/>
  <c r="U34" i="11"/>
  <c r="V34" i="11" s="1"/>
  <c r="U62" i="11"/>
  <c r="V62" i="11" s="1"/>
  <c r="U20" i="11"/>
  <c r="V20" i="11" s="1"/>
  <c r="U23" i="11"/>
  <c r="V23" i="11" s="1"/>
  <c r="U28" i="11"/>
  <c r="V28" i="11" s="1"/>
  <c r="U35" i="11"/>
  <c r="V35" i="11" s="1"/>
  <c r="U42" i="11"/>
  <c r="V42" i="11" s="1"/>
  <c r="U49" i="11"/>
  <c r="V49" i="11" s="1"/>
  <c r="U53" i="11"/>
  <c r="V53" i="11" s="1"/>
  <c r="U56" i="11"/>
  <c r="V56" i="11" s="1"/>
  <c r="U60" i="11"/>
  <c r="V60" i="11" s="1"/>
  <c r="U67" i="11"/>
  <c r="V67" i="11" s="1"/>
  <c r="U48" i="11"/>
  <c r="V48" i="11" s="1"/>
  <c r="U10" i="11"/>
  <c r="V10" i="11" s="1"/>
  <c r="U69" i="11"/>
  <c r="V69" i="11" s="1"/>
  <c r="U45" i="11"/>
  <c r="V45" i="11" s="1"/>
  <c r="U31" i="11"/>
  <c r="V31" i="11" s="1"/>
  <c r="U7" i="11"/>
  <c r="V7" i="11" s="1"/>
  <c r="U24" i="11"/>
  <c r="V24" i="11" s="1"/>
  <c r="U29" i="11"/>
  <c r="V29" i="11" s="1"/>
  <c r="U32" i="11"/>
  <c r="V32" i="11" s="1"/>
  <c r="U36" i="11"/>
  <c r="V36" i="11" s="1"/>
  <c r="U43" i="11"/>
  <c r="V43" i="11" s="1"/>
  <c r="U50" i="11"/>
  <c r="V50" i="11" s="1"/>
  <c r="U57" i="11"/>
  <c r="V57" i="11" s="1"/>
  <c r="U61" i="11"/>
  <c r="V61" i="11" s="1"/>
  <c r="U64" i="11"/>
  <c r="V64" i="11" s="1"/>
  <c r="U68" i="11"/>
  <c r="V68" i="11" s="1"/>
  <c r="U6" i="11"/>
  <c r="V6" i="11" s="1"/>
  <c r="U39" i="11"/>
  <c r="V39" i="11" s="1"/>
  <c r="U47" i="11"/>
  <c r="V47" i="11" s="1"/>
  <c r="U38" i="11"/>
  <c r="V38" i="11" s="1"/>
  <c r="U54" i="11"/>
  <c r="V54" i="11" s="1"/>
  <c r="U55" i="11"/>
  <c r="V55" i="11" s="1"/>
  <c r="U5" i="11"/>
  <c r="V5" i="11" s="1"/>
  <c r="U13" i="11"/>
  <c r="V13" i="11" s="1"/>
  <c r="U30" i="11"/>
  <c r="V30" i="11" s="1"/>
  <c r="U46" i="11"/>
  <c r="V46" i="11" s="1"/>
  <c r="U4" i="11"/>
  <c r="V4" i="11" s="1"/>
  <c r="U14" i="11"/>
  <c r="V14" i="11" s="1"/>
  <c r="U63" i="11"/>
  <c r="V63" i="11" s="1"/>
  <c r="U3" i="11"/>
  <c r="V3" i="11" s="1"/>
  <c r="U22" i="11"/>
  <c r="V22" i="11" s="1"/>
  <c r="U21" i="11"/>
  <c r="V21" i="11" s="1"/>
  <c r="U9" i="11"/>
  <c r="V9" i="11" s="1"/>
  <c r="U17" i="11"/>
  <c r="V17" i="11" s="1"/>
  <c r="AF50" i="10"/>
  <c r="AF48" i="10"/>
  <c r="AF44" i="10"/>
  <c r="M61" i="10"/>
  <c r="AF52" i="10"/>
  <c r="N61" i="10"/>
  <c r="O61" i="10" s="1"/>
  <c r="AF51" i="10"/>
  <c r="AF49" i="10"/>
  <c r="AF47" i="10"/>
  <c r="AF22" i="10"/>
  <c r="AF46" i="10"/>
  <c r="K61" i="10"/>
  <c r="AT61" i="10" s="1"/>
  <c r="AG40" i="5"/>
  <c r="AG50" i="5"/>
  <c r="O50" i="5"/>
  <c r="P50" i="5" s="1"/>
  <c r="O56" i="5"/>
  <c r="P56" i="5" s="1"/>
  <c r="AO56" i="5" s="1"/>
  <c r="M59" i="10"/>
  <c r="AF42" i="10"/>
  <c r="K58" i="10"/>
  <c r="AT58" i="10" s="1"/>
  <c r="AF53" i="10"/>
  <c r="AF56" i="10"/>
  <c r="AF54" i="10"/>
  <c r="AF43" i="10"/>
  <c r="AF57" i="10"/>
  <c r="N59" i="10"/>
  <c r="O59" i="10" s="1"/>
  <c r="L55" i="5"/>
  <c r="AP55" i="5" s="1"/>
  <c r="AQ55" i="5" s="1"/>
  <c r="O41" i="5"/>
  <c r="P41" i="5" s="1"/>
  <c r="N54" i="5"/>
  <c r="AG55" i="5"/>
  <c r="O53" i="5"/>
  <c r="P53" i="5" s="1"/>
  <c r="O54" i="5"/>
  <c r="P54" i="5" s="1"/>
  <c r="L56" i="5"/>
  <c r="AP56" i="5" s="1"/>
  <c r="AQ56" i="5" s="1"/>
  <c r="AG53" i="5"/>
  <c r="AF58" i="10"/>
  <c r="M56" i="10"/>
  <c r="M58" i="10"/>
  <c r="N58" i="10"/>
  <c r="O58" i="10" s="1"/>
  <c r="K59" i="10"/>
  <c r="AT59" i="10" s="1"/>
  <c r="AU59" i="10" s="1"/>
  <c r="K57" i="10"/>
  <c r="AT57" i="10" s="1"/>
  <c r="M57" i="10"/>
  <c r="K56" i="10"/>
  <c r="AT56" i="10" s="1"/>
  <c r="N57" i="10"/>
  <c r="O57" i="10" s="1"/>
  <c r="N56" i="10"/>
  <c r="O56" i="10" s="1"/>
  <c r="N53" i="5"/>
  <c r="L53" i="5"/>
  <c r="AP53" i="5" s="1"/>
  <c r="AQ53" i="5" s="1"/>
  <c r="L54" i="5"/>
  <c r="AP54" i="5" s="1"/>
  <c r="AQ54" i="5" s="1"/>
  <c r="N41" i="5"/>
  <c r="N51" i="5"/>
  <c r="N49" i="5"/>
  <c r="K52" i="10"/>
  <c r="AT52" i="10" s="1"/>
  <c r="L41" i="5"/>
  <c r="AP41" i="5" s="1"/>
  <c r="AQ41" i="5" s="1"/>
  <c r="O48" i="5"/>
  <c r="P48" i="5" s="1"/>
  <c r="K53" i="10"/>
  <c r="AT53" i="10" s="1"/>
  <c r="K51" i="10"/>
  <c r="AT51" i="10" s="1"/>
  <c r="M52" i="10"/>
  <c r="M53" i="10"/>
  <c r="M51" i="10"/>
  <c r="N52" i="10"/>
  <c r="O52" i="10" s="1"/>
  <c r="N51" i="10"/>
  <c r="O51" i="10" s="1"/>
  <c r="N48" i="5"/>
  <c r="O49" i="5"/>
  <c r="P49" i="5" s="1"/>
  <c r="L48" i="5"/>
  <c r="AP48" i="5" s="1"/>
  <c r="AQ48" i="5" s="1"/>
  <c r="M54" i="10"/>
  <c r="K54" i="10"/>
  <c r="AT54" i="10" s="1"/>
  <c r="N53" i="10"/>
  <c r="O53" i="10" s="1"/>
  <c r="N42" i="10"/>
  <c r="O42" i="10" s="1"/>
  <c r="L49" i="5"/>
  <c r="AP49" i="5" s="1"/>
  <c r="AQ49" i="5" s="1"/>
  <c r="N54" i="10"/>
  <c r="O54" i="10" s="1"/>
  <c r="L50" i="5"/>
  <c r="AP50" i="5" s="1"/>
  <c r="AQ50" i="5" s="1"/>
  <c r="O51" i="5"/>
  <c r="P51" i="5" s="1"/>
  <c r="N50" i="5"/>
  <c r="O40" i="5"/>
  <c r="P40" i="5" s="1"/>
  <c r="AO40" i="5" s="1"/>
  <c r="N40" i="5"/>
  <c r="K42" i="10"/>
  <c r="AT42" i="10" s="1"/>
  <c r="K43" i="10"/>
  <c r="AT43" i="10" s="1"/>
  <c r="N43" i="10"/>
  <c r="O43" i="10" s="1"/>
  <c r="M42" i="10"/>
  <c r="M43" i="10"/>
  <c r="L40" i="5"/>
  <c r="AP40" i="5" s="1"/>
  <c r="AQ40" i="5" s="1"/>
  <c r="I35" i="10"/>
  <c r="J35" i="10"/>
  <c r="L35" i="10"/>
  <c r="AN40" i="10"/>
  <c r="AN16" i="10"/>
  <c r="AG40" i="10"/>
  <c r="AV40" i="10" s="1"/>
  <c r="W40" i="10"/>
  <c r="V40" i="10"/>
  <c r="U40" i="10"/>
  <c r="AN38" i="10"/>
  <c r="AG38" i="10"/>
  <c r="AV38" i="10" s="1"/>
  <c r="W38" i="10"/>
  <c r="V38" i="10"/>
  <c r="U38" i="10"/>
  <c r="AE41" i="10"/>
  <c r="AD41" i="10"/>
  <c r="AC41" i="10"/>
  <c r="AB41" i="10"/>
  <c r="L41" i="10"/>
  <c r="J41" i="10"/>
  <c r="I41" i="10"/>
  <c r="AE40" i="10"/>
  <c r="AD40" i="10"/>
  <c r="AC40" i="10"/>
  <c r="AB40" i="10"/>
  <c r="L40" i="10"/>
  <c r="J40" i="10"/>
  <c r="I40" i="10"/>
  <c r="AE39" i="10"/>
  <c r="AD39" i="10"/>
  <c r="AC39" i="10"/>
  <c r="AB39" i="10"/>
  <c r="L39" i="10"/>
  <c r="J39" i="10"/>
  <c r="I39" i="10"/>
  <c r="AE38" i="10"/>
  <c r="AD38" i="10"/>
  <c r="AC38" i="10"/>
  <c r="AB38" i="10"/>
  <c r="L38" i="10"/>
  <c r="J38" i="10"/>
  <c r="I38" i="10"/>
  <c r="S38" i="5"/>
  <c r="W38" i="5"/>
  <c r="V38" i="5"/>
  <c r="X38" i="5"/>
  <c r="AH38" i="5"/>
  <c r="AR38" i="5" s="1"/>
  <c r="AJ38" i="5"/>
  <c r="AJ36" i="5"/>
  <c r="AH36" i="5"/>
  <c r="AR36" i="5" s="1"/>
  <c r="X36" i="5"/>
  <c r="W36" i="5"/>
  <c r="V36" i="5"/>
  <c r="S36" i="5"/>
  <c r="J38" i="5"/>
  <c r="K38" i="5"/>
  <c r="M38" i="5"/>
  <c r="AC38" i="5"/>
  <c r="AD38" i="5"/>
  <c r="AE38" i="5"/>
  <c r="AF38" i="5"/>
  <c r="J39" i="5"/>
  <c r="K39" i="5"/>
  <c r="M39" i="5"/>
  <c r="AC39" i="5"/>
  <c r="AD39" i="5"/>
  <c r="AE39" i="5"/>
  <c r="AF39" i="5"/>
  <c r="E50" i="12"/>
  <c r="O50" i="12" s="1"/>
  <c r="D50" i="12"/>
  <c r="N50" i="12" s="1"/>
  <c r="F48" i="12"/>
  <c r="P48" i="12" s="1"/>
  <c r="Q48" i="12" s="1"/>
  <c r="E55" i="11"/>
  <c r="D55" i="11"/>
  <c r="F53" i="11"/>
  <c r="P53" i="11" s="1"/>
  <c r="Q53" i="11" s="1"/>
  <c r="F46" i="12"/>
  <c r="P46" i="12" s="1"/>
  <c r="Q46" i="12" s="1"/>
  <c r="F50" i="11"/>
  <c r="P50" i="11" s="1"/>
  <c r="Q50" i="11" s="1"/>
  <c r="AB18" i="10"/>
  <c r="AC18" i="10"/>
  <c r="AD18" i="10"/>
  <c r="AE18" i="10"/>
  <c r="AB20" i="10"/>
  <c r="AC20" i="10"/>
  <c r="AD20" i="10"/>
  <c r="AE20" i="10"/>
  <c r="AB24" i="10"/>
  <c r="AC24" i="10"/>
  <c r="AD24" i="10"/>
  <c r="AE24" i="10"/>
  <c r="AB26" i="10"/>
  <c r="AC26" i="10"/>
  <c r="AD26" i="10"/>
  <c r="AE26" i="10"/>
  <c r="AB28" i="10"/>
  <c r="AC28" i="10"/>
  <c r="AD28" i="10"/>
  <c r="AE28" i="10"/>
  <c r="AB30" i="10"/>
  <c r="AC30" i="10"/>
  <c r="AD30" i="10"/>
  <c r="AE30" i="10"/>
  <c r="AB32" i="10"/>
  <c r="AC32" i="10"/>
  <c r="AD32" i="10"/>
  <c r="AE32" i="10"/>
  <c r="AB34" i="10"/>
  <c r="AC34" i="10"/>
  <c r="AD34" i="10"/>
  <c r="AE34" i="10"/>
  <c r="AB36" i="10"/>
  <c r="AC36" i="10"/>
  <c r="AD36" i="10"/>
  <c r="AE36" i="10"/>
  <c r="AB37" i="10"/>
  <c r="AC37" i="10"/>
  <c r="AD37" i="10"/>
  <c r="AE37" i="10"/>
  <c r="AC16" i="5"/>
  <c r="AD16" i="5"/>
  <c r="AE16" i="5"/>
  <c r="AF16" i="5"/>
  <c r="AC18" i="5"/>
  <c r="AD18" i="5"/>
  <c r="AE18" i="5"/>
  <c r="AF18" i="5"/>
  <c r="AC22" i="5"/>
  <c r="AD22" i="5"/>
  <c r="AE22" i="5"/>
  <c r="AF22" i="5"/>
  <c r="AC24" i="5"/>
  <c r="AD24" i="5"/>
  <c r="AE24" i="5"/>
  <c r="AF24" i="5"/>
  <c r="AC26" i="5"/>
  <c r="AD26" i="5"/>
  <c r="AE26" i="5"/>
  <c r="AF26" i="5"/>
  <c r="AC28" i="5"/>
  <c r="AD28" i="5"/>
  <c r="AE28" i="5"/>
  <c r="AF28" i="5"/>
  <c r="AC30" i="5"/>
  <c r="AD30" i="5"/>
  <c r="AE30" i="5"/>
  <c r="AF30" i="5"/>
  <c r="AC32" i="5"/>
  <c r="AD32" i="5"/>
  <c r="AE32" i="5"/>
  <c r="AF32" i="5"/>
  <c r="AD34" i="5"/>
  <c r="AE34" i="5"/>
  <c r="AF34" i="5"/>
  <c r="AC35" i="5"/>
  <c r="AD35" i="5"/>
  <c r="AE35" i="5"/>
  <c r="AF35" i="5"/>
  <c r="AC36" i="5"/>
  <c r="AD36" i="5"/>
  <c r="AE36" i="5"/>
  <c r="AF36" i="5"/>
  <c r="AC37" i="5"/>
  <c r="AD37" i="5"/>
  <c r="AE37" i="5"/>
  <c r="AF37" i="5"/>
  <c r="AN36" i="10"/>
  <c r="AG36" i="10"/>
  <c r="AV36" i="10" s="1"/>
  <c r="U36" i="10"/>
  <c r="I36" i="10"/>
  <c r="J36" i="10"/>
  <c r="L36" i="10"/>
  <c r="I37" i="10"/>
  <c r="J37" i="10"/>
  <c r="L37" i="10"/>
  <c r="AJ34" i="5"/>
  <c r="AH34" i="5"/>
  <c r="AR34" i="5" s="1"/>
  <c r="V34" i="5"/>
  <c r="S34" i="5"/>
  <c r="J33" i="5"/>
  <c r="K33" i="5"/>
  <c r="M33" i="5"/>
  <c r="J34" i="5"/>
  <c r="K34" i="5"/>
  <c r="M34" i="5"/>
  <c r="J35" i="5"/>
  <c r="K35" i="5"/>
  <c r="M35" i="5"/>
  <c r="J36" i="5"/>
  <c r="K36" i="5"/>
  <c r="M36" i="5"/>
  <c r="J37" i="5"/>
  <c r="K37" i="5"/>
  <c r="M37" i="5"/>
  <c r="M31" i="5"/>
  <c r="K31" i="5"/>
  <c r="J31" i="5"/>
  <c r="M27" i="5"/>
  <c r="K27" i="5"/>
  <c r="J27" i="5"/>
  <c r="M29" i="5"/>
  <c r="K29" i="5"/>
  <c r="J29" i="5"/>
  <c r="S32" i="5"/>
  <c r="W32" i="5"/>
  <c r="X32" i="5"/>
  <c r="AH32" i="5"/>
  <c r="AR32" i="5" s="1"/>
  <c r="L19" i="10"/>
  <c r="J19" i="10"/>
  <c r="I19" i="10"/>
  <c r="L31" i="10"/>
  <c r="J31" i="10"/>
  <c r="I31" i="10"/>
  <c r="L29" i="10"/>
  <c r="J29" i="10"/>
  <c r="I29" i="10"/>
  <c r="L33" i="10"/>
  <c r="J33" i="10"/>
  <c r="I33" i="10"/>
  <c r="AN32" i="10"/>
  <c r="F43" i="12"/>
  <c r="P43" i="12" s="1"/>
  <c r="Q43" i="12" s="1"/>
  <c r="F47" i="11"/>
  <c r="P47" i="11" s="1"/>
  <c r="Q47" i="11" s="1"/>
  <c r="R32" i="5"/>
  <c r="R30" i="5"/>
  <c r="S32" i="10"/>
  <c r="V32" i="10"/>
  <c r="W32" i="10"/>
  <c r="AG32" i="10"/>
  <c r="AV32" i="10" s="1"/>
  <c r="AN34" i="10"/>
  <c r="AG34" i="10"/>
  <c r="AV34" i="10" s="1"/>
  <c r="W34" i="10"/>
  <c r="V34" i="10"/>
  <c r="F44" i="11"/>
  <c r="P44" i="11" s="1"/>
  <c r="Q44" i="11" s="1"/>
  <c r="F42" i="11"/>
  <c r="P42" i="11" s="1"/>
  <c r="Q42" i="11" s="1"/>
  <c r="E46" i="11"/>
  <c r="D46" i="11"/>
  <c r="E43" i="11"/>
  <c r="D43" i="11"/>
  <c r="F40" i="12"/>
  <c r="P40" i="12" s="1"/>
  <c r="Q40" i="12" s="1"/>
  <c r="E42" i="12"/>
  <c r="O42" i="12" s="1"/>
  <c r="D42" i="12"/>
  <c r="N42" i="12" s="1"/>
  <c r="Q42" i="12" s="1"/>
  <c r="D39" i="12"/>
  <c r="N39" i="12" s="1"/>
  <c r="E39" i="12"/>
  <c r="O39" i="12" s="1"/>
  <c r="F37" i="12"/>
  <c r="P37" i="12" s="1"/>
  <c r="Q37" i="12" s="1"/>
  <c r="V32" i="5"/>
  <c r="U34" i="10"/>
  <c r="U32" i="10"/>
  <c r="L34" i="10"/>
  <c r="J34" i="10"/>
  <c r="I34" i="10"/>
  <c r="L32" i="10"/>
  <c r="J32" i="10"/>
  <c r="I32" i="10"/>
  <c r="M32" i="5"/>
  <c r="K32" i="5"/>
  <c r="J32" i="5"/>
  <c r="V30" i="5"/>
  <c r="M30" i="5"/>
  <c r="K30" i="5"/>
  <c r="J30" i="5"/>
  <c r="AN30" i="10"/>
  <c r="AG30" i="10"/>
  <c r="AV30" i="10" s="1"/>
  <c r="U30" i="10"/>
  <c r="AJ28" i="5"/>
  <c r="AH28" i="5"/>
  <c r="AR28" i="5" s="1"/>
  <c r="V28" i="5"/>
  <c r="S28" i="5"/>
  <c r="F34" i="12"/>
  <c r="P34" i="12" s="1"/>
  <c r="Q34" i="12" s="1"/>
  <c r="I25" i="10"/>
  <c r="J25" i="10"/>
  <c r="L25" i="10"/>
  <c r="J23" i="5"/>
  <c r="K23" i="5"/>
  <c r="M23" i="5"/>
  <c r="I27" i="10"/>
  <c r="J27" i="10"/>
  <c r="L27" i="10"/>
  <c r="E33" i="12"/>
  <c r="O33" i="12" s="1"/>
  <c r="D33" i="12"/>
  <c r="N33" i="12" s="1"/>
  <c r="E38" i="11"/>
  <c r="D38" i="11"/>
  <c r="I23" i="10"/>
  <c r="J23" i="10"/>
  <c r="L23" i="10"/>
  <c r="M21" i="5"/>
  <c r="M20" i="5"/>
  <c r="K21" i="5"/>
  <c r="K20" i="5"/>
  <c r="J21" i="5"/>
  <c r="J20" i="5"/>
  <c r="K25" i="5"/>
  <c r="J25" i="5"/>
  <c r="M25" i="5"/>
  <c r="AJ26" i="5"/>
  <c r="AH26" i="5"/>
  <c r="AR26" i="5" s="1"/>
  <c r="X26" i="5"/>
  <c r="W26" i="5"/>
  <c r="V26" i="5"/>
  <c r="T26" i="5"/>
  <c r="S26" i="5"/>
  <c r="AC9" i="5"/>
  <c r="AD9" i="5"/>
  <c r="AE9" i="5"/>
  <c r="AF9" i="5"/>
  <c r="J9" i="5"/>
  <c r="K9" i="5"/>
  <c r="M9" i="5"/>
  <c r="S9" i="5"/>
  <c r="V9" i="5"/>
  <c r="W9" i="5"/>
  <c r="X9" i="5"/>
  <c r="AH9" i="5"/>
  <c r="AR9" i="5" s="1"/>
  <c r="AJ9" i="5"/>
  <c r="AL9" i="5"/>
  <c r="AM9" i="5" s="1"/>
  <c r="AE5" i="10"/>
  <c r="AE7" i="10"/>
  <c r="AE9" i="10"/>
  <c r="AE11" i="10"/>
  <c r="AE13" i="10"/>
  <c r="AE15" i="10"/>
  <c r="AE3" i="10"/>
  <c r="AD5" i="10"/>
  <c r="AD7" i="10"/>
  <c r="AD9" i="10"/>
  <c r="AD11" i="10"/>
  <c r="AD13" i="10"/>
  <c r="AD15" i="10"/>
  <c r="AD3" i="10"/>
  <c r="AC5" i="10"/>
  <c r="AC7" i="10"/>
  <c r="AC9" i="10"/>
  <c r="AC11" i="10"/>
  <c r="AC13" i="10"/>
  <c r="AC15" i="10"/>
  <c r="AC3" i="10"/>
  <c r="AF7" i="5"/>
  <c r="AF11" i="5"/>
  <c r="AF13" i="5"/>
  <c r="AF14" i="5"/>
  <c r="AF3" i="5"/>
  <c r="AE7" i="5"/>
  <c r="AE11" i="5"/>
  <c r="AE13" i="5"/>
  <c r="AE14" i="5"/>
  <c r="AE3" i="5"/>
  <c r="AD7" i="5"/>
  <c r="AD11" i="5"/>
  <c r="AD13" i="5"/>
  <c r="AD14" i="5"/>
  <c r="AD3" i="5"/>
  <c r="AC7" i="5"/>
  <c r="AC11" i="5"/>
  <c r="AC13" i="5"/>
  <c r="AC14" i="5"/>
  <c r="AC3" i="5"/>
  <c r="L28" i="10"/>
  <c r="J28" i="10"/>
  <c r="I28" i="10"/>
  <c r="F31" i="12"/>
  <c r="P31" i="12" s="1"/>
  <c r="Q31" i="12" s="1"/>
  <c r="F34" i="11"/>
  <c r="P34" i="11" s="1"/>
  <c r="Q34" i="11" s="1"/>
  <c r="AB5" i="10"/>
  <c r="AB7" i="10"/>
  <c r="AB9" i="10"/>
  <c r="AB11" i="10"/>
  <c r="AB13" i="10"/>
  <c r="AB15" i="10"/>
  <c r="E33" i="11"/>
  <c r="D33" i="11"/>
  <c r="F32" i="11"/>
  <c r="P32" i="11" s="1"/>
  <c r="Q32" i="11" s="1"/>
  <c r="F28" i="12"/>
  <c r="P28" i="12" s="1"/>
  <c r="Q28" i="12" s="1"/>
  <c r="E30" i="12"/>
  <c r="O30" i="12" s="1"/>
  <c r="D30" i="12"/>
  <c r="N30" i="12" s="1"/>
  <c r="Q30" i="12" s="1"/>
  <c r="AN26" i="10"/>
  <c r="AG26" i="10"/>
  <c r="AV26" i="10" s="1"/>
  <c r="W26" i="10"/>
  <c r="V26" i="10"/>
  <c r="U26" i="10"/>
  <c r="AJ24" i="5"/>
  <c r="AH24" i="5"/>
  <c r="AR24" i="5" s="1"/>
  <c r="X24" i="5"/>
  <c r="W24" i="5"/>
  <c r="V24" i="5"/>
  <c r="S24" i="5"/>
  <c r="AB3" i="10"/>
  <c r="U13" i="10"/>
  <c r="I24" i="10"/>
  <c r="J24" i="10"/>
  <c r="L24" i="10"/>
  <c r="I26" i="10"/>
  <c r="J26" i="10"/>
  <c r="L26" i="10"/>
  <c r="I30" i="10"/>
  <c r="J30" i="10"/>
  <c r="L30" i="10"/>
  <c r="I21" i="10"/>
  <c r="J21" i="10"/>
  <c r="L21" i="10"/>
  <c r="I22" i="10"/>
  <c r="J22" i="10"/>
  <c r="L22" i="10"/>
  <c r="M19" i="5"/>
  <c r="K19" i="5"/>
  <c r="J19" i="5"/>
  <c r="AW33" i="2"/>
  <c r="AV33" i="2"/>
  <c r="AU33" i="2"/>
  <c r="AT33" i="2"/>
  <c r="F30" i="11"/>
  <c r="P30" i="11" s="1"/>
  <c r="Q30" i="11" s="1"/>
  <c r="E29" i="11"/>
  <c r="D29" i="11"/>
  <c r="F27" i="11"/>
  <c r="P27" i="11" s="1"/>
  <c r="Q27" i="11" s="1"/>
  <c r="F26" i="12"/>
  <c r="P26" i="12" s="1"/>
  <c r="Q26" i="12" s="1"/>
  <c r="F23" i="12"/>
  <c r="P23" i="12" s="1"/>
  <c r="Q23" i="12" s="1"/>
  <c r="E25" i="12"/>
  <c r="O25" i="12" s="1"/>
  <c r="D25" i="12"/>
  <c r="N25" i="12" s="1"/>
  <c r="AJ20" i="5"/>
  <c r="W20" i="5"/>
  <c r="V20" i="5"/>
  <c r="S20" i="5"/>
  <c r="AN22" i="10"/>
  <c r="AG22" i="10"/>
  <c r="AV22" i="10" s="1"/>
  <c r="W22" i="10"/>
  <c r="V22" i="10"/>
  <c r="U22" i="10"/>
  <c r="AN24" i="10"/>
  <c r="AG24" i="10"/>
  <c r="AV24" i="10" s="1"/>
  <c r="U24" i="10"/>
  <c r="AJ22" i="5"/>
  <c r="AH22" i="5"/>
  <c r="AR22" i="5" s="1"/>
  <c r="V22" i="5"/>
  <c r="S22" i="5"/>
  <c r="W18" i="5"/>
  <c r="V18" i="5"/>
  <c r="V16" i="5"/>
  <c r="S18" i="5"/>
  <c r="S16" i="5"/>
  <c r="J22" i="5"/>
  <c r="K22" i="5"/>
  <c r="M22" i="5"/>
  <c r="J24" i="5"/>
  <c r="K24" i="5"/>
  <c r="M24" i="5"/>
  <c r="J26" i="5"/>
  <c r="K26" i="5"/>
  <c r="M26" i="5"/>
  <c r="J28" i="5"/>
  <c r="K28" i="5"/>
  <c r="M28" i="5"/>
  <c r="AJ18" i="5"/>
  <c r="AH18" i="5"/>
  <c r="AR18" i="5" s="1"/>
  <c r="AJ16" i="5"/>
  <c r="AH16" i="5"/>
  <c r="AR16" i="5" s="1"/>
  <c r="AN20" i="10"/>
  <c r="AG20" i="10"/>
  <c r="AV20" i="10" s="1"/>
  <c r="W20" i="10"/>
  <c r="V20" i="10"/>
  <c r="U20" i="10"/>
  <c r="L20" i="10"/>
  <c r="J20" i="10"/>
  <c r="I20" i="10"/>
  <c r="M18" i="5"/>
  <c r="K18" i="5"/>
  <c r="J18" i="5"/>
  <c r="M17" i="5"/>
  <c r="K17" i="5"/>
  <c r="J17" i="5"/>
  <c r="M16" i="5"/>
  <c r="K16" i="5"/>
  <c r="J16" i="5"/>
  <c r="F24" i="11"/>
  <c r="P24" i="11" s="1"/>
  <c r="Q24" i="11" s="1"/>
  <c r="F20" i="12"/>
  <c r="P20" i="12" s="1"/>
  <c r="Q20" i="12" s="1"/>
  <c r="AN18" i="10"/>
  <c r="AG18" i="10"/>
  <c r="AV18" i="10" s="1"/>
  <c r="U18" i="10"/>
  <c r="I18" i="10"/>
  <c r="J18" i="10"/>
  <c r="L18" i="10"/>
  <c r="J12" i="15" l="1"/>
  <c r="P11" i="15"/>
  <c r="U1395" i="13"/>
  <c r="S1396" i="13"/>
  <c r="R11" i="15"/>
  <c r="M12" i="15"/>
  <c r="AR1394" i="13"/>
  <c r="AP1395" i="13"/>
  <c r="P52" i="10"/>
  <c r="AU52" i="10" s="1"/>
  <c r="P58" i="10"/>
  <c r="P43" i="10"/>
  <c r="P56" i="10"/>
  <c r="P61" i="10"/>
  <c r="AU61" i="10" s="1"/>
  <c r="AU58" i="10"/>
  <c r="P57" i="10"/>
  <c r="AU57" i="10" s="1"/>
  <c r="P53" i="10"/>
  <c r="AU53" i="10" s="1"/>
  <c r="U1325" i="13"/>
  <c r="S1326" i="13"/>
  <c r="AR1350" i="13"/>
  <c r="AP1351" i="13"/>
  <c r="AR1337" i="13"/>
  <c r="AP1338" i="13"/>
  <c r="AR1325" i="13"/>
  <c r="AP1326" i="13"/>
  <c r="AO51" i="5"/>
  <c r="Q51" i="5"/>
  <c r="AO50" i="5"/>
  <c r="Q50" i="5"/>
  <c r="P54" i="10"/>
  <c r="AU54" i="10" s="1"/>
  <c r="P51" i="10"/>
  <c r="AU51" i="10" s="1"/>
  <c r="AO49" i="5"/>
  <c r="Q49" i="5"/>
  <c r="AO48" i="5"/>
  <c r="Q48" i="5"/>
  <c r="AU43" i="10"/>
  <c r="AU56" i="10"/>
  <c r="AO54" i="5"/>
  <c r="Q54" i="5"/>
  <c r="AO53" i="5"/>
  <c r="Q53" i="5"/>
  <c r="AO55" i="5"/>
  <c r="Q55" i="5"/>
  <c r="AR10" i="13"/>
  <c r="AP11" i="13"/>
  <c r="Q50" i="12"/>
  <c r="S12" i="13"/>
  <c r="U11" i="13"/>
  <c r="Q39" i="12"/>
  <c r="Q25" i="12"/>
  <c r="Q33" i="12"/>
  <c r="Y38" i="11"/>
  <c r="O38" i="11"/>
  <c r="Y46" i="11"/>
  <c r="O46" i="11"/>
  <c r="Y33" i="11"/>
  <c r="O33" i="11"/>
  <c r="Y55" i="11"/>
  <c r="O55" i="11"/>
  <c r="Y29" i="11"/>
  <c r="O29" i="11"/>
  <c r="Y43" i="11"/>
  <c r="O43" i="11"/>
  <c r="Z43" i="11"/>
  <c r="N43" i="11"/>
  <c r="Z29" i="11"/>
  <c r="N29" i="11"/>
  <c r="Z46" i="11"/>
  <c r="N46" i="11"/>
  <c r="Z38" i="11"/>
  <c r="N38" i="11"/>
  <c r="Z33" i="11"/>
  <c r="N33" i="11"/>
  <c r="Z55" i="11"/>
  <c r="N55" i="11"/>
  <c r="W13" i="11"/>
  <c r="X13" i="11" s="1"/>
  <c r="W68" i="11"/>
  <c r="X68" i="11" s="1"/>
  <c r="W67" i="11"/>
  <c r="X67" i="11" s="1"/>
  <c r="W23" i="11"/>
  <c r="X23" i="11" s="1"/>
  <c r="W41" i="11"/>
  <c r="X41" i="11" s="1"/>
  <c r="W33" i="11"/>
  <c r="X33" i="11" s="1"/>
  <c r="W27" i="11"/>
  <c r="X27" i="11" s="1"/>
  <c r="W26" i="11"/>
  <c r="X26" i="11" s="1"/>
  <c r="W21" i="11"/>
  <c r="X21" i="11" s="1"/>
  <c r="W29" i="11"/>
  <c r="X29" i="11" s="1"/>
  <c r="W22" i="11"/>
  <c r="X22" i="11" s="1"/>
  <c r="W5" i="11"/>
  <c r="X5" i="11" s="1"/>
  <c r="W64" i="11"/>
  <c r="X64" i="11" s="1"/>
  <c r="W24" i="11"/>
  <c r="X24" i="11" s="1"/>
  <c r="W60" i="11"/>
  <c r="X60" i="11" s="1"/>
  <c r="W20" i="11"/>
  <c r="X20" i="11" s="1"/>
  <c r="W72" i="11"/>
  <c r="X72" i="11" s="1"/>
  <c r="W25" i="11"/>
  <c r="X25" i="11" s="1"/>
  <c r="W66" i="11"/>
  <c r="X66" i="11" s="1"/>
  <c r="W3" i="11"/>
  <c r="X3" i="11" s="1"/>
  <c r="W7" i="11"/>
  <c r="X7" i="11" s="1"/>
  <c r="W62" i="11"/>
  <c r="X62" i="11" s="1"/>
  <c r="W18" i="11"/>
  <c r="X18" i="11" s="1"/>
  <c r="W73" i="11"/>
  <c r="X73" i="11" s="1"/>
  <c r="W61" i="11"/>
  <c r="X61" i="11" s="1"/>
  <c r="W56" i="11"/>
  <c r="X56" i="11" s="1"/>
  <c r="W65" i="11"/>
  <c r="X65" i="11" s="1"/>
  <c r="W63" i="11"/>
  <c r="X63" i="11" s="1"/>
  <c r="W54" i="11"/>
  <c r="X54" i="11" s="1"/>
  <c r="W57" i="11"/>
  <c r="X57" i="11" s="1"/>
  <c r="W31" i="11"/>
  <c r="X31" i="11" s="1"/>
  <c r="W53" i="11"/>
  <c r="X53" i="11" s="1"/>
  <c r="W34" i="11"/>
  <c r="X34" i="11" s="1"/>
  <c r="W58" i="11"/>
  <c r="X58" i="11" s="1"/>
  <c r="W8" i="11"/>
  <c r="X8" i="11" s="1"/>
  <c r="W71" i="11"/>
  <c r="X71" i="11" s="1"/>
  <c r="W55" i="11"/>
  <c r="X55" i="11" s="1"/>
  <c r="W38" i="11"/>
  <c r="X38" i="11" s="1"/>
  <c r="W50" i="11"/>
  <c r="X50" i="11" s="1"/>
  <c r="W49" i="11"/>
  <c r="X49" i="11" s="1"/>
  <c r="W19" i="11"/>
  <c r="X19" i="11" s="1"/>
  <c r="W51" i="11"/>
  <c r="X51" i="11" s="1"/>
  <c r="W59" i="11"/>
  <c r="X59" i="11" s="1"/>
  <c r="W14" i="11"/>
  <c r="X14" i="11" s="1"/>
  <c r="W45" i="11"/>
  <c r="X45" i="11" s="1"/>
  <c r="W4" i="11"/>
  <c r="X4" i="11" s="1"/>
  <c r="W47" i="11"/>
  <c r="X47" i="11" s="1"/>
  <c r="W43" i="11"/>
  <c r="X43" i="11" s="1"/>
  <c r="W69" i="11"/>
  <c r="X69" i="11" s="1"/>
  <c r="W42" i="11"/>
  <c r="X42" i="11" s="1"/>
  <c r="W70" i="11"/>
  <c r="X70" i="11" s="1"/>
  <c r="W44" i="11"/>
  <c r="X44" i="11" s="1"/>
  <c r="W11" i="11"/>
  <c r="X11" i="11" s="1"/>
  <c r="W46" i="11"/>
  <c r="X46" i="11" s="1"/>
  <c r="W39" i="11"/>
  <c r="X39" i="11" s="1"/>
  <c r="W36" i="11"/>
  <c r="X36" i="11" s="1"/>
  <c r="W35" i="11"/>
  <c r="X35" i="11" s="1"/>
  <c r="W15" i="11"/>
  <c r="X15" i="11" s="1"/>
  <c r="W40" i="11"/>
  <c r="X40" i="11" s="1"/>
  <c r="W16" i="11"/>
  <c r="X16" i="11" s="1"/>
  <c r="W17" i="11"/>
  <c r="X17" i="11" s="1"/>
  <c r="W10" i="11"/>
  <c r="X10" i="11" s="1"/>
  <c r="W9" i="11"/>
  <c r="X9" i="11" s="1"/>
  <c r="W30" i="11"/>
  <c r="X30" i="11" s="1"/>
  <c r="W6" i="11"/>
  <c r="X6" i="11" s="1"/>
  <c r="W32" i="11"/>
  <c r="X32" i="11" s="1"/>
  <c r="W48" i="11"/>
  <c r="X48" i="11" s="1"/>
  <c r="W28" i="11"/>
  <c r="X28" i="11" s="1"/>
  <c r="W12" i="11"/>
  <c r="X12" i="11" s="1"/>
  <c r="W37" i="11"/>
  <c r="X37" i="11" s="1"/>
  <c r="W52" i="11"/>
  <c r="X52" i="11" s="1"/>
  <c r="AF13" i="10"/>
  <c r="AF7" i="10"/>
  <c r="AF3" i="10"/>
  <c r="AF41" i="10"/>
  <c r="AF40" i="10"/>
  <c r="AG14" i="5"/>
  <c r="AG13" i="5"/>
  <c r="AG38" i="5"/>
  <c r="AG11" i="5"/>
  <c r="AG32" i="5"/>
  <c r="AG28" i="5"/>
  <c r="AG24" i="5"/>
  <c r="AG18" i="5"/>
  <c r="AG39" i="5"/>
  <c r="AG7" i="5"/>
  <c r="AG37" i="5"/>
  <c r="AG9" i="5"/>
  <c r="AG35" i="5"/>
  <c r="AG34" i="5"/>
  <c r="AG30" i="5"/>
  <c r="AG26" i="5"/>
  <c r="AG22" i="5"/>
  <c r="AG16" i="5"/>
  <c r="AG3" i="5"/>
  <c r="AG36" i="5"/>
  <c r="AF34" i="10"/>
  <c r="AF20" i="10"/>
  <c r="AF39" i="10"/>
  <c r="AF37" i="10"/>
  <c r="AF30" i="10"/>
  <c r="AF26" i="10"/>
  <c r="AF15" i="10"/>
  <c r="AF38" i="10"/>
  <c r="AF11" i="10"/>
  <c r="AF36" i="10"/>
  <c r="AF32" i="10"/>
  <c r="AF28" i="10"/>
  <c r="AF24" i="10"/>
  <c r="AF18" i="10"/>
  <c r="AF5" i="10"/>
  <c r="AF9" i="10"/>
  <c r="Q41" i="5"/>
  <c r="AO41" i="5"/>
  <c r="M36" i="10"/>
  <c r="M35" i="10"/>
  <c r="M37" i="10"/>
  <c r="N19" i="10"/>
  <c r="O19" i="10" s="1"/>
  <c r="AS19" i="10" s="1"/>
  <c r="N35" i="10"/>
  <c r="O35" i="10" s="1"/>
  <c r="AS35" i="10" s="1"/>
  <c r="N41" i="10"/>
  <c r="O41" i="10" s="1"/>
  <c r="P42" i="10"/>
  <c r="AU42" i="10" s="1"/>
  <c r="K37" i="10"/>
  <c r="AT37" i="10" s="1"/>
  <c r="M24" i="10"/>
  <c r="L35" i="5"/>
  <c r="AP35" i="5" s="1"/>
  <c r="AQ35" i="5" s="1"/>
  <c r="O33" i="5"/>
  <c r="P33" i="5" s="1"/>
  <c r="AO33" i="5" s="1"/>
  <c r="N35" i="5"/>
  <c r="Q40" i="5"/>
  <c r="N34" i="5"/>
  <c r="N38" i="5"/>
  <c r="O31" i="5"/>
  <c r="P31" i="5" s="1"/>
  <c r="AO31" i="5" s="1"/>
  <c r="L33" i="5"/>
  <c r="AP33" i="5" s="1"/>
  <c r="AQ33" i="5" s="1"/>
  <c r="N33" i="5"/>
  <c r="N29" i="5"/>
  <c r="O34" i="5"/>
  <c r="P34" i="5" s="1"/>
  <c r="AO34" i="5" s="1"/>
  <c r="N39" i="5"/>
  <c r="O27" i="5"/>
  <c r="P27" i="5" s="1"/>
  <c r="L39" i="5"/>
  <c r="AP39" i="5" s="1"/>
  <c r="AQ39" i="5" s="1"/>
  <c r="O38" i="5"/>
  <c r="P38" i="5" s="1"/>
  <c r="AO38" i="5" s="1"/>
  <c r="N29" i="10"/>
  <c r="O29" i="10" s="1"/>
  <c r="AS29" i="10" s="1"/>
  <c r="N36" i="10"/>
  <c r="O36" i="10" s="1"/>
  <c r="AS36" i="10" s="1"/>
  <c r="K40" i="10"/>
  <c r="AT40" i="10" s="1"/>
  <c r="K35" i="10"/>
  <c r="AT35" i="10" s="1"/>
  <c r="O35" i="5"/>
  <c r="P35" i="5" s="1"/>
  <c r="AO35" i="5" s="1"/>
  <c r="L38" i="5"/>
  <c r="AP38" i="5" s="1"/>
  <c r="AQ38" i="5" s="1"/>
  <c r="O39" i="5"/>
  <c r="P39" i="5" s="1"/>
  <c r="N37" i="10"/>
  <c r="O37" i="10" s="1"/>
  <c r="K36" i="10"/>
  <c r="AT36" i="10" s="1"/>
  <c r="L34" i="5"/>
  <c r="AP34" i="5" s="1"/>
  <c r="AQ34" i="5" s="1"/>
  <c r="L37" i="5"/>
  <c r="AP37" i="5" s="1"/>
  <c r="AQ37" i="5" s="1"/>
  <c r="O37" i="5"/>
  <c r="P37" i="5" s="1"/>
  <c r="L36" i="5"/>
  <c r="AP36" i="5" s="1"/>
  <c r="AQ36" i="5" s="1"/>
  <c r="N36" i="5"/>
  <c r="N37" i="5"/>
  <c r="O36" i="5"/>
  <c r="P36" i="5" s="1"/>
  <c r="K39" i="10"/>
  <c r="AT39" i="10" s="1"/>
  <c r="M39" i="10"/>
  <c r="M38" i="10"/>
  <c r="K38" i="10"/>
  <c r="AT38" i="10" s="1"/>
  <c r="N39" i="10"/>
  <c r="O39" i="10" s="1"/>
  <c r="O32" i="5"/>
  <c r="P32" i="5" s="1"/>
  <c r="AO32" i="5" s="1"/>
  <c r="N40" i="10"/>
  <c r="O40" i="10" s="1"/>
  <c r="AS40" i="10" s="1"/>
  <c r="N38" i="10"/>
  <c r="O38" i="10" s="1"/>
  <c r="N27" i="10"/>
  <c r="O27" i="10" s="1"/>
  <c r="AS27" i="10" s="1"/>
  <c r="M40" i="10"/>
  <c r="K41" i="10"/>
  <c r="AT41" i="10" s="1"/>
  <c r="M41" i="10"/>
  <c r="K33" i="10"/>
  <c r="AT33" i="10" s="1"/>
  <c r="N33" i="10"/>
  <c r="O33" i="10" s="1"/>
  <c r="M33" i="10"/>
  <c r="M29" i="10"/>
  <c r="K31" i="10"/>
  <c r="AT31" i="10" s="1"/>
  <c r="N31" i="10"/>
  <c r="O31" i="10" s="1"/>
  <c r="M19" i="10"/>
  <c r="N31" i="5"/>
  <c r="L31" i="5"/>
  <c r="AP31" i="5" s="1"/>
  <c r="AQ31" i="5" s="1"/>
  <c r="L27" i="5"/>
  <c r="AP27" i="5" s="1"/>
  <c r="AQ27" i="5" s="1"/>
  <c r="N27" i="5"/>
  <c r="O29" i="5"/>
  <c r="P29" i="5" s="1"/>
  <c r="AO29" i="5" s="1"/>
  <c r="L29" i="5"/>
  <c r="AP29" i="5" s="1"/>
  <c r="AQ29" i="5" s="1"/>
  <c r="K19" i="10"/>
  <c r="AT19" i="10" s="1"/>
  <c r="M31" i="10"/>
  <c r="K29" i="10"/>
  <c r="AT29" i="10" s="1"/>
  <c r="K25" i="10"/>
  <c r="AT25" i="10" s="1"/>
  <c r="M32" i="10"/>
  <c r="N32" i="10"/>
  <c r="O32" i="10" s="1"/>
  <c r="AS32" i="10" s="1"/>
  <c r="M30" i="10"/>
  <c r="L26" i="5"/>
  <c r="AP26" i="5" s="1"/>
  <c r="AQ26" i="5" s="1"/>
  <c r="N30" i="5"/>
  <c r="O30" i="5"/>
  <c r="P30" i="5" s="1"/>
  <c r="AO30" i="5" s="1"/>
  <c r="N34" i="10"/>
  <c r="O34" i="10" s="1"/>
  <c r="K34" i="10"/>
  <c r="AT34" i="10" s="1"/>
  <c r="M34" i="10"/>
  <c r="N21" i="5"/>
  <c r="N32" i="5"/>
  <c r="K32" i="10"/>
  <c r="AT32" i="10" s="1"/>
  <c r="L32" i="5"/>
  <c r="AP32" i="5" s="1"/>
  <c r="AQ32" i="5" s="1"/>
  <c r="L30" i="5"/>
  <c r="AP30" i="5" s="1"/>
  <c r="AQ30" i="5" s="1"/>
  <c r="N20" i="5"/>
  <c r="N25" i="10"/>
  <c r="O25" i="10" s="1"/>
  <c r="AS25" i="10" s="1"/>
  <c r="M25" i="10"/>
  <c r="N18" i="10"/>
  <c r="O18" i="10" s="1"/>
  <c r="AS18" i="10" s="1"/>
  <c r="N20" i="10"/>
  <c r="O20" i="10" s="1"/>
  <c r="AS20" i="10" s="1"/>
  <c r="O23" i="5"/>
  <c r="P23" i="5" s="1"/>
  <c r="AO23" i="5" s="1"/>
  <c r="L23" i="5"/>
  <c r="AP23" i="5" s="1"/>
  <c r="AQ23" i="5" s="1"/>
  <c r="N23" i="5"/>
  <c r="L9" i="5"/>
  <c r="AP9" i="5" s="1"/>
  <c r="AQ9" i="5" s="1"/>
  <c r="N22" i="5"/>
  <c r="K27" i="10"/>
  <c r="AT27" i="10" s="1"/>
  <c r="M26" i="10"/>
  <c r="M27" i="10"/>
  <c r="N28" i="10"/>
  <c r="O28" i="10" s="1"/>
  <c r="AS28" i="10" s="1"/>
  <c r="K30" i="10"/>
  <c r="AT30" i="10" s="1"/>
  <c r="K24" i="10"/>
  <c r="AT24" i="10" s="1"/>
  <c r="N23" i="10"/>
  <c r="O23" i="10" s="1"/>
  <c r="AS23" i="10" s="1"/>
  <c r="M18" i="10"/>
  <c r="K26" i="10"/>
  <c r="AT26" i="10" s="1"/>
  <c r="N26" i="5"/>
  <c r="N9" i="5"/>
  <c r="L25" i="5"/>
  <c r="AP25" i="5" s="1"/>
  <c r="AQ25" i="5" s="1"/>
  <c r="L20" i="5"/>
  <c r="AP20" i="5" s="1"/>
  <c r="AQ20" i="5" s="1"/>
  <c r="L21" i="5"/>
  <c r="AP21" i="5" s="1"/>
  <c r="AQ21" i="5" s="1"/>
  <c r="K23" i="10"/>
  <c r="AT23" i="10" s="1"/>
  <c r="K22" i="10"/>
  <c r="AT22" i="10" s="1"/>
  <c r="M23" i="10"/>
  <c r="M22" i="10"/>
  <c r="N30" i="10"/>
  <c r="O30" i="10" s="1"/>
  <c r="N26" i="10"/>
  <c r="O26" i="10" s="1"/>
  <c r="AS26" i="10" s="1"/>
  <c r="N24" i="10"/>
  <c r="O24" i="10" s="1"/>
  <c r="AS24" i="10" s="1"/>
  <c r="M28" i="10"/>
  <c r="M21" i="10"/>
  <c r="K18" i="10"/>
  <c r="AT18" i="10" s="1"/>
  <c r="N25" i="5"/>
  <c r="L28" i="5"/>
  <c r="AP28" i="5" s="1"/>
  <c r="AQ28" i="5" s="1"/>
  <c r="O20" i="5"/>
  <c r="P20" i="5" s="1"/>
  <c r="AO20" i="5" s="1"/>
  <c r="O25" i="5"/>
  <c r="P25" i="5" s="1"/>
  <c r="AO25" i="5" s="1"/>
  <c r="O21" i="5"/>
  <c r="P21" i="5" s="1"/>
  <c r="AO21" i="5" s="1"/>
  <c r="L22" i="5"/>
  <c r="AP22" i="5" s="1"/>
  <c r="AQ22" i="5" s="1"/>
  <c r="O9" i="5"/>
  <c r="P9" i="5" s="1"/>
  <c r="O17" i="5"/>
  <c r="P17" i="5" s="1"/>
  <c r="AO17" i="5" s="1"/>
  <c r="L24" i="5"/>
  <c r="AP24" i="5" s="1"/>
  <c r="AQ24" i="5" s="1"/>
  <c r="O16" i="5"/>
  <c r="P16" i="5" s="1"/>
  <c r="AO16" i="5" s="1"/>
  <c r="N28" i="5"/>
  <c r="N24" i="5"/>
  <c r="K28" i="10"/>
  <c r="AT28" i="10" s="1"/>
  <c r="L19" i="5"/>
  <c r="AP19" i="5" s="1"/>
  <c r="AQ19" i="5" s="1"/>
  <c r="O19" i="5"/>
  <c r="P19" i="5" s="1"/>
  <c r="AO19" i="5" s="1"/>
  <c r="N19" i="5"/>
  <c r="K21" i="10"/>
  <c r="AT21" i="10" s="1"/>
  <c r="M20" i="10"/>
  <c r="N22" i="10"/>
  <c r="O22" i="10" s="1"/>
  <c r="N21" i="10"/>
  <c r="O21" i="10" s="1"/>
  <c r="AS21" i="10" s="1"/>
  <c r="O28" i="5"/>
  <c r="P28" i="5" s="1"/>
  <c r="O26" i="5"/>
  <c r="P26" i="5" s="1"/>
  <c r="AO26" i="5" s="1"/>
  <c r="O24" i="5"/>
  <c r="P24" i="5" s="1"/>
  <c r="AO24" i="5" s="1"/>
  <c r="O22" i="5"/>
  <c r="P22" i="5" s="1"/>
  <c r="AO22" i="5" s="1"/>
  <c r="N16" i="5"/>
  <c r="N17" i="5"/>
  <c r="O18" i="5"/>
  <c r="P18" i="5" s="1"/>
  <c r="AO18" i="5" s="1"/>
  <c r="L18" i="5"/>
  <c r="AP18" i="5" s="1"/>
  <c r="AQ18" i="5" s="1"/>
  <c r="N18" i="5"/>
  <c r="K20" i="10"/>
  <c r="AT20" i="10" s="1"/>
  <c r="L17" i="5"/>
  <c r="AP17" i="5" s="1"/>
  <c r="AQ17" i="5" s="1"/>
  <c r="L16" i="5"/>
  <c r="AP16" i="5" s="1"/>
  <c r="AQ16" i="5" s="1"/>
  <c r="AP11" i="10"/>
  <c r="AQ11" i="10" s="1"/>
  <c r="D28" i="2"/>
  <c r="E28" i="2" s="1"/>
  <c r="BZ28" i="2" s="1"/>
  <c r="D27" i="2"/>
  <c r="E27" i="2" s="1"/>
  <c r="BZ27" i="2" s="1"/>
  <c r="F17" i="12"/>
  <c r="P17" i="12" s="1"/>
  <c r="Q17" i="12" s="1"/>
  <c r="E16" i="12"/>
  <c r="O16" i="12" s="1"/>
  <c r="D16" i="12"/>
  <c r="N16" i="12" s="1"/>
  <c r="F11" i="12"/>
  <c r="P11" i="12" s="1"/>
  <c r="Q11" i="12" s="1"/>
  <c r="F21" i="11"/>
  <c r="P21" i="11" s="1"/>
  <c r="Q21" i="11" s="1"/>
  <c r="F15" i="11"/>
  <c r="P15" i="11" s="1"/>
  <c r="Q15" i="11" s="1"/>
  <c r="F18" i="11"/>
  <c r="P18" i="11" s="1"/>
  <c r="Q18" i="11" s="1"/>
  <c r="F14" i="12"/>
  <c r="P14" i="12" s="1"/>
  <c r="Q14" i="12" s="1"/>
  <c r="E13" i="12"/>
  <c r="O13" i="12" s="1"/>
  <c r="D13" i="12"/>
  <c r="N13" i="12" s="1"/>
  <c r="M12" i="5"/>
  <c r="K12" i="5"/>
  <c r="J12" i="5"/>
  <c r="I14" i="10"/>
  <c r="J14" i="10"/>
  <c r="L14" i="10"/>
  <c r="I12" i="10"/>
  <c r="J12" i="10"/>
  <c r="L12" i="10"/>
  <c r="J10" i="5"/>
  <c r="K10" i="5"/>
  <c r="M10" i="5"/>
  <c r="AJ14" i="5"/>
  <c r="AH14" i="5"/>
  <c r="AR14" i="5" s="1"/>
  <c r="X14" i="5"/>
  <c r="W14" i="5"/>
  <c r="V14" i="5"/>
  <c r="S14" i="5"/>
  <c r="L17" i="10"/>
  <c r="J17" i="10"/>
  <c r="I17" i="10"/>
  <c r="L16" i="10"/>
  <c r="J16" i="10"/>
  <c r="I16" i="10"/>
  <c r="AG16" i="10"/>
  <c r="AV16" i="10" s="1"/>
  <c r="W16" i="10"/>
  <c r="V16" i="10"/>
  <c r="U16" i="10"/>
  <c r="S16" i="10"/>
  <c r="M15" i="5"/>
  <c r="K15" i="5"/>
  <c r="J15" i="5"/>
  <c r="M14" i="5"/>
  <c r="K14" i="5"/>
  <c r="J14" i="5"/>
  <c r="E20" i="11"/>
  <c r="D20" i="11"/>
  <c r="AN15" i="10"/>
  <c r="AG15" i="10"/>
  <c r="AV15" i="10" s="1"/>
  <c r="W15" i="10"/>
  <c r="V15" i="10"/>
  <c r="U15" i="10"/>
  <c r="S15" i="10"/>
  <c r="L15" i="10"/>
  <c r="J15" i="10"/>
  <c r="I15" i="10"/>
  <c r="AJ13" i="5"/>
  <c r="AH13" i="5"/>
  <c r="AR13" i="5" s="1"/>
  <c r="X13" i="5"/>
  <c r="W13" i="5"/>
  <c r="V13" i="5"/>
  <c r="T13" i="5"/>
  <c r="S13" i="5"/>
  <c r="M13" i="5"/>
  <c r="K13" i="5"/>
  <c r="J13" i="5"/>
  <c r="E17" i="11"/>
  <c r="D17" i="11"/>
  <c r="AP1396" i="13" l="1"/>
  <c r="AR1395" i="13"/>
  <c r="S1397" i="13"/>
  <c r="U1396" i="13"/>
  <c r="R12" i="15"/>
  <c r="M13" i="15"/>
  <c r="P12" i="15"/>
  <c r="J13" i="15"/>
  <c r="AO39" i="5"/>
  <c r="Q39" i="5"/>
  <c r="AS41" i="10"/>
  <c r="P41" i="10"/>
  <c r="AU41" i="10" s="1"/>
  <c r="S1327" i="13"/>
  <c r="U1326" i="13"/>
  <c r="AP1352" i="13"/>
  <c r="AR1351" i="13"/>
  <c r="AP1339" i="13"/>
  <c r="AR1338" i="13"/>
  <c r="AP1327" i="13"/>
  <c r="AR1326" i="13"/>
  <c r="AP12" i="13"/>
  <c r="AR11" i="13"/>
  <c r="Q13" i="12"/>
  <c r="S13" i="13"/>
  <c r="U12" i="13"/>
  <c r="Q16" i="12"/>
  <c r="Y17" i="11"/>
  <c r="O17" i="11"/>
  <c r="Y20" i="11"/>
  <c r="O20" i="11"/>
  <c r="Z20" i="11"/>
  <c r="N20" i="11"/>
  <c r="Z17" i="11"/>
  <c r="N17" i="11"/>
  <c r="P35" i="10"/>
  <c r="AU35" i="10" s="1"/>
  <c r="Q33" i="5"/>
  <c r="Q38" i="5"/>
  <c r="Q37" i="5"/>
  <c r="Q31" i="5"/>
  <c r="Q36" i="5"/>
  <c r="Q34" i="5"/>
  <c r="P39" i="10"/>
  <c r="AU39" i="10" s="1"/>
  <c r="AS39" i="10"/>
  <c r="P31" i="10"/>
  <c r="AU31" i="10" s="1"/>
  <c r="AS31" i="10"/>
  <c r="P30" i="10"/>
  <c r="AU30" i="10" s="1"/>
  <c r="AS30" i="10"/>
  <c r="P34" i="10"/>
  <c r="AU34" i="10" s="1"/>
  <c r="P38" i="10"/>
  <c r="AU38" i="10" s="1"/>
  <c r="AS38" i="10"/>
  <c r="P36" i="10"/>
  <c r="AU36" i="10" s="1"/>
  <c r="P40" i="10"/>
  <c r="AU40" i="10" s="1"/>
  <c r="P37" i="10"/>
  <c r="AU37" i="10" s="1"/>
  <c r="AS37" i="10"/>
  <c r="AS34" i="10"/>
  <c r="P33" i="10"/>
  <c r="AU33" i="10" s="1"/>
  <c r="AS33" i="10"/>
  <c r="Q35" i="5"/>
  <c r="AO37" i="5"/>
  <c r="Q27" i="5"/>
  <c r="AO27" i="5"/>
  <c r="Q32" i="5"/>
  <c r="AO36" i="5"/>
  <c r="P19" i="10"/>
  <c r="AU19" i="10" s="1"/>
  <c r="P25" i="10"/>
  <c r="AU25" i="10" s="1"/>
  <c r="P32" i="10"/>
  <c r="AU32" i="10" s="1"/>
  <c r="P29" i="10"/>
  <c r="AU29" i="10" s="1"/>
  <c r="Q30" i="5"/>
  <c r="AO28" i="5"/>
  <c r="Q28" i="5"/>
  <c r="Q29" i="5"/>
  <c r="P27" i="10"/>
  <c r="AU27" i="10" s="1"/>
  <c r="P23" i="10"/>
  <c r="AU23" i="10" s="1"/>
  <c r="P24" i="10"/>
  <c r="AU24" i="10" s="1"/>
  <c r="P28" i="10"/>
  <c r="AU28" i="10" s="1"/>
  <c r="P18" i="10"/>
  <c r="AU18" i="10" s="1"/>
  <c r="Q23" i="5"/>
  <c r="Q9" i="5"/>
  <c r="Q25" i="5"/>
  <c r="P26" i="10"/>
  <c r="AU26" i="10" s="1"/>
  <c r="AO9" i="5"/>
  <c r="Q21" i="5"/>
  <c r="Q20" i="5"/>
  <c r="Q17" i="5"/>
  <c r="Q19" i="5"/>
  <c r="P22" i="10"/>
  <c r="AU22" i="10" s="1"/>
  <c r="AS22" i="10"/>
  <c r="P21" i="10"/>
  <c r="AU21" i="10" s="1"/>
  <c r="P20" i="10"/>
  <c r="AU20" i="10" s="1"/>
  <c r="Q22" i="5"/>
  <c r="Q24" i="5"/>
  <c r="Q26" i="5"/>
  <c r="O14" i="5"/>
  <c r="P14" i="5" s="1"/>
  <c r="AO14" i="5" s="1"/>
  <c r="Q16" i="5"/>
  <c r="N12" i="5"/>
  <c r="Q18" i="5"/>
  <c r="M16" i="10"/>
  <c r="N17" i="10"/>
  <c r="O17" i="10" s="1"/>
  <c r="N10" i="5"/>
  <c r="L10" i="5"/>
  <c r="AP10" i="5" s="1"/>
  <c r="AQ10" i="5" s="1"/>
  <c r="O12" i="5"/>
  <c r="P12" i="5" s="1"/>
  <c r="AO12" i="5" s="1"/>
  <c r="N15" i="10"/>
  <c r="O15" i="10" s="1"/>
  <c r="AS15" i="10" s="1"/>
  <c r="O13" i="5"/>
  <c r="P13" i="5" s="1"/>
  <c r="AO13" i="5" s="1"/>
  <c r="N14" i="10"/>
  <c r="O14" i="10" s="1"/>
  <c r="AS14" i="10" s="1"/>
  <c r="K14" i="10"/>
  <c r="AT14" i="10" s="1"/>
  <c r="M14" i="10"/>
  <c r="L12" i="5"/>
  <c r="AP12" i="5" s="1"/>
  <c r="AQ12" i="5" s="1"/>
  <c r="L13" i="5"/>
  <c r="AP13" i="5" s="1"/>
  <c r="AQ13" i="5" s="1"/>
  <c r="N14" i="5"/>
  <c r="O15" i="5"/>
  <c r="P15" i="5" s="1"/>
  <c r="AO15" i="5" s="1"/>
  <c r="N15" i="5"/>
  <c r="M15" i="10"/>
  <c r="M12" i="10"/>
  <c r="N12" i="10"/>
  <c r="O12" i="10" s="1"/>
  <c r="AS12" i="10" s="1"/>
  <c r="K12" i="10"/>
  <c r="AT12" i="10" s="1"/>
  <c r="K17" i="10"/>
  <c r="AT17" i="10" s="1"/>
  <c r="M17" i="10"/>
  <c r="K15" i="10"/>
  <c r="AT15" i="10" s="1"/>
  <c r="N16" i="10"/>
  <c r="O16" i="10" s="1"/>
  <c r="AS16" i="10" s="1"/>
  <c r="O10" i="5"/>
  <c r="P10" i="5" s="1"/>
  <c r="L15" i="5"/>
  <c r="AP15" i="5" s="1"/>
  <c r="AQ15" i="5" s="1"/>
  <c r="L14" i="5"/>
  <c r="AP14" i="5" s="1"/>
  <c r="AQ14" i="5" s="1"/>
  <c r="N13" i="5"/>
  <c r="K16" i="10"/>
  <c r="AT16" i="10" s="1"/>
  <c r="R13" i="15" l="1"/>
  <c r="M14" i="15"/>
  <c r="U1397" i="13"/>
  <c r="S1398" i="13"/>
  <c r="U1398" i="13" s="1"/>
  <c r="P13" i="15"/>
  <c r="J14" i="15"/>
  <c r="AR1396" i="13"/>
  <c r="AP1397" i="13"/>
  <c r="U1327" i="13"/>
  <c r="S1328" i="13"/>
  <c r="AR1352" i="13"/>
  <c r="AP1353" i="13"/>
  <c r="AR1339" i="13"/>
  <c r="AP1340" i="13"/>
  <c r="AR1327" i="13"/>
  <c r="AP1328" i="13"/>
  <c r="AR1328" i="13" s="1"/>
  <c r="AR12" i="13"/>
  <c r="AP13" i="13"/>
  <c r="S14" i="13"/>
  <c r="U13" i="13"/>
  <c r="Q12" i="5"/>
  <c r="Q10" i="5"/>
  <c r="AO10" i="5"/>
  <c r="P17" i="10"/>
  <c r="AU17" i="10" s="1"/>
  <c r="AS17" i="10"/>
  <c r="Q14" i="5"/>
  <c r="P15" i="10"/>
  <c r="AU15" i="10" s="1"/>
  <c r="Q15" i="5"/>
  <c r="Q13" i="5"/>
  <c r="P14" i="10"/>
  <c r="AU14" i="10" s="1"/>
  <c r="P12" i="10"/>
  <c r="AU12" i="10" s="1"/>
  <c r="P16" i="10"/>
  <c r="AU16" i="10" s="1"/>
  <c r="M11" i="5"/>
  <c r="K11" i="5"/>
  <c r="J11" i="5"/>
  <c r="AN13" i="10"/>
  <c r="AG13" i="10"/>
  <c r="AV13" i="10" s="1"/>
  <c r="W13" i="10"/>
  <c r="X11" i="5"/>
  <c r="AJ11" i="5"/>
  <c r="AH11" i="5"/>
  <c r="AR11" i="5" s="1"/>
  <c r="V11" i="5"/>
  <c r="S11" i="5"/>
  <c r="L10" i="10"/>
  <c r="J10" i="10"/>
  <c r="I10" i="10"/>
  <c r="J8" i="5"/>
  <c r="K8" i="5"/>
  <c r="M8" i="5"/>
  <c r="M7" i="5"/>
  <c r="K7" i="5"/>
  <c r="J7" i="5"/>
  <c r="AN11" i="10"/>
  <c r="AG11" i="10"/>
  <c r="AV11" i="10" s="1"/>
  <c r="W11" i="10"/>
  <c r="V11" i="10"/>
  <c r="U11" i="10"/>
  <c r="AP1398" i="13" l="1"/>
  <c r="AR1398" i="13" s="1"/>
  <c r="AR1397" i="13"/>
  <c r="P14" i="15"/>
  <c r="J15" i="15"/>
  <c r="M15" i="15"/>
  <c r="R14" i="15"/>
  <c r="S1329" i="13"/>
  <c r="U1328" i="13"/>
  <c r="AP1354" i="13"/>
  <c r="AR1353" i="13"/>
  <c r="AP1341" i="13"/>
  <c r="AR1341" i="13" s="1"/>
  <c r="AR1340" i="13"/>
  <c r="AP14" i="13"/>
  <c r="AR13" i="13"/>
  <c r="S15" i="13"/>
  <c r="U14" i="13"/>
  <c r="N10" i="10"/>
  <c r="O10" i="10" s="1"/>
  <c r="AS10" i="10" s="1"/>
  <c r="O7" i="5"/>
  <c r="P7" i="5" s="1"/>
  <c r="O11" i="5"/>
  <c r="P11" i="5" s="1"/>
  <c r="AO11" i="5" s="1"/>
  <c r="N8" i="5"/>
  <c r="N11" i="5"/>
  <c r="L11" i="5"/>
  <c r="AP11" i="5" s="1"/>
  <c r="AQ11" i="5" s="1"/>
  <c r="O8" i="5"/>
  <c r="P8" i="5" s="1"/>
  <c r="AO8" i="5" s="1"/>
  <c r="M10" i="10"/>
  <c r="K10" i="10"/>
  <c r="AT10" i="10" s="1"/>
  <c r="L8" i="5"/>
  <c r="AP8" i="5" s="1"/>
  <c r="AQ8" i="5" s="1"/>
  <c r="N7" i="5"/>
  <c r="L7" i="5"/>
  <c r="AP7" i="5" s="1"/>
  <c r="AQ7" i="5" s="1"/>
  <c r="AJ7" i="5"/>
  <c r="AH7" i="5"/>
  <c r="AR7" i="5" s="1"/>
  <c r="AN9" i="10"/>
  <c r="AG9" i="10"/>
  <c r="AV9" i="10" s="1"/>
  <c r="AW63" i="3"/>
  <c r="AW64" i="3"/>
  <c r="AW65" i="3"/>
  <c r="AW66" i="3"/>
  <c r="AW67" i="3"/>
  <c r="AW68" i="3"/>
  <c r="AW69" i="3"/>
  <c r="AW70" i="3"/>
  <c r="AW71" i="3"/>
  <c r="AW72" i="3"/>
  <c r="AW73" i="3"/>
  <c r="AW74" i="3"/>
  <c r="AW75" i="3"/>
  <c r="AW76" i="3"/>
  <c r="AW77" i="3"/>
  <c r="AW78" i="3"/>
  <c r="AW79" i="3"/>
  <c r="AW80" i="3"/>
  <c r="AW81" i="3"/>
  <c r="AW82" i="3"/>
  <c r="AW83" i="3"/>
  <c r="AW84" i="3"/>
  <c r="AW85" i="3"/>
  <c r="AW86" i="3"/>
  <c r="AW87" i="3"/>
  <c r="AW88" i="3"/>
  <c r="AW89" i="3"/>
  <c r="AW90" i="3"/>
  <c r="AW91" i="3"/>
  <c r="AW92" i="3"/>
  <c r="AW93" i="3"/>
  <c r="AW94" i="3"/>
  <c r="AW95" i="3"/>
  <c r="AW96" i="3"/>
  <c r="AW97" i="3"/>
  <c r="AW98" i="3"/>
  <c r="AW99" i="3"/>
  <c r="AW100" i="3"/>
  <c r="AW101" i="3"/>
  <c r="AW102" i="3"/>
  <c r="AW103" i="3"/>
  <c r="AW104" i="3"/>
  <c r="AW105" i="3"/>
  <c r="AW106" i="3"/>
  <c r="AW107" i="3"/>
  <c r="AW108" i="3"/>
  <c r="AW109" i="3"/>
  <c r="AW110" i="3"/>
  <c r="AW111" i="3"/>
  <c r="AW112" i="3"/>
  <c r="AW113" i="3"/>
  <c r="AW114" i="3"/>
  <c r="AW115" i="3"/>
  <c r="AW116" i="3"/>
  <c r="AW117" i="3"/>
  <c r="AW118" i="3"/>
  <c r="AW119" i="3"/>
  <c r="AW120" i="3"/>
  <c r="AW121" i="3"/>
  <c r="AW122" i="3"/>
  <c r="AW123" i="3"/>
  <c r="AW124" i="3"/>
  <c r="AW125" i="3"/>
  <c r="AW126" i="3"/>
  <c r="AW127" i="3"/>
  <c r="AW128" i="3"/>
  <c r="AW129" i="3"/>
  <c r="AW130" i="3"/>
  <c r="AW131" i="3"/>
  <c r="AW132" i="3"/>
  <c r="AW133" i="3"/>
  <c r="AW134" i="3"/>
  <c r="AW135" i="3"/>
  <c r="AW136" i="3"/>
  <c r="AW137" i="3"/>
  <c r="AW138" i="3"/>
  <c r="AW139" i="3"/>
  <c r="AW140" i="3"/>
  <c r="AW141" i="3"/>
  <c r="AW142" i="3"/>
  <c r="AW143" i="3"/>
  <c r="AW144" i="3"/>
  <c r="AW145" i="3"/>
  <c r="AW146" i="3"/>
  <c r="AW147" i="3"/>
  <c r="AW148" i="3"/>
  <c r="AW149" i="3"/>
  <c r="AW150" i="3"/>
  <c r="AW151" i="3"/>
  <c r="AW152" i="3"/>
  <c r="AW153" i="3"/>
  <c r="AW154" i="3"/>
  <c r="AW155" i="3"/>
  <c r="AW156" i="3"/>
  <c r="AW157" i="3"/>
  <c r="AW158" i="3"/>
  <c r="AW159" i="3"/>
  <c r="AW160" i="3"/>
  <c r="AW161" i="3"/>
  <c r="AW162" i="3"/>
  <c r="AW163" i="3"/>
  <c r="AW164" i="3"/>
  <c r="AW165" i="3"/>
  <c r="AW166" i="3"/>
  <c r="AW167" i="3"/>
  <c r="AW168" i="3"/>
  <c r="AW169" i="3"/>
  <c r="AW170" i="3"/>
  <c r="AW171" i="3"/>
  <c r="AW172" i="3"/>
  <c r="AW173" i="3"/>
  <c r="AW174" i="3"/>
  <c r="AW175" i="3"/>
  <c r="AW176" i="3"/>
  <c r="AW177" i="3"/>
  <c r="AW178" i="3"/>
  <c r="AW179" i="3"/>
  <c r="AW180" i="3"/>
  <c r="AW181" i="3"/>
  <c r="AW182" i="3"/>
  <c r="AW183" i="3"/>
  <c r="AW184" i="3"/>
  <c r="AW185" i="3"/>
  <c r="AW186" i="3"/>
  <c r="AW187" i="3"/>
  <c r="AW188" i="3"/>
  <c r="AW189" i="3"/>
  <c r="AW190" i="3"/>
  <c r="AW191" i="3"/>
  <c r="AW192" i="3"/>
  <c r="AW193" i="3"/>
  <c r="AW194" i="3"/>
  <c r="AW195" i="3"/>
  <c r="AW196" i="3"/>
  <c r="AW197" i="3"/>
  <c r="AW198" i="3"/>
  <c r="AW199" i="3"/>
  <c r="AW200" i="3"/>
  <c r="AW201" i="3"/>
  <c r="AW202" i="3"/>
  <c r="AW203" i="3"/>
  <c r="AW204" i="3"/>
  <c r="AW205" i="3"/>
  <c r="AW206" i="3"/>
  <c r="AW207" i="3"/>
  <c r="AW208" i="3"/>
  <c r="AW209" i="3"/>
  <c r="AW210" i="3"/>
  <c r="AW211" i="3"/>
  <c r="AW212" i="3"/>
  <c r="AW213" i="3"/>
  <c r="AW214" i="3"/>
  <c r="AW215" i="3"/>
  <c r="AW216" i="3"/>
  <c r="AW217" i="3"/>
  <c r="AW218" i="3"/>
  <c r="AW219" i="3"/>
  <c r="AW220" i="3"/>
  <c r="AW221" i="3"/>
  <c r="AW222" i="3"/>
  <c r="AW223" i="3"/>
  <c r="AW224" i="3"/>
  <c r="AW225" i="3"/>
  <c r="AW226" i="3"/>
  <c r="AW227" i="3"/>
  <c r="AW228" i="3"/>
  <c r="AW229" i="3"/>
  <c r="AW230" i="3"/>
  <c r="AW231" i="3"/>
  <c r="AW232" i="3"/>
  <c r="AW233" i="3"/>
  <c r="AW234" i="3"/>
  <c r="AW235" i="3"/>
  <c r="AW236" i="3"/>
  <c r="AW237" i="3"/>
  <c r="AW238" i="3"/>
  <c r="AW239" i="3"/>
  <c r="AW240" i="3"/>
  <c r="AW241" i="3"/>
  <c r="AW242" i="3"/>
  <c r="AW243" i="3"/>
  <c r="AW244" i="3"/>
  <c r="AW245" i="3"/>
  <c r="AW246" i="3"/>
  <c r="AW247" i="3"/>
  <c r="AW248" i="3"/>
  <c r="AW249" i="3"/>
  <c r="AW250" i="3"/>
  <c r="AW251" i="3"/>
  <c r="AW252" i="3"/>
  <c r="AW253" i="3"/>
  <c r="AW254" i="3"/>
  <c r="AW255" i="3"/>
  <c r="AW256" i="3"/>
  <c r="AW257" i="3"/>
  <c r="AW258" i="3"/>
  <c r="AW259" i="3"/>
  <c r="AW260" i="3"/>
  <c r="AW261" i="3"/>
  <c r="AW262" i="3"/>
  <c r="AW263" i="3"/>
  <c r="AW264" i="3"/>
  <c r="AW265" i="3"/>
  <c r="AW266" i="3"/>
  <c r="AW267" i="3"/>
  <c r="AW268" i="3"/>
  <c r="AW269" i="3"/>
  <c r="AW270" i="3"/>
  <c r="AW271" i="3"/>
  <c r="AW272" i="3"/>
  <c r="AW273" i="3"/>
  <c r="AW274" i="3"/>
  <c r="AW275" i="3"/>
  <c r="AW276" i="3"/>
  <c r="AW277" i="3"/>
  <c r="AW278" i="3"/>
  <c r="AW279" i="3"/>
  <c r="AW280" i="3"/>
  <c r="AW281" i="3"/>
  <c r="AW282" i="3"/>
  <c r="AW283" i="3"/>
  <c r="AW284" i="3"/>
  <c r="AW285" i="3"/>
  <c r="AW286" i="3"/>
  <c r="AW287" i="3"/>
  <c r="AW288" i="3"/>
  <c r="AW289" i="3"/>
  <c r="AW290" i="3"/>
  <c r="AW291" i="3"/>
  <c r="AW292" i="3"/>
  <c r="AW293" i="3"/>
  <c r="AW294" i="3"/>
  <c r="AW295" i="3"/>
  <c r="AW296" i="3"/>
  <c r="AW297" i="3"/>
  <c r="AW298" i="3"/>
  <c r="AW299" i="3"/>
  <c r="AW300" i="3"/>
  <c r="AW301" i="3"/>
  <c r="AW302" i="3"/>
  <c r="AW303" i="3"/>
  <c r="AW304" i="3"/>
  <c r="AW305" i="3"/>
  <c r="AW306" i="3"/>
  <c r="AW307" i="3"/>
  <c r="AW308" i="3"/>
  <c r="AW309" i="3"/>
  <c r="AW310" i="3"/>
  <c r="AW311" i="3"/>
  <c r="AW312" i="3"/>
  <c r="AW313" i="3"/>
  <c r="AW314" i="3"/>
  <c r="AW315" i="3"/>
  <c r="AW316" i="3"/>
  <c r="AW317" i="3"/>
  <c r="AW318" i="3"/>
  <c r="AW319" i="3"/>
  <c r="AW320" i="3"/>
  <c r="AW321" i="3"/>
  <c r="AW322" i="3"/>
  <c r="AW323" i="3"/>
  <c r="AW324" i="3"/>
  <c r="AW325" i="3"/>
  <c r="AW326" i="3"/>
  <c r="AW327" i="3"/>
  <c r="AW328" i="3"/>
  <c r="AW329" i="3"/>
  <c r="AW330" i="3"/>
  <c r="AW331" i="3"/>
  <c r="AW332" i="3"/>
  <c r="AW333" i="3"/>
  <c r="AW334" i="3"/>
  <c r="AW335" i="3"/>
  <c r="AW336" i="3"/>
  <c r="AW337" i="3"/>
  <c r="AW338" i="3"/>
  <c r="AW339" i="3"/>
  <c r="AW340" i="3"/>
  <c r="AW341" i="3"/>
  <c r="AW342" i="3"/>
  <c r="AW343" i="3"/>
  <c r="AW344" i="3"/>
  <c r="AW345" i="3"/>
  <c r="AW346" i="3"/>
  <c r="AW347" i="3"/>
  <c r="AW348" i="3"/>
  <c r="AW349" i="3"/>
  <c r="AW350" i="3"/>
  <c r="AW351" i="3"/>
  <c r="AW352" i="3"/>
  <c r="AW353" i="3"/>
  <c r="AW354" i="3"/>
  <c r="AW355" i="3"/>
  <c r="AW356" i="3"/>
  <c r="AW357" i="3"/>
  <c r="AW358" i="3"/>
  <c r="AW359" i="3"/>
  <c r="AW360" i="3"/>
  <c r="AW361" i="3"/>
  <c r="AW362" i="3"/>
  <c r="AW363" i="3"/>
  <c r="AW364" i="3"/>
  <c r="AW365" i="3"/>
  <c r="AW366" i="3"/>
  <c r="AW367" i="3"/>
  <c r="AW368" i="3"/>
  <c r="AW369" i="3"/>
  <c r="AW370" i="3"/>
  <c r="AW371" i="3"/>
  <c r="AW372" i="3"/>
  <c r="AW373" i="3"/>
  <c r="AW374" i="3"/>
  <c r="AW375" i="3"/>
  <c r="AW376" i="3"/>
  <c r="AW377" i="3"/>
  <c r="AW378" i="3"/>
  <c r="AW379" i="3"/>
  <c r="AW380" i="3"/>
  <c r="AW381" i="3"/>
  <c r="AW382" i="3"/>
  <c r="AW383" i="3"/>
  <c r="AW384" i="3"/>
  <c r="AW385" i="3"/>
  <c r="AW386" i="3"/>
  <c r="AW387" i="3"/>
  <c r="AW388" i="3"/>
  <c r="AW389" i="3"/>
  <c r="AW390" i="3"/>
  <c r="AW391" i="3"/>
  <c r="AW392" i="3"/>
  <c r="AW393" i="3"/>
  <c r="AW394" i="3"/>
  <c r="AW395" i="3"/>
  <c r="AW396" i="3"/>
  <c r="AW397" i="3"/>
  <c r="AW398" i="3"/>
  <c r="AW399" i="3"/>
  <c r="AW400" i="3"/>
  <c r="AW401" i="3"/>
  <c r="AW402" i="3"/>
  <c r="AW403" i="3"/>
  <c r="AW404" i="3"/>
  <c r="AW405" i="3"/>
  <c r="AW406" i="3"/>
  <c r="AW407" i="3"/>
  <c r="AW408" i="3"/>
  <c r="AW409" i="3"/>
  <c r="AW410" i="3"/>
  <c r="AW411" i="3"/>
  <c r="AW412" i="3"/>
  <c r="AW413" i="3"/>
  <c r="AW414" i="3"/>
  <c r="AW415" i="3"/>
  <c r="AW416" i="3"/>
  <c r="AW417" i="3"/>
  <c r="AW418" i="3"/>
  <c r="AW419" i="3"/>
  <c r="AW420" i="3"/>
  <c r="AW421" i="3"/>
  <c r="AW422" i="3"/>
  <c r="AW423" i="3"/>
  <c r="AW424" i="3"/>
  <c r="AW425" i="3"/>
  <c r="AW426" i="3"/>
  <c r="AW427" i="3"/>
  <c r="AW428" i="3"/>
  <c r="AW429" i="3"/>
  <c r="AW430" i="3"/>
  <c r="AW431" i="3"/>
  <c r="AW432" i="3"/>
  <c r="AW433" i="3"/>
  <c r="AW434" i="3"/>
  <c r="AW435" i="3"/>
  <c r="AW436" i="3"/>
  <c r="AW437" i="3"/>
  <c r="AW438" i="3"/>
  <c r="AW439" i="3"/>
  <c r="AW440" i="3"/>
  <c r="AW441" i="3"/>
  <c r="AW442" i="3"/>
  <c r="AW443" i="3"/>
  <c r="AW444" i="3"/>
  <c r="AW445" i="3"/>
  <c r="AW446" i="3"/>
  <c r="AW447" i="3"/>
  <c r="AW448" i="3"/>
  <c r="AW449" i="3"/>
  <c r="AW450" i="3"/>
  <c r="AW451" i="3"/>
  <c r="AW452" i="3"/>
  <c r="AW453" i="3"/>
  <c r="AW454" i="3"/>
  <c r="AW455" i="3"/>
  <c r="AW456" i="3"/>
  <c r="AW457" i="3"/>
  <c r="AW458" i="3"/>
  <c r="AW459" i="3"/>
  <c r="AW460" i="3"/>
  <c r="AW461" i="3"/>
  <c r="AW462" i="3"/>
  <c r="AW463" i="3"/>
  <c r="AW464" i="3"/>
  <c r="AW465" i="3"/>
  <c r="AW466" i="3"/>
  <c r="AW467" i="3"/>
  <c r="AW468" i="3"/>
  <c r="AW469" i="3"/>
  <c r="AW470" i="3"/>
  <c r="AW471" i="3"/>
  <c r="AW472" i="3"/>
  <c r="AW473" i="3"/>
  <c r="AW474" i="3"/>
  <c r="AW475" i="3"/>
  <c r="AW476" i="3"/>
  <c r="AW477" i="3"/>
  <c r="AW478" i="3"/>
  <c r="AW479" i="3"/>
  <c r="AW480" i="3"/>
  <c r="AW481" i="3"/>
  <c r="AW482" i="3"/>
  <c r="AW483" i="3"/>
  <c r="AW484" i="3"/>
  <c r="AW485" i="3"/>
  <c r="AW486" i="3"/>
  <c r="AW487" i="3"/>
  <c r="AW488" i="3"/>
  <c r="AW489" i="3"/>
  <c r="AW490" i="3"/>
  <c r="AW491" i="3"/>
  <c r="AW492" i="3"/>
  <c r="AW493" i="3"/>
  <c r="AW494" i="3"/>
  <c r="AW495" i="3"/>
  <c r="AW496" i="3"/>
  <c r="AW497" i="3"/>
  <c r="AW498" i="3"/>
  <c r="AW499" i="3"/>
  <c r="AW500" i="3"/>
  <c r="AW501" i="3"/>
  <c r="AW502" i="3"/>
  <c r="AW503" i="3"/>
  <c r="AW504" i="3"/>
  <c r="AW505" i="3"/>
  <c r="AW506" i="3"/>
  <c r="AW507" i="3"/>
  <c r="AW508" i="3"/>
  <c r="AW509" i="3"/>
  <c r="AW510" i="3"/>
  <c r="AW511" i="3"/>
  <c r="AW512" i="3"/>
  <c r="AW513" i="3"/>
  <c r="AW514" i="3"/>
  <c r="AW515" i="3"/>
  <c r="AW516" i="3"/>
  <c r="AW517" i="3"/>
  <c r="AW518" i="3"/>
  <c r="AW519" i="3"/>
  <c r="AW520" i="3"/>
  <c r="AW521" i="3"/>
  <c r="AW522" i="3"/>
  <c r="AW523" i="3"/>
  <c r="AW524" i="3"/>
  <c r="AW525" i="3"/>
  <c r="AW526" i="3"/>
  <c r="AW527" i="3"/>
  <c r="AW528" i="3"/>
  <c r="AW529" i="3"/>
  <c r="AW530" i="3"/>
  <c r="AW531" i="3"/>
  <c r="AW532" i="3"/>
  <c r="AW533" i="3"/>
  <c r="AW534" i="3"/>
  <c r="AW535" i="3"/>
  <c r="AW536" i="3"/>
  <c r="AW537" i="3"/>
  <c r="AW538" i="3"/>
  <c r="AW539" i="3"/>
  <c r="AW540" i="3"/>
  <c r="AW541" i="3"/>
  <c r="AW542" i="3"/>
  <c r="AW543" i="3"/>
  <c r="AW544" i="3"/>
  <c r="AW545" i="3"/>
  <c r="AW546" i="3"/>
  <c r="AW547" i="3"/>
  <c r="AW548" i="3"/>
  <c r="AW549" i="3"/>
  <c r="AW550" i="3"/>
  <c r="AW551" i="3"/>
  <c r="AW552" i="3"/>
  <c r="AW553" i="3"/>
  <c r="AW554" i="3"/>
  <c r="AW555" i="3"/>
  <c r="AW556" i="3"/>
  <c r="AW557" i="3"/>
  <c r="AW558" i="3"/>
  <c r="AW559" i="3"/>
  <c r="AW560" i="3"/>
  <c r="AW561" i="3"/>
  <c r="AW562" i="3"/>
  <c r="AW563" i="3"/>
  <c r="AW564" i="3"/>
  <c r="AW565" i="3"/>
  <c r="AW566" i="3"/>
  <c r="AW567" i="3"/>
  <c r="AW568" i="3"/>
  <c r="AW569" i="3"/>
  <c r="AW570" i="3"/>
  <c r="AW571" i="3"/>
  <c r="AW572" i="3"/>
  <c r="AW573" i="3"/>
  <c r="AW574" i="3"/>
  <c r="AW575" i="3"/>
  <c r="AW576" i="3"/>
  <c r="AW577" i="3"/>
  <c r="AW578" i="3"/>
  <c r="AW579" i="3"/>
  <c r="AW580" i="3"/>
  <c r="AW581" i="3"/>
  <c r="AW582" i="3"/>
  <c r="AW583" i="3"/>
  <c r="AW584" i="3"/>
  <c r="AW585" i="3"/>
  <c r="AW586" i="3"/>
  <c r="AW587" i="3"/>
  <c r="AW588" i="3"/>
  <c r="AW589" i="3"/>
  <c r="AW590" i="3"/>
  <c r="AW591" i="3"/>
  <c r="AW592" i="3"/>
  <c r="AW593" i="3"/>
  <c r="AW594" i="3"/>
  <c r="AW595" i="3"/>
  <c r="AW596" i="3"/>
  <c r="AW597" i="3"/>
  <c r="AW598" i="3"/>
  <c r="AW599" i="3"/>
  <c r="AW600" i="3"/>
  <c r="AW601" i="3"/>
  <c r="AW602" i="3"/>
  <c r="AW603" i="3"/>
  <c r="AW604" i="3"/>
  <c r="AW605" i="3"/>
  <c r="AW606" i="3"/>
  <c r="AW607" i="3"/>
  <c r="AW608" i="3"/>
  <c r="AW609" i="3"/>
  <c r="AW610" i="3"/>
  <c r="AW611" i="3"/>
  <c r="AW612" i="3"/>
  <c r="AW613" i="3"/>
  <c r="AW614" i="3"/>
  <c r="AW615" i="3"/>
  <c r="AW616" i="3"/>
  <c r="AW617" i="3"/>
  <c r="AW618" i="3"/>
  <c r="AW619" i="3"/>
  <c r="AW620" i="3"/>
  <c r="AW621" i="3"/>
  <c r="AW622" i="3"/>
  <c r="AW623" i="3"/>
  <c r="AW624" i="3"/>
  <c r="AW625" i="3"/>
  <c r="AW626" i="3"/>
  <c r="AW627" i="3"/>
  <c r="AW628" i="3"/>
  <c r="AW629" i="3"/>
  <c r="AW630" i="3"/>
  <c r="AW631" i="3"/>
  <c r="AW632" i="3"/>
  <c r="AW633" i="3"/>
  <c r="AW634" i="3"/>
  <c r="AW635" i="3"/>
  <c r="AW636" i="3"/>
  <c r="AW637" i="3"/>
  <c r="AW638" i="3"/>
  <c r="AW639" i="3"/>
  <c r="AW640" i="3"/>
  <c r="AW641" i="3"/>
  <c r="AW642" i="3"/>
  <c r="AW643" i="3"/>
  <c r="AW644" i="3"/>
  <c r="AW645" i="3"/>
  <c r="AW646" i="3"/>
  <c r="AW647" i="3"/>
  <c r="AW648" i="3"/>
  <c r="AW649" i="3"/>
  <c r="AW650" i="3"/>
  <c r="AW651" i="3"/>
  <c r="AW652" i="3"/>
  <c r="AW653" i="3"/>
  <c r="AW654" i="3"/>
  <c r="AW655" i="3"/>
  <c r="AW656" i="3"/>
  <c r="AW657" i="3"/>
  <c r="AW658" i="3"/>
  <c r="AW659" i="3"/>
  <c r="AW660" i="3"/>
  <c r="AW661" i="3"/>
  <c r="AW662" i="3"/>
  <c r="AW663" i="3"/>
  <c r="AW664" i="3"/>
  <c r="AW665" i="3"/>
  <c r="AW666" i="3"/>
  <c r="AW667" i="3"/>
  <c r="AW668" i="3"/>
  <c r="AW669" i="3"/>
  <c r="AW670" i="3"/>
  <c r="AW671" i="3"/>
  <c r="AW672" i="3"/>
  <c r="AW673" i="3"/>
  <c r="AW674" i="3"/>
  <c r="AW675" i="3"/>
  <c r="AW676" i="3"/>
  <c r="AW677" i="3"/>
  <c r="AW678" i="3"/>
  <c r="AW679" i="3"/>
  <c r="AW680" i="3"/>
  <c r="AW681" i="3"/>
  <c r="AW682" i="3"/>
  <c r="AW683" i="3"/>
  <c r="AW684" i="3"/>
  <c r="AW685" i="3"/>
  <c r="AW686" i="3"/>
  <c r="AW687" i="3"/>
  <c r="AW688" i="3"/>
  <c r="AW689" i="3"/>
  <c r="AW690" i="3"/>
  <c r="AW691" i="3"/>
  <c r="AW692" i="3"/>
  <c r="AW693" i="3"/>
  <c r="AW694" i="3"/>
  <c r="AW695" i="3"/>
  <c r="AW696" i="3"/>
  <c r="AW697" i="3"/>
  <c r="AW698" i="3"/>
  <c r="AW699" i="3"/>
  <c r="AW700" i="3"/>
  <c r="AW701" i="3"/>
  <c r="AW702" i="3"/>
  <c r="AW703" i="3"/>
  <c r="AW704" i="3"/>
  <c r="AW705" i="3"/>
  <c r="AW706" i="3"/>
  <c r="AW707" i="3"/>
  <c r="AW708" i="3"/>
  <c r="AW709" i="3"/>
  <c r="AW710" i="3"/>
  <c r="AW711" i="3"/>
  <c r="AW712" i="3"/>
  <c r="AW713" i="3"/>
  <c r="AW714" i="3"/>
  <c r="AW715" i="3"/>
  <c r="AW716" i="3"/>
  <c r="AW717" i="3"/>
  <c r="AW718" i="3"/>
  <c r="AW719" i="3"/>
  <c r="AW720" i="3"/>
  <c r="AW721" i="3"/>
  <c r="AW722" i="3"/>
  <c r="AW723" i="3"/>
  <c r="AW724" i="3"/>
  <c r="AW725" i="3"/>
  <c r="AW726" i="3"/>
  <c r="AW727" i="3"/>
  <c r="AW728" i="3"/>
  <c r="AW729" i="3"/>
  <c r="AW730" i="3"/>
  <c r="AW731" i="3"/>
  <c r="AW732" i="3"/>
  <c r="AW733" i="3"/>
  <c r="AW734" i="3"/>
  <c r="AW735" i="3"/>
  <c r="AW736" i="3"/>
  <c r="AW737" i="3"/>
  <c r="AW738" i="3"/>
  <c r="AW739" i="3"/>
  <c r="AW740" i="3"/>
  <c r="AW741" i="3"/>
  <c r="AW742" i="3"/>
  <c r="AW743" i="3"/>
  <c r="AW744" i="3"/>
  <c r="AW745" i="3"/>
  <c r="AW746" i="3"/>
  <c r="AW747" i="3"/>
  <c r="AW748" i="3"/>
  <c r="AW749" i="3"/>
  <c r="AW750" i="3"/>
  <c r="AW751" i="3"/>
  <c r="AW752" i="3"/>
  <c r="AW753" i="3"/>
  <c r="AW754" i="3"/>
  <c r="AW755" i="3"/>
  <c r="AW756" i="3"/>
  <c r="AW757" i="3"/>
  <c r="AW758" i="3"/>
  <c r="AW759" i="3"/>
  <c r="AW760" i="3"/>
  <c r="AW761" i="3"/>
  <c r="AW762" i="3"/>
  <c r="AW763" i="3"/>
  <c r="AW764" i="3"/>
  <c r="AW765" i="3"/>
  <c r="AW766" i="3"/>
  <c r="AW767" i="3"/>
  <c r="AW768" i="3"/>
  <c r="AW769" i="3"/>
  <c r="AW770" i="3"/>
  <c r="AW771" i="3"/>
  <c r="AW772" i="3"/>
  <c r="AW773" i="3"/>
  <c r="AW774" i="3"/>
  <c r="AW775" i="3"/>
  <c r="AW776" i="3"/>
  <c r="AW777" i="3"/>
  <c r="AW778" i="3"/>
  <c r="AW779" i="3"/>
  <c r="AW780" i="3"/>
  <c r="AW781" i="3"/>
  <c r="AW782" i="3"/>
  <c r="AW783" i="3"/>
  <c r="AW784" i="3"/>
  <c r="AW785" i="3"/>
  <c r="AW786" i="3"/>
  <c r="AW787" i="3"/>
  <c r="AW788" i="3"/>
  <c r="AW789" i="3"/>
  <c r="AW790" i="3"/>
  <c r="AW791" i="3"/>
  <c r="AW792" i="3"/>
  <c r="AW793" i="3"/>
  <c r="AW794" i="3"/>
  <c r="AW795" i="3"/>
  <c r="AW796" i="3"/>
  <c r="AW797" i="3"/>
  <c r="AW798" i="3"/>
  <c r="AW799" i="3"/>
  <c r="AW800" i="3"/>
  <c r="AW801" i="3"/>
  <c r="AW802" i="3"/>
  <c r="AW803" i="3"/>
  <c r="AW804" i="3"/>
  <c r="AW805" i="3"/>
  <c r="AW806" i="3"/>
  <c r="AW807" i="3"/>
  <c r="AW808" i="3"/>
  <c r="AW809" i="3"/>
  <c r="AW810" i="3"/>
  <c r="AW811" i="3"/>
  <c r="AW812" i="3"/>
  <c r="AW813" i="3"/>
  <c r="AW814" i="3"/>
  <c r="AW815" i="3"/>
  <c r="AW816" i="3"/>
  <c r="AW817" i="3"/>
  <c r="AW818" i="3"/>
  <c r="AW819" i="3"/>
  <c r="AW820" i="3"/>
  <c r="AW821" i="3"/>
  <c r="AW822" i="3"/>
  <c r="AW823" i="3"/>
  <c r="AW824" i="3"/>
  <c r="AW825" i="3"/>
  <c r="AW826" i="3"/>
  <c r="AW827" i="3"/>
  <c r="AW828" i="3"/>
  <c r="AW829" i="3"/>
  <c r="AW830" i="3"/>
  <c r="AW831" i="3"/>
  <c r="AW832" i="3"/>
  <c r="AW833" i="3"/>
  <c r="AW834" i="3"/>
  <c r="AW835" i="3"/>
  <c r="AW836" i="3"/>
  <c r="AW837" i="3"/>
  <c r="AW838" i="3"/>
  <c r="AW839" i="3"/>
  <c r="AW840" i="3"/>
  <c r="AW841" i="3"/>
  <c r="AW842" i="3"/>
  <c r="AW843" i="3"/>
  <c r="AW844" i="3"/>
  <c r="AW845" i="3"/>
  <c r="AW846" i="3"/>
  <c r="AW847" i="3"/>
  <c r="AW848" i="3"/>
  <c r="AW849" i="3"/>
  <c r="AW850" i="3"/>
  <c r="AW851" i="3"/>
  <c r="AW852" i="3"/>
  <c r="AW853" i="3"/>
  <c r="AW854" i="3"/>
  <c r="AW855" i="3"/>
  <c r="AW856" i="3"/>
  <c r="AW857" i="3"/>
  <c r="AW858" i="3"/>
  <c r="AW859" i="3"/>
  <c r="AW860" i="3"/>
  <c r="AW861" i="3"/>
  <c r="AW862" i="3"/>
  <c r="AW863" i="3"/>
  <c r="AW864" i="3"/>
  <c r="AW865" i="3"/>
  <c r="AW866" i="3"/>
  <c r="AW867" i="3"/>
  <c r="AW868" i="3"/>
  <c r="AW869" i="3"/>
  <c r="AW870" i="3"/>
  <c r="AW871" i="3"/>
  <c r="AW872" i="3"/>
  <c r="AW873" i="3"/>
  <c r="AW874" i="3"/>
  <c r="AW875" i="3"/>
  <c r="AW876" i="3"/>
  <c r="AW877" i="3"/>
  <c r="AW878" i="3"/>
  <c r="AW879" i="3"/>
  <c r="AW880" i="3"/>
  <c r="AW881" i="3"/>
  <c r="AW882" i="3"/>
  <c r="AW883" i="3"/>
  <c r="AW884" i="3"/>
  <c r="AW885" i="3"/>
  <c r="AW886" i="3"/>
  <c r="AW887" i="3"/>
  <c r="AW888" i="3"/>
  <c r="AW889" i="3"/>
  <c r="AW890" i="3"/>
  <c r="AW891" i="3"/>
  <c r="AW892" i="3"/>
  <c r="AW893" i="3"/>
  <c r="AW894" i="3"/>
  <c r="AW895" i="3"/>
  <c r="AW896" i="3"/>
  <c r="AW897" i="3"/>
  <c r="AW898" i="3"/>
  <c r="AW899" i="3"/>
  <c r="AW900" i="3"/>
  <c r="AW901" i="3"/>
  <c r="AW902" i="3"/>
  <c r="AW903" i="3"/>
  <c r="AW904" i="3"/>
  <c r="AW905" i="3"/>
  <c r="AW906" i="3"/>
  <c r="AW907" i="3"/>
  <c r="AW908" i="3"/>
  <c r="AW909" i="3"/>
  <c r="AW910" i="3"/>
  <c r="AW911" i="3"/>
  <c r="AW912" i="3"/>
  <c r="AW913" i="3"/>
  <c r="AW914" i="3"/>
  <c r="AW915" i="3"/>
  <c r="AW916" i="3"/>
  <c r="AW917" i="3"/>
  <c r="AW918" i="3"/>
  <c r="AW919" i="3"/>
  <c r="AW920" i="3"/>
  <c r="AW921" i="3"/>
  <c r="AW922" i="3"/>
  <c r="AW923" i="3"/>
  <c r="AW924" i="3"/>
  <c r="AW925" i="3"/>
  <c r="AW926" i="3"/>
  <c r="AW927" i="3"/>
  <c r="AW928" i="3"/>
  <c r="AW929" i="3"/>
  <c r="AW930" i="3"/>
  <c r="AW931" i="3"/>
  <c r="AW932" i="3"/>
  <c r="AW933" i="3"/>
  <c r="AW934" i="3"/>
  <c r="AW935" i="3"/>
  <c r="AW936" i="3"/>
  <c r="AW937" i="3"/>
  <c r="AW938" i="3"/>
  <c r="AW939" i="3"/>
  <c r="AW940" i="3"/>
  <c r="AW941" i="3"/>
  <c r="AW942" i="3"/>
  <c r="AW943" i="3"/>
  <c r="AW944" i="3"/>
  <c r="AW945" i="3"/>
  <c r="AW946" i="3"/>
  <c r="AW947" i="3"/>
  <c r="AW948" i="3"/>
  <c r="AW949" i="3"/>
  <c r="AW950" i="3"/>
  <c r="AW951" i="3"/>
  <c r="AW952" i="3"/>
  <c r="AW953" i="3"/>
  <c r="AW954" i="3"/>
  <c r="AW955" i="3"/>
  <c r="AW956" i="3"/>
  <c r="AW957" i="3"/>
  <c r="AW958" i="3"/>
  <c r="AW959" i="3"/>
  <c r="AW960" i="3"/>
  <c r="AW961" i="3"/>
  <c r="AW962" i="3"/>
  <c r="AW963" i="3"/>
  <c r="AW964" i="3"/>
  <c r="AW965" i="3"/>
  <c r="AW966" i="3"/>
  <c r="AW967" i="3"/>
  <c r="AW968" i="3"/>
  <c r="AW969" i="3"/>
  <c r="AW970" i="3"/>
  <c r="AW971" i="3"/>
  <c r="AW972" i="3"/>
  <c r="AW973" i="3"/>
  <c r="AW974" i="3"/>
  <c r="AW975" i="3"/>
  <c r="AW976" i="3"/>
  <c r="AW977" i="3"/>
  <c r="AW978" i="3"/>
  <c r="AW979" i="3"/>
  <c r="AW980" i="3"/>
  <c r="AW981" i="3"/>
  <c r="AW982" i="3"/>
  <c r="AW983" i="3"/>
  <c r="AW984" i="3"/>
  <c r="AW985" i="3"/>
  <c r="AW986" i="3"/>
  <c r="AW987" i="3"/>
  <c r="AW988" i="3"/>
  <c r="AW989" i="3"/>
  <c r="AW990" i="3"/>
  <c r="AW991" i="3"/>
  <c r="AW992" i="3"/>
  <c r="AW993" i="3"/>
  <c r="AW994" i="3"/>
  <c r="AW995" i="3"/>
  <c r="AW996" i="3"/>
  <c r="AW997" i="3"/>
  <c r="AW998" i="3"/>
  <c r="AW999" i="3"/>
  <c r="AW1000" i="3"/>
  <c r="AW1001" i="3"/>
  <c r="AW1002" i="3"/>
  <c r="AW1003" i="3"/>
  <c r="AW1004" i="3"/>
  <c r="AW1005" i="3"/>
  <c r="AW1006" i="3"/>
  <c r="AW1007" i="3"/>
  <c r="AW1008" i="3"/>
  <c r="AW1009" i="3"/>
  <c r="AW1010" i="3"/>
  <c r="AW1011" i="3"/>
  <c r="AW1012" i="3"/>
  <c r="AW1013" i="3"/>
  <c r="AW1014" i="3"/>
  <c r="AW1015" i="3"/>
  <c r="AW1016" i="3"/>
  <c r="AW1017" i="3"/>
  <c r="AW1018" i="3"/>
  <c r="AW1019" i="3"/>
  <c r="AW1020" i="3"/>
  <c r="AW1021" i="3"/>
  <c r="AW1022" i="3"/>
  <c r="AW1023" i="3"/>
  <c r="AW1024" i="3"/>
  <c r="AW1025" i="3"/>
  <c r="AW1026" i="3"/>
  <c r="AW1027" i="3"/>
  <c r="AW1028" i="3"/>
  <c r="AW1029" i="3"/>
  <c r="AW1030" i="3"/>
  <c r="AW1031" i="3"/>
  <c r="AW1032" i="3"/>
  <c r="AW1033" i="3"/>
  <c r="AW1034" i="3"/>
  <c r="AW1035" i="3"/>
  <c r="AW1036" i="3"/>
  <c r="AW1037" i="3"/>
  <c r="AW1038" i="3"/>
  <c r="AW1039" i="3"/>
  <c r="AW1040" i="3"/>
  <c r="AW1041" i="3"/>
  <c r="AW1042" i="3"/>
  <c r="AW1043" i="3"/>
  <c r="AW1044" i="3"/>
  <c r="AW1045" i="3"/>
  <c r="AW1046" i="3"/>
  <c r="AW1047" i="3"/>
  <c r="AW1048" i="3"/>
  <c r="AW1049" i="3"/>
  <c r="AW1050" i="3"/>
  <c r="AW1051" i="3"/>
  <c r="AW1052" i="3"/>
  <c r="AW1053" i="3"/>
  <c r="AW1054" i="3"/>
  <c r="AW1055" i="3"/>
  <c r="AW1056" i="3"/>
  <c r="AW1057" i="3"/>
  <c r="AW1058" i="3"/>
  <c r="AW1059" i="3"/>
  <c r="AW1060" i="3"/>
  <c r="AW1061" i="3"/>
  <c r="AW1062" i="3"/>
  <c r="AW1063" i="3"/>
  <c r="AW1064" i="3"/>
  <c r="AW1065" i="3"/>
  <c r="AW1066" i="3"/>
  <c r="AW1067" i="3"/>
  <c r="AW1068" i="3"/>
  <c r="AW1069" i="3"/>
  <c r="AW1070" i="3"/>
  <c r="AW1071" i="3"/>
  <c r="AW1072" i="3"/>
  <c r="AW1073" i="3"/>
  <c r="AW1074" i="3"/>
  <c r="AW1075" i="3"/>
  <c r="AW1076" i="3"/>
  <c r="AW1077" i="3"/>
  <c r="AW1078" i="3"/>
  <c r="AW1079" i="3"/>
  <c r="AW1080" i="3"/>
  <c r="AW1081" i="3"/>
  <c r="AW1082" i="3"/>
  <c r="AW1083" i="3"/>
  <c r="AW1084" i="3"/>
  <c r="AW1085" i="3"/>
  <c r="AW1086" i="3"/>
  <c r="AW1087" i="3"/>
  <c r="AW1088" i="3"/>
  <c r="AW1089" i="3"/>
  <c r="AW1090" i="3"/>
  <c r="AW1091" i="3"/>
  <c r="AW1092" i="3"/>
  <c r="AW1093" i="3"/>
  <c r="AW1094" i="3"/>
  <c r="AW1095" i="3"/>
  <c r="AW1096" i="3"/>
  <c r="AW1097" i="3"/>
  <c r="AW1098" i="3"/>
  <c r="AW1099" i="3"/>
  <c r="AW1100" i="3"/>
  <c r="AW1101" i="3"/>
  <c r="AW1102" i="3"/>
  <c r="AW1103" i="3"/>
  <c r="AW1104" i="3"/>
  <c r="AW1105" i="3"/>
  <c r="AW1106" i="3"/>
  <c r="AW1107" i="3"/>
  <c r="AW1108" i="3"/>
  <c r="AW1109" i="3"/>
  <c r="AW1110" i="3"/>
  <c r="AW1111" i="3"/>
  <c r="AW1112" i="3"/>
  <c r="AW1113" i="3"/>
  <c r="AW1114" i="3"/>
  <c r="AW1115" i="3"/>
  <c r="AW1116" i="3"/>
  <c r="AW1117" i="3"/>
  <c r="AW1118" i="3"/>
  <c r="AW1119" i="3"/>
  <c r="AW1120" i="3"/>
  <c r="AW1121" i="3"/>
  <c r="AW1122" i="3"/>
  <c r="AW1123" i="3"/>
  <c r="AW1124" i="3"/>
  <c r="AW1125" i="3"/>
  <c r="AW1126" i="3"/>
  <c r="AW1127" i="3"/>
  <c r="AW1128" i="3"/>
  <c r="AW1129" i="3"/>
  <c r="AW1130" i="3"/>
  <c r="AW1131" i="3"/>
  <c r="AW1132" i="3"/>
  <c r="AW1133" i="3"/>
  <c r="AW1134" i="3"/>
  <c r="AW1135" i="3"/>
  <c r="AW1136" i="3"/>
  <c r="AW1137" i="3"/>
  <c r="AW1138" i="3"/>
  <c r="AW1139" i="3"/>
  <c r="AW1140" i="3"/>
  <c r="AW1141" i="3"/>
  <c r="AW1142" i="3"/>
  <c r="AW1143" i="3"/>
  <c r="AW1144" i="3"/>
  <c r="AW1145" i="3"/>
  <c r="AW1146" i="3"/>
  <c r="AW1147" i="3"/>
  <c r="AW1148" i="3"/>
  <c r="AW1149" i="3"/>
  <c r="AW1150" i="3"/>
  <c r="AW1151" i="3"/>
  <c r="AW1152" i="3"/>
  <c r="AW1153" i="3"/>
  <c r="AW1154" i="3"/>
  <c r="AW1155" i="3"/>
  <c r="AW1156" i="3"/>
  <c r="AW1157" i="3"/>
  <c r="AW1158" i="3"/>
  <c r="AW1159" i="3"/>
  <c r="AW1160" i="3"/>
  <c r="AW1161" i="3"/>
  <c r="AW1162" i="3"/>
  <c r="AW1163" i="3"/>
  <c r="AW1164" i="3"/>
  <c r="AW1165" i="3"/>
  <c r="AW1166" i="3"/>
  <c r="AW1167" i="3"/>
  <c r="AW1168" i="3"/>
  <c r="AW1169" i="3"/>
  <c r="AW1170" i="3"/>
  <c r="AW1171" i="3"/>
  <c r="AW1172" i="3"/>
  <c r="AW1173" i="3"/>
  <c r="AW1174" i="3"/>
  <c r="AW1175" i="3"/>
  <c r="AW1176" i="3"/>
  <c r="AW1177" i="3"/>
  <c r="AW1178" i="3"/>
  <c r="AW1179" i="3"/>
  <c r="AW1180" i="3"/>
  <c r="AW1181" i="3"/>
  <c r="AW1182" i="3"/>
  <c r="AW1183" i="3"/>
  <c r="AW1184" i="3"/>
  <c r="AW1185" i="3"/>
  <c r="AW1186" i="3"/>
  <c r="AW1187" i="3"/>
  <c r="AW1188" i="3"/>
  <c r="AW1189" i="3"/>
  <c r="AW1190" i="3"/>
  <c r="AW1191" i="3"/>
  <c r="AW1192" i="3"/>
  <c r="AW1193" i="3"/>
  <c r="AW1194" i="3"/>
  <c r="AW1195" i="3"/>
  <c r="AW1196" i="3"/>
  <c r="AW1197" i="3"/>
  <c r="AW1198" i="3"/>
  <c r="AW1199" i="3"/>
  <c r="AW1200" i="3"/>
  <c r="AW1201" i="3"/>
  <c r="AW1202" i="3"/>
  <c r="AW1203" i="3"/>
  <c r="AW1204" i="3"/>
  <c r="AW1205" i="3"/>
  <c r="AW1206" i="3"/>
  <c r="AW1207" i="3"/>
  <c r="AW1208" i="3"/>
  <c r="AW1209" i="3"/>
  <c r="AW1210" i="3"/>
  <c r="AW1211" i="3"/>
  <c r="AW1212" i="3"/>
  <c r="AW1213" i="3"/>
  <c r="AW1214" i="3"/>
  <c r="AW1215" i="3"/>
  <c r="AW1216" i="3"/>
  <c r="AW1217" i="3"/>
  <c r="AW1218" i="3"/>
  <c r="AW1219" i="3"/>
  <c r="AW1220" i="3"/>
  <c r="AW1221" i="3"/>
  <c r="AW1222" i="3"/>
  <c r="AW1223" i="3"/>
  <c r="AW1224" i="3"/>
  <c r="AW1225" i="3"/>
  <c r="AW1226" i="3"/>
  <c r="AW1227" i="3"/>
  <c r="AW1228" i="3"/>
  <c r="AW1229" i="3"/>
  <c r="AW1230" i="3"/>
  <c r="AW1231" i="3"/>
  <c r="AW1232" i="3"/>
  <c r="AW1233" i="3"/>
  <c r="AW1234" i="3"/>
  <c r="AW1235" i="3"/>
  <c r="AW1236" i="3"/>
  <c r="AW1237" i="3"/>
  <c r="AW1238" i="3"/>
  <c r="AW1239" i="3"/>
  <c r="AW1240" i="3"/>
  <c r="AW1241" i="3"/>
  <c r="AW1242" i="3"/>
  <c r="AW1243" i="3"/>
  <c r="AW1244" i="3"/>
  <c r="AW1245" i="3"/>
  <c r="AW1246" i="3"/>
  <c r="AW1247" i="3"/>
  <c r="AW1248" i="3"/>
  <c r="AW1249" i="3"/>
  <c r="AW1250" i="3"/>
  <c r="AW1251" i="3"/>
  <c r="AW1252" i="3"/>
  <c r="AW1253" i="3"/>
  <c r="AW1254" i="3"/>
  <c r="AW1255" i="3"/>
  <c r="AW1256" i="3"/>
  <c r="AW1257" i="3"/>
  <c r="AW1258" i="3"/>
  <c r="AW1259" i="3"/>
  <c r="AW1260" i="3"/>
  <c r="AW1261" i="3"/>
  <c r="AW1262" i="3"/>
  <c r="AW1263" i="3"/>
  <c r="AW1264" i="3"/>
  <c r="AW1265" i="3"/>
  <c r="AW1266" i="3"/>
  <c r="AW1267" i="3"/>
  <c r="AW1268" i="3"/>
  <c r="AW1269" i="3"/>
  <c r="AW1270" i="3"/>
  <c r="AW1271" i="3"/>
  <c r="AW1272" i="3"/>
  <c r="AW1273" i="3"/>
  <c r="AW1274" i="3"/>
  <c r="AW1275" i="3"/>
  <c r="AW1276" i="3"/>
  <c r="AW1277" i="3"/>
  <c r="AW1278" i="3"/>
  <c r="AW1279" i="3"/>
  <c r="AW1280" i="3"/>
  <c r="AW1281" i="3"/>
  <c r="AW1282" i="3"/>
  <c r="AW1283" i="3"/>
  <c r="AW1284" i="3"/>
  <c r="AW1285" i="3"/>
  <c r="AW1286" i="3"/>
  <c r="AW1287" i="3"/>
  <c r="AW1288" i="3"/>
  <c r="AW1289" i="3"/>
  <c r="AW1290" i="3"/>
  <c r="AW1291" i="3"/>
  <c r="AW1292" i="3"/>
  <c r="AW1293" i="3"/>
  <c r="AW1294" i="3"/>
  <c r="AW1295" i="3"/>
  <c r="AW1296" i="3"/>
  <c r="AW1297" i="3"/>
  <c r="AW1298" i="3"/>
  <c r="AW1299" i="3"/>
  <c r="AW1300" i="3"/>
  <c r="AW1301" i="3"/>
  <c r="AW1302" i="3"/>
  <c r="AW1303" i="3"/>
  <c r="AW1304" i="3"/>
  <c r="AW1305" i="3"/>
  <c r="AW1306" i="3"/>
  <c r="AW1307" i="3"/>
  <c r="AW1308" i="3"/>
  <c r="AW1309" i="3"/>
  <c r="AW1310" i="3"/>
  <c r="AW1311" i="3"/>
  <c r="AW1312" i="3"/>
  <c r="AW1313" i="3"/>
  <c r="AW1314" i="3"/>
  <c r="AW1315" i="3"/>
  <c r="AW1316" i="3"/>
  <c r="AW1317" i="3"/>
  <c r="AW1318" i="3"/>
  <c r="AW1319" i="3"/>
  <c r="AW1320" i="3"/>
  <c r="AW1321" i="3"/>
  <c r="AW1322" i="3"/>
  <c r="AW1323" i="3"/>
  <c r="AW1324" i="3"/>
  <c r="AW1325" i="3"/>
  <c r="AW1326" i="3"/>
  <c r="AW1327" i="3"/>
  <c r="AW1328" i="3"/>
  <c r="AW1329" i="3"/>
  <c r="AW1330" i="3"/>
  <c r="AW1331" i="3"/>
  <c r="AW1332" i="3"/>
  <c r="AW1333" i="3"/>
  <c r="AW1334" i="3"/>
  <c r="AW1335" i="3"/>
  <c r="AW1336" i="3"/>
  <c r="AW1337" i="3"/>
  <c r="AW1338" i="3"/>
  <c r="AW1339" i="3"/>
  <c r="AW1340" i="3"/>
  <c r="AW1341" i="3"/>
  <c r="AW1342" i="3"/>
  <c r="AW1343" i="3"/>
  <c r="AW1344" i="3"/>
  <c r="AW1345" i="3"/>
  <c r="AW1346" i="3"/>
  <c r="AW1347" i="3"/>
  <c r="AW1348" i="3"/>
  <c r="AW1349" i="3"/>
  <c r="AW1350" i="3"/>
  <c r="AW1351" i="3"/>
  <c r="AW1352" i="3"/>
  <c r="AW1353" i="3"/>
  <c r="AW1354" i="3"/>
  <c r="AW1355" i="3"/>
  <c r="AW1356" i="3"/>
  <c r="AW1357" i="3"/>
  <c r="AW1358" i="3"/>
  <c r="AW1359" i="3"/>
  <c r="AW1360" i="3"/>
  <c r="AW1361" i="3"/>
  <c r="AW1362" i="3"/>
  <c r="AW1363" i="3"/>
  <c r="AW1364" i="3"/>
  <c r="AW1365" i="3"/>
  <c r="AW1366" i="3"/>
  <c r="AW1367" i="3"/>
  <c r="AW1368" i="3"/>
  <c r="AW1369" i="3"/>
  <c r="AW1370" i="3"/>
  <c r="AW1371" i="3"/>
  <c r="AW1372" i="3"/>
  <c r="AW1373" i="3"/>
  <c r="AW1374" i="3"/>
  <c r="AW1375" i="3"/>
  <c r="AW1376" i="3"/>
  <c r="AW1377" i="3"/>
  <c r="AW1378" i="3"/>
  <c r="AW1379" i="3"/>
  <c r="AW1380" i="3"/>
  <c r="AW1381" i="3"/>
  <c r="AW1382" i="3"/>
  <c r="AW1383" i="3"/>
  <c r="AW1384" i="3"/>
  <c r="AW1385" i="3"/>
  <c r="AW1386" i="3"/>
  <c r="AW1387" i="3"/>
  <c r="AW1388" i="3"/>
  <c r="AW1389" i="3"/>
  <c r="AW1390" i="3"/>
  <c r="AW1391" i="3"/>
  <c r="AW1392" i="3"/>
  <c r="AW1393" i="3"/>
  <c r="AW1394" i="3"/>
  <c r="AW1395" i="3"/>
  <c r="AW1396" i="3"/>
  <c r="AW1397" i="3"/>
  <c r="AW1398" i="3"/>
  <c r="AW1399" i="3"/>
  <c r="AW1400" i="3"/>
  <c r="AW1401" i="3"/>
  <c r="AW1402" i="3"/>
  <c r="AW1403" i="3"/>
  <c r="AW1404" i="3"/>
  <c r="AW1405" i="3"/>
  <c r="AW1406" i="3"/>
  <c r="AW1407" i="3"/>
  <c r="AW1408" i="3"/>
  <c r="AW1409" i="3"/>
  <c r="AW1410" i="3"/>
  <c r="AW1411" i="3"/>
  <c r="AW1412" i="3"/>
  <c r="AW1413" i="3"/>
  <c r="AW1414" i="3"/>
  <c r="AW1415" i="3"/>
  <c r="AW1416" i="3"/>
  <c r="AW1417" i="3"/>
  <c r="AW1418" i="3"/>
  <c r="AW1419" i="3"/>
  <c r="AW1420" i="3"/>
  <c r="AW1421" i="3"/>
  <c r="AW1422" i="3"/>
  <c r="AW1423" i="3"/>
  <c r="AW1424" i="3"/>
  <c r="AW1425" i="3"/>
  <c r="AW1426" i="3"/>
  <c r="AW1427" i="3"/>
  <c r="AW1428" i="3"/>
  <c r="AW1429" i="3"/>
  <c r="AW1430" i="3"/>
  <c r="AW1431" i="3"/>
  <c r="AW1432" i="3"/>
  <c r="AW1433" i="3"/>
  <c r="AW1434" i="3"/>
  <c r="AW1435" i="3"/>
  <c r="AW1436" i="3"/>
  <c r="AW1437" i="3"/>
  <c r="AW1438" i="3"/>
  <c r="AW1439" i="3"/>
  <c r="AW62" i="3"/>
  <c r="AL63" i="3"/>
  <c r="AL64" i="3"/>
  <c r="AL65" i="3"/>
  <c r="AL66" i="3"/>
  <c r="AL67" i="3"/>
  <c r="AL68" i="3"/>
  <c r="AL69" i="3"/>
  <c r="AL70" i="3"/>
  <c r="AL71" i="3"/>
  <c r="AL72" i="3"/>
  <c r="AL73" i="3"/>
  <c r="AL74" i="3"/>
  <c r="AL75" i="3"/>
  <c r="AL76" i="3"/>
  <c r="AL77" i="3"/>
  <c r="AL78" i="3"/>
  <c r="AL79" i="3"/>
  <c r="AL80" i="3"/>
  <c r="AL81" i="3"/>
  <c r="AL82" i="3"/>
  <c r="AL83" i="3"/>
  <c r="AL84" i="3"/>
  <c r="AL85" i="3"/>
  <c r="AL86" i="3"/>
  <c r="AL87" i="3"/>
  <c r="AL88" i="3"/>
  <c r="AL89" i="3"/>
  <c r="AL90" i="3"/>
  <c r="AL91" i="3"/>
  <c r="AL92" i="3"/>
  <c r="AL93" i="3"/>
  <c r="AL94" i="3"/>
  <c r="AL95" i="3"/>
  <c r="AL96" i="3"/>
  <c r="AL97" i="3"/>
  <c r="AL98" i="3"/>
  <c r="AL99" i="3"/>
  <c r="AL100" i="3"/>
  <c r="AL101" i="3"/>
  <c r="AL102" i="3"/>
  <c r="AL103" i="3"/>
  <c r="AL104" i="3"/>
  <c r="AL105" i="3"/>
  <c r="AL106" i="3"/>
  <c r="AL107" i="3"/>
  <c r="AL108" i="3"/>
  <c r="AL109" i="3"/>
  <c r="AL110" i="3"/>
  <c r="AL111" i="3"/>
  <c r="AL112" i="3"/>
  <c r="AL113" i="3"/>
  <c r="AL114" i="3"/>
  <c r="AL115" i="3"/>
  <c r="AL116" i="3"/>
  <c r="AL117" i="3"/>
  <c r="AL118" i="3"/>
  <c r="AL119" i="3"/>
  <c r="AL120" i="3"/>
  <c r="AL121" i="3"/>
  <c r="AL122" i="3"/>
  <c r="AL123" i="3"/>
  <c r="AL124" i="3"/>
  <c r="AL125" i="3"/>
  <c r="AL126" i="3"/>
  <c r="AL127" i="3"/>
  <c r="AL128" i="3"/>
  <c r="AL129" i="3"/>
  <c r="AL130" i="3"/>
  <c r="AL131" i="3"/>
  <c r="AL132" i="3"/>
  <c r="AL133" i="3"/>
  <c r="AL134" i="3"/>
  <c r="AL135" i="3"/>
  <c r="AL136" i="3"/>
  <c r="AL137" i="3"/>
  <c r="AL138" i="3"/>
  <c r="AL139" i="3"/>
  <c r="AL140" i="3"/>
  <c r="AL141" i="3"/>
  <c r="AL142" i="3"/>
  <c r="AL143" i="3"/>
  <c r="AL144" i="3"/>
  <c r="AL145" i="3"/>
  <c r="AL146" i="3"/>
  <c r="AL147" i="3"/>
  <c r="AL148" i="3"/>
  <c r="AL149" i="3"/>
  <c r="AL150" i="3"/>
  <c r="AL151" i="3"/>
  <c r="AL152" i="3"/>
  <c r="AL153" i="3"/>
  <c r="AL154" i="3"/>
  <c r="AL155" i="3"/>
  <c r="AL156" i="3"/>
  <c r="AL157" i="3"/>
  <c r="AL158" i="3"/>
  <c r="AL159" i="3"/>
  <c r="AL160" i="3"/>
  <c r="AL161" i="3"/>
  <c r="AL162" i="3"/>
  <c r="AL163" i="3"/>
  <c r="AL164" i="3"/>
  <c r="AL165" i="3"/>
  <c r="AL166" i="3"/>
  <c r="AL167" i="3"/>
  <c r="AL168" i="3"/>
  <c r="AL169" i="3"/>
  <c r="AL170" i="3"/>
  <c r="AL171" i="3"/>
  <c r="AL172" i="3"/>
  <c r="AL173" i="3"/>
  <c r="AL174" i="3"/>
  <c r="AL175" i="3"/>
  <c r="AL176" i="3"/>
  <c r="AL177" i="3"/>
  <c r="AL178" i="3"/>
  <c r="AL179" i="3"/>
  <c r="AL180" i="3"/>
  <c r="AL181" i="3"/>
  <c r="AL182" i="3"/>
  <c r="AL183" i="3"/>
  <c r="AL184" i="3"/>
  <c r="AL185" i="3"/>
  <c r="AL186" i="3"/>
  <c r="AL187" i="3"/>
  <c r="AL188" i="3"/>
  <c r="AL189" i="3"/>
  <c r="AL190" i="3"/>
  <c r="AL191" i="3"/>
  <c r="AL192" i="3"/>
  <c r="AL193" i="3"/>
  <c r="AL194" i="3"/>
  <c r="AL195" i="3"/>
  <c r="AL196" i="3"/>
  <c r="AL197" i="3"/>
  <c r="AL198" i="3"/>
  <c r="AL199" i="3"/>
  <c r="AL200" i="3"/>
  <c r="AL201" i="3"/>
  <c r="AL202" i="3"/>
  <c r="AL203" i="3"/>
  <c r="AL204" i="3"/>
  <c r="AL205" i="3"/>
  <c r="AL206" i="3"/>
  <c r="AL207" i="3"/>
  <c r="AL208" i="3"/>
  <c r="AL209" i="3"/>
  <c r="AL210" i="3"/>
  <c r="AL211" i="3"/>
  <c r="AL212" i="3"/>
  <c r="AL213" i="3"/>
  <c r="AL214" i="3"/>
  <c r="AL215" i="3"/>
  <c r="AL216" i="3"/>
  <c r="AL217" i="3"/>
  <c r="AL218" i="3"/>
  <c r="AL219" i="3"/>
  <c r="AL220" i="3"/>
  <c r="AL221" i="3"/>
  <c r="AL222" i="3"/>
  <c r="AL223" i="3"/>
  <c r="AL224" i="3"/>
  <c r="AL225" i="3"/>
  <c r="AL226" i="3"/>
  <c r="AL227" i="3"/>
  <c r="AL228" i="3"/>
  <c r="AL229" i="3"/>
  <c r="AL230" i="3"/>
  <c r="AL231" i="3"/>
  <c r="AL232" i="3"/>
  <c r="AL233" i="3"/>
  <c r="AL234" i="3"/>
  <c r="AL235" i="3"/>
  <c r="AL236" i="3"/>
  <c r="AL237" i="3"/>
  <c r="AL238" i="3"/>
  <c r="AL239" i="3"/>
  <c r="AL240" i="3"/>
  <c r="AL241" i="3"/>
  <c r="AL242" i="3"/>
  <c r="AL243" i="3"/>
  <c r="AL244" i="3"/>
  <c r="AL245" i="3"/>
  <c r="AL246" i="3"/>
  <c r="AL247" i="3"/>
  <c r="AL248" i="3"/>
  <c r="AL249" i="3"/>
  <c r="AL250" i="3"/>
  <c r="AL251" i="3"/>
  <c r="AL252" i="3"/>
  <c r="AL253" i="3"/>
  <c r="AL254" i="3"/>
  <c r="AL255" i="3"/>
  <c r="AL256" i="3"/>
  <c r="AL257" i="3"/>
  <c r="AL258" i="3"/>
  <c r="AL259" i="3"/>
  <c r="AL260" i="3"/>
  <c r="AL261" i="3"/>
  <c r="AL262" i="3"/>
  <c r="AL263" i="3"/>
  <c r="AL264" i="3"/>
  <c r="AL265" i="3"/>
  <c r="AL266" i="3"/>
  <c r="AL267" i="3"/>
  <c r="AL268" i="3"/>
  <c r="AL269" i="3"/>
  <c r="AL270" i="3"/>
  <c r="AL271" i="3"/>
  <c r="AL272" i="3"/>
  <c r="AL273" i="3"/>
  <c r="AL274" i="3"/>
  <c r="AL275" i="3"/>
  <c r="AL276" i="3"/>
  <c r="AL277" i="3"/>
  <c r="AL278" i="3"/>
  <c r="AL279" i="3"/>
  <c r="AL280" i="3"/>
  <c r="AL281" i="3"/>
  <c r="AL282" i="3"/>
  <c r="AL283" i="3"/>
  <c r="AL284" i="3"/>
  <c r="AL285" i="3"/>
  <c r="AL286" i="3"/>
  <c r="AL287" i="3"/>
  <c r="AL288" i="3"/>
  <c r="AL289" i="3"/>
  <c r="AL290" i="3"/>
  <c r="AL291" i="3"/>
  <c r="AL292" i="3"/>
  <c r="AL293" i="3"/>
  <c r="AL294" i="3"/>
  <c r="AL295" i="3"/>
  <c r="AL296" i="3"/>
  <c r="AL297" i="3"/>
  <c r="AL298" i="3"/>
  <c r="AL299" i="3"/>
  <c r="AL300" i="3"/>
  <c r="AL301" i="3"/>
  <c r="AL302" i="3"/>
  <c r="AL303" i="3"/>
  <c r="AL304" i="3"/>
  <c r="AL305" i="3"/>
  <c r="AL306" i="3"/>
  <c r="AL307" i="3"/>
  <c r="AL308" i="3"/>
  <c r="AL309" i="3"/>
  <c r="AL310" i="3"/>
  <c r="AL311" i="3"/>
  <c r="AL312" i="3"/>
  <c r="AL313" i="3"/>
  <c r="AL314" i="3"/>
  <c r="AL315" i="3"/>
  <c r="AL316" i="3"/>
  <c r="AL317" i="3"/>
  <c r="AL318" i="3"/>
  <c r="AL319" i="3"/>
  <c r="AL320" i="3"/>
  <c r="AL321" i="3"/>
  <c r="AL322" i="3"/>
  <c r="AL323" i="3"/>
  <c r="AL324" i="3"/>
  <c r="AL325" i="3"/>
  <c r="AL326" i="3"/>
  <c r="AL327" i="3"/>
  <c r="AL328" i="3"/>
  <c r="AL329" i="3"/>
  <c r="AL330" i="3"/>
  <c r="AL331" i="3"/>
  <c r="AL332" i="3"/>
  <c r="AL333" i="3"/>
  <c r="AL334" i="3"/>
  <c r="AL335" i="3"/>
  <c r="AL336" i="3"/>
  <c r="AL337" i="3"/>
  <c r="AL338" i="3"/>
  <c r="AL339" i="3"/>
  <c r="AL340" i="3"/>
  <c r="AL341" i="3"/>
  <c r="AL342" i="3"/>
  <c r="AL343" i="3"/>
  <c r="AL344" i="3"/>
  <c r="AL345" i="3"/>
  <c r="AL346" i="3"/>
  <c r="AL347" i="3"/>
  <c r="AL348" i="3"/>
  <c r="AL349" i="3"/>
  <c r="AL350" i="3"/>
  <c r="AL351" i="3"/>
  <c r="AL352" i="3"/>
  <c r="AL353" i="3"/>
  <c r="AL354" i="3"/>
  <c r="AL355" i="3"/>
  <c r="AL356" i="3"/>
  <c r="AL357" i="3"/>
  <c r="AL358" i="3"/>
  <c r="AL359" i="3"/>
  <c r="AL360" i="3"/>
  <c r="AL361" i="3"/>
  <c r="AL362" i="3"/>
  <c r="AL363" i="3"/>
  <c r="AL364" i="3"/>
  <c r="AL365" i="3"/>
  <c r="AL366" i="3"/>
  <c r="AL367" i="3"/>
  <c r="AL368" i="3"/>
  <c r="AL369" i="3"/>
  <c r="AL370" i="3"/>
  <c r="AL371" i="3"/>
  <c r="AL372" i="3"/>
  <c r="AL373" i="3"/>
  <c r="AL374" i="3"/>
  <c r="AL375" i="3"/>
  <c r="AL376" i="3"/>
  <c r="AL377" i="3"/>
  <c r="AL378" i="3"/>
  <c r="AL379" i="3"/>
  <c r="AL380" i="3"/>
  <c r="AL381" i="3"/>
  <c r="AL382" i="3"/>
  <c r="AL383" i="3"/>
  <c r="AL384" i="3"/>
  <c r="AL385" i="3"/>
  <c r="AL386" i="3"/>
  <c r="AL387" i="3"/>
  <c r="AL388" i="3"/>
  <c r="AL389" i="3"/>
  <c r="AL390" i="3"/>
  <c r="AL391" i="3"/>
  <c r="AL392" i="3"/>
  <c r="AL393" i="3"/>
  <c r="AL394" i="3"/>
  <c r="AL395" i="3"/>
  <c r="AL396" i="3"/>
  <c r="AL397" i="3"/>
  <c r="AL398" i="3"/>
  <c r="AL399" i="3"/>
  <c r="AL400" i="3"/>
  <c r="AL401" i="3"/>
  <c r="AL402" i="3"/>
  <c r="AL403" i="3"/>
  <c r="AL404" i="3"/>
  <c r="AL405" i="3"/>
  <c r="AL406" i="3"/>
  <c r="AL407" i="3"/>
  <c r="AL408" i="3"/>
  <c r="AL409" i="3"/>
  <c r="AL410" i="3"/>
  <c r="AL411" i="3"/>
  <c r="AL412" i="3"/>
  <c r="AL413" i="3"/>
  <c r="AL414" i="3"/>
  <c r="AL415" i="3"/>
  <c r="AL416" i="3"/>
  <c r="AL417" i="3"/>
  <c r="AL418" i="3"/>
  <c r="AL419" i="3"/>
  <c r="AL420" i="3"/>
  <c r="AL421" i="3"/>
  <c r="AL422" i="3"/>
  <c r="AL423" i="3"/>
  <c r="AL424" i="3"/>
  <c r="AL425" i="3"/>
  <c r="AL426" i="3"/>
  <c r="AL427" i="3"/>
  <c r="AL428" i="3"/>
  <c r="AL429" i="3"/>
  <c r="AL430" i="3"/>
  <c r="AL431" i="3"/>
  <c r="AL432" i="3"/>
  <c r="AL433" i="3"/>
  <c r="AL434" i="3"/>
  <c r="AL435" i="3"/>
  <c r="AL436" i="3"/>
  <c r="AL437" i="3"/>
  <c r="AL438" i="3"/>
  <c r="AL439" i="3"/>
  <c r="AL440" i="3"/>
  <c r="AL441" i="3"/>
  <c r="AL442" i="3"/>
  <c r="AL443" i="3"/>
  <c r="AL444" i="3"/>
  <c r="AL445" i="3"/>
  <c r="AL446" i="3"/>
  <c r="AL447" i="3"/>
  <c r="AL448" i="3"/>
  <c r="AL449" i="3"/>
  <c r="AL450" i="3"/>
  <c r="AL451" i="3"/>
  <c r="AL452" i="3"/>
  <c r="AL453" i="3"/>
  <c r="AL454" i="3"/>
  <c r="AL455" i="3"/>
  <c r="AL456" i="3"/>
  <c r="AL457" i="3"/>
  <c r="AL458" i="3"/>
  <c r="AL459" i="3"/>
  <c r="AL460" i="3"/>
  <c r="AL461" i="3"/>
  <c r="AL462" i="3"/>
  <c r="AL463" i="3"/>
  <c r="AL464" i="3"/>
  <c r="AL465" i="3"/>
  <c r="AL466" i="3"/>
  <c r="AL467" i="3"/>
  <c r="AL468" i="3"/>
  <c r="AL469" i="3"/>
  <c r="AL470" i="3"/>
  <c r="AL471" i="3"/>
  <c r="AL472" i="3"/>
  <c r="AL473" i="3"/>
  <c r="AL474" i="3"/>
  <c r="AL475" i="3"/>
  <c r="AL476" i="3"/>
  <c r="AL477" i="3"/>
  <c r="AL478" i="3"/>
  <c r="AL479" i="3"/>
  <c r="AL480" i="3"/>
  <c r="AL481" i="3"/>
  <c r="AL482" i="3"/>
  <c r="AL483" i="3"/>
  <c r="AL484" i="3"/>
  <c r="AL485" i="3"/>
  <c r="AL486" i="3"/>
  <c r="AL487" i="3"/>
  <c r="AL488" i="3"/>
  <c r="AL489" i="3"/>
  <c r="AL490" i="3"/>
  <c r="AL491" i="3"/>
  <c r="AL492" i="3"/>
  <c r="AL493" i="3"/>
  <c r="AL494" i="3"/>
  <c r="AL495" i="3"/>
  <c r="AL496" i="3"/>
  <c r="AL497" i="3"/>
  <c r="AL498" i="3"/>
  <c r="AL499" i="3"/>
  <c r="AL500" i="3"/>
  <c r="AL501" i="3"/>
  <c r="AL502" i="3"/>
  <c r="AL503" i="3"/>
  <c r="AL504" i="3"/>
  <c r="AL505" i="3"/>
  <c r="AL506" i="3"/>
  <c r="AL507" i="3"/>
  <c r="AL508" i="3"/>
  <c r="AL509" i="3"/>
  <c r="AL510" i="3"/>
  <c r="AL511" i="3"/>
  <c r="AL512" i="3"/>
  <c r="AL513" i="3"/>
  <c r="AL514" i="3"/>
  <c r="AL515" i="3"/>
  <c r="AL516" i="3"/>
  <c r="AL517" i="3"/>
  <c r="AL518" i="3"/>
  <c r="AL519" i="3"/>
  <c r="AL520" i="3"/>
  <c r="AL521" i="3"/>
  <c r="AL522" i="3"/>
  <c r="AL523" i="3"/>
  <c r="AL524" i="3"/>
  <c r="AL525" i="3"/>
  <c r="AL526" i="3"/>
  <c r="AL527" i="3"/>
  <c r="AL528" i="3"/>
  <c r="AL529" i="3"/>
  <c r="AL530" i="3"/>
  <c r="AL531" i="3"/>
  <c r="AL532" i="3"/>
  <c r="AL533" i="3"/>
  <c r="AL534" i="3"/>
  <c r="AL535" i="3"/>
  <c r="AL536" i="3"/>
  <c r="AL537" i="3"/>
  <c r="AL538" i="3"/>
  <c r="AL539" i="3"/>
  <c r="AL540" i="3"/>
  <c r="AL541" i="3"/>
  <c r="AL542" i="3"/>
  <c r="AL543" i="3"/>
  <c r="AL544" i="3"/>
  <c r="AL545" i="3"/>
  <c r="AL546" i="3"/>
  <c r="AL547" i="3"/>
  <c r="AL548" i="3"/>
  <c r="AL549" i="3"/>
  <c r="AL550" i="3"/>
  <c r="AL551" i="3"/>
  <c r="AL552" i="3"/>
  <c r="AL553" i="3"/>
  <c r="AL554" i="3"/>
  <c r="AL555" i="3"/>
  <c r="AL556" i="3"/>
  <c r="AL557" i="3"/>
  <c r="AL558" i="3"/>
  <c r="AL559" i="3"/>
  <c r="AL560" i="3"/>
  <c r="AL561" i="3"/>
  <c r="AL562" i="3"/>
  <c r="AL563" i="3"/>
  <c r="AL564" i="3"/>
  <c r="AL565" i="3"/>
  <c r="AL566" i="3"/>
  <c r="AL567" i="3"/>
  <c r="AL568" i="3"/>
  <c r="AL569" i="3"/>
  <c r="AL570" i="3"/>
  <c r="AL571" i="3"/>
  <c r="AL572" i="3"/>
  <c r="AL573" i="3"/>
  <c r="AL574" i="3"/>
  <c r="AL575" i="3"/>
  <c r="AL576" i="3"/>
  <c r="AL577" i="3"/>
  <c r="AL578" i="3"/>
  <c r="AL579" i="3"/>
  <c r="AL580" i="3"/>
  <c r="AL581" i="3"/>
  <c r="AL582" i="3"/>
  <c r="AL583" i="3"/>
  <c r="AL584" i="3"/>
  <c r="AL585" i="3"/>
  <c r="AL586" i="3"/>
  <c r="AL587" i="3"/>
  <c r="AL588" i="3"/>
  <c r="AL589" i="3"/>
  <c r="AL590" i="3"/>
  <c r="AL591" i="3"/>
  <c r="AL592" i="3"/>
  <c r="AL593" i="3"/>
  <c r="AL594" i="3"/>
  <c r="AL595" i="3"/>
  <c r="AL596" i="3"/>
  <c r="AL597" i="3"/>
  <c r="AL598" i="3"/>
  <c r="AL599" i="3"/>
  <c r="AL600" i="3"/>
  <c r="AL601" i="3"/>
  <c r="AL602" i="3"/>
  <c r="AL603" i="3"/>
  <c r="AL604" i="3"/>
  <c r="AL605" i="3"/>
  <c r="AL606" i="3"/>
  <c r="AL607" i="3"/>
  <c r="AL608" i="3"/>
  <c r="AL609" i="3"/>
  <c r="AL610" i="3"/>
  <c r="AL611" i="3"/>
  <c r="AL612" i="3"/>
  <c r="AL613" i="3"/>
  <c r="AL614" i="3"/>
  <c r="AL615" i="3"/>
  <c r="AL616" i="3"/>
  <c r="AL617" i="3"/>
  <c r="AL618" i="3"/>
  <c r="AL619" i="3"/>
  <c r="AL620" i="3"/>
  <c r="AL621" i="3"/>
  <c r="AL622" i="3"/>
  <c r="AL623" i="3"/>
  <c r="AL624" i="3"/>
  <c r="AL625" i="3"/>
  <c r="AL626" i="3"/>
  <c r="AL627" i="3"/>
  <c r="AL628" i="3"/>
  <c r="AL629" i="3"/>
  <c r="AL630" i="3"/>
  <c r="AL631" i="3"/>
  <c r="AL632" i="3"/>
  <c r="AL633" i="3"/>
  <c r="AL634" i="3"/>
  <c r="AL635" i="3"/>
  <c r="AL636" i="3"/>
  <c r="AL637" i="3"/>
  <c r="AL638" i="3"/>
  <c r="AL639" i="3"/>
  <c r="AL640" i="3"/>
  <c r="AL641" i="3"/>
  <c r="AL642" i="3"/>
  <c r="AL643" i="3"/>
  <c r="AL644" i="3"/>
  <c r="AL645" i="3"/>
  <c r="AL646" i="3"/>
  <c r="AL647" i="3"/>
  <c r="AL648" i="3"/>
  <c r="AL649" i="3"/>
  <c r="AL650" i="3"/>
  <c r="AL651" i="3"/>
  <c r="AL652" i="3"/>
  <c r="AL653" i="3"/>
  <c r="AL654" i="3"/>
  <c r="AL655" i="3"/>
  <c r="AL656" i="3"/>
  <c r="AL657" i="3"/>
  <c r="AL658" i="3"/>
  <c r="AL659" i="3"/>
  <c r="AL660" i="3"/>
  <c r="AL661" i="3"/>
  <c r="AL662" i="3"/>
  <c r="AL663" i="3"/>
  <c r="AL664" i="3"/>
  <c r="AL665" i="3"/>
  <c r="AL666" i="3"/>
  <c r="AL667" i="3"/>
  <c r="AL668" i="3"/>
  <c r="AL669" i="3"/>
  <c r="AL670" i="3"/>
  <c r="AL671" i="3"/>
  <c r="AL672" i="3"/>
  <c r="AL673" i="3"/>
  <c r="AL674" i="3"/>
  <c r="AL675" i="3"/>
  <c r="AL676" i="3"/>
  <c r="AL677" i="3"/>
  <c r="AL678" i="3"/>
  <c r="AL679" i="3"/>
  <c r="AL680" i="3"/>
  <c r="AL681" i="3"/>
  <c r="AL682" i="3"/>
  <c r="AL683" i="3"/>
  <c r="AL684" i="3"/>
  <c r="AL685" i="3"/>
  <c r="AL686" i="3"/>
  <c r="AL687" i="3"/>
  <c r="AL688" i="3"/>
  <c r="AL689" i="3"/>
  <c r="AL690" i="3"/>
  <c r="AL691" i="3"/>
  <c r="AL692" i="3"/>
  <c r="AL693" i="3"/>
  <c r="AL694" i="3"/>
  <c r="AL695" i="3"/>
  <c r="AL696" i="3"/>
  <c r="AL697" i="3"/>
  <c r="AL698" i="3"/>
  <c r="AL699" i="3"/>
  <c r="AL700" i="3"/>
  <c r="AL701" i="3"/>
  <c r="AL702" i="3"/>
  <c r="AL703" i="3"/>
  <c r="AL704" i="3"/>
  <c r="AL705" i="3"/>
  <c r="AL706" i="3"/>
  <c r="AL707" i="3"/>
  <c r="AL708" i="3"/>
  <c r="AL709" i="3"/>
  <c r="AL710" i="3"/>
  <c r="AL711" i="3"/>
  <c r="AL712" i="3"/>
  <c r="AL713" i="3"/>
  <c r="AL714" i="3"/>
  <c r="AL715" i="3"/>
  <c r="AL716" i="3"/>
  <c r="AL717" i="3"/>
  <c r="AL718" i="3"/>
  <c r="AL719" i="3"/>
  <c r="AL720" i="3"/>
  <c r="AL721" i="3"/>
  <c r="AL722" i="3"/>
  <c r="AL723" i="3"/>
  <c r="AL724" i="3"/>
  <c r="AL725" i="3"/>
  <c r="AL726" i="3"/>
  <c r="AL727" i="3"/>
  <c r="AL728" i="3"/>
  <c r="AL729" i="3"/>
  <c r="AL730" i="3"/>
  <c r="AL731" i="3"/>
  <c r="AL732" i="3"/>
  <c r="AL733" i="3"/>
  <c r="AL734" i="3"/>
  <c r="AL735" i="3"/>
  <c r="AL736" i="3"/>
  <c r="AL737" i="3"/>
  <c r="AL738" i="3"/>
  <c r="AL739" i="3"/>
  <c r="AL740" i="3"/>
  <c r="AL741" i="3"/>
  <c r="AL742" i="3"/>
  <c r="AL743" i="3"/>
  <c r="AL744" i="3"/>
  <c r="AL745" i="3"/>
  <c r="AL746" i="3"/>
  <c r="AL747" i="3"/>
  <c r="AL748" i="3"/>
  <c r="AL749" i="3"/>
  <c r="AL750" i="3"/>
  <c r="AL751" i="3"/>
  <c r="AL752" i="3"/>
  <c r="AL753" i="3"/>
  <c r="AL754" i="3"/>
  <c r="AL755" i="3"/>
  <c r="AL756" i="3"/>
  <c r="AL757" i="3"/>
  <c r="AL758" i="3"/>
  <c r="AL759" i="3"/>
  <c r="AL760" i="3"/>
  <c r="AL761" i="3"/>
  <c r="AL762" i="3"/>
  <c r="AL763" i="3"/>
  <c r="AL764" i="3"/>
  <c r="AL765" i="3"/>
  <c r="AL766" i="3"/>
  <c r="AL767" i="3"/>
  <c r="AL768" i="3"/>
  <c r="AL769" i="3"/>
  <c r="AL770" i="3"/>
  <c r="AL771" i="3"/>
  <c r="AL772" i="3"/>
  <c r="AL773" i="3"/>
  <c r="AL774" i="3"/>
  <c r="AL775" i="3"/>
  <c r="AL776" i="3"/>
  <c r="AL777" i="3"/>
  <c r="AL778" i="3"/>
  <c r="AL779" i="3"/>
  <c r="AL780" i="3"/>
  <c r="AL781" i="3"/>
  <c r="AL782" i="3"/>
  <c r="AL783" i="3"/>
  <c r="AL784" i="3"/>
  <c r="AL785" i="3"/>
  <c r="AL786" i="3"/>
  <c r="AL787" i="3"/>
  <c r="AL788" i="3"/>
  <c r="AL789" i="3"/>
  <c r="AL790" i="3"/>
  <c r="AL791" i="3"/>
  <c r="AL792" i="3"/>
  <c r="AL793" i="3"/>
  <c r="AL794" i="3"/>
  <c r="AL795" i="3"/>
  <c r="AL796" i="3"/>
  <c r="AL797" i="3"/>
  <c r="AL798" i="3"/>
  <c r="AL799" i="3"/>
  <c r="AL800" i="3"/>
  <c r="AL801" i="3"/>
  <c r="AL802" i="3"/>
  <c r="AL803" i="3"/>
  <c r="AL804" i="3"/>
  <c r="AL805" i="3"/>
  <c r="AL806" i="3"/>
  <c r="AL807" i="3"/>
  <c r="AL808" i="3"/>
  <c r="AL809" i="3"/>
  <c r="AL810" i="3"/>
  <c r="AL811" i="3"/>
  <c r="AL812" i="3"/>
  <c r="AL813" i="3"/>
  <c r="AL814" i="3"/>
  <c r="AL815" i="3"/>
  <c r="AL816" i="3"/>
  <c r="AL817" i="3"/>
  <c r="AL818" i="3"/>
  <c r="AL819" i="3"/>
  <c r="AL820" i="3"/>
  <c r="AL821" i="3"/>
  <c r="AL822" i="3"/>
  <c r="AL823" i="3"/>
  <c r="AL824" i="3"/>
  <c r="AL825" i="3"/>
  <c r="AL826" i="3"/>
  <c r="AL827" i="3"/>
  <c r="AL828" i="3"/>
  <c r="AL829" i="3"/>
  <c r="AL830" i="3"/>
  <c r="AL831" i="3"/>
  <c r="AL832" i="3"/>
  <c r="AL833" i="3"/>
  <c r="AL834" i="3"/>
  <c r="AL835" i="3"/>
  <c r="AL836" i="3"/>
  <c r="AL837" i="3"/>
  <c r="AL838" i="3"/>
  <c r="AL839" i="3"/>
  <c r="AL840" i="3"/>
  <c r="AL841" i="3"/>
  <c r="AL842" i="3"/>
  <c r="AL843" i="3"/>
  <c r="AL844" i="3"/>
  <c r="AL845" i="3"/>
  <c r="AL846" i="3"/>
  <c r="AL847" i="3"/>
  <c r="AL848" i="3"/>
  <c r="AL849" i="3"/>
  <c r="AL850" i="3"/>
  <c r="AL851" i="3"/>
  <c r="AL852" i="3"/>
  <c r="AL853" i="3"/>
  <c r="AL854" i="3"/>
  <c r="AL855" i="3"/>
  <c r="AL856" i="3"/>
  <c r="AL857" i="3"/>
  <c r="AL858" i="3"/>
  <c r="AL859" i="3"/>
  <c r="AL860" i="3"/>
  <c r="AL861" i="3"/>
  <c r="AL862" i="3"/>
  <c r="AL863" i="3"/>
  <c r="AL864" i="3"/>
  <c r="AL865" i="3"/>
  <c r="AL866" i="3"/>
  <c r="AL867" i="3"/>
  <c r="AL868" i="3"/>
  <c r="AL869" i="3"/>
  <c r="AL870" i="3"/>
  <c r="AL871" i="3"/>
  <c r="AL872" i="3"/>
  <c r="AL873" i="3"/>
  <c r="AL874" i="3"/>
  <c r="AL875" i="3"/>
  <c r="AL876" i="3"/>
  <c r="AL877" i="3"/>
  <c r="AL878" i="3"/>
  <c r="AL879" i="3"/>
  <c r="AL880" i="3"/>
  <c r="AL881" i="3"/>
  <c r="AL882" i="3"/>
  <c r="AL883" i="3"/>
  <c r="AL884" i="3"/>
  <c r="AL885" i="3"/>
  <c r="AL886" i="3"/>
  <c r="AL887" i="3"/>
  <c r="AL888" i="3"/>
  <c r="AL889" i="3"/>
  <c r="AL890" i="3"/>
  <c r="AL891" i="3"/>
  <c r="AL892" i="3"/>
  <c r="AL893" i="3"/>
  <c r="AL894" i="3"/>
  <c r="AL895" i="3"/>
  <c r="AL896" i="3"/>
  <c r="AL897" i="3"/>
  <c r="AL898" i="3"/>
  <c r="AL899" i="3"/>
  <c r="AL900" i="3"/>
  <c r="AL901" i="3"/>
  <c r="AL902" i="3"/>
  <c r="AL903" i="3"/>
  <c r="AL904" i="3"/>
  <c r="AL905" i="3"/>
  <c r="AL906" i="3"/>
  <c r="AL907" i="3"/>
  <c r="AL908" i="3"/>
  <c r="AL909" i="3"/>
  <c r="AL910" i="3"/>
  <c r="AL911" i="3"/>
  <c r="AL912" i="3"/>
  <c r="AL913" i="3"/>
  <c r="AL914" i="3"/>
  <c r="AL915" i="3"/>
  <c r="AL916" i="3"/>
  <c r="AL917" i="3"/>
  <c r="AL918" i="3"/>
  <c r="AL919" i="3"/>
  <c r="AL920" i="3"/>
  <c r="AL921" i="3"/>
  <c r="AL922" i="3"/>
  <c r="AL923" i="3"/>
  <c r="AL924" i="3"/>
  <c r="AL925" i="3"/>
  <c r="AL926" i="3"/>
  <c r="AL927" i="3"/>
  <c r="AL928" i="3"/>
  <c r="AL929" i="3"/>
  <c r="AL930" i="3"/>
  <c r="AL931" i="3"/>
  <c r="AL932" i="3"/>
  <c r="AL933" i="3"/>
  <c r="AL934" i="3"/>
  <c r="AL935" i="3"/>
  <c r="AL936" i="3"/>
  <c r="AL937" i="3"/>
  <c r="AL938" i="3"/>
  <c r="AL939" i="3"/>
  <c r="AL940" i="3"/>
  <c r="AL941" i="3"/>
  <c r="AL942" i="3"/>
  <c r="AL943" i="3"/>
  <c r="AL944" i="3"/>
  <c r="AL945" i="3"/>
  <c r="AL946" i="3"/>
  <c r="AL947" i="3"/>
  <c r="AL948" i="3"/>
  <c r="AL949" i="3"/>
  <c r="AL950" i="3"/>
  <c r="AL951" i="3"/>
  <c r="AL952" i="3"/>
  <c r="AL953" i="3"/>
  <c r="AL954" i="3"/>
  <c r="AL955" i="3"/>
  <c r="AL956" i="3"/>
  <c r="AL957" i="3"/>
  <c r="AL958" i="3"/>
  <c r="AL959" i="3"/>
  <c r="AL960" i="3"/>
  <c r="AL961" i="3"/>
  <c r="AL962" i="3"/>
  <c r="AL963" i="3"/>
  <c r="AL964" i="3"/>
  <c r="AL965" i="3"/>
  <c r="AL966" i="3"/>
  <c r="AL967" i="3"/>
  <c r="AL968" i="3"/>
  <c r="AL969" i="3"/>
  <c r="AL970" i="3"/>
  <c r="AL971" i="3"/>
  <c r="AL972" i="3"/>
  <c r="AL973" i="3"/>
  <c r="AL974" i="3"/>
  <c r="AL975" i="3"/>
  <c r="AL976" i="3"/>
  <c r="AL977" i="3"/>
  <c r="AL978" i="3"/>
  <c r="AL979" i="3"/>
  <c r="AL980" i="3"/>
  <c r="AL981" i="3"/>
  <c r="AL982" i="3"/>
  <c r="AL983" i="3"/>
  <c r="AL984" i="3"/>
  <c r="AL985" i="3"/>
  <c r="AL986" i="3"/>
  <c r="AL987" i="3"/>
  <c r="AL988" i="3"/>
  <c r="AL989" i="3"/>
  <c r="AL990" i="3"/>
  <c r="AL991" i="3"/>
  <c r="AL992" i="3"/>
  <c r="AL993" i="3"/>
  <c r="AL994" i="3"/>
  <c r="AL995" i="3"/>
  <c r="AL996" i="3"/>
  <c r="AL997" i="3"/>
  <c r="AL998" i="3"/>
  <c r="AL999" i="3"/>
  <c r="AL1000" i="3"/>
  <c r="AL1001" i="3"/>
  <c r="AL1002" i="3"/>
  <c r="AL1003" i="3"/>
  <c r="AL1004" i="3"/>
  <c r="AL1005" i="3"/>
  <c r="AL1006" i="3"/>
  <c r="AL1007" i="3"/>
  <c r="AL1008" i="3"/>
  <c r="AL1009" i="3"/>
  <c r="AL1010" i="3"/>
  <c r="AL1011" i="3"/>
  <c r="AL1012" i="3"/>
  <c r="AL1013" i="3"/>
  <c r="AL1014" i="3"/>
  <c r="AL1015" i="3"/>
  <c r="AL1016" i="3"/>
  <c r="AL1017" i="3"/>
  <c r="AL1018" i="3"/>
  <c r="AL1019" i="3"/>
  <c r="AL1020" i="3"/>
  <c r="AL1021" i="3"/>
  <c r="AL1022" i="3"/>
  <c r="AL1023" i="3"/>
  <c r="AL1024" i="3"/>
  <c r="AL1025" i="3"/>
  <c r="AL1026" i="3"/>
  <c r="AL1027" i="3"/>
  <c r="AL1028" i="3"/>
  <c r="AL1029" i="3"/>
  <c r="AL1030" i="3"/>
  <c r="AL1031" i="3"/>
  <c r="AL1032" i="3"/>
  <c r="AL1033" i="3"/>
  <c r="AL1034" i="3"/>
  <c r="AL1035" i="3"/>
  <c r="AL1036" i="3"/>
  <c r="AL1037" i="3"/>
  <c r="AL1038" i="3"/>
  <c r="AL1039" i="3"/>
  <c r="AL1040" i="3"/>
  <c r="AL1041" i="3"/>
  <c r="AL1042" i="3"/>
  <c r="AL1043" i="3"/>
  <c r="AL1044" i="3"/>
  <c r="AL1045" i="3"/>
  <c r="AL1046" i="3"/>
  <c r="AL1047" i="3"/>
  <c r="AL1048" i="3"/>
  <c r="AL1049" i="3"/>
  <c r="AL1050" i="3"/>
  <c r="AL1051" i="3"/>
  <c r="AL1052" i="3"/>
  <c r="AL1053" i="3"/>
  <c r="AL1054" i="3"/>
  <c r="AL1055" i="3"/>
  <c r="AL1056" i="3"/>
  <c r="AL1057" i="3"/>
  <c r="AL1058" i="3"/>
  <c r="AL1059" i="3"/>
  <c r="AL1060" i="3"/>
  <c r="AL1061" i="3"/>
  <c r="AL1062" i="3"/>
  <c r="AL1063" i="3"/>
  <c r="AL1064" i="3"/>
  <c r="AL1065" i="3"/>
  <c r="AL1066" i="3"/>
  <c r="AL1067" i="3"/>
  <c r="AL1068" i="3"/>
  <c r="AL1069" i="3"/>
  <c r="AL1070" i="3"/>
  <c r="AL1071" i="3"/>
  <c r="AL1072" i="3"/>
  <c r="AL1073" i="3"/>
  <c r="AL1074" i="3"/>
  <c r="AL1075" i="3"/>
  <c r="AL1076" i="3"/>
  <c r="AL1077" i="3"/>
  <c r="AL1078" i="3"/>
  <c r="AL1079" i="3"/>
  <c r="AL1080" i="3"/>
  <c r="AL1081" i="3"/>
  <c r="AL1082" i="3"/>
  <c r="AL1083" i="3"/>
  <c r="AL1084" i="3"/>
  <c r="AL1085" i="3"/>
  <c r="AL1086" i="3"/>
  <c r="AL1087" i="3"/>
  <c r="AL1088" i="3"/>
  <c r="AL1089" i="3"/>
  <c r="AL1090" i="3"/>
  <c r="AL1091" i="3"/>
  <c r="AL1092" i="3"/>
  <c r="AL1093" i="3"/>
  <c r="AL1094" i="3"/>
  <c r="AL1095" i="3"/>
  <c r="AL1096" i="3"/>
  <c r="AL1097" i="3"/>
  <c r="AL1098" i="3"/>
  <c r="AL1099" i="3"/>
  <c r="AL1100" i="3"/>
  <c r="AL1101" i="3"/>
  <c r="AL1102" i="3"/>
  <c r="AL1103" i="3"/>
  <c r="AL1104" i="3"/>
  <c r="AL1105" i="3"/>
  <c r="AL1106" i="3"/>
  <c r="AL1107" i="3"/>
  <c r="AL1108" i="3"/>
  <c r="AL1109" i="3"/>
  <c r="AL1110" i="3"/>
  <c r="AL1111" i="3"/>
  <c r="AL1112" i="3"/>
  <c r="AL1113" i="3"/>
  <c r="AL1114" i="3"/>
  <c r="AL1115" i="3"/>
  <c r="AL1116" i="3"/>
  <c r="AL1117" i="3"/>
  <c r="AL1118" i="3"/>
  <c r="AL1119" i="3"/>
  <c r="AL1120" i="3"/>
  <c r="AL1121" i="3"/>
  <c r="AL1122" i="3"/>
  <c r="AL1123" i="3"/>
  <c r="AL1124" i="3"/>
  <c r="AL1125" i="3"/>
  <c r="AL1126" i="3"/>
  <c r="AL1127" i="3"/>
  <c r="AL1128" i="3"/>
  <c r="AL1129" i="3"/>
  <c r="AL1130" i="3"/>
  <c r="AL1131" i="3"/>
  <c r="AL1132" i="3"/>
  <c r="AL1133" i="3"/>
  <c r="AL1134" i="3"/>
  <c r="AL1135" i="3"/>
  <c r="AL1136" i="3"/>
  <c r="AL1137" i="3"/>
  <c r="AL1138" i="3"/>
  <c r="AL1139" i="3"/>
  <c r="AL1140" i="3"/>
  <c r="AL1141" i="3"/>
  <c r="AL1142" i="3"/>
  <c r="AL1143" i="3"/>
  <c r="AL1144" i="3"/>
  <c r="AL1145" i="3"/>
  <c r="AL1146" i="3"/>
  <c r="AL1147" i="3"/>
  <c r="AL1148" i="3"/>
  <c r="AL1149" i="3"/>
  <c r="AL1150" i="3"/>
  <c r="AL1151" i="3"/>
  <c r="AL1152" i="3"/>
  <c r="AL1153" i="3"/>
  <c r="AL1154" i="3"/>
  <c r="AL1155" i="3"/>
  <c r="AL1156" i="3"/>
  <c r="AL1157" i="3"/>
  <c r="AL1158" i="3"/>
  <c r="AL1159" i="3"/>
  <c r="AL1160" i="3"/>
  <c r="AL1161" i="3"/>
  <c r="AL1162" i="3"/>
  <c r="AL1163" i="3"/>
  <c r="AL1164" i="3"/>
  <c r="AL1165" i="3"/>
  <c r="AL1166" i="3"/>
  <c r="AL1167" i="3"/>
  <c r="AL1168" i="3"/>
  <c r="AL1169" i="3"/>
  <c r="AL1170" i="3"/>
  <c r="AL1171" i="3"/>
  <c r="AL1172" i="3"/>
  <c r="AL1173" i="3"/>
  <c r="AL1174" i="3"/>
  <c r="AL1175" i="3"/>
  <c r="AL1176" i="3"/>
  <c r="AL1177" i="3"/>
  <c r="AL1178" i="3"/>
  <c r="AL1179" i="3"/>
  <c r="AL1180" i="3"/>
  <c r="AL1181" i="3"/>
  <c r="AL1182" i="3"/>
  <c r="AL1183" i="3"/>
  <c r="AL1184" i="3"/>
  <c r="AL1185" i="3"/>
  <c r="AL1186" i="3"/>
  <c r="AL1187" i="3"/>
  <c r="AL1188" i="3"/>
  <c r="AL1189" i="3"/>
  <c r="AL1190" i="3"/>
  <c r="AL1191" i="3"/>
  <c r="AL1192" i="3"/>
  <c r="AL1193" i="3"/>
  <c r="AL1194" i="3"/>
  <c r="AL1195" i="3"/>
  <c r="AL1196" i="3"/>
  <c r="AL1197" i="3"/>
  <c r="AL1198" i="3"/>
  <c r="AL1199" i="3"/>
  <c r="AL1200" i="3"/>
  <c r="AL1201" i="3"/>
  <c r="AL1202" i="3"/>
  <c r="AL1203" i="3"/>
  <c r="AL1204" i="3"/>
  <c r="AL1205" i="3"/>
  <c r="AL1206" i="3"/>
  <c r="AL1207" i="3"/>
  <c r="AL1208" i="3"/>
  <c r="AL1209" i="3"/>
  <c r="AL1210" i="3"/>
  <c r="AL1211" i="3"/>
  <c r="AL1212" i="3"/>
  <c r="AL1213" i="3"/>
  <c r="AL1214" i="3"/>
  <c r="AL1215" i="3"/>
  <c r="AL1216" i="3"/>
  <c r="AL1217" i="3"/>
  <c r="AL1218" i="3"/>
  <c r="AL1219" i="3"/>
  <c r="AL1220" i="3"/>
  <c r="AL1221" i="3"/>
  <c r="AL1222" i="3"/>
  <c r="AL1223" i="3"/>
  <c r="AL1224" i="3"/>
  <c r="AL1225" i="3"/>
  <c r="AL1226" i="3"/>
  <c r="AL1227" i="3"/>
  <c r="AL1228" i="3"/>
  <c r="AL1229" i="3"/>
  <c r="AL1230" i="3"/>
  <c r="AL1231" i="3"/>
  <c r="AL1232" i="3"/>
  <c r="AL1233" i="3"/>
  <c r="AL1234" i="3"/>
  <c r="AL1235" i="3"/>
  <c r="AL1236" i="3"/>
  <c r="AL1237" i="3"/>
  <c r="AL1238" i="3"/>
  <c r="AL1239" i="3"/>
  <c r="AL1240" i="3"/>
  <c r="AL1241" i="3"/>
  <c r="AL1242" i="3"/>
  <c r="AL1243" i="3"/>
  <c r="AL1244" i="3"/>
  <c r="AL1245" i="3"/>
  <c r="AL1246" i="3"/>
  <c r="AL1247" i="3"/>
  <c r="AL1248" i="3"/>
  <c r="AL1249" i="3"/>
  <c r="AL1250" i="3"/>
  <c r="AL1251" i="3"/>
  <c r="AL1252" i="3"/>
  <c r="AL1253" i="3"/>
  <c r="AL1254" i="3"/>
  <c r="AL1255" i="3"/>
  <c r="AL1256" i="3"/>
  <c r="AL1257" i="3"/>
  <c r="AL1258" i="3"/>
  <c r="AL1259" i="3"/>
  <c r="AL1260" i="3"/>
  <c r="AL1261" i="3"/>
  <c r="AL1262" i="3"/>
  <c r="AL1263" i="3"/>
  <c r="AL1264" i="3"/>
  <c r="AL1265" i="3"/>
  <c r="AL1266" i="3"/>
  <c r="AL1267" i="3"/>
  <c r="AL1268" i="3"/>
  <c r="AL1269" i="3"/>
  <c r="AL1270" i="3"/>
  <c r="AL1271" i="3"/>
  <c r="AL1272" i="3"/>
  <c r="AL1273" i="3"/>
  <c r="AL1274" i="3"/>
  <c r="AL1275" i="3"/>
  <c r="AL1276" i="3"/>
  <c r="AL1277" i="3"/>
  <c r="AL1278" i="3"/>
  <c r="AL1279" i="3"/>
  <c r="AL1280" i="3"/>
  <c r="AL1281" i="3"/>
  <c r="AL1282" i="3"/>
  <c r="AL1283" i="3"/>
  <c r="AL1284" i="3"/>
  <c r="AL1285" i="3"/>
  <c r="AL1286" i="3"/>
  <c r="AL1287" i="3"/>
  <c r="AL1288" i="3"/>
  <c r="AL1289" i="3"/>
  <c r="AL1290" i="3"/>
  <c r="AL1291" i="3"/>
  <c r="AL1292" i="3"/>
  <c r="AL1293" i="3"/>
  <c r="AL1294" i="3"/>
  <c r="AL1295" i="3"/>
  <c r="AL1296" i="3"/>
  <c r="AL1297" i="3"/>
  <c r="AL1298" i="3"/>
  <c r="AL1299" i="3"/>
  <c r="AL1300" i="3"/>
  <c r="AL1301" i="3"/>
  <c r="AL1302" i="3"/>
  <c r="AL1303" i="3"/>
  <c r="AL1304" i="3"/>
  <c r="AL1305" i="3"/>
  <c r="AL1306" i="3"/>
  <c r="AL1307" i="3"/>
  <c r="AL1308" i="3"/>
  <c r="AL1309" i="3"/>
  <c r="AL1310" i="3"/>
  <c r="AL1311" i="3"/>
  <c r="AL1312" i="3"/>
  <c r="AL1313" i="3"/>
  <c r="AL1314" i="3"/>
  <c r="AL1315" i="3"/>
  <c r="AL1316" i="3"/>
  <c r="AL1317" i="3"/>
  <c r="AL1318" i="3"/>
  <c r="AL1319" i="3"/>
  <c r="AL1320" i="3"/>
  <c r="AL1321" i="3"/>
  <c r="AL1322" i="3"/>
  <c r="AL1323" i="3"/>
  <c r="AL1324" i="3"/>
  <c r="AL1325" i="3"/>
  <c r="AL1326" i="3"/>
  <c r="AL1327" i="3"/>
  <c r="AL1328" i="3"/>
  <c r="AL1329" i="3"/>
  <c r="AL1330" i="3"/>
  <c r="AL1331" i="3"/>
  <c r="AL1332" i="3"/>
  <c r="AL1333" i="3"/>
  <c r="AL1334" i="3"/>
  <c r="AL1335" i="3"/>
  <c r="AL1336" i="3"/>
  <c r="AL1337" i="3"/>
  <c r="AL1338" i="3"/>
  <c r="AL1339" i="3"/>
  <c r="AL1340" i="3"/>
  <c r="AL1341" i="3"/>
  <c r="AL1342" i="3"/>
  <c r="AL1343" i="3"/>
  <c r="AL1344" i="3"/>
  <c r="AL1345" i="3"/>
  <c r="AL1346" i="3"/>
  <c r="AL1347" i="3"/>
  <c r="AL1348" i="3"/>
  <c r="AL1349" i="3"/>
  <c r="AL1350" i="3"/>
  <c r="AL1351" i="3"/>
  <c r="AL1352" i="3"/>
  <c r="AL1353" i="3"/>
  <c r="AL1354" i="3"/>
  <c r="AL1355" i="3"/>
  <c r="AL1356" i="3"/>
  <c r="AL1357" i="3"/>
  <c r="AL1358" i="3"/>
  <c r="AL1359" i="3"/>
  <c r="AL1360" i="3"/>
  <c r="AL1361" i="3"/>
  <c r="AL1362" i="3"/>
  <c r="AL1363" i="3"/>
  <c r="AL1364" i="3"/>
  <c r="AL1365" i="3"/>
  <c r="AL1366" i="3"/>
  <c r="AL1367" i="3"/>
  <c r="AL1368" i="3"/>
  <c r="AL1369" i="3"/>
  <c r="AL1370" i="3"/>
  <c r="AL1371" i="3"/>
  <c r="AL1372" i="3"/>
  <c r="AL1373" i="3"/>
  <c r="AL1374" i="3"/>
  <c r="AL1375" i="3"/>
  <c r="AL1376" i="3"/>
  <c r="AL1377" i="3"/>
  <c r="AL1378" i="3"/>
  <c r="AL1379" i="3"/>
  <c r="AL1380" i="3"/>
  <c r="AL1381" i="3"/>
  <c r="AL1382" i="3"/>
  <c r="AL1383" i="3"/>
  <c r="AL1384" i="3"/>
  <c r="AL1385" i="3"/>
  <c r="AL1386" i="3"/>
  <c r="AL1387" i="3"/>
  <c r="AL1388" i="3"/>
  <c r="AL1389" i="3"/>
  <c r="AL1390" i="3"/>
  <c r="AL1391" i="3"/>
  <c r="AL1392" i="3"/>
  <c r="AL1393" i="3"/>
  <c r="AL1394" i="3"/>
  <c r="AL1395" i="3"/>
  <c r="AL1396" i="3"/>
  <c r="AL1397" i="3"/>
  <c r="AL1398" i="3"/>
  <c r="AL1399" i="3"/>
  <c r="AL1400" i="3"/>
  <c r="AL1401" i="3"/>
  <c r="AL1402" i="3"/>
  <c r="AL1403" i="3"/>
  <c r="AL1404" i="3"/>
  <c r="AL1405" i="3"/>
  <c r="AL1406" i="3"/>
  <c r="AL1407" i="3"/>
  <c r="AL1408" i="3"/>
  <c r="AL1409" i="3"/>
  <c r="AL1410" i="3"/>
  <c r="AL1411" i="3"/>
  <c r="AL1412" i="3"/>
  <c r="AL1413" i="3"/>
  <c r="AL1414" i="3"/>
  <c r="AL1415" i="3"/>
  <c r="AL1416" i="3"/>
  <c r="AL1417" i="3"/>
  <c r="AL1418" i="3"/>
  <c r="AL1419" i="3"/>
  <c r="AL1420" i="3"/>
  <c r="AL1421" i="3"/>
  <c r="AL1422" i="3"/>
  <c r="AL1423" i="3"/>
  <c r="AL1424" i="3"/>
  <c r="AL1425" i="3"/>
  <c r="AL1426" i="3"/>
  <c r="AL1427" i="3"/>
  <c r="AL1428" i="3"/>
  <c r="AL1429" i="3"/>
  <c r="AL1430" i="3"/>
  <c r="AL1431" i="3"/>
  <c r="AL1432" i="3"/>
  <c r="AL1433" i="3"/>
  <c r="AL1434" i="3"/>
  <c r="AL1435" i="3"/>
  <c r="AL1436" i="3"/>
  <c r="AL1437" i="3"/>
  <c r="AL1438" i="3"/>
  <c r="AL1439" i="3"/>
  <c r="AL62" i="3"/>
  <c r="V63" i="3"/>
  <c r="V64" i="3"/>
  <c r="V65" i="3"/>
  <c r="V66" i="3"/>
  <c r="V67" i="3"/>
  <c r="V68" i="3"/>
  <c r="V69" i="3"/>
  <c r="V70" i="3"/>
  <c r="V71" i="3"/>
  <c r="V72" i="3"/>
  <c r="V73" i="3"/>
  <c r="V74" i="3"/>
  <c r="V75" i="3"/>
  <c r="V76" i="3"/>
  <c r="V77" i="3"/>
  <c r="V78" i="3"/>
  <c r="V79" i="3"/>
  <c r="V80" i="3"/>
  <c r="V81" i="3"/>
  <c r="V82" i="3"/>
  <c r="V83" i="3"/>
  <c r="V84" i="3"/>
  <c r="V85" i="3"/>
  <c r="V86" i="3"/>
  <c r="V87" i="3"/>
  <c r="V88" i="3"/>
  <c r="V89" i="3"/>
  <c r="V90" i="3"/>
  <c r="V91" i="3"/>
  <c r="V92" i="3"/>
  <c r="V93" i="3"/>
  <c r="V94" i="3"/>
  <c r="V95" i="3"/>
  <c r="V96" i="3"/>
  <c r="V97" i="3"/>
  <c r="V98" i="3"/>
  <c r="V99" i="3"/>
  <c r="V100" i="3"/>
  <c r="V101" i="3"/>
  <c r="V102" i="3"/>
  <c r="V103" i="3"/>
  <c r="V104" i="3"/>
  <c r="V105" i="3"/>
  <c r="V106" i="3"/>
  <c r="V107" i="3"/>
  <c r="V108" i="3"/>
  <c r="V109" i="3"/>
  <c r="V110" i="3"/>
  <c r="V111" i="3"/>
  <c r="V112" i="3"/>
  <c r="V113" i="3"/>
  <c r="V114" i="3"/>
  <c r="V115" i="3"/>
  <c r="V116" i="3"/>
  <c r="V117" i="3"/>
  <c r="V118" i="3"/>
  <c r="V119" i="3"/>
  <c r="V120" i="3"/>
  <c r="V121" i="3"/>
  <c r="V122" i="3"/>
  <c r="V123" i="3"/>
  <c r="V124" i="3"/>
  <c r="V125" i="3"/>
  <c r="V126" i="3"/>
  <c r="V127" i="3"/>
  <c r="V128" i="3"/>
  <c r="V129" i="3"/>
  <c r="V130" i="3"/>
  <c r="V131" i="3"/>
  <c r="V132" i="3"/>
  <c r="V133" i="3"/>
  <c r="V134" i="3"/>
  <c r="V135" i="3"/>
  <c r="V136" i="3"/>
  <c r="V137" i="3"/>
  <c r="V138" i="3"/>
  <c r="V139" i="3"/>
  <c r="V140" i="3"/>
  <c r="V141" i="3"/>
  <c r="V142" i="3"/>
  <c r="V143" i="3"/>
  <c r="V144" i="3"/>
  <c r="V145" i="3"/>
  <c r="V146" i="3"/>
  <c r="V147" i="3"/>
  <c r="V148" i="3"/>
  <c r="V149" i="3"/>
  <c r="V150" i="3"/>
  <c r="V151" i="3"/>
  <c r="V152" i="3"/>
  <c r="V153" i="3"/>
  <c r="V154" i="3"/>
  <c r="V155" i="3"/>
  <c r="V156" i="3"/>
  <c r="V157" i="3"/>
  <c r="V158" i="3"/>
  <c r="V159" i="3"/>
  <c r="V160" i="3"/>
  <c r="V161" i="3"/>
  <c r="V162" i="3"/>
  <c r="V163" i="3"/>
  <c r="V164" i="3"/>
  <c r="V165" i="3"/>
  <c r="V166" i="3"/>
  <c r="V167" i="3"/>
  <c r="V168" i="3"/>
  <c r="V169" i="3"/>
  <c r="V170" i="3"/>
  <c r="V171" i="3"/>
  <c r="V172" i="3"/>
  <c r="V173" i="3"/>
  <c r="V174" i="3"/>
  <c r="V175" i="3"/>
  <c r="V176" i="3"/>
  <c r="V177" i="3"/>
  <c r="V178" i="3"/>
  <c r="V179" i="3"/>
  <c r="V180" i="3"/>
  <c r="V181" i="3"/>
  <c r="V182" i="3"/>
  <c r="V183" i="3"/>
  <c r="V184" i="3"/>
  <c r="V185" i="3"/>
  <c r="V186" i="3"/>
  <c r="V187" i="3"/>
  <c r="V188" i="3"/>
  <c r="V189" i="3"/>
  <c r="V190" i="3"/>
  <c r="V191" i="3"/>
  <c r="V192" i="3"/>
  <c r="V193" i="3"/>
  <c r="V194" i="3"/>
  <c r="V195" i="3"/>
  <c r="V196" i="3"/>
  <c r="V197" i="3"/>
  <c r="V198" i="3"/>
  <c r="V199" i="3"/>
  <c r="V200" i="3"/>
  <c r="V201" i="3"/>
  <c r="V202" i="3"/>
  <c r="V203" i="3"/>
  <c r="V204" i="3"/>
  <c r="V205" i="3"/>
  <c r="V206" i="3"/>
  <c r="V207" i="3"/>
  <c r="V208" i="3"/>
  <c r="V209" i="3"/>
  <c r="V210" i="3"/>
  <c r="V211" i="3"/>
  <c r="V212" i="3"/>
  <c r="V213" i="3"/>
  <c r="V214" i="3"/>
  <c r="V215" i="3"/>
  <c r="V216" i="3"/>
  <c r="V217" i="3"/>
  <c r="V218" i="3"/>
  <c r="V219" i="3"/>
  <c r="V220" i="3"/>
  <c r="V221" i="3"/>
  <c r="V222" i="3"/>
  <c r="V223" i="3"/>
  <c r="V224" i="3"/>
  <c r="V225" i="3"/>
  <c r="V226" i="3"/>
  <c r="V227" i="3"/>
  <c r="V228" i="3"/>
  <c r="V229" i="3"/>
  <c r="V230" i="3"/>
  <c r="V231" i="3"/>
  <c r="V232" i="3"/>
  <c r="V233" i="3"/>
  <c r="V234" i="3"/>
  <c r="V235" i="3"/>
  <c r="V236" i="3"/>
  <c r="V237" i="3"/>
  <c r="V238" i="3"/>
  <c r="V239" i="3"/>
  <c r="V240" i="3"/>
  <c r="V241" i="3"/>
  <c r="V242" i="3"/>
  <c r="V243" i="3"/>
  <c r="V244" i="3"/>
  <c r="V245" i="3"/>
  <c r="V246" i="3"/>
  <c r="V247" i="3"/>
  <c r="V248" i="3"/>
  <c r="V249" i="3"/>
  <c r="V250" i="3"/>
  <c r="V251" i="3"/>
  <c r="V252" i="3"/>
  <c r="V253" i="3"/>
  <c r="V254" i="3"/>
  <c r="V255" i="3"/>
  <c r="V256" i="3"/>
  <c r="V257" i="3"/>
  <c r="V258" i="3"/>
  <c r="V259" i="3"/>
  <c r="V260" i="3"/>
  <c r="V261" i="3"/>
  <c r="V262" i="3"/>
  <c r="V263" i="3"/>
  <c r="V264" i="3"/>
  <c r="V265" i="3"/>
  <c r="V266" i="3"/>
  <c r="V267" i="3"/>
  <c r="V268" i="3"/>
  <c r="V269" i="3"/>
  <c r="V270" i="3"/>
  <c r="V271" i="3"/>
  <c r="V272" i="3"/>
  <c r="V273" i="3"/>
  <c r="V274" i="3"/>
  <c r="V275" i="3"/>
  <c r="V276" i="3"/>
  <c r="V277" i="3"/>
  <c r="V278" i="3"/>
  <c r="V279" i="3"/>
  <c r="V280" i="3"/>
  <c r="V281" i="3"/>
  <c r="V282" i="3"/>
  <c r="V283" i="3"/>
  <c r="V284" i="3"/>
  <c r="V285" i="3"/>
  <c r="V286" i="3"/>
  <c r="V287" i="3"/>
  <c r="V288" i="3"/>
  <c r="V289" i="3"/>
  <c r="V290" i="3"/>
  <c r="V291" i="3"/>
  <c r="V292" i="3"/>
  <c r="V293" i="3"/>
  <c r="V294" i="3"/>
  <c r="V295" i="3"/>
  <c r="V296" i="3"/>
  <c r="V297" i="3"/>
  <c r="V298" i="3"/>
  <c r="V299" i="3"/>
  <c r="V300" i="3"/>
  <c r="V301" i="3"/>
  <c r="V302" i="3"/>
  <c r="V303" i="3"/>
  <c r="V304" i="3"/>
  <c r="V305" i="3"/>
  <c r="V306" i="3"/>
  <c r="V307" i="3"/>
  <c r="V308" i="3"/>
  <c r="V309" i="3"/>
  <c r="V310" i="3"/>
  <c r="V311" i="3"/>
  <c r="V312" i="3"/>
  <c r="V313" i="3"/>
  <c r="V314" i="3"/>
  <c r="V315" i="3"/>
  <c r="V316" i="3"/>
  <c r="V317" i="3"/>
  <c r="V318" i="3"/>
  <c r="V319" i="3"/>
  <c r="V320" i="3"/>
  <c r="V321" i="3"/>
  <c r="V322" i="3"/>
  <c r="V323" i="3"/>
  <c r="V324" i="3"/>
  <c r="V325" i="3"/>
  <c r="V326" i="3"/>
  <c r="V327" i="3"/>
  <c r="V328" i="3"/>
  <c r="V329" i="3"/>
  <c r="V330" i="3"/>
  <c r="V331" i="3"/>
  <c r="V332" i="3"/>
  <c r="V333" i="3"/>
  <c r="V334" i="3"/>
  <c r="V335" i="3"/>
  <c r="V336" i="3"/>
  <c r="V337" i="3"/>
  <c r="V338" i="3"/>
  <c r="V339" i="3"/>
  <c r="V340" i="3"/>
  <c r="V341" i="3"/>
  <c r="V342" i="3"/>
  <c r="V343" i="3"/>
  <c r="V344" i="3"/>
  <c r="V345" i="3"/>
  <c r="V346" i="3"/>
  <c r="V347" i="3"/>
  <c r="V348" i="3"/>
  <c r="V349" i="3"/>
  <c r="V350" i="3"/>
  <c r="V351" i="3"/>
  <c r="V352" i="3"/>
  <c r="V353" i="3"/>
  <c r="V354" i="3"/>
  <c r="V355" i="3"/>
  <c r="V356" i="3"/>
  <c r="V357" i="3"/>
  <c r="V358" i="3"/>
  <c r="V359" i="3"/>
  <c r="V360" i="3"/>
  <c r="V361" i="3"/>
  <c r="V362" i="3"/>
  <c r="V363" i="3"/>
  <c r="V364" i="3"/>
  <c r="V365" i="3"/>
  <c r="V366" i="3"/>
  <c r="V367" i="3"/>
  <c r="V368" i="3"/>
  <c r="V369" i="3"/>
  <c r="V370" i="3"/>
  <c r="V371" i="3"/>
  <c r="V372" i="3"/>
  <c r="V373" i="3"/>
  <c r="V374" i="3"/>
  <c r="V375" i="3"/>
  <c r="V376" i="3"/>
  <c r="V377" i="3"/>
  <c r="V378" i="3"/>
  <c r="V379" i="3"/>
  <c r="V380" i="3"/>
  <c r="V381" i="3"/>
  <c r="V382" i="3"/>
  <c r="V383" i="3"/>
  <c r="V384" i="3"/>
  <c r="V385" i="3"/>
  <c r="V386" i="3"/>
  <c r="V387" i="3"/>
  <c r="V388" i="3"/>
  <c r="V389" i="3"/>
  <c r="V390" i="3"/>
  <c r="V391" i="3"/>
  <c r="V392" i="3"/>
  <c r="V393" i="3"/>
  <c r="V394" i="3"/>
  <c r="V395" i="3"/>
  <c r="V396" i="3"/>
  <c r="V397" i="3"/>
  <c r="V398" i="3"/>
  <c r="V399" i="3"/>
  <c r="V400" i="3"/>
  <c r="V401" i="3"/>
  <c r="V402" i="3"/>
  <c r="V403" i="3"/>
  <c r="V404" i="3"/>
  <c r="V405" i="3"/>
  <c r="V406" i="3"/>
  <c r="V407" i="3"/>
  <c r="V408" i="3"/>
  <c r="V409" i="3"/>
  <c r="V410" i="3"/>
  <c r="V411" i="3"/>
  <c r="V412" i="3"/>
  <c r="V413" i="3"/>
  <c r="V414" i="3"/>
  <c r="V415" i="3"/>
  <c r="V416" i="3"/>
  <c r="V417" i="3"/>
  <c r="V418" i="3"/>
  <c r="V419" i="3"/>
  <c r="V420" i="3"/>
  <c r="V421" i="3"/>
  <c r="V422" i="3"/>
  <c r="V423" i="3"/>
  <c r="V424" i="3"/>
  <c r="V425" i="3"/>
  <c r="V426" i="3"/>
  <c r="V427" i="3"/>
  <c r="V428" i="3"/>
  <c r="V429" i="3"/>
  <c r="V430" i="3"/>
  <c r="V431" i="3"/>
  <c r="V432" i="3"/>
  <c r="V433" i="3"/>
  <c r="V434" i="3"/>
  <c r="V435" i="3"/>
  <c r="V436" i="3"/>
  <c r="V437" i="3"/>
  <c r="V438" i="3"/>
  <c r="V439" i="3"/>
  <c r="V440" i="3"/>
  <c r="V441" i="3"/>
  <c r="V442" i="3"/>
  <c r="V443" i="3"/>
  <c r="V444" i="3"/>
  <c r="V445" i="3"/>
  <c r="V446" i="3"/>
  <c r="V447" i="3"/>
  <c r="V448" i="3"/>
  <c r="V449" i="3"/>
  <c r="V450" i="3"/>
  <c r="V451" i="3"/>
  <c r="V452" i="3"/>
  <c r="V453" i="3"/>
  <c r="V454" i="3"/>
  <c r="V455" i="3"/>
  <c r="V456" i="3"/>
  <c r="V457" i="3"/>
  <c r="V458" i="3"/>
  <c r="V459" i="3"/>
  <c r="V460" i="3"/>
  <c r="V461" i="3"/>
  <c r="V462" i="3"/>
  <c r="V463" i="3"/>
  <c r="V464" i="3"/>
  <c r="V465" i="3"/>
  <c r="V466" i="3"/>
  <c r="V467" i="3"/>
  <c r="V468" i="3"/>
  <c r="V469" i="3"/>
  <c r="V470" i="3"/>
  <c r="V471" i="3"/>
  <c r="V472" i="3"/>
  <c r="V473" i="3"/>
  <c r="V474" i="3"/>
  <c r="V475" i="3"/>
  <c r="V476" i="3"/>
  <c r="V477" i="3"/>
  <c r="V478" i="3"/>
  <c r="V479" i="3"/>
  <c r="V480" i="3"/>
  <c r="V481" i="3"/>
  <c r="V482" i="3"/>
  <c r="V483" i="3"/>
  <c r="V484" i="3"/>
  <c r="V485" i="3"/>
  <c r="V486" i="3"/>
  <c r="V487" i="3"/>
  <c r="V488" i="3"/>
  <c r="V489" i="3"/>
  <c r="V490" i="3"/>
  <c r="V491" i="3"/>
  <c r="V492" i="3"/>
  <c r="V493" i="3"/>
  <c r="V494" i="3"/>
  <c r="V495" i="3"/>
  <c r="V496" i="3"/>
  <c r="V497" i="3"/>
  <c r="V498" i="3"/>
  <c r="V499" i="3"/>
  <c r="V500" i="3"/>
  <c r="V501" i="3"/>
  <c r="V502" i="3"/>
  <c r="V503" i="3"/>
  <c r="V504" i="3"/>
  <c r="V505" i="3"/>
  <c r="V506" i="3"/>
  <c r="V507" i="3"/>
  <c r="V508" i="3"/>
  <c r="V509" i="3"/>
  <c r="V510" i="3"/>
  <c r="V511" i="3"/>
  <c r="V512" i="3"/>
  <c r="V513" i="3"/>
  <c r="V514" i="3"/>
  <c r="V515" i="3"/>
  <c r="V516" i="3"/>
  <c r="V517" i="3"/>
  <c r="V518" i="3"/>
  <c r="V519" i="3"/>
  <c r="V520" i="3"/>
  <c r="V521" i="3"/>
  <c r="V522" i="3"/>
  <c r="V523" i="3"/>
  <c r="V524" i="3"/>
  <c r="V525" i="3"/>
  <c r="V526" i="3"/>
  <c r="V527" i="3"/>
  <c r="V528" i="3"/>
  <c r="V529" i="3"/>
  <c r="V530" i="3"/>
  <c r="V531" i="3"/>
  <c r="V532" i="3"/>
  <c r="V533" i="3"/>
  <c r="V534" i="3"/>
  <c r="V535" i="3"/>
  <c r="V536" i="3"/>
  <c r="V537" i="3"/>
  <c r="V538" i="3"/>
  <c r="V539" i="3"/>
  <c r="V540" i="3"/>
  <c r="V541" i="3"/>
  <c r="V542" i="3"/>
  <c r="V543" i="3"/>
  <c r="V544" i="3"/>
  <c r="V545" i="3"/>
  <c r="V546" i="3"/>
  <c r="V547" i="3"/>
  <c r="V548" i="3"/>
  <c r="V549" i="3"/>
  <c r="V550" i="3"/>
  <c r="V551" i="3"/>
  <c r="V552" i="3"/>
  <c r="V553" i="3"/>
  <c r="V554" i="3"/>
  <c r="V555" i="3"/>
  <c r="V556" i="3"/>
  <c r="V557" i="3"/>
  <c r="V558" i="3"/>
  <c r="V559" i="3"/>
  <c r="V560" i="3"/>
  <c r="V561" i="3"/>
  <c r="V562" i="3"/>
  <c r="V563" i="3"/>
  <c r="V564" i="3"/>
  <c r="V565" i="3"/>
  <c r="V566" i="3"/>
  <c r="V567" i="3"/>
  <c r="V568" i="3"/>
  <c r="V569" i="3"/>
  <c r="V570" i="3"/>
  <c r="V571" i="3"/>
  <c r="V572" i="3"/>
  <c r="V573" i="3"/>
  <c r="V574" i="3"/>
  <c r="V575" i="3"/>
  <c r="V576" i="3"/>
  <c r="V577" i="3"/>
  <c r="V578" i="3"/>
  <c r="V579" i="3"/>
  <c r="V580" i="3"/>
  <c r="V581" i="3"/>
  <c r="V582" i="3"/>
  <c r="V583" i="3"/>
  <c r="V584" i="3"/>
  <c r="V585" i="3"/>
  <c r="V586" i="3"/>
  <c r="V587" i="3"/>
  <c r="V588" i="3"/>
  <c r="V589" i="3"/>
  <c r="V590" i="3"/>
  <c r="V591" i="3"/>
  <c r="V592" i="3"/>
  <c r="V593" i="3"/>
  <c r="V594" i="3"/>
  <c r="V595" i="3"/>
  <c r="V596" i="3"/>
  <c r="V597" i="3"/>
  <c r="V598" i="3"/>
  <c r="V599" i="3"/>
  <c r="V600" i="3"/>
  <c r="V601" i="3"/>
  <c r="V602" i="3"/>
  <c r="V603" i="3"/>
  <c r="V604" i="3"/>
  <c r="V605" i="3"/>
  <c r="V606" i="3"/>
  <c r="V607" i="3"/>
  <c r="V608" i="3"/>
  <c r="V609" i="3"/>
  <c r="V610" i="3"/>
  <c r="V611" i="3"/>
  <c r="V612" i="3"/>
  <c r="V613" i="3"/>
  <c r="V614" i="3"/>
  <c r="V615" i="3"/>
  <c r="V616" i="3"/>
  <c r="V617" i="3"/>
  <c r="V618" i="3"/>
  <c r="V619" i="3"/>
  <c r="V620" i="3"/>
  <c r="V621" i="3"/>
  <c r="V622" i="3"/>
  <c r="V623" i="3"/>
  <c r="V624" i="3"/>
  <c r="V625" i="3"/>
  <c r="V626" i="3"/>
  <c r="V627" i="3"/>
  <c r="V628" i="3"/>
  <c r="V629" i="3"/>
  <c r="V630" i="3"/>
  <c r="V631" i="3"/>
  <c r="V632" i="3"/>
  <c r="V633" i="3"/>
  <c r="V634" i="3"/>
  <c r="V635" i="3"/>
  <c r="V636" i="3"/>
  <c r="V637" i="3"/>
  <c r="V638" i="3"/>
  <c r="V639" i="3"/>
  <c r="V640" i="3"/>
  <c r="V641" i="3"/>
  <c r="V642" i="3"/>
  <c r="V643" i="3"/>
  <c r="V644" i="3"/>
  <c r="V645" i="3"/>
  <c r="V646" i="3"/>
  <c r="V647" i="3"/>
  <c r="V648" i="3"/>
  <c r="V649" i="3"/>
  <c r="V650" i="3"/>
  <c r="V651" i="3"/>
  <c r="V652" i="3"/>
  <c r="V653" i="3"/>
  <c r="V654" i="3"/>
  <c r="V655" i="3"/>
  <c r="V656" i="3"/>
  <c r="V657" i="3"/>
  <c r="V658" i="3"/>
  <c r="V659" i="3"/>
  <c r="V660" i="3"/>
  <c r="V661" i="3"/>
  <c r="V662" i="3"/>
  <c r="V663" i="3"/>
  <c r="V664" i="3"/>
  <c r="V665" i="3"/>
  <c r="V666" i="3"/>
  <c r="V667" i="3"/>
  <c r="V668" i="3"/>
  <c r="V669" i="3"/>
  <c r="V670" i="3"/>
  <c r="V671" i="3"/>
  <c r="V672" i="3"/>
  <c r="V673" i="3"/>
  <c r="V674" i="3"/>
  <c r="V675" i="3"/>
  <c r="V676" i="3"/>
  <c r="V677" i="3"/>
  <c r="V678" i="3"/>
  <c r="V679" i="3"/>
  <c r="V680" i="3"/>
  <c r="V681" i="3"/>
  <c r="V682" i="3"/>
  <c r="V683" i="3"/>
  <c r="V684" i="3"/>
  <c r="V685" i="3"/>
  <c r="V686" i="3"/>
  <c r="V687" i="3"/>
  <c r="V688" i="3"/>
  <c r="V689" i="3"/>
  <c r="V690" i="3"/>
  <c r="V691" i="3"/>
  <c r="V692" i="3"/>
  <c r="V693" i="3"/>
  <c r="V694" i="3"/>
  <c r="V695" i="3"/>
  <c r="V696" i="3"/>
  <c r="V697" i="3"/>
  <c r="V698" i="3"/>
  <c r="V699" i="3"/>
  <c r="V700" i="3"/>
  <c r="V701" i="3"/>
  <c r="V702" i="3"/>
  <c r="V703" i="3"/>
  <c r="V704" i="3"/>
  <c r="V705" i="3"/>
  <c r="V706" i="3"/>
  <c r="V707" i="3"/>
  <c r="V708" i="3"/>
  <c r="V709" i="3"/>
  <c r="V710" i="3"/>
  <c r="V711" i="3"/>
  <c r="V712" i="3"/>
  <c r="V713" i="3"/>
  <c r="V714" i="3"/>
  <c r="V715" i="3"/>
  <c r="V716" i="3"/>
  <c r="V717" i="3"/>
  <c r="V718" i="3"/>
  <c r="V719" i="3"/>
  <c r="V720" i="3"/>
  <c r="V721" i="3"/>
  <c r="V722" i="3"/>
  <c r="V723" i="3"/>
  <c r="V724" i="3"/>
  <c r="V725" i="3"/>
  <c r="V726" i="3"/>
  <c r="V727" i="3"/>
  <c r="V728" i="3"/>
  <c r="V729" i="3"/>
  <c r="V730" i="3"/>
  <c r="V731" i="3"/>
  <c r="V732" i="3"/>
  <c r="V733" i="3"/>
  <c r="V734" i="3"/>
  <c r="V735" i="3"/>
  <c r="V736" i="3"/>
  <c r="V737" i="3"/>
  <c r="V738" i="3"/>
  <c r="V739" i="3"/>
  <c r="V740" i="3"/>
  <c r="V741" i="3"/>
  <c r="V742" i="3"/>
  <c r="V743" i="3"/>
  <c r="V744" i="3"/>
  <c r="V745" i="3"/>
  <c r="V746" i="3"/>
  <c r="V747" i="3"/>
  <c r="V748" i="3"/>
  <c r="V749" i="3"/>
  <c r="V750" i="3"/>
  <c r="V751" i="3"/>
  <c r="V752" i="3"/>
  <c r="V753" i="3"/>
  <c r="V754" i="3"/>
  <c r="V755" i="3"/>
  <c r="V756" i="3"/>
  <c r="V757" i="3"/>
  <c r="V758" i="3"/>
  <c r="V759" i="3"/>
  <c r="V760" i="3"/>
  <c r="V761" i="3"/>
  <c r="V762" i="3"/>
  <c r="V763" i="3"/>
  <c r="V764" i="3"/>
  <c r="V765" i="3"/>
  <c r="V766" i="3"/>
  <c r="V767" i="3"/>
  <c r="V768" i="3"/>
  <c r="V769" i="3"/>
  <c r="V770" i="3"/>
  <c r="V771" i="3"/>
  <c r="V772" i="3"/>
  <c r="V773" i="3"/>
  <c r="V774" i="3"/>
  <c r="V775" i="3"/>
  <c r="V776" i="3"/>
  <c r="V777" i="3"/>
  <c r="V778" i="3"/>
  <c r="V779" i="3"/>
  <c r="V780" i="3"/>
  <c r="V781" i="3"/>
  <c r="V782" i="3"/>
  <c r="V783" i="3"/>
  <c r="V784" i="3"/>
  <c r="V785" i="3"/>
  <c r="V786" i="3"/>
  <c r="V787" i="3"/>
  <c r="V788" i="3"/>
  <c r="V789" i="3"/>
  <c r="V790" i="3"/>
  <c r="V791" i="3"/>
  <c r="V792" i="3"/>
  <c r="V793" i="3"/>
  <c r="V794" i="3"/>
  <c r="V795" i="3"/>
  <c r="V796" i="3"/>
  <c r="V797" i="3"/>
  <c r="V798" i="3"/>
  <c r="V799" i="3"/>
  <c r="V800" i="3"/>
  <c r="V801" i="3"/>
  <c r="V802" i="3"/>
  <c r="V803" i="3"/>
  <c r="V804" i="3"/>
  <c r="V805" i="3"/>
  <c r="V806" i="3"/>
  <c r="V807" i="3"/>
  <c r="V808" i="3"/>
  <c r="V809" i="3"/>
  <c r="V810" i="3"/>
  <c r="V811" i="3"/>
  <c r="V812" i="3"/>
  <c r="V813" i="3"/>
  <c r="V814" i="3"/>
  <c r="V815" i="3"/>
  <c r="V816" i="3"/>
  <c r="V817" i="3"/>
  <c r="V818" i="3"/>
  <c r="V819" i="3"/>
  <c r="V820" i="3"/>
  <c r="V821" i="3"/>
  <c r="V822" i="3"/>
  <c r="V823" i="3"/>
  <c r="V824" i="3"/>
  <c r="V825" i="3"/>
  <c r="V826" i="3"/>
  <c r="V827" i="3"/>
  <c r="V828" i="3"/>
  <c r="V829" i="3"/>
  <c r="V830" i="3"/>
  <c r="V831" i="3"/>
  <c r="V832" i="3"/>
  <c r="V833" i="3"/>
  <c r="V834" i="3"/>
  <c r="V835" i="3"/>
  <c r="V836" i="3"/>
  <c r="V837" i="3"/>
  <c r="V838" i="3"/>
  <c r="V839" i="3"/>
  <c r="V840" i="3"/>
  <c r="V841" i="3"/>
  <c r="V842" i="3"/>
  <c r="V843" i="3"/>
  <c r="V844" i="3"/>
  <c r="V845" i="3"/>
  <c r="V846" i="3"/>
  <c r="V847" i="3"/>
  <c r="V848" i="3"/>
  <c r="V849" i="3"/>
  <c r="V850" i="3"/>
  <c r="V851" i="3"/>
  <c r="V852" i="3"/>
  <c r="V853" i="3"/>
  <c r="V854" i="3"/>
  <c r="V855" i="3"/>
  <c r="V856" i="3"/>
  <c r="V857" i="3"/>
  <c r="V858" i="3"/>
  <c r="V859" i="3"/>
  <c r="V860" i="3"/>
  <c r="V861" i="3"/>
  <c r="V862" i="3"/>
  <c r="V863" i="3"/>
  <c r="V864" i="3"/>
  <c r="V865" i="3"/>
  <c r="V866" i="3"/>
  <c r="V867" i="3"/>
  <c r="V868" i="3"/>
  <c r="V869" i="3"/>
  <c r="V870" i="3"/>
  <c r="V871" i="3"/>
  <c r="V872" i="3"/>
  <c r="V873" i="3"/>
  <c r="V874" i="3"/>
  <c r="V875" i="3"/>
  <c r="V876" i="3"/>
  <c r="V877" i="3"/>
  <c r="V878" i="3"/>
  <c r="V879" i="3"/>
  <c r="V880" i="3"/>
  <c r="V881" i="3"/>
  <c r="V882" i="3"/>
  <c r="V883" i="3"/>
  <c r="V884" i="3"/>
  <c r="V885" i="3"/>
  <c r="V886" i="3"/>
  <c r="V887" i="3"/>
  <c r="V888" i="3"/>
  <c r="V889" i="3"/>
  <c r="V890" i="3"/>
  <c r="V891" i="3"/>
  <c r="V892" i="3"/>
  <c r="V893" i="3"/>
  <c r="V894" i="3"/>
  <c r="V895" i="3"/>
  <c r="V896" i="3"/>
  <c r="V897" i="3"/>
  <c r="V898" i="3"/>
  <c r="V899" i="3"/>
  <c r="V900" i="3"/>
  <c r="V901" i="3"/>
  <c r="V902" i="3"/>
  <c r="V903" i="3"/>
  <c r="V904" i="3"/>
  <c r="V905" i="3"/>
  <c r="V906" i="3"/>
  <c r="V907" i="3"/>
  <c r="V908" i="3"/>
  <c r="V909" i="3"/>
  <c r="V910" i="3"/>
  <c r="V911" i="3"/>
  <c r="V912" i="3"/>
  <c r="V913" i="3"/>
  <c r="V914" i="3"/>
  <c r="V915" i="3"/>
  <c r="V916" i="3"/>
  <c r="V917" i="3"/>
  <c r="V918" i="3"/>
  <c r="V919" i="3"/>
  <c r="V920" i="3"/>
  <c r="V921" i="3"/>
  <c r="V922" i="3"/>
  <c r="V923" i="3"/>
  <c r="V924" i="3"/>
  <c r="V925" i="3"/>
  <c r="V926" i="3"/>
  <c r="V927" i="3"/>
  <c r="V928" i="3"/>
  <c r="V929" i="3"/>
  <c r="V930" i="3"/>
  <c r="V931" i="3"/>
  <c r="V932" i="3"/>
  <c r="V933" i="3"/>
  <c r="V934" i="3"/>
  <c r="V935" i="3"/>
  <c r="V936" i="3"/>
  <c r="V937" i="3"/>
  <c r="V938" i="3"/>
  <c r="V939" i="3"/>
  <c r="V940" i="3"/>
  <c r="V941" i="3"/>
  <c r="V942" i="3"/>
  <c r="V943" i="3"/>
  <c r="V944" i="3"/>
  <c r="V945" i="3"/>
  <c r="V946" i="3"/>
  <c r="V947" i="3"/>
  <c r="V948" i="3"/>
  <c r="V949" i="3"/>
  <c r="V950" i="3"/>
  <c r="V951" i="3"/>
  <c r="V952" i="3"/>
  <c r="V953" i="3"/>
  <c r="V954" i="3"/>
  <c r="V955" i="3"/>
  <c r="V956" i="3"/>
  <c r="V957" i="3"/>
  <c r="V958" i="3"/>
  <c r="V959" i="3"/>
  <c r="V960" i="3"/>
  <c r="V961" i="3"/>
  <c r="V962" i="3"/>
  <c r="V963" i="3"/>
  <c r="V964" i="3"/>
  <c r="V965" i="3"/>
  <c r="V966" i="3"/>
  <c r="V967" i="3"/>
  <c r="V968" i="3"/>
  <c r="V969" i="3"/>
  <c r="V970" i="3"/>
  <c r="V971" i="3"/>
  <c r="V972" i="3"/>
  <c r="V973" i="3"/>
  <c r="V974" i="3"/>
  <c r="V975" i="3"/>
  <c r="V976" i="3"/>
  <c r="V977" i="3"/>
  <c r="V978" i="3"/>
  <c r="V979" i="3"/>
  <c r="V980" i="3"/>
  <c r="V981" i="3"/>
  <c r="V982" i="3"/>
  <c r="V983" i="3"/>
  <c r="V984" i="3"/>
  <c r="V985" i="3"/>
  <c r="V986" i="3"/>
  <c r="V987" i="3"/>
  <c r="V988" i="3"/>
  <c r="V989" i="3"/>
  <c r="V990" i="3"/>
  <c r="V991" i="3"/>
  <c r="V992" i="3"/>
  <c r="V993" i="3"/>
  <c r="V994" i="3"/>
  <c r="V995" i="3"/>
  <c r="V996" i="3"/>
  <c r="V997" i="3"/>
  <c r="V998" i="3"/>
  <c r="V999" i="3"/>
  <c r="V1000" i="3"/>
  <c r="V1001" i="3"/>
  <c r="V1002" i="3"/>
  <c r="V1003" i="3"/>
  <c r="V1004" i="3"/>
  <c r="V1005" i="3"/>
  <c r="V1006" i="3"/>
  <c r="V1007" i="3"/>
  <c r="V1008" i="3"/>
  <c r="V1009" i="3"/>
  <c r="V1010" i="3"/>
  <c r="V1011" i="3"/>
  <c r="V1012" i="3"/>
  <c r="V1013" i="3"/>
  <c r="V1014" i="3"/>
  <c r="V1015" i="3"/>
  <c r="V1016" i="3"/>
  <c r="V1017" i="3"/>
  <c r="V1018" i="3"/>
  <c r="V1019" i="3"/>
  <c r="V1020" i="3"/>
  <c r="V1021" i="3"/>
  <c r="V1022" i="3"/>
  <c r="V1023" i="3"/>
  <c r="V1024" i="3"/>
  <c r="V1025" i="3"/>
  <c r="V1026" i="3"/>
  <c r="V1027" i="3"/>
  <c r="V1028" i="3"/>
  <c r="V1029" i="3"/>
  <c r="V1030" i="3"/>
  <c r="V1031" i="3"/>
  <c r="V1032" i="3"/>
  <c r="V1033" i="3"/>
  <c r="V1034" i="3"/>
  <c r="V1035" i="3"/>
  <c r="V1036" i="3"/>
  <c r="V1037" i="3"/>
  <c r="V1038" i="3"/>
  <c r="V1039" i="3"/>
  <c r="V1040" i="3"/>
  <c r="V1041" i="3"/>
  <c r="V1042" i="3"/>
  <c r="V1043" i="3"/>
  <c r="V1044" i="3"/>
  <c r="V1045" i="3"/>
  <c r="V1046" i="3"/>
  <c r="V1047" i="3"/>
  <c r="V1048" i="3"/>
  <c r="V1049" i="3"/>
  <c r="V1050" i="3"/>
  <c r="V1051" i="3"/>
  <c r="V1052" i="3"/>
  <c r="V1053" i="3"/>
  <c r="V1054" i="3"/>
  <c r="V1055" i="3"/>
  <c r="V1056" i="3"/>
  <c r="V1057" i="3"/>
  <c r="V1058" i="3"/>
  <c r="V1059" i="3"/>
  <c r="V1060" i="3"/>
  <c r="V1061" i="3"/>
  <c r="V1062" i="3"/>
  <c r="V1063" i="3"/>
  <c r="V1064" i="3"/>
  <c r="V1065" i="3"/>
  <c r="V1066" i="3"/>
  <c r="V1067" i="3"/>
  <c r="V1068" i="3"/>
  <c r="V1069" i="3"/>
  <c r="V1070" i="3"/>
  <c r="V1071" i="3"/>
  <c r="V1072" i="3"/>
  <c r="V1073" i="3"/>
  <c r="V1074" i="3"/>
  <c r="V1075" i="3"/>
  <c r="V1076" i="3"/>
  <c r="V1077" i="3"/>
  <c r="V1078" i="3"/>
  <c r="V1079" i="3"/>
  <c r="V1080" i="3"/>
  <c r="V1081" i="3"/>
  <c r="V1082" i="3"/>
  <c r="V1083" i="3"/>
  <c r="V1084" i="3"/>
  <c r="V1085" i="3"/>
  <c r="V1086" i="3"/>
  <c r="V1087" i="3"/>
  <c r="V1088" i="3"/>
  <c r="V1089" i="3"/>
  <c r="V1090" i="3"/>
  <c r="V1091" i="3"/>
  <c r="V1092" i="3"/>
  <c r="V1093" i="3"/>
  <c r="V1094" i="3"/>
  <c r="V1095" i="3"/>
  <c r="V1096" i="3"/>
  <c r="V1097" i="3"/>
  <c r="V1098" i="3"/>
  <c r="V1099" i="3"/>
  <c r="V1100" i="3"/>
  <c r="V1101" i="3"/>
  <c r="V1102" i="3"/>
  <c r="V1103" i="3"/>
  <c r="V1104" i="3"/>
  <c r="V1105" i="3"/>
  <c r="V1106" i="3"/>
  <c r="V1107" i="3"/>
  <c r="V1108" i="3"/>
  <c r="V1109" i="3"/>
  <c r="V1110" i="3"/>
  <c r="V1111" i="3"/>
  <c r="V1112" i="3"/>
  <c r="V1113" i="3"/>
  <c r="V1114" i="3"/>
  <c r="V1115" i="3"/>
  <c r="V1116" i="3"/>
  <c r="V1117" i="3"/>
  <c r="V1118" i="3"/>
  <c r="V1119" i="3"/>
  <c r="V1120" i="3"/>
  <c r="V1121" i="3"/>
  <c r="V1122" i="3"/>
  <c r="V1123" i="3"/>
  <c r="V1124" i="3"/>
  <c r="V1125" i="3"/>
  <c r="V1126" i="3"/>
  <c r="V1127" i="3"/>
  <c r="V1128" i="3"/>
  <c r="V1129" i="3"/>
  <c r="V1130" i="3"/>
  <c r="V1131" i="3"/>
  <c r="V1132" i="3"/>
  <c r="V1133" i="3"/>
  <c r="V1134" i="3"/>
  <c r="V1135" i="3"/>
  <c r="V1136" i="3"/>
  <c r="V1137" i="3"/>
  <c r="V1138" i="3"/>
  <c r="V1139" i="3"/>
  <c r="V1140" i="3"/>
  <c r="V1141" i="3"/>
  <c r="V1142" i="3"/>
  <c r="V1143" i="3"/>
  <c r="V1144" i="3"/>
  <c r="V1145" i="3"/>
  <c r="V1146" i="3"/>
  <c r="V1147" i="3"/>
  <c r="V1148" i="3"/>
  <c r="V1149" i="3"/>
  <c r="V1150" i="3"/>
  <c r="V1151" i="3"/>
  <c r="V1152" i="3"/>
  <c r="V1153" i="3"/>
  <c r="V1154" i="3"/>
  <c r="V1155" i="3"/>
  <c r="V1156" i="3"/>
  <c r="V1157" i="3"/>
  <c r="V1158" i="3"/>
  <c r="V1159" i="3"/>
  <c r="V1160" i="3"/>
  <c r="V1161" i="3"/>
  <c r="V1162" i="3"/>
  <c r="V1163" i="3"/>
  <c r="V1164" i="3"/>
  <c r="V1165" i="3"/>
  <c r="V1166" i="3"/>
  <c r="V1167" i="3"/>
  <c r="V1168" i="3"/>
  <c r="V1169" i="3"/>
  <c r="V1170" i="3"/>
  <c r="V1171" i="3"/>
  <c r="V1172" i="3"/>
  <c r="V1173" i="3"/>
  <c r="V1174" i="3"/>
  <c r="V1175" i="3"/>
  <c r="V1176" i="3"/>
  <c r="V1177" i="3"/>
  <c r="V1178" i="3"/>
  <c r="V1179" i="3"/>
  <c r="V1180" i="3"/>
  <c r="V1181" i="3"/>
  <c r="V1182" i="3"/>
  <c r="V1183" i="3"/>
  <c r="V1184" i="3"/>
  <c r="V1185" i="3"/>
  <c r="V1186" i="3"/>
  <c r="V1187" i="3"/>
  <c r="V1188" i="3"/>
  <c r="V1189" i="3"/>
  <c r="V1190" i="3"/>
  <c r="V1191" i="3"/>
  <c r="V1192" i="3"/>
  <c r="V1193" i="3"/>
  <c r="V1194" i="3"/>
  <c r="V1195" i="3"/>
  <c r="V1196" i="3"/>
  <c r="V1197" i="3"/>
  <c r="V1198" i="3"/>
  <c r="V1199" i="3"/>
  <c r="V1200" i="3"/>
  <c r="V1201" i="3"/>
  <c r="V1202" i="3"/>
  <c r="V1203" i="3"/>
  <c r="V1204" i="3"/>
  <c r="V1205" i="3"/>
  <c r="V1206" i="3"/>
  <c r="V1207" i="3"/>
  <c r="V1208" i="3"/>
  <c r="V1209" i="3"/>
  <c r="V1210" i="3"/>
  <c r="V1211" i="3"/>
  <c r="V1212" i="3"/>
  <c r="V1213" i="3"/>
  <c r="V1214" i="3"/>
  <c r="V1215" i="3"/>
  <c r="V1216" i="3"/>
  <c r="V1217" i="3"/>
  <c r="V1218" i="3"/>
  <c r="V1219" i="3"/>
  <c r="V1220" i="3"/>
  <c r="V1221" i="3"/>
  <c r="V1222" i="3"/>
  <c r="V1223" i="3"/>
  <c r="V1224" i="3"/>
  <c r="V1225" i="3"/>
  <c r="V1226" i="3"/>
  <c r="V1227" i="3"/>
  <c r="V1228" i="3"/>
  <c r="V1229" i="3"/>
  <c r="V1230" i="3"/>
  <c r="V1231" i="3"/>
  <c r="V1232" i="3"/>
  <c r="V1233" i="3"/>
  <c r="V1234" i="3"/>
  <c r="V1235" i="3"/>
  <c r="V1236" i="3"/>
  <c r="V1237" i="3"/>
  <c r="V1238" i="3"/>
  <c r="V1239" i="3"/>
  <c r="V1240" i="3"/>
  <c r="V1241" i="3"/>
  <c r="V1242" i="3"/>
  <c r="V1243" i="3"/>
  <c r="V1244" i="3"/>
  <c r="V1245" i="3"/>
  <c r="V1246" i="3"/>
  <c r="V1247" i="3"/>
  <c r="V1248" i="3"/>
  <c r="V1249" i="3"/>
  <c r="V1250" i="3"/>
  <c r="V1251" i="3"/>
  <c r="V1252" i="3"/>
  <c r="V1253" i="3"/>
  <c r="V1254" i="3"/>
  <c r="V1255" i="3"/>
  <c r="V1256" i="3"/>
  <c r="V1257" i="3"/>
  <c r="V1258" i="3"/>
  <c r="V1259" i="3"/>
  <c r="V1260" i="3"/>
  <c r="V1261" i="3"/>
  <c r="V1262" i="3"/>
  <c r="V1263" i="3"/>
  <c r="V1264" i="3"/>
  <c r="V1265" i="3"/>
  <c r="V1266" i="3"/>
  <c r="V1267" i="3"/>
  <c r="V1268" i="3"/>
  <c r="V1269" i="3"/>
  <c r="V1270" i="3"/>
  <c r="V1271" i="3"/>
  <c r="V1272" i="3"/>
  <c r="V1273" i="3"/>
  <c r="V1274" i="3"/>
  <c r="V1275" i="3"/>
  <c r="V1276" i="3"/>
  <c r="V1277" i="3"/>
  <c r="V1278" i="3"/>
  <c r="V1279" i="3"/>
  <c r="V1280" i="3"/>
  <c r="V1281" i="3"/>
  <c r="V1282" i="3"/>
  <c r="V1283" i="3"/>
  <c r="V1284" i="3"/>
  <c r="V1285" i="3"/>
  <c r="V1286" i="3"/>
  <c r="V1287" i="3"/>
  <c r="V1288" i="3"/>
  <c r="V1289" i="3"/>
  <c r="V1290" i="3"/>
  <c r="V1291" i="3"/>
  <c r="V1292" i="3"/>
  <c r="V1293" i="3"/>
  <c r="V1294" i="3"/>
  <c r="V1295" i="3"/>
  <c r="V1296" i="3"/>
  <c r="V1297" i="3"/>
  <c r="V1298" i="3"/>
  <c r="V1299" i="3"/>
  <c r="V1300" i="3"/>
  <c r="V1301" i="3"/>
  <c r="V1302" i="3"/>
  <c r="V1303" i="3"/>
  <c r="V1304" i="3"/>
  <c r="V1305" i="3"/>
  <c r="V1306" i="3"/>
  <c r="V1307" i="3"/>
  <c r="V1308" i="3"/>
  <c r="V1309" i="3"/>
  <c r="V1310" i="3"/>
  <c r="V1311" i="3"/>
  <c r="V1312" i="3"/>
  <c r="V1313" i="3"/>
  <c r="V1314" i="3"/>
  <c r="V1315" i="3"/>
  <c r="V1316" i="3"/>
  <c r="V1317" i="3"/>
  <c r="V1318" i="3"/>
  <c r="V1319" i="3"/>
  <c r="V1320" i="3"/>
  <c r="V1321" i="3"/>
  <c r="V1322" i="3"/>
  <c r="V1323" i="3"/>
  <c r="V1324" i="3"/>
  <c r="V1325" i="3"/>
  <c r="V1326" i="3"/>
  <c r="V1327" i="3"/>
  <c r="V1328" i="3"/>
  <c r="V1329" i="3"/>
  <c r="V1330" i="3"/>
  <c r="V1331" i="3"/>
  <c r="V1332" i="3"/>
  <c r="V1333" i="3"/>
  <c r="V1334" i="3"/>
  <c r="V1335" i="3"/>
  <c r="V1336" i="3"/>
  <c r="V1337" i="3"/>
  <c r="V1338" i="3"/>
  <c r="V1339" i="3"/>
  <c r="V1340" i="3"/>
  <c r="V1341" i="3"/>
  <c r="V1342" i="3"/>
  <c r="V1343" i="3"/>
  <c r="V1344" i="3"/>
  <c r="V1345" i="3"/>
  <c r="V1346" i="3"/>
  <c r="V1347" i="3"/>
  <c r="V1348" i="3"/>
  <c r="V1349" i="3"/>
  <c r="V1350" i="3"/>
  <c r="V1351" i="3"/>
  <c r="V1352" i="3"/>
  <c r="V1353" i="3"/>
  <c r="V1354" i="3"/>
  <c r="V1355" i="3"/>
  <c r="V1356" i="3"/>
  <c r="V1357" i="3"/>
  <c r="V1358" i="3"/>
  <c r="V1359" i="3"/>
  <c r="V1360" i="3"/>
  <c r="V1361" i="3"/>
  <c r="V1362" i="3"/>
  <c r="V1363" i="3"/>
  <c r="V1364" i="3"/>
  <c r="V1365" i="3"/>
  <c r="V1366" i="3"/>
  <c r="V1367" i="3"/>
  <c r="V1368" i="3"/>
  <c r="V1369" i="3"/>
  <c r="V1370" i="3"/>
  <c r="V1371" i="3"/>
  <c r="V1372" i="3"/>
  <c r="V1373" i="3"/>
  <c r="V1374" i="3"/>
  <c r="V1375" i="3"/>
  <c r="V1376" i="3"/>
  <c r="V1377" i="3"/>
  <c r="V1378" i="3"/>
  <c r="V1379" i="3"/>
  <c r="V1380" i="3"/>
  <c r="V1381" i="3"/>
  <c r="V1382" i="3"/>
  <c r="V1383" i="3"/>
  <c r="V1384" i="3"/>
  <c r="V1385" i="3"/>
  <c r="V1386" i="3"/>
  <c r="V1387" i="3"/>
  <c r="V1388" i="3"/>
  <c r="V1389" i="3"/>
  <c r="V1390" i="3"/>
  <c r="V1391" i="3"/>
  <c r="V1392" i="3"/>
  <c r="V1393" i="3"/>
  <c r="V1394" i="3"/>
  <c r="V1395" i="3"/>
  <c r="V1396" i="3"/>
  <c r="V1397" i="3"/>
  <c r="V1398" i="3"/>
  <c r="V1399" i="3"/>
  <c r="V1400" i="3"/>
  <c r="V1401" i="3"/>
  <c r="V1402" i="3"/>
  <c r="V1403" i="3"/>
  <c r="V1404" i="3"/>
  <c r="V1405" i="3"/>
  <c r="V1406" i="3"/>
  <c r="V1407" i="3"/>
  <c r="V1408" i="3"/>
  <c r="V1409" i="3"/>
  <c r="V1410" i="3"/>
  <c r="V1411" i="3"/>
  <c r="V1412" i="3"/>
  <c r="V1413" i="3"/>
  <c r="V1414" i="3"/>
  <c r="V1415" i="3"/>
  <c r="V1416" i="3"/>
  <c r="V1417" i="3"/>
  <c r="V1418" i="3"/>
  <c r="V1419" i="3"/>
  <c r="V1420" i="3"/>
  <c r="V1421" i="3"/>
  <c r="V1422" i="3"/>
  <c r="V1423" i="3"/>
  <c r="V1424" i="3"/>
  <c r="V1425" i="3"/>
  <c r="V1426" i="3"/>
  <c r="V1427" i="3"/>
  <c r="V1428" i="3"/>
  <c r="V1429" i="3"/>
  <c r="V1430" i="3"/>
  <c r="V1431" i="3"/>
  <c r="V1432" i="3"/>
  <c r="V1433" i="3"/>
  <c r="V1434" i="3"/>
  <c r="V1435" i="3"/>
  <c r="V1436" i="3"/>
  <c r="V1437" i="3"/>
  <c r="V1438" i="3"/>
  <c r="V1439" i="3"/>
  <c r="V1440" i="3"/>
  <c r="V1441" i="3"/>
  <c r="V1442" i="3"/>
  <c r="V1443" i="3"/>
  <c r="V1444" i="3"/>
  <c r="V1445" i="3"/>
  <c r="V1446" i="3"/>
  <c r="V1447" i="3"/>
  <c r="V1448" i="3"/>
  <c r="V1449" i="3"/>
  <c r="V1450" i="3"/>
  <c r="V1451" i="3"/>
  <c r="V1452" i="3"/>
  <c r="V1453" i="3"/>
  <c r="V1454" i="3"/>
  <c r="V1455" i="3"/>
  <c r="V1456" i="3"/>
  <c r="V1457" i="3"/>
  <c r="V1458" i="3"/>
  <c r="V1459" i="3"/>
  <c r="V1460" i="3"/>
  <c r="V1461" i="3"/>
  <c r="V1462" i="3"/>
  <c r="V1463" i="3"/>
  <c r="V1464" i="3"/>
  <c r="V1465" i="3"/>
  <c r="V1466" i="3"/>
  <c r="V1467" i="3"/>
  <c r="V1468" i="3"/>
  <c r="V1469" i="3"/>
  <c r="V1470" i="3"/>
  <c r="V1471" i="3"/>
  <c r="V1472" i="3"/>
  <c r="V1473" i="3"/>
  <c r="V1474" i="3"/>
  <c r="V1475" i="3"/>
  <c r="V1476" i="3"/>
  <c r="V1477" i="3"/>
  <c r="V1478" i="3"/>
  <c r="V1479" i="3"/>
  <c r="V1480" i="3"/>
  <c r="V1481" i="3"/>
  <c r="V1482" i="3"/>
  <c r="V1483" i="3"/>
  <c r="V1484" i="3"/>
  <c r="V1485" i="3"/>
  <c r="V1486" i="3"/>
  <c r="V1487" i="3"/>
  <c r="V1488" i="3"/>
  <c r="V1489" i="3"/>
  <c r="V1490" i="3"/>
  <c r="V1491" i="3"/>
  <c r="V1492" i="3"/>
  <c r="V1493" i="3"/>
  <c r="V1494" i="3"/>
  <c r="V1495" i="3"/>
  <c r="V1496" i="3"/>
  <c r="V1497" i="3"/>
  <c r="V1498" i="3"/>
  <c r="V1499" i="3"/>
  <c r="V1500" i="3"/>
  <c r="V1501" i="3"/>
  <c r="V1502" i="3"/>
  <c r="V1503" i="3"/>
  <c r="V1504" i="3"/>
  <c r="V1505" i="3"/>
  <c r="V1506" i="3"/>
  <c r="V1507" i="3"/>
  <c r="V1508" i="3"/>
  <c r="V1509" i="3"/>
  <c r="V1510" i="3"/>
  <c r="V1511" i="3"/>
  <c r="V1512" i="3"/>
  <c r="V1513" i="3"/>
  <c r="V1514" i="3"/>
  <c r="V1515" i="3"/>
  <c r="V1516" i="3"/>
  <c r="V1517" i="3"/>
  <c r="V1518" i="3"/>
  <c r="V1519" i="3"/>
  <c r="V1520" i="3"/>
  <c r="V1521" i="3"/>
  <c r="V1522" i="3"/>
  <c r="V1523" i="3"/>
  <c r="V1524" i="3"/>
  <c r="V1525" i="3"/>
  <c r="V1526" i="3"/>
  <c r="V1527" i="3"/>
  <c r="V1528" i="3"/>
  <c r="V1529" i="3"/>
  <c r="V1530" i="3"/>
  <c r="V1531" i="3"/>
  <c r="V1532" i="3"/>
  <c r="V1533" i="3"/>
  <c r="V1534" i="3"/>
  <c r="V1535" i="3"/>
  <c r="V1536" i="3"/>
  <c r="V1537" i="3"/>
  <c r="V1538" i="3"/>
  <c r="V1539" i="3"/>
  <c r="V1540" i="3"/>
  <c r="V1541" i="3"/>
  <c r="V1542" i="3"/>
  <c r="V1543" i="3"/>
  <c r="V1544" i="3"/>
  <c r="V1545" i="3"/>
  <c r="V1546" i="3"/>
  <c r="V1547" i="3"/>
  <c r="V1548" i="3"/>
  <c r="V1549" i="3"/>
  <c r="V1550" i="3"/>
  <c r="V1551" i="3"/>
  <c r="V1552" i="3"/>
  <c r="V1553" i="3"/>
  <c r="V1554" i="3"/>
  <c r="V1555" i="3"/>
  <c r="V1556" i="3"/>
  <c r="V1557" i="3"/>
  <c r="V1558" i="3"/>
  <c r="V1559" i="3"/>
  <c r="V1560" i="3"/>
  <c r="V1561" i="3"/>
  <c r="V1562" i="3"/>
  <c r="V1563" i="3"/>
  <c r="V1564" i="3"/>
  <c r="V1565" i="3"/>
  <c r="V1566" i="3"/>
  <c r="V1567" i="3"/>
  <c r="V1568" i="3"/>
  <c r="V1569" i="3"/>
  <c r="V1570" i="3"/>
  <c r="V1571" i="3"/>
  <c r="V1572" i="3"/>
  <c r="V1573" i="3"/>
  <c r="V1574" i="3"/>
  <c r="V1575" i="3"/>
  <c r="V1576" i="3"/>
  <c r="V1577" i="3"/>
  <c r="V1578" i="3"/>
  <c r="V1579" i="3"/>
  <c r="V1580" i="3"/>
  <c r="V1581" i="3"/>
  <c r="V1582" i="3"/>
  <c r="V1583" i="3"/>
  <c r="V1584" i="3"/>
  <c r="V1585" i="3"/>
  <c r="V1586" i="3"/>
  <c r="V1587" i="3"/>
  <c r="V1588" i="3"/>
  <c r="V1589" i="3"/>
  <c r="V1590" i="3"/>
  <c r="V1591" i="3"/>
  <c r="V1592" i="3"/>
  <c r="V1593" i="3"/>
  <c r="V1594" i="3"/>
  <c r="V1595" i="3"/>
  <c r="V1596" i="3"/>
  <c r="V1597" i="3"/>
  <c r="V1598" i="3"/>
  <c r="V1599" i="3"/>
  <c r="V1600" i="3"/>
  <c r="V1601" i="3"/>
  <c r="V1602" i="3"/>
  <c r="V1603" i="3"/>
  <c r="V1604" i="3"/>
  <c r="V1605" i="3"/>
  <c r="V1606" i="3"/>
  <c r="V1607" i="3"/>
  <c r="V1608" i="3"/>
  <c r="V1609" i="3"/>
  <c r="V1610" i="3"/>
  <c r="V1611" i="3"/>
  <c r="V1612" i="3"/>
  <c r="V1613" i="3"/>
  <c r="V1614" i="3"/>
  <c r="V1615" i="3"/>
  <c r="V1616" i="3"/>
  <c r="V1617" i="3"/>
  <c r="V1618" i="3"/>
  <c r="V1619" i="3"/>
  <c r="V1620" i="3"/>
  <c r="V1621" i="3"/>
  <c r="V1622" i="3"/>
  <c r="V1623" i="3"/>
  <c r="V1624" i="3"/>
  <c r="V1625" i="3"/>
  <c r="V1626" i="3"/>
  <c r="V1627" i="3"/>
  <c r="V1628" i="3"/>
  <c r="V1629" i="3"/>
  <c r="V1630" i="3"/>
  <c r="V1631" i="3"/>
  <c r="V1632" i="3"/>
  <c r="V1633" i="3"/>
  <c r="V1634" i="3"/>
  <c r="V1635" i="3"/>
  <c r="V1636" i="3"/>
  <c r="V1637" i="3"/>
  <c r="V1638" i="3"/>
  <c r="V1639" i="3"/>
  <c r="V1640" i="3"/>
  <c r="V1641" i="3"/>
  <c r="V1642" i="3"/>
  <c r="V1643" i="3"/>
  <c r="V1644" i="3"/>
  <c r="V1645" i="3"/>
  <c r="V1646" i="3"/>
  <c r="V1647" i="3"/>
  <c r="V1648" i="3"/>
  <c r="V1649" i="3"/>
  <c r="V1650" i="3"/>
  <c r="V1651" i="3"/>
  <c r="V1652" i="3"/>
  <c r="V1653" i="3"/>
  <c r="V1654" i="3"/>
  <c r="V1655" i="3"/>
  <c r="V1656" i="3"/>
  <c r="V1657" i="3"/>
  <c r="V1658" i="3"/>
  <c r="V1659" i="3"/>
  <c r="V1660" i="3"/>
  <c r="V1661" i="3"/>
  <c r="V1662" i="3"/>
  <c r="V1663" i="3"/>
  <c r="V1664" i="3"/>
  <c r="V1665" i="3"/>
  <c r="V1666" i="3"/>
  <c r="V1667" i="3"/>
  <c r="V1668" i="3"/>
  <c r="V1669" i="3"/>
  <c r="V1670" i="3"/>
  <c r="V1671" i="3"/>
  <c r="V1672" i="3"/>
  <c r="V1673" i="3"/>
  <c r="V1674" i="3"/>
  <c r="V1675" i="3"/>
  <c r="V1676" i="3"/>
  <c r="V1677" i="3"/>
  <c r="V1678" i="3"/>
  <c r="V1679" i="3"/>
  <c r="V1680" i="3"/>
  <c r="V1681" i="3"/>
  <c r="V1682" i="3"/>
  <c r="V1683" i="3"/>
  <c r="V1684" i="3"/>
  <c r="V1685" i="3"/>
  <c r="V1686" i="3"/>
  <c r="V1687" i="3"/>
  <c r="V1688" i="3"/>
  <c r="V1689" i="3"/>
  <c r="V1690" i="3"/>
  <c r="V1691" i="3"/>
  <c r="V1692" i="3"/>
  <c r="V1693" i="3"/>
  <c r="V1694" i="3"/>
  <c r="V1695" i="3"/>
  <c r="V1696" i="3"/>
  <c r="V1697" i="3"/>
  <c r="V1698" i="3"/>
  <c r="V1699" i="3"/>
  <c r="V1700" i="3"/>
  <c r="V1701" i="3"/>
  <c r="V1702" i="3"/>
  <c r="V1703" i="3"/>
  <c r="V1704" i="3"/>
  <c r="V1705" i="3"/>
  <c r="V1706" i="3"/>
  <c r="V1707" i="3"/>
  <c r="V1708" i="3"/>
  <c r="V1709" i="3"/>
  <c r="V1710" i="3"/>
  <c r="V1711" i="3"/>
  <c r="V1712" i="3"/>
  <c r="V1713" i="3"/>
  <c r="V1714" i="3"/>
  <c r="V1715" i="3"/>
  <c r="V1716" i="3"/>
  <c r="V1717" i="3"/>
  <c r="V1718" i="3"/>
  <c r="V1719" i="3"/>
  <c r="V1720" i="3"/>
  <c r="V1721" i="3"/>
  <c r="V1722" i="3"/>
  <c r="V1723" i="3"/>
  <c r="V1724" i="3"/>
  <c r="V1725" i="3"/>
  <c r="V1726" i="3"/>
  <c r="V1727" i="3"/>
  <c r="V1728" i="3"/>
  <c r="V1729" i="3"/>
  <c r="V1730" i="3"/>
  <c r="V1731" i="3"/>
  <c r="V1732" i="3"/>
  <c r="V1733" i="3"/>
  <c r="V1734" i="3"/>
  <c r="V1735" i="3"/>
  <c r="V1736" i="3"/>
  <c r="V1737" i="3"/>
  <c r="V1738" i="3"/>
  <c r="V1739" i="3"/>
  <c r="V1740" i="3"/>
  <c r="V1741" i="3"/>
  <c r="V1742" i="3"/>
  <c r="V1743" i="3"/>
  <c r="V1744" i="3"/>
  <c r="V1745" i="3"/>
  <c r="V1746" i="3"/>
  <c r="V1747" i="3"/>
  <c r="V1748" i="3"/>
  <c r="V1749" i="3"/>
  <c r="V1750" i="3"/>
  <c r="V1751" i="3"/>
  <c r="V1752" i="3"/>
  <c r="V1753" i="3"/>
  <c r="V1754" i="3"/>
  <c r="V1755" i="3"/>
  <c r="V1756" i="3"/>
  <c r="V1757" i="3"/>
  <c r="V1758" i="3"/>
  <c r="V1759" i="3"/>
  <c r="V1760" i="3"/>
  <c r="V1761" i="3"/>
  <c r="V1762" i="3"/>
  <c r="V1763" i="3"/>
  <c r="V1764" i="3"/>
  <c r="V1765" i="3"/>
  <c r="V1766" i="3"/>
  <c r="V1767" i="3"/>
  <c r="V1768" i="3"/>
  <c r="V1769" i="3"/>
  <c r="V1770" i="3"/>
  <c r="V1771" i="3"/>
  <c r="V1772" i="3"/>
  <c r="V1773" i="3"/>
  <c r="V1774" i="3"/>
  <c r="V1775" i="3"/>
  <c r="V1776" i="3"/>
  <c r="V1777" i="3"/>
  <c r="V1778" i="3"/>
  <c r="V1779" i="3"/>
  <c r="V1780" i="3"/>
  <c r="V1781" i="3"/>
  <c r="V1782" i="3"/>
  <c r="V1783" i="3"/>
  <c r="V1784" i="3"/>
  <c r="V1785" i="3"/>
  <c r="V1786" i="3"/>
  <c r="V1787" i="3"/>
  <c r="V1788" i="3"/>
  <c r="V1789" i="3"/>
  <c r="V1790" i="3"/>
  <c r="V1791" i="3"/>
  <c r="V1792" i="3"/>
  <c r="V1793" i="3"/>
  <c r="V1794" i="3"/>
  <c r="V1795" i="3"/>
  <c r="V1796" i="3"/>
  <c r="V1797" i="3"/>
  <c r="V1798" i="3"/>
  <c r="V1799" i="3"/>
  <c r="V1800" i="3"/>
  <c r="V1801" i="3"/>
  <c r="V1802" i="3"/>
  <c r="V1803" i="3"/>
  <c r="V1804" i="3"/>
  <c r="V1805" i="3"/>
  <c r="V1806" i="3"/>
  <c r="V1807" i="3"/>
  <c r="V1808" i="3"/>
  <c r="V1809" i="3"/>
  <c r="V1810" i="3"/>
  <c r="V1811" i="3"/>
  <c r="V1812" i="3"/>
  <c r="V1813" i="3"/>
  <c r="V1814" i="3"/>
  <c r="V1815" i="3"/>
  <c r="V1816" i="3"/>
  <c r="V1817" i="3"/>
  <c r="V1818" i="3"/>
  <c r="V1819" i="3"/>
  <c r="V1820" i="3"/>
  <c r="V1821" i="3"/>
  <c r="V1822" i="3"/>
  <c r="V1823" i="3"/>
  <c r="V1824" i="3"/>
  <c r="V1825" i="3"/>
  <c r="V1826" i="3"/>
  <c r="V1827" i="3"/>
  <c r="V1828" i="3"/>
  <c r="V1829" i="3"/>
  <c r="V1830" i="3"/>
  <c r="V1831" i="3"/>
  <c r="V1832" i="3"/>
  <c r="V1833" i="3"/>
  <c r="V1834" i="3"/>
  <c r="V1835" i="3"/>
  <c r="V1836" i="3"/>
  <c r="V1837" i="3"/>
  <c r="V1838" i="3"/>
  <c r="V1839" i="3"/>
  <c r="V1840" i="3"/>
  <c r="V1841" i="3"/>
  <c r="V1842" i="3"/>
  <c r="V1843" i="3"/>
  <c r="V1844" i="3"/>
  <c r="V1845" i="3"/>
  <c r="V1846" i="3"/>
  <c r="V1847" i="3"/>
  <c r="V1848" i="3"/>
  <c r="V1849" i="3"/>
  <c r="V1850" i="3"/>
  <c r="V1851" i="3"/>
  <c r="V1852" i="3"/>
  <c r="V1853" i="3"/>
  <c r="V1854" i="3"/>
  <c r="V1855" i="3"/>
  <c r="V1856" i="3"/>
  <c r="V1857" i="3"/>
  <c r="V1858" i="3"/>
  <c r="V1859" i="3"/>
  <c r="V1860" i="3"/>
  <c r="V1861" i="3"/>
  <c r="V1862" i="3"/>
  <c r="V1863" i="3"/>
  <c r="V1864" i="3"/>
  <c r="V1865" i="3"/>
  <c r="V1866" i="3"/>
  <c r="V1867" i="3"/>
  <c r="V1868" i="3"/>
  <c r="V1869" i="3"/>
  <c r="V1870" i="3"/>
  <c r="V1871" i="3"/>
  <c r="V1872" i="3"/>
  <c r="V1873" i="3"/>
  <c r="V1874" i="3"/>
  <c r="V1875" i="3"/>
  <c r="V1876" i="3"/>
  <c r="V1877" i="3"/>
  <c r="V1878" i="3"/>
  <c r="V1879" i="3"/>
  <c r="V1880" i="3"/>
  <c r="V1881" i="3"/>
  <c r="V1882" i="3"/>
  <c r="V1883" i="3"/>
  <c r="V1884" i="3"/>
  <c r="V1885" i="3"/>
  <c r="V1886" i="3"/>
  <c r="V1887" i="3"/>
  <c r="V1888" i="3"/>
  <c r="V1889" i="3"/>
  <c r="V1890" i="3"/>
  <c r="V1891" i="3"/>
  <c r="V1892" i="3"/>
  <c r="V1893" i="3"/>
  <c r="V1894" i="3"/>
  <c r="V1895" i="3"/>
  <c r="V1896" i="3"/>
  <c r="V1897" i="3"/>
  <c r="V1898" i="3"/>
  <c r="V1899" i="3"/>
  <c r="V1900" i="3"/>
  <c r="V1901" i="3"/>
  <c r="V1902" i="3"/>
  <c r="V1903" i="3"/>
  <c r="V1904" i="3"/>
  <c r="V1905" i="3"/>
  <c r="V1906" i="3"/>
  <c r="V1907" i="3"/>
  <c r="V1908" i="3"/>
  <c r="V1909" i="3"/>
  <c r="V1910" i="3"/>
  <c r="V1911" i="3"/>
  <c r="V1912" i="3"/>
  <c r="V1913" i="3"/>
  <c r="V1914" i="3"/>
  <c r="V1915" i="3"/>
  <c r="V1916" i="3"/>
  <c r="V1917" i="3"/>
  <c r="V1918" i="3"/>
  <c r="V1919" i="3"/>
  <c r="V1920" i="3"/>
  <c r="V1921" i="3"/>
  <c r="V1922" i="3"/>
  <c r="V1923" i="3"/>
  <c r="V1924" i="3"/>
  <c r="V1925" i="3"/>
  <c r="V1926" i="3"/>
  <c r="V1927" i="3"/>
  <c r="V1928" i="3"/>
  <c r="V1929" i="3"/>
  <c r="V1930" i="3"/>
  <c r="V1931" i="3"/>
  <c r="V1932" i="3"/>
  <c r="V1933" i="3"/>
  <c r="V1934" i="3"/>
  <c r="V1935" i="3"/>
  <c r="V1936" i="3"/>
  <c r="V1937" i="3"/>
  <c r="V1938" i="3"/>
  <c r="V1939" i="3"/>
  <c r="V1940" i="3"/>
  <c r="V1941" i="3"/>
  <c r="V1942" i="3"/>
  <c r="V1943" i="3"/>
  <c r="V1944" i="3"/>
  <c r="V1945" i="3"/>
  <c r="V1946" i="3"/>
  <c r="V1947" i="3"/>
  <c r="V1948" i="3"/>
  <c r="V1949" i="3"/>
  <c r="V1950" i="3"/>
  <c r="V1951" i="3"/>
  <c r="V1952" i="3"/>
  <c r="V1953" i="3"/>
  <c r="V1954" i="3"/>
  <c r="V1955" i="3"/>
  <c r="V1956" i="3"/>
  <c r="V1957" i="3"/>
  <c r="V1958" i="3"/>
  <c r="V1959" i="3"/>
  <c r="V1960" i="3"/>
  <c r="V1961" i="3"/>
  <c r="V1962" i="3"/>
  <c r="V1963" i="3"/>
  <c r="V1964" i="3"/>
  <c r="V1965" i="3"/>
  <c r="V1966" i="3"/>
  <c r="V1967" i="3"/>
  <c r="V1968" i="3"/>
  <c r="V1969" i="3"/>
  <c r="V1970" i="3"/>
  <c r="V1971" i="3"/>
  <c r="V1972" i="3"/>
  <c r="V1973" i="3"/>
  <c r="V1974" i="3"/>
  <c r="V1975" i="3"/>
  <c r="V1976" i="3"/>
  <c r="V1977" i="3"/>
  <c r="V1978" i="3"/>
  <c r="V1979" i="3"/>
  <c r="V1980" i="3"/>
  <c r="V1981" i="3"/>
  <c r="V1982" i="3"/>
  <c r="V1983" i="3"/>
  <c r="V1984" i="3"/>
  <c r="V1985" i="3"/>
  <c r="V1986" i="3"/>
  <c r="V1987" i="3"/>
  <c r="V1988" i="3"/>
  <c r="V1989" i="3"/>
  <c r="V1990" i="3"/>
  <c r="V1991" i="3"/>
  <c r="V1992" i="3"/>
  <c r="V1993" i="3"/>
  <c r="V1994" i="3"/>
  <c r="V1995" i="3"/>
  <c r="V1996" i="3"/>
  <c r="V1997" i="3"/>
  <c r="V1998" i="3"/>
  <c r="V1999" i="3"/>
  <c r="V2000" i="3"/>
  <c r="V2001" i="3"/>
  <c r="V2002" i="3"/>
  <c r="V2003" i="3"/>
  <c r="V2004" i="3"/>
  <c r="V2005" i="3"/>
  <c r="V2006" i="3"/>
  <c r="V2007" i="3"/>
  <c r="V2008" i="3"/>
  <c r="V2009" i="3"/>
  <c r="V2010" i="3"/>
  <c r="V2011" i="3"/>
  <c r="V2012" i="3"/>
  <c r="V2013" i="3"/>
  <c r="V2014" i="3"/>
  <c r="V2015" i="3"/>
  <c r="V2016" i="3"/>
  <c r="V2017" i="3"/>
  <c r="V2018" i="3"/>
  <c r="V2019" i="3"/>
  <c r="V2020" i="3"/>
  <c r="V2021" i="3"/>
  <c r="V2022" i="3"/>
  <c r="V2023" i="3"/>
  <c r="V2024" i="3"/>
  <c r="V2025" i="3"/>
  <c r="V2026" i="3"/>
  <c r="V2027" i="3"/>
  <c r="V2028" i="3"/>
  <c r="V2029" i="3"/>
  <c r="V2030" i="3"/>
  <c r="V2031" i="3"/>
  <c r="V2032" i="3"/>
  <c r="V2033" i="3"/>
  <c r="V2034" i="3"/>
  <c r="V2035" i="3"/>
  <c r="V2036" i="3"/>
  <c r="V2037" i="3"/>
  <c r="V2038" i="3"/>
  <c r="V2039" i="3"/>
  <c r="V2040" i="3"/>
  <c r="V2041" i="3"/>
  <c r="V2042" i="3"/>
  <c r="V2043" i="3"/>
  <c r="V2044" i="3"/>
  <c r="V2045" i="3"/>
  <c r="V2046" i="3"/>
  <c r="V2047" i="3"/>
  <c r="V2048" i="3"/>
  <c r="V2049" i="3"/>
  <c r="V2050" i="3"/>
  <c r="V2051" i="3"/>
  <c r="V2052" i="3"/>
  <c r="V2053" i="3"/>
  <c r="V2054" i="3"/>
  <c r="V2055" i="3"/>
  <c r="V2056" i="3"/>
  <c r="V2057" i="3"/>
  <c r="V2058" i="3"/>
  <c r="V2059" i="3"/>
  <c r="V2060" i="3"/>
  <c r="V2061" i="3"/>
  <c r="V2062" i="3"/>
  <c r="V2063" i="3"/>
  <c r="V2064" i="3"/>
  <c r="V2065" i="3"/>
  <c r="V2066" i="3"/>
  <c r="V2067" i="3"/>
  <c r="V2068" i="3"/>
  <c r="V2069" i="3"/>
  <c r="V2070" i="3"/>
  <c r="V2071" i="3"/>
  <c r="V2072" i="3"/>
  <c r="V2073" i="3"/>
  <c r="V2074" i="3"/>
  <c r="V2075" i="3"/>
  <c r="V2076" i="3"/>
  <c r="V2077" i="3"/>
  <c r="V2078" i="3"/>
  <c r="V2079" i="3"/>
  <c r="V2080" i="3"/>
  <c r="V2081" i="3"/>
  <c r="V2082" i="3"/>
  <c r="V2083" i="3"/>
  <c r="V2084" i="3"/>
  <c r="V2085" i="3"/>
  <c r="V2086" i="3"/>
  <c r="V2087" i="3"/>
  <c r="V2088" i="3"/>
  <c r="V2089" i="3"/>
  <c r="V2090" i="3"/>
  <c r="V2091" i="3"/>
  <c r="V2092" i="3"/>
  <c r="V2093" i="3"/>
  <c r="V2094" i="3"/>
  <c r="V2095" i="3"/>
  <c r="V2096" i="3"/>
  <c r="V2097" i="3"/>
  <c r="V2098" i="3"/>
  <c r="V2099" i="3"/>
  <c r="V2100" i="3"/>
  <c r="V2101" i="3"/>
  <c r="V2102" i="3"/>
  <c r="V2103" i="3"/>
  <c r="V2104" i="3"/>
  <c r="V2105" i="3"/>
  <c r="V2106" i="3"/>
  <c r="V2107" i="3"/>
  <c r="V2108" i="3"/>
  <c r="V2109" i="3"/>
  <c r="V2110" i="3"/>
  <c r="V2111" i="3"/>
  <c r="V2112" i="3"/>
  <c r="V2113" i="3"/>
  <c r="V2114" i="3"/>
  <c r="V2115" i="3"/>
  <c r="V2116" i="3"/>
  <c r="V2117" i="3"/>
  <c r="V2118" i="3"/>
  <c r="V2119" i="3"/>
  <c r="V2120" i="3"/>
  <c r="V2121" i="3"/>
  <c r="V2122" i="3"/>
  <c r="V2123" i="3"/>
  <c r="V2124" i="3"/>
  <c r="V2125" i="3"/>
  <c r="V2126" i="3"/>
  <c r="V2127" i="3"/>
  <c r="V2128" i="3"/>
  <c r="V2129" i="3"/>
  <c r="V2130" i="3"/>
  <c r="V2131" i="3"/>
  <c r="V2132" i="3"/>
  <c r="V2133" i="3"/>
  <c r="V2134" i="3"/>
  <c r="V2135" i="3"/>
  <c r="V2136" i="3"/>
  <c r="V2137" i="3"/>
  <c r="V2138" i="3"/>
  <c r="V2139" i="3"/>
  <c r="V2140" i="3"/>
  <c r="V2141" i="3"/>
  <c r="V2142" i="3"/>
  <c r="V2143" i="3"/>
  <c r="V2144" i="3"/>
  <c r="V2145" i="3"/>
  <c r="V2146" i="3"/>
  <c r="V2147" i="3"/>
  <c r="V2148" i="3"/>
  <c r="V2149" i="3"/>
  <c r="V2150" i="3"/>
  <c r="V2151" i="3"/>
  <c r="V2152" i="3"/>
  <c r="V2153" i="3"/>
  <c r="V2154" i="3"/>
  <c r="V2155" i="3"/>
  <c r="V2156" i="3"/>
  <c r="V2157" i="3"/>
  <c r="V2158" i="3"/>
  <c r="V2159" i="3"/>
  <c r="V2160" i="3"/>
  <c r="V2161" i="3"/>
  <c r="V2162" i="3"/>
  <c r="V2163" i="3"/>
  <c r="V2164" i="3"/>
  <c r="V2165" i="3"/>
  <c r="V2166" i="3"/>
  <c r="V2167" i="3"/>
  <c r="V2168" i="3"/>
  <c r="V2169" i="3"/>
  <c r="V2170" i="3"/>
  <c r="V2171" i="3"/>
  <c r="V2172" i="3"/>
  <c r="V2173" i="3"/>
  <c r="V2174" i="3"/>
  <c r="V2175" i="3"/>
  <c r="V2176" i="3"/>
  <c r="V2177" i="3"/>
  <c r="V2178" i="3"/>
  <c r="V2179" i="3"/>
  <c r="V2180" i="3"/>
  <c r="V2181" i="3"/>
  <c r="V2182" i="3"/>
  <c r="V2183" i="3"/>
  <c r="V2184" i="3"/>
  <c r="V2185" i="3"/>
  <c r="V2186" i="3"/>
  <c r="V2187" i="3"/>
  <c r="V2188" i="3"/>
  <c r="V2189" i="3"/>
  <c r="V2190" i="3"/>
  <c r="V2191" i="3"/>
  <c r="V2192" i="3"/>
  <c r="V2193" i="3"/>
  <c r="V2194" i="3"/>
  <c r="V2195" i="3"/>
  <c r="V2196" i="3"/>
  <c r="V2197" i="3"/>
  <c r="V2198" i="3"/>
  <c r="V2199" i="3"/>
  <c r="V2200" i="3"/>
  <c r="V2201" i="3"/>
  <c r="V2202" i="3"/>
  <c r="V2203" i="3"/>
  <c r="V2204" i="3"/>
  <c r="V2205" i="3"/>
  <c r="V2206" i="3"/>
  <c r="V2207" i="3"/>
  <c r="V2208" i="3"/>
  <c r="V2209" i="3"/>
  <c r="V2210" i="3"/>
  <c r="V2211" i="3"/>
  <c r="V2212" i="3"/>
  <c r="V2213" i="3"/>
  <c r="V2214" i="3"/>
  <c r="V2215" i="3"/>
  <c r="V2216" i="3"/>
  <c r="V2217" i="3"/>
  <c r="V2218" i="3"/>
  <c r="V2219" i="3"/>
  <c r="V2220" i="3"/>
  <c r="V2221" i="3"/>
  <c r="V2222" i="3"/>
  <c r="V2223" i="3"/>
  <c r="V2224" i="3"/>
  <c r="V2225" i="3"/>
  <c r="V2226" i="3"/>
  <c r="V2227" i="3"/>
  <c r="V2228" i="3"/>
  <c r="V2229" i="3"/>
  <c r="V2230" i="3"/>
  <c r="V2231" i="3"/>
  <c r="V2232" i="3"/>
  <c r="V2233" i="3"/>
  <c r="V2234" i="3"/>
  <c r="V2235" i="3"/>
  <c r="V2236" i="3"/>
  <c r="V2237" i="3"/>
  <c r="V2238" i="3"/>
  <c r="V2239" i="3"/>
  <c r="V2240" i="3"/>
  <c r="V2241" i="3"/>
  <c r="V2242" i="3"/>
  <c r="V2243" i="3"/>
  <c r="V2244" i="3"/>
  <c r="V2245" i="3"/>
  <c r="V2246" i="3"/>
  <c r="V2247" i="3"/>
  <c r="V2248" i="3"/>
  <c r="V2249" i="3"/>
  <c r="V2250" i="3"/>
  <c r="V2251" i="3"/>
  <c r="V2252" i="3"/>
  <c r="V2253" i="3"/>
  <c r="V2254" i="3"/>
  <c r="V2255" i="3"/>
  <c r="V2256" i="3"/>
  <c r="V2257" i="3"/>
  <c r="V2258" i="3"/>
  <c r="V2259" i="3"/>
  <c r="V2260" i="3"/>
  <c r="V2261" i="3"/>
  <c r="V2262" i="3"/>
  <c r="V2263" i="3"/>
  <c r="V2264" i="3"/>
  <c r="V2265" i="3"/>
  <c r="V2266" i="3"/>
  <c r="V2267" i="3"/>
  <c r="V2268" i="3"/>
  <c r="V2269" i="3"/>
  <c r="V2270" i="3"/>
  <c r="V2271" i="3"/>
  <c r="V2272" i="3"/>
  <c r="V2273" i="3"/>
  <c r="V2274" i="3"/>
  <c r="V2275" i="3"/>
  <c r="V2276" i="3"/>
  <c r="V2277" i="3"/>
  <c r="V2278" i="3"/>
  <c r="V2279" i="3"/>
  <c r="V2280" i="3"/>
  <c r="V2281" i="3"/>
  <c r="V2282" i="3"/>
  <c r="V2283" i="3"/>
  <c r="V2284" i="3"/>
  <c r="V2285" i="3"/>
  <c r="V2286" i="3"/>
  <c r="V2287" i="3"/>
  <c r="V2288" i="3"/>
  <c r="V2289" i="3"/>
  <c r="V2290" i="3"/>
  <c r="V2291" i="3"/>
  <c r="V2292" i="3"/>
  <c r="V2293" i="3"/>
  <c r="V2294" i="3"/>
  <c r="V2295" i="3"/>
  <c r="V2296" i="3"/>
  <c r="V2297" i="3"/>
  <c r="V2298" i="3"/>
  <c r="V2299" i="3"/>
  <c r="V2300" i="3"/>
  <c r="V2301" i="3"/>
  <c r="V2302" i="3"/>
  <c r="V2303" i="3"/>
  <c r="V2304" i="3"/>
  <c r="V2305" i="3"/>
  <c r="V2306" i="3"/>
  <c r="V2307" i="3"/>
  <c r="V2308" i="3"/>
  <c r="V2309" i="3"/>
  <c r="V2310" i="3"/>
  <c r="V2311" i="3"/>
  <c r="V2312" i="3"/>
  <c r="V2313" i="3"/>
  <c r="V2314" i="3"/>
  <c r="V2315" i="3"/>
  <c r="V2316" i="3"/>
  <c r="V2317" i="3"/>
  <c r="V2318" i="3"/>
  <c r="V2319" i="3"/>
  <c r="V2320" i="3"/>
  <c r="V2321" i="3"/>
  <c r="V2322" i="3"/>
  <c r="V2323" i="3"/>
  <c r="V2324" i="3"/>
  <c r="V2325" i="3"/>
  <c r="V2326" i="3"/>
  <c r="V2327" i="3"/>
  <c r="V2328" i="3"/>
  <c r="V2329" i="3"/>
  <c r="V2330" i="3"/>
  <c r="V2331" i="3"/>
  <c r="V2332" i="3"/>
  <c r="V2333" i="3"/>
  <c r="V2334" i="3"/>
  <c r="V2335" i="3"/>
  <c r="V2336" i="3"/>
  <c r="V2337" i="3"/>
  <c r="V2338" i="3"/>
  <c r="V2339" i="3"/>
  <c r="V2340" i="3"/>
  <c r="V2341" i="3"/>
  <c r="V2342" i="3"/>
  <c r="V2343" i="3"/>
  <c r="V2344" i="3"/>
  <c r="V2345" i="3"/>
  <c r="V2346" i="3"/>
  <c r="V2347" i="3"/>
  <c r="V2348" i="3"/>
  <c r="V2349" i="3"/>
  <c r="V2350" i="3"/>
  <c r="V2351" i="3"/>
  <c r="V2352" i="3"/>
  <c r="V2353" i="3"/>
  <c r="V2354" i="3"/>
  <c r="V2355" i="3"/>
  <c r="V2356" i="3"/>
  <c r="V2357" i="3"/>
  <c r="V2358" i="3"/>
  <c r="V2359" i="3"/>
  <c r="V2360" i="3"/>
  <c r="V2361" i="3"/>
  <c r="V2362" i="3"/>
  <c r="V2363" i="3"/>
  <c r="V2364" i="3"/>
  <c r="V2365" i="3"/>
  <c r="V2366" i="3"/>
  <c r="V2367" i="3"/>
  <c r="V2368" i="3"/>
  <c r="V2369" i="3"/>
  <c r="V2370" i="3"/>
  <c r="V2371" i="3"/>
  <c r="V2372" i="3"/>
  <c r="V2373" i="3"/>
  <c r="V2374" i="3"/>
  <c r="V2375" i="3"/>
  <c r="V2376" i="3"/>
  <c r="V2377" i="3"/>
  <c r="V2378" i="3"/>
  <c r="V2379" i="3"/>
  <c r="V2380" i="3"/>
  <c r="V2381" i="3"/>
  <c r="V2382" i="3"/>
  <c r="V2383" i="3"/>
  <c r="V2384" i="3"/>
  <c r="V2385" i="3"/>
  <c r="V2386" i="3"/>
  <c r="V2387" i="3"/>
  <c r="V2388" i="3"/>
  <c r="V2389" i="3"/>
  <c r="V2390" i="3"/>
  <c r="V2391" i="3"/>
  <c r="V2392" i="3"/>
  <c r="V2393" i="3"/>
  <c r="V2394" i="3"/>
  <c r="V2395" i="3"/>
  <c r="V2396" i="3"/>
  <c r="V2397" i="3"/>
  <c r="V2398" i="3"/>
  <c r="V2399" i="3"/>
  <c r="V2400" i="3"/>
  <c r="V2401" i="3"/>
  <c r="V2402" i="3"/>
  <c r="V2403" i="3"/>
  <c r="V2404" i="3"/>
  <c r="V2405" i="3"/>
  <c r="V2406" i="3"/>
  <c r="V2407" i="3"/>
  <c r="V2408" i="3"/>
  <c r="V2409" i="3"/>
  <c r="V2410" i="3"/>
  <c r="V2411" i="3"/>
  <c r="V2412" i="3"/>
  <c r="V2413" i="3"/>
  <c r="V2414" i="3"/>
  <c r="V2415" i="3"/>
  <c r="V2416" i="3"/>
  <c r="V2417" i="3"/>
  <c r="V2418" i="3"/>
  <c r="V2419" i="3"/>
  <c r="V2420" i="3"/>
  <c r="V2421" i="3"/>
  <c r="V2422" i="3"/>
  <c r="V2423" i="3"/>
  <c r="V2424" i="3"/>
  <c r="V2425" i="3"/>
  <c r="V2426" i="3"/>
  <c r="V2427" i="3"/>
  <c r="V2428" i="3"/>
  <c r="V2429" i="3"/>
  <c r="V2430" i="3"/>
  <c r="V2431" i="3"/>
  <c r="V2432" i="3"/>
  <c r="V2433" i="3"/>
  <c r="V2434" i="3"/>
  <c r="V2435" i="3"/>
  <c r="V2436" i="3"/>
  <c r="V2437" i="3"/>
  <c r="V2438" i="3"/>
  <c r="V2439" i="3"/>
  <c r="V2440" i="3"/>
  <c r="V2441" i="3"/>
  <c r="V2442" i="3"/>
  <c r="V2443" i="3"/>
  <c r="V2444" i="3"/>
  <c r="V2445" i="3"/>
  <c r="V2446" i="3"/>
  <c r="V2447" i="3"/>
  <c r="V2448" i="3"/>
  <c r="V2449" i="3"/>
  <c r="V2450" i="3"/>
  <c r="V2451" i="3"/>
  <c r="V2452" i="3"/>
  <c r="V2453" i="3"/>
  <c r="V2454" i="3"/>
  <c r="V2455" i="3"/>
  <c r="V2456" i="3"/>
  <c r="V2457" i="3"/>
  <c r="V2458" i="3"/>
  <c r="V2459" i="3"/>
  <c r="V2460" i="3"/>
  <c r="V2461" i="3"/>
  <c r="V2462" i="3"/>
  <c r="V2463" i="3"/>
  <c r="V2464" i="3"/>
  <c r="V2465" i="3"/>
  <c r="V2466" i="3"/>
  <c r="V2467" i="3"/>
  <c r="V2468" i="3"/>
  <c r="V2469" i="3"/>
  <c r="V2470" i="3"/>
  <c r="V2471" i="3"/>
  <c r="V2472" i="3"/>
  <c r="V2473" i="3"/>
  <c r="V2474" i="3"/>
  <c r="V2475" i="3"/>
  <c r="V2476" i="3"/>
  <c r="V2477" i="3"/>
  <c r="V2478" i="3"/>
  <c r="V2479" i="3"/>
  <c r="V2480" i="3"/>
  <c r="V2481" i="3"/>
  <c r="V2482" i="3"/>
  <c r="V2483" i="3"/>
  <c r="V2484" i="3"/>
  <c r="V2485" i="3"/>
  <c r="V2486" i="3"/>
  <c r="V2487" i="3"/>
  <c r="V2488" i="3"/>
  <c r="V2489" i="3"/>
  <c r="V2490" i="3"/>
  <c r="V2491" i="3"/>
  <c r="V2492" i="3"/>
  <c r="V2493" i="3"/>
  <c r="V2494" i="3"/>
  <c r="V2495" i="3"/>
  <c r="V2496" i="3"/>
  <c r="V2497" i="3"/>
  <c r="V2498" i="3"/>
  <c r="V2499" i="3"/>
  <c r="V2500" i="3"/>
  <c r="V2501" i="3"/>
  <c r="V2502" i="3"/>
  <c r="V2503" i="3"/>
  <c r="V2504" i="3"/>
  <c r="V2505" i="3"/>
  <c r="V2506" i="3"/>
  <c r="V2507" i="3"/>
  <c r="V2508" i="3"/>
  <c r="V2509" i="3"/>
  <c r="V2510" i="3"/>
  <c r="V2511" i="3"/>
  <c r="V2512" i="3"/>
  <c r="V2513" i="3"/>
  <c r="V2514" i="3"/>
  <c r="V2515" i="3"/>
  <c r="V2516" i="3"/>
  <c r="V2517" i="3"/>
  <c r="V2518" i="3"/>
  <c r="V2519" i="3"/>
  <c r="V2520" i="3"/>
  <c r="V2521" i="3"/>
  <c r="V2522" i="3"/>
  <c r="V2523" i="3"/>
  <c r="V2524" i="3"/>
  <c r="V2525" i="3"/>
  <c r="V2526" i="3"/>
  <c r="V2527" i="3"/>
  <c r="V2528" i="3"/>
  <c r="V2529" i="3"/>
  <c r="V2530" i="3"/>
  <c r="V2531" i="3"/>
  <c r="V2532" i="3"/>
  <c r="V2533" i="3"/>
  <c r="V2534" i="3"/>
  <c r="V2535" i="3"/>
  <c r="V2536" i="3"/>
  <c r="V2537" i="3"/>
  <c r="V2538" i="3"/>
  <c r="V2539" i="3"/>
  <c r="V2540" i="3"/>
  <c r="V2541" i="3"/>
  <c r="V2542" i="3"/>
  <c r="V2543" i="3"/>
  <c r="V2544" i="3"/>
  <c r="V2545" i="3"/>
  <c r="V2546" i="3"/>
  <c r="V2547" i="3"/>
  <c r="V2548" i="3"/>
  <c r="V2549" i="3"/>
  <c r="V2550" i="3"/>
  <c r="V2551" i="3"/>
  <c r="V2552" i="3"/>
  <c r="V2553" i="3"/>
  <c r="V2554" i="3"/>
  <c r="V2555" i="3"/>
  <c r="V2556" i="3"/>
  <c r="V2557" i="3"/>
  <c r="V2558" i="3"/>
  <c r="V2559" i="3"/>
  <c r="V2560" i="3"/>
  <c r="V2561" i="3"/>
  <c r="V2562" i="3"/>
  <c r="V2563" i="3"/>
  <c r="V2564" i="3"/>
  <c r="V2565" i="3"/>
  <c r="V2566" i="3"/>
  <c r="V2567" i="3"/>
  <c r="V2568" i="3"/>
  <c r="V2569" i="3"/>
  <c r="V2570" i="3"/>
  <c r="V2571" i="3"/>
  <c r="V2572" i="3"/>
  <c r="V2573" i="3"/>
  <c r="V2574" i="3"/>
  <c r="V2575" i="3"/>
  <c r="V2576" i="3"/>
  <c r="V2577" i="3"/>
  <c r="V2578" i="3"/>
  <c r="V2579" i="3"/>
  <c r="V2580" i="3"/>
  <c r="V2581" i="3"/>
  <c r="V2582" i="3"/>
  <c r="V2583" i="3"/>
  <c r="V2584" i="3"/>
  <c r="V2585" i="3"/>
  <c r="V2586" i="3"/>
  <c r="V2587" i="3"/>
  <c r="V2588" i="3"/>
  <c r="V2589" i="3"/>
  <c r="V2590" i="3"/>
  <c r="V2591" i="3"/>
  <c r="V2592" i="3"/>
  <c r="V2593" i="3"/>
  <c r="V2594" i="3"/>
  <c r="V2595" i="3"/>
  <c r="V2596" i="3"/>
  <c r="V2597" i="3"/>
  <c r="V2598" i="3"/>
  <c r="V2599" i="3"/>
  <c r="V2600" i="3"/>
  <c r="V2601" i="3"/>
  <c r="V2602" i="3"/>
  <c r="V2603" i="3"/>
  <c r="V2604" i="3"/>
  <c r="V2605" i="3"/>
  <c r="V2606" i="3"/>
  <c r="V2607" i="3"/>
  <c r="V2608" i="3"/>
  <c r="V2609" i="3"/>
  <c r="V2610" i="3"/>
  <c r="V2611" i="3"/>
  <c r="V2612" i="3"/>
  <c r="V2613" i="3"/>
  <c r="V2614" i="3"/>
  <c r="V2615" i="3"/>
  <c r="V2616" i="3"/>
  <c r="V2617" i="3"/>
  <c r="V2618" i="3"/>
  <c r="V2619" i="3"/>
  <c r="V2620" i="3"/>
  <c r="V2621" i="3"/>
  <c r="V2622" i="3"/>
  <c r="V2623" i="3"/>
  <c r="V2624" i="3"/>
  <c r="V62" i="3"/>
  <c r="N63" i="3"/>
  <c r="N64" i="3"/>
  <c r="N65" i="3"/>
  <c r="N66" i="3"/>
  <c r="N67" i="3"/>
  <c r="N68" i="3"/>
  <c r="N69" i="3"/>
  <c r="N70" i="3"/>
  <c r="N71" i="3"/>
  <c r="N72" i="3"/>
  <c r="N73" i="3"/>
  <c r="N74" i="3"/>
  <c r="N75" i="3"/>
  <c r="N76" i="3"/>
  <c r="N77" i="3"/>
  <c r="N78" i="3"/>
  <c r="N79" i="3"/>
  <c r="N80" i="3"/>
  <c r="N81" i="3"/>
  <c r="N82" i="3"/>
  <c r="N83" i="3"/>
  <c r="N84" i="3"/>
  <c r="N85" i="3"/>
  <c r="N86" i="3"/>
  <c r="N87" i="3"/>
  <c r="N88" i="3"/>
  <c r="N89" i="3"/>
  <c r="N90" i="3"/>
  <c r="N91" i="3"/>
  <c r="N92" i="3"/>
  <c r="N93" i="3"/>
  <c r="N94" i="3"/>
  <c r="N95" i="3"/>
  <c r="N96" i="3"/>
  <c r="N97" i="3"/>
  <c r="N98" i="3"/>
  <c r="N99" i="3"/>
  <c r="N100" i="3"/>
  <c r="N101" i="3"/>
  <c r="N102" i="3"/>
  <c r="N103" i="3"/>
  <c r="N104" i="3"/>
  <c r="N105" i="3"/>
  <c r="N106" i="3"/>
  <c r="N107" i="3"/>
  <c r="N108" i="3"/>
  <c r="N109" i="3"/>
  <c r="N110" i="3"/>
  <c r="N111" i="3"/>
  <c r="N112" i="3"/>
  <c r="N113" i="3"/>
  <c r="N114" i="3"/>
  <c r="N115" i="3"/>
  <c r="N116" i="3"/>
  <c r="N117" i="3"/>
  <c r="N118" i="3"/>
  <c r="N119" i="3"/>
  <c r="N120" i="3"/>
  <c r="N121" i="3"/>
  <c r="N122" i="3"/>
  <c r="N123" i="3"/>
  <c r="N124" i="3"/>
  <c r="N125" i="3"/>
  <c r="N126" i="3"/>
  <c r="N127" i="3"/>
  <c r="N128" i="3"/>
  <c r="N129" i="3"/>
  <c r="N130" i="3"/>
  <c r="N131" i="3"/>
  <c r="N132" i="3"/>
  <c r="N133" i="3"/>
  <c r="N134" i="3"/>
  <c r="N135" i="3"/>
  <c r="N136" i="3"/>
  <c r="N137" i="3"/>
  <c r="N138" i="3"/>
  <c r="N139" i="3"/>
  <c r="N140" i="3"/>
  <c r="N141" i="3"/>
  <c r="N142" i="3"/>
  <c r="N143" i="3"/>
  <c r="N144" i="3"/>
  <c r="N145" i="3"/>
  <c r="N146" i="3"/>
  <c r="N147" i="3"/>
  <c r="N148" i="3"/>
  <c r="N149" i="3"/>
  <c r="N150" i="3"/>
  <c r="N151" i="3"/>
  <c r="N152" i="3"/>
  <c r="N153" i="3"/>
  <c r="N154" i="3"/>
  <c r="N155" i="3"/>
  <c r="N156" i="3"/>
  <c r="N157" i="3"/>
  <c r="N158" i="3"/>
  <c r="N159" i="3"/>
  <c r="N160" i="3"/>
  <c r="N161" i="3"/>
  <c r="N162" i="3"/>
  <c r="N163" i="3"/>
  <c r="N164" i="3"/>
  <c r="N165" i="3"/>
  <c r="N166" i="3"/>
  <c r="N167" i="3"/>
  <c r="N168" i="3"/>
  <c r="N169" i="3"/>
  <c r="N170" i="3"/>
  <c r="N171" i="3"/>
  <c r="N172" i="3"/>
  <c r="N173" i="3"/>
  <c r="N174" i="3"/>
  <c r="N175" i="3"/>
  <c r="N176" i="3"/>
  <c r="N177" i="3"/>
  <c r="N178" i="3"/>
  <c r="N179" i="3"/>
  <c r="N180" i="3"/>
  <c r="N181" i="3"/>
  <c r="N182" i="3"/>
  <c r="N183" i="3"/>
  <c r="N184" i="3"/>
  <c r="N185" i="3"/>
  <c r="N186" i="3"/>
  <c r="N187" i="3"/>
  <c r="N188" i="3"/>
  <c r="N189" i="3"/>
  <c r="N190" i="3"/>
  <c r="N191" i="3"/>
  <c r="N192" i="3"/>
  <c r="N193" i="3"/>
  <c r="N194" i="3"/>
  <c r="N195" i="3"/>
  <c r="N196" i="3"/>
  <c r="N197" i="3"/>
  <c r="N198" i="3"/>
  <c r="N199" i="3"/>
  <c r="N200" i="3"/>
  <c r="N201" i="3"/>
  <c r="N202" i="3"/>
  <c r="N203" i="3"/>
  <c r="N204" i="3"/>
  <c r="N205" i="3"/>
  <c r="N206" i="3"/>
  <c r="N207" i="3"/>
  <c r="N208" i="3"/>
  <c r="N209" i="3"/>
  <c r="N210" i="3"/>
  <c r="N211" i="3"/>
  <c r="N212" i="3"/>
  <c r="N213" i="3"/>
  <c r="N214" i="3"/>
  <c r="N215" i="3"/>
  <c r="N216" i="3"/>
  <c r="N217" i="3"/>
  <c r="N218" i="3"/>
  <c r="N219" i="3"/>
  <c r="N220" i="3"/>
  <c r="N221" i="3"/>
  <c r="N222" i="3"/>
  <c r="N223" i="3"/>
  <c r="N224" i="3"/>
  <c r="N225" i="3"/>
  <c r="N226" i="3"/>
  <c r="N227" i="3"/>
  <c r="N228" i="3"/>
  <c r="N229" i="3"/>
  <c r="N230" i="3"/>
  <c r="N231" i="3"/>
  <c r="N232" i="3"/>
  <c r="N233" i="3"/>
  <c r="N234" i="3"/>
  <c r="N235" i="3"/>
  <c r="N236" i="3"/>
  <c r="N237" i="3"/>
  <c r="N238" i="3"/>
  <c r="N239" i="3"/>
  <c r="N240" i="3"/>
  <c r="N241" i="3"/>
  <c r="N242" i="3"/>
  <c r="N243" i="3"/>
  <c r="N244" i="3"/>
  <c r="N245" i="3"/>
  <c r="N246" i="3"/>
  <c r="N247" i="3"/>
  <c r="N248" i="3"/>
  <c r="N249" i="3"/>
  <c r="N250" i="3"/>
  <c r="N251" i="3"/>
  <c r="N252" i="3"/>
  <c r="N253" i="3"/>
  <c r="N254" i="3"/>
  <c r="N255" i="3"/>
  <c r="N256" i="3"/>
  <c r="N257" i="3"/>
  <c r="N258" i="3"/>
  <c r="N259" i="3"/>
  <c r="N260" i="3"/>
  <c r="N261" i="3"/>
  <c r="N262" i="3"/>
  <c r="N263" i="3"/>
  <c r="N264" i="3"/>
  <c r="N265" i="3"/>
  <c r="N266" i="3"/>
  <c r="N267" i="3"/>
  <c r="N268" i="3"/>
  <c r="N269" i="3"/>
  <c r="N270" i="3"/>
  <c r="N271" i="3"/>
  <c r="N272" i="3"/>
  <c r="N273" i="3"/>
  <c r="N274" i="3"/>
  <c r="N275" i="3"/>
  <c r="N276" i="3"/>
  <c r="N277" i="3"/>
  <c r="N278" i="3"/>
  <c r="N279" i="3"/>
  <c r="N280" i="3"/>
  <c r="N281" i="3"/>
  <c r="N282" i="3"/>
  <c r="N283" i="3"/>
  <c r="N284" i="3"/>
  <c r="N285" i="3"/>
  <c r="N286" i="3"/>
  <c r="N287" i="3"/>
  <c r="N288" i="3"/>
  <c r="N289" i="3"/>
  <c r="N290" i="3"/>
  <c r="N291" i="3"/>
  <c r="N292" i="3"/>
  <c r="N293" i="3"/>
  <c r="N294" i="3"/>
  <c r="N295" i="3"/>
  <c r="N296" i="3"/>
  <c r="N297" i="3"/>
  <c r="N298" i="3"/>
  <c r="N299" i="3"/>
  <c r="N300" i="3"/>
  <c r="N301" i="3"/>
  <c r="N302" i="3"/>
  <c r="N303" i="3"/>
  <c r="N304" i="3"/>
  <c r="N305" i="3"/>
  <c r="N306" i="3"/>
  <c r="N307" i="3"/>
  <c r="N308" i="3"/>
  <c r="N309" i="3"/>
  <c r="N310" i="3"/>
  <c r="N311" i="3"/>
  <c r="N312" i="3"/>
  <c r="N313" i="3"/>
  <c r="N314" i="3"/>
  <c r="N315" i="3"/>
  <c r="N316" i="3"/>
  <c r="N317" i="3"/>
  <c r="N318" i="3"/>
  <c r="N319" i="3"/>
  <c r="N320" i="3"/>
  <c r="N321" i="3"/>
  <c r="N322" i="3"/>
  <c r="N323" i="3"/>
  <c r="N324" i="3"/>
  <c r="N325" i="3"/>
  <c r="N326" i="3"/>
  <c r="N327" i="3"/>
  <c r="N328" i="3"/>
  <c r="N329" i="3"/>
  <c r="N330" i="3"/>
  <c r="N331" i="3"/>
  <c r="N332" i="3"/>
  <c r="N333" i="3"/>
  <c r="N334" i="3"/>
  <c r="N335" i="3"/>
  <c r="N336" i="3"/>
  <c r="N337" i="3"/>
  <c r="N338" i="3"/>
  <c r="N339" i="3"/>
  <c r="N340" i="3"/>
  <c r="N341" i="3"/>
  <c r="N342" i="3"/>
  <c r="N343" i="3"/>
  <c r="N344" i="3"/>
  <c r="N345" i="3"/>
  <c r="N346" i="3"/>
  <c r="N347" i="3"/>
  <c r="N348" i="3"/>
  <c r="N349" i="3"/>
  <c r="N350" i="3"/>
  <c r="N351" i="3"/>
  <c r="N352" i="3"/>
  <c r="N353" i="3"/>
  <c r="N354" i="3"/>
  <c r="N355" i="3"/>
  <c r="N356" i="3"/>
  <c r="N357" i="3"/>
  <c r="N358" i="3"/>
  <c r="N359" i="3"/>
  <c r="N360" i="3"/>
  <c r="N361" i="3"/>
  <c r="N362" i="3"/>
  <c r="N363" i="3"/>
  <c r="N364" i="3"/>
  <c r="N365" i="3"/>
  <c r="N366" i="3"/>
  <c r="N367" i="3"/>
  <c r="N368" i="3"/>
  <c r="N369" i="3"/>
  <c r="N370" i="3"/>
  <c r="N371" i="3"/>
  <c r="N372" i="3"/>
  <c r="N373" i="3"/>
  <c r="N374" i="3"/>
  <c r="N375" i="3"/>
  <c r="N376" i="3"/>
  <c r="N377" i="3"/>
  <c r="N378" i="3"/>
  <c r="N379" i="3"/>
  <c r="N380" i="3"/>
  <c r="N381" i="3"/>
  <c r="N382" i="3"/>
  <c r="N383" i="3"/>
  <c r="N384" i="3"/>
  <c r="N385" i="3"/>
  <c r="N386" i="3"/>
  <c r="N387" i="3"/>
  <c r="N388" i="3"/>
  <c r="N389" i="3"/>
  <c r="N390" i="3"/>
  <c r="N391" i="3"/>
  <c r="N392" i="3"/>
  <c r="N393" i="3"/>
  <c r="N394" i="3"/>
  <c r="N395" i="3"/>
  <c r="N396" i="3"/>
  <c r="N397" i="3"/>
  <c r="N398" i="3"/>
  <c r="N399" i="3"/>
  <c r="N400" i="3"/>
  <c r="N401" i="3"/>
  <c r="N402" i="3"/>
  <c r="N403" i="3"/>
  <c r="N404" i="3"/>
  <c r="N405" i="3"/>
  <c r="N406" i="3"/>
  <c r="N407" i="3"/>
  <c r="N408" i="3"/>
  <c r="N409" i="3"/>
  <c r="N410" i="3"/>
  <c r="N411" i="3"/>
  <c r="N412" i="3"/>
  <c r="N413" i="3"/>
  <c r="N414" i="3"/>
  <c r="N415" i="3"/>
  <c r="N416" i="3"/>
  <c r="N417" i="3"/>
  <c r="N418" i="3"/>
  <c r="N419" i="3"/>
  <c r="N420" i="3"/>
  <c r="N421" i="3"/>
  <c r="N422" i="3"/>
  <c r="N423" i="3"/>
  <c r="N424" i="3"/>
  <c r="N425" i="3"/>
  <c r="N426" i="3"/>
  <c r="N427" i="3"/>
  <c r="N428" i="3"/>
  <c r="N429" i="3"/>
  <c r="N430" i="3"/>
  <c r="N431" i="3"/>
  <c r="N432" i="3"/>
  <c r="N433" i="3"/>
  <c r="N434" i="3"/>
  <c r="N435" i="3"/>
  <c r="N436" i="3"/>
  <c r="N437" i="3"/>
  <c r="N438" i="3"/>
  <c r="N439" i="3"/>
  <c r="N440" i="3"/>
  <c r="N441" i="3"/>
  <c r="N442" i="3"/>
  <c r="N443" i="3"/>
  <c r="N444" i="3"/>
  <c r="N445" i="3"/>
  <c r="N446" i="3"/>
  <c r="N447" i="3"/>
  <c r="N448" i="3"/>
  <c r="N449" i="3"/>
  <c r="N450" i="3"/>
  <c r="N451" i="3"/>
  <c r="N452" i="3"/>
  <c r="N453" i="3"/>
  <c r="N454" i="3"/>
  <c r="N455" i="3"/>
  <c r="N456" i="3"/>
  <c r="N457" i="3"/>
  <c r="N458" i="3"/>
  <c r="N459" i="3"/>
  <c r="N460" i="3"/>
  <c r="N461" i="3"/>
  <c r="N462" i="3"/>
  <c r="N463" i="3"/>
  <c r="N464" i="3"/>
  <c r="N465" i="3"/>
  <c r="N466" i="3"/>
  <c r="N467" i="3"/>
  <c r="N468" i="3"/>
  <c r="N469" i="3"/>
  <c r="N470" i="3"/>
  <c r="N471" i="3"/>
  <c r="N472" i="3"/>
  <c r="N473" i="3"/>
  <c r="N474" i="3"/>
  <c r="N475" i="3"/>
  <c r="N476" i="3"/>
  <c r="N477" i="3"/>
  <c r="N478" i="3"/>
  <c r="N479" i="3"/>
  <c r="N480" i="3"/>
  <c r="N481" i="3"/>
  <c r="N482" i="3"/>
  <c r="N483" i="3"/>
  <c r="N484" i="3"/>
  <c r="N485" i="3"/>
  <c r="N486" i="3"/>
  <c r="N487" i="3"/>
  <c r="N488" i="3"/>
  <c r="N489" i="3"/>
  <c r="N490" i="3"/>
  <c r="N491" i="3"/>
  <c r="N492" i="3"/>
  <c r="N493" i="3"/>
  <c r="N494" i="3"/>
  <c r="N495" i="3"/>
  <c r="N496" i="3"/>
  <c r="N497" i="3"/>
  <c r="N498" i="3"/>
  <c r="N499" i="3"/>
  <c r="N500" i="3"/>
  <c r="N501" i="3"/>
  <c r="N502" i="3"/>
  <c r="N503" i="3"/>
  <c r="N504" i="3"/>
  <c r="N505" i="3"/>
  <c r="N506" i="3"/>
  <c r="N507" i="3"/>
  <c r="N508" i="3"/>
  <c r="N509" i="3"/>
  <c r="N510" i="3"/>
  <c r="N511" i="3"/>
  <c r="N512" i="3"/>
  <c r="N513" i="3"/>
  <c r="N514" i="3"/>
  <c r="N515" i="3"/>
  <c r="N516" i="3"/>
  <c r="N517" i="3"/>
  <c r="N518" i="3"/>
  <c r="N519" i="3"/>
  <c r="N520" i="3"/>
  <c r="N521" i="3"/>
  <c r="N522" i="3"/>
  <c r="N523" i="3"/>
  <c r="N524" i="3"/>
  <c r="N525" i="3"/>
  <c r="N526" i="3"/>
  <c r="N527" i="3"/>
  <c r="N528" i="3"/>
  <c r="N529" i="3"/>
  <c r="N530" i="3"/>
  <c r="N531" i="3"/>
  <c r="N532" i="3"/>
  <c r="N533" i="3"/>
  <c r="N534" i="3"/>
  <c r="N535" i="3"/>
  <c r="N536" i="3"/>
  <c r="N537" i="3"/>
  <c r="N538" i="3"/>
  <c r="N539" i="3"/>
  <c r="N540" i="3"/>
  <c r="N541" i="3"/>
  <c r="N542" i="3"/>
  <c r="N543" i="3"/>
  <c r="N544" i="3"/>
  <c r="N545" i="3"/>
  <c r="N546" i="3"/>
  <c r="N547" i="3"/>
  <c r="N548" i="3"/>
  <c r="N549" i="3"/>
  <c r="N550" i="3"/>
  <c r="N551" i="3"/>
  <c r="N552" i="3"/>
  <c r="N553" i="3"/>
  <c r="N554" i="3"/>
  <c r="N555" i="3"/>
  <c r="N556" i="3"/>
  <c r="N557" i="3"/>
  <c r="N558" i="3"/>
  <c r="N559" i="3"/>
  <c r="N560" i="3"/>
  <c r="N561" i="3"/>
  <c r="N562" i="3"/>
  <c r="N563" i="3"/>
  <c r="N564" i="3"/>
  <c r="N565" i="3"/>
  <c r="N566" i="3"/>
  <c r="N567" i="3"/>
  <c r="N568" i="3"/>
  <c r="N569" i="3"/>
  <c r="N570" i="3"/>
  <c r="N571" i="3"/>
  <c r="N572" i="3"/>
  <c r="N573" i="3"/>
  <c r="N574" i="3"/>
  <c r="N575" i="3"/>
  <c r="N576" i="3"/>
  <c r="N577" i="3"/>
  <c r="N578" i="3"/>
  <c r="N579" i="3"/>
  <c r="N580" i="3"/>
  <c r="N581" i="3"/>
  <c r="N582" i="3"/>
  <c r="N583" i="3"/>
  <c r="N584" i="3"/>
  <c r="N585" i="3"/>
  <c r="N586" i="3"/>
  <c r="N587" i="3"/>
  <c r="N588" i="3"/>
  <c r="N589" i="3"/>
  <c r="N590" i="3"/>
  <c r="N591" i="3"/>
  <c r="N592" i="3"/>
  <c r="N593" i="3"/>
  <c r="N594" i="3"/>
  <c r="N595" i="3"/>
  <c r="N596" i="3"/>
  <c r="N597" i="3"/>
  <c r="N598" i="3"/>
  <c r="N599" i="3"/>
  <c r="N600" i="3"/>
  <c r="N601" i="3"/>
  <c r="N602" i="3"/>
  <c r="N603" i="3"/>
  <c r="N604" i="3"/>
  <c r="N605" i="3"/>
  <c r="N606" i="3"/>
  <c r="N607" i="3"/>
  <c r="N608" i="3"/>
  <c r="N609" i="3"/>
  <c r="N610" i="3"/>
  <c r="N611" i="3"/>
  <c r="N612" i="3"/>
  <c r="N613" i="3"/>
  <c r="N614" i="3"/>
  <c r="N615" i="3"/>
  <c r="N616" i="3"/>
  <c r="N617" i="3"/>
  <c r="N618" i="3"/>
  <c r="N619" i="3"/>
  <c r="N620" i="3"/>
  <c r="N621" i="3"/>
  <c r="N622" i="3"/>
  <c r="N623" i="3"/>
  <c r="N624" i="3"/>
  <c r="N625" i="3"/>
  <c r="N626" i="3"/>
  <c r="N627" i="3"/>
  <c r="N628" i="3"/>
  <c r="N629" i="3"/>
  <c r="N630" i="3"/>
  <c r="N631" i="3"/>
  <c r="N632" i="3"/>
  <c r="N633" i="3"/>
  <c r="N634" i="3"/>
  <c r="N635" i="3"/>
  <c r="N636" i="3"/>
  <c r="N637" i="3"/>
  <c r="N638" i="3"/>
  <c r="N639" i="3"/>
  <c r="N640" i="3"/>
  <c r="N641" i="3"/>
  <c r="N642" i="3"/>
  <c r="N643" i="3"/>
  <c r="N644" i="3"/>
  <c r="N645" i="3"/>
  <c r="N646" i="3"/>
  <c r="N647" i="3"/>
  <c r="N648" i="3"/>
  <c r="N649" i="3"/>
  <c r="N650" i="3"/>
  <c r="N651" i="3"/>
  <c r="N652" i="3"/>
  <c r="N653" i="3"/>
  <c r="N654" i="3"/>
  <c r="N655" i="3"/>
  <c r="N656" i="3"/>
  <c r="N657" i="3"/>
  <c r="N658" i="3"/>
  <c r="N659" i="3"/>
  <c r="N660" i="3"/>
  <c r="N661" i="3"/>
  <c r="N662" i="3"/>
  <c r="N663" i="3"/>
  <c r="N664" i="3"/>
  <c r="N665" i="3"/>
  <c r="N666" i="3"/>
  <c r="N667" i="3"/>
  <c r="N668" i="3"/>
  <c r="N669" i="3"/>
  <c r="N670" i="3"/>
  <c r="N671" i="3"/>
  <c r="N672" i="3"/>
  <c r="N673" i="3"/>
  <c r="N674" i="3"/>
  <c r="N675" i="3"/>
  <c r="N676" i="3"/>
  <c r="N677" i="3"/>
  <c r="N678" i="3"/>
  <c r="N679" i="3"/>
  <c r="N680" i="3"/>
  <c r="N681" i="3"/>
  <c r="N682" i="3"/>
  <c r="N683" i="3"/>
  <c r="N684" i="3"/>
  <c r="N685" i="3"/>
  <c r="N686" i="3"/>
  <c r="N687" i="3"/>
  <c r="N688" i="3"/>
  <c r="N689" i="3"/>
  <c r="N690" i="3"/>
  <c r="N691" i="3"/>
  <c r="N692" i="3"/>
  <c r="N693" i="3"/>
  <c r="N694" i="3"/>
  <c r="N695" i="3"/>
  <c r="N696" i="3"/>
  <c r="N697" i="3"/>
  <c r="N698" i="3"/>
  <c r="N699" i="3"/>
  <c r="N700" i="3"/>
  <c r="N701" i="3"/>
  <c r="N702" i="3"/>
  <c r="N703" i="3"/>
  <c r="N704" i="3"/>
  <c r="N705" i="3"/>
  <c r="N706" i="3"/>
  <c r="N707" i="3"/>
  <c r="N708" i="3"/>
  <c r="N709" i="3"/>
  <c r="N710" i="3"/>
  <c r="N711" i="3"/>
  <c r="N712" i="3"/>
  <c r="N713" i="3"/>
  <c r="N714" i="3"/>
  <c r="N715" i="3"/>
  <c r="N716" i="3"/>
  <c r="N717" i="3"/>
  <c r="N718" i="3"/>
  <c r="N719" i="3"/>
  <c r="N720" i="3"/>
  <c r="N721" i="3"/>
  <c r="N722" i="3"/>
  <c r="N723" i="3"/>
  <c r="N724" i="3"/>
  <c r="N725" i="3"/>
  <c r="N726" i="3"/>
  <c r="N727" i="3"/>
  <c r="N728" i="3"/>
  <c r="N729" i="3"/>
  <c r="N730" i="3"/>
  <c r="N731" i="3"/>
  <c r="N732" i="3"/>
  <c r="N733" i="3"/>
  <c r="N734" i="3"/>
  <c r="N735" i="3"/>
  <c r="N736" i="3"/>
  <c r="N737" i="3"/>
  <c r="N738" i="3"/>
  <c r="N739" i="3"/>
  <c r="N740" i="3"/>
  <c r="N741" i="3"/>
  <c r="N742" i="3"/>
  <c r="N743" i="3"/>
  <c r="N744" i="3"/>
  <c r="N745" i="3"/>
  <c r="N746" i="3"/>
  <c r="N747" i="3"/>
  <c r="N748" i="3"/>
  <c r="N749" i="3"/>
  <c r="N750" i="3"/>
  <c r="N751" i="3"/>
  <c r="N752" i="3"/>
  <c r="N753" i="3"/>
  <c r="N754" i="3"/>
  <c r="N755" i="3"/>
  <c r="N756" i="3"/>
  <c r="N757" i="3"/>
  <c r="N758" i="3"/>
  <c r="N759" i="3"/>
  <c r="N760" i="3"/>
  <c r="N761" i="3"/>
  <c r="N762" i="3"/>
  <c r="N763" i="3"/>
  <c r="N764" i="3"/>
  <c r="N765" i="3"/>
  <c r="N766" i="3"/>
  <c r="N767" i="3"/>
  <c r="N768" i="3"/>
  <c r="N769" i="3"/>
  <c r="N770" i="3"/>
  <c r="N771" i="3"/>
  <c r="N772" i="3"/>
  <c r="N773" i="3"/>
  <c r="N774" i="3"/>
  <c r="N775" i="3"/>
  <c r="N776" i="3"/>
  <c r="N777" i="3"/>
  <c r="N778" i="3"/>
  <c r="N779" i="3"/>
  <c r="N780" i="3"/>
  <c r="N781" i="3"/>
  <c r="N782" i="3"/>
  <c r="N783" i="3"/>
  <c r="N784" i="3"/>
  <c r="N785" i="3"/>
  <c r="N786" i="3"/>
  <c r="N787" i="3"/>
  <c r="N788" i="3"/>
  <c r="N789" i="3"/>
  <c r="N790" i="3"/>
  <c r="N791" i="3"/>
  <c r="N792" i="3"/>
  <c r="N793" i="3"/>
  <c r="N794" i="3"/>
  <c r="N795" i="3"/>
  <c r="N796" i="3"/>
  <c r="N797" i="3"/>
  <c r="N798" i="3"/>
  <c r="N799" i="3"/>
  <c r="N800" i="3"/>
  <c r="N801" i="3"/>
  <c r="N802" i="3"/>
  <c r="N803" i="3"/>
  <c r="N804" i="3"/>
  <c r="N805" i="3"/>
  <c r="N806" i="3"/>
  <c r="N807" i="3"/>
  <c r="N808" i="3"/>
  <c r="N809" i="3"/>
  <c r="N810" i="3"/>
  <c r="N811" i="3"/>
  <c r="N812" i="3"/>
  <c r="N813" i="3"/>
  <c r="N814" i="3"/>
  <c r="N815" i="3"/>
  <c r="N816" i="3"/>
  <c r="N817" i="3"/>
  <c r="N818" i="3"/>
  <c r="N819" i="3"/>
  <c r="N820" i="3"/>
  <c r="N821" i="3"/>
  <c r="N822" i="3"/>
  <c r="N823" i="3"/>
  <c r="N824" i="3"/>
  <c r="N825" i="3"/>
  <c r="N826" i="3"/>
  <c r="N827" i="3"/>
  <c r="N828" i="3"/>
  <c r="N829" i="3"/>
  <c r="N830" i="3"/>
  <c r="N831" i="3"/>
  <c r="N832" i="3"/>
  <c r="N833" i="3"/>
  <c r="N834" i="3"/>
  <c r="N835" i="3"/>
  <c r="N836" i="3"/>
  <c r="N837" i="3"/>
  <c r="N838" i="3"/>
  <c r="N839" i="3"/>
  <c r="N840" i="3"/>
  <c r="N841" i="3"/>
  <c r="N842" i="3"/>
  <c r="N843" i="3"/>
  <c r="N844" i="3"/>
  <c r="N845" i="3"/>
  <c r="N846" i="3"/>
  <c r="N847" i="3"/>
  <c r="N848" i="3"/>
  <c r="N849" i="3"/>
  <c r="N850" i="3"/>
  <c r="N851" i="3"/>
  <c r="N852" i="3"/>
  <c r="N853" i="3"/>
  <c r="N854" i="3"/>
  <c r="N855" i="3"/>
  <c r="N856" i="3"/>
  <c r="N857" i="3"/>
  <c r="N858" i="3"/>
  <c r="N859" i="3"/>
  <c r="N860" i="3"/>
  <c r="N861" i="3"/>
  <c r="N862" i="3"/>
  <c r="N863" i="3"/>
  <c r="N864" i="3"/>
  <c r="N865" i="3"/>
  <c r="N866" i="3"/>
  <c r="N867" i="3"/>
  <c r="N868" i="3"/>
  <c r="N869" i="3"/>
  <c r="N870" i="3"/>
  <c r="N871" i="3"/>
  <c r="N872" i="3"/>
  <c r="N873" i="3"/>
  <c r="N874" i="3"/>
  <c r="N875" i="3"/>
  <c r="N876" i="3"/>
  <c r="N877" i="3"/>
  <c r="N878" i="3"/>
  <c r="N879" i="3"/>
  <c r="N880" i="3"/>
  <c r="N881" i="3"/>
  <c r="N882" i="3"/>
  <c r="N883" i="3"/>
  <c r="N884" i="3"/>
  <c r="N885" i="3"/>
  <c r="N886" i="3"/>
  <c r="N887" i="3"/>
  <c r="N888" i="3"/>
  <c r="N889" i="3"/>
  <c r="N890" i="3"/>
  <c r="N891" i="3"/>
  <c r="N892" i="3"/>
  <c r="N893" i="3"/>
  <c r="N894" i="3"/>
  <c r="N895" i="3"/>
  <c r="N896" i="3"/>
  <c r="N897" i="3"/>
  <c r="N898" i="3"/>
  <c r="N899" i="3"/>
  <c r="N900" i="3"/>
  <c r="N901" i="3"/>
  <c r="N902" i="3"/>
  <c r="N903" i="3"/>
  <c r="N904" i="3"/>
  <c r="N905" i="3"/>
  <c r="N906" i="3"/>
  <c r="N907" i="3"/>
  <c r="N908" i="3"/>
  <c r="N909" i="3"/>
  <c r="N910" i="3"/>
  <c r="N911" i="3"/>
  <c r="N912" i="3"/>
  <c r="N913" i="3"/>
  <c r="N914" i="3"/>
  <c r="N915" i="3"/>
  <c r="N916" i="3"/>
  <c r="N917" i="3"/>
  <c r="N918" i="3"/>
  <c r="N919" i="3"/>
  <c r="N920" i="3"/>
  <c r="N921" i="3"/>
  <c r="N922" i="3"/>
  <c r="N923" i="3"/>
  <c r="N924" i="3"/>
  <c r="N925" i="3"/>
  <c r="N926" i="3"/>
  <c r="N927" i="3"/>
  <c r="N928" i="3"/>
  <c r="N929" i="3"/>
  <c r="N930" i="3"/>
  <c r="N931" i="3"/>
  <c r="N932" i="3"/>
  <c r="N933" i="3"/>
  <c r="N934" i="3"/>
  <c r="N935" i="3"/>
  <c r="N936" i="3"/>
  <c r="N937" i="3"/>
  <c r="N938" i="3"/>
  <c r="N939" i="3"/>
  <c r="N940" i="3"/>
  <c r="N941" i="3"/>
  <c r="N942" i="3"/>
  <c r="N943" i="3"/>
  <c r="N944" i="3"/>
  <c r="N945" i="3"/>
  <c r="N946" i="3"/>
  <c r="N947" i="3"/>
  <c r="N948" i="3"/>
  <c r="N949" i="3"/>
  <c r="N950" i="3"/>
  <c r="N951" i="3"/>
  <c r="N952" i="3"/>
  <c r="N953" i="3"/>
  <c r="N954" i="3"/>
  <c r="N955" i="3"/>
  <c r="N956" i="3"/>
  <c r="N957" i="3"/>
  <c r="N958" i="3"/>
  <c r="N959" i="3"/>
  <c r="N960" i="3"/>
  <c r="N961" i="3"/>
  <c r="N962" i="3"/>
  <c r="N963" i="3"/>
  <c r="N964" i="3"/>
  <c r="N965" i="3"/>
  <c r="N966" i="3"/>
  <c r="N967" i="3"/>
  <c r="N968" i="3"/>
  <c r="N969" i="3"/>
  <c r="N970" i="3"/>
  <c r="N971" i="3"/>
  <c r="N972" i="3"/>
  <c r="N973" i="3"/>
  <c r="N974" i="3"/>
  <c r="N975" i="3"/>
  <c r="N976" i="3"/>
  <c r="N977" i="3"/>
  <c r="N978" i="3"/>
  <c r="N979" i="3"/>
  <c r="N980" i="3"/>
  <c r="N981" i="3"/>
  <c r="N982" i="3"/>
  <c r="N983" i="3"/>
  <c r="N984" i="3"/>
  <c r="N985" i="3"/>
  <c r="N986" i="3"/>
  <c r="N987" i="3"/>
  <c r="N988" i="3"/>
  <c r="N989" i="3"/>
  <c r="N990" i="3"/>
  <c r="N991" i="3"/>
  <c r="N992" i="3"/>
  <c r="N993" i="3"/>
  <c r="N994" i="3"/>
  <c r="N995" i="3"/>
  <c r="N996" i="3"/>
  <c r="N997" i="3"/>
  <c r="N998" i="3"/>
  <c r="N999" i="3"/>
  <c r="N1000" i="3"/>
  <c r="N1001" i="3"/>
  <c r="N1002" i="3"/>
  <c r="N1003" i="3"/>
  <c r="N1004" i="3"/>
  <c r="N1005" i="3"/>
  <c r="N1006" i="3"/>
  <c r="N1007" i="3"/>
  <c r="N1008" i="3"/>
  <c r="N1009" i="3"/>
  <c r="N1010" i="3"/>
  <c r="N1011" i="3"/>
  <c r="N1012" i="3"/>
  <c r="N1013" i="3"/>
  <c r="N1014" i="3"/>
  <c r="N1015" i="3"/>
  <c r="N1016" i="3"/>
  <c r="N1017" i="3"/>
  <c r="N1018" i="3"/>
  <c r="N1019" i="3"/>
  <c r="N1020" i="3"/>
  <c r="N1021" i="3"/>
  <c r="N1022" i="3"/>
  <c r="N1023" i="3"/>
  <c r="N1024" i="3"/>
  <c r="N1025" i="3"/>
  <c r="N1026" i="3"/>
  <c r="N1027" i="3"/>
  <c r="N1028" i="3"/>
  <c r="N1029" i="3"/>
  <c r="N1030" i="3"/>
  <c r="N1031" i="3"/>
  <c r="N1032" i="3"/>
  <c r="N1033" i="3"/>
  <c r="N1034" i="3"/>
  <c r="N1035" i="3"/>
  <c r="N1036" i="3"/>
  <c r="N1037" i="3"/>
  <c r="N1038" i="3"/>
  <c r="N1039" i="3"/>
  <c r="N1040" i="3"/>
  <c r="N1041" i="3"/>
  <c r="N1042" i="3"/>
  <c r="N1043" i="3"/>
  <c r="N1044" i="3"/>
  <c r="N1045" i="3"/>
  <c r="N1046" i="3"/>
  <c r="N1047" i="3"/>
  <c r="N1048" i="3"/>
  <c r="N1049" i="3"/>
  <c r="N1050" i="3"/>
  <c r="N1051" i="3"/>
  <c r="N1052" i="3"/>
  <c r="N1053" i="3"/>
  <c r="N1054" i="3"/>
  <c r="N1055" i="3"/>
  <c r="N1056" i="3"/>
  <c r="N1057" i="3"/>
  <c r="N1058" i="3"/>
  <c r="N1059" i="3"/>
  <c r="N1060" i="3"/>
  <c r="N1061" i="3"/>
  <c r="N1062" i="3"/>
  <c r="N1063" i="3"/>
  <c r="N1064" i="3"/>
  <c r="N1065" i="3"/>
  <c r="N1066" i="3"/>
  <c r="N1067" i="3"/>
  <c r="N1068" i="3"/>
  <c r="N1069" i="3"/>
  <c r="N1070" i="3"/>
  <c r="N1071" i="3"/>
  <c r="N1072" i="3"/>
  <c r="N1073" i="3"/>
  <c r="N1074" i="3"/>
  <c r="N1075" i="3"/>
  <c r="N1076" i="3"/>
  <c r="N1077" i="3"/>
  <c r="N1078" i="3"/>
  <c r="N1079" i="3"/>
  <c r="N1080" i="3"/>
  <c r="N1081" i="3"/>
  <c r="N1082" i="3"/>
  <c r="N1083" i="3"/>
  <c r="N1084" i="3"/>
  <c r="N1085" i="3"/>
  <c r="N1086" i="3"/>
  <c r="N1087" i="3"/>
  <c r="N1088" i="3"/>
  <c r="N1089" i="3"/>
  <c r="N1090" i="3"/>
  <c r="N1091" i="3"/>
  <c r="N1092" i="3"/>
  <c r="N1093" i="3"/>
  <c r="N1094" i="3"/>
  <c r="N1095" i="3"/>
  <c r="N1096" i="3"/>
  <c r="N1097" i="3"/>
  <c r="N1098" i="3"/>
  <c r="N1099" i="3"/>
  <c r="N1100" i="3"/>
  <c r="N1101" i="3"/>
  <c r="N1102" i="3"/>
  <c r="N1103" i="3"/>
  <c r="N1104" i="3"/>
  <c r="N1105" i="3"/>
  <c r="N1106" i="3"/>
  <c r="N1107" i="3"/>
  <c r="N1108" i="3"/>
  <c r="N1109" i="3"/>
  <c r="N1110" i="3"/>
  <c r="N1111" i="3"/>
  <c r="N1112" i="3"/>
  <c r="N1113" i="3"/>
  <c r="N1114" i="3"/>
  <c r="N1115" i="3"/>
  <c r="N1116" i="3"/>
  <c r="N1117" i="3"/>
  <c r="N1118" i="3"/>
  <c r="N1119" i="3"/>
  <c r="N1120" i="3"/>
  <c r="N1121" i="3"/>
  <c r="N1122" i="3"/>
  <c r="N1123" i="3"/>
  <c r="N1124" i="3"/>
  <c r="N1125" i="3"/>
  <c r="N1126" i="3"/>
  <c r="N1127" i="3"/>
  <c r="N1128" i="3"/>
  <c r="N1129" i="3"/>
  <c r="N1130" i="3"/>
  <c r="N1131" i="3"/>
  <c r="N1132" i="3"/>
  <c r="N1133" i="3"/>
  <c r="N1134" i="3"/>
  <c r="N1135" i="3"/>
  <c r="N1136" i="3"/>
  <c r="N1137" i="3"/>
  <c r="N1138" i="3"/>
  <c r="N1139" i="3"/>
  <c r="N1140" i="3"/>
  <c r="N1141" i="3"/>
  <c r="N1142" i="3"/>
  <c r="N1143" i="3"/>
  <c r="N1144" i="3"/>
  <c r="N1145" i="3"/>
  <c r="N1146" i="3"/>
  <c r="N1147" i="3"/>
  <c r="N1148" i="3"/>
  <c r="N1149" i="3"/>
  <c r="N1150" i="3"/>
  <c r="N1151" i="3"/>
  <c r="N1152" i="3"/>
  <c r="N1153" i="3"/>
  <c r="N1154" i="3"/>
  <c r="N1155" i="3"/>
  <c r="N1156" i="3"/>
  <c r="N1157" i="3"/>
  <c r="N1158" i="3"/>
  <c r="N1159" i="3"/>
  <c r="N1160" i="3"/>
  <c r="N1161" i="3"/>
  <c r="N1162" i="3"/>
  <c r="N1163" i="3"/>
  <c r="N1164" i="3"/>
  <c r="N1165" i="3"/>
  <c r="N1166" i="3"/>
  <c r="N1167" i="3"/>
  <c r="N1168" i="3"/>
  <c r="N1169" i="3"/>
  <c r="N1170" i="3"/>
  <c r="N1171" i="3"/>
  <c r="N1172" i="3"/>
  <c r="N1173" i="3"/>
  <c r="N1174" i="3"/>
  <c r="N1175" i="3"/>
  <c r="N1176" i="3"/>
  <c r="N1177" i="3"/>
  <c r="N1178" i="3"/>
  <c r="N1179" i="3"/>
  <c r="N1180" i="3"/>
  <c r="N1181" i="3"/>
  <c r="N1182" i="3"/>
  <c r="N1183" i="3"/>
  <c r="N1184" i="3"/>
  <c r="N1185" i="3"/>
  <c r="N1186" i="3"/>
  <c r="N1187" i="3"/>
  <c r="N1188" i="3"/>
  <c r="N1189" i="3"/>
  <c r="N1190" i="3"/>
  <c r="N1191" i="3"/>
  <c r="N1192" i="3"/>
  <c r="N1193" i="3"/>
  <c r="N1194" i="3"/>
  <c r="N1195" i="3"/>
  <c r="N1196" i="3"/>
  <c r="N1197" i="3"/>
  <c r="N1198" i="3"/>
  <c r="N1199" i="3"/>
  <c r="N1200" i="3"/>
  <c r="N1201" i="3"/>
  <c r="N1202" i="3"/>
  <c r="N1203" i="3"/>
  <c r="N1204" i="3"/>
  <c r="N1205" i="3"/>
  <c r="N1206" i="3"/>
  <c r="N1207" i="3"/>
  <c r="N1208" i="3"/>
  <c r="N1209" i="3"/>
  <c r="N1210" i="3"/>
  <c r="N1211" i="3"/>
  <c r="N1212" i="3"/>
  <c r="N1213" i="3"/>
  <c r="N1214" i="3"/>
  <c r="N1215" i="3"/>
  <c r="N1216" i="3"/>
  <c r="N1217" i="3"/>
  <c r="N1218" i="3"/>
  <c r="N1219" i="3"/>
  <c r="N1220" i="3"/>
  <c r="N1221" i="3"/>
  <c r="N1222" i="3"/>
  <c r="N1223" i="3"/>
  <c r="N1224" i="3"/>
  <c r="N1225" i="3"/>
  <c r="N1226" i="3"/>
  <c r="N1227" i="3"/>
  <c r="N1228" i="3"/>
  <c r="N1229" i="3"/>
  <c r="N1230" i="3"/>
  <c r="N1231" i="3"/>
  <c r="N1232" i="3"/>
  <c r="N1233" i="3"/>
  <c r="N1234" i="3"/>
  <c r="N1235" i="3"/>
  <c r="N1236" i="3"/>
  <c r="N1237" i="3"/>
  <c r="N1238" i="3"/>
  <c r="N1239" i="3"/>
  <c r="N1240" i="3"/>
  <c r="N1241" i="3"/>
  <c r="N1242" i="3"/>
  <c r="N1243" i="3"/>
  <c r="N1244" i="3"/>
  <c r="N1245" i="3"/>
  <c r="N1246" i="3"/>
  <c r="N1247" i="3"/>
  <c r="N1248" i="3"/>
  <c r="N1249" i="3"/>
  <c r="N1250" i="3"/>
  <c r="N1251" i="3"/>
  <c r="N1252" i="3"/>
  <c r="N1253" i="3"/>
  <c r="N1254" i="3"/>
  <c r="N1255" i="3"/>
  <c r="N1256" i="3"/>
  <c r="N1257" i="3"/>
  <c r="N1258" i="3"/>
  <c r="N1259" i="3"/>
  <c r="N1260" i="3"/>
  <c r="N1261" i="3"/>
  <c r="N1262" i="3"/>
  <c r="N1263" i="3"/>
  <c r="N1264" i="3"/>
  <c r="N1265" i="3"/>
  <c r="N1266" i="3"/>
  <c r="N1267" i="3"/>
  <c r="N1268" i="3"/>
  <c r="N1269" i="3"/>
  <c r="N1270" i="3"/>
  <c r="N1271" i="3"/>
  <c r="N1272" i="3"/>
  <c r="N1273" i="3"/>
  <c r="N1274" i="3"/>
  <c r="N1275" i="3"/>
  <c r="N1276" i="3"/>
  <c r="N1277" i="3"/>
  <c r="N1278" i="3"/>
  <c r="N1279" i="3"/>
  <c r="N1280" i="3"/>
  <c r="N1281" i="3"/>
  <c r="N1282" i="3"/>
  <c r="N1283" i="3"/>
  <c r="N1284" i="3"/>
  <c r="N1285" i="3"/>
  <c r="N1286" i="3"/>
  <c r="N1287" i="3"/>
  <c r="N1288" i="3"/>
  <c r="N1289" i="3"/>
  <c r="N1290" i="3"/>
  <c r="N1291" i="3"/>
  <c r="N1292" i="3"/>
  <c r="N1293" i="3"/>
  <c r="N1294" i="3"/>
  <c r="N1295" i="3"/>
  <c r="N1296" i="3"/>
  <c r="N1297" i="3"/>
  <c r="N1298" i="3"/>
  <c r="N1299" i="3"/>
  <c r="N1300" i="3"/>
  <c r="N1301" i="3"/>
  <c r="N1302" i="3"/>
  <c r="N1303" i="3"/>
  <c r="N1304" i="3"/>
  <c r="N1305" i="3"/>
  <c r="N1306" i="3"/>
  <c r="N1307" i="3"/>
  <c r="N1308" i="3"/>
  <c r="N1309" i="3"/>
  <c r="N1310" i="3"/>
  <c r="N1311" i="3"/>
  <c r="N1312" i="3"/>
  <c r="N1313" i="3"/>
  <c r="N1314" i="3"/>
  <c r="N1315" i="3"/>
  <c r="N1316" i="3"/>
  <c r="N1317" i="3"/>
  <c r="N1318" i="3"/>
  <c r="N1319" i="3"/>
  <c r="N1320" i="3"/>
  <c r="N1321" i="3"/>
  <c r="N1322" i="3"/>
  <c r="N1323" i="3"/>
  <c r="N1324" i="3"/>
  <c r="N1325" i="3"/>
  <c r="N1326" i="3"/>
  <c r="N1327" i="3"/>
  <c r="N1328" i="3"/>
  <c r="N1329" i="3"/>
  <c r="N1330" i="3"/>
  <c r="N1331" i="3"/>
  <c r="N1332" i="3"/>
  <c r="N1333" i="3"/>
  <c r="N1334" i="3"/>
  <c r="N1335" i="3"/>
  <c r="N1336" i="3"/>
  <c r="N1337" i="3"/>
  <c r="N1338" i="3"/>
  <c r="N1339" i="3"/>
  <c r="N1340" i="3"/>
  <c r="N1341" i="3"/>
  <c r="N1342" i="3"/>
  <c r="N1343" i="3"/>
  <c r="N1344" i="3"/>
  <c r="N1345" i="3"/>
  <c r="N1346" i="3"/>
  <c r="N1347" i="3"/>
  <c r="N1348" i="3"/>
  <c r="N1349" i="3"/>
  <c r="N1350" i="3"/>
  <c r="N1351" i="3"/>
  <c r="N1352" i="3"/>
  <c r="N1353" i="3"/>
  <c r="N1354" i="3"/>
  <c r="N1355" i="3"/>
  <c r="N1356" i="3"/>
  <c r="N1357" i="3"/>
  <c r="N1358" i="3"/>
  <c r="N1359" i="3"/>
  <c r="N1360" i="3"/>
  <c r="N1361" i="3"/>
  <c r="N1362" i="3"/>
  <c r="N1363" i="3"/>
  <c r="N1364" i="3"/>
  <c r="N1365" i="3"/>
  <c r="N1366" i="3"/>
  <c r="N1367" i="3"/>
  <c r="N1368" i="3"/>
  <c r="N1369" i="3"/>
  <c r="N1370" i="3"/>
  <c r="N1371" i="3"/>
  <c r="N1372" i="3"/>
  <c r="N1373" i="3"/>
  <c r="N1374" i="3"/>
  <c r="N1375" i="3"/>
  <c r="N1376" i="3"/>
  <c r="N1377" i="3"/>
  <c r="N1378" i="3"/>
  <c r="N1379" i="3"/>
  <c r="N1380" i="3"/>
  <c r="N1381" i="3"/>
  <c r="N1382" i="3"/>
  <c r="N1383" i="3"/>
  <c r="N1384" i="3"/>
  <c r="N1385" i="3"/>
  <c r="N1386" i="3"/>
  <c r="N1387" i="3"/>
  <c r="N1388" i="3"/>
  <c r="N1389" i="3"/>
  <c r="N1390" i="3"/>
  <c r="N1391" i="3"/>
  <c r="N1392" i="3"/>
  <c r="N1393" i="3"/>
  <c r="N1394" i="3"/>
  <c r="N1395" i="3"/>
  <c r="N1396" i="3"/>
  <c r="N1397" i="3"/>
  <c r="N1398" i="3"/>
  <c r="N1399" i="3"/>
  <c r="N1400" i="3"/>
  <c r="N1401" i="3"/>
  <c r="N1402" i="3"/>
  <c r="N1403" i="3"/>
  <c r="N1404" i="3"/>
  <c r="N1405" i="3"/>
  <c r="N1406" i="3"/>
  <c r="N1407" i="3"/>
  <c r="N1408" i="3"/>
  <c r="N1409" i="3"/>
  <c r="N1410" i="3"/>
  <c r="N1411" i="3"/>
  <c r="N1412" i="3"/>
  <c r="N1413" i="3"/>
  <c r="N1414" i="3"/>
  <c r="N1415" i="3"/>
  <c r="N1416" i="3"/>
  <c r="N1417" i="3"/>
  <c r="N1418" i="3"/>
  <c r="N1419" i="3"/>
  <c r="N1420" i="3"/>
  <c r="N1421" i="3"/>
  <c r="N1422" i="3"/>
  <c r="N1423" i="3"/>
  <c r="N1424" i="3"/>
  <c r="N1425" i="3"/>
  <c r="N1426" i="3"/>
  <c r="N1427" i="3"/>
  <c r="N1428" i="3"/>
  <c r="N1429" i="3"/>
  <c r="N1430" i="3"/>
  <c r="N1431" i="3"/>
  <c r="N1432" i="3"/>
  <c r="N1433" i="3"/>
  <c r="N1434" i="3"/>
  <c r="N1435" i="3"/>
  <c r="N1436" i="3"/>
  <c r="N1437" i="3"/>
  <c r="N1438" i="3"/>
  <c r="N1439" i="3"/>
  <c r="N1440" i="3"/>
  <c r="N1441" i="3"/>
  <c r="N1442" i="3"/>
  <c r="N1443" i="3"/>
  <c r="N1444" i="3"/>
  <c r="N1445" i="3"/>
  <c r="N1446" i="3"/>
  <c r="N1447" i="3"/>
  <c r="N1448" i="3"/>
  <c r="N1449" i="3"/>
  <c r="N1450" i="3"/>
  <c r="N1451" i="3"/>
  <c r="N1452" i="3"/>
  <c r="N1453" i="3"/>
  <c r="N1454" i="3"/>
  <c r="N1455" i="3"/>
  <c r="N1456" i="3"/>
  <c r="N1457" i="3"/>
  <c r="N1458" i="3"/>
  <c r="N1459" i="3"/>
  <c r="N1460" i="3"/>
  <c r="N1461" i="3"/>
  <c r="N1462" i="3"/>
  <c r="N1463" i="3"/>
  <c r="N1464" i="3"/>
  <c r="N1465" i="3"/>
  <c r="N1466" i="3"/>
  <c r="N1467" i="3"/>
  <c r="N1468" i="3"/>
  <c r="N1469" i="3"/>
  <c r="N1470" i="3"/>
  <c r="N1471" i="3"/>
  <c r="N1472" i="3"/>
  <c r="N1473" i="3"/>
  <c r="N1474" i="3"/>
  <c r="N1475" i="3"/>
  <c r="N1476" i="3"/>
  <c r="N1477" i="3"/>
  <c r="N1478" i="3"/>
  <c r="N1479" i="3"/>
  <c r="N1480" i="3"/>
  <c r="N1481" i="3"/>
  <c r="N1482" i="3"/>
  <c r="N1483" i="3"/>
  <c r="N1484" i="3"/>
  <c r="N1485" i="3"/>
  <c r="N1486" i="3"/>
  <c r="N1487" i="3"/>
  <c r="N1488" i="3"/>
  <c r="N1489" i="3"/>
  <c r="N1490" i="3"/>
  <c r="N1491" i="3"/>
  <c r="N1492" i="3"/>
  <c r="N1493" i="3"/>
  <c r="N1494" i="3"/>
  <c r="N1495" i="3"/>
  <c r="N1496" i="3"/>
  <c r="N1497" i="3"/>
  <c r="N1498" i="3"/>
  <c r="N1499" i="3"/>
  <c r="N1500" i="3"/>
  <c r="N1501" i="3"/>
  <c r="N1502" i="3"/>
  <c r="N1503" i="3"/>
  <c r="N1504" i="3"/>
  <c r="N1505" i="3"/>
  <c r="N1506" i="3"/>
  <c r="N1507" i="3"/>
  <c r="N1508" i="3"/>
  <c r="N1509" i="3"/>
  <c r="N1510" i="3"/>
  <c r="N1511" i="3"/>
  <c r="N1512" i="3"/>
  <c r="N1513" i="3"/>
  <c r="N1514" i="3"/>
  <c r="N1515" i="3"/>
  <c r="N1516" i="3"/>
  <c r="N1517" i="3"/>
  <c r="N1518" i="3"/>
  <c r="N1519" i="3"/>
  <c r="N1520" i="3"/>
  <c r="N1521" i="3"/>
  <c r="N1522" i="3"/>
  <c r="N1523" i="3"/>
  <c r="N1524" i="3"/>
  <c r="N1525" i="3"/>
  <c r="N1526" i="3"/>
  <c r="N1527" i="3"/>
  <c r="N1528" i="3"/>
  <c r="N1529" i="3"/>
  <c r="N1530" i="3"/>
  <c r="N1531" i="3"/>
  <c r="N1532" i="3"/>
  <c r="N1533" i="3"/>
  <c r="N1534" i="3"/>
  <c r="N1535" i="3"/>
  <c r="N1536" i="3"/>
  <c r="N1537" i="3"/>
  <c r="N1538" i="3"/>
  <c r="N1539" i="3"/>
  <c r="N1540" i="3"/>
  <c r="N1541" i="3"/>
  <c r="N1542" i="3"/>
  <c r="N1543" i="3"/>
  <c r="N1544" i="3"/>
  <c r="N1545" i="3"/>
  <c r="N1546" i="3"/>
  <c r="N1547" i="3"/>
  <c r="N1548" i="3"/>
  <c r="N1549" i="3"/>
  <c r="N1550" i="3"/>
  <c r="N1551" i="3"/>
  <c r="N1552" i="3"/>
  <c r="N1553" i="3"/>
  <c r="N1554" i="3"/>
  <c r="N1555" i="3"/>
  <c r="N1556" i="3"/>
  <c r="N1557" i="3"/>
  <c r="N1558" i="3"/>
  <c r="N1559" i="3"/>
  <c r="N1560" i="3"/>
  <c r="N1561" i="3"/>
  <c r="N1562" i="3"/>
  <c r="N1563" i="3"/>
  <c r="N1564" i="3"/>
  <c r="N1565" i="3"/>
  <c r="N1566" i="3"/>
  <c r="N1567" i="3"/>
  <c r="N1568" i="3"/>
  <c r="N1569" i="3"/>
  <c r="N1570" i="3"/>
  <c r="N1571" i="3"/>
  <c r="N1572" i="3"/>
  <c r="N1573" i="3"/>
  <c r="N1574" i="3"/>
  <c r="N1575" i="3"/>
  <c r="N1576" i="3"/>
  <c r="N1577" i="3"/>
  <c r="N1578" i="3"/>
  <c r="N1579" i="3"/>
  <c r="N1580" i="3"/>
  <c r="N1581" i="3"/>
  <c r="N1582" i="3"/>
  <c r="N1583" i="3"/>
  <c r="N1584" i="3"/>
  <c r="N1585" i="3"/>
  <c r="N1586" i="3"/>
  <c r="N1587" i="3"/>
  <c r="N1588" i="3"/>
  <c r="N1589" i="3"/>
  <c r="N1590" i="3"/>
  <c r="N1591" i="3"/>
  <c r="N1592" i="3"/>
  <c r="N1593" i="3"/>
  <c r="N1594" i="3"/>
  <c r="N1595" i="3"/>
  <c r="N1596" i="3"/>
  <c r="N1597" i="3"/>
  <c r="N1598" i="3"/>
  <c r="N1599" i="3"/>
  <c r="N1600" i="3"/>
  <c r="N1601" i="3"/>
  <c r="N1602" i="3"/>
  <c r="N1603" i="3"/>
  <c r="N1604" i="3"/>
  <c r="N1605" i="3"/>
  <c r="N1606" i="3"/>
  <c r="N1607" i="3"/>
  <c r="N1608" i="3"/>
  <c r="N1609" i="3"/>
  <c r="N1610" i="3"/>
  <c r="N1611" i="3"/>
  <c r="N1612" i="3"/>
  <c r="N1613" i="3"/>
  <c r="N1614" i="3"/>
  <c r="N1615" i="3"/>
  <c r="N1616" i="3"/>
  <c r="N1617" i="3"/>
  <c r="N1618" i="3"/>
  <c r="N1619" i="3"/>
  <c r="N1620" i="3"/>
  <c r="N1621" i="3"/>
  <c r="N1622" i="3"/>
  <c r="N1623" i="3"/>
  <c r="N1624" i="3"/>
  <c r="N1625" i="3"/>
  <c r="N1626" i="3"/>
  <c r="N1627" i="3"/>
  <c r="N1628" i="3"/>
  <c r="N1629" i="3"/>
  <c r="N1630" i="3"/>
  <c r="N1631" i="3"/>
  <c r="N1632" i="3"/>
  <c r="N1633" i="3"/>
  <c r="N1634" i="3"/>
  <c r="N1635" i="3"/>
  <c r="N1636" i="3"/>
  <c r="N1637" i="3"/>
  <c r="N1638" i="3"/>
  <c r="N1639" i="3"/>
  <c r="N1640" i="3"/>
  <c r="N1641" i="3"/>
  <c r="N1642" i="3"/>
  <c r="N1643" i="3"/>
  <c r="N1644" i="3"/>
  <c r="N1645" i="3"/>
  <c r="N1646" i="3"/>
  <c r="N1647" i="3"/>
  <c r="N1648" i="3"/>
  <c r="N1649" i="3"/>
  <c r="N1650" i="3"/>
  <c r="N1651" i="3"/>
  <c r="N1652" i="3"/>
  <c r="N1653" i="3"/>
  <c r="N1654" i="3"/>
  <c r="N1655" i="3"/>
  <c r="N1656" i="3"/>
  <c r="N1657" i="3"/>
  <c r="N1658" i="3"/>
  <c r="N1659" i="3"/>
  <c r="N1660" i="3"/>
  <c r="N1661" i="3"/>
  <c r="N1662" i="3"/>
  <c r="N1663" i="3"/>
  <c r="N1664" i="3"/>
  <c r="N1665" i="3"/>
  <c r="N1666" i="3"/>
  <c r="N1667" i="3"/>
  <c r="N1668" i="3"/>
  <c r="N1669" i="3"/>
  <c r="N1670" i="3"/>
  <c r="N1671" i="3"/>
  <c r="N1672" i="3"/>
  <c r="N1673" i="3"/>
  <c r="N1674" i="3"/>
  <c r="N1675" i="3"/>
  <c r="N1676" i="3"/>
  <c r="N1677" i="3"/>
  <c r="N1678" i="3"/>
  <c r="N1679" i="3"/>
  <c r="N1680" i="3"/>
  <c r="N1681" i="3"/>
  <c r="N1682" i="3"/>
  <c r="N1683" i="3"/>
  <c r="N1684" i="3"/>
  <c r="N1685" i="3"/>
  <c r="N1686" i="3"/>
  <c r="N1687" i="3"/>
  <c r="N1688" i="3"/>
  <c r="N1689" i="3"/>
  <c r="N1690" i="3"/>
  <c r="N1691" i="3"/>
  <c r="N1692" i="3"/>
  <c r="N1693" i="3"/>
  <c r="N1694" i="3"/>
  <c r="N1695" i="3"/>
  <c r="N1696" i="3"/>
  <c r="N1697" i="3"/>
  <c r="N1698" i="3"/>
  <c r="N1699" i="3"/>
  <c r="N1700" i="3"/>
  <c r="N1701" i="3"/>
  <c r="N1702" i="3"/>
  <c r="N1703" i="3"/>
  <c r="N1704" i="3"/>
  <c r="N1705" i="3"/>
  <c r="N1706" i="3"/>
  <c r="N1707" i="3"/>
  <c r="N1708" i="3"/>
  <c r="N1709" i="3"/>
  <c r="N1710" i="3"/>
  <c r="N1711" i="3"/>
  <c r="N1712" i="3"/>
  <c r="N1713" i="3"/>
  <c r="N1714" i="3"/>
  <c r="N1715" i="3"/>
  <c r="N1716" i="3"/>
  <c r="N1717" i="3"/>
  <c r="N1718" i="3"/>
  <c r="N1719" i="3"/>
  <c r="N1720" i="3"/>
  <c r="N1721" i="3"/>
  <c r="N1722" i="3"/>
  <c r="N1723" i="3"/>
  <c r="N1724" i="3"/>
  <c r="N1725" i="3"/>
  <c r="N1726" i="3"/>
  <c r="N1727" i="3"/>
  <c r="N1728" i="3"/>
  <c r="N1729" i="3"/>
  <c r="N1730" i="3"/>
  <c r="N1731" i="3"/>
  <c r="N1732" i="3"/>
  <c r="N1733" i="3"/>
  <c r="N1734" i="3"/>
  <c r="N1735" i="3"/>
  <c r="N1736" i="3"/>
  <c r="N1737" i="3"/>
  <c r="N1738" i="3"/>
  <c r="N1739" i="3"/>
  <c r="N1740" i="3"/>
  <c r="N1741" i="3"/>
  <c r="N1742" i="3"/>
  <c r="N1743" i="3"/>
  <c r="N1744" i="3"/>
  <c r="N1745" i="3"/>
  <c r="N1746" i="3"/>
  <c r="N1747" i="3"/>
  <c r="N1748" i="3"/>
  <c r="N1749" i="3"/>
  <c r="N1750" i="3"/>
  <c r="N1751" i="3"/>
  <c r="N1752" i="3"/>
  <c r="N1753" i="3"/>
  <c r="N1754" i="3"/>
  <c r="N1755" i="3"/>
  <c r="N1756" i="3"/>
  <c r="N1757" i="3"/>
  <c r="N1758" i="3"/>
  <c r="N1759" i="3"/>
  <c r="N1760" i="3"/>
  <c r="N1761" i="3"/>
  <c r="N1762" i="3"/>
  <c r="N1763" i="3"/>
  <c r="N1764" i="3"/>
  <c r="N1765" i="3"/>
  <c r="N1766" i="3"/>
  <c r="N1767" i="3"/>
  <c r="N1768" i="3"/>
  <c r="N1769" i="3"/>
  <c r="N1770" i="3"/>
  <c r="N1771" i="3"/>
  <c r="N1772" i="3"/>
  <c r="N1773" i="3"/>
  <c r="N1774" i="3"/>
  <c r="N1775" i="3"/>
  <c r="N1776" i="3"/>
  <c r="N1777" i="3"/>
  <c r="N1778" i="3"/>
  <c r="N1779" i="3"/>
  <c r="N1780" i="3"/>
  <c r="N1781" i="3"/>
  <c r="N1782" i="3"/>
  <c r="N1783" i="3"/>
  <c r="N1784" i="3"/>
  <c r="N1785" i="3"/>
  <c r="N1786" i="3"/>
  <c r="N1787" i="3"/>
  <c r="N1788" i="3"/>
  <c r="N1789" i="3"/>
  <c r="N1790" i="3"/>
  <c r="N1791" i="3"/>
  <c r="N1792" i="3"/>
  <c r="N1793" i="3"/>
  <c r="N1794" i="3"/>
  <c r="N1795" i="3"/>
  <c r="N1796" i="3"/>
  <c r="N1797" i="3"/>
  <c r="N1798" i="3"/>
  <c r="N1799" i="3"/>
  <c r="N1800" i="3"/>
  <c r="N1801" i="3"/>
  <c r="N1802" i="3"/>
  <c r="N1803" i="3"/>
  <c r="N1804" i="3"/>
  <c r="N1805" i="3"/>
  <c r="N1806" i="3"/>
  <c r="N1807" i="3"/>
  <c r="N1808" i="3"/>
  <c r="N1809" i="3"/>
  <c r="N1810" i="3"/>
  <c r="N1811" i="3"/>
  <c r="N1812" i="3"/>
  <c r="N1813" i="3"/>
  <c r="N1814" i="3"/>
  <c r="N1815" i="3"/>
  <c r="N1816" i="3"/>
  <c r="N1817" i="3"/>
  <c r="N1818" i="3"/>
  <c r="N1819" i="3"/>
  <c r="N1820" i="3"/>
  <c r="N1821" i="3"/>
  <c r="N1822" i="3"/>
  <c r="N1823" i="3"/>
  <c r="N1824" i="3"/>
  <c r="N1825" i="3"/>
  <c r="N1826" i="3"/>
  <c r="N1827" i="3"/>
  <c r="N1828" i="3"/>
  <c r="N1829" i="3"/>
  <c r="N1830" i="3"/>
  <c r="N1831" i="3"/>
  <c r="N1832" i="3"/>
  <c r="N1833" i="3"/>
  <c r="N1834" i="3"/>
  <c r="N1835" i="3"/>
  <c r="N1836" i="3"/>
  <c r="N1837" i="3"/>
  <c r="N1838" i="3"/>
  <c r="N1839" i="3"/>
  <c r="N1840" i="3"/>
  <c r="N1841" i="3"/>
  <c r="N1842" i="3"/>
  <c r="N1843" i="3"/>
  <c r="N1844" i="3"/>
  <c r="N1845" i="3"/>
  <c r="N1846" i="3"/>
  <c r="N1847" i="3"/>
  <c r="N1848" i="3"/>
  <c r="N1849" i="3"/>
  <c r="N1850" i="3"/>
  <c r="N1851" i="3"/>
  <c r="N1852" i="3"/>
  <c r="N1853" i="3"/>
  <c r="N1854" i="3"/>
  <c r="N1855" i="3"/>
  <c r="N1856" i="3"/>
  <c r="N1857" i="3"/>
  <c r="N1858" i="3"/>
  <c r="N1859" i="3"/>
  <c r="N1860" i="3"/>
  <c r="N1861" i="3"/>
  <c r="N1862" i="3"/>
  <c r="N1863" i="3"/>
  <c r="N1864" i="3"/>
  <c r="N1865" i="3"/>
  <c r="N1866" i="3"/>
  <c r="N1867" i="3"/>
  <c r="N1868" i="3"/>
  <c r="N1869" i="3"/>
  <c r="N1870" i="3"/>
  <c r="N1871" i="3"/>
  <c r="N1872" i="3"/>
  <c r="N1873" i="3"/>
  <c r="N1874" i="3"/>
  <c r="N1875" i="3"/>
  <c r="N1876" i="3"/>
  <c r="N1877" i="3"/>
  <c r="N1878" i="3"/>
  <c r="N1879" i="3"/>
  <c r="N1880" i="3"/>
  <c r="N1881" i="3"/>
  <c r="N1882" i="3"/>
  <c r="N1883" i="3"/>
  <c r="N1884" i="3"/>
  <c r="N1885" i="3"/>
  <c r="N1886" i="3"/>
  <c r="N1887" i="3"/>
  <c r="N1888" i="3"/>
  <c r="N1889" i="3"/>
  <c r="N1890" i="3"/>
  <c r="N1891" i="3"/>
  <c r="N1892" i="3"/>
  <c r="N1893" i="3"/>
  <c r="N1894" i="3"/>
  <c r="N1895" i="3"/>
  <c r="N1896" i="3"/>
  <c r="N1897" i="3"/>
  <c r="N1898" i="3"/>
  <c r="N1899" i="3"/>
  <c r="N1900" i="3"/>
  <c r="N1901" i="3"/>
  <c r="N1902" i="3"/>
  <c r="N1903" i="3"/>
  <c r="N1904" i="3"/>
  <c r="N1905" i="3"/>
  <c r="N1906" i="3"/>
  <c r="N1907" i="3"/>
  <c r="N1908" i="3"/>
  <c r="N1909" i="3"/>
  <c r="N1910" i="3"/>
  <c r="N1911" i="3"/>
  <c r="N1912" i="3"/>
  <c r="N1913" i="3"/>
  <c r="N1914" i="3"/>
  <c r="N1915" i="3"/>
  <c r="N1916" i="3"/>
  <c r="N1917" i="3"/>
  <c r="N1918" i="3"/>
  <c r="N1919" i="3"/>
  <c r="N1920" i="3"/>
  <c r="N1921" i="3"/>
  <c r="N1922" i="3"/>
  <c r="N1923" i="3"/>
  <c r="N1924" i="3"/>
  <c r="N1925" i="3"/>
  <c r="N1926" i="3"/>
  <c r="N1927" i="3"/>
  <c r="N1928" i="3"/>
  <c r="N1929" i="3"/>
  <c r="N1930" i="3"/>
  <c r="N1931" i="3"/>
  <c r="N1932" i="3"/>
  <c r="N1933" i="3"/>
  <c r="N1934" i="3"/>
  <c r="N1935" i="3"/>
  <c r="N1936" i="3"/>
  <c r="N1937" i="3"/>
  <c r="N1938" i="3"/>
  <c r="N1939" i="3"/>
  <c r="N1940" i="3"/>
  <c r="N1941" i="3"/>
  <c r="N1942" i="3"/>
  <c r="N1943" i="3"/>
  <c r="N1944" i="3"/>
  <c r="N1945" i="3"/>
  <c r="N1946" i="3"/>
  <c r="N1947" i="3"/>
  <c r="N1948" i="3"/>
  <c r="N1949" i="3"/>
  <c r="N1950" i="3"/>
  <c r="N1951" i="3"/>
  <c r="N1952" i="3"/>
  <c r="N1953" i="3"/>
  <c r="N1954" i="3"/>
  <c r="N1955" i="3"/>
  <c r="N1956" i="3"/>
  <c r="N1957" i="3"/>
  <c r="N1958" i="3"/>
  <c r="N1959" i="3"/>
  <c r="N1960" i="3"/>
  <c r="N1961" i="3"/>
  <c r="N1962" i="3"/>
  <c r="N1963" i="3"/>
  <c r="N1964" i="3"/>
  <c r="N1965" i="3"/>
  <c r="N1966" i="3"/>
  <c r="N1967" i="3"/>
  <c r="N1968" i="3"/>
  <c r="N1969" i="3"/>
  <c r="N1970" i="3"/>
  <c r="N1971" i="3"/>
  <c r="N1972" i="3"/>
  <c r="N1973" i="3"/>
  <c r="N1974" i="3"/>
  <c r="N1975" i="3"/>
  <c r="N1976" i="3"/>
  <c r="N1977" i="3"/>
  <c r="N1978" i="3"/>
  <c r="N1979" i="3"/>
  <c r="N1980" i="3"/>
  <c r="N1981" i="3"/>
  <c r="N1982" i="3"/>
  <c r="N1983" i="3"/>
  <c r="N1984" i="3"/>
  <c r="N1985" i="3"/>
  <c r="N1986" i="3"/>
  <c r="N1987" i="3"/>
  <c r="N1988" i="3"/>
  <c r="N1989" i="3"/>
  <c r="N1990" i="3"/>
  <c r="N1991" i="3"/>
  <c r="N1992" i="3"/>
  <c r="N1993" i="3"/>
  <c r="N1994" i="3"/>
  <c r="N1995" i="3"/>
  <c r="N1996" i="3"/>
  <c r="N1997" i="3"/>
  <c r="N1998" i="3"/>
  <c r="N1999" i="3"/>
  <c r="N2000" i="3"/>
  <c r="N2001" i="3"/>
  <c r="N2002" i="3"/>
  <c r="N2003" i="3"/>
  <c r="N2004" i="3"/>
  <c r="N2005" i="3"/>
  <c r="N2006" i="3"/>
  <c r="N2007" i="3"/>
  <c r="N2008" i="3"/>
  <c r="N2009" i="3"/>
  <c r="N2010" i="3"/>
  <c r="N2011" i="3"/>
  <c r="N2012" i="3"/>
  <c r="N2013" i="3"/>
  <c r="N2014" i="3"/>
  <c r="N2015" i="3"/>
  <c r="N2016" i="3"/>
  <c r="N2017" i="3"/>
  <c r="N2018" i="3"/>
  <c r="N2019" i="3"/>
  <c r="N2020" i="3"/>
  <c r="N2021" i="3"/>
  <c r="N2022" i="3"/>
  <c r="N2023" i="3"/>
  <c r="N2024" i="3"/>
  <c r="N2025" i="3"/>
  <c r="N2026" i="3"/>
  <c r="N2027" i="3"/>
  <c r="N2028" i="3"/>
  <c r="N2029" i="3"/>
  <c r="N2030" i="3"/>
  <c r="N2031" i="3"/>
  <c r="N2032" i="3"/>
  <c r="N2033" i="3"/>
  <c r="N2034" i="3"/>
  <c r="N2035" i="3"/>
  <c r="N2036" i="3"/>
  <c r="N2037" i="3"/>
  <c r="N2038" i="3"/>
  <c r="N2039" i="3"/>
  <c r="N2040" i="3"/>
  <c r="N2041" i="3"/>
  <c r="N2042" i="3"/>
  <c r="N2043" i="3"/>
  <c r="N2044" i="3"/>
  <c r="N2045" i="3"/>
  <c r="N2046" i="3"/>
  <c r="N2047" i="3"/>
  <c r="N2048" i="3"/>
  <c r="N2049" i="3"/>
  <c r="N2050" i="3"/>
  <c r="N2051" i="3"/>
  <c r="N2052" i="3"/>
  <c r="N2053" i="3"/>
  <c r="N2054" i="3"/>
  <c r="N2055" i="3"/>
  <c r="N2056" i="3"/>
  <c r="N2057" i="3"/>
  <c r="N2058" i="3"/>
  <c r="N2059" i="3"/>
  <c r="N2060" i="3"/>
  <c r="N2061" i="3"/>
  <c r="N2062" i="3"/>
  <c r="N2063" i="3"/>
  <c r="N2064" i="3"/>
  <c r="N2065" i="3"/>
  <c r="N2066" i="3"/>
  <c r="N2067" i="3"/>
  <c r="N2068" i="3"/>
  <c r="N2069" i="3"/>
  <c r="N2070" i="3"/>
  <c r="N2071" i="3"/>
  <c r="N2072" i="3"/>
  <c r="N2073" i="3"/>
  <c r="N2074" i="3"/>
  <c r="N2075" i="3"/>
  <c r="N2076" i="3"/>
  <c r="N2077" i="3"/>
  <c r="N2078" i="3"/>
  <c r="N2079" i="3"/>
  <c r="N2080" i="3"/>
  <c r="N2081" i="3"/>
  <c r="N2082" i="3"/>
  <c r="N2083" i="3"/>
  <c r="N2084" i="3"/>
  <c r="N2085" i="3"/>
  <c r="N2086" i="3"/>
  <c r="N2087" i="3"/>
  <c r="N2088" i="3"/>
  <c r="N2089" i="3"/>
  <c r="N2090" i="3"/>
  <c r="N2091" i="3"/>
  <c r="N2092" i="3"/>
  <c r="N2093" i="3"/>
  <c r="N2094" i="3"/>
  <c r="N2095" i="3"/>
  <c r="N2096" i="3"/>
  <c r="N2097" i="3"/>
  <c r="N2098" i="3"/>
  <c r="N2099" i="3"/>
  <c r="N2100" i="3"/>
  <c r="N2101" i="3"/>
  <c r="N2102" i="3"/>
  <c r="N2103" i="3"/>
  <c r="N2104" i="3"/>
  <c r="N2105" i="3"/>
  <c r="N2106" i="3"/>
  <c r="N2107" i="3"/>
  <c r="N2108" i="3"/>
  <c r="N2109" i="3"/>
  <c r="N2110" i="3"/>
  <c r="N2111" i="3"/>
  <c r="N2112" i="3"/>
  <c r="N2113" i="3"/>
  <c r="N2114" i="3"/>
  <c r="N2115" i="3"/>
  <c r="N2116" i="3"/>
  <c r="N2117" i="3"/>
  <c r="N2118" i="3"/>
  <c r="N2119" i="3"/>
  <c r="N2120" i="3"/>
  <c r="N2121" i="3"/>
  <c r="N2122" i="3"/>
  <c r="N2123" i="3"/>
  <c r="N2124" i="3"/>
  <c r="N2125" i="3"/>
  <c r="N2126" i="3"/>
  <c r="N2127" i="3"/>
  <c r="N2128" i="3"/>
  <c r="N2129" i="3"/>
  <c r="N2130" i="3"/>
  <c r="N2131" i="3"/>
  <c r="N2132" i="3"/>
  <c r="N2133" i="3"/>
  <c r="N2134" i="3"/>
  <c r="N2135" i="3"/>
  <c r="N2136" i="3"/>
  <c r="N2137" i="3"/>
  <c r="N2138" i="3"/>
  <c r="N2139" i="3"/>
  <c r="N2140" i="3"/>
  <c r="N2141" i="3"/>
  <c r="N2142" i="3"/>
  <c r="N2143" i="3"/>
  <c r="N2144" i="3"/>
  <c r="N2145" i="3"/>
  <c r="N2146" i="3"/>
  <c r="N2147" i="3"/>
  <c r="N2148" i="3"/>
  <c r="N2149" i="3"/>
  <c r="N2150" i="3"/>
  <c r="N2151" i="3"/>
  <c r="N2152" i="3"/>
  <c r="N2153" i="3"/>
  <c r="N2154" i="3"/>
  <c r="N2155" i="3"/>
  <c r="N2156" i="3"/>
  <c r="N2157" i="3"/>
  <c r="N2158" i="3"/>
  <c r="N2159" i="3"/>
  <c r="N2160" i="3"/>
  <c r="N2161" i="3"/>
  <c r="N2162" i="3"/>
  <c r="N2163" i="3"/>
  <c r="N2164" i="3"/>
  <c r="N2165" i="3"/>
  <c r="N2166" i="3"/>
  <c r="N2167" i="3"/>
  <c r="N2168" i="3"/>
  <c r="N2169" i="3"/>
  <c r="N2170" i="3"/>
  <c r="N2171" i="3"/>
  <c r="N2172" i="3"/>
  <c r="N2173" i="3"/>
  <c r="N2174" i="3"/>
  <c r="N2175" i="3"/>
  <c r="N2176" i="3"/>
  <c r="N2177" i="3"/>
  <c r="N2178" i="3"/>
  <c r="N2179" i="3"/>
  <c r="N2180" i="3"/>
  <c r="N2181" i="3"/>
  <c r="N2182" i="3"/>
  <c r="N2183" i="3"/>
  <c r="N2184" i="3"/>
  <c r="N2185" i="3"/>
  <c r="N2186" i="3"/>
  <c r="N2187" i="3"/>
  <c r="N2188" i="3"/>
  <c r="N2189" i="3"/>
  <c r="N2190" i="3"/>
  <c r="N2191" i="3"/>
  <c r="N2192" i="3"/>
  <c r="N2193" i="3"/>
  <c r="N2194" i="3"/>
  <c r="N2195" i="3"/>
  <c r="N2196" i="3"/>
  <c r="N2197" i="3"/>
  <c r="N2198" i="3"/>
  <c r="N2199" i="3"/>
  <c r="N2200" i="3"/>
  <c r="N2201" i="3"/>
  <c r="N2202" i="3"/>
  <c r="N2203" i="3"/>
  <c r="N2204" i="3"/>
  <c r="N2205" i="3"/>
  <c r="N2206" i="3"/>
  <c r="N2207" i="3"/>
  <c r="N2208" i="3"/>
  <c r="N2209" i="3"/>
  <c r="N2210" i="3"/>
  <c r="N2211" i="3"/>
  <c r="N2212" i="3"/>
  <c r="N2213" i="3"/>
  <c r="N2214" i="3"/>
  <c r="N2215" i="3"/>
  <c r="N2216" i="3"/>
  <c r="N2217" i="3"/>
  <c r="N2218" i="3"/>
  <c r="N2219" i="3"/>
  <c r="N2220" i="3"/>
  <c r="N2221" i="3"/>
  <c r="N2222" i="3"/>
  <c r="N2223" i="3"/>
  <c r="N2224" i="3"/>
  <c r="N2225" i="3"/>
  <c r="N2226" i="3"/>
  <c r="N2227" i="3"/>
  <c r="N2228" i="3"/>
  <c r="N2229" i="3"/>
  <c r="N2230" i="3"/>
  <c r="N2231" i="3"/>
  <c r="N2232" i="3"/>
  <c r="N2233" i="3"/>
  <c r="N2234" i="3"/>
  <c r="N2235" i="3"/>
  <c r="N2236" i="3"/>
  <c r="N2237" i="3"/>
  <c r="N2238" i="3"/>
  <c r="N2239" i="3"/>
  <c r="N2240" i="3"/>
  <c r="N2241" i="3"/>
  <c r="N2242" i="3"/>
  <c r="N2243" i="3"/>
  <c r="N2244" i="3"/>
  <c r="N2245" i="3"/>
  <c r="N2246" i="3"/>
  <c r="N2247" i="3"/>
  <c r="N2248" i="3"/>
  <c r="N2249" i="3"/>
  <c r="N2250" i="3"/>
  <c r="N2251" i="3"/>
  <c r="N2252" i="3"/>
  <c r="N2253" i="3"/>
  <c r="N2254" i="3"/>
  <c r="N2255" i="3"/>
  <c r="N2256" i="3"/>
  <c r="N2257" i="3"/>
  <c r="N2258" i="3"/>
  <c r="N2259" i="3"/>
  <c r="N2260" i="3"/>
  <c r="N2261" i="3"/>
  <c r="N2262" i="3"/>
  <c r="N2263" i="3"/>
  <c r="N2264" i="3"/>
  <c r="N2265" i="3"/>
  <c r="N2266" i="3"/>
  <c r="N2267" i="3"/>
  <c r="N2268" i="3"/>
  <c r="N2269" i="3"/>
  <c r="N2270" i="3"/>
  <c r="N2271" i="3"/>
  <c r="N2272" i="3"/>
  <c r="N2273" i="3"/>
  <c r="N2274" i="3"/>
  <c r="N2275" i="3"/>
  <c r="N2276" i="3"/>
  <c r="N2277" i="3"/>
  <c r="N2278" i="3"/>
  <c r="N2279" i="3"/>
  <c r="N2280" i="3"/>
  <c r="N2281" i="3"/>
  <c r="N2282" i="3"/>
  <c r="N2283" i="3"/>
  <c r="N2284" i="3"/>
  <c r="N2285" i="3"/>
  <c r="N2286" i="3"/>
  <c r="N2287" i="3"/>
  <c r="N2288" i="3"/>
  <c r="N2289" i="3"/>
  <c r="N2290" i="3"/>
  <c r="N2291" i="3"/>
  <c r="N2292" i="3"/>
  <c r="N2293" i="3"/>
  <c r="N2294" i="3"/>
  <c r="N2295" i="3"/>
  <c r="N2296" i="3"/>
  <c r="N2297" i="3"/>
  <c r="N2298" i="3"/>
  <c r="N2299" i="3"/>
  <c r="N2300" i="3"/>
  <c r="N2301" i="3"/>
  <c r="N2302" i="3"/>
  <c r="N2303" i="3"/>
  <c r="N2304" i="3"/>
  <c r="N2305" i="3"/>
  <c r="N2306" i="3"/>
  <c r="N2307" i="3"/>
  <c r="N2308" i="3"/>
  <c r="N2309" i="3"/>
  <c r="N2310" i="3"/>
  <c r="N2311" i="3"/>
  <c r="N2312" i="3"/>
  <c r="N2313" i="3"/>
  <c r="N2314" i="3"/>
  <c r="N2315" i="3"/>
  <c r="N2316" i="3"/>
  <c r="N2317" i="3"/>
  <c r="N2318" i="3"/>
  <c r="N2319" i="3"/>
  <c r="N2320" i="3"/>
  <c r="N2321" i="3"/>
  <c r="N2322" i="3"/>
  <c r="N2323" i="3"/>
  <c r="N2324" i="3"/>
  <c r="N2325" i="3"/>
  <c r="N2326" i="3"/>
  <c r="N2327" i="3"/>
  <c r="N2328" i="3"/>
  <c r="N2329" i="3"/>
  <c r="N2330" i="3"/>
  <c r="N2331" i="3"/>
  <c r="N2332" i="3"/>
  <c r="N2333" i="3"/>
  <c r="N2334" i="3"/>
  <c r="N2335" i="3"/>
  <c r="N2336" i="3"/>
  <c r="N2337" i="3"/>
  <c r="N2338" i="3"/>
  <c r="N2339" i="3"/>
  <c r="N2340" i="3"/>
  <c r="N2341" i="3"/>
  <c r="N2342" i="3"/>
  <c r="N2343" i="3"/>
  <c r="N2344" i="3"/>
  <c r="N2345" i="3"/>
  <c r="N2346" i="3"/>
  <c r="N2347" i="3"/>
  <c r="N2348" i="3"/>
  <c r="N2349" i="3"/>
  <c r="N2350" i="3"/>
  <c r="N2351" i="3"/>
  <c r="N2352" i="3"/>
  <c r="N2353" i="3"/>
  <c r="N2354" i="3"/>
  <c r="N2355" i="3"/>
  <c r="N2356" i="3"/>
  <c r="N2357" i="3"/>
  <c r="N2358" i="3"/>
  <c r="N2359" i="3"/>
  <c r="N2360" i="3"/>
  <c r="N2361" i="3"/>
  <c r="N2362" i="3"/>
  <c r="N2363" i="3"/>
  <c r="N2364" i="3"/>
  <c r="N2365" i="3"/>
  <c r="N2366" i="3"/>
  <c r="N2367" i="3"/>
  <c r="N2368" i="3"/>
  <c r="N2369" i="3"/>
  <c r="N2370" i="3"/>
  <c r="N2371" i="3"/>
  <c r="N2372" i="3"/>
  <c r="N2373" i="3"/>
  <c r="N2374" i="3"/>
  <c r="N2375" i="3"/>
  <c r="N2376" i="3"/>
  <c r="N2377" i="3"/>
  <c r="N2378" i="3"/>
  <c r="N2379" i="3"/>
  <c r="N2380" i="3"/>
  <c r="N2381" i="3"/>
  <c r="N2382" i="3"/>
  <c r="N2383" i="3"/>
  <c r="N2384" i="3"/>
  <c r="N2385" i="3"/>
  <c r="N2386" i="3"/>
  <c r="N2387" i="3"/>
  <c r="N2388" i="3"/>
  <c r="N2389" i="3"/>
  <c r="N2390" i="3"/>
  <c r="N2391" i="3"/>
  <c r="N2392" i="3"/>
  <c r="N2393" i="3"/>
  <c r="N2394" i="3"/>
  <c r="N2395" i="3"/>
  <c r="N2396" i="3"/>
  <c r="N2397" i="3"/>
  <c r="N2398" i="3"/>
  <c r="N2399" i="3"/>
  <c r="N2400" i="3"/>
  <c r="N2401" i="3"/>
  <c r="N2402" i="3"/>
  <c r="N2403" i="3"/>
  <c r="N2404" i="3"/>
  <c r="N2405" i="3"/>
  <c r="N2406" i="3"/>
  <c r="N2407" i="3"/>
  <c r="N2408" i="3"/>
  <c r="N2409" i="3"/>
  <c r="N2410" i="3"/>
  <c r="N2411" i="3"/>
  <c r="N2412" i="3"/>
  <c r="N2413" i="3"/>
  <c r="N2414" i="3"/>
  <c r="N2415" i="3"/>
  <c r="N2416" i="3"/>
  <c r="N2417" i="3"/>
  <c r="N2418" i="3"/>
  <c r="N2419" i="3"/>
  <c r="N2420" i="3"/>
  <c r="N2421" i="3"/>
  <c r="N2422" i="3"/>
  <c r="N2423" i="3"/>
  <c r="N2424" i="3"/>
  <c r="N2425" i="3"/>
  <c r="N2426" i="3"/>
  <c r="N2427" i="3"/>
  <c r="N2428" i="3"/>
  <c r="N2429" i="3"/>
  <c r="N2430" i="3"/>
  <c r="N2431" i="3"/>
  <c r="N2432" i="3"/>
  <c r="N2433" i="3"/>
  <c r="N2434" i="3"/>
  <c r="N2435" i="3"/>
  <c r="N2436" i="3"/>
  <c r="N2437" i="3"/>
  <c r="N2438" i="3"/>
  <c r="N2439" i="3"/>
  <c r="N2440" i="3"/>
  <c r="N2441" i="3"/>
  <c r="N2442" i="3"/>
  <c r="N2443" i="3"/>
  <c r="N2444" i="3"/>
  <c r="N2445" i="3"/>
  <c r="N2446" i="3"/>
  <c r="N2447" i="3"/>
  <c r="N2448" i="3"/>
  <c r="N2449" i="3"/>
  <c r="N2450" i="3"/>
  <c r="N2451" i="3"/>
  <c r="N2452" i="3"/>
  <c r="N2453" i="3"/>
  <c r="N2454" i="3"/>
  <c r="N2455" i="3"/>
  <c r="N2456" i="3"/>
  <c r="N2457" i="3"/>
  <c r="N2458" i="3"/>
  <c r="N2459" i="3"/>
  <c r="N2460" i="3"/>
  <c r="N2461" i="3"/>
  <c r="N2462" i="3"/>
  <c r="N2463" i="3"/>
  <c r="N2464" i="3"/>
  <c r="N2465" i="3"/>
  <c r="N2466" i="3"/>
  <c r="N2467" i="3"/>
  <c r="N2468" i="3"/>
  <c r="N2469" i="3"/>
  <c r="N2470" i="3"/>
  <c r="N2471" i="3"/>
  <c r="N2472" i="3"/>
  <c r="N2473" i="3"/>
  <c r="N2474" i="3"/>
  <c r="N2475" i="3"/>
  <c r="N2476" i="3"/>
  <c r="N2477" i="3"/>
  <c r="N2478" i="3"/>
  <c r="N2479" i="3"/>
  <c r="N2480" i="3"/>
  <c r="N2481" i="3"/>
  <c r="N2482" i="3"/>
  <c r="N2483" i="3"/>
  <c r="N2484" i="3"/>
  <c r="N2485" i="3"/>
  <c r="N2486" i="3"/>
  <c r="N2487" i="3"/>
  <c r="N2488" i="3"/>
  <c r="N2489" i="3"/>
  <c r="N2490" i="3"/>
  <c r="N2491" i="3"/>
  <c r="N2492" i="3"/>
  <c r="N2493" i="3"/>
  <c r="N2494" i="3"/>
  <c r="N2495" i="3"/>
  <c r="N2496" i="3"/>
  <c r="N2497" i="3"/>
  <c r="N2498" i="3"/>
  <c r="N2499" i="3"/>
  <c r="N2500" i="3"/>
  <c r="N2501" i="3"/>
  <c r="N2502" i="3"/>
  <c r="N2503" i="3"/>
  <c r="N2504" i="3"/>
  <c r="N2505" i="3"/>
  <c r="N2506" i="3"/>
  <c r="N2507" i="3"/>
  <c r="N2508" i="3"/>
  <c r="N2509" i="3"/>
  <c r="N2510" i="3"/>
  <c r="N2511" i="3"/>
  <c r="N2512" i="3"/>
  <c r="N2513" i="3"/>
  <c r="N2514" i="3"/>
  <c r="N2515" i="3"/>
  <c r="N2516" i="3"/>
  <c r="N2517" i="3"/>
  <c r="N2518" i="3"/>
  <c r="N2519" i="3"/>
  <c r="N2520" i="3"/>
  <c r="N2521" i="3"/>
  <c r="N2522" i="3"/>
  <c r="N2523" i="3"/>
  <c r="N2524" i="3"/>
  <c r="N2525" i="3"/>
  <c r="N2526" i="3"/>
  <c r="N2527" i="3"/>
  <c r="N2528" i="3"/>
  <c r="N2529" i="3"/>
  <c r="N2530" i="3"/>
  <c r="N2531" i="3"/>
  <c r="N2532" i="3"/>
  <c r="N2533" i="3"/>
  <c r="N2534" i="3"/>
  <c r="N2535" i="3"/>
  <c r="N2536" i="3"/>
  <c r="N2537" i="3"/>
  <c r="N2538" i="3"/>
  <c r="N2539" i="3"/>
  <c r="N2540" i="3"/>
  <c r="N2541" i="3"/>
  <c r="N2542" i="3"/>
  <c r="N2543" i="3"/>
  <c r="N2544" i="3"/>
  <c r="N2545" i="3"/>
  <c r="N2546" i="3"/>
  <c r="N2547" i="3"/>
  <c r="N2548" i="3"/>
  <c r="N2549" i="3"/>
  <c r="N2550" i="3"/>
  <c r="N2551" i="3"/>
  <c r="N2552" i="3"/>
  <c r="N2553" i="3"/>
  <c r="N2554" i="3"/>
  <c r="N2555" i="3"/>
  <c r="N2556" i="3"/>
  <c r="N2557" i="3"/>
  <c r="N2558" i="3"/>
  <c r="N2559" i="3"/>
  <c r="N2560" i="3"/>
  <c r="N2561" i="3"/>
  <c r="N2562" i="3"/>
  <c r="N2563" i="3"/>
  <c r="N2564" i="3"/>
  <c r="N2565" i="3"/>
  <c r="N2566" i="3"/>
  <c r="N2567" i="3"/>
  <c r="N2568" i="3"/>
  <c r="N2569" i="3"/>
  <c r="N2570" i="3"/>
  <c r="N2571" i="3"/>
  <c r="N2572" i="3"/>
  <c r="N2573" i="3"/>
  <c r="N2574" i="3"/>
  <c r="N2575" i="3"/>
  <c r="N2576" i="3"/>
  <c r="N2577" i="3"/>
  <c r="N2578" i="3"/>
  <c r="N2579" i="3"/>
  <c r="N2580" i="3"/>
  <c r="N2581" i="3"/>
  <c r="N2582" i="3"/>
  <c r="N2583" i="3"/>
  <c r="N2584" i="3"/>
  <c r="N2585" i="3"/>
  <c r="N2586" i="3"/>
  <c r="N2587" i="3"/>
  <c r="N2588" i="3"/>
  <c r="N2589" i="3"/>
  <c r="N2590" i="3"/>
  <c r="N2591" i="3"/>
  <c r="N2592" i="3"/>
  <c r="N2593" i="3"/>
  <c r="N2594" i="3"/>
  <c r="N2595" i="3"/>
  <c r="N2596" i="3"/>
  <c r="N2597" i="3"/>
  <c r="N2598" i="3"/>
  <c r="N2599" i="3"/>
  <c r="N2600" i="3"/>
  <c r="N2601" i="3"/>
  <c r="N2602" i="3"/>
  <c r="N2603" i="3"/>
  <c r="N2604" i="3"/>
  <c r="N2605" i="3"/>
  <c r="N2606" i="3"/>
  <c r="N2607" i="3"/>
  <c r="N2608" i="3"/>
  <c r="N2609" i="3"/>
  <c r="N2610" i="3"/>
  <c r="N2611" i="3"/>
  <c r="N2612" i="3"/>
  <c r="N2613" i="3"/>
  <c r="N2614" i="3"/>
  <c r="N2615" i="3"/>
  <c r="N2616" i="3"/>
  <c r="N2617" i="3"/>
  <c r="N2618" i="3"/>
  <c r="N2619" i="3"/>
  <c r="N2620" i="3"/>
  <c r="N2621" i="3"/>
  <c r="N2622" i="3"/>
  <c r="N2623" i="3"/>
  <c r="N2624" i="3"/>
  <c r="N62" i="3"/>
  <c r="M16" i="15" l="1"/>
  <c r="R15" i="15"/>
  <c r="P15" i="15"/>
  <c r="J16" i="15"/>
  <c r="U1329" i="13"/>
  <c r="S1330" i="13"/>
  <c r="AR1354" i="13"/>
  <c r="AP1355" i="13"/>
  <c r="AP15" i="13"/>
  <c r="AR14" i="13"/>
  <c r="S16" i="13"/>
  <c r="U15" i="13"/>
  <c r="Q11" i="5"/>
  <c r="AO7" i="5"/>
  <c r="P10" i="10"/>
  <c r="AU10" i="10" s="1"/>
  <c r="Q8" i="5"/>
  <c r="Q7" i="5"/>
  <c r="Y20" i="3"/>
  <c r="P16" i="15" l="1"/>
  <c r="J17" i="15"/>
  <c r="M17" i="15"/>
  <c r="R16" i="15"/>
  <c r="S1331" i="13"/>
  <c r="U1330" i="13"/>
  <c r="AP1356" i="13"/>
  <c r="AR1355" i="13"/>
  <c r="AP16" i="13"/>
  <c r="AR15" i="13"/>
  <c r="S17" i="13"/>
  <c r="U16" i="13"/>
  <c r="AK4" i="3"/>
  <c r="AK5" i="3"/>
  <c r="AK6" i="3"/>
  <c r="AK7" i="3"/>
  <c r="AK8" i="3"/>
  <c r="AK9" i="3"/>
  <c r="AK10" i="3"/>
  <c r="AK11" i="3"/>
  <c r="AK12" i="3"/>
  <c r="AK13" i="3"/>
  <c r="AK14" i="3"/>
  <c r="AK15" i="3"/>
  <c r="AK16" i="3"/>
  <c r="AK17" i="3"/>
  <c r="AK18" i="3"/>
  <c r="AK19" i="3"/>
  <c r="AK20" i="3"/>
  <c r="AK21" i="3"/>
  <c r="AK22" i="3"/>
  <c r="AK23" i="3"/>
  <c r="AK24" i="3"/>
  <c r="AK25" i="3"/>
  <c r="AK26" i="3"/>
  <c r="AK27" i="3"/>
  <c r="AK28" i="3"/>
  <c r="AK29" i="3"/>
  <c r="AK30" i="3"/>
  <c r="AK31" i="3"/>
  <c r="AK32" i="3"/>
  <c r="AK33" i="3"/>
  <c r="AK34" i="3"/>
  <c r="AK35" i="3"/>
  <c r="AK36" i="3"/>
  <c r="AK37" i="3"/>
  <c r="AK38" i="3"/>
  <c r="AK39" i="3"/>
  <c r="AK40" i="3"/>
  <c r="AK41" i="3"/>
  <c r="AK42" i="3"/>
  <c r="AK43" i="3"/>
  <c r="AK44" i="3"/>
  <c r="AK45" i="3"/>
  <c r="AK46" i="3"/>
  <c r="AK47" i="3"/>
  <c r="AK48" i="3"/>
  <c r="AK49" i="3"/>
  <c r="AK50" i="3"/>
  <c r="AK51" i="3"/>
  <c r="AK52" i="3"/>
  <c r="AK53" i="3"/>
  <c r="AK54" i="3"/>
  <c r="AK55" i="3"/>
  <c r="AK56" i="3"/>
  <c r="AK57" i="3"/>
  <c r="AK58" i="3"/>
  <c r="AK59" i="3"/>
  <c r="AK60" i="3"/>
  <c r="AK61" i="3"/>
  <c r="AK62" i="3"/>
  <c r="AK63" i="3"/>
  <c r="AK64" i="3"/>
  <c r="AK65" i="3"/>
  <c r="AK66" i="3"/>
  <c r="AK67" i="3"/>
  <c r="AK68" i="3"/>
  <c r="AK69" i="3"/>
  <c r="AK70" i="3"/>
  <c r="AK71" i="3"/>
  <c r="AK72" i="3"/>
  <c r="AK73" i="3"/>
  <c r="AK74" i="3"/>
  <c r="AK75" i="3"/>
  <c r="AK76" i="3"/>
  <c r="AK77" i="3"/>
  <c r="AK78" i="3"/>
  <c r="AK79" i="3"/>
  <c r="AK80" i="3"/>
  <c r="AK81" i="3"/>
  <c r="AK82" i="3"/>
  <c r="AK83" i="3"/>
  <c r="AK84" i="3"/>
  <c r="AK85" i="3"/>
  <c r="AK86" i="3"/>
  <c r="AK87" i="3"/>
  <c r="AK88" i="3"/>
  <c r="AK89" i="3"/>
  <c r="AK90" i="3"/>
  <c r="AK91" i="3"/>
  <c r="AK92" i="3"/>
  <c r="AK93" i="3"/>
  <c r="AK94" i="3"/>
  <c r="AK95" i="3"/>
  <c r="AK96" i="3"/>
  <c r="AK97" i="3"/>
  <c r="AK98" i="3"/>
  <c r="AK99" i="3"/>
  <c r="AK100" i="3"/>
  <c r="AK101" i="3"/>
  <c r="AK102" i="3"/>
  <c r="AK103" i="3"/>
  <c r="AK104" i="3"/>
  <c r="AK105" i="3"/>
  <c r="AK106" i="3"/>
  <c r="AK107" i="3"/>
  <c r="AK108" i="3"/>
  <c r="AK109" i="3"/>
  <c r="AK110" i="3"/>
  <c r="AK111" i="3"/>
  <c r="AK112" i="3"/>
  <c r="AK113" i="3"/>
  <c r="AK114" i="3"/>
  <c r="AK115" i="3"/>
  <c r="AK116" i="3"/>
  <c r="AK117" i="3"/>
  <c r="AK118" i="3"/>
  <c r="AK119" i="3"/>
  <c r="AK120" i="3"/>
  <c r="AK121" i="3"/>
  <c r="AK122" i="3"/>
  <c r="AK123" i="3"/>
  <c r="AK124" i="3"/>
  <c r="AK125" i="3"/>
  <c r="AK126" i="3"/>
  <c r="AK127" i="3"/>
  <c r="AK128" i="3"/>
  <c r="AK129" i="3"/>
  <c r="AK130" i="3"/>
  <c r="AK131" i="3"/>
  <c r="AK132" i="3"/>
  <c r="AK133" i="3"/>
  <c r="AK134" i="3"/>
  <c r="AK135" i="3"/>
  <c r="AK136" i="3"/>
  <c r="AK137" i="3"/>
  <c r="AK138" i="3"/>
  <c r="AK139" i="3"/>
  <c r="AK140" i="3"/>
  <c r="AK141" i="3"/>
  <c r="AK142" i="3"/>
  <c r="AK143" i="3"/>
  <c r="AK144" i="3"/>
  <c r="AK145" i="3"/>
  <c r="AK146" i="3"/>
  <c r="AK147" i="3"/>
  <c r="AK148" i="3"/>
  <c r="AK149" i="3"/>
  <c r="AK150" i="3"/>
  <c r="AK151" i="3"/>
  <c r="AK152" i="3"/>
  <c r="AK153" i="3"/>
  <c r="AK154" i="3"/>
  <c r="AK155" i="3"/>
  <c r="AK156" i="3"/>
  <c r="AK157" i="3"/>
  <c r="AK158" i="3"/>
  <c r="AK159" i="3"/>
  <c r="AK160" i="3"/>
  <c r="AK161" i="3"/>
  <c r="AK162" i="3"/>
  <c r="AK163" i="3"/>
  <c r="AK164" i="3"/>
  <c r="AK165" i="3"/>
  <c r="AK166" i="3"/>
  <c r="AK167" i="3"/>
  <c r="AK168" i="3"/>
  <c r="AK169" i="3"/>
  <c r="AK170" i="3"/>
  <c r="AK171" i="3"/>
  <c r="AK172" i="3"/>
  <c r="AK173" i="3"/>
  <c r="AK174" i="3"/>
  <c r="AK175" i="3"/>
  <c r="AK176" i="3"/>
  <c r="AK177" i="3"/>
  <c r="AK178" i="3"/>
  <c r="AK179" i="3"/>
  <c r="AK180" i="3"/>
  <c r="AK181" i="3"/>
  <c r="AK182" i="3"/>
  <c r="AK183" i="3"/>
  <c r="AK184" i="3"/>
  <c r="AK185" i="3"/>
  <c r="AK186" i="3"/>
  <c r="AK187" i="3"/>
  <c r="AK188" i="3"/>
  <c r="AK189" i="3"/>
  <c r="AK190" i="3"/>
  <c r="AK191" i="3"/>
  <c r="AK192" i="3"/>
  <c r="AK193" i="3"/>
  <c r="AK194" i="3"/>
  <c r="AK195" i="3"/>
  <c r="AK196" i="3"/>
  <c r="AK197" i="3"/>
  <c r="AK198" i="3"/>
  <c r="AK199" i="3"/>
  <c r="AK200" i="3"/>
  <c r="AK201" i="3"/>
  <c r="AK202" i="3"/>
  <c r="AK203" i="3"/>
  <c r="AK204" i="3"/>
  <c r="AK205" i="3"/>
  <c r="AK206" i="3"/>
  <c r="AK207" i="3"/>
  <c r="AK208" i="3"/>
  <c r="AK209" i="3"/>
  <c r="AK210" i="3"/>
  <c r="AK211" i="3"/>
  <c r="AK212" i="3"/>
  <c r="AK213" i="3"/>
  <c r="AK214" i="3"/>
  <c r="AK215" i="3"/>
  <c r="AK216" i="3"/>
  <c r="AK217" i="3"/>
  <c r="AK218" i="3"/>
  <c r="AK219" i="3"/>
  <c r="AK220" i="3"/>
  <c r="AK221" i="3"/>
  <c r="AK222" i="3"/>
  <c r="AK223" i="3"/>
  <c r="AK224" i="3"/>
  <c r="AK225" i="3"/>
  <c r="AK226" i="3"/>
  <c r="AK227" i="3"/>
  <c r="AK228" i="3"/>
  <c r="AK229" i="3"/>
  <c r="AK230" i="3"/>
  <c r="AK231" i="3"/>
  <c r="AK232" i="3"/>
  <c r="AK233" i="3"/>
  <c r="AK234" i="3"/>
  <c r="AK235" i="3"/>
  <c r="AK236" i="3"/>
  <c r="AK237" i="3"/>
  <c r="AK238" i="3"/>
  <c r="AK239" i="3"/>
  <c r="AK240" i="3"/>
  <c r="AK241" i="3"/>
  <c r="AK242" i="3"/>
  <c r="AK243" i="3"/>
  <c r="AK244" i="3"/>
  <c r="AK245" i="3"/>
  <c r="AK246" i="3"/>
  <c r="AK247" i="3"/>
  <c r="AK248" i="3"/>
  <c r="AK249" i="3"/>
  <c r="AK250" i="3"/>
  <c r="AK251" i="3"/>
  <c r="AK252" i="3"/>
  <c r="AK253" i="3"/>
  <c r="AK254" i="3"/>
  <c r="AK255" i="3"/>
  <c r="AK256" i="3"/>
  <c r="AK257" i="3"/>
  <c r="AK258" i="3"/>
  <c r="AK259" i="3"/>
  <c r="AK260" i="3"/>
  <c r="AK261" i="3"/>
  <c r="AK262" i="3"/>
  <c r="AK263" i="3"/>
  <c r="AK264" i="3"/>
  <c r="AK265" i="3"/>
  <c r="AK266" i="3"/>
  <c r="AK267" i="3"/>
  <c r="AK268" i="3"/>
  <c r="AK269" i="3"/>
  <c r="AK270" i="3"/>
  <c r="AK271" i="3"/>
  <c r="AK272" i="3"/>
  <c r="AK273" i="3"/>
  <c r="AK274" i="3"/>
  <c r="AK275" i="3"/>
  <c r="AK276" i="3"/>
  <c r="AK277" i="3"/>
  <c r="AK278" i="3"/>
  <c r="AK279" i="3"/>
  <c r="AK280" i="3"/>
  <c r="AK281" i="3"/>
  <c r="AK282" i="3"/>
  <c r="AK283" i="3"/>
  <c r="AK284" i="3"/>
  <c r="AK285" i="3"/>
  <c r="AK286" i="3"/>
  <c r="AK287" i="3"/>
  <c r="AK288" i="3"/>
  <c r="AK289" i="3"/>
  <c r="AK290" i="3"/>
  <c r="AK291" i="3"/>
  <c r="AK292" i="3"/>
  <c r="AK293" i="3"/>
  <c r="AK294" i="3"/>
  <c r="AK295" i="3"/>
  <c r="AK296" i="3"/>
  <c r="AK297" i="3"/>
  <c r="AK298" i="3"/>
  <c r="AK299" i="3"/>
  <c r="AK300" i="3"/>
  <c r="AK301" i="3"/>
  <c r="AK302" i="3"/>
  <c r="AK303" i="3"/>
  <c r="AK304" i="3"/>
  <c r="AK305" i="3"/>
  <c r="AK306" i="3"/>
  <c r="AK307" i="3"/>
  <c r="AK308" i="3"/>
  <c r="AK309" i="3"/>
  <c r="AK310" i="3"/>
  <c r="AK311" i="3"/>
  <c r="AK312" i="3"/>
  <c r="AK313" i="3"/>
  <c r="AK314" i="3"/>
  <c r="AK315" i="3"/>
  <c r="AK316" i="3"/>
  <c r="AK317" i="3"/>
  <c r="AK318" i="3"/>
  <c r="AK319" i="3"/>
  <c r="AK320" i="3"/>
  <c r="AK321" i="3"/>
  <c r="AK322" i="3"/>
  <c r="AK323" i="3"/>
  <c r="AK324" i="3"/>
  <c r="AK325" i="3"/>
  <c r="AK326" i="3"/>
  <c r="AK327" i="3"/>
  <c r="AK328" i="3"/>
  <c r="AK329" i="3"/>
  <c r="AK330" i="3"/>
  <c r="AK331" i="3"/>
  <c r="AK332" i="3"/>
  <c r="AK333" i="3"/>
  <c r="AK334" i="3"/>
  <c r="AK335" i="3"/>
  <c r="AK336" i="3"/>
  <c r="AK337" i="3"/>
  <c r="AK338" i="3"/>
  <c r="AK339" i="3"/>
  <c r="AK340" i="3"/>
  <c r="AK341" i="3"/>
  <c r="AK342" i="3"/>
  <c r="AK343" i="3"/>
  <c r="AK344" i="3"/>
  <c r="AK345" i="3"/>
  <c r="AK346" i="3"/>
  <c r="AK347" i="3"/>
  <c r="AK348" i="3"/>
  <c r="AK349" i="3"/>
  <c r="AK350" i="3"/>
  <c r="AK351" i="3"/>
  <c r="AK352" i="3"/>
  <c r="AK353" i="3"/>
  <c r="AK354" i="3"/>
  <c r="AK355" i="3"/>
  <c r="AK356" i="3"/>
  <c r="AK357" i="3"/>
  <c r="AK358" i="3"/>
  <c r="AK359" i="3"/>
  <c r="AK360" i="3"/>
  <c r="AK361" i="3"/>
  <c r="AK362" i="3"/>
  <c r="AK363" i="3"/>
  <c r="AK364" i="3"/>
  <c r="AK365" i="3"/>
  <c r="AK366" i="3"/>
  <c r="AK367" i="3"/>
  <c r="AK368" i="3"/>
  <c r="AK369" i="3"/>
  <c r="AK370" i="3"/>
  <c r="AK371" i="3"/>
  <c r="AK372" i="3"/>
  <c r="AK373" i="3"/>
  <c r="AK374" i="3"/>
  <c r="AK375" i="3"/>
  <c r="AK376" i="3"/>
  <c r="AK377" i="3"/>
  <c r="AK378" i="3"/>
  <c r="AK379" i="3"/>
  <c r="AK380" i="3"/>
  <c r="AK381" i="3"/>
  <c r="AK382" i="3"/>
  <c r="AK383" i="3"/>
  <c r="AK384" i="3"/>
  <c r="AK385" i="3"/>
  <c r="AK386" i="3"/>
  <c r="AK387" i="3"/>
  <c r="AK388" i="3"/>
  <c r="AK389" i="3"/>
  <c r="AK390" i="3"/>
  <c r="AK391" i="3"/>
  <c r="AK392" i="3"/>
  <c r="AK393" i="3"/>
  <c r="AK394" i="3"/>
  <c r="AK395" i="3"/>
  <c r="AK396" i="3"/>
  <c r="AK397" i="3"/>
  <c r="AK398" i="3"/>
  <c r="AK399" i="3"/>
  <c r="AK400" i="3"/>
  <c r="AK401" i="3"/>
  <c r="AK402" i="3"/>
  <c r="AK403" i="3"/>
  <c r="AK404" i="3"/>
  <c r="AK405" i="3"/>
  <c r="AK406" i="3"/>
  <c r="AK407" i="3"/>
  <c r="AK408" i="3"/>
  <c r="AK409" i="3"/>
  <c r="AK410" i="3"/>
  <c r="AK411" i="3"/>
  <c r="AK412" i="3"/>
  <c r="AK413" i="3"/>
  <c r="AK414" i="3"/>
  <c r="AK415" i="3"/>
  <c r="AK416" i="3"/>
  <c r="AK417" i="3"/>
  <c r="AK418" i="3"/>
  <c r="AK419" i="3"/>
  <c r="AK420" i="3"/>
  <c r="AK421" i="3"/>
  <c r="AK422" i="3"/>
  <c r="AK423" i="3"/>
  <c r="AK424" i="3"/>
  <c r="AK425" i="3"/>
  <c r="AK426" i="3"/>
  <c r="AK427" i="3"/>
  <c r="AK428" i="3"/>
  <c r="AK429" i="3"/>
  <c r="AK430" i="3"/>
  <c r="AK431" i="3"/>
  <c r="AK432" i="3"/>
  <c r="AK433" i="3"/>
  <c r="AK434" i="3"/>
  <c r="AK435" i="3"/>
  <c r="AK436" i="3"/>
  <c r="AK437" i="3"/>
  <c r="AK438" i="3"/>
  <c r="AK439" i="3"/>
  <c r="AK440" i="3"/>
  <c r="AK441" i="3"/>
  <c r="AK442" i="3"/>
  <c r="AK443" i="3"/>
  <c r="AK444" i="3"/>
  <c r="AK445" i="3"/>
  <c r="AK446" i="3"/>
  <c r="AK447" i="3"/>
  <c r="AK448" i="3"/>
  <c r="AK449" i="3"/>
  <c r="AK450" i="3"/>
  <c r="AK451" i="3"/>
  <c r="AK452" i="3"/>
  <c r="AK453" i="3"/>
  <c r="AK454" i="3"/>
  <c r="AK455" i="3"/>
  <c r="AK456" i="3"/>
  <c r="AK457" i="3"/>
  <c r="AK458" i="3"/>
  <c r="AK459" i="3"/>
  <c r="AK460" i="3"/>
  <c r="AK461" i="3"/>
  <c r="AK462" i="3"/>
  <c r="AK463" i="3"/>
  <c r="AK464" i="3"/>
  <c r="AK465" i="3"/>
  <c r="AK466" i="3"/>
  <c r="AK467" i="3"/>
  <c r="AK468" i="3"/>
  <c r="AK469" i="3"/>
  <c r="AK470" i="3"/>
  <c r="AK471" i="3"/>
  <c r="AK472" i="3"/>
  <c r="AK473" i="3"/>
  <c r="AK474" i="3"/>
  <c r="AK475" i="3"/>
  <c r="AK476" i="3"/>
  <c r="AK477" i="3"/>
  <c r="AK478" i="3"/>
  <c r="AK479" i="3"/>
  <c r="AK480" i="3"/>
  <c r="AK481" i="3"/>
  <c r="AK482" i="3"/>
  <c r="AK483" i="3"/>
  <c r="AK484" i="3"/>
  <c r="AK485" i="3"/>
  <c r="AK486" i="3"/>
  <c r="AK487" i="3"/>
  <c r="AK488" i="3"/>
  <c r="AK489" i="3"/>
  <c r="AK490" i="3"/>
  <c r="AK491" i="3"/>
  <c r="AK492" i="3"/>
  <c r="AK493" i="3"/>
  <c r="AK494" i="3"/>
  <c r="AK495" i="3"/>
  <c r="AK496" i="3"/>
  <c r="AK497" i="3"/>
  <c r="AK498" i="3"/>
  <c r="AK499" i="3"/>
  <c r="AK500" i="3"/>
  <c r="AK501" i="3"/>
  <c r="AK502" i="3"/>
  <c r="AK503" i="3"/>
  <c r="AK504" i="3"/>
  <c r="AK505" i="3"/>
  <c r="AK506" i="3"/>
  <c r="AK507" i="3"/>
  <c r="AK508" i="3"/>
  <c r="AK509" i="3"/>
  <c r="AK510" i="3"/>
  <c r="AK511" i="3"/>
  <c r="AK512" i="3"/>
  <c r="AK513" i="3"/>
  <c r="AK514" i="3"/>
  <c r="AK515" i="3"/>
  <c r="AK516" i="3"/>
  <c r="AK517" i="3"/>
  <c r="AK518" i="3"/>
  <c r="AK519" i="3"/>
  <c r="AK520" i="3"/>
  <c r="AK521" i="3"/>
  <c r="AK522" i="3"/>
  <c r="AK523" i="3"/>
  <c r="AK524" i="3"/>
  <c r="AK525" i="3"/>
  <c r="AK526" i="3"/>
  <c r="AK527" i="3"/>
  <c r="AK528" i="3"/>
  <c r="AK529" i="3"/>
  <c r="AK530" i="3"/>
  <c r="AK531" i="3"/>
  <c r="AK532" i="3"/>
  <c r="AK533" i="3"/>
  <c r="AK534" i="3"/>
  <c r="AK535" i="3"/>
  <c r="AK536" i="3"/>
  <c r="AK537" i="3"/>
  <c r="AK538" i="3"/>
  <c r="AK539" i="3"/>
  <c r="AK540" i="3"/>
  <c r="AK541" i="3"/>
  <c r="AK542" i="3"/>
  <c r="AK543" i="3"/>
  <c r="AK544" i="3"/>
  <c r="AK545" i="3"/>
  <c r="AK546" i="3"/>
  <c r="AK547" i="3"/>
  <c r="AK548" i="3"/>
  <c r="AK549" i="3"/>
  <c r="AK550" i="3"/>
  <c r="AK551" i="3"/>
  <c r="AK552" i="3"/>
  <c r="AK553" i="3"/>
  <c r="AK554" i="3"/>
  <c r="AK555" i="3"/>
  <c r="AK556" i="3"/>
  <c r="AK557" i="3"/>
  <c r="AK558" i="3"/>
  <c r="AK559" i="3"/>
  <c r="AK560" i="3"/>
  <c r="AK561" i="3"/>
  <c r="AK562" i="3"/>
  <c r="AK563" i="3"/>
  <c r="AK564" i="3"/>
  <c r="AK565" i="3"/>
  <c r="AK566" i="3"/>
  <c r="AK567" i="3"/>
  <c r="AK568" i="3"/>
  <c r="AK569" i="3"/>
  <c r="AK570" i="3"/>
  <c r="AK571" i="3"/>
  <c r="AK572" i="3"/>
  <c r="AK573" i="3"/>
  <c r="AK574" i="3"/>
  <c r="AK575" i="3"/>
  <c r="AK576" i="3"/>
  <c r="AK577" i="3"/>
  <c r="AK578" i="3"/>
  <c r="AK579" i="3"/>
  <c r="AK580" i="3"/>
  <c r="AK581" i="3"/>
  <c r="AK582" i="3"/>
  <c r="AK583" i="3"/>
  <c r="AK584" i="3"/>
  <c r="AK585" i="3"/>
  <c r="AK586" i="3"/>
  <c r="AK587" i="3"/>
  <c r="AK588" i="3"/>
  <c r="AK589" i="3"/>
  <c r="AK590" i="3"/>
  <c r="AK591" i="3"/>
  <c r="AK592" i="3"/>
  <c r="AK593" i="3"/>
  <c r="AK594" i="3"/>
  <c r="AK595" i="3"/>
  <c r="AK596" i="3"/>
  <c r="AK597" i="3"/>
  <c r="AK598" i="3"/>
  <c r="AK599" i="3"/>
  <c r="AK600" i="3"/>
  <c r="AK601" i="3"/>
  <c r="AK602" i="3"/>
  <c r="AK603" i="3"/>
  <c r="AK604" i="3"/>
  <c r="AK605" i="3"/>
  <c r="AK606" i="3"/>
  <c r="AK607" i="3"/>
  <c r="AK608" i="3"/>
  <c r="AK609" i="3"/>
  <c r="AK610" i="3"/>
  <c r="AK611" i="3"/>
  <c r="AK612" i="3"/>
  <c r="AK613" i="3"/>
  <c r="AK614" i="3"/>
  <c r="AK615" i="3"/>
  <c r="AK616" i="3"/>
  <c r="AK617" i="3"/>
  <c r="AK618" i="3"/>
  <c r="AK619" i="3"/>
  <c r="AK620" i="3"/>
  <c r="AK621" i="3"/>
  <c r="AK622" i="3"/>
  <c r="AK623" i="3"/>
  <c r="AK624" i="3"/>
  <c r="AK625" i="3"/>
  <c r="AK626" i="3"/>
  <c r="AK627" i="3"/>
  <c r="AK628" i="3"/>
  <c r="AK629" i="3"/>
  <c r="AK630" i="3"/>
  <c r="AK631" i="3"/>
  <c r="AK632" i="3"/>
  <c r="AK633" i="3"/>
  <c r="AK634" i="3"/>
  <c r="AK635" i="3"/>
  <c r="AK636" i="3"/>
  <c r="AK637" i="3"/>
  <c r="AK638" i="3"/>
  <c r="AK639" i="3"/>
  <c r="AK640" i="3"/>
  <c r="AK641" i="3"/>
  <c r="AK642" i="3"/>
  <c r="AK643" i="3"/>
  <c r="AK644" i="3"/>
  <c r="AK645" i="3"/>
  <c r="AK646" i="3"/>
  <c r="AK647" i="3"/>
  <c r="AK648" i="3"/>
  <c r="AK649" i="3"/>
  <c r="AK650" i="3"/>
  <c r="AK651" i="3"/>
  <c r="AK652" i="3"/>
  <c r="AK653" i="3"/>
  <c r="AK654" i="3"/>
  <c r="AK655" i="3"/>
  <c r="AK656" i="3"/>
  <c r="AK657" i="3"/>
  <c r="AK658" i="3"/>
  <c r="AK659" i="3"/>
  <c r="AK660" i="3"/>
  <c r="AK661" i="3"/>
  <c r="AK662" i="3"/>
  <c r="AK663" i="3"/>
  <c r="AK664" i="3"/>
  <c r="AK665" i="3"/>
  <c r="AK666" i="3"/>
  <c r="AK667" i="3"/>
  <c r="AK668" i="3"/>
  <c r="AK669" i="3"/>
  <c r="AK670" i="3"/>
  <c r="AK671" i="3"/>
  <c r="AK672" i="3"/>
  <c r="AK673" i="3"/>
  <c r="AK674" i="3"/>
  <c r="AK675" i="3"/>
  <c r="AK676" i="3"/>
  <c r="AK677" i="3"/>
  <c r="AK678" i="3"/>
  <c r="AK679" i="3"/>
  <c r="AK680" i="3"/>
  <c r="AK681" i="3"/>
  <c r="AK682" i="3"/>
  <c r="AK683" i="3"/>
  <c r="AK684" i="3"/>
  <c r="AK685" i="3"/>
  <c r="AK686" i="3"/>
  <c r="AK687" i="3"/>
  <c r="AK688" i="3"/>
  <c r="AK689" i="3"/>
  <c r="AK690" i="3"/>
  <c r="AK691" i="3"/>
  <c r="AK692" i="3"/>
  <c r="AK693" i="3"/>
  <c r="AK694" i="3"/>
  <c r="AK695" i="3"/>
  <c r="AK696" i="3"/>
  <c r="AK697" i="3"/>
  <c r="AK698" i="3"/>
  <c r="AK699" i="3"/>
  <c r="AK700" i="3"/>
  <c r="AK701" i="3"/>
  <c r="AK702" i="3"/>
  <c r="AK703" i="3"/>
  <c r="AK704" i="3"/>
  <c r="AK705" i="3"/>
  <c r="AK706" i="3"/>
  <c r="AK707" i="3"/>
  <c r="AK708" i="3"/>
  <c r="AK709" i="3"/>
  <c r="AK710" i="3"/>
  <c r="AK711" i="3"/>
  <c r="AK712" i="3"/>
  <c r="AK713" i="3"/>
  <c r="AK714" i="3"/>
  <c r="AK715" i="3"/>
  <c r="AK716" i="3"/>
  <c r="AK717" i="3"/>
  <c r="AK718" i="3"/>
  <c r="AK719" i="3"/>
  <c r="AK720" i="3"/>
  <c r="AK721" i="3"/>
  <c r="AK722" i="3"/>
  <c r="AK723" i="3"/>
  <c r="AK724" i="3"/>
  <c r="AK725" i="3"/>
  <c r="AK726" i="3"/>
  <c r="AK727" i="3"/>
  <c r="AK728" i="3"/>
  <c r="AK729" i="3"/>
  <c r="AK730" i="3"/>
  <c r="AK731" i="3"/>
  <c r="AK732" i="3"/>
  <c r="AK733" i="3"/>
  <c r="AK734" i="3"/>
  <c r="AK735" i="3"/>
  <c r="AK736" i="3"/>
  <c r="AK737" i="3"/>
  <c r="AK738" i="3"/>
  <c r="AK739" i="3"/>
  <c r="AK740" i="3"/>
  <c r="AK741" i="3"/>
  <c r="AK742" i="3"/>
  <c r="AK743" i="3"/>
  <c r="AK744" i="3"/>
  <c r="AK745" i="3"/>
  <c r="AK746" i="3"/>
  <c r="AK747" i="3"/>
  <c r="AK748" i="3"/>
  <c r="AK749" i="3"/>
  <c r="AK750" i="3"/>
  <c r="AK751" i="3"/>
  <c r="AK752" i="3"/>
  <c r="AK753" i="3"/>
  <c r="AK754" i="3"/>
  <c r="AK755" i="3"/>
  <c r="AK756" i="3"/>
  <c r="AK757" i="3"/>
  <c r="AK758" i="3"/>
  <c r="AK759" i="3"/>
  <c r="AK760" i="3"/>
  <c r="AK761" i="3"/>
  <c r="AK762" i="3"/>
  <c r="AK763" i="3"/>
  <c r="AK764" i="3"/>
  <c r="AK765" i="3"/>
  <c r="AK766" i="3"/>
  <c r="AK767" i="3"/>
  <c r="AK768" i="3"/>
  <c r="AK769" i="3"/>
  <c r="AK770" i="3"/>
  <c r="AK771" i="3"/>
  <c r="AK772" i="3"/>
  <c r="AK773" i="3"/>
  <c r="AK774" i="3"/>
  <c r="AK775" i="3"/>
  <c r="AK776" i="3"/>
  <c r="AK777" i="3"/>
  <c r="AK778" i="3"/>
  <c r="AK779" i="3"/>
  <c r="AK780" i="3"/>
  <c r="AK781" i="3"/>
  <c r="AK782" i="3"/>
  <c r="AK783" i="3"/>
  <c r="AK784" i="3"/>
  <c r="AK785" i="3"/>
  <c r="AK786" i="3"/>
  <c r="AK787" i="3"/>
  <c r="AK788" i="3"/>
  <c r="AK789" i="3"/>
  <c r="AK790" i="3"/>
  <c r="AK791" i="3"/>
  <c r="AK792" i="3"/>
  <c r="AK793" i="3"/>
  <c r="AK794" i="3"/>
  <c r="AK795" i="3"/>
  <c r="AK796" i="3"/>
  <c r="AK797" i="3"/>
  <c r="AK798" i="3"/>
  <c r="AK799" i="3"/>
  <c r="AK800" i="3"/>
  <c r="AK801" i="3"/>
  <c r="AK802" i="3"/>
  <c r="AK803" i="3"/>
  <c r="AK804" i="3"/>
  <c r="AK805" i="3"/>
  <c r="AK806" i="3"/>
  <c r="AK807" i="3"/>
  <c r="AK808" i="3"/>
  <c r="AK809" i="3"/>
  <c r="AK810" i="3"/>
  <c r="AK811" i="3"/>
  <c r="AK812" i="3"/>
  <c r="AK813" i="3"/>
  <c r="AK814" i="3"/>
  <c r="AK815" i="3"/>
  <c r="AK816" i="3"/>
  <c r="AK817" i="3"/>
  <c r="AK818" i="3"/>
  <c r="AK819" i="3"/>
  <c r="AK820" i="3"/>
  <c r="AK821" i="3"/>
  <c r="AK822" i="3"/>
  <c r="AK823" i="3"/>
  <c r="AK824" i="3"/>
  <c r="AK825" i="3"/>
  <c r="AK826" i="3"/>
  <c r="AK827" i="3"/>
  <c r="AK828" i="3"/>
  <c r="AK829" i="3"/>
  <c r="AK830" i="3"/>
  <c r="AK831" i="3"/>
  <c r="AK832" i="3"/>
  <c r="AK833" i="3"/>
  <c r="AK834" i="3"/>
  <c r="AK835" i="3"/>
  <c r="AK836" i="3"/>
  <c r="AK837" i="3"/>
  <c r="AK838" i="3"/>
  <c r="AK839" i="3"/>
  <c r="AK840" i="3"/>
  <c r="AK841" i="3"/>
  <c r="AK842" i="3"/>
  <c r="AK843" i="3"/>
  <c r="AK844" i="3"/>
  <c r="AK845" i="3"/>
  <c r="AK846" i="3"/>
  <c r="AK847" i="3"/>
  <c r="AK848" i="3"/>
  <c r="AK849" i="3"/>
  <c r="AK850" i="3"/>
  <c r="AK851" i="3"/>
  <c r="AK852" i="3"/>
  <c r="AK853" i="3"/>
  <c r="AK854" i="3"/>
  <c r="AK855" i="3"/>
  <c r="AK856" i="3"/>
  <c r="AK857" i="3"/>
  <c r="AK858" i="3"/>
  <c r="AK859" i="3"/>
  <c r="AK860" i="3"/>
  <c r="AK861" i="3"/>
  <c r="AK862" i="3"/>
  <c r="AK863" i="3"/>
  <c r="AK864" i="3"/>
  <c r="AK865" i="3"/>
  <c r="AK866" i="3"/>
  <c r="AK867" i="3"/>
  <c r="AK868" i="3"/>
  <c r="AK869" i="3"/>
  <c r="AK870" i="3"/>
  <c r="AK871" i="3"/>
  <c r="AK872" i="3"/>
  <c r="AK873" i="3"/>
  <c r="AK874" i="3"/>
  <c r="AK875" i="3"/>
  <c r="AK876" i="3"/>
  <c r="AK877" i="3"/>
  <c r="AK878" i="3"/>
  <c r="AK879" i="3"/>
  <c r="AK880" i="3"/>
  <c r="AK881" i="3"/>
  <c r="AK882" i="3"/>
  <c r="AK883" i="3"/>
  <c r="AK884" i="3"/>
  <c r="AK885" i="3"/>
  <c r="AK886" i="3"/>
  <c r="AK887" i="3"/>
  <c r="AK888" i="3"/>
  <c r="AK889" i="3"/>
  <c r="AK890" i="3"/>
  <c r="AK891" i="3"/>
  <c r="AK892" i="3"/>
  <c r="AK893" i="3"/>
  <c r="AK894" i="3"/>
  <c r="AK895" i="3"/>
  <c r="AK896" i="3"/>
  <c r="AK897" i="3"/>
  <c r="AK898" i="3"/>
  <c r="AK899" i="3"/>
  <c r="AK900" i="3"/>
  <c r="AK901" i="3"/>
  <c r="AK902" i="3"/>
  <c r="AK903" i="3"/>
  <c r="AK904" i="3"/>
  <c r="AK905" i="3"/>
  <c r="AK906" i="3"/>
  <c r="AK907" i="3"/>
  <c r="AK908" i="3"/>
  <c r="AK909" i="3"/>
  <c r="AK910" i="3"/>
  <c r="AK911" i="3"/>
  <c r="AK912" i="3"/>
  <c r="AK913" i="3"/>
  <c r="AK914" i="3"/>
  <c r="AK915" i="3"/>
  <c r="AK916" i="3"/>
  <c r="AK917" i="3"/>
  <c r="AK918" i="3"/>
  <c r="AK919" i="3"/>
  <c r="AK920" i="3"/>
  <c r="AK921" i="3"/>
  <c r="AK922" i="3"/>
  <c r="AK923" i="3"/>
  <c r="AK924" i="3"/>
  <c r="AK925" i="3"/>
  <c r="AK926" i="3"/>
  <c r="AK927" i="3"/>
  <c r="AK928" i="3"/>
  <c r="AK929" i="3"/>
  <c r="AK930" i="3"/>
  <c r="AK931" i="3"/>
  <c r="AK932" i="3"/>
  <c r="AK933" i="3"/>
  <c r="AK934" i="3"/>
  <c r="AK935" i="3"/>
  <c r="AK936" i="3"/>
  <c r="AK937" i="3"/>
  <c r="AK938" i="3"/>
  <c r="AK939" i="3"/>
  <c r="AK940" i="3"/>
  <c r="AK941" i="3"/>
  <c r="AK942" i="3"/>
  <c r="AK943" i="3"/>
  <c r="AK944" i="3"/>
  <c r="AK945" i="3"/>
  <c r="AK946" i="3"/>
  <c r="AK947" i="3"/>
  <c r="AK948" i="3"/>
  <c r="AK949" i="3"/>
  <c r="AK950" i="3"/>
  <c r="AK951" i="3"/>
  <c r="AK952" i="3"/>
  <c r="AK953" i="3"/>
  <c r="AK954" i="3"/>
  <c r="AK955" i="3"/>
  <c r="AK956" i="3"/>
  <c r="AK957" i="3"/>
  <c r="AK958" i="3"/>
  <c r="AK959" i="3"/>
  <c r="AK960" i="3"/>
  <c r="AK961" i="3"/>
  <c r="AK962" i="3"/>
  <c r="AK963" i="3"/>
  <c r="AK964" i="3"/>
  <c r="AK965" i="3"/>
  <c r="AK966" i="3"/>
  <c r="AK967" i="3"/>
  <c r="AK968" i="3"/>
  <c r="AK969" i="3"/>
  <c r="AK970" i="3"/>
  <c r="AK971" i="3"/>
  <c r="AK972" i="3"/>
  <c r="AK973" i="3"/>
  <c r="AK974" i="3"/>
  <c r="AK975" i="3"/>
  <c r="AK976" i="3"/>
  <c r="AK977" i="3"/>
  <c r="AK978" i="3"/>
  <c r="AK979" i="3"/>
  <c r="AK980" i="3"/>
  <c r="AK981" i="3"/>
  <c r="AK982" i="3"/>
  <c r="AK983" i="3"/>
  <c r="AK984" i="3"/>
  <c r="AK985" i="3"/>
  <c r="AK986" i="3"/>
  <c r="AK987" i="3"/>
  <c r="AK988" i="3"/>
  <c r="AK989" i="3"/>
  <c r="AK990" i="3"/>
  <c r="AK991" i="3"/>
  <c r="AK992" i="3"/>
  <c r="AK993" i="3"/>
  <c r="AK994" i="3"/>
  <c r="AK995" i="3"/>
  <c r="AK996" i="3"/>
  <c r="AK997" i="3"/>
  <c r="AK998" i="3"/>
  <c r="AK999" i="3"/>
  <c r="AK1000" i="3"/>
  <c r="AK1001" i="3"/>
  <c r="AK1002" i="3"/>
  <c r="AK1003" i="3"/>
  <c r="AK1004" i="3"/>
  <c r="AK1005" i="3"/>
  <c r="AK1006" i="3"/>
  <c r="AK1007" i="3"/>
  <c r="AK1008" i="3"/>
  <c r="AK1009" i="3"/>
  <c r="AK1010" i="3"/>
  <c r="AK1011" i="3"/>
  <c r="AK1012" i="3"/>
  <c r="AK1013" i="3"/>
  <c r="AK1014" i="3"/>
  <c r="AK1015" i="3"/>
  <c r="AK1016" i="3"/>
  <c r="AK1017" i="3"/>
  <c r="AK1018" i="3"/>
  <c r="AK1019" i="3"/>
  <c r="AK1020" i="3"/>
  <c r="AK1021" i="3"/>
  <c r="AK1022" i="3"/>
  <c r="AK1023" i="3"/>
  <c r="AK1024" i="3"/>
  <c r="AK1025" i="3"/>
  <c r="AK1026" i="3"/>
  <c r="AK1027" i="3"/>
  <c r="AK1028" i="3"/>
  <c r="AK1029" i="3"/>
  <c r="AK1030" i="3"/>
  <c r="AK1031" i="3"/>
  <c r="AK1032" i="3"/>
  <c r="AK1033" i="3"/>
  <c r="AK1034" i="3"/>
  <c r="AK1035" i="3"/>
  <c r="AK1036" i="3"/>
  <c r="AK1037" i="3"/>
  <c r="AK1038" i="3"/>
  <c r="AK1039" i="3"/>
  <c r="AK1040" i="3"/>
  <c r="AK1041" i="3"/>
  <c r="AK1042" i="3"/>
  <c r="AK1043" i="3"/>
  <c r="AK1044" i="3"/>
  <c r="AK1045" i="3"/>
  <c r="AK1046" i="3"/>
  <c r="AK1047" i="3"/>
  <c r="AK1048" i="3"/>
  <c r="AK1049" i="3"/>
  <c r="AK1050" i="3"/>
  <c r="AK1051" i="3"/>
  <c r="AK1052" i="3"/>
  <c r="AK1053" i="3"/>
  <c r="AK1054" i="3"/>
  <c r="AK1055" i="3"/>
  <c r="AK1056" i="3"/>
  <c r="AK1057" i="3"/>
  <c r="AK1058" i="3"/>
  <c r="AK1059" i="3"/>
  <c r="AK1060" i="3"/>
  <c r="AK1061" i="3"/>
  <c r="AK1062" i="3"/>
  <c r="AK1063" i="3"/>
  <c r="AK1064" i="3"/>
  <c r="AK1065" i="3"/>
  <c r="AK1066" i="3"/>
  <c r="AK1067" i="3"/>
  <c r="AK1068" i="3"/>
  <c r="AK1069" i="3"/>
  <c r="AK1070" i="3"/>
  <c r="AK1071" i="3"/>
  <c r="AK1072" i="3"/>
  <c r="AK1073" i="3"/>
  <c r="AK1074" i="3"/>
  <c r="AK1075" i="3"/>
  <c r="AK1076" i="3"/>
  <c r="AK1077" i="3"/>
  <c r="AK1078" i="3"/>
  <c r="AK1079" i="3"/>
  <c r="AK1080" i="3"/>
  <c r="AK1081" i="3"/>
  <c r="AK1082" i="3"/>
  <c r="AK1083" i="3"/>
  <c r="AK1084" i="3"/>
  <c r="AK1085" i="3"/>
  <c r="AK1086" i="3"/>
  <c r="AK1087" i="3"/>
  <c r="AK1088" i="3"/>
  <c r="AK1089" i="3"/>
  <c r="AK1090" i="3"/>
  <c r="AK1091" i="3"/>
  <c r="AK1092" i="3"/>
  <c r="AK1093" i="3"/>
  <c r="AK1094" i="3"/>
  <c r="AK1095" i="3"/>
  <c r="AK1096" i="3"/>
  <c r="AK1097" i="3"/>
  <c r="AK1098" i="3"/>
  <c r="AK1099" i="3"/>
  <c r="AK1100" i="3"/>
  <c r="AK1101" i="3"/>
  <c r="AK1102" i="3"/>
  <c r="AK1103" i="3"/>
  <c r="AK1104" i="3"/>
  <c r="AK1105" i="3"/>
  <c r="AK1106" i="3"/>
  <c r="AK1107" i="3"/>
  <c r="AK1108" i="3"/>
  <c r="AK1109" i="3"/>
  <c r="AK1110" i="3"/>
  <c r="AK1111" i="3"/>
  <c r="AK1112" i="3"/>
  <c r="AK1113" i="3"/>
  <c r="AK1114" i="3"/>
  <c r="AK1115" i="3"/>
  <c r="AK1116" i="3"/>
  <c r="AK1117" i="3"/>
  <c r="AK1118" i="3"/>
  <c r="AK1119" i="3"/>
  <c r="AK1120" i="3"/>
  <c r="AK1121" i="3"/>
  <c r="AK1122" i="3"/>
  <c r="AK1123" i="3"/>
  <c r="AK1124" i="3"/>
  <c r="AK1125" i="3"/>
  <c r="AK1126" i="3"/>
  <c r="AK1127" i="3"/>
  <c r="AK1128" i="3"/>
  <c r="AK1129" i="3"/>
  <c r="AK1130" i="3"/>
  <c r="AK1131" i="3"/>
  <c r="AK1132" i="3"/>
  <c r="AK1133" i="3"/>
  <c r="AK1134" i="3"/>
  <c r="AK1135" i="3"/>
  <c r="AK1136" i="3"/>
  <c r="AK1137" i="3"/>
  <c r="AK1138" i="3"/>
  <c r="AK1139" i="3"/>
  <c r="AK1140" i="3"/>
  <c r="AK1141" i="3"/>
  <c r="AK1142" i="3"/>
  <c r="AK1143" i="3"/>
  <c r="AK1144" i="3"/>
  <c r="AK1145" i="3"/>
  <c r="AK1146" i="3"/>
  <c r="AK1147" i="3"/>
  <c r="AK1148" i="3"/>
  <c r="AK1149" i="3"/>
  <c r="AK1150" i="3"/>
  <c r="AK1151" i="3"/>
  <c r="AK1152" i="3"/>
  <c r="AK1153" i="3"/>
  <c r="AK1154" i="3"/>
  <c r="AK1155" i="3"/>
  <c r="AK1156" i="3"/>
  <c r="AK1157" i="3"/>
  <c r="AK1158" i="3"/>
  <c r="AK1159" i="3"/>
  <c r="AK1160" i="3"/>
  <c r="AK1161" i="3"/>
  <c r="AK1162" i="3"/>
  <c r="AK1163" i="3"/>
  <c r="AK1164" i="3"/>
  <c r="AK1165" i="3"/>
  <c r="AK1166" i="3"/>
  <c r="AK1167" i="3"/>
  <c r="AK1168" i="3"/>
  <c r="AK1169" i="3"/>
  <c r="AK1170" i="3"/>
  <c r="AK1171" i="3"/>
  <c r="AK1172" i="3"/>
  <c r="AK1173" i="3"/>
  <c r="AK1174" i="3"/>
  <c r="AK1175" i="3"/>
  <c r="AK1176" i="3"/>
  <c r="AK1177" i="3"/>
  <c r="AK1178" i="3"/>
  <c r="AK1179" i="3"/>
  <c r="AK1180" i="3"/>
  <c r="AK1181" i="3"/>
  <c r="AK1182" i="3"/>
  <c r="AK1183" i="3"/>
  <c r="AK1184" i="3"/>
  <c r="AK1185" i="3"/>
  <c r="AK1186" i="3"/>
  <c r="AK1187" i="3"/>
  <c r="AK1188" i="3"/>
  <c r="AK1189" i="3"/>
  <c r="AK1190" i="3"/>
  <c r="AK1191" i="3"/>
  <c r="AK1192" i="3"/>
  <c r="AK1193" i="3"/>
  <c r="AK1194" i="3"/>
  <c r="AK1195" i="3"/>
  <c r="AK1196" i="3"/>
  <c r="AK1197" i="3"/>
  <c r="AK1198" i="3"/>
  <c r="AK1199" i="3"/>
  <c r="AK1200" i="3"/>
  <c r="AK1201" i="3"/>
  <c r="AK1202" i="3"/>
  <c r="AK1203" i="3"/>
  <c r="AK1204" i="3"/>
  <c r="AK1205" i="3"/>
  <c r="AK1206" i="3"/>
  <c r="AK1207" i="3"/>
  <c r="AK1208" i="3"/>
  <c r="AK1209" i="3"/>
  <c r="AK1210" i="3"/>
  <c r="AK1211" i="3"/>
  <c r="AK1212" i="3"/>
  <c r="AK1213" i="3"/>
  <c r="AK1214" i="3"/>
  <c r="AK1215" i="3"/>
  <c r="AK1216" i="3"/>
  <c r="AK1217" i="3"/>
  <c r="AK1218" i="3"/>
  <c r="AK1219" i="3"/>
  <c r="AK1220" i="3"/>
  <c r="AK1221" i="3"/>
  <c r="AK1222" i="3"/>
  <c r="AK1223" i="3"/>
  <c r="AK1224" i="3"/>
  <c r="AK1225" i="3"/>
  <c r="AK1226" i="3"/>
  <c r="AK1227" i="3"/>
  <c r="AK1228" i="3"/>
  <c r="AK1229" i="3"/>
  <c r="AK1230" i="3"/>
  <c r="AK1231" i="3"/>
  <c r="AK1232" i="3"/>
  <c r="AK1233" i="3"/>
  <c r="AK1234" i="3"/>
  <c r="AK1235" i="3"/>
  <c r="AK1236" i="3"/>
  <c r="AK1237" i="3"/>
  <c r="AK1238" i="3"/>
  <c r="AK1239" i="3"/>
  <c r="AK1240" i="3"/>
  <c r="AK1241" i="3"/>
  <c r="AK1242" i="3"/>
  <c r="AK1243" i="3"/>
  <c r="AK1244" i="3"/>
  <c r="AK1245" i="3"/>
  <c r="AK1246" i="3"/>
  <c r="AK1247" i="3"/>
  <c r="AK1248" i="3"/>
  <c r="AK1249" i="3"/>
  <c r="AK1250" i="3"/>
  <c r="AK1251" i="3"/>
  <c r="AK1252" i="3"/>
  <c r="AK1253" i="3"/>
  <c r="AK1254" i="3"/>
  <c r="AK1255" i="3"/>
  <c r="AK1256" i="3"/>
  <c r="AK1257" i="3"/>
  <c r="AK1258" i="3"/>
  <c r="AK1259" i="3"/>
  <c r="AK1260" i="3"/>
  <c r="AK1261" i="3"/>
  <c r="AK1262" i="3"/>
  <c r="AK1263" i="3"/>
  <c r="AK1264" i="3"/>
  <c r="AK1265" i="3"/>
  <c r="AK1266" i="3"/>
  <c r="AK1267" i="3"/>
  <c r="AK1268" i="3"/>
  <c r="AK1269" i="3"/>
  <c r="AK1270" i="3"/>
  <c r="AK1271" i="3"/>
  <c r="AK1272" i="3"/>
  <c r="AK1273" i="3"/>
  <c r="AK1274" i="3"/>
  <c r="AK1275" i="3"/>
  <c r="AK1276" i="3"/>
  <c r="AK1277" i="3"/>
  <c r="AK1278" i="3"/>
  <c r="AK1279" i="3"/>
  <c r="AK1280" i="3"/>
  <c r="AK1281" i="3"/>
  <c r="AK1282" i="3"/>
  <c r="AK1283" i="3"/>
  <c r="AK1284" i="3"/>
  <c r="AK1285" i="3"/>
  <c r="AK1286" i="3"/>
  <c r="AK1287" i="3"/>
  <c r="AK1288" i="3"/>
  <c r="AK1289" i="3"/>
  <c r="AK1290" i="3"/>
  <c r="AK1291" i="3"/>
  <c r="AK1292" i="3"/>
  <c r="AK1293" i="3"/>
  <c r="AK1294" i="3"/>
  <c r="AK1295" i="3"/>
  <c r="AK1296" i="3"/>
  <c r="AK1297" i="3"/>
  <c r="AK1298" i="3"/>
  <c r="AK1299" i="3"/>
  <c r="AK1300" i="3"/>
  <c r="AK1301" i="3"/>
  <c r="AK1302" i="3"/>
  <c r="AK1303" i="3"/>
  <c r="AK1304" i="3"/>
  <c r="AK1305" i="3"/>
  <c r="AK1306" i="3"/>
  <c r="AK1307" i="3"/>
  <c r="AK1308" i="3"/>
  <c r="AK1309" i="3"/>
  <c r="AK1310" i="3"/>
  <c r="AK1311" i="3"/>
  <c r="AK1312" i="3"/>
  <c r="AK1313" i="3"/>
  <c r="AK1314" i="3"/>
  <c r="AK1315" i="3"/>
  <c r="AK1316" i="3"/>
  <c r="AK1317" i="3"/>
  <c r="AK1318" i="3"/>
  <c r="AK1319" i="3"/>
  <c r="AK1320" i="3"/>
  <c r="AK1321" i="3"/>
  <c r="AK1322" i="3"/>
  <c r="AK1323" i="3"/>
  <c r="AK1324" i="3"/>
  <c r="AK1325" i="3"/>
  <c r="AK1326" i="3"/>
  <c r="AK1327" i="3"/>
  <c r="AK1328" i="3"/>
  <c r="AK1329" i="3"/>
  <c r="AK1330" i="3"/>
  <c r="AK1331" i="3"/>
  <c r="AK1332" i="3"/>
  <c r="AK1333" i="3"/>
  <c r="AK1334" i="3"/>
  <c r="AK1335" i="3"/>
  <c r="AK1336" i="3"/>
  <c r="AK1337" i="3"/>
  <c r="AK1338" i="3"/>
  <c r="AK1339" i="3"/>
  <c r="AK1340" i="3"/>
  <c r="AK1341" i="3"/>
  <c r="AK1342" i="3"/>
  <c r="AK1343" i="3"/>
  <c r="AK1344" i="3"/>
  <c r="AK1345" i="3"/>
  <c r="AK1346" i="3"/>
  <c r="AK1347" i="3"/>
  <c r="AK1348" i="3"/>
  <c r="AK1349" i="3"/>
  <c r="AK1350" i="3"/>
  <c r="AK1351" i="3"/>
  <c r="AK1352" i="3"/>
  <c r="AK1353" i="3"/>
  <c r="AK1354" i="3"/>
  <c r="AK1355" i="3"/>
  <c r="AK1356" i="3"/>
  <c r="AK1357" i="3"/>
  <c r="AK1358" i="3"/>
  <c r="AK1359" i="3"/>
  <c r="AK1360" i="3"/>
  <c r="AK1361" i="3"/>
  <c r="AK1362" i="3"/>
  <c r="AK1363" i="3"/>
  <c r="AK1364" i="3"/>
  <c r="AK1365" i="3"/>
  <c r="AK1366" i="3"/>
  <c r="AK1367" i="3"/>
  <c r="AK1368" i="3"/>
  <c r="AK1369" i="3"/>
  <c r="AK1370" i="3"/>
  <c r="AK1371" i="3"/>
  <c r="AK1372" i="3"/>
  <c r="AK1373" i="3"/>
  <c r="AK1374" i="3"/>
  <c r="AK1375" i="3"/>
  <c r="AK1376" i="3"/>
  <c r="AK1377" i="3"/>
  <c r="AK1378" i="3"/>
  <c r="AK1379" i="3"/>
  <c r="AK1380" i="3"/>
  <c r="AK1381" i="3"/>
  <c r="AK1382" i="3"/>
  <c r="AK1383" i="3"/>
  <c r="AK1384" i="3"/>
  <c r="AK1385" i="3"/>
  <c r="AK1386" i="3"/>
  <c r="AK1387" i="3"/>
  <c r="AK1388" i="3"/>
  <c r="AK1389" i="3"/>
  <c r="AK1390" i="3"/>
  <c r="AK1391" i="3"/>
  <c r="AK1392" i="3"/>
  <c r="AK1393" i="3"/>
  <c r="AK1394" i="3"/>
  <c r="AK1395" i="3"/>
  <c r="AK1396" i="3"/>
  <c r="AK1397" i="3"/>
  <c r="AK1398" i="3"/>
  <c r="AK1399" i="3"/>
  <c r="AK1400" i="3"/>
  <c r="AK1401" i="3"/>
  <c r="AK1402" i="3"/>
  <c r="AK1403" i="3"/>
  <c r="AK1404" i="3"/>
  <c r="AK1405" i="3"/>
  <c r="AK1406" i="3"/>
  <c r="AK1407" i="3"/>
  <c r="AK1408" i="3"/>
  <c r="AK1409" i="3"/>
  <c r="AK1410" i="3"/>
  <c r="AK1411" i="3"/>
  <c r="AK1412" i="3"/>
  <c r="AK1413" i="3"/>
  <c r="AK1414" i="3"/>
  <c r="AK1415" i="3"/>
  <c r="AK1416" i="3"/>
  <c r="AK1417" i="3"/>
  <c r="AK1418" i="3"/>
  <c r="AK1419" i="3"/>
  <c r="AK1420" i="3"/>
  <c r="AK1421" i="3"/>
  <c r="AK1422" i="3"/>
  <c r="AK1423" i="3"/>
  <c r="AK1424" i="3"/>
  <c r="AK1425" i="3"/>
  <c r="AK1426" i="3"/>
  <c r="AK1427" i="3"/>
  <c r="AK1428" i="3"/>
  <c r="AK1429" i="3"/>
  <c r="AK1430" i="3"/>
  <c r="AK1431" i="3"/>
  <c r="AK1432" i="3"/>
  <c r="AK1433" i="3"/>
  <c r="AK1434" i="3"/>
  <c r="AK1435" i="3"/>
  <c r="AK1436" i="3"/>
  <c r="AK1437" i="3"/>
  <c r="AK1438" i="3"/>
  <c r="AK1439" i="3"/>
  <c r="AK3" i="3"/>
  <c r="AJ4" i="3"/>
  <c r="AJ5" i="3"/>
  <c r="AJ6" i="3"/>
  <c r="AJ7" i="3"/>
  <c r="AJ8" i="3"/>
  <c r="AJ9" i="3"/>
  <c r="AJ10" i="3"/>
  <c r="AJ11" i="3"/>
  <c r="AJ12" i="3"/>
  <c r="AJ13" i="3"/>
  <c r="AJ14" i="3"/>
  <c r="AJ15" i="3"/>
  <c r="AJ16" i="3"/>
  <c r="AJ17" i="3"/>
  <c r="AJ18" i="3"/>
  <c r="AJ19" i="3"/>
  <c r="AJ20" i="3"/>
  <c r="AJ21" i="3"/>
  <c r="AJ22" i="3"/>
  <c r="AJ23" i="3"/>
  <c r="AJ24" i="3"/>
  <c r="AJ25" i="3"/>
  <c r="AJ26" i="3"/>
  <c r="AJ27" i="3"/>
  <c r="AJ28" i="3"/>
  <c r="AJ29" i="3"/>
  <c r="AJ30" i="3"/>
  <c r="AJ31" i="3"/>
  <c r="AJ32" i="3"/>
  <c r="AJ33" i="3"/>
  <c r="AJ34" i="3"/>
  <c r="AJ35" i="3"/>
  <c r="AJ36" i="3"/>
  <c r="AJ37" i="3"/>
  <c r="AJ38" i="3"/>
  <c r="AJ39" i="3"/>
  <c r="AJ40" i="3"/>
  <c r="AJ41" i="3"/>
  <c r="AJ42" i="3"/>
  <c r="AJ43" i="3"/>
  <c r="AJ44" i="3"/>
  <c r="AJ45" i="3"/>
  <c r="AJ46" i="3"/>
  <c r="AJ47" i="3"/>
  <c r="AJ48" i="3"/>
  <c r="AJ49" i="3"/>
  <c r="AJ50" i="3"/>
  <c r="AJ51" i="3"/>
  <c r="AJ52" i="3"/>
  <c r="AJ53" i="3"/>
  <c r="AJ54" i="3"/>
  <c r="AJ55" i="3"/>
  <c r="AJ56" i="3"/>
  <c r="AJ57" i="3"/>
  <c r="AJ58" i="3"/>
  <c r="AJ59" i="3"/>
  <c r="AJ60" i="3"/>
  <c r="AJ61" i="3"/>
  <c r="AJ62" i="3"/>
  <c r="AJ63" i="3"/>
  <c r="AJ64" i="3"/>
  <c r="AJ65" i="3"/>
  <c r="AJ66" i="3"/>
  <c r="AJ67" i="3"/>
  <c r="AJ68" i="3"/>
  <c r="AJ69" i="3"/>
  <c r="AJ70" i="3"/>
  <c r="AJ71" i="3"/>
  <c r="AJ72" i="3"/>
  <c r="AJ73" i="3"/>
  <c r="AJ74" i="3"/>
  <c r="AJ75" i="3"/>
  <c r="AJ76" i="3"/>
  <c r="AJ77" i="3"/>
  <c r="AJ78" i="3"/>
  <c r="AJ79" i="3"/>
  <c r="AJ80" i="3"/>
  <c r="AJ81" i="3"/>
  <c r="AJ82" i="3"/>
  <c r="AJ83" i="3"/>
  <c r="AJ84" i="3"/>
  <c r="AJ85" i="3"/>
  <c r="AJ86" i="3"/>
  <c r="AJ87" i="3"/>
  <c r="AJ88" i="3"/>
  <c r="AJ89" i="3"/>
  <c r="AJ90" i="3"/>
  <c r="AJ91" i="3"/>
  <c r="AJ92" i="3"/>
  <c r="AJ93" i="3"/>
  <c r="AJ94" i="3"/>
  <c r="AJ95" i="3"/>
  <c r="AJ96" i="3"/>
  <c r="AJ97" i="3"/>
  <c r="AJ98" i="3"/>
  <c r="AJ99" i="3"/>
  <c r="AJ100" i="3"/>
  <c r="AJ101" i="3"/>
  <c r="AJ102" i="3"/>
  <c r="AJ103" i="3"/>
  <c r="AJ104" i="3"/>
  <c r="AJ105" i="3"/>
  <c r="AJ106" i="3"/>
  <c r="AJ107" i="3"/>
  <c r="AJ108" i="3"/>
  <c r="AJ109" i="3"/>
  <c r="AJ110" i="3"/>
  <c r="AJ111" i="3"/>
  <c r="AJ112" i="3"/>
  <c r="AJ113" i="3"/>
  <c r="AJ114" i="3"/>
  <c r="AJ115" i="3"/>
  <c r="AJ116" i="3"/>
  <c r="AJ117" i="3"/>
  <c r="AJ118" i="3"/>
  <c r="AJ119" i="3"/>
  <c r="AJ120" i="3"/>
  <c r="AJ121" i="3"/>
  <c r="AJ122" i="3"/>
  <c r="AJ123" i="3"/>
  <c r="AJ124" i="3"/>
  <c r="AJ125" i="3"/>
  <c r="AJ126" i="3"/>
  <c r="AJ127" i="3"/>
  <c r="AJ128" i="3"/>
  <c r="AJ129" i="3"/>
  <c r="AJ130" i="3"/>
  <c r="AJ131" i="3"/>
  <c r="AJ132" i="3"/>
  <c r="AJ133" i="3"/>
  <c r="AJ134" i="3"/>
  <c r="AJ135" i="3"/>
  <c r="AJ136" i="3"/>
  <c r="AJ137" i="3"/>
  <c r="AJ138" i="3"/>
  <c r="AJ139" i="3"/>
  <c r="AJ140" i="3"/>
  <c r="AJ141" i="3"/>
  <c r="AJ142" i="3"/>
  <c r="AJ143" i="3"/>
  <c r="AJ144" i="3"/>
  <c r="AJ145" i="3"/>
  <c r="AJ146" i="3"/>
  <c r="AJ147" i="3"/>
  <c r="AJ148" i="3"/>
  <c r="AJ149" i="3"/>
  <c r="AJ150" i="3"/>
  <c r="AJ151" i="3"/>
  <c r="AJ152" i="3"/>
  <c r="AJ153" i="3"/>
  <c r="AJ154" i="3"/>
  <c r="AJ155" i="3"/>
  <c r="AJ156" i="3"/>
  <c r="AJ157" i="3"/>
  <c r="AJ158" i="3"/>
  <c r="AJ159" i="3"/>
  <c r="AJ160" i="3"/>
  <c r="AJ161" i="3"/>
  <c r="AJ162" i="3"/>
  <c r="AJ163" i="3"/>
  <c r="AJ164" i="3"/>
  <c r="AJ165" i="3"/>
  <c r="AJ166" i="3"/>
  <c r="AJ167" i="3"/>
  <c r="AJ168" i="3"/>
  <c r="AJ169" i="3"/>
  <c r="AJ170" i="3"/>
  <c r="AJ171" i="3"/>
  <c r="AJ172" i="3"/>
  <c r="AJ173" i="3"/>
  <c r="AJ174" i="3"/>
  <c r="AJ175" i="3"/>
  <c r="AJ176" i="3"/>
  <c r="AJ177" i="3"/>
  <c r="AJ178" i="3"/>
  <c r="AJ179" i="3"/>
  <c r="AJ180" i="3"/>
  <c r="AJ181" i="3"/>
  <c r="AJ182" i="3"/>
  <c r="AJ183" i="3"/>
  <c r="AJ184" i="3"/>
  <c r="AJ185" i="3"/>
  <c r="AJ186" i="3"/>
  <c r="AJ187" i="3"/>
  <c r="AJ188" i="3"/>
  <c r="AJ189" i="3"/>
  <c r="AJ190" i="3"/>
  <c r="AJ191" i="3"/>
  <c r="AJ192" i="3"/>
  <c r="AJ193" i="3"/>
  <c r="AJ194" i="3"/>
  <c r="AJ195" i="3"/>
  <c r="AJ196" i="3"/>
  <c r="AJ197" i="3"/>
  <c r="AJ198" i="3"/>
  <c r="AJ199" i="3"/>
  <c r="AJ200" i="3"/>
  <c r="AJ201" i="3"/>
  <c r="AJ202" i="3"/>
  <c r="AJ203" i="3"/>
  <c r="AJ204" i="3"/>
  <c r="AJ205" i="3"/>
  <c r="AJ206" i="3"/>
  <c r="AJ207" i="3"/>
  <c r="AJ208" i="3"/>
  <c r="AJ209" i="3"/>
  <c r="AJ210" i="3"/>
  <c r="AJ211" i="3"/>
  <c r="AJ212" i="3"/>
  <c r="AJ213" i="3"/>
  <c r="AJ214" i="3"/>
  <c r="AJ215" i="3"/>
  <c r="AJ216" i="3"/>
  <c r="AJ217" i="3"/>
  <c r="AJ218" i="3"/>
  <c r="AJ219" i="3"/>
  <c r="AJ220" i="3"/>
  <c r="AJ221" i="3"/>
  <c r="AJ222" i="3"/>
  <c r="AJ223" i="3"/>
  <c r="AJ224" i="3"/>
  <c r="AJ225" i="3"/>
  <c r="AJ226" i="3"/>
  <c r="AJ227" i="3"/>
  <c r="AJ228" i="3"/>
  <c r="AJ229" i="3"/>
  <c r="AJ230" i="3"/>
  <c r="AJ231" i="3"/>
  <c r="AJ232" i="3"/>
  <c r="AJ233" i="3"/>
  <c r="AJ234" i="3"/>
  <c r="AJ235" i="3"/>
  <c r="AJ236" i="3"/>
  <c r="AJ237" i="3"/>
  <c r="AJ238" i="3"/>
  <c r="AJ239" i="3"/>
  <c r="AJ240" i="3"/>
  <c r="AJ241" i="3"/>
  <c r="AJ242" i="3"/>
  <c r="AJ243" i="3"/>
  <c r="AJ244" i="3"/>
  <c r="AJ245" i="3"/>
  <c r="AJ246" i="3"/>
  <c r="AJ247" i="3"/>
  <c r="AJ248" i="3"/>
  <c r="AJ249" i="3"/>
  <c r="AJ250" i="3"/>
  <c r="AJ251" i="3"/>
  <c r="AJ252" i="3"/>
  <c r="AJ253" i="3"/>
  <c r="AJ254" i="3"/>
  <c r="AJ255" i="3"/>
  <c r="AJ256" i="3"/>
  <c r="AJ257" i="3"/>
  <c r="AJ258" i="3"/>
  <c r="AJ259" i="3"/>
  <c r="AJ260" i="3"/>
  <c r="AJ261" i="3"/>
  <c r="AJ262" i="3"/>
  <c r="AJ263" i="3"/>
  <c r="AJ264" i="3"/>
  <c r="AJ265" i="3"/>
  <c r="AJ266" i="3"/>
  <c r="AJ267" i="3"/>
  <c r="AJ268" i="3"/>
  <c r="AJ269" i="3"/>
  <c r="AJ270" i="3"/>
  <c r="AJ271" i="3"/>
  <c r="AJ272" i="3"/>
  <c r="AJ273" i="3"/>
  <c r="AJ274" i="3"/>
  <c r="AJ275" i="3"/>
  <c r="AJ276" i="3"/>
  <c r="AJ277" i="3"/>
  <c r="AJ278" i="3"/>
  <c r="AJ279" i="3"/>
  <c r="AJ280" i="3"/>
  <c r="AJ281" i="3"/>
  <c r="AJ282" i="3"/>
  <c r="AJ283" i="3"/>
  <c r="AJ284" i="3"/>
  <c r="AJ285" i="3"/>
  <c r="AJ286" i="3"/>
  <c r="AJ287" i="3"/>
  <c r="AJ288" i="3"/>
  <c r="AJ289" i="3"/>
  <c r="AJ290" i="3"/>
  <c r="AJ291" i="3"/>
  <c r="AJ292" i="3"/>
  <c r="AJ293" i="3"/>
  <c r="AJ294" i="3"/>
  <c r="AJ295" i="3"/>
  <c r="AJ296" i="3"/>
  <c r="AJ297" i="3"/>
  <c r="AJ298" i="3"/>
  <c r="AJ299" i="3"/>
  <c r="AJ300" i="3"/>
  <c r="AJ301" i="3"/>
  <c r="AJ302" i="3"/>
  <c r="AJ303" i="3"/>
  <c r="AJ304" i="3"/>
  <c r="AJ305" i="3"/>
  <c r="AJ306" i="3"/>
  <c r="AJ307" i="3"/>
  <c r="AJ308" i="3"/>
  <c r="AJ309" i="3"/>
  <c r="AJ310" i="3"/>
  <c r="AJ311" i="3"/>
  <c r="AJ312" i="3"/>
  <c r="AJ313" i="3"/>
  <c r="AJ314" i="3"/>
  <c r="AJ315" i="3"/>
  <c r="AJ316" i="3"/>
  <c r="AJ317" i="3"/>
  <c r="AJ318" i="3"/>
  <c r="AJ319" i="3"/>
  <c r="AJ320" i="3"/>
  <c r="AJ321" i="3"/>
  <c r="AJ322" i="3"/>
  <c r="AJ323" i="3"/>
  <c r="AJ324" i="3"/>
  <c r="AJ325" i="3"/>
  <c r="AJ326" i="3"/>
  <c r="AJ327" i="3"/>
  <c r="AJ328" i="3"/>
  <c r="AJ329" i="3"/>
  <c r="AJ330" i="3"/>
  <c r="AJ331" i="3"/>
  <c r="AJ332" i="3"/>
  <c r="AJ333" i="3"/>
  <c r="AJ334" i="3"/>
  <c r="AJ335" i="3"/>
  <c r="AJ336" i="3"/>
  <c r="AJ337" i="3"/>
  <c r="AJ338" i="3"/>
  <c r="AJ339" i="3"/>
  <c r="AJ340" i="3"/>
  <c r="AJ341" i="3"/>
  <c r="AJ342" i="3"/>
  <c r="AJ343" i="3"/>
  <c r="AJ344" i="3"/>
  <c r="AJ345" i="3"/>
  <c r="AJ346" i="3"/>
  <c r="AJ347" i="3"/>
  <c r="AJ348" i="3"/>
  <c r="AJ349" i="3"/>
  <c r="AJ350" i="3"/>
  <c r="AJ351" i="3"/>
  <c r="AJ352" i="3"/>
  <c r="AJ353" i="3"/>
  <c r="AJ354" i="3"/>
  <c r="AJ355" i="3"/>
  <c r="AJ356" i="3"/>
  <c r="AJ357" i="3"/>
  <c r="AJ358" i="3"/>
  <c r="AJ359" i="3"/>
  <c r="AJ360" i="3"/>
  <c r="AJ361" i="3"/>
  <c r="AJ362" i="3"/>
  <c r="AJ363" i="3"/>
  <c r="AJ364" i="3"/>
  <c r="AJ365" i="3"/>
  <c r="AJ366" i="3"/>
  <c r="AJ367" i="3"/>
  <c r="AJ368" i="3"/>
  <c r="AJ369" i="3"/>
  <c r="AJ370" i="3"/>
  <c r="AJ371" i="3"/>
  <c r="AJ372" i="3"/>
  <c r="AJ373" i="3"/>
  <c r="AJ374" i="3"/>
  <c r="AJ375" i="3"/>
  <c r="AJ376" i="3"/>
  <c r="AJ377" i="3"/>
  <c r="AJ378" i="3"/>
  <c r="AJ379" i="3"/>
  <c r="AJ380" i="3"/>
  <c r="AJ381" i="3"/>
  <c r="AJ382" i="3"/>
  <c r="AJ383" i="3"/>
  <c r="AJ384" i="3"/>
  <c r="AJ385" i="3"/>
  <c r="AJ386" i="3"/>
  <c r="AJ387" i="3"/>
  <c r="AJ388" i="3"/>
  <c r="AJ389" i="3"/>
  <c r="AJ390" i="3"/>
  <c r="AJ391" i="3"/>
  <c r="AJ392" i="3"/>
  <c r="AJ393" i="3"/>
  <c r="AJ394" i="3"/>
  <c r="AJ395" i="3"/>
  <c r="AJ396" i="3"/>
  <c r="AJ397" i="3"/>
  <c r="AJ398" i="3"/>
  <c r="AJ399" i="3"/>
  <c r="AJ400" i="3"/>
  <c r="AJ401" i="3"/>
  <c r="AJ402" i="3"/>
  <c r="AJ403" i="3"/>
  <c r="AJ404" i="3"/>
  <c r="AJ405" i="3"/>
  <c r="AJ406" i="3"/>
  <c r="AJ407" i="3"/>
  <c r="AJ408" i="3"/>
  <c r="AJ409" i="3"/>
  <c r="AJ410" i="3"/>
  <c r="AJ411" i="3"/>
  <c r="AJ412" i="3"/>
  <c r="AJ413" i="3"/>
  <c r="AJ414" i="3"/>
  <c r="AJ415" i="3"/>
  <c r="AJ416" i="3"/>
  <c r="AJ417" i="3"/>
  <c r="AJ418" i="3"/>
  <c r="AJ419" i="3"/>
  <c r="AJ420" i="3"/>
  <c r="AJ421" i="3"/>
  <c r="AJ422" i="3"/>
  <c r="AJ423" i="3"/>
  <c r="AJ424" i="3"/>
  <c r="AJ425" i="3"/>
  <c r="AJ426" i="3"/>
  <c r="AJ427" i="3"/>
  <c r="AJ428" i="3"/>
  <c r="AJ429" i="3"/>
  <c r="AJ430" i="3"/>
  <c r="AJ431" i="3"/>
  <c r="AJ432" i="3"/>
  <c r="AJ433" i="3"/>
  <c r="AJ434" i="3"/>
  <c r="AJ435" i="3"/>
  <c r="AJ436" i="3"/>
  <c r="AJ437" i="3"/>
  <c r="AJ438" i="3"/>
  <c r="AJ439" i="3"/>
  <c r="AJ440" i="3"/>
  <c r="AJ441" i="3"/>
  <c r="AJ442" i="3"/>
  <c r="AJ443" i="3"/>
  <c r="AJ444" i="3"/>
  <c r="AJ445" i="3"/>
  <c r="AJ446" i="3"/>
  <c r="AJ447" i="3"/>
  <c r="AJ448" i="3"/>
  <c r="AJ449" i="3"/>
  <c r="AJ450" i="3"/>
  <c r="AJ451" i="3"/>
  <c r="AJ452" i="3"/>
  <c r="AJ453" i="3"/>
  <c r="AJ454" i="3"/>
  <c r="AJ455" i="3"/>
  <c r="AJ456" i="3"/>
  <c r="AJ457" i="3"/>
  <c r="AJ458" i="3"/>
  <c r="AJ459" i="3"/>
  <c r="AJ460" i="3"/>
  <c r="AJ461" i="3"/>
  <c r="AJ462" i="3"/>
  <c r="AJ463" i="3"/>
  <c r="AJ464" i="3"/>
  <c r="AJ465" i="3"/>
  <c r="AJ466" i="3"/>
  <c r="AJ467" i="3"/>
  <c r="AJ468" i="3"/>
  <c r="AJ469" i="3"/>
  <c r="AJ470" i="3"/>
  <c r="AJ471" i="3"/>
  <c r="AJ472" i="3"/>
  <c r="AJ473" i="3"/>
  <c r="AJ474" i="3"/>
  <c r="AJ475" i="3"/>
  <c r="AJ476" i="3"/>
  <c r="AJ477" i="3"/>
  <c r="AJ478" i="3"/>
  <c r="AJ479" i="3"/>
  <c r="AJ480" i="3"/>
  <c r="AJ481" i="3"/>
  <c r="AJ482" i="3"/>
  <c r="AJ483" i="3"/>
  <c r="AJ484" i="3"/>
  <c r="AJ485" i="3"/>
  <c r="AJ486" i="3"/>
  <c r="AJ487" i="3"/>
  <c r="AJ488" i="3"/>
  <c r="AJ489" i="3"/>
  <c r="AJ490" i="3"/>
  <c r="AJ491" i="3"/>
  <c r="AJ492" i="3"/>
  <c r="AJ493" i="3"/>
  <c r="AJ494" i="3"/>
  <c r="AJ495" i="3"/>
  <c r="AJ496" i="3"/>
  <c r="AJ497" i="3"/>
  <c r="AJ498" i="3"/>
  <c r="AJ499" i="3"/>
  <c r="AJ500" i="3"/>
  <c r="AJ501" i="3"/>
  <c r="AJ502" i="3"/>
  <c r="AJ503" i="3"/>
  <c r="AJ504" i="3"/>
  <c r="AJ505" i="3"/>
  <c r="AJ506" i="3"/>
  <c r="AJ507" i="3"/>
  <c r="AJ508" i="3"/>
  <c r="AJ509" i="3"/>
  <c r="AJ510" i="3"/>
  <c r="AJ511" i="3"/>
  <c r="AJ512" i="3"/>
  <c r="AJ513" i="3"/>
  <c r="AJ514" i="3"/>
  <c r="AJ515" i="3"/>
  <c r="AJ516" i="3"/>
  <c r="AJ517" i="3"/>
  <c r="AJ518" i="3"/>
  <c r="AJ519" i="3"/>
  <c r="AJ520" i="3"/>
  <c r="AJ521" i="3"/>
  <c r="AJ522" i="3"/>
  <c r="AJ523" i="3"/>
  <c r="AJ524" i="3"/>
  <c r="AJ525" i="3"/>
  <c r="AJ526" i="3"/>
  <c r="AJ527" i="3"/>
  <c r="AJ528" i="3"/>
  <c r="AJ529" i="3"/>
  <c r="AJ530" i="3"/>
  <c r="AJ531" i="3"/>
  <c r="AJ532" i="3"/>
  <c r="AJ533" i="3"/>
  <c r="AJ534" i="3"/>
  <c r="AJ535" i="3"/>
  <c r="AJ536" i="3"/>
  <c r="AJ537" i="3"/>
  <c r="AJ538" i="3"/>
  <c r="AJ539" i="3"/>
  <c r="AJ540" i="3"/>
  <c r="AJ541" i="3"/>
  <c r="AJ542" i="3"/>
  <c r="AJ543" i="3"/>
  <c r="AJ544" i="3"/>
  <c r="AJ545" i="3"/>
  <c r="AJ546" i="3"/>
  <c r="AJ547" i="3"/>
  <c r="AJ548" i="3"/>
  <c r="AJ549" i="3"/>
  <c r="AJ550" i="3"/>
  <c r="AJ551" i="3"/>
  <c r="AJ552" i="3"/>
  <c r="AJ553" i="3"/>
  <c r="AJ554" i="3"/>
  <c r="AJ555" i="3"/>
  <c r="AJ556" i="3"/>
  <c r="AJ557" i="3"/>
  <c r="AJ558" i="3"/>
  <c r="AJ559" i="3"/>
  <c r="AJ560" i="3"/>
  <c r="AJ561" i="3"/>
  <c r="AJ562" i="3"/>
  <c r="AJ563" i="3"/>
  <c r="AJ564" i="3"/>
  <c r="AJ565" i="3"/>
  <c r="AJ566" i="3"/>
  <c r="AJ567" i="3"/>
  <c r="AJ568" i="3"/>
  <c r="AJ569" i="3"/>
  <c r="AJ570" i="3"/>
  <c r="AJ571" i="3"/>
  <c r="AJ572" i="3"/>
  <c r="AJ573" i="3"/>
  <c r="AJ574" i="3"/>
  <c r="AJ575" i="3"/>
  <c r="AJ576" i="3"/>
  <c r="AJ577" i="3"/>
  <c r="AJ578" i="3"/>
  <c r="AJ579" i="3"/>
  <c r="AJ580" i="3"/>
  <c r="AJ581" i="3"/>
  <c r="AJ582" i="3"/>
  <c r="AJ583" i="3"/>
  <c r="AJ584" i="3"/>
  <c r="AJ585" i="3"/>
  <c r="AJ586" i="3"/>
  <c r="AJ587" i="3"/>
  <c r="AJ588" i="3"/>
  <c r="AJ589" i="3"/>
  <c r="AJ590" i="3"/>
  <c r="AJ591" i="3"/>
  <c r="AJ592" i="3"/>
  <c r="AJ593" i="3"/>
  <c r="AJ594" i="3"/>
  <c r="AJ595" i="3"/>
  <c r="AJ596" i="3"/>
  <c r="AJ597" i="3"/>
  <c r="AJ598" i="3"/>
  <c r="AJ599" i="3"/>
  <c r="AJ600" i="3"/>
  <c r="AJ601" i="3"/>
  <c r="AJ602" i="3"/>
  <c r="AJ603" i="3"/>
  <c r="AJ604" i="3"/>
  <c r="AJ605" i="3"/>
  <c r="AJ606" i="3"/>
  <c r="AJ607" i="3"/>
  <c r="AJ608" i="3"/>
  <c r="AJ609" i="3"/>
  <c r="AJ610" i="3"/>
  <c r="AJ611" i="3"/>
  <c r="AJ612" i="3"/>
  <c r="AJ613" i="3"/>
  <c r="AJ614" i="3"/>
  <c r="AJ615" i="3"/>
  <c r="AJ616" i="3"/>
  <c r="AJ617" i="3"/>
  <c r="AJ618" i="3"/>
  <c r="AJ619" i="3"/>
  <c r="AJ620" i="3"/>
  <c r="AJ621" i="3"/>
  <c r="AJ622" i="3"/>
  <c r="AJ623" i="3"/>
  <c r="AJ624" i="3"/>
  <c r="AJ625" i="3"/>
  <c r="AJ626" i="3"/>
  <c r="AJ627" i="3"/>
  <c r="AJ628" i="3"/>
  <c r="AJ629" i="3"/>
  <c r="AJ630" i="3"/>
  <c r="AJ631" i="3"/>
  <c r="AJ632" i="3"/>
  <c r="AJ633" i="3"/>
  <c r="AJ634" i="3"/>
  <c r="AJ635" i="3"/>
  <c r="AJ636" i="3"/>
  <c r="AJ637" i="3"/>
  <c r="AJ638" i="3"/>
  <c r="AJ639" i="3"/>
  <c r="AJ640" i="3"/>
  <c r="AJ641" i="3"/>
  <c r="AJ642" i="3"/>
  <c r="AJ643" i="3"/>
  <c r="AJ644" i="3"/>
  <c r="AJ645" i="3"/>
  <c r="AJ646" i="3"/>
  <c r="AJ647" i="3"/>
  <c r="AJ648" i="3"/>
  <c r="AJ649" i="3"/>
  <c r="AJ650" i="3"/>
  <c r="AJ651" i="3"/>
  <c r="AJ652" i="3"/>
  <c r="AJ653" i="3"/>
  <c r="AJ654" i="3"/>
  <c r="AJ655" i="3"/>
  <c r="AJ656" i="3"/>
  <c r="AJ657" i="3"/>
  <c r="AJ658" i="3"/>
  <c r="AJ659" i="3"/>
  <c r="AJ660" i="3"/>
  <c r="AJ661" i="3"/>
  <c r="AJ662" i="3"/>
  <c r="AJ663" i="3"/>
  <c r="AJ664" i="3"/>
  <c r="AJ665" i="3"/>
  <c r="AJ666" i="3"/>
  <c r="AJ667" i="3"/>
  <c r="AJ668" i="3"/>
  <c r="AJ669" i="3"/>
  <c r="AJ670" i="3"/>
  <c r="AJ671" i="3"/>
  <c r="AJ672" i="3"/>
  <c r="AJ673" i="3"/>
  <c r="AJ674" i="3"/>
  <c r="AJ675" i="3"/>
  <c r="AJ676" i="3"/>
  <c r="AJ677" i="3"/>
  <c r="AJ678" i="3"/>
  <c r="AJ679" i="3"/>
  <c r="AJ680" i="3"/>
  <c r="AJ681" i="3"/>
  <c r="AJ682" i="3"/>
  <c r="AJ683" i="3"/>
  <c r="AJ684" i="3"/>
  <c r="AJ685" i="3"/>
  <c r="AJ686" i="3"/>
  <c r="AJ687" i="3"/>
  <c r="AJ688" i="3"/>
  <c r="AJ689" i="3"/>
  <c r="AJ690" i="3"/>
  <c r="AJ691" i="3"/>
  <c r="AJ692" i="3"/>
  <c r="AJ693" i="3"/>
  <c r="AJ694" i="3"/>
  <c r="AJ695" i="3"/>
  <c r="AJ696" i="3"/>
  <c r="AJ697" i="3"/>
  <c r="AJ698" i="3"/>
  <c r="AJ699" i="3"/>
  <c r="AJ700" i="3"/>
  <c r="AJ701" i="3"/>
  <c r="AJ702" i="3"/>
  <c r="AJ703" i="3"/>
  <c r="AJ704" i="3"/>
  <c r="AJ705" i="3"/>
  <c r="AJ706" i="3"/>
  <c r="AJ707" i="3"/>
  <c r="AJ708" i="3"/>
  <c r="AJ709" i="3"/>
  <c r="AJ710" i="3"/>
  <c r="AJ711" i="3"/>
  <c r="AJ712" i="3"/>
  <c r="AJ713" i="3"/>
  <c r="AJ714" i="3"/>
  <c r="AJ715" i="3"/>
  <c r="AJ716" i="3"/>
  <c r="AJ717" i="3"/>
  <c r="AJ718" i="3"/>
  <c r="AJ719" i="3"/>
  <c r="AJ720" i="3"/>
  <c r="AJ721" i="3"/>
  <c r="AJ722" i="3"/>
  <c r="AJ723" i="3"/>
  <c r="AJ724" i="3"/>
  <c r="AJ725" i="3"/>
  <c r="AJ726" i="3"/>
  <c r="AJ727" i="3"/>
  <c r="AJ728" i="3"/>
  <c r="AJ729" i="3"/>
  <c r="AJ730" i="3"/>
  <c r="AJ731" i="3"/>
  <c r="AJ732" i="3"/>
  <c r="AJ733" i="3"/>
  <c r="AJ734" i="3"/>
  <c r="AJ735" i="3"/>
  <c r="AJ736" i="3"/>
  <c r="AJ737" i="3"/>
  <c r="AJ738" i="3"/>
  <c r="AJ739" i="3"/>
  <c r="AJ740" i="3"/>
  <c r="AJ741" i="3"/>
  <c r="AJ742" i="3"/>
  <c r="AJ743" i="3"/>
  <c r="AJ744" i="3"/>
  <c r="AJ745" i="3"/>
  <c r="AJ746" i="3"/>
  <c r="AJ747" i="3"/>
  <c r="AJ748" i="3"/>
  <c r="AJ749" i="3"/>
  <c r="AJ750" i="3"/>
  <c r="AJ751" i="3"/>
  <c r="AJ752" i="3"/>
  <c r="AJ753" i="3"/>
  <c r="AJ754" i="3"/>
  <c r="AJ755" i="3"/>
  <c r="AJ756" i="3"/>
  <c r="AJ757" i="3"/>
  <c r="AJ758" i="3"/>
  <c r="AJ759" i="3"/>
  <c r="AJ760" i="3"/>
  <c r="AJ761" i="3"/>
  <c r="AJ762" i="3"/>
  <c r="AJ763" i="3"/>
  <c r="AJ764" i="3"/>
  <c r="AJ765" i="3"/>
  <c r="AJ766" i="3"/>
  <c r="AJ767" i="3"/>
  <c r="AJ768" i="3"/>
  <c r="AJ769" i="3"/>
  <c r="AJ770" i="3"/>
  <c r="AJ771" i="3"/>
  <c r="AJ772" i="3"/>
  <c r="AJ773" i="3"/>
  <c r="AJ774" i="3"/>
  <c r="AJ775" i="3"/>
  <c r="AJ776" i="3"/>
  <c r="AJ777" i="3"/>
  <c r="AJ778" i="3"/>
  <c r="AJ779" i="3"/>
  <c r="AJ780" i="3"/>
  <c r="AJ781" i="3"/>
  <c r="AJ782" i="3"/>
  <c r="AJ783" i="3"/>
  <c r="AJ784" i="3"/>
  <c r="AJ785" i="3"/>
  <c r="AJ786" i="3"/>
  <c r="AJ787" i="3"/>
  <c r="AJ788" i="3"/>
  <c r="AJ789" i="3"/>
  <c r="AJ790" i="3"/>
  <c r="AJ791" i="3"/>
  <c r="AJ792" i="3"/>
  <c r="AJ793" i="3"/>
  <c r="AJ794" i="3"/>
  <c r="AJ795" i="3"/>
  <c r="AJ796" i="3"/>
  <c r="AJ797" i="3"/>
  <c r="AJ798" i="3"/>
  <c r="AJ799" i="3"/>
  <c r="AJ800" i="3"/>
  <c r="AJ801" i="3"/>
  <c r="AJ802" i="3"/>
  <c r="AJ803" i="3"/>
  <c r="AJ804" i="3"/>
  <c r="AJ805" i="3"/>
  <c r="AJ806" i="3"/>
  <c r="AJ807" i="3"/>
  <c r="AJ808" i="3"/>
  <c r="AJ809" i="3"/>
  <c r="AJ810" i="3"/>
  <c r="AJ811" i="3"/>
  <c r="AJ812" i="3"/>
  <c r="AJ813" i="3"/>
  <c r="AJ814" i="3"/>
  <c r="AJ815" i="3"/>
  <c r="AJ816" i="3"/>
  <c r="AJ817" i="3"/>
  <c r="AJ818" i="3"/>
  <c r="AJ819" i="3"/>
  <c r="AJ820" i="3"/>
  <c r="AJ821" i="3"/>
  <c r="AJ822" i="3"/>
  <c r="AJ823" i="3"/>
  <c r="AJ824" i="3"/>
  <c r="AJ825" i="3"/>
  <c r="AJ826" i="3"/>
  <c r="AJ827" i="3"/>
  <c r="AJ828" i="3"/>
  <c r="AJ829" i="3"/>
  <c r="AJ830" i="3"/>
  <c r="AJ831" i="3"/>
  <c r="AJ832" i="3"/>
  <c r="AJ833" i="3"/>
  <c r="AJ834" i="3"/>
  <c r="AJ835" i="3"/>
  <c r="AJ836" i="3"/>
  <c r="AJ837" i="3"/>
  <c r="AJ838" i="3"/>
  <c r="AJ839" i="3"/>
  <c r="AJ840" i="3"/>
  <c r="AJ841" i="3"/>
  <c r="AJ842" i="3"/>
  <c r="AJ843" i="3"/>
  <c r="AJ844" i="3"/>
  <c r="AJ845" i="3"/>
  <c r="AJ846" i="3"/>
  <c r="AJ847" i="3"/>
  <c r="AJ848" i="3"/>
  <c r="AJ849" i="3"/>
  <c r="AJ850" i="3"/>
  <c r="AJ851" i="3"/>
  <c r="AJ852" i="3"/>
  <c r="AJ853" i="3"/>
  <c r="AJ854" i="3"/>
  <c r="AJ855" i="3"/>
  <c r="AJ856" i="3"/>
  <c r="AJ857" i="3"/>
  <c r="AJ858" i="3"/>
  <c r="AJ859" i="3"/>
  <c r="AJ860" i="3"/>
  <c r="AJ861" i="3"/>
  <c r="AJ862" i="3"/>
  <c r="AJ863" i="3"/>
  <c r="AJ864" i="3"/>
  <c r="AJ865" i="3"/>
  <c r="AJ866" i="3"/>
  <c r="AJ867" i="3"/>
  <c r="AJ868" i="3"/>
  <c r="AJ869" i="3"/>
  <c r="AJ870" i="3"/>
  <c r="AJ871" i="3"/>
  <c r="AJ872" i="3"/>
  <c r="AJ873" i="3"/>
  <c r="AJ874" i="3"/>
  <c r="AJ875" i="3"/>
  <c r="AJ876" i="3"/>
  <c r="AJ877" i="3"/>
  <c r="AJ878" i="3"/>
  <c r="AJ879" i="3"/>
  <c r="AJ880" i="3"/>
  <c r="AJ881" i="3"/>
  <c r="AJ882" i="3"/>
  <c r="AJ883" i="3"/>
  <c r="AJ884" i="3"/>
  <c r="AJ885" i="3"/>
  <c r="AJ886" i="3"/>
  <c r="AJ887" i="3"/>
  <c r="AJ888" i="3"/>
  <c r="AJ889" i="3"/>
  <c r="AJ890" i="3"/>
  <c r="AJ891" i="3"/>
  <c r="AJ892" i="3"/>
  <c r="AJ893" i="3"/>
  <c r="AJ894" i="3"/>
  <c r="AJ895" i="3"/>
  <c r="AJ896" i="3"/>
  <c r="AJ897" i="3"/>
  <c r="AJ898" i="3"/>
  <c r="AJ899" i="3"/>
  <c r="AJ900" i="3"/>
  <c r="AJ901" i="3"/>
  <c r="AJ902" i="3"/>
  <c r="AJ903" i="3"/>
  <c r="AJ904" i="3"/>
  <c r="AJ905" i="3"/>
  <c r="AJ906" i="3"/>
  <c r="AJ907" i="3"/>
  <c r="AJ908" i="3"/>
  <c r="AJ909" i="3"/>
  <c r="AJ910" i="3"/>
  <c r="AJ911" i="3"/>
  <c r="AJ912" i="3"/>
  <c r="AJ913" i="3"/>
  <c r="AJ914" i="3"/>
  <c r="AJ915" i="3"/>
  <c r="AJ916" i="3"/>
  <c r="AJ917" i="3"/>
  <c r="AJ918" i="3"/>
  <c r="AJ919" i="3"/>
  <c r="AJ920" i="3"/>
  <c r="AJ921" i="3"/>
  <c r="AJ922" i="3"/>
  <c r="AJ923" i="3"/>
  <c r="AJ924" i="3"/>
  <c r="AJ925" i="3"/>
  <c r="AJ926" i="3"/>
  <c r="AJ927" i="3"/>
  <c r="AJ928" i="3"/>
  <c r="AJ929" i="3"/>
  <c r="AJ930" i="3"/>
  <c r="AJ931" i="3"/>
  <c r="AJ932" i="3"/>
  <c r="AJ933" i="3"/>
  <c r="AJ934" i="3"/>
  <c r="AJ935" i="3"/>
  <c r="AJ936" i="3"/>
  <c r="AJ937" i="3"/>
  <c r="AJ938" i="3"/>
  <c r="AJ939" i="3"/>
  <c r="AJ940" i="3"/>
  <c r="AJ941" i="3"/>
  <c r="AJ942" i="3"/>
  <c r="AJ943" i="3"/>
  <c r="AJ944" i="3"/>
  <c r="AJ945" i="3"/>
  <c r="AJ946" i="3"/>
  <c r="AJ947" i="3"/>
  <c r="AJ948" i="3"/>
  <c r="AJ949" i="3"/>
  <c r="AJ950" i="3"/>
  <c r="AJ951" i="3"/>
  <c r="AJ952" i="3"/>
  <c r="AJ953" i="3"/>
  <c r="AJ954" i="3"/>
  <c r="AJ955" i="3"/>
  <c r="AJ956" i="3"/>
  <c r="AJ957" i="3"/>
  <c r="AJ958" i="3"/>
  <c r="AJ959" i="3"/>
  <c r="AJ960" i="3"/>
  <c r="AJ961" i="3"/>
  <c r="AJ962" i="3"/>
  <c r="AJ963" i="3"/>
  <c r="AJ964" i="3"/>
  <c r="AJ965" i="3"/>
  <c r="AJ966" i="3"/>
  <c r="AJ967" i="3"/>
  <c r="AJ968" i="3"/>
  <c r="AJ969" i="3"/>
  <c r="AJ970" i="3"/>
  <c r="AJ971" i="3"/>
  <c r="AJ972" i="3"/>
  <c r="AJ973" i="3"/>
  <c r="AJ974" i="3"/>
  <c r="AJ975" i="3"/>
  <c r="AJ976" i="3"/>
  <c r="AJ977" i="3"/>
  <c r="AJ978" i="3"/>
  <c r="AJ979" i="3"/>
  <c r="AJ980" i="3"/>
  <c r="AJ981" i="3"/>
  <c r="AJ982" i="3"/>
  <c r="AJ983" i="3"/>
  <c r="AJ984" i="3"/>
  <c r="AJ985" i="3"/>
  <c r="AJ986" i="3"/>
  <c r="AJ987" i="3"/>
  <c r="AJ988" i="3"/>
  <c r="AJ989" i="3"/>
  <c r="AJ990" i="3"/>
  <c r="AJ991" i="3"/>
  <c r="AJ992" i="3"/>
  <c r="AJ993" i="3"/>
  <c r="AJ994" i="3"/>
  <c r="AJ995" i="3"/>
  <c r="AJ996" i="3"/>
  <c r="AJ997" i="3"/>
  <c r="AJ998" i="3"/>
  <c r="AJ999" i="3"/>
  <c r="AJ1000" i="3"/>
  <c r="AJ1001" i="3"/>
  <c r="AJ1002" i="3"/>
  <c r="AJ1003" i="3"/>
  <c r="AJ1004" i="3"/>
  <c r="AJ1005" i="3"/>
  <c r="AJ1006" i="3"/>
  <c r="AJ1007" i="3"/>
  <c r="AJ1008" i="3"/>
  <c r="AJ1009" i="3"/>
  <c r="AJ1010" i="3"/>
  <c r="AJ1011" i="3"/>
  <c r="AJ1012" i="3"/>
  <c r="AJ1013" i="3"/>
  <c r="AJ1014" i="3"/>
  <c r="AJ1015" i="3"/>
  <c r="AJ1016" i="3"/>
  <c r="AJ1017" i="3"/>
  <c r="AJ1018" i="3"/>
  <c r="AJ1019" i="3"/>
  <c r="AJ1020" i="3"/>
  <c r="AJ1021" i="3"/>
  <c r="AJ1022" i="3"/>
  <c r="AJ1023" i="3"/>
  <c r="AJ1024" i="3"/>
  <c r="AJ1025" i="3"/>
  <c r="AJ1026" i="3"/>
  <c r="AJ1027" i="3"/>
  <c r="AJ1028" i="3"/>
  <c r="AJ1029" i="3"/>
  <c r="AJ1030" i="3"/>
  <c r="AJ1031" i="3"/>
  <c r="AJ1032" i="3"/>
  <c r="AJ1033" i="3"/>
  <c r="AJ1034" i="3"/>
  <c r="AJ1035" i="3"/>
  <c r="AJ1036" i="3"/>
  <c r="AJ1037" i="3"/>
  <c r="AJ1038" i="3"/>
  <c r="AJ1039" i="3"/>
  <c r="AJ1040" i="3"/>
  <c r="AJ1041" i="3"/>
  <c r="AJ1042" i="3"/>
  <c r="AJ1043" i="3"/>
  <c r="AJ1044" i="3"/>
  <c r="AJ1045" i="3"/>
  <c r="AJ1046" i="3"/>
  <c r="AJ1047" i="3"/>
  <c r="AJ1048" i="3"/>
  <c r="AJ1049" i="3"/>
  <c r="AJ1050" i="3"/>
  <c r="AJ1051" i="3"/>
  <c r="AJ1052" i="3"/>
  <c r="AJ1053" i="3"/>
  <c r="AJ1054" i="3"/>
  <c r="AJ1055" i="3"/>
  <c r="AJ1056" i="3"/>
  <c r="AJ1057" i="3"/>
  <c r="AJ1058" i="3"/>
  <c r="AJ1059" i="3"/>
  <c r="AJ1060" i="3"/>
  <c r="AJ1061" i="3"/>
  <c r="AJ1062" i="3"/>
  <c r="AJ1063" i="3"/>
  <c r="AJ1064" i="3"/>
  <c r="AJ1065" i="3"/>
  <c r="AJ1066" i="3"/>
  <c r="AJ1067" i="3"/>
  <c r="AJ1068" i="3"/>
  <c r="AJ1069" i="3"/>
  <c r="AJ1070" i="3"/>
  <c r="AJ1071" i="3"/>
  <c r="AJ1072" i="3"/>
  <c r="AJ1073" i="3"/>
  <c r="AJ1074" i="3"/>
  <c r="AJ1075" i="3"/>
  <c r="AJ1076" i="3"/>
  <c r="AJ1077" i="3"/>
  <c r="AJ1078" i="3"/>
  <c r="AJ1079" i="3"/>
  <c r="AJ1080" i="3"/>
  <c r="AJ1081" i="3"/>
  <c r="AJ1082" i="3"/>
  <c r="AJ1083" i="3"/>
  <c r="AJ1084" i="3"/>
  <c r="AJ1085" i="3"/>
  <c r="AJ1086" i="3"/>
  <c r="AJ1087" i="3"/>
  <c r="AJ1088" i="3"/>
  <c r="AJ1089" i="3"/>
  <c r="AJ1090" i="3"/>
  <c r="AJ1091" i="3"/>
  <c r="AJ1092" i="3"/>
  <c r="AJ1093" i="3"/>
  <c r="AJ1094" i="3"/>
  <c r="AJ1095" i="3"/>
  <c r="AJ1096" i="3"/>
  <c r="AJ1097" i="3"/>
  <c r="AJ1098" i="3"/>
  <c r="AJ1099" i="3"/>
  <c r="AJ1100" i="3"/>
  <c r="AJ1101" i="3"/>
  <c r="AJ1102" i="3"/>
  <c r="AJ1103" i="3"/>
  <c r="AJ1104" i="3"/>
  <c r="AJ1105" i="3"/>
  <c r="AJ1106" i="3"/>
  <c r="AJ1107" i="3"/>
  <c r="AJ1108" i="3"/>
  <c r="AJ1109" i="3"/>
  <c r="AJ1110" i="3"/>
  <c r="AJ1111" i="3"/>
  <c r="AJ1112" i="3"/>
  <c r="AJ1113" i="3"/>
  <c r="AJ1114" i="3"/>
  <c r="AJ1115" i="3"/>
  <c r="AJ1116" i="3"/>
  <c r="AJ1117" i="3"/>
  <c r="AJ1118" i="3"/>
  <c r="AJ1119" i="3"/>
  <c r="AJ1120" i="3"/>
  <c r="AJ1121" i="3"/>
  <c r="AJ1122" i="3"/>
  <c r="AJ1123" i="3"/>
  <c r="AJ1124" i="3"/>
  <c r="AJ1125" i="3"/>
  <c r="AJ1126" i="3"/>
  <c r="AJ1127" i="3"/>
  <c r="AJ1128" i="3"/>
  <c r="AJ1129" i="3"/>
  <c r="AJ1130" i="3"/>
  <c r="AJ1131" i="3"/>
  <c r="AJ1132" i="3"/>
  <c r="AJ1133" i="3"/>
  <c r="AJ1134" i="3"/>
  <c r="AJ1135" i="3"/>
  <c r="AJ1136" i="3"/>
  <c r="AJ1137" i="3"/>
  <c r="AJ1138" i="3"/>
  <c r="AJ1139" i="3"/>
  <c r="AJ1140" i="3"/>
  <c r="AJ1141" i="3"/>
  <c r="AJ1142" i="3"/>
  <c r="AJ1143" i="3"/>
  <c r="AJ1144" i="3"/>
  <c r="AJ1145" i="3"/>
  <c r="AJ1146" i="3"/>
  <c r="AJ1147" i="3"/>
  <c r="AJ1148" i="3"/>
  <c r="AJ1149" i="3"/>
  <c r="AJ1150" i="3"/>
  <c r="AJ1151" i="3"/>
  <c r="AJ1152" i="3"/>
  <c r="AJ1153" i="3"/>
  <c r="AJ1154" i="3"/>
  <c r="AJ1155" i="3"/>
  <c r="AJ1156" i="3"/>
  <c r="AJ1157" i="3"/>
  <c r="AJ1158" i="3"/>
  <c r="AJ1159" i="3"/>
  <c r="AJ1160" i="3"/>
  <c r="AJ1161" i="3"/>
  <c r="AJ1162" i="3"/>
  <c r="AJ1163" i="3"/>
  <c r="AJ1164" i="3"/>
  <c r="AJ1165" i="3"/>
  <c r="AJ1166" i="3"/>
  <c r="AJ1167" i="3"/>
  <c r="AJ1168" i="3"/>
  <c r="AJ1169" i="3"/>
  <c r="AJ1170" i="3"/>
  <c r="AJ1171" i="3"/>
  <c r="AJ1172" i="3"/>
  <c r="AJ1173" i="3"/>
  <c r="AJ1174" i="3"/>
  <c r="AJ1175" i="3"/>
  <c r="AJ1176" i="3"/>
  <c r="AJ1177" i="3"/>
  <c r="AJ1178" i="3"/>
  <c r="AJ1179" i="3"/>
  <c r="AJ1180" i="3"/>
  <c r="AJ1181" i="3"/>
  <c r="AJ1182" i="3"/>
  <c r="AJ1183" i="3"/>
  <c r="AJ1184" i="3"/>
  <c r="AJ1185" i="3"/>
  <c r="AJ1186" i="3"/>
  <c r="AJ1187" i="3"/>
  <c r="AJ1188" i="3"/>
  <c r="AJ1189" i="3"/>
  <c r="AJ1190" i="3"/>
  <c r="AJ1191" i="3"/>
  <c r="AJ1192" i="3"/>
  <c r="AJ1193" i="3"/>
  <c r="AJ1194" i="3"/>
  <c r="AJ1195" i="3"/>
  <c r="AJ1196" i="3"/>
  <c r="AJ1197" i="3"/>
  <c r="AJ1198" i="3"/>
  <c r="AJ1199" i="3"/>
  <c r="AJ1200" i="3"/>
  <c r="AJ1201" i="3"/>
  <c r="AJ1202" i="3"/>
  <c r="AJ1203" i="3"/>
  <c r="AJ1204" i="3"/>
  <c r="AJ1205" i="3"/>
  <c r="AJ1206" i="3"/>
  <c r="AJ1207" i="3"/>
  <c r="AJ1208" i="3"/>
  <c r="AJ1209" i="3"/>
  <c r="AJ1210" i="3"/>
  <c r="AJ1211" i="3"/>
  <c r="AJ1212" i="3"/>
  <c r="AJ1213" i="3"/>
  <c r="AJ1214" i="3"/>
  <c r="AJ1215" i="3"/>
  <c r="AJ1216" i="3"/>
  <c r="AJ1217" i="3"/>
  <c r="AJ1218" i="3"/>
  <c r="AJ1219" i="3"/>
  <c r="AJ1220" i="3"/>
  <c r="AJ1221" i="3"/>
  <c r="AJ1222" i="3"/>
  <c r="AJ1223" i="3"/>
  <c r="AJ1224" i="3"/>
  <c r="AJ1225" i="3"/>
  <c r="AJ1226" i="3"/>
  <c r="AJ1227" i="3"/>
  <c r="AJ1228" i="3"/>
  <c r="AJ1229" i="3"/>
  <c r="AJ1230" i="3"/>
  <c r="AJ1231" i="3"/>
  <c r="AJ1232" i="3"/>
  <c r="AJ1233" i="3"/>
  <c r="AJ1234" i="3"/>
  <c r="AJ1235" i="3"/>
  <c r="AJ1236" i="3"/>
  <c r="AJ1237" i="3"/>
  <c r="AJ1238" i="3"/>
  <c r="AJ1239" i="3"/>
  <c r="AJ1240" i="3"/>
  <c r="AJ1241" i="3"/>
  <c r="AJ1242" i="3"/>
  <c r="AJ1243" i="3"/>
  <c r="AJ1244" i="3"/>
  <c r="AJ1245" i="3"/>
  <c r="AJ1246" i="3"/>
  <c r="AJ1247" i="3"/>
  <c r="AJ1248" i="3"/>
  <c r="AJ1249" i="3"/>
  <c r="AJ1250" i="3"/>
  <c r="AJ1251" i="3"/>
  <c r="AJ1252" i="3"/>
  <c r="AJ1253" i="3"/>
  <c r="AJ1254" i="3"/>
  <c r="AJ1255" i="3"/>
  <c r="AJ1256" i="3"/>
  <c r="AJ1257" i="3"/>
  <c r="AJ1258" i="3"/>
  <c r="AJ1259" i="3"/>
  <c r="AJ1260" i="3"/>
  <c r="AJ1261" i="3"/>
  <c r="AJ1262" i="3"/>
  <c r="AJ1263" i="3"/>
  <c r="AJ1264" i="3"/>
  <c r="AJ1265" i="3"/>
  <c r="AJ1266" i="3"/>
  <c r="AJ1267" i="3"/>
  <c r="AJ1268" i="3"/>
  <c r="AJ1269" i="3"/>
  <c r="AJ1270" i="3"/>
  <c r="AJ1271" i="3"/>
  <c r="AJ1272" i="3"/>
  <c r="AJ1273" i="3"/>
  <c r="AJ1274" i="3"/>
  <c r="AJ1275" i="3"/>
  <c r="AJ1276" i="3"/>
  <c r="AJ1277" i="3"/>
  <c r="AJ1278" i="3"/>
  <c r="AJ1279" i="3"/>
  <c r="AJ1280" i="3"/>
  <c r="AJ1281" i="3"/>
  <c r="AJ1282" i="3"/>
  <c r="AJ1283" i="3"/>
  <c r="AJ1284" i="3"/>
  <c r="AJ1285" i="3"/>
  <c r="AJ1286" i="3"/>
  <c r="AJ1287" i="3"/>
  <c r="AJ1288" i="3"/>
  <c r="AJ1289" i="3"/>
  <c r="AJ1290" i="3"/>
  <c r="AJ1291" i="3"/>
  <c r="AJ1292" i="3"/>
  <c r="AJ1293" i="3"/>
  <c r="AJ1294" i="3"/>
  <c r="AJ1295" i="3"/>
  <c r="AJ1296" i="3"/>
  <c r="AJ1297" i="3"/>
  <c r="AJ1298" i="3"/>
  <c r="AJ1299" i="3"/>
  <c r="AJ1300" i="3"/>
  <c r="AJ1301" i="3"/>
  <c r="AJ1302" i="3"/>
  <c r="AJ1303" i="3"/>
  <c r="AJ1304" i="3"/>
  <c r="AJ1305" i="3"/>
  <c r="AJ1306" i="3"/>
  <c r="AJ1307" i="3"/>
  <c r="AJ1308" i="3"/>
  <c r="AJ1309" i="3"/>
  <c r="AJ1310" i="3"/>
  <c r="AJ1311" i="3"/>
  <c r="AJ1312" i="3"/>
  <c r="AJ1313" i="3"/>
  <c r="AJ1314" i="3"/>
  <c r="AJ1315" i="3"/>
  <c r="AJ1316" i="3"/>
  <c r="AJ1317" i="3"/>
  <c r="AJ1318" i="3"/>
  <c r="AJ1319" i="3"/>
  <c r="AJ1320" i="3"/>
  <c r="AJ1321" i="3"/>
  <c r="AJ1322" i="3"/>
  <c r="AJ1323" i="3"/>
  <c r="AJ1324" i="3"/>
  <c r="AJ1325" i="3"/>
  <c r="AJ1326" i="3"/>
  <c r="AJ1327" i="3"/>
  <c r="AJ1328" i="3"/>
  <c r="AJ1329" i="3"/>
  <c r="AJ1330" i="3"/>
  <c r="AJ1331" i="3"/>
  <c r="AJ1332" i="3"/>
  <c r="AJ1333" i="3"/>
  <c r="AJ1334" i="3"/>
  <c r="AJ1335" i="3"/>
  <c r="AJ1336" i="3"/>
  <c r="AJ1337" i="3"/>
  <c r="AJ1338" i="3"/>
  <c r="AJ1339" i="3"/>
  <c r="AJ1340" i="3"/>
  <c r="AJ1341" i="3"/>
  <c r="AJ1342" i="3"/>
  <c r="AJ1343" i="3"/>
  <c r="AJ1344" i="3"/>
  <c r="AJ1345" i="3"/>
  <c r="AJ1346" i="3"/>
  <c r="AJ1347" i="3"/>
  <c r="AJ1348" i="3"/>
  <c r="AJ1349" i="3"/>
  <c r="AJ1350" i="3"/>
  <c r="AJ1351" i="3"/>
  <c r="AJ1352" i="3"/>
  <c r="AJ1353" i="3"/>
  <c r="AJ1354" i="3"/>
  <c r="AJ1355" i="3"/>
  <c r="AJ1356" i="3"/>
  <c r="AJ1357" i="3"/>
  <c r="AJ1358" i="3"/>
  <c r="AJ1359" i="3"/>
  <c r="AJ1360" i="3"/>
  <c r="AJ1361" i="3"/>
  <c r="AJ1362" i="3"/>
  <c r="AJ1363" i="3"/>
  <c r="AJ1364" i="3"/>
  <c r="AJ1365" i="3"/>
  <c r="AJ1366" i="3"/>
  <c r="AJ1367" i="3"/>
  <c r="AJ1368" i="3"/>
  <c r="AJ1369" i="3"/>
  <c r="AJ1370" i="3"/>
  <c r="AJ1371" i="3"/>
  <c r="AJ1372" i="3"/>
  <c r="AJ1373" i="3"/>
  <c r="AJ1374" i="3"/>
  <c r="AJ1375" i="3"/>
  <c r="AJ1376" i="3"/>
  <c r="AJ1377" i="3"/>
  <c r="AJ1378" i="3"/>
  <c r="AJ1379" i="3"/>
  <c r="AJ1380" i="3"/>
  <c r="AJ1381" i="3"/>
  <c r="AJ1382" i="3"/>
  <c r="AJ1383" i="3"/>
  <c r="AJ1384" i="3"/>
  <c r="AJ1385" i="3"/>
  <c r="AJ1386" i="3"/>
  <c r="AJ1387" i="3"/>
  <c r="AJ1388" i="3"/>
  <c r="AJ1389" i="3"/>
  <c r="AJ1390" i="3"/>
  <c r="AJ1391" i="3"/>
  <c r="AJ1392" i="3"/>
  <c r="AJ1393" i="3"/>
  <c r="AJ1394" i="3"/>
  <c r="AJ1395" i="3"/>
  <c r="AJ1396" i="3"/>
  <c r="AJ1397" i="3"/>
  <c r="AJ1398" i="3"/>
  <c r="AJ1399" i="3"/>
  <c r="AJ1400" i="3"/>
  <c r="AJ1401" i="3"/>
  <c r="AJ1402" i="3"/>
  <c r="AJ1403" i="3"/>
  <c r="AJ1404" i="3"/>
  <c r="AJ1405" i="3"/>
  <c r="AJ1406" i="3"/>
  <c r="AJ1407" i="3"/>
  <c r="AJ1408" i="3"/>
  <c r="AJ1409" i="3"/>
  <c r="AJ1410" i="3"/>
  <c r="AJ1411" i="3"/>
  <c r="AJ1412" i="3"/>
  <c r="AJ1413" i="3"/>
  <c r="AJ1414" i="3"/>
  <c r="AJ1415" i="3"/>
  <c r="AJ1416" i="3"/>
  <c r="AJ1417" i="3"/>
  <c r="AJ1418" i="3"/>
  <c r="AJ1419" i="3"/>
  <c r="AJ1420" i="3"/>
  <c r="AJ1421" i="3"/>
  <c r="AJ1422" i="3"/>
  <c r="AJ1423" i="3"/>
  <c r="AJ1424" i="3"/>
  <c r="AJ1425" i="3"/>
  <c r="AJ1426" i="3"/>
  <c r="AJ1427" i="3"/>
  <c r="AJ1428" i="3"/>
  <c r="AJ1429" i="3"/>
  <c r="AJ1430" i="3"/>
  <c r="AJ1431" i="3"/>
  <c r="AJ1432" i="3"/>
  <c r="AJ1433" i="3"/>
  <c r="AJ1434" i="3"/>
  <c r="AJ1435" i="3"/>
  <c r="AJ1436" i="3"/>
  <c r="AJ1437" i="3"/>
  <c r="AJ1438" i="3"/>
  <c r="AJ1439" i="3"/>
  <c r="AJ3" i="3"/>
  <c r="AG1439" i="3" a="1"/>
  <c r="AG1439" i="3" s="1"/>
  <c r="AG1438" i="3" a="1"/>
  <c r="AG1438" i="3" s="1"/>
  <c r="AG1437" i="3" a="1"/>
  <c r="AG1437" i="3" s="1"/>
  <c r="AG1436" i="3" a="1"/>
  <c r="AG1436" i="3" s="1"/>
  <c r="AG1435" i="3" a="1"/>
  <c r="AG1435" i="3" s="1"/>
  <c r="AG1434" i="3" a="1"/>
  <c r="AG1434" i="3" s="1"/>
  <c r="AG1433" i="3" a="1"/>
  <c r="AG1433" i="3" s="1"/>
  <c r="AG1432" i="3" a="1"/>
  <c r="AG1432" i="3" s="1"/>
  <c r="AG1431" i="3" a="1"/>
  <c r="AG1431" i="3" s="1"/>
  <c r="AG1430" i="3" a="1"/>
  <c r="AG1430" i="3" s="1"/>
  <c r="AG1429" i="3" a="1"/>
  <c r="AG1429" i="3" s="1"/>
  <c r="AG1428" i="3" a="1"/>
  <c r="AG1428" i="3" s="1"/>
  <c r="AG1427" i="3" a="1"/>
  <c r="AG1427" i="3" s="1"/>
  <c r="AG1426" i="3" a="1"/>
  <c r="AG1426" i="3" s="1"/>
  <c r="AG1425" i="3" a="1"/>
  <c r="AG1425" i="3" s="1"/>
  <c r="AG1424" i="3" a="1"/>
  <c r="AG1424" i="3" s="1"/>
  <c r="AG1423" i="3" a="1"/>
  <c r="AG1423" i="3" s="1"/>
  <c r="AG1422" i="3" a="1"/>
  <c r="AG1422" i="3" s="1"/>
  <c r="AG1421" i="3" a="1"/>
  <c r="AG1421" i="3" s="1"/>
  <c r="AG1420" i="3" a="1"/>
  <c r="AG1420" i="3" s="1"/>
  <c r="AG1419" i="3" a="1"/>
  <c r="AG1419" i="3" s="1"/>
  <c r="AG1418" i="3" a="1"/>
  <c r="AG1418" i="3" s="1"/>
  <c r="AG1417" i="3" a="1"/>
  <c r="AG1417" i="3" s="1"/>
  <c r="AG1416" i="3" a="1"/>
  <c r="AG1416" i="3" s="1"/>
  <c r="AG1415" i="3" a="1"/>
  <c r="AG1415" i="3" s="1"/>
  <c r="AG1414" i="3" a="1"/>
  <c r="AG1414" i="3" s="1"/>
  <c r="AG1413" i="3" a="1"/>
  <c r="AG1413" i="3" s="1"/>
  <c r="AG1412" i="3" a="1"/>
  <c r="AG1412" i="3" s="1"/>
  <c r="AG1411" i="3" a="1"/>
  <c r="AG1411" i="3" s="1"/>
  <c r="AG1410" i="3" a="1"/>
  <c r="AG1410" i="3" s="1"/>
  <c r="AG1409" i="3" a="1"/>
  <c r="AG1409" i="3" s="1"/>
  <c r="AG1408" i="3" a="1"/>
  <c r="AG1408" i="3" s="1"/>
  <c r="AG1407" i="3" a="1"/>
  <c r="AG1407" i="3" s="1"/>
  <c r="AG1406" i="3" a="1"/>
  <c r="AG1406" i="3" s="1"/>
  <c r="AG1405" i="3" a="1"/>
  <c r="AG1405" i="3" s="1"/>
  <c r="AG1404" i="3" a="1"/>
  <c r="AG1404" i="3" s="1"/>
  <c r="AG1403" i="3" a="1"/>
  <c r="AG1403" i="3" s="1"/>
  <c r="AG1402" i="3" a="1"/>
  <c r="AG1402" i="3" s="1"/>
  <c r="AG1401" i="3" a="1"/>
  <c r="AG1401" i="3" s="1"/>
  <c r="AG1400" i="3" a="1"/>
  <c r="AG1400" i="3" s="1"/>
  <c r="AG1399" i="3" a="1"/>
  <c r="AG1399" i="3" s="1"/>
  <c r="AG1398" i="3" a="1"/>
  <c r="AG1398" i="3" s="1"/>
  <c r="AG1397" i="3" a="1"/>
  <c r="AG1397" i="3" s="1"/>
  <c r="AG1396" i="3" a="1"/>
  <c r="AG1396" i="3" s="1"/>
  <c r="AG1395" i="3" a="1"/>
  <c r="AG1395" i="3" s="1"/>
  <c r="AG1394" i="3" a="1"/>
  <c r="AG1394" i="3" s="1"/>
  <c r="AG1393" i="3" a="1"/>
  <c r="AG1393" i="3" s="1"/>
  <c r="AG1392" i="3" a="1"/>
  <c r="AG1392" i="3" s="1"/>
  <c r="AG1391" i="3" a="1"/>
  <c r="AG1391" i="3" s="1"/>
  <c r="AG1390" i="3" a="1"/>
  <c r="AG1390" i="3" s="1"/>
  <c r="AG1389" i="3" a="1"/>
  <c r="AG1389" i="3" s="1"/>
  <c r="AG1388" i="3" a="1"/>
  <c r="AG1388" i="3" s="1"/>
  <c r="AG1387" i="3" a="1"/>
  <c r="AG1387" i="3" s="1"/>
  <c r="AG1386" i="3" a="1"/>
  <c r="AG1386" i="3" s="1"/>
  <c r="AG1385" i="3" a="1"/>
  <c r="AG1385" i="3" s="1"/>
  <c r="AG1384" i="3" a="1"/>
  <c r="AG1384" i="3" s="1"/>
  <c r="AG1383" i="3" a="1"/>
  <c r="AG1383" i="3" s="1"/>
  <c r="AG1382" i="3" a="1"/>
  <c r="AG1382" i="3" s="1"/>
  <c r="AG1381" i="3" a="1"/>
  <c r="AG1381" i="3" s="1"/>
  <c r="AG1380" i="3" a="1"/>
  <c r="AG1380" i="3" s="1"/>
  <c r="AG1379" i="3" a="1"/>
  <c r="AG1379" i="3" s="1"/>
  <c r="AG1378" i="3" a="1"/>
  <c r="AG1378" i="3" s="1"/>
  <c r="AG1377" i="3" a="1"/>
  <c r="AG1377" i="3" s="1"/>
  <c r="AG1376" i="3" a="1"/>
  <c r="AG1376" i="3" s="1"/>
  <c r="AG1375" i="3" a="1"/>
  <c r="AG1375" i="3" s="1"/>
  <c r="AG1374" i="3" a="1"/>
  <c r="AG1374" i="3" s="1"/>
  <c r="AG1373" i="3" a="1"/>
  <c r="AG1373" i="3" s="1"/>
  <c r="AG1372" i="3" a="1"/>
  <c r="AG1372" i="3" s="1"/>
  <c r="AG1371" i="3" a="1"/>
  <c r="AG1371" i="3" s="1"/>
  <c r="AG1370" i="3" a="1"/>
  <c r="AG1370" i="3" s="1"/>
  <c r="AG1369" i="3" a="1"/>
  <c r="AG1369" i="3" s="1"/>
  <c r="AG1368" i="3" a="1"/>
  <c r="AG1368" i="3" s="1"/>
  <c r="AG1367" i="3" a="1"/>
  <c r="AG1367" i="3" s="1"/>
  <c r="AG1366" i="3" a="1"/>
  <c r="AG1366" i="3" s="1"/>
  <c r="AG1365" i="3" a="1"/>
  <c r="AG1365" i="3" s="1"/>
  <c r="AG1364" i="3" a="1"/>
  <c r="AG1364" i="3" s="1"/>
  <c r="AG1363" i="3" a="1"/>
  <c r="AG1363" i="3" s="1"/>
  <c r="AG1362" i="3" a="1"/>
  <c r="AG1362" i="3" s="1"/>
  <c r="AG1361" i="3" a="1"/>
  <c r="AG1361" i="3" s="1"/>
  <c r="AG1360" i="3" a="1"/>
  <c r="AG1360" i="3" s="1"/>
  <c r="AG1359" i="3" a="1"/>
  <c r="AG1359" i="3" s="1"/>
  <c r="AG1358" i="3" a="1"/>
  <c r="AG1358" i="3" s="1"/>
  <c r="AG1357" i="3" a="1"/>
  <c r="AG1357" i="3" s="1"/>
  <c r="AG1356" i="3" a="1"/>
  <c r="AG1356" i="3" s="1"/>
  <c r="AG1355" i="3" a="1"/>
  <c r="AG1355" i="3" s="1"/>
  <c r="AG1354" i="3" a="1"/>
  <c r="AG1354" i="3" s="1"/>
  <c r="AG1353" i="3" a="1"/>
  <c r="AG1353" i="3" s="1"/>
  <c r="AG1352" i="3" a="1"/>
  <c r="AG1352" i="3" s="1"/>
  <c r="AG1351" i="3" a="1"/>
  <c r="AG1351" i="3" s="1"/>
  <c r="AG1350" i="3" a="1"/>
  <c r="AG1350" i="3" s="1"/>
  <c r="AG1349" i="3" a="1"/>
  <c r="AG1349" i="3" s="1"/>
  <c r="AG1348" i="3" a="1"/>
  <c r="AG1348" i="3" s="1"/>
  <c r="AG1347" i="3" a="1"/>
  <c r="AG1347" i="3" s="1"/>
  <c r="AG1346" i="3" a="1"/>
  <c r="AG1346" i="3" s="1"/>
  <c r="AG1345" i="3" a="1"/>
  <c r="AG1345" i="3" s="1"/>
  <c r="AG1344" i="3" a="1"/>
  <c r="AG1344" i="3" s="1"/>
  <c r="AG1343" i="3" a="1"/>
  <c r="AG1343" i="3" s="1"/>
  <c r="AG1342" i="3" a="1"/>
  <c r="AG1342" i="3" s="1"/>
  <c r="AG1341" i="3" a="1"/>
  <c r="AG1341" i="3" s="1"/>
  <c r="AG1340" i="3" a="1"/>
  <c r="AG1340" i="3" s="1"/>
  <c r="AG1339" i="3" a="1"/>
  <c r="AG1339" i="3" s="1"/>
  <c r="AG1338" i="3" a="1"/>
  <c r="AG1338" i="3" s="1"/>
  <c r="AG1337" i="3" a="1"/>
  <c r="AG1337" i="3" s="1"/>
  <c r="AG1336" i="3" a="1"/>
  <c r="AG1336" i="3" s="1"/>
  <c r="AG1335" i="3" a="1"/>
  <c r="AG1335" i="3" s="1"/>
  <c r="AG1334" i="3" a="1"/>
  <c r="AG1334" i="3" s="1"/>
  <c r="AG1333" i="3" a="1"/>
  <c r="AG1333" i="3" s="1"/>
  <c r="AG1332" i="3" a="1"/>
  <c r="AG1332" i="3" s="1"/>
  <c r="AG1331" i="3" a="1"/>
  <c r="AG1331" i="3" s="1"/>
  <c r="AG1330" i="3" a="1"/>
  <c r="AG1330" i="3" s="1"/>
  <c r="AG1329" i="3" a="1"/>
  <c r="AG1329" i="3" s="1"/>
  <c r="AG1328" i="3" a="1"/>
  <c r="AG1328" i="3" s="1"/>
  <c r="AG1327" i="3" a="1"/>
  <c r="AG1327" i="3" s="1"/>
  <c r="AG1326" i="3" a="1"/>
  <c r="AG1326" i="3" s="1"/>
  <c r="AG1325" i="3" a="1"/>
  <c r="AG1325" i="3" s="1"/>
  <c r="AG1324" i="3" a="1"/>
  <c r="AG1324" i="3" s="1"/>
  <c r="AG1323" i="3" a="1"/>
  <c r="AG1323" i="3" s="1"/>
  <c r="AG1322" i="3" a="1"/>
  <c r="AG1322" i="3" s="1"/>
  <c r="AG1321" i="3" a="1"/>
  <c r="AG1321" i="3" s="1"/>
  <c r="AG1320" i="3" a="1"/>
  <c r="AG1320" i="3" s="1"/>
  <c r="AG1319" i="3" a="1"/>
  <c r="AG1319" i="3" s="1"/>
  <c r="AG1318" i="3" a="1"/>
  <c r="AG1318" i="3" s="1"/>
  <c r="AG1317" i="3" a="1"/>
  <c r="AG1317" i="3" s="1"/>
  <c r="AG1316" i="3" a="1"/>
  <c r="AG1316" i="3" s="1"/>
  <c r="AG1315" i="3" a="1"/>
  <c r="AG1315" i="3" s="1"/>
  <c r="AG1314" i="3" a="1"/>
  <c r="AG1314" i="3" s="1"/>
  <c r="AG1313" i="3" a="1"/>
  <c r="AG1313" i="3" s="1"/>
  <c r="AG1312" i="3" a="1"/>
  <c r="AG1312" i="3" s="1"/>
  <c r="AG1311" i="3" a="1"/>
  <c r="AG1311" i="3" s="1"/>
  <c r="AG1310" i="3" a="1"/>
  <c r="AG1310" i="3" s="1"/>
  <c r="AG1309" i="3" a="1"/>
  <c r="AG1309" i="3" s="1"/>
  <c r="AG1308" i="3" a="1"/>
  <c r="AG1308" i="3" s="1"/>
  <c r="AG1307" i="3" a="1"/>
  <c r="AG1307" i="3" s="1"/>
  <c r="AG1306" i="3" a="1"/>
  <c r="AG1306" i="3" s="1"/>
  <c r="AG1305" i="3" a="1"/>
  <c r="AG1305" i="3" s="1"/>
  <c r="AG1304" i="3" a="1"/>
  <c r="AG1304" i="3" s="1"/>
  <c r="AG1303" i="3" a="1"/>
  <c r="AG1303" i="3" s="1"/>
  <c r="AG1302" i="3" a="1"/>
  <c r="AG1302" i="3" s="1"/>
  <c r="AG1301" i="3" a="1"/>
  <c r="AG1301" i="3" s="1"/>
  <c r="AG1300" i="3" a="1"/>
  <c r="AG1300" i="3" s="1"/>
  <c r="AG1299" i="3" a="1"/>
  <c r="AG1299" i="3" s="1"/>
  <c r="AG1298" i="3" a="1"/>
  <c r="AG1298" i="3" s="1"/>
  <c r="AG1297" i="3" a="1"/>
  <c r="AG1297" i="3" s="1"/>
  <c r="AG1296" i="3" a="1"/>
  <c r="AG1296" i="3" s="1"/>
  <c r="AG1295" i="3" a="1"/>
  <c r="AG1295" i="3" s="1"/>
  <c r="AG1294" i="3" a="1"/>
  <c r="AG1294" i="3" s="1"/>
  <c r="AG1293" i="3" a="1"/>
  <c r="AG1293" i="3" s="1"/>
  <c r="AG1292" i="3" a="1"/>
  <c r="AG1292" i="3" s="1"/>
  <c r="AG1291" i="3" a="1"/>
  <c r="AG1291" i="3" s="1"/>
  <c r="AG1290" i="3" a="1"/>
  <c r="AG1290" i="3" s="1"/>
  <c r="AG1289" i="3" a="1"/>
  <c r="AG1289" i="3" s="1"/>
  <c r="AG1288" i="3" a="1"/>
  <c r="AG1288" i="3" s="1"/>
  <c r="AG1287" i="3" a="1"/>
  <c r="AG1287" i="3" s="1"/>
  <c r="AG1286" i="3" a="1"/>
  <c r="AG1286" i="3" s="1"/>
  <c r="AG1285" i="3" a="1"/>
  <c r="AG1285" i="3" s="1"/>
  <c r="AG1284" i="3" a="1"/>
  <c r="AG1284" i="3" s="1"/>
  <c r="AG1283" i="3" a="1"/>
  <c r="AG1283" i="3" s="1"/>
  <c r="AG1282" i="3" a="1"/>
  <c r="AG1282" i="3" s="1"/>
  <c r="AG1281" i="3" a="1"/>
  <c r="AG1281" i="3" s="1"/>
  <c r="AG1280" i="3" a="1"/>
  <c r="AG1280" i="3" s="1"/>
  <c r="AG1279" i="3" a="1"/>
  <c r="AG1279" i="3" s="1"/>
  <c r="AG1278" i="3" a="1"/>
  <c r="AG1278" i="3" s="1"/>
  <c r="AG1277" i="3" a="1"/>
  <c r="AG1277" i="3" s="1"/>
  <c r="AG1276" i="3" a="1"/>
  <c r="AG1276" i="3" s="1"/>
  <c r="AG1275" i="3" a="1"/>
  <c r="AG1275" i="3" s="1"/>
  <c r="AG1274" i="3" a="1"/>
  <c r="AG1274" i="3" s="1"/>
  <c r="AG1273" i="3" a="1"/>
  <c r="AG1273" i="3" s="1"/>
  <c r="AG1272" i="3" a="1"/>
  <c r="AG1272" i="3" s="1"/>
  <c r="AG1271" i="3" a="1"/>
  <c r="AG1271" i="3" s="1"/>
  <c r="AG1270" i="3" a="1"/>
  <c r="AG1270" i="3" s="1"/>
  <c r="AG1269" i="3" a="1"/>
  <c r="AG1269" i="3" s="1"/>
  <c r="AG1268" i="3" a="1"/>
  <c r="AG1268" i="3" s="1"/>
  <c r="AG1267" i="3" a="1"/>
  <c r="AG1267" i="3" s="1"/>
  <c r="AG1266" i="3" a="1"/>
  <c r="AG1266" i="3" s="1"/>
  <c r="AG1265" i="3" a="1"/>
  <c r="AG1265" i="3" s="1"/>
  <c r="AG1264" i="3" a="1"/>
  <c r="AG1264" i="3" s="1"/>
  <c r="AG1263" i="3" a="1"/>
  <c r="AG1263" i="3" s="1"/>
  <c r="AG1262" i="3" a="1"/>
  <c r="AG1262" i="3" s="1"/>
  <c r="AG1261" i="3" a="1"/>
  <c r="AG1261" i="3" s="1"/>
  <c r="AG1260" i="3" a="1"/>
  <c r="AG1260" i="3" s="1"/>
  <c r="AG1259" i="3" a="1"/>
  <c r="AG1259" i="3" s="1"/>
  <c r="AG1258" i="3" a="1"/>
  <c r="AG1258" i="3" s="1"/>
  <c r="AG1257" i="3" a="1"/>
  <c r="AG1257" i="3" s="1"/>
  <c r="AG1256" i="3" a="1"/>
  <c r="AG1256" i="3" s="1"/>
  <c r="AG1255" i="3" a="1"/>
  <c r="AG1255" i="3" s="1"/>
  <c r="AG1254" i="3" a="1"/>
  <c r="AG1254" i="3" s="1"/>
  <c r="AG1253" i="3" a="1"/>
  <c r="AG1253" i="3" s="1"/>
  <c r="AG1252" i="3" a="1"/>
  <c r="AG1252" i="3" s="1"/>
  <c r="AG1251" i="3" a="1"/>
  <c r="AG1251" i="3" s="1"/>
  <c r="AG1250" i="3" a="1"/>
  <c r="AG1250" i="3" s="1"/>
  <c r="AG1249" i="3" a="1"/>
  <c r="AG1249" i="3" s="1"/>
  <c r="AG1248" i="3" a="1"/>
  <c r="AG1248" i="3" s="1"/>
  <c r="AG1247" i="3" a="1"/>
  <c r="AG1247" i="3" s="1"/>
  <c r="AG1246" i="3" a="1"/>
  <c r="AG1246" i="3" s="1"/>
  <c r="AG1245" i="3" a="1"/>
  <c r="AG1245" i="3" s="1"/>
  <c r="AG1244" i="3" a="1"/>
  <c r="AG1244" i="3" s="1"/>
  <c r="AG1243" i="3" a="1"/>
  <c r="AG1243" i="3" s="1"/>
  <c r="AG1242" i="3" a="1"/>
  <c r="AG1242" i="3" s="1"/>
  <c r="AG1241" i="3" a="1"/>
  <c r="AG1241" i="3" s="1"/>
  <c r="AG1240" i="3" a="1"/>
  <c r="AG1240" i="3" s="1"/>
  <c r="AG1239" i="3" a="1"/>
  <c r="AG1239" i="3" s="1"/>
  <c r="AG1238" i="3" a="1"/>
  <c r="AG1238" i="3" s="1"/>
  <c r="AG1237" i="3" a="1"/>
  <c r="AG1237" i="3" s="1"/>
  <c r="AG1236" i="3" a="1"/>
  <c r="AG1236" i="3" s="1"/>
  <c r="AG1235" i="3" a="1"/>
  <c r="AG1235" i="3" s="1"/>
  <c r="AG1234" i="3" a="1"/>
  <c r="AG1234" i="3" s="1"/>
  <c r="AG1233" i="3" a="1"/>
  <c r="AG1233" i="3" s="1"/>
  <c r="AG1232" i="3" a="1"/>
  <c r="AG1232" i="3" s="1"/>
  <c r="AG1231" i="3" a="1"/>
  <c r="AG1231" i="3" s="1"/>
  <c r="AG1230" i="3" a="1"/>
  <c r="AG1230" i="3" s="1"/>
  <c r="AG1229" i="3" a="1"/>
  <c r="AG1229" i="3" s="1"/>
  <c r="AG1228" i="3" a="1"/>
  <c r="AG1228" i="3" s="1"/>
  <c r="AG1227" i="3" a="1"/>
  <c r="AG1227" i="3" s="1"/>
  <c r="AG1226" i="3" a="1"/>
  <c r="AG1226" i="3" s="1"/>
  <c r="AG1225" i="3" a="1"/>
  <c r="AG1225" i="3" s="1"/>
  <c r="AG1224" i="3" a="1"/>
  <c r="AG1224" i="3" s="1"/>
  <c r="AG1223" i="3" a="1"/>
  <c r="AG1223" i="3" s="1"/>
  <c r="AG1222" i="3" a="1"/>
  <c r="AG1222" i="3" s="1"/>
  <c r="AG1221" i="3" a="1"/>
  <c r="AG1221" i="3" s="1"/>
  <c r="AG1220" i="3" a="1"/>
  <c r="AG1220" i="3" s="1"/>
  <c r="AG1219" i="3" a="1"/>
  <c r="AG1219" i="3" s="1"/>
  <c r="AG1218" i="3" a="1"/>
  <c r="AG1218" i="3" s="1"/>
  <c r="AG1217" i="3" a="1"/>
  <c r="AG1217" i="3" s="1"/>
  <c r="AG1216" i="3" a="1"/>
  <c r="AG1216" i="3" s="1"/>
  <c r="AG1215" i="3" a="1"/>
  <c r="AG1215" i="3" s="1"/>
  <c r="AG1214" i="3" a="1"/>
  <c r="AG1214" i="3" s="1"/>
  <c r="AG1213" i="3" a="1"/>
  <c r="AG1213" i="3" s="1"/>
  <c r="AG1212" i="3" a="1"/>
  <c r="AG1212" i="3" s="1"/>
  <c r="AG1211" i="3" a="1"/>
  <c r="AG1211" i="3" s="1"/>
  <c r="AG1210" i="3" a="1"/>
  <c r="AG1210" i="3" s="1"/>
  <c r="AG1209" i="3" a="1"/>
  <c r="AG1209" i="3" s="1"/>
  <c r="AG1208" i="3" a="1"/>
  <c r="AG1208" i="3" s="1"/>
  <c r="AG1207" i="3" a="1"/>
  <c r="AG1207" i="3" s="1"/>
  <c r="AG1206" i="3" a="1"/>
  <c r="AG1206" i="3" s="1"/>
  <c r="AG1205" i="3" a="1"/>
  <c r="AG1205" i="3" s="1"/>
  <c r="AG1204" i="3" a="1"/>
  <c r="AG1204" i="3" s="1"/>
  <c r="AG1203" i="3" a="1"/>
  <c r="AG1203" i="3" s="1"/>
  <c r="AG1202" i="3" a="1"/>
  <c r="AG1202" i="3" s="1"/>
  <c r="AG1201" i="3" a="1"/>
  <c r="AG1201" i="3" s="1"/>
  <c r="AG1200" i="3" a="1"/>
  <c r="AG1200" i="3" s="1"/>
  <c r="AG1199" i="3" a="1"/>
  <c r="AG1199" i="3" s="1"/>
  <c r="AG1198" i="3" a="1"/>
  <c r="AG1198" i="3" s="1"/>
  <c r="AG1197" i="3" a="1"/>
  <c r="AG1197" i="3" s="1"/>
  <c r="AG1196" i="3" a="1"/>
  <c r="AG1196" i="3" s="1"/>
  <c r="AG1195" i="3" a="1"/>
  <c r="AG1195" i="3" s="1"/>
  <c r="AG1194" i="3" a="1"/>
  <c r="AG1194" i="3" s="1"/>
  <c r="AG1193" i="3" a="1"/>
  <c r="AG1193" i="3" s="1"/>
  <c r="AG1192" i="3" a="1"/>
  <c r="AG1192" i="3" s="1"/>
  <c r="AG1191" i="3" a="1"/>
  <c r="AG1191" i="3" s="1"/>
  <c r="AG1190" i="3" a="1"/>
  <c r="AG1190" i="3" s="1"/>
  <c r="AG1189" i="3" a="1"/>
  <c r="AG1189" i="3" s="1"/>
  <c r="AG1188" i="3" a="1"/>
  <c r="AG1188" i="3" s="1"/>
  <c r="AG1187" i="3" a="1"/>
  <c r="AG1187" i="3" s="1"/>
  <c r="AG1186" i="3" a="1"/>
  <c r="AG1186" i="3" s="1"/>
  <c r="AG1185" i="3" a="1"/>
  <c r="AG1185" i="3" s="1"/>
  <c r="AG1184" i="3" a="1"/>
  <c r="AG1184" i="3" s="1"/>
  <c r="AG1183" i="3" a="1"/>
  <c r="AG1183" i="3" s="1"/>
  <c r="AG1182" i="3" a="1"/>
  <c r="AG1182" i="3" s="1"/>
  <c r="AG1181" i="3" a="1"/>
  <c r="AG1181" i="3" s="1"/>
  <c r="AG1180" i="3" a="1"/>
  <c r="AG1180" i="3" s="1"/>
  <c r="AG1179" i="3" a="1"/>
  <c r="AG1179" i="3" s="1"/>
  <c r="AG1178" i="3" a="1"/>
  <c r="AG1178" i="3" s="1"/>
  <c r="AG1177" i="3" a="1"/>
  <c r="AG1177" i="3" s="1"/>
  <c r="AG1176" i="3" a="1"/>
  <c r="AG1176" i="3" s="1"/>
  <c r="AG1175" i="3" a="1"/>
  <c r="AG1175" i="3" s="1"/>
  <c r="AG1174" i="3" a="1"/>
  <c r="AG1174" i="3" s="1"/>
  <c r="AG1173" i="3" a="1"/>
  <c r="AG1173" i="3" s="1"/>
  <c r="AG1172" i="3" a="1"/>
  <c r="AG1172" i="3" s="1"/>
  <c r="AG1171" i="3" a="1"/>
  <c r="AG1171" i="3" s="1"/>
  <c r="AG1170" i="3" a="1"/>
  <c r="AG1170" i="3" s="1"/>
  <c r="AG1169" i="3" a="1"/>
  <c r="AG1169" i="3" s="1"/>
  <c r="AG1168" i="3" a="1"/>
  <c r="AG1168" i="3" s="1"/>
  <c r="AG1167" i="3" a="1"/>
  <c r="AG1167" i="3" s="1"/>
  <c r="AG1166" i="3" a="1"/>
  <c r="AG1166" i="3" s="1"/>
  <c r="AG1165" i="3" a="1"/>
  <c r="AG1165" i="3" s="1"/>
  <c r="AG1164" i="3" a="1"/>
  <c r="AG1164" i="3" s="1"/>
  <c r="AG1163" i="3" a="1"/>
  <c r="AG1163" i="3" s="1"/>
  <c r="AG1162" i="3" a="1"/>
  <c r="AG1162" i="3" s="1"/>
  <c r="AG1161" i="3" a="1"/>
  <c r="AG1161" i="3" s="1"/>
  <c r="AG1160" i="3" a="1"/>
  <c r="AG1160" i="3" s="1"/>
  <c r="AG1159" i="3" a="1"/>
  <c r="AG1159" i="3" s="1"/>
  <c r="AG1158" i="3" a="1"/>
  <c r="AG1158" i="3" s="1"/>
  <c r="AG1157" i="3" a="1"/>
  <c r="AG1157" i="3" s="1"/>
  <c r="AG1156" i="3" a="1"/>
  <c r="AG1156" i="3" s="1"/>
  <c r="AG1155" i="3" a="1"/>
  <c r="AG1155" i="3" s="1"/>
  <c r="AG1154" i="3" a="1"/>
  <c r="AG1154" i="3" s="1"/>
  <c r="AG1153" i="3" a="1"/>
  <c r="AG1153" i="3" s="1"/>
  <c r="AG1152" i="3" a="1"/>
  <c r="AG1152" i="3" s="1"/>
  <c r="AG1151" i="3" a="1"/>
  <c r="AG1151" i="3" s="1"/>
  <c r="AG1150" i="3" a="1"/>
  <c r="AG1150" i="3" s="1"/>
  <c r="AG1149" i="3" a="1"/>
  <c r="AG1149" i="3" s="1"/>
  <c r="AG1148" i="3" a="1"/>
  <c r="AG1148" i="3" s="1"/>
  <c r="AG1147" i="3" a="1"/>
  <c r="AG1147" i="3" s="1"/>
  <c r="AG1146" i="3" a="1"/>
  <c r="AG1146" i="3" s="1"/>
  <c r="AG1145" i="3" a="1"/>
  <c r="AG1145" i="3" s="1"/>
  <c r="AG1144" i="3" a="1"/>
  <c r="AG1144" i="3" s="1"/>
  <c r="AG1143" i="3" a="1"/>
  <c r="AG1143" i="3" s="1"/>
  <c r="AG1142" i="3" a="1"/>
  <c r="AG1142" i="3" s="1"/>
  <c r="AG1141" i="3" a="1"/>
  <c r="AG1141" i="3" s="1"/>
  <c r="AG1140" i="3" a="1"/>
  <c r="AG1140" i="3" s="1"/>
  <c r="AG1139" i="3" a="1"/>
  <c r="AG1139" i="3" s="1"/>
  <c r="AG1138" i="3" a="1"/>
  <c r="AG1138" i="3" s="1"/>
  <c r="AG1137" i="3" a="1"/>
  <c r="AG1137" i="3" s="1"/>
  <c r="AG1136" i="3" a="1"/>
  <c r="AG1136" i="3" s="1"/>
  <c r="AG1135" i="3" a="1"/>
  <c r="AG1135" i="3" s="1"/>
  <c r="AG1134" i="3" a="1"/>
  <c r="AG1134" i="3" s="1"/>
  <c r="AG1133" i="3" a="1"/>
  <c r="AG1133" i="3" s="1"/>
  <c r="AG1132" i="3" a="1"/>
  <c r="AG1132" i="3" s="1"/>
  <c r="AG1131" i="3" a="1"/>
  <c r="AG1131" i="3" s="1"/>
  <c r="AG1130" i="3" a="1"/>
  <c r="AG1130" i="3" s="1"/>
  <c r="AG1129" i="3" a="1"/>
  <c r="AG1129" i="3" s="1"/>
  <c r="AG1128" i="3" a="1"/>
  <c r="AG1128" i="3" s="1"/>
  <c r="AG1127" i="3" a="1"/>
  <c r="AG1127" i="3" s="1"/>
  <c r="AG1126" i="3" a="1"/>
  <c r="AG1126" i="3" s="1"/>
  <c r="AG1125" i="3" a="1"/>
  <c r="AG1125" i="3" s="1"/>
  <c r="AG1124" i="3" a="1"/>
  <c r="AG1124" i="3" s="1"/>
  <c r="AG1123" i="3" a="1"/>
  <c r="AG1123" i="3" s="1"/>
  <c r="AG1122" i="3" a="1"/>
  <c r="AG1122" i="3" s="1"/>
  <c r="AG1121" i="3" a="1"/>
  <c r="AG1121" i="3" s="1"/>
  <c r="AG1120" i="3" a="1"/>
  <c r="AG1120" i="3" s="1"/>
  <c r="AG1119" i="3" a="1"/>
  <c r="AG1119" i="3" s="1"/>
  <c r="AG1118" i="3" a="1"/>
  <c r="AG1118" i="3" s="1"/>
  <c r="AG1117" i="3" a="1"/>
  <c r="AG1117" i="3" s="1"/>
  <c r="AG1116" i="3" a="1"/>
  <c r="AG1116" i="3" s="1"/>
  <c r="AG1115" i="3" a="1"/>
  <c r="AG1115" i="3" s="1"/>
  <c r="AG1114" i="3" a="1"/>
  <c r="AG1114" i="3" s="1"/>
  <c r="AG1113" i="3" a="1"/>
  <c r="AG1113" i="3" s="1"/>
  <c r="AG1112" i="3" a="1"/>
  <c r="AG1112" i="3" s="1"/>
  <c r="AG1111" i="3" a="1"/>
  <c r="AG1111" i="3" s="1"/>
  <c r="AG1110" i="3" a="1"/>
  <c r="AG1110" i="3" s="1"/>
  <c r="AG1109" i="3" a="1"/>
  <c r="AG1109" i="3" s="1"/>
  <c r="AG1108" i="3" a="1"/>
  <c r="AG1108" i="3" s="1"/>
  <c r="AG1107" i="3" a="1"/>
  <c r="AG1107" i="3" s="1"/>
  <c r="AG1106" i="3" a="1"/>
  <c r="AG1106" i="3" s="1"/>
  <c r="AG1105" i="3" a="1"/>
  <c r="AG1105" i="3" s="1"/>
  <c r="AG1104" i="3" a="1"/>
  <c r="AG1104" i="3" s="1"/>
  <c r="AG1103" i="3" a="1"/>
  <c r="AG1103" i="3" s="1"/>
  <c r="AG1102" i="3" a="1"/>
  <c r="AG1102" i="3" s="1"/>
  <c r="AG1101" i="3" a="1"/>
  <c r="AG1101" i="3" s="1"/>
  <c r="AG1100" i="3" a="1"/>
  <c r="AG1100" i="3" s="1"/>
  <c r="AG1099" i="3" a="1"/>
  <c r="AG1099" i="3" s="1"/>
  <c r="AG1098" i="3" a="1"/>
  <c r="AG1098" i="3" s="1"/>
  <c r="AG1097" i="3" a="1"/>
  <c r="AG1097" i="3" s="1"/>
  <c r="AG1096" i="3" a="1"/>
  <c r="AG1096" i="3" s="1"/>
  <c r="AG1095" i="3" a="1"/>
  <c r="AG1095" i="3" s="1"/>
  <c r="AG1094" i="3" a="1"/>
  <c r="AG1094" i="3" s="1"/>
  <c r="AG1093" i="3" a="1"/>
  <c r="AG1093" i="3" s="1"/>
  <c r="AG1092" i="3" a="1"/>
  <c r="AG1092" i="3" s="1"/>
  <c r="AG1091" i="3" a="1"/>
  <c r="AG1091" i="3" s="1"/>
  <c r="AG1090" i="3" a="1"/>
  <c r="AG1090" i="3" s="1"/>
  <c r="AG1089" i="3" a="1"/>
  <c r="AG1089" i="3" s="1"/>
  <c r="AG1088" i="3" a="1"/>
  <c r="AG1088" i="3" s="1"/>
  <c r="AG1087" i="3" a="1"/>
  <c r="AG1087" i="3" s="1"/>
  <c r="AG1086" i="3" a="1"/>
  <c r="AG1086" i="3" s="1"/>
  <c r="AG1085" i="3" a="1"/>
  <c r="AG1085" i="3" s="1"/>
  <c r="AG1084" i="3" a="1"/>
  <c r="AG1084" i="3" s="1"/>
  <c r="AG1083" i="3" a="1"/>
  <c r="AG1083" i="3" s="1"/>
  <c r="AG1082" i="3" a="1"/>
  <c r="AG1082" i="3" s="1"/>
  <c r="AG1081" i="3" a="1"/>
  <c r="AG1081" i="3" s="1"/>
  <c r="AG1080" i="3" a="1"/>
  <c r="AG1080" i="3" s="1"/>
  <c r="AG1079" i="3" a="1"/>
  <c r="AG1079" i="3" s="1"/>
  <c r="AG1078" i="3" a="1"/>
  <c r="AG1078" i="3" s="1"/>
  <c r="AG1077" i="3" a="1"/>
  <c r="AG1077" i="3" s="1"/>
  <c r="AG1076" i="3" a="1"/>
  <c r="AG1076" i="3" s="1"/>
  <c r="AG1075" i="3" a="1"/>
  <c r="AG1075" i="3" s="1"/>
  <c r="AG1074" i="3" a="1"/>
  <c r="AG1074" i="3" s="1"/>
  <c r="AG1073" i="3" a="1"/>
  <c r="AG1073" i="3" s="1"/>
  <c r="AG1072" i="3" a="1"/>
  <c r="AG1072" i="3" s="1"/>
  <c r="AG1071" i="3" a="1"/>
  <c r="AG1071" i="3" s="1"/>
  <c r="AG1070" i="3" a="1"/>
  <c r="AG1070" i="3" s="1"/>
  <c r="AG1069" i="3" a="1"/>
  <c r="AG1069" i="3" s="1"/>
  <c r="AG1068" i="3" a="1"/>
  <c r="AG1068" i="3" s="1"/>
  <c r="AG1067" i="3" a="1"/>
  <c r="AG1067" i="3" s="1"/>
  <c r="AG1066" i="3" a="1"/>
  <c r="AG1066" i="3" s="1"/>
  <c r="AG1065" i="3" a="1"/>
  <c r="AG1065" i="3" s="1"/>
  <c r="AG1064" i="3" a="1"/>
  <c r="AG1064" i="3" s="1"/>
  <c r="AG1063" i="3" a="1"/>
  <c r="AG1063" i="3" s="1"/>
  <c r="AG1062" i="3" a="1"/>
  <c r="AG1062" i="3" s="1"/>
  <c r="AG1061" i="3" a="1"/>
  <c r="AG1061" i="3" s="1"/>
  <c r="AG1060" i="3" a="1"/>
  <c r="AG1060" i="3" s="1"/>
  <c r="AG1059" i="3" a="1"/>
  <c r="AG1059" i="3" s="1"/>
  <c r="AG1058" i="3" a="1"/>
  <c r="AG1058" i="3" s="1"/>
  <c r="AG1057" i="3" a="1"/>
  <c r="AG1057" i="3" s="1"/>
  <c r="AG1056" i="3" a="1"/>
  <c r="AG1056" i="3" s="1"/>
  <c r="AG1055" i="3" a="1"/>
  <c r="AG1055" i="3" s="1"/>
  <c r="AG1054" i="3" a="1"/>
  <c r="AG1054" i="3" s="1"/>
  <c r="AG1053" i="3" a="1"/>
  <c r="AG1053" i="3" s="1"/>
  <c r="AG1052" i="3" a="1"/>
  <c r="AG1052" i="3" s="1"/>
  <c r="AG1051" i="3" a="1"/>
  <c r="AG1051" i="3" s="1"/>
  <c r="AG1050" i="3" a="1"/>
  <c r="AG1050" i="3" s="1"/>
  <c r="AG1049" i="3" a="1"/>
  <c r="AG1049" i="3" s="1"/>
  <c r="AG1048" i="3" a="1"/>
  <c r="AG1048" i="3" s="1"/>
  <c r="AG1047" i="3" a="1"/>
  <c r="AG1047" i="3" s="1"/>
  <c r="AG1046" i="3" a="1"/>
  <c r="AG1046" i="3" s="1"/>
  <c r="AG1045" i="3" a="1"/>
  <c r="AG1045" i="3" s="1"/>
  <c r="AG1044" i="3" a="1"/>
  <c r="AG1044" i="3" s="1"/>
  <c r="AG1043" i="3" a="1"/>
  <c r="AG1043" i="3" s="1"/>
  <c r="AG1042" i="3" a="1"/>
  <c r="AG1042" i="3" s="1"/>
  <c r="AG1041" i="3" a="1"/>
  <c r="AG1041" i="3" s="1"/>
  <c r="AG1040" i="3" a="1"/>
  <c r="AG1040" i="3" s="1"/>
  <c r="AG1039" i="3" a="1"/>
  <c r="AG1039" i="3" s="1"/>
  <c r="AG1038" i="3" a="1"/>
  <c r="AG1038" i="3" s="1"/>
  <c r="AG1037" i="3" a="1"/>
  <c r="AG1037" i="3" s="1"/>
  <c r="AG1036" i="3" a="1"/>
  <c r="AG1036" i="3" s="1"/>
  <c r="AG1035" i="3" a="1"/>
  <c r="AG1035" i="3" s="1"/>
  <c r="AG1034" i="3" a="1"/>
  <c r="AG1034" i="3" s="1"/>
  <c r="AG1033" i="3" a="1"/>
  <c r="AG1033" i="3" s="1"/>
  <c r="AG1032" i="3" a="1"/>
  <c r="AG1032" i="3" s="1"/>
  <c r="AG1031" i="3" a="1"/>
  <c r="AG1031" i="3" s="1"/>
  <c r="AG1030" i="3" a="1"/>
  <c r="AG1030" i="3" s="1"/>
  <c r="AG1029" i="3" a="1"/>
  <c r="AG1029" i="3" s="1"/>
  <c r="AG1028" i="3" a="1"/>
  <c r="AG1028" i="3" s="1"/>
  <c r="AG1027" i="3" a="1"/>
  <c r="AG1027" i="3" s="1"/>
  <c r="AG1026" i="3" a="1"/>
  <c r="AG1026" i="3" s="1"/>
  <c r="AG1025" i="3" a="1"/>
  <c r="AG1025" i="3" s="1"/>
  <c r="AG1024" i="3" a="1"/>
  <c r="AG1024" i="3" s="1"/>
  <c r="AG1023" i="3" a="1"/>
  <c r="AG1023" i="3" s="1"/>
  <c r="AG1022" i="3" a="1"/>
  <c r="AG1022" i="3" s="1"/>
  <c r="AG1021" i="3" a="1"/>
  <c r="AG1021" i="3" s="1"/>
  <c r="AG1020" i="3" a="1"/>
  <c r="AG1020" i="3" s="1"/>
  <c r="AG1019" i="3" a="1"/>
  <c r="AG1019" i="3" s="1"/>
  <c r="AG1018" i="3" a="1"/>
  <c r="AG1018" i="3" s="1"/>
  <c r="AG1017" i="3" a="1"/>
  <c r="AG1017" i="3" s="1"/>
  <c r="AG1016" i="3" a="1"/>
  <c r="AG1016" i="3" s="1"/>
  <c r="AG1015" i="3" a="1"/>
  <c r="AG1015" i="3" s="1"/>
  <c r="AG1014" i="3" a="1"/>
  <c r="AG1014" i="3" s="1"/>
  <c r="AG1013" i="3" a="1"/>
  <c r="AG1013" i="3" s="1"/>
  <c r="AG1012" i="3" a="1"/>
  <c r="AG1012" i="3" s="1"/>
  <c r="AG1011" i="3" a="1"/>
  <c r="AG1011" i="3" s="1"/>
  <c r="AG1010" i="3" a="1"/>
  <c r="AG1010" i="3" s="1"/>
  <c r="AG1009" i="3" a="1"/>
  <c r="AG1009" i="3" s="1"/>
  <c r="AG1008" i="3" a="1"/>
  <c r="AG1008" i="3" s="1"/>
  <c r="AG1007" i="3" a="1"/>
  <c r="AG1007" i="3" s="1"/>
  <c r="AG1006" i="3" a="1"/>
  <c r="AG1006" i="3" s="1"/>
  <c r="AG1005" i="3" a="1"/>
  <c r="AG1005" i="3" s="1"/>
  <c r="AG1004" i="3" a="1"/>
  <c r="AG1004" i="3" s="1"/>
  <c r="AG1003" i="3" a="1"/>
  <c r="AG1003" i="3" s="1"/>
  <c r="AG1002" i="3" a="1"/>
  <c r="AG1002" i="3" s="1"/>
  <c r="AG1001" i="3" a="1"/>
  <c r="AG1001" i="3" s="1"/>
  <c r="AG1000" i="3" a="1"/>
  <c r="AG1000" i="3" s="1"/>
  <c r="AG999" i="3" a="1"/>
  <c r="AG999" i="3" s="1"/>
  <c r="AG998" i="3" a="1"/>
  <c r="AG998" i="3" s="1"/>
  <c r="AG997" i="3" a="1"/>
  <c r="AG997" i="3" s="1"/>
  <c r="AG996" i="3" a="1"/>
  <c r="AG996" i="3" s="1"/>
  <c r="AG995" i="3" a="1"/>
  <c r="AG995" i="3" s="1"/>
  <c r="AG994" i="3" a="1"/>
  <c r="AG994" i="3" s="1"/>
  <c r="AG993" i="3" a="1"/>
  <c r="AG993" i="3" s="1"/>
  <c r="AG992" i="3" a="1"/>
  <c r="AG992" i="3" s="1"/>
  <c r="AG991" i="3" a="1"/>
  <c r="AG991" i="3" s="1"/>
  <c r="AG990" i="3" a="1"/>
  <c r="AG990" i="3" s="1"/>
  <c r="AG989" i="3" a="1"/>
  <c r="AG989" i="3" s="1"/>
  <c r="AG988" i="3" a="1"/>
  <c r="AG988" i="3" s="1"/>
  <c r="AG987" i="3" a="1"/>
  <c r="AG987" i="3" s="1"/>
  <c r="AG986" i="3" a="1"/>
  <c r="AG986" i="3" s="1"/>
  <c r="AG985" i="3" a="1"/>
  <c r="AG985" i="3" s="1"/>
  <c r="AG984" i="3" a="1"/>
  <c r="AG984" i="3" s="1"/>
  <c r="AG983" i="3" a="1"/>
  <c r="AG983" i="3" s="1"/>
  <c r="AG982" i="3" a="1"/>
  <c r="AG982" i="3" s="1"/>
  <c r="AG981" i="3" a="1"/>
  <c r="AG981" i="3" s="1"/>
  <c r="AG980" i="3" a="1"/>
  <c r="AG980" i="3" s="1"/>
  <c r="AG979" i="3" a="1"/>
  <c r="AG979" i="3" s="1"/>
  <c r="AG978" i="3" a="1"/>
  <c r="AG978" i="3" s="1"/>
  <c r="AG977" i="3" a="1"/>
  <c r="AG977" i="3" s="1"/>
  <c r="AG976" i="3" a="1"/>
  <c r="AG976" i="3" s="1"/>
  <c r="AG975" i="3" a="1"/>
  <c r="AG975" i="3" s="1"/>
  <c r="AG974" i="3" a="1"/>
  <c r="AG974" i="3" s="1"/>
  <c r="AG973" i="3" a="1"/>
  <c r="AG973" i="3" s="1"/>
  <c r="AG972" i="3" a="1"/>
  <c r="AG972" i="3" s="1"/>
  <c r="AG971" i="3" a="1"/>
  <c r="AG971" i="3" s="1"/>
  <c r="AG970" i="3" a="1"/>
  <c r="AG970" i="3" s="1"/>
  <c r="AG969" i="3" a="1"/>
  <c r="AG969" i="3" s="1"/>
  <c r="AG968" i="3" a="1"/>
  <c r="AG968" i="3" s="1"/>
  <c r="AG967" i="3" a="1"/>
  <c r="AG967" i="3" s="1"/>
  <c r="AG966" i="3" a="1"/>
  <c r="AG966" i="3" s="1"/>
  <c r="AG965" i="3" a="1"/>
  <c r="AG965" i="3" s="1"/>
  <c r="AG964" i="3" a="1"/>
  <c r="AG964" i="3" s="1"/>
  <c r="AG963" i="3" a="1"/>
  <c r="AG963" i="3" s="1"/>
  <c r="AG962" i="3" a="1"/>
  <c r="AG962" i="3" s="1"/>
  <c r="AG961" i="3" a="1"/>
  <c r="AG961" i="3" s="1"/>
  <c r="AG960" i="3" a="1"/>
  <c r="AG960" i="3" s="1"/>
  <c r="AG959" i="3" a="1"/>
  <c r="AG959" i="3" s="1"/>
  <c r="AG958" i="3" a="1"/>
  <c r="AG958" i="3" s="1"/>
  <c r="AG957" i="3" a="1"/>
  <c r="AG957" i="3" s="1"/>
  <c r="AG956" i="3" a="1"/>
  <c r="AG956" i="3" s="1"/>
  <c r="AG955" i="3" a="1"/>
  <c r="AG955" i="3" s="1"/>
  <c r="AG954" i="3" a="1"/>
  <c r="AG954" i="3" s="1"/>
  <c r="AG953" i="3" a="1"/>
  <c r="AG953" i="3" s="1"/>
  <c r="AG952" i="3" a="1"/>
  <c r="AG952" i="3" s="1"/>
  <c r="AG951" i="3" a="1"/>
  <c r="AG951" i="3" s="1"/>
  <c r="AG950" i="3" a="1"/>
  <c r="AG950" i="3" s="1"/>
  <c r="AG949" i="3" a="1"/>
  <c r="AG949" i="3" s="1"/>
  <c r="AG948" i="3" a="1"/>
  <c r="AG948" i="3" s="1"/>
  <c r="AG947" i="3" a="1"/>
  <c r="AG947" i="3" s="1"/>
  <c r="AG946" i="3" a="1"/>
  <c r="AG946" i="3" s="1"/>
  <c r="AG945" i="3" a="1"/>
  <c r="AG945" i="3" s="1"/>
  <c r="AG944" i="3" a="1"/>
  <c r="AG944" i="3" s="1"/>
  <c r="AG943" i="3" a="1"/>
  <c r="AG943" i="3" s="1"/>
  <c r="AG942" i="3" a="1"/>
  <c r="AG942" i="3" s="1"/>
  <c r="AG941" i="3" a="1"/>
  <c r="AG941" i="3" s="1"/>
  <c r="AG940" i="3" a="1"/>
  <c r="AG940" i="3" s="1"/>
  <c r="AG939" i="3" a="1"/>
  <c r="AG939" i="3" s="1"/>
  <c r="AG938" i="3" a="1"/>
  <c r="AG938" i="3" s="1"/>
  <c r="AG937" i="3" a="1"/>
  <c r="AG937" i="3" s="1"/>
  <c r="AG936" i="3" a="1"/>
  <c r="AG936" i="3" s="1"/>
  <c r="AG935" i="3" a="1"/>
  <c r="AG935" i="3" s="1"/>
  <c r="AG934" i="3" a="1"/>
  <c r="AG934" i="3" s="1"/>
  <c r="AG933" i="3" a="1"/>
  <c r="AG933" i="3" s="1"/>
  <c r="AG932" i="3" a="1"/>
  <c r="AG932" i="3" s="1"/>
  <c r="AG931" i="3" a="1"/>
  <c r="AG931" i="3" s="1"/>
  <c r="AG930" i="3" a="1"/>
  <c r="AG930" i="3" s="1"/>
  <c r="AG929" i="3" a="1"/>
  <c r="AG929" i="3" s="1"/>
  <c r="AG928" i="3" a="1"/>
  <c r="AG928" i="3" s="1"/>
  <c r="AG927" i="3" a="1"/>
  <c r="AG927" i="3" s="1"/>
  <c r="AG926" i="3" a="1"/>
  <c r="AG926" i="3" s="1"/>
  <c r="AG925" i="3" a="1"/>
  <c r="AG925" i="3" s="1"/>
  <c r="AG924" i="3" a="1"/>
  <c r="AG924" i="3" s="1"/>
  <c r="AG923" i="3" a="1"/>
  <c r="AG923" i="3" s="1"/>
  <c r="AG922" i="3" a="1"/>
  <c r="AG922" i="3" s="1"/>
  <c r="AG921" i="3" a="1"/>
  <c r="AG921" i="3" s="1"/>
  <c r="AG920" i="3" a="1"/>
  <c r="AG920" i="3" s="1"/>
  <c r="AG919" i="3" a="1"/>
  <c r="AG919" i="3" s="1"/>
  <c r="AG918" i="3" a="1"/>
  <c r="AG918" i="3" s="1"/>
  <c r="AG917" i="3" a="1"/>
  <c r="AG917" i="3" s="1"/>
  <c r="AG916" i="3" a="1"/>
  <c r="AG916" i="3" s="1"/>
  <c r="AG915" i="3" a="1"/>
  <c r="AG915" i="3" s="1"/>
  <c r="AG914" i="3" a="1"/>
  <c r="AG914" i="3" s="1"/>
  <c r="AG913" i="3" a="1"/>
  <c r="AG913" i="3" s="1"/>
  <c r="AG912" i="3" a="1"/>
  <c r="AG912" i="3" s="1"/>
  <c r="AG911" i="3" a="1"/>
  <c r="AG911" i="3" s="1"/>
  <c r="AG910" i="3" a="1"/>
  <c r="AG910" i="3" s="1"/>
  <c r="AG909" i="3" a="1"/>
  <c r="AG909" i="3" s="1"/>
  <c r="AG908" i="3" a="1"/>
  <c r="AG908" i="3" s="1"/>
  <c r="AG907" i="3" a="1"/>
  <c r="AG907" i="3" s="1"/>
  <c r="AG906" i="3" a="1"/>
  <c r="AG906" i="3" s="1"/>
  <c r="AG905" i="3" a="1"/>
  <c r="AG905" i="3" s="1"/>
  <c r="AG904" i="3" a="1"/>
  <c r="AG904" i="3" s="1"/>
  <c r="AG903" i="3" a="1"/>
  <c r="AG903" i="3" s="1"/>
  <c r="AG902" i="3" a="1"/>
  <c r="AG902" i="3" s="1"/>
  <c r="AG901" i="3" a="1"/>
  <c r="AG901" i="3" s="1"/>
  <c r="AG900" i="3" a="1"/>
  <c r="AG900" i="3" s="1"/>
  <c r="AG899" i="3" a="1"/>
  <c r="AG899" i="3" s="1"/>
  <c r="AG898" i="3" a="1"/>
  <c r="AG898" i="3" s="1"/>
  <c r="AG897" i="3" a="1"/>
  <c r="AG897" i="3" s="1"/>
  <c r="AG896" i="3" a="1"/>
  <c r="AG896" i="3" s="1"/>
  <c r="AG895" i="3" a="1"/>
  <c r="AG895" i="3" s="1"/>
  <c r="AG894" i="3"/>
  <c r="AG894" i="3" a="1"/>
  <c r="AG893" i="3" a="1"/>
  <c r="AG893" i="3" s="1"/>
  <c r="AG892" i="3" a="1"/>
  <c r="AG892" i="3" s="1"/>
  <c r="AG891" i="3" a="1"/>
  <c r="AG891" i="3" s="1"/>
  <c r="AG890" i="3" a="1"/>
  <c r="AG890" i="3" s="1"/>
  <c r="AG889" i="3" a="1"/>
  <c r="AG889" i="3" s="1"/>
  <c r="AG888" i="3" a="1"/>
  <c r="AG888" i="3" s="1"/>
  <c r="AG887" i="3" a="1"/>
  <c r="AG887" i="3" s="1"/>
  <c r="AG886" i="3" a="1"/>
  <c r="AG886" i="3" s="1"/>
  <c r="AG885" i="3" a="1"/>
  <c r="AG885" i="3" s="1"/>
  <c r="AG884" i="3" a="1"/>
  <c r="AG884" i="3" s="1"/>
  <c r="AG883" i="3" a="1"/>
  <c r="AG883" i="3" s="1"/>
  <c r="AG882" i="3" a="1"/>
  <c r="AG882" i="3" s="1"/>
  <c r="AG881" i="3" a="1"/>
  <c r="AG881" i="3" s="1"/>
  <c r="AG880" i="3" a="1"/>
  <c r="AG880" i="3" s="1"/>
  <c r="AG879" i="3" a="1"/>
  <c r="AG879" i="3" s="1"/>
  <c r="AG878" i="3" a="1"/>
  <c r="AG878" i="3" s="1"/>
  <c r="AG877" i="3" a="1"/>
  <c r="AG877" i="3" s="1"/>
  <c r="AG876" i="3" a="1"/>
  <c r="AG876" i="3" s="1"/>
  <c r="AG875" i="3" a="1"/>
  <c r="AG875" i="3" s="1"/>
  <c r="AG874" i="3" a="1"/>
  <c r="AG874" i="3" s="1"/>
  <c r="AG873" i="3" a="1"/>
  <c r="AG873" i="3" s="1"/>
  <c r="AG872" i="3" a="1"/>
  <c r="AG872" i="3" s="1"/>
  <c r="AG871" i="3" a="1"/>
  <c r="AG871" i="3" s="1"/>
  <c r="AG870" i="3" a="1"/>
  <c r="AG870" i="3" s="1"/>
  <c r="AG869" i="3" a="1"/>
  <c r="AG869" i="3" s="1"/>
  <c r="AG868" i="3" a="1"/>
  <c r="AG868" i="3" s="1"/>
  <c r="AG867" i="3" a="1"/>
  <c r="AG867" i="3" s="1"/>
  <c r="AG866" i="3" a="1"/>
  <c r="AG866" i="3" s="1"/>
  <c r="AG865" i="3" a="1"/>
  <c r="AG865" i="3" s="1"/>
  <c r="AG864" i="3" a="1"/>
  <c r="AG864" i="3" s="1"/>
  <c r="AG863" i="3" a="1"/>
  <c r="AG863" i="3" s="1"/>
  <c r="AG862" i="3" a="1"/>
  <c r="AG862" i="3" s="1"/>
  <c r="AG861" i="3" a="1"/>
  <c r="AG861" i="3" s="1"/>
  <c r="AG860" i="3" a="1"/>
  <c r="AG860" i="3" s="1"/>
  <c r="AG859" i="3" a="1"/>
  <c r="AG859" i="3" s="1"/>
  <c r="AG858" i="3" a="1"/>
  <c r="AG858" i="3" s="1"/>
  <c r="AG857" i="3" a="1"/>
  <c r="AG857" i="3" s="1"/>
  <c r="AG856" i="3" a="1"/>
  <c r="AG856" i="3" s="1"/>
  <c r="AG855" i="3" a="1"/>
  <c r="AG855" i="3" s="1"/>
  <c r="AG854" i="3" a="1"/>
  <c r="AG854" i="3" s="1"/>
  <c r="AG853" i="3" a="1"/>
  <c r="AG853" i="3" s="1"/>
  <c r="AG852" i="3" a="1"/>
  <c r="AG852" i="3" s="1"/>
  <c r="AG851" i="3" a="1"/>
  <c r="AG851" i="3" s="1"/>
  <c r="AG850" i="3" a="1"/>
  <c r="AG850" i="3" s="1"/>
  <c r="AG849" i="3" a="1"/>
  <c r="AG849" i="3" s="1"/>
  <c r="AG848" i="3" a="1"/>
  <c r="AG848" i="3" s="1"/>
  <c r="AG847" i="3" a="1"/>
  <c r="AG847" i="3" s="1"/>
  <c r="AG846" i="3" a="1"/>
  <c r="AG846" i="3" s="1"/>
  <c r="AG845" i="3" a="1"/>
  <c r="AG845" i="3" s="1"/>
  <c r="AG844" i="3" a="1"/>
  <c r="AG844" i="3" s="1"/>
  <c r="AG843" i="3" a="1"/>
  <c r="AG843" i="3" s="1"/>
  <c r="AG842" i="3" a="1"/>
  <c r="AG842" i="3" s="1"/>
  <c r="AG841" i="3" a="1"/>
  <c r="AG841" i="3" s="1"/>
  <c r="AG840" i="3" a="1"/>
  <c r="AG840" i="3" s="1"/>
  <c r="AG839" i="3" a="1"/>
  <c r="AG839" i="3" s="1"/>
  <c r="AG838" i="3" a="1"/>
  <c r="AG838" i="3" s="1"/>
  <c r="AG837" i="3" a="1"/>
  <c r="AG837" i="3" s="1"/>
  <c r="AG836" i="3" a="1"/>
  <c r="AG836" i="3" s="1"/>
  <c r="AG835" i="3" a="1"/>
  <c r="AG835" i="3" s="1"/>
  <c r="AG834" i="3" a="1"/>
  <c r="AG834" i="3" s="1"/>
  <c r="AG833" i="3" a="1"/>
  <c r="AG833" i="3" s="1"/>
  <c r="AG832" i="3" a="1"/>
  <c r="AG832" i="3" s="1"/>
  <c r="AG831" i="3" a="1"/>
  <c r="AG831" i="3" s="1"/>
  <c r="AG830" i="3" a="1"/>
  <c r="AG830" i="3" s="1"/>
  <c r="AG829" i="3" a="1"/>
  <c r="AG829" i="3" s="1"/>
  <c r="AG828" i="3" a="1"/>
  <c r="AG828" i="3" s="1"/>
  <c r="AG827" i="3" a="1"/>
  <c r="AG827" i="3" s="1"/>
  <c r="AG826" i="3" a="1"/>
  <c r="AG826" i="3" s="1"/>
  <c r="AG825" i="3" a="1"/>
  <c r="AG825" i="3" s="1"/>
  <c r="AG824" i="3" a="1"/>
  <c r="AG824" i="3" s="1"/>
  <c r="AG823" i="3" a="1"/>
  <c r="AG823" i="3" s="1"/>
  <c r="AG822" i="3" a="1"/>
  <c r="AG822" i="3" s="1"/>
  <c r="AG821" i="3" a="1"/>
  <c r="AG821" i="3" s="1"/>
  <c r="AG820" i="3" a="1"/>
  <c r="AG820" i="3" s="1"/>
  <c r="AG819" i="3" a="1"/>
  <c r="AG819" i="3" s="1"/>
  <c r="AG818" i="3" a="1"/>
  <c r="AG818" i="3" s="1"/>
  <c r="AG817" i="3" a="1"/>
  <c r="AG817" i="3" s="1"/>
  <c r="AG816" i="3" a="1"/>
  <c r="AG816" i="3" s="1"/>
  <c r="AG815" i="3" a="1"/>
  <c r="AG815" i="3" s="1"/>
  <c r="AG814" i="3" a="1"/>
  <c r="AG814" i="3" s="1"/>
  <c r="AG813" i="3" a="1"/>
  <c r="AG813" i="3" s="1"/>
  <c r="AG812" i="3" a="1"/>
  <c r="AG812" i="3" s="1"/>
  <c r="AG811" i="3" a="1"/>
  <c r="AG811" i="3" s="1"/>
  <c r="AG810" i="3" a="1"/>
  <c r="AG810" i="3" s="1"/>
  <c r="AG809" i="3" a="1"/>
  <c r="AG809" i="3" s="1"/>
  <c r="AG808" i="3" a="1"/>
  <c r="AG808" i="3" s="1"/>
  <c r="AG807" i="3" a="1"/>
  <c r="AG807" i="3" s="1"/>
  <c r="AG806" i="3" a="1"/>
  <c r="AG806" i="3" s="1"/>
  <c r="AG805" i="3" a="1"/>
  <c r="AG805" i="3" s="1"/>
  <c r="AG804" i="3" a="1"/>
  <c r="AG804" i="3" s="1"/>
  <c r="AG803" i="3" a="1"/>
  <c r="AG803" i="3" s="1"/>
  <c r="AG802" i="3" a="1"/>
  <c r="AG802" i="3" s="1"/>
  <c r="AG801" i="3" a="1"/>
  <c r="AG801" i="3" s="1"/>
  <c r="AG800" i="3" a="1"/>
  <c r="AG800" i="3" s="1"/>
  <c r="AG799" i="3" a="1"/>
  <c r="AG799" i="3" s="1"/>
  <c r="AG798" i="3" a="1"/>
  <c r="AG798" i="3" s="1"/>
  <c r="AG797" i="3" a="1"/>
  <c r="AG797" i="3" s="1"/>
  <c r="AG796" i="3" a="1"/>
  <c r="AG796" i="3" s="1"/>
  <c r="AG795" i="3" a="1"/>
  <c r="AG795" i="3" s="1"/>
  <c r="AG794" i="3" a="1"/>
  <c r="AG794" i="3" s="1"/>
  <c r="AG793" i="3" a="1"/>
  <c r="AG793" i="3" s="1"/>
  <c r="AG792" i="3" a="1"/>
  <c r="AG792" i="3" s="1"/>
  <c r="AG791" i="3" a="1"/>
  <c r="AG791" i="3" s="1"/>
  <c r="AG790" i="3" a="1"/>
  <c r="AG790" i="3" s="1"/>
  <c r="AG789" i="3" a="1"/>
  <c r="AG789" i="3" s="1"/>
  <c r="AG788" i="3" a="1"/>
  <c r="AG788" i="3" s="1"/>
  <c r="AG787" i="3" a="1"/>
  <c r="AG787" i="3" s="1"/>
  <c r="AG786" i="3" a="1"/>
  <c r="AG786" i="3" s="1"/>
  <c r="AG785" i="3" a="1"/>
  <c r="AG785" i="3" s="1"/>
  <c r="AG784" i="3" a="1"/>
  <c r="AG784" i="3" s="1"/>
  <c r="AG783" i="3" a="1"/>
  <c r="AG783" i="3" s="1"/>
  <c r="AG782" i="3" a="1"/>
  <c r="AG782" i="3" s="1"/>
  <c r="AG781" i="3" a="1"/>
  <c r="AG781" i="3" s="1"/>
  <c r="AG780" i="3" a="1"/>
  <c r="AG780" i="3" s="1"/>
  <c r="AG779" i="3" a="1"/>
  <c r="AG779" i="3" s="1"/>
  <c r="AG778" i="3" a="1"/>
  <c r="AG778" i="3" s="1"/>
  <c r="AG777" i="3" a="1"/>
  <c r="AG777" i="3" s="1"/>
  <c r="AG776" i="3" a="1"/>
  <c r="AG776" i="3" s="1"/>
  <c r="AG775" i="3" a="1"/>
  <c r="AG775" i="3" s="1"/>
  <c r="AG774" i="3" a="1"/>
  <c r="AG774" i="3" s="1"/>
  <c r="AG773" i="3" a="1"/>
  <c r="AG773" i="3" s="1"/>
  <c r="AG772" i="3" a="1"/>
  <c r="AG772" i="3" s="1"/>
  <c r="AG771" i="3" a="1"/>
  <c r="AG771" i="3" s="1"/>
  <c r="AG770" i="3" a="1"/>
  <c r="AG770" i="3" s="1"/>
  <c r="AG769" i="3" a="1"/>
  <c r="AG769" i="3" s="1"/>
  <c r="AG768" i="3" a="1"/>
  <c r="AG768" i="3" s="1"/>
  <c r="AG767" i="3" a="1"/>
  <c r="AG767" i="3" s="1"/>
  <c r="AG766" i="3" a="1"/>
  <c r="AG766" i="3" s="1"/>
  <c r="AG765" i="3" a="1"/>
  <c r="AG765" i="3" s="1"/>
  <c r="AG764" i="3" a="1"/>
  <c r="AG764" i="3" s="1"/>
  <c r="AG763" i="3" a="1"/>
  <c r="AG763" i="3" s="1"/>
  <c r="AG762" i="3" a="1"/>
  <c r="AG762" i="3" s="1"/>
  <c r="AG761" i="3" a="1"/>
  <c r="AG761" i="3" s="1"/>
  <c r="AG760" i="3" a="1"/>
  <c r="AG760" i="3" s="1"/>
  <c r="AG759" i="3" a="1"/>
  <c r="AG759" i="3" s="1"/>
  <c r="AG758" i="3" a="1"/>
  <c r="AG758" i="3" s="1"/>
  <c r="AG757" i="3" a="1"/>
  <c r="AG757" i="3" s="1"/>
  <c r="AG756" i="3" a="1"/>
  <c r="AG756" i="3" s="1"/>
  <c r="AG755" i="3" a="1"/>
  <c r="AG755" i="3" s="1"/>
  <c r="AG754" i="3" a="1"/>
  <c r="AG754" i="3" s="1"/>
  <c r="AG753" i="3" a="1"/>
  <c r="AG753" i="3" s="1"/>
  <c r="AG752" i="3" a="1"/>
  <c r="AG752" i="3" s="1"/>
  <c r="AG751" i="3" a="1"/>
  <c r="AG751" i="3" s="1"/>
  <c r="AG750" i="3" a="1"/>
  <c r="AG750" i="3" s="1"/>
  <c r="AG749" i="3" a="1"/>
  <c r="AG749" i="3" s="1"/>
  <c r="AG748" i="3" a="1"/>
  <c r="AG748" i="3" s="1"/>
  <c r="AG747" i="3" a="1"/>
  <c r="AG747" i="3" s="1"/>
  <c r="AG746" i="3" a="1"/>
  <c r="AG746" i="3" s="1"/>
  <c r="AG745" i="3" a="1"/>
  <c r="AG745" i="3" s="1"/>
  <c r="AG744" i="3" a="1"/>
  <c r="AG744" i="3" s="1"/>
  <c r="AG743" i="3" a="1"/>
  <c r="AG743" i="3" s="1"/>
  <c r="AG742" i="3" a="1"/>
  <c r="AG742" i="3" s="1"/>
  <c r="AG741" i="3" a="1"/>
  <c r="AG741" i="3" s="1"/>
  <c r="AG740" i="3" a="1"/>
  <c r="AG740" i="3" s="1"/>
  <c r="AG739" i="3" a="1"/>
  <c r="AG739" i="3" s="1"/>
  <c r="AG738" i="3" a="1"/>
  <c r="AG738" i="3" s="1"/>
  <c r="AG737" i="3" a="1"/>
  <c r="AG737" i="3" s="1"/>
  <c r="AG736" i="3" a="1"/>
  <c r="AG736" i="3" s="1"/>
  <c r="AG735" i="3" a="1"/>
  <c r="AG735" i="3" s="1"/>
  <c r="AG734" i="3" a="1"/>
  <c r="AG734" i="3" s="1"/>
  <c r="AG733" i="3" a="1"/>
  <c r="AG733" i="3" s="1"/>
  <c r="AG732" i="3" a="1"/>
  <c r="AG732" i="3" s="1"/>
  <c r="AG731" i="3" a="1"/>
  <c r="AG731" i="3" s="1"/>
  <c r="AG730" i="3" a="1"/>
  <c r="AG730" i="3" s="1"/>
  <c r="AG729" i="3" a="1"/>
  <c r="AG729" i="3" s="1"/>
  <c r="AG728" i="3" a="1"/>
  <c r="AG728" i="3" s="1"/>
  <c r="AG727" i="3" a="1"/>
  <c r="AG727" i="3" s="1"/>
  <c r="AG726" i="3" a="1"/>
  <c r="AG726" i="3" s="1"/>
  <c r="AG725" i="3" a="1"/>
  <c r="AG725" i="3" s="1"/>
  <c r="AG724" i="3" a="1"/>
  <c r="AG724" i="3" s="1"/>
  <c r="AG723" i="3" a="1"/>
  <c r="AG723" i="3" s="1"/>
  <c r="AG722" i="3" a="1"/>
  <c r="AG722" i="3" s="1"/>
  <c r="AG721" i="3" a="1"/>
  <c r="AG721" i="3" s="1"/>
  <c r="AG720" i="3" a="1"/>
  <c r="AG720" i="3" s="1"/>
  <c r="AG719" i="3" a="1"/>
  <c r="AG719" i="3" s="1"/>
  <c r="AG718" i="3" a="1"/>
  <c r="AG718" i="3" s="1"/>
  <c r="AG717" i="3" a="1"/>
  <c r="AG717" i="3" s="1"/>
  <c r="AG716" i="3" a="1"/>
  <c r="AG716" i="3" s="1"/>
  <c r="AG715" i="3" a="1"/>
  <c r="AG715" i="3" s="1"/>
  <c r="AG714" i="3" a="1"/>
  <c r="AG714" i="3" s="1"/>
  <c r="AG713" i="3" a="1"/>
  <c r="AG713" i="3" s="1"/>
  <c r="AG712" i="3" a="1"/>
  <c r="AG712" i="3" s="1"/>
  <c r="AG711" i="3" a="1"/>
  <c r="AG711" i="3" s="1"/>
  <c r="AG710" i="3" a="1"/>
  <c r="AG710" i="3" s="1"/>
  <c r="AG709" i="3" a="1"/>
  <c r="AG709" i="3" s="1"/>
  <c r="AG708" i="3" a="1"/>
  <c r="AG708" i="3" s="1"/>
  <c r="AG707" i="3" a="1"/>
  <c r="AG707" i="3" s="1"/>
  <c r="AG706" i="3" a="1"/>
  <c r="AG706" i="3" s="1"/>
  <c r="AG705" i="3" a="1"/>
  <c r="AG705" i="3" s="1"/>
  <c r="AG704" i="3" a="1"/>
  <c r="AG704" i="3" s="1"/>
  <c r="AG703" i="3" a="1"/>
  <c r="AG703" i="3" s="1"/>
  <c r="AG702" i="3" a="1"/>
  <c r="AG702" i="3" s="1"/>
  <c r="AG701" i="3" a="1"/>
  <c r="AG701" i="3" s="1"/>
  <c r="AG700" i="3" a="1"/>
  <c r="AG700" i="3" s="1"/>
  <c r="AG699" i="3" a="1"/>
  <c r="AG699" i="3" s="1"/>
  <c r="AG698" i="3" a="1"/>
  <c r="AG698" i="3" s="1"/>
  <c r="AG697" i="3" a="1"/>
  <c r="AG697" i="3" s="1"/>
  <c r="AG696" i="3" a="1"/>
  <c r="AG696" i="3" s="1"/>
  <c r="AG695" i="3" a="1"/>
  <c r="AG695" i="3" s="1"/>
  <c r="AG694" i="3" a="1"/>
  <c r="AG694" i="3" s="1"/>
  <c r="AG693" i="3" a="1"/>
  <c r="AG693" i="3" s="1"/>
  <c r="AG692" i="3" a="1"/>
  <c r="AG692" i="3" s="1"/>
  <c r="AG691" i="3" a="1"/>
  <c r="AG691" i="3" s="1"/>
  <c r="AG690" i="3" a="1"/>
  <c r="AG690" i="3" s="1"/>
  <c r="AG689" i="3" a="1"/>
  <c r="AG689" i="3" s="1"/>
  <c r="AG688" i="3" a="1"/>
  <c r="AG688" i="3" s="1"/>
  <c r="AG687" i="3" a="1"/>
  <c r="AG687" i="3" s="1"/>
  <c r="AG686" i="3" a="1"/>
  <c r="AG686" i="3" s="1"/>
  <c r="AG685" i="3" a="1"/>
  <c r="AG685" i="3" s="1"/>
  <c r="AG684" i="3" a="1"/>
  <c r="AG684" i="3" s="1"/>
  <c r="AG683" i="3" a="1"/>
  <c r="AG683" i="3" s="1"/>
  <c r="AG682" i="3" a="1"/>
  <c r="AG682" i="3" s="1"/>
  <c r="AG681" i="3"/>
  <c r="AG681" i="3" a="1"/>
  <c r="AG680" i="3" a="1"/>
  <c r="AG680" i="3" s="1"/>
  <c r="AG679" i="3" a="1"/>
  <c r="AG679" i="3" s="1"/>
  <c r="AG678" i="3" a="1"/>
  <c r="AG678" i="3" s="1"/>
  <c r="AG677" i="3" a="1"/>
  <c r="AG677" i="3" s="1"/>
  <c r="AG676" i="3" a="1"/>
  <c r="AG676" i="3" s="1"/>
  <c r="AG675" i="3" a="1"/>
  <c r="AG675" i="3" s="1"/>
  <c r="AG674" i="3" a="1"/>
  <c r="AG674" i="3" s="1"/>
  <c r="AG673" i="3" a="1"/>
  <c r="AG673" i="3" s="1"/>
  <c r="AG672" i="3" a="1"/>
  <c r="AG672" i="3" s="1"/>
  <c r="AG671" i="3" a="1"/>
  <c r="AG671" i="3" s="1"/>
  <c r="AG670" i="3" a="1"/>
  <c r="AG670" i="3" s="1"/>
  <c r="AG669" i="3" a="1"/>
  <c r="AG669" i="3" s="1"/>
  <c r="AG668" i="3" a="1"/>
  <c r="AG668" i="3" s="1"/>
  <c r="AG667" i="3" a="1"/>
  <c r="AG667" i="3" s="1"/>
  <c r="AG666" i="3" a="1"/>
  <c r="AG666" i="3" s="1"/>
  <c r="AG665" i="3" a="1"/>
  <c r="AG665" i="3" s="1"/>
  <c r="AG664" i="3" a="1"/>
  <c r="AG664" i="3" s="1"/>
  <c r="AG663" i="3" a="1"/>
  <c r="AG663" i="3" s="1"/>
  <c r="AG662" i="3" a="1"/>
  <c r="AG662" i="3" s="1"/>
  <c r="AG661" i="3" a="1"/>
  <c r="AG661" i="3" s="1"/>
  <c r="AG660" i="3" a="1"/>
  <c r="AG660" i="3" s="1"/>
  <c r="AG659" i="3" a="1"/>
  <c r="AG659" i="3" s="1"/>
  <c r="AG658" i="3" a="1"/>
  <c r="AG658" i="3" s="1"/>
  <c r="AG657" i="3" a="1"/>
  <c r="AG657" i="3" s="1"/>
  <c r="AG656" i="3" a="1"/>
  <c r="AG656" i="3" s="1"/>
  <c r="AG655" i="3" a="1"/>
  <c r="AG655" i="3" s="1"/>
  <c r="AG654" i="3" a="1"/>
  <c r="AG654" i="3" s="1"/>
  <c r="AG653" i="3" a="1"/>
  <c r="AG653" i="3" s="1"/>
  <c r="AG652" i="3" a="1"/>
  <c r="AG652" i="3" s="1"/>
  <c r="AG651" i="3" a="1"/>
  <c r="AG651" i="3" s="1"/>
  <c r="AG650" i="3" a="1"/>
  <c r="AG650" i="3" s="1"/>
  <c r="AG649" i="3" a="1"/>
  <c r="AG649" i="3" s="1"/>
  <c r="AG648" i="3" a="1"/>
  <c r="AG648" i="3" s="1"/>
  <c r="AG647" i="3" a="1"/>
  <c r="AG647" i="3" s="1"/>
  <c r="AG646" i="3" a="1"/>
  <c r="AG646" i="3" s="1"/>
  <c r="AG645" i="3" a="1"/>
  <c r="AG645" i="3" s="1"/>
  <c r="AG644" i="3" a="1"/>
  <c r="AG644" i="3" s="1"/>
  <c r="AG643" i="3" a="1"/>
  <c r="AG643" i="3" s="1"/>
  <c r="AG642" i="3" a="1"/>
  <c r="AG642" i="3" s="1"/>
  <c r="AG641" i="3" a="1"/>
  <c r="AG641" i="3" s="1"/>
  <c r="AG640" i="3" a="1"/>
  <c r="AG640" i="3" s="1"/>
  <c r="AG639" i="3" a="1"/>
  <c r="AG639" i="3" s="1"/>
  <c r="AG638" i="3" a="1"/>
  <c r="AG638" i="3" s="1"/>
  <c r="AG637" i="3" a="1"/>
  <c r="AG637" i="3" s="1"/>
  <c r="AG636" i="3" a="1"/>
  <c r="AG636" i="3" s="1"/>
  <c r="AG635" i="3" a="1"/>
  <c r="AG635" i="3" s="1"/>
  <c r="AG634" i="3" a="1"/>
  <c r="AG634" i="3" s="1"/>
  <c r="AG633" i="3" a="1"/>
  <c r="AG633" i="3" s="1"/>
  <c r="AG632" i="3" a="1"/>
  <c r="AG632" i="3" s="1"/>
  <c r="AG631" i="3" a="1"/>
  <c r="AG631" i="3" s="1"/>
  <c r="AG630" i="3" a="1"/>
  <c r="AG630" i="3" s="1"/>
  <c r="AG629" i="3" a="1"/>
  <c r="AG629" i="3" s="1"/>
  <c r="AG628" i="3" a="1"/>
  <c r="AG628" i="3" s="1"/>
  <c r="AG627" i="3" a="1"/>
  <c r="AG627" i="3" s="1"/>
  <c r="AG626" i="3" a="1"/>
  <c r="AG626" i="3" s="1"/>
  <c r="AG625" i="3" a="1"/>
  <c r="AG625" i="3" s="1"/>
  <c r="AG624" i="3" a="1"/>
  <c r="AG624" i="3" s="1"/>
  <c r="AG623" i="3" a="1"/>
  <c r="AG623" i="3" s="1"/>
  <c r="AG622" i="3" a="1"/>
  <c r="AG622" i="3" s="1"/>
  <c r="AG621" i="3" a="1"/>
  <c r="AG621" i="3" s="1"/>
  <c r="AG620" i="3" a="1"/>
  <c r="AG620" i="3" s="1"/>
  <c r="AG619" i="3" a="1"/>
  <c r="AG619" i="3" s="1"/>
  <c r="AG618" i="3" a="1"/>
  <c r="AG618" i="3" s="1"/>
  <c r="AG617" i="3" a="1"/>
  <c r="AG617" i="3" s="1"/>
  <c r="AG616" i="3" a="1"/>
  <c r="AG616" i="3" s="1"/>
  <c r="AG615" i="3" a="1"/>
  <c r="AG615" i="3" s="1"/>
  <c r="AG614" i="3" a="1"/>
  <c r="AG614" i="3" s="1"/>
  <c r="AG613" i="3" a="1"/>
  <c r="AG613" i="3" s="1"/>
  <c r="AG612" i="3" a="1"/>
  <c r="AG612" i="3" s="1"/>
  <c r="AG611" i="3" a="1"/>
  <c r="AG611" i="3" s="1"/>
  <c r="AG610" i="3" a="1"/>
  <c r="AG610" i="3" s="1"/>
  <c r="AG609" i="3" a="1"/>
  <c r="AG609" i="3" s="1"/>
  <c r="AG608" i="3" a="1"/>
  <c r="AG608" i="3" s="1"/>
  <c r="AG607" i="3" a="1"/>
  <c r="AG607" i="3" s="1"/>
  <c r="AG606" i="3" a="1"/>
  <c r="AG606" i="3" s="1"/>
  <c r="AG605" i="3" a="1"/>
  <c r="AG605" i="3" s="1"/>
  <c r="AG604" i="3" a="1"/>
  <c r="AG604" i="3" s="1"/>
  <c r="AG603" i="3" a="1"/>
  <c r="AG603" i="3" s="1"/>
  <c r="AG602" i="3" a="1"/>
  <c r="AG602" i="3" s="1"/>
  <c r="AG601" i="3" a="1"/>
  <c r="AG601" i="3" s="1"/>
  <c r="AG600" i="3" a="1"/>
  <c r="AG600" i="3" s="1"/>
  <c r="AG599" i="3" a="1"/>
  <c r="AG599" i="3" s="1"/>
  <c r="AG598" i="3" a="1"/>
  <c r="AG598" i="3" s="1"/>
  <c r="AG597" i="3" a="1"/>
  <c r="AG597" i="3" s="1"/>
  <c r="AG596" i="3" a="1"/>
  <c r="AG596" i="3" s="1"/>
  <c r="AG595" i="3" a="1"/>
  <c r="AG595" i="3" s="1"/>
  <c r="AG594" i="3" a="1"/>
  <c r="AG594" i="3" s="1"/>
  <c r="AG593" i="3" a="1"/>
  <c r="AG593" i="3" s="1"/>
  <c r="AG592" i="3" a="1"/>
  <c r="AG592" i="3" s="1"/>
  <c r="AG591" i="3" a="1"/>
  <c r="AG591" i="3" s="1"/>
  <c r="AG590" i="3" a="1"/>
  <c r="AG590" i="3" s="1"/>
  <c r="AG589" i="3" a="1"/>
  <c r="AG589" i="3" s="1"/>
  <c r="AG588" i="3" a="1"/>
  <c r="AG588" i="3" s="1"/>
  <c r="AG587" i="3" a="1"/>
  <c r="AG587" i="3" s="1"/>
  <c r="AG586" i="3" a="1"/>
  <c r="AG586" i="3" s="1"/>
  <c r="AG585" i="3" a="1"/>
  <c r="AG585" i="3" s="1"/>
  <c r="AG584" i="3" a="1"/>
  <c r="AG584" i="3" s="1"/>
  <c r="AG583" i="3" a="1"/>
  <c r="AG583" i="3" s="1"/>
  <c r="AG582" i="3" a="1"/>
  <c r="AG582" i="3" s="1"/>
  <c r="AG581" i="3" a="1"/>
  <c r="AG581" i="3" s="1"/>
  <c r="AG580" i="3" a="1"/>
  <c r="AG580" i="3" s="1"/>
  <c r="AG579" i="3" a="1"/>
  <c r="AG579" i="3" s="1"/>
  <c r="AG578" i="3" a="1"/>
  <c r="AG578" i="3" s="1"/>
  <c r="AG577" i="3" a="1"/>
  <c r="AG577" i="3" s="1"/>
  <c r="AG576" i="3" a="1"/>
  <c r="AG576" i="3" s="1"/>
  <c r="AG575" i="3" a="1"/>
  <c r="AG575" i="3" s="1"/>
  <c r="AG574" i="3" a="1"/>
  <c r="AG574" i="3" s="1"/>
  <c r="AG573" i="3" a="1"/>
  <c r="AG573" i="3" s="1"/>
  <c r="AG572" i="3" a="1"/>
  <c r="AG572" i="3" s="1"/>
  <c r="AG571" i="3" a="1"/>
  <c r="AG571" i="3" s="1"/>
  <c r="AG570" i="3" a="1"/>
  <c r="AG570" i="3" s="1"/>
  <c r="AG569" i="3" a="1"/>
  <c r="AG569" i="3" s="1"/>
  <c r="AG568" i="3" a="1"/>
  <c r="AG568" i="3" s="1"/>
  <c r="AG567" i="3" a="1"/>
  <c r="AG567" i="3" s="1"/>
  <c r="AG566" i="3" a="1"/>
  <c r="AG566" i="3" s="1"/>
  <c r="AG565" i="3" a="1"/>
  <c r="AG565" i="3" s="1"/>
  <c r="AG564" i="3" a="1"/>
  <c r="AG564" i="3" s="1"/>
  <c r="AG563" i="3" a="1"/>
  <c r="AG563" i="3" s="1"/>
  <c r="AG562" i="3" a="1"/>
  <c r="AG562" i="3" s="1"/>
  <c r="AG561" i="3" a="1"/>
  <c r="AG561" i="3" s="1"/>
  <c r="AG560" i="3" a="1"/>
  <c r="AG560" i="3" s="1"/>
  <c r="AG559" i="3" a="1"/>
  <c r="AG559" i="3" s="1"/>
  <c r="AG558" i="3" a="1"/>
  <c r="AG558" i="3" s="1"/>
  <c r="AG557" i="3" a="1"/>
  <c r="AG557" i="3" s="1"/>
  <c r="AG556" i="3" a="1"/>
  <c r="AG556" i="3" s="1"/>
  <c r="AG555" i="3" a="1"/>
  <c r="AG555" i="3" s="1"/>
  <c r="AG554" i="3" a="1"/>
  <c r="AG554" i="3" s="1"/>
  <c r="AG553" i="3" a="1"/>
  <c r="AG553" i="3" s="1"/>
  <c r="AG552" i="3" a="1"/>
  <c r="AG552" i="3" s="1"/>
  <c r="AG551" i="3" a="1"/>
  <c r="AG551" i="3" s="1"/>
  <c r="AG550" i="3" a="1"/>
  <c r="AG550" i="3" s="1"/>
  <c r="AG549" i="3" a="1"/>
  <c r="AG549" i="3" s="1"/>
  <c r="AG548" i="3" a="1"/>
  <c r="AG548" i="3" s="1"/>
  <c r="AG547" i="3" a="1"/>
  <c r="AG547" i="3" s="1"/>
  <c r="AG546" i="3" a="1"/>
  <c r="AG546" i="3" s="1"/>
  <c r="AG545" i="3" a="1"/>
  <c r="AG545" i="3" s="1"/>
  <c r="AG544" i="3" a="1"/>
  <c r="AG544" i="3" s="1"/>
  <c r="AG543" i="3" a="1"/>
  <c r="AG543" i="3" s="1"/>
  <c r="AG542" i="3" a="1"/>
  <c r="AG542" i="3" s="1"/>
  <c r="AG541" i="3" a="1"/>
  <c r="AG541" i="3" s="1"/>
  <c r="AG540" i="3" a="1"/>
  <c r="AG540" i="3" s="1"/>
  <c r="AG539" i="3" a="1"/>
  <c r="AG539" i="3" s="1"/>
  <c r="AG538" i="3" a="1"/>
  <c r="AG538" i="3" s="1"/>
  <c r="AG537" i="3" a="1"/>
  <c r="AG537" i="3" s="1"/>
  <c r="AG536" i="3" a="1"/>
  <c r="AG536" i="3" s="1"/>
  <c r="AG535" i="3" a="1"/>
  <c r="AG535" i="3" s="1"/>
  <c r="AG534" i="3" a="1"/>
  <c r="AG534" i="3" s="1"/>
  <c r="AG533" i="3" a="1"/>
  <c r="AG533" i="3" s="1"/>
  <c r="AG532" i="3" a="1"/>
  <c r="AG532" i="3" s="1"/>
  <c r="AG531" i="3" a="1"/>
  <c r="AG531" i="3" s="1"/>
  <c r="AG530" i="3" a="1"/>
  <c r="AG530" i="3" s="1"/>
  <c r="AG529" i="3" a="1"/>
  <c r="AG529" i="3" s="1"/>
  <c r="AG528" i="3" a="1"/>
  <c r="AG528" i="3" s="1"/>
  <c r="AG527" i="3" a="1"/>
  <c r="AG527" i="3" s="1"/>
  <c r="AG526" i="3" a="1"/>
  <c r="AG526" i="3" s="1"/>
  <c r="AG525" i="3" a="1"/>
  <c r="AG525" i="3" s="1"/>
  <c r="AG524" i="3" a="1"/>
  <c r="AG524" i="3" s="1"/>
  <c r="AG523" i="3" a="1"/>
  <c r="AG523" i="3" s="1"/>
  <c r="AG522" i="3" a="1"/>
  <c r="AG522" i="3" s="1"/>
  <c r="AG521" i="3" a="1"/>
  <c r="AG521" i="3" s="1"/>
  <c r="AG520" i="3" a="1"/>
  <c r="AG520" i="3" s="1"/>
  <c r="AG519" i="3" a="1"/>
  <c r="AG519" i="3" s="1"/>
  <c r="AG518" i="3" a="1"/>
  <c r="AG518" i="3" s="1"/>
  <c r="AG517" i="3" a="1"/>
  <c r="AG517" i="3" s="1"/>
  <c r="AG516" i="3" a="1"/>
  <c r="AG516" i="3" s="1"/>
  <c r="AG515" i="3" a="1"/>
  <c r="AG515" i="3" s="1"/>
  <c r="AG514" i="3" a="1"/>
  <c r="AG514" i="3" s="1"/>
  <c r="AG513" i="3" a="1"/>
  <c r="AG513" i="3" s="1"/>
  <c r="AG512" i="3" a="1"/>
  <c r="AG512" i="3" s="1"/>
  <c r="AG511" i="3" a="1"/>
  <c r="AG511" i="3" s="1"/>
  <c r="AG510" i="3" a="1"/>
  <c r="AG510" i="3" s="1"/>
  <c r="AG509" i="3" a="1"/>
  <c r="AG509" i="3" s="1"/>
  <c r="AG508" i="3" a="1"/>
  <c r="AG508" i="3" s="1"/>
  <c r="AG507" i="3" a="1"/>
  <c r="AG507" i="3" s="1"/>
  <c r="AG506" i="3" a="1"/>
  <c r="AG506" i="3" s="1"/>
  <c r="AG505" i="3" a="1"/>
  <c r="AG505" i="3" s="1"/>
  <c r="AG504" i="3" a="1"/>
  <c r="AG504" i="3" s="1"/>
  <c r="AG503" i="3" a="1"/>
  <c r="AG503" i="3" s="1"/>
  <c r="AG502" i="3" a="1"/>
  <c r="AG502" i="3" s="1"/>
  <c r="AG501" i="3" a="1"/>
  <c r="AG501" i="3" s="1"/>
  <c r="AG500" i="3" a="1"/>
  <c r="AG500" i="3" s="1"/>
  <c r="AG499" i="3" a="1"/>
  <c r="AG499" i="3" s="1"/>
  <c r="AG498" i="3" a="1"/>
  <c r="AG498" i="3" s="1"/>
  <c r="AG497" i="3" a="1"/>
  <c r="AG497" i="3" s="1"/>
  <c r="AG496" i="3" a="1"/>
  <c r="AG496" i="3" s="1"/>
  <c r="AG495" i="3" a="1"/>
  <c r="AG495" i="3" s="1"/>
  <c r="AG494" i="3" a="1"/>
  <c r="AG494" i="3" s="1"/>
  <c r="AG493" i="3" a="1"/>
  <c r="AG493" i="3" s="1"/>
  <c r="AG492" i="3" a="1"/>
  <c r="AG492" i="3" s="1"/>
  <c r="AG491" i="3" a="1"/>
  <c r="AG491" i="3" s="1"/>
  <c r="AG490" i="3" a="1"/>
  <c r="AG490" i="3" s="1"/>
  <c r="AG489" i="3" a="1"/>
  <c r="AG489" i="3" s="1"/>
  <c r="AG488" i="3" a="1"/>
  <c r="AG488" i="3" s="1"/>
  <c r="AG487" i="3" a="1"/>
  <c r="AG487" i="3" s="1"/>
  <c r="AG486" i="3" a="1"/>
  <c r="AG486" i="3" s="1"/>
  <c r="AG485" i="3" a="1"/>
  <c r="AG485" i="3" s="1"/>
  <c r="AG484" i="3" a="1"/>
  <c r="AG484" i="3" s="1"/>
  <c r="AG483" i="3" a="1"/>
  <c r="AG483" i="3" s="1"/>
  <c r="AG482" i="3" a="1"/>
  <c r="AG482" i="3" s="1"/>
  <c r="AG481" i="3" a="1"/>
  <c r="AG481" i="3" s="1"/>
  <c r="AG480" i="3" a="1"/>
  <c r="AG480" i="3" s="1"/>
  <c r="AG479" i="3" a="1"/>
  <c r="AG479" i="3" s="1"/>
  <c r="AG478" i="3" a="1"/>
  <c r="AG478" i="3" s="1"/>
  <c r="AG477" i="3" a="1"/>
  <c r="AG477" i="3" s="1"/>
  <c r="AG476" i="3" a="1"/>
  <c r="AG476" i="3" s="1"/>
  <c r="AG475" i="3" a="1"/>
  <c r="AG475" i="3" s="1"/>
  <c r="AG474" i="3" a="1"/>
  <c r="AG474" i="3" s="1"/>
  <c r="AG473" i="3" a="1"/>
  <c r="AG473" i="3" s="1"/>
  <c r="AG472" i="3" a="1"/>
  <c r="AG472" i="3" s="1"/>
  <c r="AG471" i="3" a="1"/>
  <c r="AG471" i="3" s="1"/>
  <c r="AG470" i="3" a="1"/>
  <c r="AG470" i="3" s="1"/>
  <c r="AG469" i="3" a="1"/>
  <c r="AG469" i="3" s="1"/>
  <c r="AG468" i="3" a="1"/>
  <c r="AG468" i="3" s="1"/>
  <c r="AG467" i="3" a="1"/>
  <c r="AG467" i="3" s="1"/>
  <c r="AG466" i="3" a="1"/>
  <c r="AG466" i="3" s="1"/>
  <c r="AG465" i="3" a="1"/>
  <c r="AG465" i="3" s="1"/>
  <c r="AG464" i="3" a="1"/>
  <c r="AG464" i="3" s="1"/>
  <c r="AG463" i="3" a="1"/>
  <c r="AG463" i="3" s="1"/>
  <c r="AG462" i="3" a="1"/>
  <c r="AG462" i="3" s="1"/>
  <c r="AG461" i="3" a="1"/>
  <c r="AG461" i="3" s="1"/>
  <c r="AG460" i="3" a="1"/>
  <c r="AG460" i="3" s="1"/>
  <c r="AG459" i="3" a="1"/>
  <c r="AG459" i="3" s="1"/>
  <c r="AG458" i="3" a="1"/>
  <c r="AG458" i="3" s="1"/>
  <c r="AG457" i="3" a="1"/>
  <c r="AG457" i="3" s="1"/>
  <c r="AG456" i="3" a="1"/>
  <c r="AG456" i="3" s="1"/>
  <c r="AG455" i="3" a="1"/>
  <c r="AG455" i="3" s="1"/>
  <c r="AG454" i="3" a="1"/>
  <c r="AG454" i="3" s="1"/>
  <c r="AG453" i="3" a="1"/>
  <c r="AG453" i="3" s="1"/>
  <c r="AG452" i="3" a="1"/>
  <c r="AG452" i="3" s="1"/>
  <c r="AG451" i="3" a="1"/>
  <c r="AG451" i="3" s="1"/>
  <c r="AG450" i="3" a="1"/>
  <c r="AG450" i="3" s="1"/>
  <c r="AG449" i="3" a="1"/>
  <c r="AG449" i="3" s="1"/>
  <c r="AG448" i="3" a="1"/>
  <c r="AG448" i="3" s="1"/>
  <c r="AG447" i="3" a="1"/>
  <c r="AG447" i="3" s="1"/>
  <c r="AG446" i="3" a="1"/>
  <c r="AG446" i="3" s="1"/>
  <c r="AG445" i="3" a="1"/>
  <c r="AG445" i="3" s="1"/>
  <c r="AG444" i="3" a="1"/>
  <c r="AG444" i="3" s="1"/>
  <c r="AG443" i="3" a="1"/>
  <c r="AG443" i="3" s="1"/>
  <c r="AG442" i="3" a="1"/>
  <c r="AG442" i="3" s="1"/>
  <c r="AG441" i="3" a="1"/>
  <c r="AG441" i="3" s="1"/>
  <c r="AG440" i="3" a="1"/>
  <c r="AG440" i="3" s="1"/>
  <c r="AG439" i="3" a="1"/>
  <c r="AG439" i="3" s="1"/>
  <c r="AG438" i="3" a="1"/>
  <c r="AG438" i="3" s="1"/>
  <c r="AG437" i="3" a="1"/>
  <c r="AG437" i="3" s="1"/>
  <c r="AG436" i="3" a="1"/>
  <c r="AG436" i="3" s="1"/>
  <c r="AG435" i="3" a="1"/>
  <c r="AG435" i="3" s="1"/>
  <c r="AG434" i="3" a="1"/>
  <c r="AG434" i="3" s="1"/>
  <c r="AG433" i="3" a="1"/>
  <c r="AG433" i="3" s="1"/>
  <c r="AG432" i="3" a="1"/>
  <c r="AG432" i="3" s="1"/>
  <c r="AG431" i="3" a="1"/>
  <c r="AG431" i="3" s="1"/>
  <c r="AG430" i="3" a="1"/>
  <c r="AG430" i="3" s="1"/>
  <c r="AG429" i="3" a="1"/>
  <c r="AG429" i="3" s="1"/>
  <c r="AG428" i="3" a="1"/>
  <c r="AG428" i="3" s="1"/>
  <c r="AG427" i="3" a="1"/>
  <c r="AG427" i="3" s="1"/>
  <c r="AG426" i="3" a="1"/>
  <c r="AG426" i="3" s="1"/>
  <c r="AG425" i="3" a="1"/>
  <c r="AG425" i="3" s="1"/>
  <c r="AG424" i="3" a="1"/>
  <c r="AG424" i="3" s="1"/>
  <c r="AG423" i="3" a="1"/>
  <c r="AG423" i="3" s="1"/>
  <c r="AG422" i="3" a="1"/>
  <c r="AG422" i="3" s="1"/>
  <c r="AG421" i="3" a="1"/>
  <c r="AG421" i="3" s="1"/>
  <c r="AG420" i="3" a="1"/>
  <c r="AG420" i="3" s="1"/>
  <c r="AG419" i="3" a="1"/>
  <c r="AG419" i="3" s="1"/>
  <c r="AG418" i="3" a="1"/>
  <c r="AG418" i="3" s="1"/>
  <c r="AG417" i="3" a="1"/>
  <c r="AG417" i="3" s="1"/>
  <c r="AG416" i="3" a="1"/>
  <c r="AG416" i="3" s="1"/>
  <c r="AG415" i="3" a="1"/>
  <c r="AG415" i="3" s="1"/>
  <c r="AG414" i="3" a="1"/>
  <c r="AG414" i="3" s="1"/>
  <c r="AG413" i="3" a="1"/>
  <c r="AG413" i="3" s="1"/>
  <c r="AG412" i="3" a="1"/>
  <c r="AG412" i="3" s="1"/>
  <c r="AG411" i="3" a="1"/>
  <c r="AG411" i="3" s="1"/>
  <c r="AG410" i="3" a="1"/>
  <c r="AG410" i="3" s="1"/>
  <c r="AG409" i="3" a="1"/>
  <c r="AG409" i="3" s="1"/>
  <c r="AG408" i="3" a="1"/>
  <c r="AG408" i="3" s="1"/>
  <c r="AG407" i="3" a="1"/>
  <c r="AG407" i="3" s="1"/>
  <c r="AG406" i="3" a="1"/>
  <c r="AG406" i="3" s="1"/>
  <c r="AG405" i="3" a="1"/>
  <c r="AG405" i="3" s="1"/>
  <c r="AG404" i="3" a="1"/>
  <c r="AG404" i="3" s="1"/>
  <c r="AG403" i="3" a="1"/>
  <c r="AG403" i="3" s="1"/>
  <c r="AG402" i="3" a="1"/>
  <c r="AG402" i="3" s="1"/>
  <c r="AG401" i="3" a="1"/>
  <c r="AG401" i="3" s="1"/>
  <c r="AG400" i="3" a="1"/>
  <c r="AG400" i="3" s="1"/>
  <c r="AG399" i="3" a="1"/>
  <c r="AG399" i="3" s="1"/>
  <c r="AG398" i="3" a="1"/>
  <c r="AG398" i="3" s="1"/>
  <c r="AG397" i="3" a="1"/>
  <c r="AG397" i="3" s="1"/>
  <c r="AG396" i="3" a="1"/>
  <c r="AG396" i="3" s="1"/>
  <c r="AG395" i="3" a="1"/>
  <c r="AG395" i="3" s="1"/>
  <c r="AG394" i="3" a="1"/>
  <c r="AG394" i="3" s="1"/>
  <c r="AG393" i="3" a="1"/>
  <c r="AG393" i="3" s="1"/>
  <c r="AG392" i="3" a="1"/>
  <c r="AG392" i="3" s="1"/>
  <c r="AG391" i="3" a="1"/>
  <c r="AG391" i="3" s="1"/>
  <c r="AG390" i="3" a="1"/>
  <c r="AG390" i="3" s="1"/>
  <c r="AG389" i="3" a="1"/>
  <c r="AG389" i="3" s="1"/>
  <c r="AG388" i="3" a="1"/>
  <c r="AG388" i="3" s="1"/>
  <c r="AG387" i="3" a="1"/>
  <c r="AG387" i="3" s="1"/>
  <c r="AG386" i="3" a="1"/>
  <c r="AG386" i="3" s="1"/>
  <c r="AG385" i="3" a="1"/>
  <c r="AG385" i="3" s="1"/>
  <c r="AG384" i="3" a="1"/>
  <c r="AG384" i="3" s="1"/>
  <c r="AG383" i="3" a="1"/>
  <c r="AG383" i="3" s="1"/>
  <c r="AG382" i="3" a="1"/>
  <c r="AG382" i="3" s="1"/>
  <c r="AG381" i="3" a="1"/>
  <c r="AG381" i="3" s="1"/>
  <c r="AG380" i="3" a="1"/>
  <c r="AG380" i="3" s="1"/>
  <c r="AG379" i="3" a="1"/>
  <c r="AG379" i="3" s="1"/>
  <c r="AG378" i="3" a="1"/>
  <c r="AG378" i="3" s="1"/>
  <c r="AG377" i="3" a="1"/>
  <c r="AG377" i="3" s="1"/>
  <c r="AG376" i="3" a="1"/>
  <c r="AG376" i="3" s="1"/>
  <c r="AG375" i="3" a="1"/>
  <c r="AG375" i="3" s="1"/>
  <c r="AG374" i="3" a="1"/>
  <c r="AG374" i="3" s="1"/>
  <c r="AG373" i="3" a="1"/>
  <c r="AG373" i="3" s="1"/>
  <c r="AG372" i="3" a="1"/>
  <c r="AG372" i="3" s="1"/>
  <c r="AG371" i="3" a="1"/>
  <c r="AG371" i="3" s="1"/>
  <c r="AG370" i="3" a="1"/>
  <c r="AG370" i="3" s="1"/>
  <c r="AG369" i="3" a="1"/>
  <c r="AG369" i="3" s="1"/>
  <c r="AG368" i="3" a="1"/>
  <c r="AG368" i="3" s="1"/>
  <c r="AG367" i="3" a="1"/>
  <c r="AG367" i="3" s="1"/>
  <c r="AG366" i="3" a="1"/>
  <c r="AG366" i="3" s="1"/>
  <c r="AG365" i="3" a="1"/>
  <c r="AG365" i="3" s="1"/>
  <c r="AG364" i="3" a="1"/>
  <c r="AG364" i="3" s="1"/>
  <c r="AG363" i="3" a="1"/>
  <c r="AG363" i="3" s="1"/>
  <c r="AG362" i="3" a="1"/>
  <c r="AG362" i="3" s="1"/>
  <c r="AG361" i="3" a="1"/>
  <c r="AG361" i="3" s="1"/>
  <c r="AG360" i="3" a="1"/>
  <c r="AG360" i="3" s="1"/>
  <c r="AG359" i="3" a="1"/>
  <c r="AG359" i="3" s="1"/>
  <c r="AG358" i="3" a="1"/>
  <c r="AG358" i="3" s="1"/>
  <c r="AG357" i="3" a="1"/>
  <c r="AG357" i="3" s="1"/>
  <c r="AG356" i="3" a="1"/>
  <c r="AG356" i="3" s="1"/>
  <c r="AG355" i="3" a="1"/>
  <c r="AG355" i="3" s="1"/>
  <c r="AG354" i="3" a="1"/>
  <c r="AG354" i="3" s="1"/>
  <c r="AG353" i="3" a="1"/>
  <c r="AG353" i="3" s="1"/>
  <c r="AG352" i="3" a="1"/>
  <c r="AG352" i="3" s="1"/>
  <c r="AG351" i="3" a="1"/>
  <c r="AG351" i="3" s="1"/>
  <c r="AG350" i="3" a="1"/>
  <c r="AG350" i="3" s="1"/>
  <c r="AG349" i="3" a="1"/>
  <c r="AG349" i="3" s="1"/>
  <c r="AG348" i="3" a="1"/>
  <c r="AG348" i="3" s="1"/>
  <c r="AG347" i="3" a="1"/>
  <c r="AG347" i="3" s="1"/>
  <c r="AG346" i="3" a="1"/>
  <c r="AG346" i="3" s="1"/>
  <c r="AG345" i="3" a="1"/>
  <c r="AG345" i="3" s="1"/>
  <c r="AG344" i="3" a="1"/>
  <c r="AG344" i="3" s="1"/>
  <c r="AG343" i="3" a="1"/>
  <c r="AG343" i="3" s="1"/>
  <c r="AG342" i="3" a="1"/>
  <c r="AG342" i="3" s="1"/>
  <c r="AG341" i="3" a="1"/>
  <c r="AG341" i="3" s="1"/>
  <c r="AG340" i="3" a="1"/>
  <c r="AG340" i="3" s="1"/>
  <c r="AG339" i="3" a="1"/>
  <c r="AG339" i="3" s="1"/>
  <c r="AG338" i="3" a="1"/>
  <c r="AG338" i="3" s="1"/>
  <c r="AG337" i="3" a="1"/>
  <c r="AG337" i="3" s="1"/>
  <c r="AG336" i="3" a="1"/>
  <c r="AG336" i="3" s="1"/>
  <c r="AG335" i="3" a="1"/>
  <c r="AG335" i="3" s="1"/>
  <c r="AG334" i="3" a="1"/>
  <c r="AG334" i="3" s="1"/>
  <c r="AG333" i="3" a="1"/>
  <c r="AG333" i="3" s="1"/>
  <c r="AG332" i="3" a="1"/>
  <c r="AG332" i="3" s="1"/>
  <c r="AG331" i="3" a="1"/>
  <c r="AG331" i="3" s="1"/>
  <c r="AG330" i="3" a="1"/>
  <c r="AG330" i="3" s="1"/>
  <c r="AG329" i="3" a="1"/>
  <c r="AG329" i="3" s="1"/>
  <c r="AG328" i="3" a="1"/>
  <c r="AG328" i="3" s="1"/>
  <c r="AG327" i="3" a="1"/>
  <c r="AG327" i="3" s="1"/>
  <c r="AG326" i="3" a="1"/>
  <c r="AG326" i="3" s="1"/>
  <c r="AG325" i="3" a="1"/>
  <c r="AG325" i="3" s="1"/>
  <c r="AG324" i="3" a="1"/>
  <c r="AG324" i="3" s="1"/>
  <c r="AG323" i="3" a="1"/>
  <c r="AG323" i="3" s="1"/>
  <c r="AG322" i="3" a="1"/>
  <c r="AG322" i="3" s="1"/>
  <c r="AG321" i="3" a="1"/>
  <c r="AG321" i="3" s="1"/>
  <c r="AG320" i="3" a="1"/>
  <c r="AG320" i="3" s="1"/>
  <c r="AG319" i="3" a="1"/>
  <c r="AG319" i="3" s="1"/>
  <c r="AG318" i="3" a="1"/>
  <c r="AG318" i="3" s="1"/>
  <c r="AG317" i="3" a="1"/>
  <c r="AG317" i="3" s="1"/>
  <c r="AG316" i="3" a="1"/>
  <c r="AG316" i="3" s="1"/>
  <c r="AG315" i="3" a="1"/>
  <c r="AG315" i="3" s="1"/>
  <c r="AG314" i="3" a="1"/>
  <c r="AG314" i="3" s="1"/>
  <c r="AG313" i="3" a="1"/>
  <c r="AG313" i="3" s="1"/>
  <c r="AG312" i="3" a="1"/>
  <c r="AG312" i="3" s="1"/>
  <c r="AG311" i="3" a="1"/>
  <c r="AG311" i="3" s="1"/>
  <c r="AG310" i="3" a="1"/>
  <c r="AG310" i="3" s="1"/>
  <c r="AG309" i="3" a="1"/>
  <c r="AG309" i="3" s="1"/>
  <c r="AG308" i="3" a="1"/>
  <c r="AG308" i="3" s="1"/>
  <c r="AG307" i="3" a="1"/>
  <c r="AG307" i="3" s="1"/>
  <c r="AG306" i="3" a="1"/>
  <c r="AG306" i="3" s="1"/>
  <c r="AG305" i="3" a="1"/>
  <c r="AG305" i="3" s="1"/>
  <c r="AG304" i="3" a="1"/>
  <c r="AG304" i="3" s="1"/>
  <c r="AG303" i="3" a="1"/>
  <c r="AG303" i="3" s="1"/>
  <c r="AG302" i="3" a="1"/>
  <c r="AG302" i="3" s="1"/>
  <c r="AG301" i="3" a="1"/>
  <c r="AG301" i="3" s="1"/>
  <c r="AG300" i="3" a="1"/>
  <c r="AG300" i="3" s="1"/>
  <c r="AG299" i="3" a="1"/>
  <c r="AG299" i="3" s="1"/>
  <c r="AG298" i="3" a="1"/>
  <c r="AG298" i="3" s="1"/>
  <c r="AG297" i="3" a="1"/>
  <c r="AG297" i="3" s="1"/>
  <c r="AG296" i="3" a="1"/>
  <c r="AG296" i="3" s="1"/>
  <c r="AG295" i="3" a="1"/>
  <c r="AG295" i="3" s="1"/>
  <c r="AG294" i="3" a="1"/>
  <c r="AG294" i="3" s="1"/>
  <c r="AG293" i="3" a="1"/>
  <c r="AG293" i="3" s="1"/>
  <c r="AG292" i="3" a="1"/>
  <c r="AG292" i="3" s="1"/>
  <c r="AG291" i="3" a="1"/>
  <c r="AG291" i="3" s="1"/>
  <c r="AG290" i="3" a="1"/>
  <c r="AG290" i="3" s="1"/>
  <c r="AG289" i="3" a="1"/>
  <c r="AG289" i="3" s="1"/>
  <c r="AG288" i="3" a="1"/>
  <c r="AG288" i="3" s="1"/>
  <c r="AG287" i="3" a="1"/>
  <c r="AG287" i="3" s="1"/>
  <c r="AG286" i="3" a="1"/>
  <c r="AG286" i="3" s="1"/>
  <c r="AG285" i="3" a="1"/>
  <c r="AG285" i="3" s="1"/>
  <c r="AG284" i="3" a="1"/>
  <c r="AG284" i="3" s="1"/>
  <c r="AG283" i="3" a="1"/>
  <c r="AG283" i="3" s="1"/>
  <c r="AG282" i="3" a="1"/>
  <c r="AG282" i="3" s="1"/>
  <c r="AG281" i="3" a="1"/>
  <c r="AG281" i="3" s="1"/>
  <c r="AG280" i="3" a="1"/>
  <c r="AG280" i="3" s="1"/>
  <c r="AG279" i="3" a="1"/>
  <c r="AG279" i="3" s="1"/>
  <c r="AG278" i="3" a="1"/>
  <c r="AG278" i="3" s="1"/>
  <c r="AG277" i="3" a="1"/>
  <c r="AG277" i="3" s="1"/>
  <c r="AG276" i="3" a="1"/>
  <c r="AG276" i="3" s="1"/>
  <c r="AG275" i="3" a="1"/>
  <c r="AG275" i="3" s="1"/>
  <c r="AG274" i="3" a="1"/>
  <c r="AG274" i="3" s="1"/>
  <c r="AG273" i="3" a="1"/>
  <c r="AG273" i="3" s="1"/>
  <c r="AG272" i="3" a="1"/>
  <c r="AG272" i="3" s="1"/>
  <c r="AG271" i="3" a="1"/>
  <c r="AG271" i="3" s="1"/>
  <c r="AG270" i="3" a="1"/>
  <c r="AG270" i="3" s="1"/>
  <c r="AG269" i="3" a="1"/>
  <c r="AG269" i="3" s="1"/>
  <c r="AG268" i="3" a="1"/>
  <c r="AG268" i="3" s="1"/>
  <c r="AG267" i="3" a="1"/>
  <c r="AG267" i="3" s="1"/>
  <c r="AG266" i="3" a="1"/>
  <c r="AG266" i="3" s="1"/>
  <c r="AG265" i="3" a="1"/>
  <c r="AG265" i="3" s="1"/>
  <c r="AG264" i="3" a="1"/>
  <c r="AG264" i="3" s="1"/>
  <c r="AG263" i="3" a="1"/>
  <c r="AG263" i="3" s="1"/>
  <c r="AG262" i="3" a="1"/>
  <c r="AG262" i="3" s="1"/>
  <c r="AG261" i="3" a="1"/>
  <c r="AG261" i="3" s="1"/>
  <c r="AG260" i="3" a="1"/>
  <c r="AG260" i="3" s="1"/>
  <c r="AG259" i="3" a="1"/>
  <c r="AG259" i="3" s="1"/>
  <c r="AG258" i="3" a="1"/>
  <c r="AG258" i="3" s="1"/>
  <c r="AG257" i="3" a="1"/>
  <c r="AG257" i="3" s="1"/>
  <c r="AG256" i="3" a="1"/>
  <c r="AG256" i="3" s="1"/>
  <c r="AG255" i="3" a="1"/>
  <c r="AG255" i="3" s="1"/>
  <c r="AG254" i="3" a="1"/>
  <c r="AG254" i="3" s="1"/>
  <c r="AG253" i="3" a="1"/>
  <c r="AG253" i="3" s="1"/>
  <c r="AG252" i="3" a="1"/>
  <c r="AG252" i="3" s="1"/>
  <c r="AG251" i="3" a="1"/>
  <c r="AG251" i="3" s="1"/>
  <c r="AG250" i="3" a="1"/>
  <c r="AG250" i="3" s="1"/>
  <c r="AG249" i="3" a="1"/>
  <c r="AG249" i="3" s="1"/>
  <c r="AG248" i="3" a="1"/>
  <c r="AG248" i="3" s="1"/>
  <c r="AG247" i="3" a="1"/>
  <c r="AG247" i="3" s="1"/>
  <c r="AG246" i="3" a="1"/>
  <c r="AG246" i="3" s="1"/>
  <c r="AG245" i="3" a="1"/>
  <c r="AG245" i="3" s="1"/>
  <c r="AG244" i="3" a="1"/>
  <c r="AG244" i="3" s="1"/>
  <c r="AG243" i="3" a="1"/>
  <c r="AG243" i="3" s="1"/>
  <c r="AG242" i="3" a="1"/>
  <c r="AG242" i="3" s="1"/>
  <c r="AG241" i="3" a="1"/>
  <c r="AG241" i="3" s="1"/>
  <c r="AG240" i="3" a="1"/>
  <c r="AG240" i="3" s="1"/>
  <c r="AG239" i="3" a="1"/>
  <c r="AG239" i="3" s="1"/>
  <c r="AG238" i="3" a="1"/>
  <c r="AG238" i="3" s="1"/>
  <c r="AG237" i="3" a="1"/>
  <c r="AG237" i="3" s="1"/>
  <c r="AG236" i="3" a="1"/>
  <c r="AG236" i="3" s="1"/>
  <c r="AG235" i="3" a="1"/>
  <c r="AG235" i="3" s="1"/>
  <c r="AG234" i="3" a="1"/>
  <c r="AG234" i="3" s="1"/>
  <c r="AG233" i="3" a="1"/>
  <c r="AG233" i="3" s="1"/>
  <c r="AG232" i="3" a="1"/>
  <c r="AG232" i="3" s="1"/>
  <c r="AG231" i="3" a="1"/>
  <c r="AG231" i="3" s="1"/>
  <c r="AG230" i="3" a="1"/>
  <c r="AG230" i="3" s="1"/>
  <c r="AG229" i="3" a="1"/>
  <c r="AG229" i="3" s="1"/>
  <c r="AG228" i="3" a="1"/>
  <c r="AG228" i="3" s="1"/>
  <c r="AG227" i="3" a="1"/>
  <c r="AG227" i="3" s="1"/>
  <c r="AG226" i="3" a="1"/>
  <c r="AG226" i="3" s="1"/>
  <c r="AG225" i="3" a="1"/>
  <c r="AG225" i="3" s="1"/>
  <c r="AG224" i="3" a="1"/>
  <c r="AG224" i="3" s="1"/>
  <c r="AG223" i="3" a="1"/>
  <c r="AG223" i="3" s="1"/>
  <c r="AG222" i="3" a="1"/>
  <c r="AG222" i="3" s="1"/>
  <c r="AG221" i="3" a="1"/>
  <c r="AG221" i="3" s="1"/>
  <c r="AG220" i="3" a="1"/>
  <c r="AG220" i="3" s="1"/>
  <c r="AG219" i="3" a="1"/>
  <c r="AG219" i="3" s="1"/>
  <c r="AG218" i="3" a="1"/>
  <c r="AG218" i="3" s="1"/>
  <c r="AG217" i="3" a="1"/>
  <c r="AG217" i="3" s="1"/>
  <c r="AG216" i="3" a="1"/>
  <c r="AG216" i="3" s="1"/>
  <c r="AG215" i="3" a="1"/>
  <c r="AG215" i="3" s="1"/>
  <c r="AG214" i="3" a="1"/>
  <c r="AG214" i="3" s="1"/>
  <c r="AG213" i="3" a="1"/>
  <c r="AG213" i="3" s="1"/>
  <c r="AG212" i="3" a="1"/>
  <c r="AG212" i="3" s="1"/>
  <c r="AG211" i="3" a="1"/>
  <c r="AG211" i="3" s="1"/>
  <c r="AG210" i="3" a="1"/>
  <c r="AG210" i="3" s="1"/>
  <c r="AG209" i="3" a="1"/>
  <c r="AG209" i="3" s="1"/>
  <c r="AG208" i="3" a="1"/>
  <c r="AG208" i="3" s="1"/>
  <c r="AG207" i="3" a="1"/>
  <c r="AG207" i="3" s="1"/>
  <c r="AG206" i="3" a="1"/>
  <c r="AG206" i="3" s="1"/>
  <c r="AG205" i="3" a="1"/>
  <c r="AG205" i="3" s="1"/>
  <c r="AG204" i="3" a="1"/>
  <c r="AG204" i="3" s="1"/>
  <c r="AG203" i="3" a="1"/>
  <c r="AG203" i="3" s="1"/>
  <c r="AG202" i="3" a="1"/>
  <c r="AG202" i="3" s="1"/>
  <c r="AG201" i="3" a="1"/>
  <c r="AG201" i="3" s="1"/>
  <c r="AG200" i="3" a="1"/>
  <c r="AG200" i="3" s="1"/>
  <c r="AG199" i="3" a="1"/>
  <c r="AG199" i="3" s="1"/>
  <c r="AG198" i="3" a="1"/>
  <c r="AG198" i="3" s="1"/>
  <c r="AG197" i="3" a="1"/>
  <c r="AG197" i="3" s="1"/>
  <c r="AG196" i="3" a="1"/>
  <c r="AG196" i="3" s="1"/>
  <c r="AG195" i="3" a="1"/>
  <c r="AG195" i="3" s="1"/>
  <c r="AG194" i="3" a="1"/>
  <c r="AG194" i="3" s="1"/>
  <c r="AG193" i="3" a="1"/>
  <c r="AG193" i="3" s="1"/>
  <c r="AG192" i="3" a="1"/>
  <c r="AG192" i="3" s="1"/>
  <c r="AG191" i="3" a="1"/>
  <c r="AG191" i="3" s="1"/>
  <c r="AG190" i="3" a="1"/>
  <c r="AG190" i="3" s="1"/>
  <c r="AG189" i="3" a="1"/>
  <c r="AG189" i="3" s="1"/>
  <c r="AG188" i="3" a="1"/>
  <c r="AG188" i="3" s="1"/>
  <c r="AG187" i="3" a="1"/>
  <c r="AG187" i="3" s="1"/>
  <c r="AG186" i="3" a="1"/>
  <c r="AG186" i="3" s="1"/>
  <c r="AG185" i="3" a="1"/>
  <c r="AG185" i="3" s="1"/>
  <c r="AG184" i="3" a="1"/>
  <c r="AG184" i="3" s="1"/>
  <c r="AG183" i="3" a="1"/>
  <c r="AG183" i="3" s="1"/>
  <c r="AG182" i="3" a="1"/>
  <c r="AG182" i="3" s="1"/>
  <c r="AG181" i="3" a="1"/>
  <c r="AG181" i="3" s="1"/>
  <c r="AG180" i="3" a="1"/>
  <c r="AG180" i="3" s="1"/>
  <c r="AG179" i="3" a="1"/>
  <c r="AG179" i="3" s="1"/>
  <c r="AG178" i="3" a="1"/>
  <c r="AG178" i="3" s="1"/>
  <c r="AG177" i="3" a="1"/>
  <c r="AG177" i="3" s="1"/>
  <c r="AG176" i="3" a="1"/>
  <c r="AG176" i="3" s="1"/>
  <c r="AG175" i="3" a="1"/>
  <c r="AG175" i="3" s="1"/>
  <c r="AG174" i="3" a="1"/>
  <c r="AG174" i="3" s="1"/>
  <c r="AG173" i="3" a="1"/>
  <c r="AG173" i="3" s="1"/>
  <c r="AG172" i="3" a="1"/>
  <c r="AG172" i="3" s="1"/>
  <c r="AG171" i="3" a="1"/>
  <c r="AG171" i="3" s="1"/>
  <c r="AG170" i="3" a="1"/>
  <c r="AG170" i="3" s="1"/>
  <c r="AG169" i="3" a="1"/>
  <c r="AG169" i="3" s="1"/>
  <c r="AG168" i="3" a="1"/>
  <c r="AG168" i="3" s="1"/>
  <c r="AG167" i="3" a="1"/>
  <c r="AG167" i="3" s="1"/>
  <c r="AG166" i="3" a="1"/>
  <c r="AG166" i="3" s="1"/>
  <c r="AG165" i="3" a="1"/>
  <c r="AG165" i="3" s="1"/>
  <c r="AG164" i="3" a="1"/>
  <c r="AG164" i="3" s="1"/>
  <c r="AG163" i="3" a="1"/>
  <c r="AG163" i="3" s="1"/>
  <c r="AG162" i="3" a="1"/>
  <c r="AG162" i="3" s="1"/>
  <c r="AG161" i="3" a="1"/>
  <c r="AG161" i="3" s="1"/>
  <c r="AG160" i="3" a="1"/>
  <c r="AG160" i="3" s="1"/>
  <c r="AG159" i="3" a="1"/>
  <c r="AG159" i="3" s="1"/>
  <c r="AG158" i="3" a="1"/>
  <c r="AG158" i="3" s="1"/>
  <c r="AG157" i="3" a="1"/>
  <c r="AG157" i="3" s="1"/>
  <c r="AG156" i="3" a="1"/>
  <c r="AG156" i="3" s="1"/>
  <c r="AG155" i="3" a="1"/>
  <c r="AG155" i="3" s="1"/>
  <c r="AG154" i="3" a="1"/>
  <c r="AG154" i="3" s="1"/>
  <c r="AG153" i="3" a="1"/>
  <c r="AG153" i="3" s="1"/>
  <c r="AG152" i="3" a="1"/>
  <c r="AG152" i="3" s="1"/>
  <c r="AG151" i="3" a="1"/>
  <c r="AG151" i="3" s="1"/>
  <c r="AG150" i="3" a="1"/>
  <c r="AG150" i="3" s="1"/>
  <c r="AG149" i="3" a="1"/>
  <c r="AG149" i="3" s="1"/>
  <c r="AG148" i="3" a="1"/>
  <c r="AG148" i="3" s="1"/>
  <c r="AG147" i="3" a="1"/>
  <c r="AG147" i="3" s="1"/>
  <c r="AG146" i="3" a="1"/>
  <c r="AG146" i="3" s="1"/>
  <c r="AG145" i="3" a="1"/>
  <c r="AG145" i="3" s="1"/>
  <c r="AG144" i="3" a="1"/>
  <c r="AG144" i="3" s="1"/>
  <c r="AG143" i="3" a="1"/>
  <c r="AG143" i="3" s="1"/>
  <c r="AG142" i="3" a="1"/>
  <c r="AG142" i="3" s="1"/>
  <c r="AG141" i="3" a="1"/>
  <c r="AG141" i="3" s="1"/>
  <c r="AG140" i="3" a="1"/>
  <c r="AG140" i="3" s="1"/>
  <c r="AG139" i="3" a="1"/>
  <c r="AG139" i="3" s="1"/>
  <c r="AG138" i="3" a="1"/>
  <c r="AG138" i="3" s="1"/>
  <c r="AG137" i="3" a="1"/>
  <c r="AG137" i="3" s="1"/>
  <c r="AG136" i="3" a="1"/>
  <c r="AG136" i="3" s="1"/>
  <c r="AG135" i="3" a="1"/>
  <c r="AG135" i="3" s="1"/>
  <c r="AG134" i="3" a="1"/>
  <c r="AG134" i="3" s="1"/>
  <c r="AG133" i="3" a="1"/>
  <c r="AG133" i="3" s="1"/>
  <c r="AG132" i="3" a="1"/>
  <c r="AG132" i="3" s="1"/>
  <c r="AG131" i="3" a="1"/>
  <c r="AG131" i="3" s="1"/>
  <c r="AG130" i="3" a="1"/>
  <c r="AG130" i="3" s="1"/>
  <c r="AG129" i="3" a="1"/>
  <c r="AG129" i="3" s="1"/>
  <c r="AG128" i="3" a="1"/>
  <c r="AG128" i="3" s="1"/>
  <c r="AG127" i="3" a="1"/>
  <c r="AG127" i="3" s="1"/>
  <c r="AG126" i="3" a="1"/>
  <c r="AG126" i="3" s="1"/>
  <c r="AG125" i="3" a="1"/>
  <c r="AG125" i="3" s="1"/>
  <c r="AG124" i="3" a="1"/>
  <c r="AG124" i="3" s="1"/>
  <c r="AG123" i="3" a="1"/>
  <c r="AG123" i="3" s="1"/>
  <c r="AG122" i="3" a="1"/>
  <c r="AG122" i="3" s="1"/>
  <c r="AG121" i="3" a="1"/>
  <c r="AG121" i="3" s="1"/>
  <c r="AG120" i="3" a="1"/>
  <c r="AG120" i="3" s="1"/>
  <c r="AG119" i="3" a="1"/>
  <c r="AG119" i="3" s="1"/>
  <c r="AG118" i="3" a="1"/>
  <c r="AG118" i="3" s="1"/>
  <c r="AG117" i="3" a="1"/>
  <c r="AG117" i="3" s="1"/>
  <c r="AG116" i="3" a="1"/>
  <c r="AG116" i="3" s="1"/>
  <c r="AG115" i="3" a="1"/>
  <c r="AG115" i="3" s="1"/>
  <c r="AG114" i="3" a="1"/>
  <c r="AG114" i="3" s="1"/>
  <c r="AG113" i="3" a="1"/>
  <c r="AG113" i="3" s="1"/>
  <c r="AG112" i="3" a="1"/>
  <c r="AG112" i="3" s="1"/>
  <c r="AG111" i="3" a="1"/>
  <c r="AG111" i="3" s="1"/>
  <c r="AG110" i="3" a="1"/>
  <c r="AG110" i="3" s="1"/>
  <c r="AG109" i="3" a="1"/>
  <c r="AG109" i="3" s="1"/>
  <c r="AG108" i="3" a="1"/>
  <c r="AG108" i="3" s="1"/>
  <c r="AG107" i="3" a="1"/>
  <c r="AG107" i="3" s="1"/>
  <c r="AG106" i="3" a="1"/>
  <c r="AG106" i="3" s="1"/>
  <c r="AG105" i="3" a="1"/>
  <c r="AG105" i="3" s="1"/>
  <c r="AG104" i="3" a="1"/>
  <c r="AG104" i="3" s="1"/>
  <c r="AG103" i="3" a="1"/>
  <c r="AG103" i="3" s="1"/>
  <c r="AG102" i="3" a="1"/>
  <c r="AG102" i="3" s="1"/>
  <c r="AG101" i="3" a="1"/>
  <c r="AG101" i="3" s="1"/>
  <c r="AG100" i="3" a="1"/>
  <c r="AG100" i="3" s="1"/>
  <c r="AG99" i="3" a="1"/>
  <c r="AG99" i="3" s="1"/>
  <c r="AG98" i="3" a="1"/>
  <c r="AG98" i="3" s="1"/>
  <c r="AG97" i="3" a="1"/>
  <c r="AG97" i="3" s="1"/>
  <c r="AG96" i="3" a="1"/>
  <c r="AG96" i="3" s="1"/>
  <c r="AG95" i="3" a="1"/>
  <c r="AG95" i="3" s="1"/>
  <c r="AG94" i="3" a="1"/>
  <c r="AG94" i="3" s="1"/>
  <c r="AG93" i="3" a="1"/>
  <c r="AG93" i="3" s="1"/>
  <c r="AG92" i="3" a="1"/>
  <c r="AG92" i="3" s="1"/>
  <c r="AG91" i="3" a="1"/>
  <c r="AG91" i="3" s="1"/>
  <c r="AG90" i="3" a="1"/>
  <c r="AG90" i="3" s="1"/>
  <c r="AG89" i="3" a="1"/>
  <c r="AG89" i="3" s="1"/>
  <c r="AG88" i="3" a="1"/>
  <c r="AG88" i="3" s="1"/>
  <c r="AG87" i="3" a="1"/>
  <c r="AG87" i="3" s="1"/>
  <c r="AG86" i="3" a="1"/>
  <c r="AG86" i="3" s="1"/>
  <c r="AG85" i="3" a="1"/>
  <c r="AG85" i="3" s="1"/>
  <c r="AG84" i="3" a="1"/>
  <c r="AG84" i="3" s="1"/>
  <c r="AG83" i="3" a="1"/>
  <c r="AG83" i="3" s="1"/>
  <c r="AG82" i="3" a="1"/>
  <c r="AG82" i="3" s="1"/>
  <c r="AG81" i="3" a="1"/>
  <c r="AG81" i="3" s="1"/>
  <c r="AG80" i="3" a="1"/>
  <c r="AG80" i="3" s="1"/>
  <c r="AG79" i="3" a="1"/>
  <c r="AG79" i="3" s="1"/>
  <c r="AG78" i="3" a="1"/>
  <c r="AG78" i="3" s="1"/>
  <c r="AG77" i="3" a="1"/>
  <c r="AG77" i="3" s="1"/>
  <c r="AG76" i="3" a="1"/>
  <c r="AG76" i="3" s="1"/>
  <c r="AG75" i="3" a="1"/>
  <c r="AG75" i="3" s="1"/>
  <c r="AG74" i="3" a="1"/>
  <c r="AG74" i="3" s="1"/>
  <c r="AG73" i="3" a="1"/>
  <c r="AG73" i="3" s="1"/>
  <c r="AG72" i="3" a="1"/>
  <c r="AG72" i="3" s="1"/>
  <c r="AG71" i="3" a="1"/>
  <c r="AG71" i="3" s="1"/>
  <c r="AG70" i="3" a="1"/>
  <c r="AG70" i="3" s="1"/>
  <c r="AG69" i="3" a="1"/>
  <c r="AG69" i="3" s="1"/>
  <c r="AG68" i="3" a="1"/>
  <c r="AG68" i="3" s="1"/>
  <c r="AG67" i="3" a="1"/>
  <c r="AG67" i="3" s="1"/>
  <c r="AG66" i="3" a="1"/>
  <c r="AG66" i="3" s="1"/>
  <c r="AG65" i="3" a="1"/>
  <c r="AG65" i="3" s="1"/>
  <c r="AG64" i="3" a="1"/>
  <c r="AG64" i="3" s="1"/>
  <c r="AG63" i="3" a="1"/>
  <c r="AG63" i="3" s="1"/>
  <c r="AG62" i="3" a="1"/>
  <c r="AG62" i="3" s="1"/>
  <c r="AG61" i="3" a="1"/>
  <c r="AG61" i="3" s="1"/>
  <c r="AG60" i="3" a="1"/>
  <c r="AG60" i="3" s="1"/>
  <c r="AG59" i="3" a="1"/>
  <c r="AG59" i="3" s="1"/>
  <c r="AG58" i="3" a="1"/>
  <c r="AG58" i="3" s="1"/>
  <c r="AG57" i="3" a="1"/>
  <c r="AG57" i="3" s="1"/>
  <c r="AG56" i="3" a="1"/>
  <c r="AG56" i="3" s="1"/>
  <c r="AG55" i="3" a="1"/>
  <c r="AG55" i="3" s="1"/>
  <c r="AG54" i="3" a="1"/>
  <c r="AG54" i="3" s="1"/>
  <c r="AG53" i="3" a="1"/>
  <c r="AG53" i="3" s="1"/>
  <c r="AG52" i="3" a="1"/>
  <c r="AG52" i="3" s="1"/>
  <c r="AG51" i="3" a="1"/>
  <c r="AG51" i="3" s="1"/>
  <c r="AG50" i="3" a="1"/>
  <c r="AG50" i="3" s="1"/>
  <c r="AG49" i="3" a="1"/>
  <c r="AG49" i="3" s="1"/>
  <c r="AG48" i="3" a="1"/>
  <c r="AG48" i="3" s="1"/>
  <c r="AG47" i="3" a="1"/>
  <c r="AG47" i="3" s="1"/>
  <c r="AG46" i="3" a="1"/>
  <c r="AG46" i="3" s="1"/>
  <c r="AG45" i="3" a="1"/>
  <c r="AG45" i="3" s="1"/>
  <c r="AG44" i="3" a="1"/>
  <c r="AG44" i="3" s="1"/>
  <c r="AG43" i="3" a="1"/>
  <c r="AG43" i="3" s="1"/>
  <c r="AG42" i="3" a="1"/>
  <c r="AG42" i="3" s="1"/>
  <c r="AG41" i="3" a="1"/>
  <c r="AG41" i="3" s="1"/>
  <c r="AG40" i="3" a="1"/>
  <c r="AG40" i="3" s="1"/>
  <c r="AG39" i="3" a="1"/>
  <c r="AG39" i="3" s="1"/>
  <c r="AG38" i="3" a="1"/>
  <c r="AG38" i="3" s="1"/>
  <c r="AG37" i="3" a="1"/>
  <c r="AG37" i="3" s="1"/>
  <c r="AG36" i="3" a="1"/>
  <c r="AG36" i="3" s="1"/>
  <c r="AG35" i="3" a="1"/>
  <c r="AG35" i="3" s="1"/>
  <c r="AG34" i="3" a="1"/>
  <c r="AG34" i="3" s="1"/>
  <c r="AG33" i="3" a="1"/>
  <c r="AG33" i="3" s="1"/>
  <c r="AG32" i="3" a="1"/>
  <c r="AG32" i="3" s="1"/>
  <c r="AG31" i="3" a="1"/>
  <c r="AG31" i="3" s="1"/>
  <c r="AG30" i="3" a="1"/>
  <c r="AG30" i="3" s="1"/>
  <c r="AG29" i="3" a="1"/>
  <c r="AG29" i="3" s="1"/>
  <c r="AG28" i="3" a="1"/>
  <c r="AG28" i="3" s="1"/>
  <c r="AG27" i="3" a="1"/>
  <c r="AG27" i="3" s="1"/>
  <c r="AG26" i="3" a="1"/>
  <c r="AG26" i="3" s="1"/>
  <c r="AG25" i="3" a="1"/>
  <c r="AG25" i="3" s="1"/>
  <c r="AG24" i="3" a="1"/>
  <c r="AG24" i="3" s="1"/>
  <c r="AG23" i="3" a="1"/>
  <c r="AG23" i="3" s="1"/>
  <c r="AG22" i="3" a="1"/>
  <c r="AG22" i="3" s="1"/>
  <c r="AG21" i="3" a="1"/>
  <c r="AG21" i="3" s="1"/>
  <c r="AG20" i="3" a="1"/>
  <c r="AG20" i="3" s="1"/>
  <c r="AG19" i="3" a="1"/>
  <c r="AG19" i="3" s="1"/>
  <c r="AG18" i="3" a="1"/>
  <c r="AG18" i="3" s="1"/>
  <c r="AG17" i="3" a="1"/>
  <c r="AG17" i="3" s="1"/>
  <c r="AG16" i="3" a="1"/>
  <c r="AG16" i="3" s="1"/>
  <c r="AG15" i="3" a="1"/>
  <c r="AG15" i="3" s="1"/>
  <c r="AG14" i="3" a="1"/>
  <c r="AG14" i="3" s="1"/>
  <c r="AG13" i="3" a="1"/>
  <c r="AG13" i="3" s="1"/>
  <c r="AG12" i="3" a="1"/>
  <c r="AG12" i="3" s="1"/>
  <c r="AG11" i="3" a="1"/>
  <c r="AG11" i="3" s="1"/>
  <c r="AG10" i="3" a="1"/>
  <c r="AG10" i="3" s="1"/>
  <c r="AG9" i="3" a="1"/>
  <c r="AG9" i="3" s="1"/>
  <c r="AG8" i="3" a="1"/>
  <c r="AG8" i="3" s="1"/>
  <c r="AG7" i="3" a="1"/>
  <c r="AG7" i="3" s="1"/>
  <c r="AG6" i="3" a="1"/>
  <c r="AG6" i="3" s="1"/>
  <c r="AG5" i="3" a="1"/>
  <c r="AG5" i="3" s="1"/>
  <c r="AI4" i="3"/>
  <c r="AI5" i="3" s="1"/>
  <c r="AI6" i="3" s="1"/>
  <c r="AI7" i="3" s="1"/>
  <c r="AI8" i="3" s="1"/>
  <c r="AI9" i="3" s="1"/>
  <c r="AI10" i="3" s="1"/>
  <c r="AI11" i="3" s="1"/>
  <c r="AI12" i="3" s="1"/>
  <c r="AI13" i="3" s="1"/>
  <c r="AI14" i="3" s="1"/>
  <c r="AI15" i="3" s="1"/>
  <c r="AI16" i="3" s="1"/>
  <c r="AI17" i="3" s="1"/>
  <c r="AI18" i="3" s="1"/>
  <c r="AI19" i="3" s="1"/>
  <c r="AI20" i="3" s="1"/>
  <c r="AI21" i="3" s="1"/>
  <c r="AI22" i="3" s="1"/>
  <c r="AI23" i="3" s="1"/>
  <c r="AI24" i="3" s="1"/>
  <c r="AI25" i="3" s="1"/>
  <c r="AI26" i="3" s="1"/>
  <c r="AI27" i="3" s="1"/>
  <c r="AI28" i="3" s="1"/>
  <c r="AI29" i="3" s="1"/>
  <c r="AI30" i="3" s="1"/>
  <c r="AI31" i="3" s="1"/>
  <c r="AI32" i="3" s="1"/>
  <c r="AI33" i="3" s="1"/>
  <c r="AI34" i="3" s="1"/>
  <c r="AI35" i="3" s="1"/>
  <c r="AI36" i="3" s="1"/>
  <c r="AI37" i="3" s="1"/>
  <c r="AI38" i="3" s="1"/>
  <c r="AI39" i="3" s="1"/>
  <c r="AI40" i="3" s="1"/>
  <c r="AI41" i="3" s="1"/>
  <c r="AI42" i="3" s="1"/>
  <c r="AI43" i="3" s="1"/>
  <c r="AI44" i="3" s="1"/>
  <c r="AI45" i="3" s="1"/>
  <c r="AI46" i="3" s="1"/>
  <c r="AI47" i="3" s="1"/>
  <c r="AI48" i="3" s="1"/>
  <c r="AI49" i="3" s="1"/>
  <c r="AI50" i="3" s="1"/>
  <c r="AI51" i="3" s="1"/>
  <c r="AI52" i="3" s="1"/>
  <c r="AI53" i="3" s="1"/>
  <c r="AI54" i="3" s="1"/>
  <c r="AI55" i="3" s="1"/>
  <c r="AI56" i="3" s="1"/>
  <c r="AI57" i="3" s="1"/>
  <c r="AI58" i="3" s="1"/>
  <c r="AI59" i="3" s="1"/>
  <c r="AI60" i="3" s="1"/>
  <c r="AI61" i="3" s="1"/>
  <c r="AI62" i="3" s="1"/>
  <c r="AI63" i="3" s="1"/>
  <c r="AI64" i="3" s="1"/>
  <c r="AI65" i="3" s="1"/>
  <c r="AI66" i="3" s="1"/>
  <c r="AI67" i="3" s="1"/>
  <c r="AI68" i="3" s="1"/>
  <c r="AI69" i="3" s="1"/>
  <c r="AI70" i="3" s="1"/>
  <c r="AI71" i="3" s="1"/>
  <c r="AI72" i="3" s="1"/>
  <c r="AI73" i="3" s="1"/>
  <c r="AI74" i="3" s="1"/>
  <c r="AI75" i="3" s="1"/>
  <c r="AI76" i="3" s="1"/>
  <c r="AI77" i="3" s="1"/>
  <c r="AI78" i="3" s="1"/>
  <c r="AI79" i="3" s="1"/>
  <c r="AI80" i="3" s="1"/>
  <c r="AI81" i="3" s="1"/>
  <c r="AI82" i="3" s="1"/>
  <c r="AI83" i="3" s="1"/>
  <c r="AI84" i="3" s="1"/>
  <c r="AI85" i="3" s="1"/>
  <c r="AI86" i="3" s="1"/>
  <c r="AI87" i="3" s="1"/>
  <c r="AI88" i="3" s="1"/>
  <c r="AI89" i="3" s="1"/>
  <c r="AI90" i="3" s="1"/>
  <c r="AI91" i="3" s="1"/>
  <c r="AI92" i="3" s="1"/>
  <c r="AI93" i="3" s="1"/>
  <c r="AI94" i="3" s="1"/>
  <c r="AI95" i="3" s="1"/>
  <c r="AI96" i="3" s="1"/>
  <c r="AI97" i="3" s="1"/>
  <c r="AI98" i="3" s="1"/>
  <c r="AI99" i="3" s="1"/>
  <c r="AI100" i="3" s="1"/>
  <c r="AI101" i="3" s="1"/>
  <c r="AI102" i="3" s="1"/>
  <c r="AI103" i="3" s="1"/>
  <c r="AI104" i="3" s="1"/>
  <c r="AI105" i="3" s="1"/>
  <c r="AI106" i="3" s="1"/>
  <c r="AI107" i="3" s="1"/>
  <c r="AI108" i="3" s="1"/>
  <c r="AI109" i="3" s="1"/>
  <c r="AI110" i="3" s="1"/>
  <c r="AI111" i="3" s="1"/>
  <c r="AI112" i="3" s="1"/>
  <c r="AI113" i="3" s="1"/>
  <c r="AI114" i="3" s="1"/>
  <c r="AI115" i="3" s="1"/>
  <c r="AI116" i="3" s="1"/>
  <c r="AI117" i="3" s="1"/>
  <c r="AI118" i="3" s="1"/>
  <c r="AI119" i="3" s="1"/>
  <c r="AI120" i="3" s="1"/>
  <c r="AI121" i="3" s="1"/>
  <c r="AI122" i="3" s="1"/>
  <c r="AI123" i="3" s="1"/>
  <c r="AI124" i="3" s="1"/>
  <c r="AI125" i="3" s="1"/>
  <c r="AI126" i="3" s="1"/>
  <c r="AI127" i="3" s="1"/>
  <c r="AI128" i="3" s="1"/>
  <c r="AI129" i="3" s="1"/>
  <c r="AI130" i="3" s="1"/>
  <c r="AI131" i="3" s="1"/>
  <c r="AI132" i="3" s="1"/>
  <c r="AI133" i="3" s="1"/>
  <c r="AI134" i="3" s="1"/>
  <c r="AI135" i="3" s="1"/>
  <c r="AI136" i="3" s="1"/>
  <c r="AI137" i="3" s="1"/>
  <c r="AI138" i="3" s="1"/>
  <c r="AI139" i="3" s="1"/>
  <c r="AI140" i="3" s="1"/>
  <c r="AI141" i="3" s="1"/>
  <c r="AI142" i="3" s="1"/>
  <c r="AI143" i="3" s="1"/>
  <c r="AI144" i="3" s="1"/>
  <c r="AI145" i="3" s="1"/>
  <c r="AI146" i="3" s="1"/>
  <c r="AI147" i="3" s="1"/>
  <c r="AI148" i="3" s="1"/>
  <c r="AI149" i="3" s="1"/>
  <c r="AI150" i="3" s="1"/>
  <c r="AI151" i="3" s="1"/>
  <c r="AI152" i="3" s="1"/>
  <c r="AI153" i="3" s="1"/>
  <c r="AI154" i="3" s="1"/>
  <c r="AI155" i="3" s="1"/>
  <c r="AI156" i="3" s="1"/>
  <c r="AI157" i="3" s="1"/>
  <c r="AI158" i="3" s="1"/>
  <c r="AI159" i="3" s="1"/>
  <c r="AI160" i="3" s="1"/>
  <c r="AI161" i="3" s="1"/>
  <c r="AI162" i="3" s="1"/>
  <c r="AI163" i="3" s="1"/>
  <c r="AI164" i="3" s="1"/>
  <c r="AI165" i="3" s="1"/>
  <c r="AI166" i="3" s="1"/>
  <c r="AI167" i="3" s="1"/>
  <c r="AI168" i="3" s="1"/>
  <c r="AI169" i="3" s="1"/>
  <c r="AI170" i="3" s="1"/>
  <c r="AI171" i="3" s="1"/>
  <c r="AI172" i="3" s="1"/>
  <c r="AI173" i="3" s="1"/>
  <c r="AI174" i="3" s="1"/>
  <c r="AI175" i="3" s="1"/>
  <c r="AI176" i="3" s="1"/>
  <c r="AI177" i="3" s="1"/>
  <c r="AI178" i="3" s="1"/>
  <c r="AI179" i="3" s="1"/>
  <c r="AI180" i="3" s="1"/>
  <c r="AI181" i="3" s="1"/>
  <c r="AI182" i="3" s="1"/>
  <c r="AI183" i="3" s="1"/>
  <c r="AI184" i="3" s="1"/>
  <c r="AI185" i="3" s="1"/>
  <c r="AI186" i="3" s="1"/>
  <c r="AI187" i="3" s="1"/>
  <c r="AI188" i="3" s="1"/>
  <c r="AI189" i="3" s="1"/>
  <c r="AI190" i="3" s="1"/>
  <c r="AI191" i="3" s="1"/>
  <c r="AI192" i="3" s="1"/>
  <c r="AI193" i="3" s="1"/>
  <c r="AI194" i="3" s="1"/>
  <c r="AI195" i="3" s="1"/>
  <c r="AI196" i="3" s="1"/>
  <c r="AI197" i="3" s="1"/>
  <c r="AI198" i="3" s="1"/>
  <c r="AI199" i="3" s="1"/>
  <c r="AI200" i="3" s="1"/>
  <c r="AI201" i="3" s="1"/>
  <c r="AI202" i="3" s="1"/>
  <c r="AI203" i="3" s="1"/>
  <c r="AI204" i="3" s="1"/>
  <c r="AI205" i="3" s="1"/>
  <c r="AI206" i="3" s="1"/>
  <c r="AI207" i="3" s="1"/>
  <c r="AI208" i="3" s="1"/>
  <c r="AI209" i="3" s="1"/>
  <c r="AI210" i="3" s="1"/>
  <c r="AI211" i="3" s="1"/>
  <c r="AI212" i="3" s="1"/>
  <c r="AI213" i="3" s="1"/>
  <c r="AI214" i="3" s="1"/>
  <c r="AI215" i="3" s="1"/>
  <c r="AI216" i="3" s="1"/>
  <c r="AI217" i="3" s="1"/>
  <c r="AI218" i="3" s="1"/>
  <c r="AI219" i="3" s="1"/>
  <c r="AI220" i="3" s="1"/>
  <c r="AI221" i="3" s="1"/>
  <c r="AI222" i="3" s="1"/>
  <c r="AI223" i="3" s="1"/>
  <c r="AI224" i="3" s="1"/>
  <c r="AI225" i="3" s="1"/>
  <c r="AI226" i="3" s="1"/>
  <c r="AI227" i="3" s="1"/>
  <c r="AI228" i="3" s="1"/>
  <c r="AI229" i="3" s="1"/>
  <c r="AI230" i="3" s="1"/>
  <c r="AI231" i="3" s="1"/>
  <c r="AI232" i="3" s="1"/>
  <c r="AI233" i="3" s="1"/>
  <c r="AI234" i="3" s="1"/>
  <c r="AI235" i="3" s="1"/>
  <c r="AI236" i="3" s="1"/>
  <c r="AI237" i="3" s="1"/>
  <c r="AI238" i="3" s="1"/>
  <c r="AI239" i="3" s="1"/>
  <c r="AI240" i="3" s="1"/>
  <c r="AI241" i="3" s="1"/>
  <c r="AI242" i="3" s="1"/>
  <c r="AI243" i="3" s="1"/>
  <c r="AI244" i="3" s="1"/>
  <c r="AI245" i="3" s="1"/>
  <c r="AI246" i="3" s="1"/>
  <c r="AI247" i="3" s="1"/>
  <c r="AI248" i="3" s="1"/>
  <c r="AI249" i="3" s="1"/>
  <c r="AI250" i="3" s="1"/>
  <c r="AI251" i="3" s="1"/>
  <c r="AI252" i="3" s="1"/>
  <c r="AI253" i="3" s="1"/>
  <c r="AI254" i="3" s="1"/>
  <c r="AI255" i="3" s="1"/>
  <c r="AI256" i="3" s="1"/>
  <c r="AI257" i="3" s="1"/>
  <c r="AI258" i="3" s="1"/>
  <c r="AI259" i="3" s="1"/>
  <c r="AI260" i="3" s="1"/>
  <c r="AI261" i="3" s="1"/>
  <c r="AI262" i="3" s="1"/>
  <c r="AI263" i="3" s="1"/>
  <c r="AI264" i="3" s="1"/>
  <c r="AI265" i="3" s="1"/>
  <c r="AI266" i="3" s="1"/>
  <c r="AI267" i="3" s="1"/>
  <c r="AI268" i="3" s="1"/>
  <c r="AI269" i="3" s="1"/>
  <c r="AI270" i="3" s="1"/>
  <c r="AI271" i="3" s="1"/>
  <c r="AI272" i="3" s="1"/>
  <c r="AI273" i="3" s="1"/>
  <c r="AI274" i="3" s="1"/>
  <c r="AI275" i="3" s="1"/>
  <c r="AI276" i="3" s="1"/>
  <c r="AI277" i="3" s="1"/>
  <c r="AI278" i="3" s="1"/>
  <c r="AI279" i="3" s="1"/>
  <c r="AI280" i="3" s="1"/>
  <c r="AI281" i="3" s="1"/>
  <c r="AI282" i="3" s="1"/>
  <c r="AI283" i="3" s="1"/>
  <c r="AI284" i="3" s="1"/>
  <c r="AI285" i="3" s="1"/>
  <c r="AI286" i="3" s="1"/>
  <c r="AI287" i="3" s="1"/>
  <c r="AI288" i="3" s="1"/>
  <c r="AI289" i="3" s="1"/>
  <c r="AI290" i="3" s="1"/>
  <c r="AI291" i="3" s="1"/>
  <c r="AI292" i="3" s="1"/>
  <c r="AI293" i="3" s="1"/>
  <c r="AI294" i="3" s="1"/>
  <c r="AI295" i="3" s="1"/>
  <c r="AI296" i="3" s="1"/>
  <c r="AI297" i="3" s="1"/>
  <c r="AI298" i="3" s="1"/>
  <c r="AI299" i="3" s="1"/>
  <c r="AI300" i="3" s="1"/>
  <c r="AI301" i="3" s="1"/>
  <c r="AI302" i="3" s="1"/>
  <c r="AI303" i="3" s="1"/>
  <c r="AI304" i="3" s="1"/>
  <c r="AI305" i="3" s="1"/>
  <c r="AI306" i="3" s="1"/>
  <c r="AI307" i="3" s="1"/>
  <c r="AI308" i="3" s="1"/>
  <c r="AI309" i="3" s="1"/>
  <c r="AI310" i="3" s="1"/>
  <c r="AI311" i="3" s="1"/>
  <c r="AI312" i="3" s="1"/>
  <c r="AI313" i="3" s="1"/>
  <c r="AI314" i="3" s="1"/>
  <c r="AI315" i="3" s="1"/>
  <c r="AI316" i="3" s="1"/>
  <c r="AI317" i="3" s="1"/>
  <c r="AI318" i="3" s="1"/>
  <c r="AI319" i="3" s="1"/>
  <c r="AI320" i="3" s="1"/>
  <c r="AI321" i="3" s="1"/>
  <c r="AI322" i="3" s="1"/>
  <c r="AI323" i="3" s="1"/>
  <c r="AI324" i="3" s="1"/>
  <c r="AI325" i="3" s="1"/>
  <c r="AI326" i="3" s="1"/>
  <c r="AI327" i="3" s="1"/>
  <c r="AI328" i="3" s="1"/>
  <c r="AI329" i="3" s="1"/>
  <c r="AI330" i="3" s="1"/>
  <c r="AI331" i="3" s="1"/>
  <c r="AI332" i="3" s="1"/>
  <c r="AI333" i="3" s="1"/>
  <c r="AI334" i="3" s="1"/>
  <c r="AI335" i="3" s="1"/>
  <c r="AI336" i="3" s="1"/>
  <c r="AI337" i="3" s="1"/>
  <c r="AI338" i="3" s="1"/>
  <c r="AI339" i="3" s="1"/>
  <c r="AI340" i="3" s="1"/>
  <c r="AI341" i="3" s="1"/>
  <c r="AI342" i="3" s="1"/>
  <c r="AI343" i="3" s="1"/>
  <c r="AI344" i="3" s="1"/>
  <c r="AI345" i="3" s="1"/>
  <c r="AI346" i="3" s="1"/>
  <c r="AI347" i="3" s="1"/>
  <c r="AI348" i="3" s="1"/>
  <c r="AI349" i="3" s="1"/>
  <c r="AI350" i="3" s="1"/>
  <c r="AI351" i="3" s="1"/>
  <c r="AI352" i="3" s="1"/>
  <c r="AI353" i="3" s="1"/>
  <c r="AI354" i="3" s="1"/>
  <c r="AI355" i="3" s="1"/>
  <c r="AI356" i="3" s="1"/>
  <c r="AI357" i="3" s="1"/>
  <c r="AI358" i="3" s="1"/>
  <c r="AI359" i="3" s="1"/>
  <c r="AI360" i="3" s="1"/>
  <c r="AI361" i="3" s="1"/>
  <c r="AI362" i="3" s="1"/>
  <c r="AI363" i="3" s="1"/>
  <c r="AI364" i="3" s="1"/>
  <c r="AI365" i="3" s="1"/>
  <c r="AI366" i="3" s="1"/>
  <c r="AI367" i="3" s="1"/>
  <c r="AI368" i="3" s="1"/>
  <c r="AI369" i="3" s="1"/>
  <c r="AI370" i="3" s="1"/>
  <c r="AI371" i="3" s="1"/>
  <c r="AI372" i="3" s="1"/>
  <c r="AI373" i="3" s="1"/>
  <c r="AI374" i="3" s="1"/>
  <c r="AI375" i="3" s="1"/>
  <c r="AI376" i="3" s="1"/>
  <c r="AI377" i="3" s="1"/>
  <c r="AI378" i="3" s="1"/>
  <c r="AI379" i="3" s="1"/>
  <c r="AI380" i="3" s="1"/>
  <c r="AI381" i="3" s="1"/>
  <c r="AI382" i="3" s="1"/>
  <c r="AI383" i="3" s="1"/>
  <c r="AI384" i="3" s="1"/>
  <c r="AI385" i="3" s="1"/>
  <c r="AI386" i="3" s="1"/>
  <c r="AI387" i="3" s="1"/>
  <c r="AI388" i="3" s="1"/>
  <c r="AI389" i="3" s="1"/>
  <c r="AI390" i="3" s="1"/>
  <c r="AI391" i="3" s="1"/>
  <c r="AI392" i="3" s="1"/>
  <c r="AI393" i="3" s="1"/>
  <c r="AI394" i="3" s="1"/>
  <c r="AI395" i="3" s="1"/>
  <c r="AI396" i="3" s="1"/>
  <c r="AI397" i="3" s="1"/>
  <c r="AI398" i="3" s="1"/>
  <c r="AI399" i="3" s="1"/>
  <c r="AI400" i="3" s="1"/>
  <c r="AI401" i="3" s="1"/>
  <c r="AI402" i="3" s="1"/>
  <c r="AI403" i="3" s="1"/>
  <c r="AI404" i="3" s="1"/>
  <c r="AI405" i="3" s="1"/>
  <c r="AI406" i="3" s="1"/>
  <c r="AI407" i="3" s="1"/>
  <c r="AI408" i="3" s="1"/>
  <c r="AI409" i="3" s="1"/>
  <c r="AI410" i="3" s="1"/>
  <c r="AI411" i="3" s="1"/>
  <c r="AI412" i="3" s="1"/>
  <c r="AI413" i="3" s="1"/>
  <c r="AI414" i="3" s="1"/>
  <c r="AI415" i="3" s="1"/>
  <c r="AI416" i="3" s="1"/>
  <c r="AI417" i="3" s="1"/>
  <c r="AI418" i="3" s="1"/>
  <c r="AI419" i="3" s="1"/>
  <c r="AI420" i="3" s="1"/>
  <c r="AI421" i="3" s="1"/>
  <c r="AI422" i="3" s="1"/>
  <c r="AI423" i="3" s="1"/>
  <c r="AI424" i="3" s="1"/>
  <c r="AI425" i="3" s="1"/>
  <c r="AI426" i="3" s="1"/>
  <c r="AI427" i="3" s="1"/>
  <c r="AI428" i="3" s="1"/>
  <c r="AI429" i="3" s="1"/>
  <c r="AI430" i="3" s="1"/>
  <c r="AI431" i="3" s="1"/>
  <c r="AI432" i="3" s="1"/>
  <c r="AI433" i="3" s="1"/>
  <c r="AI434" i="3" s="1"/>
  <c r="AI435" i="3" s="1"/>
  <c r="AI436" i="3" s="1"/>
  <c r="AI437" i="3" s="1"/>
  <c r="AI438" i="3" s="1"/>
  <c r="AI439" i="3" s="1"/>
  <c r="AI440" i="3" s="1"/>
  <c r="AI441" i="3" s="1"/>
  <c r="AI442" i="3" s="1"/>
  <c r="AI443" i="3" s="1"/>
  <c r="AI444" i="3" s="1"/>
  <c r="AI445" i="3" s="1"/>
  <c r="AI446" i="3" s="1"/>
  <c r="AI447" i="3" s="1"/>
  <c r="AI448" i="3" s="1"/>
  <c r="AI449" i="3" s="1"/>
  <c r="AI450" i="3" s="1"/>
  <c r="AI451" i="3" s="1"/>
  <c r="AI452" i="3" s="1"/>
  <c r="AI453" i="3" s="1"/>
  <c r="AI454" i="3" s="1"/>
  <c r="AI455" i="3" s="1"/>
  <c r="AI456" i="3" s="1"/>
  <c r="AI457" i="3" s="1"/>
  <c r="AI458" i="3" s="1"/>
  <c r="AI459" i="3" s="1"/>
  <c r="AI460" i="3" s="1"/>
  <c r="AI461" i="3" s="1"/>
  <c r="AI462" i="3" s="1"/>
  <c r="AI463" i="3" s="1"/>
  <c r="AI464" i="3" s="1"/>
  <c r="AI465" i="3" s="1"/>
  <c r="AI466" i="3" s="1"/>
  <c r="AI467" i="3" s="1"/>
  <c r="AI468" i="3" s="1"/>
  <c r="AI469" i="3" s="1"/>
  <c r="AI470" i="3" s="1"/>
  <c r="AI471" i="3" s="1"/>
  <c r="AI472" i="3" s="1"/>
  <c r="AI473" i="3" s="1"/>
  <c r="AI474" i="3" s="1"/>
  <c r="AI475" i="3" s="1"/>
  <c r="AI476" i="3" s="1"/>
  <c r="AI477" i="3" s="1"/>
  <c r="AI478" i="3" s="1"/>
  <c r="AI479" i="3" s="1"/>
  <c r="AI480" i="3" s="1"/>
  <c r="AI481" i="3" s="1"/>
  <c r="AI482" i="3" s="1"/>
  <c r="AI483" i="3" s="1"/>
  <c r="AI484" i="3" s="1"/>
  <c r="AI485" i="3" s="1"/>
  <c r="AI486" i="3" s="1"/>
  <c r="AI487" i="3" s="1"/>
  <c r="AI488" i="3" s="1"/>
  <c r="AI489" i="3" s="1"/>
  <c r="AI490" i="3" s="1"/>
  <c r="AI491" i="3" s="1"/>
  <c r="AI492" i="3" s="1"/>
  <c r="AI493" i="3" s="1"/>
  <c r="AI494" i="3" s="1"/>
  <c r="AI495" i="3" s="1"/>
  <c r="AI496" i="3" s="1"/>
  <c r="AI497" i="3" s="1"/>
  <c r="AI498" i="3" s="1"/>
  <c r="AI499" i="3" s="1"/>
  <c r="AI500" i="3" s="1"/>
  <c r="AI501" i="3" s="1"/>
  <c r="AI502" i="3" s="1"/>
  <c r="AI503" i="3" s="1"/>
  <c r="AI504" i="3" s="1"/>
  <c r="AI505" i="3" s="1"/>
  <c r="AI506" i="3" s="1"/>
  <c r="AI507" i="3" s="1"/>
  <c r="AI508" i="3" s="1"/>
  <c r="AI509" i="3" s="1"/>
  <c r="AI510" i="3" s="1"/>
  <c r="AI511" i="3" s="1"/>
  <c r="AI512" i="3" s="1"/>
  <c r="AI513" i="3" s="1"/>
  <c r="AI514" i="3" s="1"/>
  <c r="AI515" i="3" s="1"/>
  <c r="AI516" i="3" s="1"/>
  <c r="AI517" i="3" s="1"/>
  <c r="AI518" i="3" s="1"/>
  <c r="AI519" i="3" s="1"/>
  <c r="AI520" i="3" s="1"/>
  <c r="AI521" i="3" s="1"/>
  <c r="AI522" i="3" s="1"/>
  <c r="AI523" i="3" s="1"/>
  <c r="AI524" i="3" s="1"/>
  <c r="AI525" i="3" s="1"/>
  <c r="AI526" i="3" s="1"/>
  <c r="AI527" i="3" s="1"/>
  <c r="AI528" i="3" s="1"/>
  <c r="AI529" i="3" s="1"/>
  <c r="AI530" i="3" s="1"/>
  <c r="AI531" i="3" s="1"/>
  <c r="AI532" i="3" s="1"/>
  <c r="AI533" i="3" s="1"/>
  <c r="AI534" i="3" s="1"/>
  <c r="AI535" i="3" s="1"/>
  <c r="AI536" i="3" s="1"/>
  <c r="AI537" i="3" s="1"/>
  <c r="AI538" i="3" s="1"/>
  <c r="AI539" i="3" s="1"/>
  <c r="AI540" i="3" s="1"/>
  <c r="AI541" i="3" s="1"/>
  <c r="AI542" i="3" s="1"/>
  <c r="AI543" i="3" s="1"/>
  <c r="AI544" i="3" s="1"/>
  <c r="AI545" i="3" s="1"/>
  <c r="AI546" i="3" s="1"/>
  <c r="AI547" i="3" s="1"/>
  <c r="AI548" i="3" s="1"/>
  <c r="AI549" i="3" s="1"/>
  <c r="AI550" i="3" s="1"/>
  <c r="AI551" i="3" s="1"/>
  <c r="AI552" i="3" s="1"/>
  <c r="AI553" i="3" s="1"/>
  <c r="AI554" i="3" s="1"/>
  <c r="AI555" i="3" s="1"/>
  <c r="AI556" i="3" s="1"/>
  <c r="AI557" i="3" s="1"/>
  <c r="AI558" i="3" s="1"/>
  <c r="AI559" i="3" s="1"/>
  <c r="AI560" i="3" s="1"/>
  <c r="AI561" i="3" s="1"/>
  <c r="AI562" i="3" s="1"/>
  <c r="AI563" i="3" s="1"/>
  <c r="AI564" i="3" s="1"/>
  <c r="AI565" i="3" s="1"/>
  <c r="AI566" i="3" s="1"/>
  <c r="AI567" i="3" s="1"/>
  <c r="AI568" i="3" s="1"/>
  <c r="AI569" i="3" s="1"/>
  <c r="AI570" i="3" s="1"/>
  <c r="AI571" i="3" s="1"/>
  <c r="AI572" i="3" s="1"/>
  <c r="AI573" i="3" s="1"/>
  <c r="AI574" i="3" s="1"/>
  <c r="AI575" i="3" s="1"/>
  <c r="AI576" i="3" s="1"/>
  <c r="AI577" i="3" s="1"/>
  <c r="AI578" i="3" s="1"/>
  <c r="AI579" i="3" s="1"/>
  <c r="AI580" i="3" s="1"/>
  <c r="AI581" i="3" s="1"/>
  <c r="AI582" i="3" s="1"/>
  <c r="AI583" i="3" s="1"/>
  <c r="AI584" i="3" s="1"/>
  <c r="AI585" i="3" s="1"/>
  <c r="AI586" i="3" s="1"/>
  <c r="AI587" i="3" s="1"/>
  <c r="AI588" i="3" s="1"/>
  <c r="AI589" i="3" s="1"/>
  <c r="AI590" i="3" s="1"/>
  <c r="AI591" i="3" s="1"/>
  <c r="AI592" i="3" s="1"/>
  <c r="AI593" i="3" s="1"/>
  <c r="AI594" i="3" s="1"/>
  <c r="AI595" i="3" s="1"/>
  <c r="AI596" i="3" s="1"/>
  <c r="AI597" i="3" s="1"/>
  <c r="AI598" i="3" s="1"/>
  <c r="AI599" i="3" s="1"/>
  <c r="AI600" i="3" s="1"/>
  <c r="AI601" i="3" s="1"/>
  <c r="AI602" i="3" s="1"/>
  <c r="AI603" i="3" s="1"/>
  <c r="AI604" i="3" s="1"/>
  <c r="AI605" i="3" s="1"/>
  <c r="AI606" i="3" s="1"/>
  <c r="AI607" i="3" s="1"/>
  <c r="AI608" i="3" s="1"/>
  <c r="AI609" i="3" s="1"/>
  <c r="AI610" i="3" s="1"/>
  <c r="AI611" i="3" s="1"/>
  <c r="AI612" i="3" s="1"/>
  <c r="AI613" i="3" s="1"/>
  <c r="AI614" i="3" s="1"/>
  <c r="AI615" i="3" s="1"/>
  <c r="AI616" i="3" s="1"/>
  <c r="AI617" i="3" s="1"/>
  <c r="AI618" i="3" s="1"/>
  <c r="AI619" i="3" s="1"/>
  <c r="AI620" i="3" s="1"/>
  <c r="AI621" i="3" s="1"/>
  <c r="AI622" i="3" s="1"/>
  <c r="AI623" i="3" s="1"/>
  <c r="AI624" i="3" s="1"/>
  <c r="AI625" i="3" s="1"/>
  <c r="AI626" i="3" s="1"/>
  <c r="AI627" i="3" s="1"/>
  <c r="AI628" i="3" s="1"/>
  <c r="AI629" i="3" s="1"/>
  <c r="AI630" i="3" s="1"/>
  <c r="AI631" i="3" s="1"/>
  <c r="AI632" i="3" s="1"/>
  <c r="AI633" i="3" s="1"/>
  <c r="AI634" i="3" s="1"/>
  <c r="AI635" i="3" s="1"/>
  <c r="AI636" i="3" s="1"/>
  <c r="AI637" i="3" s="1"/>
  <c r="AI638" i="3" s="1"/>
  <c r="AI639" i="3" s="1"/>
  <c r="AI640" i="3" s="1"/>
  <c r="AI641" i="3" s="1"/>
  <c r="AI642" i="3" s="1"/>
  <c r="AI643" i="3" s="1"/>
  <c r="AI644" i="3" s="1"/>
  <c r="AI645" i="3" s="1"/>
  <c r="AI646" i="3" s="1"/>
  <c r="AI647" i="3" s="1"/>
  <c r="AI648" i="3" s="1"/>
  <c r="AI649" i="3" s="1"/>
  <c r="AI650" i="3" s="1"/>
  <c r="AI651" i="3" s="1"/>
  <c r="AI652" i="3" s="1"/>
  <c r="AI653" i="3" s="1"/>
  <c r="AI654" i="3" s="1"/>
  <c r="AI655" i="3" s="1"/>
  <c r="AI656" i="3" s="1"/>
  <c r="AI657" i="3" s="1"/>
  <c r="AI658" i="3" s="1"/>
  <c r="AI659" i="3" s="1"/>
  <c r="AI660" i="3" s="1"/>
  <c r="AI661" i="3" s="1"/>
  <c r="AI662" i="3" s="1"/>
  <c r="AI663" i="3" s="1"/>
  <c r="AI664" i="3" s="1"/>
  <c r="AI665" i="3" s="1"/>
  <c r="AI666" i="3" s="1"/>
  <c r="AI667" i="3" s="1"/>
  <c r="AI668" i="3" s="1"/>
  <c r="AI669" i="3" s="1"/>
  <c r="AI670" i="3" s="1"/>
  <c r="AI671" i="3" s="1"/>
  <c r="AI672" i="3" s="1"/>
  <c r="AI673" i="3" s="1"/>
  <c r="AI674" i="3" s="1"/>
  <c r="AI675" i="3" s="1"/>
  <c r="AI676" i="3" s="1"/>
  <c r="AI677" i="3" s="1"/>
  <c r="AI678" i="3" s="1"/>
  <c r="AI679" i="3" s="1"/>
  <c r="AI680" i="3" s="1"/>
  <c r="AI681" i="3" s="1"/>
  <c r="AI682" i="3" s="1"/>
  <c r="AI683" i="3" s="1"/>
  <c r="AI684" i="3" s="1"/>
  <c r="AI685" i="3" s="1"/>
  <c r="AI686" i="3" s="1"/>
  <c r="AI687" i="3" s="1"/>
  <c r="AI688" i="3" s="1"/>
  <c r="AI689" i="3" s="1"/>
  <c r="AI690" i="3" s="1"/>
  <c r="AI691" i="3" s="1"/>
  <c r="AI692" i="3" s="1"/>
  <c r="AI693" i="3" s="1"/>
  <c r="AI694" i="3" s="1"/>
  <c r="AI695" i="3" s="1"/>
  <c r="AI696" i="3" s="1"/>
  <c r="AI697" i="3" s="1"/>
  <c r="AI698" i="3" s="1"/>
  <c r="AI699" i="3" s="1"/>
  <c r="AI700" i="3" s="1"/>
  <c r="AI701" i="3" s="1"/>
  <c r="AI702" i="3" s="1"/>
  <c r="AI703" i="3" s="1"/>
  <c r="AI704" i="3" s="1"/>
  <c r="AI705" i="3" s="1"/>
  <c r="AI706" i="3" s="1"/>
  <c r="AI707" i="3" s="1"/>
  <c r="AI708" i="3" s="1"/>
  <c r="AI709" i="3" s="1"/>
  <c r="AI710" i="3" s="1"/>
  <c r="AI711" i="3" s="1"/>
  <c r="AI712" i="3" s="1"/>
  <c r="AI713" i="3" s="1"/>
  <c r="AI714" i="3" s="1"/>
  <c r="AI715" i="3" s="1"/>
  <c r="AI716" i="3" s="1"/>
  <c r="AI717" i="3" s="1"/>
  <c r="AI718" i="3" s="1"/>
  <c r="AI719" i="3" s="1"/>
  <c r="AI720" i="3" s="1"/>
  <c r="AI721" i="3" s="1"/>
  <c r="AI722" i="3" s="1"/>
  <c r="AI723" i="3" s="1"/>
  <c r="AI724" i="3" s="1"/>
  <c r="AI725" i="3" s="1"/>
  <c r="AI726" i="3" s="1"/>
  <c r="AI727" i="3" s="1"/>
  <c r="AI728" i="3" s="1"/>
  <c r="AI729" i="3" s="1"/>
  <c r="AI730" i="3" s="1"/>
  <c r="AI731" i="3" s="1"/>
  <c r="AI732" i="3" s="1"/>
  <c r="AI733" i="3" s="1"/>
  <c r="AI734" i="3" s="1"/>
  <c r="AI735" i="3" s="1"/>
  <c r="AI736" i="3" s="1"/>
  <c r="AI737" i="3" s="1"/>
  <c r="AI738" i="3" s="1"/>
  <c r="AI739" i="3" s="1"/>
  <c r="AI740" i="3" s="1"/>
  <c r="AI741" i="3" s="1"/>
  <c r="AI742" i="3" s="1"/>
  <c r="AI743" i="3" s="1"/>
  <c r="AI744" i="3" s="1"/>
  <c r="AI745" i="3" s="1"/>
  <c r="AI746" i="3" s="1"/>
  <c r="AI747" i="3" s="1"/>
  <c r="AI748" i="3" s="1"/>
  <c r="AI749" i="3" s="1"/>
  <c r="AI750" i="3" s="1"/>
  <c r="AI751" i="3" s="1"/>
  <c r="AI752" i="3" s="1"/>
  <c r="AI753" i="3" s="1"/>
  <c r="AI754" i="3" s="1"/>
  <c r="AI755" i="3" s="1"/>
  <c r="AI756" i="3" s="1"/>
  <c r="AI757" i="3" s="1"/>
  <c r="AI758" i="3" s="1"/>
  <c r="AI759" i="3" s="1"/>
  <c r="AI760" i="3" s="1"/>
  <c r="AI761" i="3" s="1"/>
  <c r="AI762" i="3" s="1"/>
  <c r="AI763" i="3" s="1"/>
  <c r="AI764" i="3" s="1"/>
  <c r="AI765" i="3" s="1"/>
  <c r="AI766" i="3" s="1"/>
  <c r="AI767" i="3" s="1"/>
  <c r="AI768" i="3" s="1"/>
  <c r="AI769" i="3" s="1"/>
  <c r="AI770" i="3" s="1"/>
  <c r="AI771" i="3" s="1"/>
  <c r="AI772" i="3" s="1"/>
  <c r="AI773" i="3" s="1"/>
  <c r="AI774" i="3" s="1"/>
  <c r="AI775" i="3" s="1"/>
  <c r="AI776" i="3" s="1"/>
  <c r="AI777" i="3" s="1"/>
  <c r="AI778" i="3" s="1"/>
  <c r="AI779" i="3" s="1"/>
  <c r="AI780" i="3" s="1"/>
  <c r="AI781" i="3" s="1"/>
  <c r="AI782" i="3" s="1"/>
  <c r="AI783" i="3" s="1"/>
  <c r="AI784" i="3" s="1"/>
  <c r="AI785" i="3" s="1"/>
  <c r="AI786" i="3" s="1"/>
  <c r="AI787" i="3" s="1"/>
  <c r="AI788" i="3" s="1"/>
  <c r="AI789" i="3" s="1"/>
  <c r="AI790" i="3" s="1"/>
  <c r="AI791" i="3" s="1"/>
  <c r="AI792" i="3" s="1"/>
  <c r="AI793" i="3" s="1"/>
  <c r="AI794" i="3" s="1"/>
  <c r="AI795" i="3" s="1"/>
  <c r="AI796" i="3" s="1"/>
  <c r="AI797" i="3" s="1"/>
  <c r="AI798" i="3" s="1"/>
  <c r="AI799" i="3" s="1"/>
  <c r="AI800" i="3" s="1"/>
  <c r="AI801" i="3" s="1"/>
  <c r="AI802" i="3" s="1"/>
  <c r="AI803" i="3" s="1"/>
  <c r="AI804" i="3" s="1"/>
  <c r="AI805" i="3" s="1"/>
  <c r="AI806" i="3" s="1"/>
  <c r="AI807" i="3" s="1"/>
  <c r="AI808" i="3" s="1"/>
  <c r="AI809" i="3" s="1"/>
  <c r="AI810" i="3" s="1"/>
  <c r="AI811" i="3" s="1"/>
  <c r="AI812" i="3" s="1"/>
  <c r="AI813" i="3" s="1"/>
  <c r="AI814" i="3" s="1"/>
  <c r="AI815" i="3" s="1"/>
  <c r="AI816" i="3" s="1"/>
  <c r="AI817" i="3" s="1"/>
  <c r="AI818" i="3" s="1"/>
  <c r="AI819" i="3" s="1"/>
  <c r="AI820" i="3" s="1"/>
  <c r="AI821" i="3" s="1"/>
  <c r="AI822" i="3" s="1"/>
  <c r="AI823" i="3" s="1"/>
  <c r="AI824" i="3" s="1"/>
  <c r="AI825" i="3" s="1"/>
  <c r="AI826" i="3" s="1"/>
  <c r="AI827" i="3" s="1"/>
  <c r="AI828" i="3" s="1"/>
  <c r="AI829" i="3" s="1"/>
  <c r="AI830" i="3" s="1"/>
  <c r="AI831" i="3" s="1"/>
  <c r="AI832" i="3" s="1"/>
  <c r="AI833" i="3" s="1"/>
  <c r="AI834" i="3" s="1"/>
  <c r="AI835" i="3" s="1"/>
  <c r="AI836" i="3" s="1"/>
  <c r="AI837" i="3" s="1"/>
  <c r="AI838" i="3" s="1"/>
  <c r="AI839" i="3" s="1"/>
  <c r="AI840" i="3" s="1"/>
  <c r="AI841" i="3" s="1"/>
  <c r="AI842" i="3" s="1"/>
  <c r="AI843" i="3" s="1"/>
  <c r="AI844" i="3" s="1"/>
  <c r="AI845" i="3" s="1"/>
  <c r="AI846" i="3" s="1"/>
  <c r="AI847" i="3" s="1"/>
  <c r="AI848" i="3" s="1"/>
  <c r="AI849" i="3" s="1"/>
  <c r="AI850" i="3" s="1"/>
  <c r="AI851" i="3" s="1"/>
  <c r="AI852" i="3" s="1"/>
  <c r="AI853" i="3" s="1"/>
  <c r="AI854" i="3" s="1"/>
  <c r="AI855" i="3" s="1"/>
  <c r="AI856" i="3" s="1"/>
  <c r="AI857" i="3" s="1"/>
  <c r="AI858" i="3" s="1"/>
  <c r="AI859" i="3" s="1"/>
  <c r="AI860" i="3" s="1"/>
  <c r="AI861" i="3" s="1"/>
  <c r="AI862" i="3" s="1"/>
  <c r="AI863" i="3" s="1"/>
  <c r="AI864" i="3" s="1"/>
  <c r="AI865" i="3" s="1"/>
  <c r="AI866" i="3" s="1"/>
  <c r="AI867" i="3" s="1"/>
  <c r="AI868" i="3" s="1"/>
  <c r="AI869" i="3" s="1"/>
  <c r="AI870" i="3" s="1"/>
  <c r="AI871" i="3" s="1"/>
  <c r="AI872" i="3" s="1"/>
  <c r="AI873" i="3" s="1"/>
  <c r="AI874" i="3" s="1"/>
  <c r="AI875" i="3" s="1"/>
  <c r="AI876" i="3" s="1"/>
  <c r="AI877" i="3" s="1"/>
  <c r="AI878" i="3" s="1"/>
  <c r="AI879" i="3" s="1"/>
  <c r="AI880" i="3" s="1"/>
  <c r="AI881" i="3" s="1"/>
  <c r="AI882" i="3" s="1"/>
  <c r="AI883" i="3" s="1"/>
  <c r="AI884" i="3" s="1"/>
  <c r="AI885" i="3" s="1"/>
  <c r="AI886" i="3" s="1"/>
  <c r="AI887" i="3" s="1"/>
  <c r="AI888" i="3" s="1"/>
  <c r="AI889" i="3" s="1"/>
  <c r="AI890" i="3" s="1"/>
  <c r="AI891" i="3" s="1"/>
  <c r="AI892" i="3" s="1"/>
  <c r="AI893" i="3" s="1"/>
  <c r="AI894" i="3" s="1"/>
  <c r="AI895" i="3" s="1"/>
  <c r="AI896" i="3" s="1"/>
  <c r="AI897" i="3" s="1"/>
  <c r="AI898" i="3" s="1"/>
  <c r="AI899" i="3" s="1"/>
  <c r="AI900" i="3" s="1"/>
  <c r="AI901" i="3" s="1"/>
  <c r="AI902" i="3" s="1"/>
  <c r="AI903" i="3" s="1"/>
  <c r="AI904" i="3" s="1"/>
  <c r="AI905" i="3" s="1"/>
  <c r="AI906" i="3" s="1"/>
  <c r="AI907" i="3" s="1"/>
  <c r="AI908" i="3" s="1"/>
  <c r="AI909" i="3" s="1"/>
  <c r="AI910" i="3" s="1"/>
  <c r="AI911" i="3" s="1"/>
  <c r="AI912" i="3" s="1"/>
  <c r="AI913" i="3" s="1"/>
  <c r="AI914" i="3" s="1"/>
  <c r="AI915" i="3" s="1"/>
  <c r="AI916" i="3" s="1"/>
  <c r="AI917" i="3" s="1"/>
  <c r="AI918" i="3" s="1"/>
  <c r="AI919" i="3" s="1"/>
  <c r="AI920" i="3" s="1"/>
  <c r="AI921" i="3" s="1"/>
  <c r="AI922" i="3" s="1"/>
  <c r="AI923" i="3" s="1"/>
  <c r="AI924" i="3" s="1"/>
  <c r="AI925" i="3" s="1"/>
  <c r="AI926" i="3" s="1"/>
  <c r="AI927" i="3" s="1"/>
  <c r="AI928" i="3" s="1"/>
  <c r="AI929" i="3" s="1"/>
  <c r="AI930" i="3" s="1"/>
  <c r="AI931" i="3" s="1"/>
  <c r="AI932" i="3" s="1"/>
  <c r="AI933" i="3" s="1"/>
  <c r="AI934" i="3" s="1"/>
  <c r="AI935" i="3" s="1"/>
  <c r="AI936" i="3" s="1"/>
  <c r="AI937" i="3" s="1"/>
  <c r="AI938" i="3" s="1"/>
  <c r="AI939" i="3" s="1"/>
  <c r="AI940" i="3" s="1"/>
  <c r="AI941" i="3" s="1"/>
  <c r="AI942" i="3" s="1"/>
  <c r="AI943" i="3" s="1"/>
  <c r="AI944" i="3" s="1"/>
  <c r="AI945" i="3" s="1"/>
  <c r="AI946" i="3" s="1"/>
  <c r="AI947" i="3" s="1"/>
  <c r="AI948" i="3" s="1"/>
  <c r="AI949" i="3" s="1"/>
  <c r="AI950" i="3" s="1"/>
  <c r="AI951" i="3" s="1"/>
  <c r="AI952" i="3" s="1"/>
  <c r="AI953" i="3" s="1"/>
  <c r="AI954" i="3" s="1"/>
  <c r="AI955" i="3" s="1"/>
  <c r="AI956" i="3" s="1"/>
  <c r="AI957" i="3" s="1"/>
  <c r="AI958" i="3" s="1"/>
  <c r="AI959" i="3" s="1"/>
  <c r="AI960" i="3" s="1"/>
  <c r="AI961" i="3" s="1"/>
  <c r="AI962" i="3" s="1"/>
  <c r="AI963" i="3" s="1"/>
  <c r="AI964" i="3" s="1"/>
  <c r="AI965" i="3" s="1"/>
  <c r="AI966" i="3" s="1"/>
  <c r="AI967" i="3" s="1"/>
  <c r="AI968" i="3" s="1"/>
  <c r="AI969" i="3" s="1"/>
  <c r="AI970" i="3" s="1"/>
  <c r="AI971" i="3" s="1"/>
  <c r="AI972" i="3" s="1"/>
  <c r="AI973" i="3" s="1"/>
  <c r="AI974" i="3" s="1"/>
  <c r="AI975" i="3" s="1"/>
  <c r="AI976" i="3" s="1"/>
  <c r="AI977" i="3" s="1"/>
  <c r="AI978" i="3" s="1"/>
  <c r="AI979" i="3" s="1"/>
  <c r="AI980" i="3" s="1"/>
  <c r="AI981" i="3" s="1"/>
  <c r="AI982" i="3" s="1"/>
  <c r="AI983" i="3" s="1"/>
  <c r="AI984" i="3" s="1"/>
  <c r="AI985" i="3" s="1"/>
  <c r="AI986" i="3" s="1"/>
  <c r="AI987" i="3" s="1"/>
  <c r="AI988" i="3" s="1"/>
  <c r="AI989" i="3" s="1"/>
  <c r="AI990" i="3" s="1"/>
  <c r="AI991" i="3" s="1"/>
  <c r="AI992" i="3" s="1"/>
  <c r="AI993" i="3" s="1"/>
  <c r="AI994" i="3" s="1"/>
  <c r="AI995" i="3" s="1"/>
  <c r="AI996" i="3" s="1"/>
  <c r="AI997" i="3" s="1"/>
  <c r="AI998" i="3" s="1"/>
  <c r="AI999" i="3" s="1"/>
  <c r="AI1000" i="3" s="1"/>
  <c r="AI1001" i="3" s="1"/>
  <c r="AI1002" i="3" s="1"/>
  <c r="AI1003" i="3" s="1"/>
  <c r="AI1004" i="3" s="1"/>
  <c r="AI1005" i="3" s="1"/>
  <c r="AI1006" i="3" s="1"/>
  <c r="AI1007" i="3" s="1"/>
  <c r="AI1008" i="3" s="1"/>
  <c r="AI1009" i="3" s="1"/>
  <c r="AI1010" i="3" s="1"/>
  <c r="AI1011" i="3" s="1"/>
  <c r="AI1012" i="3" s="1"/>
  <c r="AI1013" i="3" s="1"/>
  <c r="AI1014" i="3" s="1"/>
  <c r="AI1015" i="3" s="1"/>
  <c r="AI1016" i="3" s="1"/>
  <c r="AI1017" i="3" s="1"/>
  <c r="AI1018" i="3" s="1"/>
  <c r="AI1019" i="3" s="1"/>
  <c r="AI1020" i="3" s="1"/>
  <c r="AI1021" i="3" s="1"/>
  <c r="AI1022" i="3" s="1"/>
  <c r="AI1023" i="3" s="1"/>
  <c r="AI1024" i="3" s="1"/>
  <c r="AI1025" i="3" s="1"/>
  <c r="AI1026" i="3" s="1"/>
  <c r="AI1027" i="3" s="1"/>
  <c r="AI1028" i="3" s="1"/>
  <c r="AI1029" i="3" s="1"/>
  <c r="AI1030" i="3" s="1"/>
  <c r="AI1031" i="3" s="1"/>
  <c r="AI1032" i="3" s="1"/>
  <c r="AI1033" i="3" s="1"/>
  <c r="AI1034" i="3" s="1"/>
  <c r="AI1035" i="3" s="1"/>
  <c r="AI1036" i="3" s="1"/>
  <c r="AI1037" i="3" s="1"/>
  <c r="AI1038" i="3" s="1"/>
  <c r="AI1039" i="3" s="1"/>
  <c r="AI1040" i="3" s="1"/>
  <c r="AI1041" i="3" s="1"/>
  <c r="AI1042" i="3" s="1"/>
  <c r="AI1043" i="3" s="1"/>
  <c r="AI1044" i="3" s="1"/>
  <c r="AI1045" i="3" s="1"/>
  <c r="AI1046" i="3" s="1"/>
  <c r="AI1047" i="3" s="1"/>
  <c r="AI1048" i="3" s="1"/>
  <c r="AI1049" i="3" s="1"/>
  <c r="AI1050" i="3" s="1"/>
  <c r="AI1051" i="3" s="1"/>
  <c r="AI1052" i="3" s="1"/>
  <c r="AI1053" i="3" s="1"/>
  <c r="AI1054" i="3" s="1"/>
  <c r="AI1055" i="3" s="1"/>
  <c r="AI1056" i="3" s="1"/>
  <c r="AI1057" i="3" s="1"/>
  <c r="AI1058" i="3" s="1"/>
  <c r="AI1059" i="3" s="1"/>
  <c r="AI1060" i="3" s="1"/>
  <c r="AI1061" i="3" s="1"/>
  <c r="AI1062" i="3" s="1"/>
  <c r="AI1063" i="3" s="1"/>
  <c r="AI1064" i="3" s="1"/>
  <c r="AI1065" i="3" s="1"/>
  <c r="AI1066" i="3" s="1"/>
  <c r="AI1067" i="3" s="1"/>
  <c r="AI1068" i="3" s="1"/>
  <c r="AI1069" i="3" s="1"/>
  <c r="AI1070" i="3" s="1"/>
  <c r="AI1071" i="3" s="1"/>
  <c r="AI1072" i="3" s="1"/>
  <c r="AI1073" i="3" s="1"/>
  <c r="AI1074" i="3" s="1"/>
  <c r="AI1075" i="3" s="1"/>
  <c r="AI1076" i="3" s="1"/>
  <c r="AI1077" i="3" s="1"/>
  <c r="AI1078" i="3" s="1"/>
  <c r="AI1079" i="3" s="1"/>
  <c r="AI1080" i="3" s="1"/>
  <c r="AI1081" i="3" s="1"/>
  <c r="AI1082" i="3" s="1"/>
  <c r="AI1083" i="3" s="1"/>
  <c r="AI1084" i="3" s="1"/>
  <c r="AI1085" i="3" s="1"/>
  <c r="AI1086" i="3" s="1"/>
  <c r="AI1087" i="3" s="1"/>
  <c r="AI1088" i="3" s="1"/>
  <c r="AI1089" i="3" s="1"/>
  <c r="AI1090" i="3" s="1"/>
  <c r="AI1091" i="3" s="1"/>
  <c r="AI1092" i="3" s="1"/>
  <c r="AI1093" i="3" s="1"/>
  <c r="AI1094" i="3" s="1"/>
  <c r="AI1095" i="3" s="1"/>
  <c r="AI1096" i="3" s="1"/>
  <c r="AI1097" i="3" s="1"/>
  <c r="AI1098" i="3" s="1"/>
  <c r="AI1099" i="3" s="1"/>
  <c r="AI1100" i="3" s="1"/>
  <c r="AI1101" i="3" s="1"/>
  <c r="AI1102" i="3" s="1"/>
  <c r="AI1103" i="3" s="1"/>
  <c r="AI1104" i="3" s="1"/>
  <c r="AI1105" i="3" s="1"/>
  <c r="AI1106" i="3" s="1"/>
  <c r="AI1107" i="3" s="1"/>
  <c r="AI1108" i="3" s="1"/>
  <c r="AI1109" i="3" s="1"/>
  <c r="AI1110" i="3" s="1"/>
  <c r="AI1111" i="3" s="1"/>
  <c r="AI1112" i="3" s="1"/>
  <c r="AI1113" i="3" s="1"/>
  <c r="AI1114" i="3" s="1"/>
  <c r="AI1115" i="3" s="1"/>
  <c r="AI1116" i="3" s="1"/>
  <c r="AI1117" i="3" s="1"/>
  <c r="AI1118" i="3" s="1"/>
  <c r="AI1119" i="3" s="1"/>
  <c r="AI1120" i="3" s="1"/>
  <c r="AI1121" i="3" s="1"/>
  <c r="AI1122" i="3" s="1"/>
  <c r="AI1123" i="3" s="1"/>
  <c r="AI1124" i="3" s="1"/>
  <c r="AI1125" i="3" s="1"/>
  <c r="AI1126" i="3" s="1"/>
  <c r="AI1127" i="3" s="1"/>
  <c r="AI1128" i="3" s="1"/>
  <c r="AI1129" i="3" s="1"/>
  <c r="AI1130" i="3" s="1"/>
  <c r="AI1131" i="3" s="1"/>
  <c r="AI1132" i="3" s="1"/>
  <c r="AI1133" i="3" s="1"/>
  <c r="AI1134" i="3" s="1"/>
  <c r="AI1135" i="3" s="1"/>
  <c r="AI1136" i="3" s="1"/>
  <c r="AI1137" i="3" s="1"/>
  <c r="AI1138" i="3" s="1"/>
  <c r="AI1139" i="3" s="1"/>
  <c r="AI1140" i="3" s="1"/>
  <c r="AI1141" i="3" s="1"/>
  <c r="AI1142" i="3" s="1"/>
  <c r="AI1143" i="3" s="1"/>
  <c r="AI1144" i="3" s="1"/>
  <c r="AI1145" i="3" s="1"/>
  <c r="AI1146" i="3" s="1"/>
  <c r="AI1147" i="3" s="1"/>
  <c r="AI1148" i="3" s="1"/>
  <c r="AI1149" i="3" s="1"/>
  <c r="AI1150" i="3" s="1"/>
  <c r="AI1151" i="3" s="1"/>
  <c r="AI1152" i="3" s="1"/>
  <c r="AI1153" i="3" s="1"/>
  <c r="AI1154" i="3" s="1"/>
  <c r="AI1155" i="3" s="1"/>
  <c r="AI1156" i="3" s="1"/>
  <c r="AI1157" i="3" s="1"/>
  <c r="AI1158" i="3" s="1"/>
  <c r="AI1159" i="3" s="1"/>
  <c r="AI1160" i="3" s="1"/>
  <c r="AI1161" i="3" s="1"/>
  <c r="AI1162" i="3" s="1"/>
  <c r="AI1163" i="3" s="1"/>
  <c r="AI1164" i="3" s="1"/>
  <c r="AI1165" i="3" s="1"/>
  <c r="AI1166" i="3" s="1"/>
  <c r="AI1167" i="3" s="1"/>
  <c r="AI1168" i="3" s="1"/>
  <c r="AI1169" i="3" s="1"/>
  <c r="AI1170" i="3" s="1"/>
  <c r="AI1171" i="3" s="1"/>
  <c r="AI1172" i="3" s="1"/>
  <c r="AI1173" i="3" s="1"/>
  <c r="AI1174" i="3" s="1"/>
  <c r="AI1175" i="3" s="1"/>
  <c r="AI1176" i="3" s="1"/>
  <c r="AI1177" i="3" s="1"/>
  <c r="AI1178" i="3" s="1"/>
  <c r="AI1179" i="3" s="1"/>
  <c r="AI1180" i="3" s="1"/>
  <c r="AI1181" i="3" s="1"/>
  <c r="AI1182" i="3" s="1"/>
  <c r="AI1183" i="3" s="1"/>
  <c r="AI1184" i="3" s="1"/>
  <c r="AI1185" i="3" s="1"/>
  <c r="AI1186" i="3" s="1"/>
  <c r="AI1187" i="3" s="1"/>
  <c r="AI1188" i="3" s="1"/>
  <c r="AI1189" i="3" s="1"/>
  <c r="AI1190" i="3" s="1"/>
  <c r="AI1191" i="3" s="1"/>
  <c r="AI1192" i="3" s="1"/>
  <c r="AI1193" i="3" s="1"/>
  <c r="AI1194" i="3" s="1"/>
  <c r="AI1195" i="3" s="1"/>
  <c r="AI1196" i="3" s="1"/>
  <c r="AI1197" i="3" s="1"/>
  <c r="AI1198" i="3" s="1"/>
  <c r="AI1199" i="3" s="1"/>
  <c r="AI1200" i="3" s="1"/>
  <c r="AI1201" i="3" s="1"/>
  <c r="AI1202" i="3" s="1"/>
  <c r="AI1203" i="3" s="1"/>
  <c r="AI1204" i="3" s="1"/>
  <c r="AI1205" i="3" s="1"/>
  <c r="AI1206" i="3" s="1"/>
  <c r="AI1207" i="3" s="1"/>
  <c r="AI1208" i="3" s="1"/>
  <c r="AI1209" i="3" s="1"/>
  <c r="AI1210" i="3" s="1"/>
  <c r="AI1211" i="3" s="1"/>
  <c r="AI1212" i="3" s="1"/>
  <c r="AI1213" i="3" s="1"/>
  <c r="AI1214" i="3" s="1"/>
  <c r="AI1215" i="3" s="1"/>
  <c r="AI1216" i="3" s="1"/>
  <c r="AI1217" i="3" s="1"/>
  <c r="AI1218" i="3" s="1"/>
  <c r="AI1219" i="3" s="1"/>
  <c r="AI1220" i="3" s="1"/>
  <c r="AI1221" i="3" s="1"/>
  <c r="AI1222" i="3" s="1"/>
  <c r="AI1223" i="3" s="1"/>
  <c r="AI1224" i="3" s="1"/>
  <c r="AI1225" i="3" s="1"/>
  <c r="AI1226" i="3" s="1"/>
  <c r="AI1227" i="3" s="1"/>
  <c r="AI1228" i="3" s="1"/>
  <c r="AI1229" i="3" s="1"/>
  <c r="AI1230" i="3" s="1"/>
  <c r="AI1231" i="3" s="1"/>
  <c r="AI1232" i="3" s="1"/>
  <c r="AI1233" i="3" s="1"/>
  <c r="AI1234" i="3" s="1"/>
  <c r="AI1235" i="3" s="1"/>
  <c r="AI1236" i="3" s="1"/>
  <c r="AI1237" i="3" s="1"/>
  <c r="AI1238" i="3" s="1"/>
  <c r="AI1239" i="3" s="1"/>
  <c r="AI1240" i="3" s="1"/>
  <c r="AI1241" i="3" s="1"/>
  <c r="AI1242" i="3" s="1"/>
  <c r="AI1243" i="3" s="1"/>
  <c r="AI1244" i="3" s="1"/>
  <c r="AI1245" i="3" s="1"/>
  <c r="AI1246" i="3" s="1"/>
  <c r="AI1247" i="3" s="1"/>
  <c r="AI1248" i="3" s="1"/>
  <c r="AI1249" i="3" s="1"/>
  <c r="AI1250" i="3" s="1"/>
  <c r="AI1251" i="3" s="1"/>
  <c r="AI1252" i="3" s="1"/>
  <c r="AI1253" i="3" s="1"/>
  <c r="AI1254" i="3" s="1"/>
  <c r="AI1255" i="3" s="1"/>
  <c r="AI1256" i="3" s="1"/>
  <c r="AI1257" i="3" s="1"/>
  <c r="AI1258" i="3" s="1"/>
  <c r="AI1259" i="3" s="1"/>
  <c r="AI1260" i="3" s="1"/>
  <c r="AI1261" i="3" s="1"/>
  <c r="AI1262" i="3" s="1"/>
  <c r="AI1263" i="3" s="1"/>
  <c r="AI1264" i="3" s="1"/>
  <c r="AI1265" i="3" s="1"/>
  <c r="AI1266" i="3" s="1"/>
  <c r="AI1267" i="3" s="1"/>
  <c r="AI1268" i="3" s="1"/>
  <c r="AI1269" i="3" s="1"/>
  <c r="AI1270" i="3" s="1"/>
  <c r="AI1271" i="3" s="1"/>
  <c r="AI1272" i="3" s="1"/>
  <c r="AI1273" i="3" s="1"/>
  <c r="AI1274" i="3" s="1"/>
  <c r="AI1275" i="3" s="1"/>
  <c r="AI1276" i="3" s="1"/>
  <c r="AI1277" i="3" s="1"/>
  <c r="AI1278" i="3" s="1"/>
  <c r="AI1279" i="3" s="1"/>
  <c r="AI1280" i="3" s="1"/>
  <c r="AI1281" i="3" s="1"/>
  <c r="AI1282" i="3" s="1"/>
  <c r="AI1283" i="3" s="1"/>
  <c r="AI1284" i="3" s="1"/>
  <c r="AI1285" i="3" s="1"/>
  <c r="AI1286" i="3" s="1"/>
  <c r="AI1287" i="3" s="1"/>
  <c r="AI1288" i="3" s="1"/>
  <c r="AI1289" i="3" s="1"/>
  <c r="AI1290" i="3" s="1"/>
  <c r="AI1291" i="3" s="1"/>
  <c r="AI1292" i="3" s="1"/>
  <c r="AI1293" i="3" s="1"/>
  <c r="AI1294" i="3" s="1"/>
  <c r="AI1295" i="3" s="1"/>
  <c r="AI1296" i="3" s="1"/>
  <c r="AI1297" i="3" s="1"/>
  <c r="AI1298" i="3" s="1"/>
  <c r="AI1299" i="3" s="1"/>
  <c r="AI1300" i="3" s="1"/>
  <c r="AI1301" i="3" s="1"/>
  <c r="AI1302" i="3" s="1"/>
  <c r="AI1303" i="3" s="1"/>
  <c r="AI1304" i="3" s="1"/>
  <c r="AI1305" i="3" s="1"/>
  <c r="AI1306" i="3" s="1"/>
  <c r="AI1307" i="3" s="1"/>
  <c r="AI1308" i="3" s="1"/>
  <c r="AI1309" i="3" s="1"/>
  <c r="AI1310" i="3" s="1"/>
  <c r="AI1311" i="3" s="1"/>
  <c r="AI1312" i="3" s="1"/>
  <c r="AI1313" i="3" s="1"/>
  <c r="AI1314" i="3" s="1"/>
  <c r="AI1315" i="3" s="1"/>
  <c r="AI1316" i="3" s="1"/>
  <c r="AI1317" i="3" s="1"/>
  <c r="AI1318" i="3" s="1"/>
  <c r="AI1319" i="3" s="1"/>
  <c r="AI1320" i="3" s="1"/>
  <c r="AI1321" i="3" s="1"/>
  <c r="AI1322" i="3" s="1"/>
  <c r="AI1323" i="3" s="1"/>
  <c r="AI1324" i="3" s="1"/>
  <c r="AI1325" i="3" s="1"/>
  <c r="AI1326" i="3" s="1"/>
  <c r="AI1327" i="3" s="1"/>
  <c r="AI1328" i="3" s="1"/>
  <c r="AI1329" i="3" s="1"/>
  <c r="AI1330" i="3" s="1"/>
  <c r="AI1331" i="3" s="1"/>
  <c r="AI1332" i="3" s="1"/>
  <c r="AI1333" i="3" s="1"/>
  <c r="AI1334" i="3" s="1"/>
  <c r="AI1335" i="3" s="1"/>
  <c r="AI1336" i="3" s="1"/>
  <c r="AI1337" i="3" s="1"/>
  <c r="AI1338" i="3" s="1"/>
  <c r="AI1339" i="3" s="1"/>
  <c r="AI1340" i="3" s="1"/>
  <c r="AI1341" i="3" s="1"/>
  <c r="AI1342" i="3" s="1"/>
  <c r="AI1343" i="3" s="1"/>
  <c r="AI1344" i="3" s="1"/>
  <c r="AI1345" i="3" s="1"/>
  <c r="AI1346" i="3" s="1"/>
  <c r="AI1347" i="3" s="1"/>
  <c r="AI1348" i="3" s="1"/>
  <c r="AI1349" i="3" s="1"/>
  <c r="AI1350" i="3" s="1"/>
  <c r="AI1351" i="3" s="1"/>
  <c r="AI1352" i="3" s="1"/>
  <c r="AI1353" i="3" s="1"/>
  <c r="AI1354" i="3" s="1"/>
  <c r="AI1355" i="3" s="1"/>
  <c r="AI1356" i="3" s="1"/>
  <c r="AI1357" i="3" s="1"/>
  <c r="AI1358" i="3" s="1"/>
  <c r="AI1359" i="3" s="1"/>
  <c r="AI1360" i="3" s="1"/>
  <c r="AI1361" i="3" s="1"/>
  <c r="AI1362" i="3" s="1"/>
  <c r="AI1363" i="3" s="1"/>
  <c r="AI1364" i="3" s="1"/>
  <c r="AI1365" i="3" s="1"/>
  <c r="AI1366" i="3" s="1"/>
  <c r="AI1367" i="3" s="1"/>
  <c r="AI1368" i="3" s="1"/>
  <c r="AI1369" i="3" s="1"/>
  <c r="AI1370" i="3" s="1"/>
  <c r="AI1371" i="3" s="1"/>
  <c r="AI1372" i="3" s="1"/>
  <c r="AI1373" i="3" s="1"/>
  <c r="AI1374" i="3" s="1"/>
  <c r="AI1375" i="3" s="1"/>
  <c r="AI1376" i="3" s="1"/>
  <c r="AI1377" i="3" s="1"/>
  <c r="AI1378" i="3" s="1"/>
  <c r="AI1379" i="3" s="1"/>
  <c r="AI1380" i="3" s="1"/>
  <c r="AI1381" i="3" s="1"/>
  <c r="AI1382" i="3" s="1"/>
  <c r="AI1383" i="3" s="1"/>
  <c r="AI1384" i="3" s="1"/>
  <c r="AI1385" i="3" s="1"/>
  <c r="AI1386" i="3" s="1"/>
  <c r="AI1387" i="3" s="1"/>
  <c r="AI1388" i="3" s="1"/>
  <c r="AI1389" i="3" s="1"/>
  <c r="AI1390" i="3" s="1"/>
  <c r="AI1391" i="3" s="1"/>
  <c r="AI1392" i="3" s="1"/>
  <c r="AI1393" i="3" s="1"/>
  <c r="AI1394" i="3" s="1"/>
  <c r="AI1395" i="3" s="1"/>
  <c r="AI1396" i="3" s="1"/>
  <c r="AI1397" i="3" s="1"/>
  <c r="AI1398" i="3" s="1"/>
  <c r="AI1399" i="3" s="1"/>
  <c r="AI1400" i="3" s="1"/>
  <c r="AI1401" i="3" s="1"/>
  <c r="AI1402" i="3" s="1"/>
  <c r="AI1403" i="3" s="1"/>
  <c r="AI1404" i="3" s="1"/>
  <c r="AI1405" i="3" s="1"/>
  <c r="AI1406" i="3" s="1"/>
  <c r="AI1407" i="3" s="1"/>
  <c r="AI1408" i="3" s="1"/>
  <c r="AI1409" i="3" s="1"/>
  <c r="AI1410" i="3" s="1"/>
  <c r="AI1411" i="3" s="1"/>
  <c r="AI1412" i="3" s="1"/>
  <c r="AI1413" i="3" s="1"/>
  <c r="AI1414" i="3" s="1"/>
  <c r="AI1415" i="3" s="1"/>
  <c r="AI1416" i="3" s="1"/>
  <c r="AI1417" i="3" s="1"/>
  <c r="AI1418" i="3" s="1"/>
  <c r="AI1419" i="3" s="1"/>
  <c r="AI1420" i="3" s="1"/>
  <c r="AI1421" i="3" s="1"/>
  <c r="AI1422" i="3" s="1"/>
  <c r="AI1423" i="3" s="1"/>
  <c r="AI1424" i="3" s="1"/>
  <c r="AI1425" i="3" s="1"/>
  <c r="AI1426" i="3" s="1"/>
  <c r="AI1427" i="3" s="1"/>
  <c r="AI1428" i="3" s="1"/>
  <c r="AI1429" i="3" s="1"/>
  <c r="AI1430" i="3" s="1"/>
  <c r="AI1431" i="3" s="1"/>
  <c r="AI1432" i="3" s="1"/>
  <c r="AI1433" i="3" s="1"/>
  <c r="AI1434" i="3" s="1"/>
  <c r="AI1435" i="3" s="1"/>
  <c r="AI1436" i="3" s="1"/>
  <c r="AI1437" i="3" s="1"/>
  <c r="AI1438" i="3" s="1"/>
  <c r="AI1439" i="3" s="1"/>
  <c r="AG4" i="3" a="1"/>
  <c r="AG4" i="3" s="1"/>
  <c r="AG3" i="3" a="1"/>
  <c r="AG3" i="3" s="1"/>
  <c r="AV4" i="3"/>
  <c r="AV5" i="3"/>
  <c r="AV6" i="3"/>
  <c r="AV7" i="3"/>
  <c r="AV8" i="3"/>
  <c r="AV9" i="3"/>
  <c r="AV10" i="3"/>
  <c r="AV11" i="3"/>
  <c r="AV12" i="3"/>
  <c r="AV13" i="3"/>
  <c r="AV14" i="3"/>
  <c r="AV15" i="3"/>
  <c r="AV16" i="3"/>
  <c r="AV17" i="3"/>
  <c r="AV18" i="3"/>
  <c r="AV19" i="3"/>
  <c r="AV20" i="3"/>
  <c r="AV21" i="3"/>
  <c r="AV22" i="3"/>
  <c r="AV23" i="3"/>
  <c r="AV24" i="3"/>
  <c r="AV25" i="3"/>
  <c r="AV26" i="3"/>
  <c r="AV27" i="3"/>
  <c r="AV28" i="3"/>
  <c r="AV29" i="3"/>
  <c r="AV30" i="3"/>
  <c r="AV31" i="3"/>
  <c r="AV32" i="3"/>
  <c r="AV33" i="3"/>
  <c r="AV34" i="3"/>
  <c r="AV35" i="3"/>
  <c r="AV36" i="3"/>
  <c r="AV37" i="3"/>
  <c r="AV38" i="3"/>
  <c r="AV39" i="3"/>
  <c r="AV40" i="3"/>
  <c r="AV41" i="3"/>
  <c r="AV42" i="3"/>
  <c r="AV43" i="3"/>
  <c r="AV44" i="3"/>
  <c r="AV45" i="3"/>
  <c r="AV46" i="3"/>
  <c r="AV47" i="3"/>
  <c r="AV48" i="3"/>
  <c r="AV49" i="3"/>
  <c r="AV50" i="3"/>
  <c r="AV51" i="3"/>
  <c r="AV52" i="3"/>
  <c r="AV53" i="3"/>
  <c r="AV54" i="3"/>
  <c r="AV55" i="3"/>
  <c r="AV56" i="3"/>
  <c r="AV57" i="3"/>
  <c r="AV58" i="3"/>
  <c r="AV59" i="3"/>
  <c r="AV60" i="3"/>
  <c r="AV61" i="3"/>
  <c r="AV62" i="3"/>
  <c r="AV63" i="3"/>
  <c r="AV64" i="3"/>
  <c r="AV65" i="3"/>
  <c r="AV66" i="3"/>
  <c r="AV67" i="3"/>
  <c r="AV68" i="3"/>
  <c r="AV69" i="3"/>
  <c r="AV70" i="3"/>
  <c r="AV71" i="3"/>
  <c r="AV72" i="3"/>
  <c r="AV73" i="3"/>
  <c r="AV74" i="3"/>
  <c r="AV75" i="3"/>
  <c r="AV76" i="3"/>
  <c r="AV77" i="3"/>
  <c r="AV78" i="3"/>
  <c r="AV79" i="3"/>
  <c r="AV80" i="3"/>
  <c r="AV81" i="3"/>
  <c r="AV82" i="3"/>
  <c r="AV83" i="3"/>
  <c r="AV84" i="3"/>
  <c r="AV85" i="3"/>
  <c r="AV86" i="3"/>
  <c r="AV87" i="3"/>
  <c r="AV88" i="3"/>
  <c r="AV89" i="3"/>
  <c r="AV90" i="3"/>
  <c r="AV91" i="3"/>
  <c r="AV92" i="3"/>
  <c r="AV93" i="3"/>
  <c r="AV94" i="3"/>
  <c r="AV95" i="3"/>
  <c r="AV96" i="3"/>
  <c r="AV97" i="3"/>
  <c r="AV98" i="3"/>
  <c r="AV99" i="3"/>
  <c r="AV100" i="3"/>
  <c r="AV101" i="3"/>
  <c r="AV102" i="3"/>
  <c r="AV103" i="3"/>
  <c r="AV104" i="3"/>
  <c r="AV105" i="3"/>
  <c r="AV106" i="3"/>
  <c r="AV107" i="3"/>
  <c r="AV108" i="3"/>
  <c r="AV109" i="3"/>
  <c r="AV110" i="3"/>
  <c r="AV111" i="3"/>
  <c r="AV112" i="3"/>
  <c r="AV113" i="3"/>
  <c r="AV114" i="3"/>
  <c r="AV115" i="3"/>
  <c r="AV116" i="3"/>
  <c r="AV117" i="3"/>
  <c r="AV118" i="3"/>
  <c r="AV119" i="3"/>
  <c r="AV120" i="3"/>
  <c r="AV121" i="3"/>
  <c r="AV122" i="3"/>
  <c r="AV123" i="3"/>
  <c r="AV124" i="3"/>
  <c r="AV125" i="3"/>
  <c r="AV126" i="3"/>
  <c r="AV127" i="3"/>
  <c r="AV128" i="3"/>
  <c r="AV129" i="3"/>
  <c r="AV130" i="3"/>
  <c r="AV131" i="3"/>
  <c r="AV132" i="3"/>
  <c r="AV133" i="3"/>
  <c r="AV134" i="3"/>
  <c r="AV135" i="3"/>
  <c r="AV136" i="3"/>
  <c r="AV137" i="3"/>
  <c r="AV138" i="3"/>
  <c r="AV139" i="3"/>
  <c r="AV140" i="3"/>
  <c r="AV141" i="3"/>
  <c r="AV142" i="3"/>
  <c r="AV143" i="3"/>
  <c r="AV144" i="3"/>
  <c r="AV145" i="3"/>
  <c r="AV146" i="3"/>
  <c r="AV147" i="3"/>
  <c r="AV148" i="3"/>
  <c r="AV149" i="3"/>
  <c r="AV150" i="3"/>
  <c r="AV151" i="3"/>
  <c r="AV152" i="3"/>
  <c r="AV153" i="3"/>
  <c r="AV154" i="3"/>
  <c r="AV155" i="3"/>
  <c r="AV156" i="3"/>
  <c r="AV157" i="3"/>
  <c r="AV158" i="3"/>
  <c r="AV159" i="3"/>
  <c r="AV160" i="3"/>
  <c r="AV161" i="3"/>
  <c r="AV162" i="3"/>
  <c r="AV163" i="3"/>
  <c r="AV164" i="3"/>
  <c r="AV165" i="3"/>
  <c r="AV166" i="3"/>
  <c r="AV167" i="3"/>
  <c r="AV168" i="3"/>
  <c r="AV169" i="3"/>
  <c r="AV170" i="3"/>
  <c r="AV171" i="3"/>
  <c r="AV172" i="3"/>
  <c r="AV173" i="3"/>
  <c r="AV174" i="3"/>
  <c r="AV175" i="3"/>
  <c r="AV176" i="3"/>
  <c r="AV177" i="3"/>
  <c r="AV178" i="3"/>
  <c r="AV179" i="3"/>
  <c r="AV180" i="3"/>
  <c r="AV181" i="3"/>
  <c r="AV182" i="3"/>
  <c r="AV183" i="3"/>
  <c r="AV184" i="3"/>
  <c r="AV185" i="3"/>
  <c r="AV186" i="3"/>
  <c r="AV187" i="3"/>
  <c r="AV188" i="3"/>
  <c r="AV189" i="3"/>
  <c r="AV190" i="3"/>
  <c r="AV191" i="3"/>
  <c r="AV192" i="3"/>
  <c r="AV193" i="3"/>
  <c r="AV194" i="3"/>
  <c r="AV195" i="3"/>
  <c r="AV196" i="3"/>
  <c r="AV197" i="3"/>
  <c r="AV198" i="3"/>
  <c r="AV199" i="3"/>
  <c r="AV200" i="3"/>
  <c r="AV201" i="3"/>
  <c r="AV202" i="3"/>
  <c r="AV203" i="3"/>
  <c r="AV204" i="3"/>
  <c r="AV205" i="3"/>
  <c r="AV206" i="3"/>
  <c r="AV207" i="3"/>
  <c r="AV208" i="3"/>
  <c r="AV209" i="3"/>
  <c r="AV210" i="3"/>
  <c r="AV211" i="3"/>
  <c r="AV212" i="3"/>
  <c r="AV213" i="3"/>
  <c r="AV214" i="3"/>
  <c r="AV215" i="3"/>
  <c r="AV216" i="3"/>
  <c r="AV217" i="3"/>
  <c r="AV218" i="3"/>
  <c r="AV219" i="3"/>
  <c r="AV220" i="3"/>
  <c r="AV221" i="3"/>
  <c r="AV222" i="3"/>
  <c r="AV223" i="3"/>
  <c r="AV224" i="3"/>
  <c r="AV225" i="3"/>
  <c r="AV226" i="3"/>
  <c r="AV227" i="3"/>
  <c r="AV228" i="3"/>
  <c r="AV229" i="3"/>
  <c r="AV230" i="3"/>
  <c r="AV231" i="3"/>
  <c r="AV232" i="3"/>
  <c r="AV233" i="3"/>
  <c r="AV234" i="3"/>
  <c r="AV235" i="3"/>
  <c r="AV236" i="3"/>
  <c r="AV237" i="3"/>
  <c r="AV238" i="3"/>
  <c r="AV239" i="3"/>
  <c r="AV240" i="3"/>
  <c r="AV241" i="3"/>
  <c r="AV242" i="3"/>
  <c r="AV243" i="3"/>
  <c r="AV244" i="3"/>
  <c r="AV245" i="3"/>
  <c r="AV246" i="3"/>
  <c r="AV247" i="3"/>
  <c r="AV248" i="3"/>
  <c r="AV249" i="3"/>
  <c r="AV250" i="3"/>
  <c r="AV251" i="3"/>
  <c r="AV252" i="3"/>
  <c r="AV253" i="3"/>
  <c r="AV254" i="3"/>
  <c r="AV255" i="3"/>
  <c r="AV256" i="3"/>
  <c r="AV257" i="3"/>
  <c r="AV258" i="3"/>
  <c r="AV259" i="3"/>
  <c r="AV260" i="3"/>
  <c r="AV261" i="3"/>
  <c r="AV262" i="3"/>
  <c r="AV263" i="3"/>
  <c r="AV264" i="3"/>
  <c r="AV265" i="3"/>
  <c r="AV266" i="3"/>
  <c r="AV267" i="3"/>
  <c r="AV268" i="3"/>
  <c r="AV269" i="3"/>
  <c r="AV270" i="3"/>
  <c r="AV271" i="3"/>
  <c r="AV272" i="3"/>
  <c r="AV273" i="3"/>
  <c r="AV274" i="3"/>
  <c r="AV275" i="3"/>
  <c r="AV276" i="3"/>
  <c r="AV277" i="3"/>
  <c r="AV278" i="3"/>
  <c r="AV279" i="3"/>
  <c r="AV280" i="3"/>
  <c r="AV281" i="3"/>
  <c r="AV282" i="3"/>
  <c r="AV283" i="3"/>
  <c r="AV284" i="3"/>
  <c r="AV285" i="3"/>
  <c r="AV286" i="3"/>
  <c r="AV287" i="3"/>
  <c r="AV288" i="3"/>
  <c r="AV289" i="3"/>
  <c r="AV290" i="3"/>
  <c r="AV291" i="3"/>
  <c r="AV292" i="3"/>
  <c r="AV293" i="3"/>
  <c r="AV294" i="3"/>
  <c r="AV295" i="3"/>
  <c r="AV296" i="3"/>
  <c r="AV297" i="3"/>
  <c r="AV298" i="3"/>
  <c r="AV299" i="3"/>
  <c r="AV300" i="3"/>
  <c r="AV301" i="3"/>
  <c r="AV302" i="3"/>
  <c r="AV303" i="3"/>
  <c r="AV304" i="3"/>
  <c r="AV305" i="3"/>
  <c r="AV306" i="3"/>
  <c r="AV307" i="3"/>
  <c r="AV308" i="3"/>
  <c r="AV309" i="3"/>
  <c r="AV310" i="3"/>
  <c r="AV311" i="3"/>
  <c r="AV312" i="3"/>
  <c r="AV313" i="3"/>
  <c r="AV314" i="3"/>
  <c r="AV315" i="3"/>
  <c r="AV316" i="3"/>
  <c r="AV317" i="3"/>
  <c r="AV318" i="3"/>
  <c r="AV319" i="3"/>
  <c r="AV320" i="3"/>
  <c r="AV321" i="3"/>
  <c r="AV322" i="3"/>
  <c r="AV323" i="3"/>
  <c r="AV324" i="3"/>
  <c r="AV325" i="3"/>
  <c r="AV326" i="3"/>
  <c r="AV327" i="3"/>
  <c r="AV328" i="3"/>
  <c r="AV329" i="3"/>
  <c r="AV330" i="3"/>
  <c r="AV331" i="3"/>
  <c r="AV332" i="3"/>
  <c r="AV333" i="3"/>
  <c r="AV334" i="3"/>
  <c r="AV335" i="3"/>
  <c r="AV336" i="3"/>
  <c r="AV337" i="3"/>
  <c r="AV338" i="3"/>
  <c r="AV339" i="3"/>
  <c r="AV340" i="3"/>
  <c r="AV341" i="3"/>
  <c r="AV342" i="3"/>
  <c r="AV343" i="3"/>
  <c r="AV344" i="3"/>
  <c r="AV345" i="3"/>
  <c r="AV346" i="3"/>
  <c r="AV347" i="3"/>
  <c r="AV348" i="3"/>
  <c r="AV349" i="3"/>
  <c r="AV350" i="3"/>
  <c r="AV351" i="3"/>
  <c r="AV352" i="3"/>
  <c r="AV353" i="3"/>
  <c r="AV354" i="3"/>
  <c r="AV355" i="3"/>
  <c r="AV356" i="3"/>
  <c r="AV357" i="3"/>
  <c r="AV358" i="3"/>
  <c r="AV359" i="3"/>
  <c r="AV360" i="3"/>
  <c r="AV361" i="3"/>
  <c r="AV362" i="3"/>
  <c r="AV363" i="3"/>
  <c r="AV364" i="3"/>
  <c r="AV365" i="3"/>
  <c r="AV366" i="3"/>
  <c r="AV367" i="3"/>
  <c r="AV368" i="3"/>
  <c r="AV369" i="3"/>
  <c r="AV370" i="3"/>
  <c r="AV371" i="3"/>
  <c r="AV372" i="3"/>
  <c r="AV373" i="3"/>
  <c r="AV374" i="3"/>
  <c r="AV375" i="3"/>
  <c r="AV376" i="3"/>
  <c r="AV377" i="3"/>
  <c r="AV378" i="3"/>
  <c r="AV379" i="3"/>
  <c r="AV380" i="3"/>
  <c r="AV381" i="3"/>
  <c r="AV382" i="3"/>
  <c r="AV383" i="3"/>
  <c r="AV384" i="3"/>
  <c r="AV385" i="3"/>
  <c r="AV386" i="3"/>
  <c r="AV387" i="3"/>
  <c r="AV388" i="3"/>
  <c r="AV389" i="3"/>
  <c r="AV390" i="3"/>
  <c r="AV391" i="3"/>
  <c r="AV392" i="3"/>
  <c r="AV393" i="3"/>
  <c r="AV394" i="3"/>
  <c r="AV395" i="3"/>
  <c r="AV396" i="3"/>
  <c r="AV397" i="3"/>
  <c r="AV398" i="3"/>
  <c r="AV399" i="3"/>
  <c r="AV400" i="3"/>
  <c r="AV401" i="3"/>
  <c r="AV402" i="3"/>
  <c r="AV403" i="3"/>
  <c r="AV404" i="3"/>
  <c r="AV405" i="3"/>
  <c r="AV406" i="3"/>
  <c r="AV407" i="3"/>
  <c r="AV408" i="3"/>
  <c r="AV409" i="3"/>
  <c r="AV410" i="3"/>
  <c r="AV411" i="3"/>
  <c r="AV412" i="3"/>
  <c r="AV413" i="3"/>
  <c r="AV414" i="3"/>
  <c r="AV415" i="3"/>
  <c r="AV416" i="3"/>
  <c r="AV417" i="3"/>
  <c r="AV418" i="3"/>
  <c r="AV419" i="3"/>
  <c r="AV420" i="3"/>
  <c r="AV421" i="3"/>
  <c r="AV422" i="3"/>
  <c r="AV423" i="3"/>
  <c r="AV424" i="3"/>
  <c r="AV425" i="3"/>
  <c r="AV426" i="3"/>
  <c r="AV427" i="3"/>
  <c r="AV428" i="3"/>
  <c r="AV429" i="3"/>
  <c r="AV430" i="3"/>
  <c r="AV431" i="3"/>
  <c r="AV432" i="3"/>
  <c r="AV433" i="3"/>
  <c r="AV434" i="3"/>
  <c r="AV435" i="3"/>
  <c r="AV436" i="3"/>
  <c r="AV437" i="3"/>
  <c r="AV438" i="3"/>
  <c r="AV439" i="3"/>
  <c r="AV440" i="3"/>
  <c r="AV441" i="3"/>
  <c r="AV442" i="3"/>
  <c r="AV443" i="3"/>
  <c r="AV444" i="3"/>
  <c r="AV445" i="3"/>
  <c r="AV446" i="3"/>
  <c r="AV447" i="3"/>
  <c r="AV448" i="3"/>
  <c r="AV449" i="3"/>
  <c r="AV450" i="3"/>
  <c r="AV451" i="3"/>
  <c r="AV452" i="3"/>
  <c r="AV453" i="3"/>
  <c r="AV454" i="3"/>
  <c r="AV455" i="3"/>
  <c r="AV456" i="3"/>
  <c r="AV457" i="3"/>
  <c r="AV458" i="3"/>
  <c r="AV459" i="3"/>
  <c r="AV460" i="3"/>
  <c r="AV461" i="3"/>
  <c r="AV462" i="3"/>
  <c r="AV463" i="3"/>
  <c r="AV464" i="3"/>
  <c r="AV465" i="3"/>
  <c r="AV466" i="3"/>
  <c r="AV467" i="3"/>
  <c r="AV468" i="3"/>
  <c r="AV469" i="3"/>
  <c r="AV470" i="3"/>
  <c r="AV471" i="3"/>
  <c r="AV472" i="3"/>
  <c r="AV473" i="3"/>
  <c r="AV474" i="3"/>
  <c r="AV475" i="3"/>
  <c r="AV476" i="3"/>
  <c r="AV477" i="3"/>
  <c r="AV478" i="3"/>
  <c r="AV479" i="3"/>
  <c r="AV480" i="3"/>
  <c r="AV481" i="3"/>
  <c r="AV482" i="3"/>
  <c r="AV483" i="3"/>
  <c r="AV484" i="3"/>
  <c r="AV485" i="3"/>
  <c r="AV486" i="3"/>
  <c r="AV487" i="3"/>
  <c r="AV488" i="3"/>
  <c r="AV489" i="3"/>
  <c r="AV490" i="3"/>
  <c r="AV491" i="3"/>
  <c r="AV492" i="3"/>
  <c r="AV493" i="3"/>
  <c r="AV494" i="3"/>
  <c r="AV495" i="3"/>
  <c r="AV496" i="3"/>
  <c r="AV497" i="3"/>
  <c r="AV498" i="3"/>
  <c r="AV499" i="3"/>
  <c r="AV500" i="3"/>
  <c r="AV501" i="3"/>
  <c r="AV502" i="3"/>
  <c r="AV503" i="3"/>
  <c r="AV504" i="3"/>
  <c r="AV505" i="3"/>
  <c r="AV506" i="3"/>
  <c r="AV507" i="3"/>
  <c r="AV508" i="3"/>
  <c r="AV509" i="3"/>
  <c r="AV510" i="3"/>
  <c r="AV511" i="3"/>
  <c r="AV512" i="3"/>
  <c r="AV513" i="3"/>
  <c r="AV514" i="3"/>
  <c r="AV515" i="3"/>
  <c r="AV516" i="3"/>
  <c r="AV517" i="3"/>
  <c r="AV518" i="3"/>
  <c r="AV519" i="3"/>
  <c r="AV520" i="3"/>
  <c r="AV521" i="3"/>
  <c r="AV522" i="3"/>
  <c r="AV523" i="3"/>
  <c r="AV524" i="3"/>
  <c r="AV525" i="3"/>
  <c r="AV526" i="3"/>
  <c r="AV527" i="3"/>
  <c r="AV528" i="3"/>
  <c r="AV529" i="3"/>
  <c r="AV530" i="3"/>
  <c r="AV531" i="3"/>
  <c r="AV532" i="3"/>
  <c r="AV533" i="3"/>
  <c r="AV534" i="3"/>
  <c r="AV535" i="3"/>
  <c r="AV536" i="3"/>
  <c r="AV537" i="3"/>
  <c r="AV538" i="3"/>
  <c r="AV539" i="3"/>
  <c r="AV540" i="3"/>
  <c r="AV541" i="3"/>
  <c r="AV542" i="3"/>
  <c r="AV543" i="3"/>
  <c r="AV544" i="3"/>
  <c r="AV545" i="3"/>
  <c r="AV546" i="3"/>
  <c r="AV547" i="3"/>
  <c r="AV548" i="3"/>
  <c r="AV549" i="3"/>
  <c r="AV550" i="3"/>
  <c r="AV551" i="3"/>
  <c r="AV552" i="3"/>
  <c r="AV553" i="3"/>
  <c r="AV554" i="3"/>
  <c r="AV555" i="3"/>
  <c r="AV556" i="3"/>
  <c r="AV557" i="3"/>
  <c r="AV558" i="3"/>
  <c r="AV559" i="3"/>
  <c r="AV560" i="3"/>
  <c r="AV561" i="3"/>
  <c r="AV562" i="3"/>
  <c r="AV563" i="3"/>
  <c r="AV564" i="3"/>
  <c r="AV565" i="3"/>
  <c r="AV566" i="3"/>
  <c r="AV567" i="3"/>
  <c r="AV568" i="3"/>
  <c r="AV569" i="3"/>
  <c r="AV570" i="3"/>
  <c r="AV571" i="3"/>
  <c r="AV572" i="3"/>
  <c r="AV573" i="3"/>
  <c r="AV574" i="3"/>
  <c r="AV575" i="3"/>
  <c r="AV576" i="3"/>
  <c r="AV577" i="3"/>
  <c r="AV578" i="3"/>
  <c r="AV579" i="3"/>
  <c r="AV580" i="3"/>
  <c r="AV581" i="3"/>
  <c r="AV582" i="3"/>
  <c r="AV583" i="3"/>
  <c r="AV584" i="3"/>
  <c r="AV585" i="3"/>
  <c r="AV586" i="3"/>
  <c r="AV587" i="3"/>
  <c r="AV588" i="3"/>
  <c r="AV589" i="3"/>
  <c r="AV590" i="3"/>
  <c r="AV591" i="3"/>
  <c r="AV592" i="3"/>
  <c r="AV593" i="3"/>
  <c r="AV594" i="3"/>
  <c r="AV595" i="3"/>
  <c r="AV596" i="3"/>
  <c r="AV597" i="3"/>
  <c r="AV598" i="3"/>
  <c r="AV599" i="3"/>
  <c r="AV600" i="3"/>
  <c r="AV601" i="3"/>
  <c r="AV602" i="3"/>
  <c r="AV603" i="3"/>
  <c r="AV604" i="3"/>
  <c r="AV605" i="3"/>
  <c r="AV606" i="3"/>
  <c r="AV607" i="3"/>
  <c r="AV608" i="3"/>
  <c r="AV609" i="3"/>
  <c r="AV610" i="3"/>
  <c r="AV611" i="3"/>
  <c r="AV612" i="3"/>
  <c r="AV613" i="3"/>
  <c r="AV614" i="3"/>
  <c r="AV615" i="3"/>
  <c r="AV616" i="3"/>
  <c r="AV617" i="3"/>
  <c r="AV618" i="3"/>
  <c r="AV619" i="3"/>
  <c r="AV620" i="3"/>
  <c r="AV621" i="3"/>
  <c r="AV622" i="3"/>
  <c r="AV623" i="3"/>
  <c r="AV624" i="3"/>
  <c r="AV625" i="3"/>
  <c r="AV626" i="3"/>
  <c r="AV627" i="3"/>
  <c r="AV628" i="3"/>
  <c r="AV629" i="3"/>
  <c r="AV630" i="3"/>
  <c r="AV631" i="3"/>
  <c r="AV632" i="3"/>
  <c r="AV633" i="3"/>
  <c r="AV634" i="3"/>
  <c r="AV635" i="3"/>
  <c r="AV636" i="3"/>
  <c r="AV637" i="3"/>
  <c r="AV638" i="3"/>
  <c r="AV639" i="3"/>
  <c r="AV640" i="3"/>
  <c r="AV641" i="3"/>
  <c r="AV642" i="3"/>
  <c r="AV643" i="3"/>
  <c r="AV644" i="3"/>
  <c r="AV645" i="3"/>
  <c r="AV646" i="3"/>
  <c r="AV647" i="3"/>
  <c r="AV648" i="3"/>
  <c r="AV649" i="3"/>
  <c r="AV650" i="3"/>
  <c r="AV651" i="3"/>
  <c r="AV652" i="3"/>
  <c r="AV653" i="3"/>
  <c r="AV654" i="3"/>
  <c r="AV655" i="3"/>
  <c r="AV656" i="3"/>
  <c r="AV657" i="3"/>
  <c r="AV658" i="3"/>
  <c r="AV659" i="3"/>
  <c r="AV660" i="3"/>
  <c r="AV661" i="3"/>
  <c r="AV662" i="3"/>
  <c r="AV663" i="3"/>
  <c r="AV664" i="3"/>
  <c r="AV665" i="3"/>
  <c r="AV666" i="3"/>
  <c r="AV667" i="3"/>
  <c r="AV668" i="3"/>
  <c r="AV669" i="3"/>
  <c r="AV670" i="3"/>
  <c r="AV671" i="3"/>
  <c r="AV672" i="3"/>
  <c r="AV673" i="3"/>
  <c r="AV674" i="3"/>
  <c r="AV675" i="3"/>
  <c r="AV676" i="3"/>
  <c r="AV677" i="3"/>
  <c r="AV678" i="3"/>
  <c r="AV679" i="3"/>
  <c r="AV680" i="3"/>
  <c r="AV681" i="3"/>
  <c r="AV682" i="3"/>
  <c r="AV683" i="3"/>
  <c r="AV684" i="3"/>
  <c r="AV685" i="3"/>
  <c r="AV686" i="3"/>
  <c r="AV687" i="3"/>
  <c r="AV688" i="3"/>
  <c r="AV689" i="3"/>
  <c r="AV690" i="3"/>
  <c r="AV691" i="3"/>
  <c r="AV692" i="3"/>
  <c r="AV693" i="3"/>
  <c r="AV694" i="3"/>
  <c r="AV695" i="3"/>
  <c r="AV696" i="3"/>
  <c r="AV697" i="3"/>
  <c r="AV698" i="3"/>
  <c r="AV699" i="3"/>
  <c r="AV700" i="3"/>
  <c r="AV701" i="3"/>
  <c r="AV702" i="3"/>
  <c r="AV703" i="3"/>
  <c r="AV704" i="3"/>
  <c r="AV705" i="3"/>
  <c r="AV706" i="3"/>
  <c r="AV707" i="3"/>
  <c r="AV708" i="3"/>
  <c r="AV709" i="3"/>
  <c r="AV710" i="3"/>
  <c r="AV711" i="3"/>
  <c r="AV712" i="3"/>
  <c r="AV713" i="3"/>
  <c r="AV714" i="3"/>
  <c r="AV715" i="3"/>
  <c r="AV716" i="3"/>
  <c r="AV717" i="3"/>
  <c r="AV718" i="3"/>
  <c r="AV719" i="3"/>
  <c r="AV720" i="3"/>
  <c r="AV721" i="3"/>
  <c r="AV722" i="3"/>
  <c r="AV723" i="3"/>
  <c r="AV724" i="3"/>
  <c r="AV725" i="3"/>
  <c r="AV726" i="3"/>
  <c r="AV727" i="3"/>
  <c r="AV728" i="3"/>
  <c r="AV729" i="3"/>
  <c r="AV730" i="3"/>
  <c r="AV731" i="3"/>
  <c r="AV732" i="3"/>
  <c r="AV733" i="3"/>
  <c r="AV734" i="3"/>
  <c r="AV735" i="3"/>
  <c r="AV736" i="3"/>
  <c r="AV737" i="3"/>
  <c r="AV738" i="3"/>
  <c r="AV739" i="3"/>
  <c r="AV740" i="3"/>
  <c r="AV741" i="3"/>
  <c r="AV742" i="3"/>
  <c r="AV743" i="3"/>
  <c r="AV744" i="3"/>
  <c r="AV745" i="3"/>
  <c r="AV746" i="3"/>
  <c r="AV747" i="3"/>
  <c r="AV748" i="3"/>
  <c r="AV749" i="3"/>
  <c r="AV750" i="3"/>
  <c r="AV751" i="3"/>
  <c r="AV752" i="3"/>
  <c r="AV753" i="3"/>
  <c r="AV754" i="3"/>
  <c r="AV755" i="3"/>
  <c r="AV756" i="3"/>
  <c r="AV757" i="3"/>
  <c r="AV758" i="3"/>
  <c r="AV759" i="3"/>
  <c r="AV760" i="3"/>
  <c r="AV761" i="3"/>
  <c r="AV762" i="3"/>
  <c r="AV763" i="3"/>
  <c r="AV764" i="3"/>
  <c r="AV765" i="3"/>
  <c r="AV766" i="3"/>
  <c r="AV767" i="3"/>
  <c r="AV768" i="3"/>
  <c r="AV769" i="3"/>
  <c r="AV770" i="3"/>
  <c r="AV771" i="3"/>
  <c r="AV772" i="3"/>
  <c r="AV773" i="3"/>
  <c r="AV774" i="3"/>
  <c r="AV775" i="3"/>
  <c r="AV776" i="3"/>
  <c r="AV777" i="3"/>
  <c r="AV778" i="3"/>
  <c r="AV779" i="3"/>
  <c r="AV780" i="3"/>
  <c r="AV781" i="3"/>
  <c r="AV782" i="3"/>
  <c r="AV783" i="3"/>
  <c r="AV784" i="3"/>
  <c r="AV785" i="3"/>
  <c r="AV786" i="3"/>
  <c r="AV787" i="3"/>
  <c r="AV788" i="3"/>
  <c r="AV789" i="3"/>
  <c r="AV790" i="3"/>
  <c r="AV791" i="3"/>
  <c r="AV792" i="3"/>
  <c r="AV793" i="3"/>
  <c r="AV794" i="3"/>
  <c r="AV795" i="3"/>
  <c r="AV796" i="3"/>
  <c r="AV797" i="3"/>
  <c r="AV798" i="3"/>
  <c r="AV799" i="3"/>
  <c r="AV800" i="3"/>
  <c r="AV801" i="3"/>
  <c r="AV802" i="3"/>
  <c r="AV803" i="3"/>
  <c r="AV804" i="3"/>
  <c r="AV805" i="3"/>
  <c r="AV806" i="3"/>
  <c r="AV807" i="3"/>
  <c r="AV808" i="3"/>
  <c r="AV809" i="3"/>
  <c r="AV810" i="3"/>
  <c r="AV811" i="3"/>
  <c r="AV812" i="3"/>
  <c r="AV813" i="3"/>
  <c r="AV814" i="3"/>
  <c r="AV815" i="3"/>
  <c r="AV816" i="3"/>
  <c r="AV817" i="3"/>
  <c r="AV818" i="3"/>
  <c r="AV819" i="3"/>
  <c r="AV820" i="3"/>
  <c r="AV821" i="3"/>
  <c r="AV822" i="3"/>
  <c r="AV823" i="3"/>
  <c r="AV824" i="3"/>
  <c r="AV825" i="3"/>
  <c r="AV826" i="3"/>
  <c r="AV827" i="3"/>
  <c r="AV828" i="3"/>
  <c r="AV829" i="3"/>
  <c r="AV830" i="3"/>
  <c r="AV831" i="3"/>
  <c r="AV832" i="3"/>
  <c r="AV833" i="3"/>
  <c r="AV834" i="3"/>
  <c r="AV835" i="3"/>
  <c r="AV836" i="3"/>
  <c r="AV837" i="3"/>
  <c r="AV838" i="3"/>
  <c r="AV839" i="3"/>
  <c r="AV840" i="3"/>
  <c r="AV841" i="3"/>
  <c r="AV842" i="3"/>
  <c r="AV843" i="3"/>
  <c r="AV844" i="3"/>
  <c r="AV845" i="3"/>
  <c r="AV846" i="3"/>
  <c r="AV847" i="3"/>
  <c r="AV848" i="3"/>
  <c r="AV849" i="3"/>
  <c r="AV850" i="3"/>
  <c r="AV851" i="3"/>
  <c r="AV852" i="3"/>
  <c r="AV853" i="3"/>
  <c r="AV854" i="3"/>
  <c r="AV855" i="3"/>
  <c r="AV856" i="3"/>
  <c r="AV857" i="3"/>
  <c r="AV858" i="3"/>
  <c r="AV859" i="3"/>
  <c r="AV860" i="3"/>
  <c r="AV861" i="3"/>
  <c r="AV862" i="3"/>
  <c r="AV863" i="3"/>
  <c r="AV864" i="3"/>
  <c r="AV865" i="3"/>
  <c r="AV866" i="3"/>
  <c r="AV867" i="3"/>
  <c r="AV868" i="3"/>
  <c r="AV869" i="3"/>
  <c r="AV870" i="3"/>
  <c r="AV871" i="3"/>
  <c r="AV872" i="3"/>
  <c r="AV873" i="3"/>
  <c r="AV874" i="3"/>
  <c r="AV875" i="3"/>
  <c r="AV876" i="3"/>
  <c r="AV877" i="3"/>
  <c r="AV878" i="3"/>
  <c r="AV879" i="3"/>
  <c r="AV880" i="3"/>
  <c r="AV881" i="3"/>
  <c r="AV882" i="3"/>
  <c r="AV883" i="3"/>
  <c r="AV884" i="3"/>
  <c r="AV885" i="3"/>
  <c r="AV886" i="3"/>
  <c r="AV887" i="3"/>
  <c r="AV888" i="3"/>
  <c r="AV889" i="3"/>
  <c r="AV890" i="3"/>
  <c r="AV891" i="3"/>
  <c r="AV892" i="3"/>
  <c r="AV893" i="3"/>
  <c r="AV894" i="3"/>
  <c r="AV895" i="3"/>
  <c r="AV896" i="3"/>
  <c r="AV897" i="3"/>
  <c r="AV898" i="3"/>
  <c r="AV899" i="3"/>
  <c r="AV900" i="3"/>
  <c r="AV901" i="3"/>
  <c r="AV902" i="3"/>
  <c r="AV903" i="3"/>
  <c r="AV904" i="3"/>
  <c r="AV905" i="3"/>
  <c r="AV906" i="3"/>
  <c r="AV907" i="3"/>
  <c r="AV908" i="3"/>
  <c r="AV909" i="3"/>
  <c r="AV910" i="3"/>
  <c r="AV911" i="3"/>
  <c r="AV912" i="3"/>
  <c r="AV913" i="3"/>
  <c r="AV914" i="3"/>
  <c r="AV915" i="3"/>
  <c r="AV916" i="3"/>
  <c r="AV917" i="3"/>
  <c r="AV918" i="3"/>
  <c r="AV919" i="3"/>
  <c r="AV920" i="3"/>
  <c r="AV921" i="3"/>
  <c r="AV922" i="3"/>
  <c r="AV923" i="3"/>
  <c r="AV924" i="3"/>
  <c r="AV925" i="3"/>
  <c r="AV926" i="3"/>
  <c r="AV927" i="3"/>
  <c r="AV928" i="3"/>
  <c r="AV929" i="3"/>
  <c r="AV930" i="3"/>
  <c r="AV931" i="3"/>
  <c r="AV932" i="3"/>
  <c r="AV933" i="3"/>
  <c r="AV934" i="3"/>
  <c r="AV935" i="3"/>
  <c r="AV936" i="3"/>
  <c r="AV937" i="3"/>
  <c r="AV938" i="3"/>
  <c r="AV939" i="3"/>
  <c r="AV940" i="3"/>
  <c r="AV941" i="3"/>
  <c r="AV942" i="3"/>
  <c r="AV943" i="3"/>
  <c r="AV944" i="3"/>
  <c r="AV945" i="3"/>
  <c r="AV946" i="3"/>
  <c r="AV947" i="3"/>
  <c r="AV948" i="3"/>
  <c r="AV949" i="3"/>
  <c r="AV950" i="3"/>
  <c r="AV951" i="3"/>
  <c r="AV952" i="3"/>
  <c r="AV953" i="3"/>
  <c r="AV954" i="3"/>
  <c r="AV955" i="3"/>
  <c r="AV956" i="3"/>
  <c r="AV957" i="3"/>
  <c r="AV958" i="3"/>
  <c r="AV959" i="3"/>
  <c r="AV960" i="3"/>
  <c r="AV961" i="3"/>
  <c r="AV962" i="3"/>
  <c r="AV963" i="3"/>
  <c r="AV964" i="3"/>
  <c r="AV965" i="3"/>
  <c r="AV966" i="3"/>
  <c r="AV967" i="3"/>
  <c r="AV968" i="3"/>
  <c r="AV969" i="3"/>
  <c r="AV970" i="3"/>
  <c r="AV971" i="3"/>
  <c r="AV972" i="3"/>
  <c r="AV973" i="3"/>
  <c r="AV974" i="3"/>
  <c r="AV975" i="3"/>
  <c r="AV976" i="3"/>
  <c r="AV977" i="3"/>
  <c r="AV978" i="3"/>
  <c r="AV979" i="3"/>
  <c r="AV980" i="3"/>
  <c r="AV981" i="3"/>
  <c r="AV982" i="3"/>
  <c r="AV983" i="3"/>
  <c r="AV984" i="3"/>
  <c r="AV985" i="3"/>
  <c r="AV986" i="3"/>
  <c r="AV987" i="3"/>
  <c r="AV988" i="3"/>
  <c r="AV989" i="3"/>
  <c r="AV990" i="3"/>
  <c r="AV991" i="3"/>
  <c r="AV992" i="3"/>
  <c r="AV993" i="3"/>
  <c r="AV994" i="3"/>
  <c r="AV995" i="3"/>
  <c r="AV996" i="3"/>
  <c r="AV997" i="3"/>
  <c r="AV998" i="3"/>
  <c r="AV999" i="3"/>
  <c r="AV1000" i="3"/>
  <c r="AV1001" i="3"/>
  <c r="AV1002" i="3"/>
  <c r="AV1003" i="3"/>
  <c r="AV1004" i="3"/>
  <c r="AV1005" i="3"/>
  <c r="AV1006" i="3"/>
  <c r="AV1007" i="3"/>
  <c r="AV1008" i="3"/>
  <c r="AV1009" i="3"/>
  <c r="AV1010" i="3"/>
  <c r="AV1011" i="3"/>
  <c r="AV1012" i="3"/>
  <c r="AV1013" i="3"/>
  <c r="AV1014" i="3"/>
  <c r="AV1015" i="3"/>
  <c r="AV1016" i="3"/>
  <c r="AV1017" i="3"/>
  <c r="AV1018" i="3"/>
  <c r="AV1019" i="3"/>
  <c r="AV1020" i="3"/>
  <c r="AV1021" i="3"/>
  <c r="AV1022" i="3"/>
  <c r="AV1023" i="3"/>
  <c r="AV1024" i="3"/>
  <c r="AV1025" i="3"/>
  <c r="AV1026" i="3"/>
  <c r="AV1027" i="3"/>
  <c r="AV1028" i="3"/>
  <c r="AV1029" i="3"/>
  <c r="AV1030" i="3"/>
  <c r="AV1031" i="3"/>
  <c r="AV1032" i="3"/>
  <c r="AV1033" i="3"/>
  <c r="AV1034" i="3"/>
  <c r="AV1035" i="3"/>
  <c r="AV1036" i="3"/>
  <c r="AV1037" i="3"/>
  <c r="AV1038" i="3"/>
  <c r="AV1039" i="3"/>
  <c r="AV1040" i="3"/>
  <c r="AV1041" i="3"/>
  <c r="AV1042" i="3"/>
  <c r="AV1043" i="3"/>
  <c r="AV1044" i="3"/>
  <c r="AV1045" i="3"/>
  <c r="AV1046" i="3"/>
  <c r="AV1047" i="3"/>
  <c r="AV1048" i="3"/>
  <c r="AV1049" i="3"/>
  <c r="AV1050" i="3"/>
  <c r="AV1051" i="3"/>
  <c r="AV1052" i="3"/>
  <c r="AV1053" i="3"/>
  <c r="AV1054" i="3"/>
  <c r="AV1055" i="3"/>
  <c r="AV1056" i="3"/>
  <c r="AV1057" i="3"/>
  <c r="AV1058" i="3"/>
  <c r="AV1059" i="3"/>
  <c r="AV1060" i="3"/>
  <c r="AV1061" i="3"/>
  <c r="AV1062" i="3"/>
  <c r="AV1063" i="3"/>
  <c r="AV1064" i="3"/>
  <c r="AV1065" i="3"/>
  <c r="AV1066" i="3"/>
  <c r="AV1067" i="3"/>
  <c r="AV1068" i="3"/>
  <c r="AV1069" i="3"/>
  <c r="AV1070" i="3"/>
  <c r="AV1071" i="3"/>
  <c r="AV1072" i="3"/>
  <c r="AV1073" i="3"/>
  <c r="AV1074" i="3"/>
  <c r="AV1075" i="3"/>
  <c r="AV1076" i="3"/>
  <c r="AV1077" i="3"/>
  <c r="AV1078" i="3"/>
  <c r="AV1079" i="3"/>
  <c r="AV1080" i="3"/>
  <c r="AV1081" i="3"/>
  <c r="AV1082" i="3"/>
  <c r="AV1083" i="3"/>
  <c r="AV1084" i="3"/>
  <c r="AV1085" i="3"/>
  <c r="AV1086" i="3"/>
  <c r="AV1087" i="3"/>
  <c r="AV1088" i="3"/>
  <c r="AV1089" i="3"/>
  <c r="AV1090" i="3"/>
  <c r="AV1091" i="3"/>
  <c r="AV1092" i="3"/>
  <c r="AV1093" i="3"/>
  <c r="AV1094" i="3"/>
  <c r="AV1095" i="3"/>
  <c r="AV1096" i="3"/>
  <c r="AV1097" i="3"/>
  <c r="AV1098" i="3"/>
  <c r="AV1099" i="3"/>
  <c r="AV1100" i="3"/>
  <c r="AV1101" i="3"/>
  <c r="AV1102" i="3"/>
  <c r="AV1103" i="3"/>
  <c r="AV1104" i="3"/>
  <c r="AV1105" i="3"/>
  <c r="AV1106" i="3"/>
  <c r="AV1107" i="3"/>
  <c r="AV1108" i="3"/>
  <c r="AV1109" i="3"/>
  <c r="AV1110" i="3"/>
  <c r="AV1111" i="3"/>
  <c r="AV1112" i="3"/>
  <c r="AV1113" i="3"/>
  <c r="AV1114" i="3"/>
  <c r="AV1115" i="3"/>
  <c r="AV1116" i="3"/>
  <c r="AV1117" i="3"/>
  <c r="AV1118" i="3"/>
  <c r="AV1119" i="3"/>
  <c r="AV1120" i="3"/>
  <c r="AV1121" i="3"/>
  <c r="AV1122" i="3"/>
  <c r="AV1123" i="3"/>
  <c r="AV1124" i="3"/>
  <c r="AV1125" i="3"/>
  <c r="AV1126" i="3"/>
  <c r="AV1127" i="3"/>
  <c r="AV1128" i="3"/>
  <c r="AV1129" i="3"/>
  <c r="AV1130" i="3"/>
  <c r="AV1131" i="3"/>
  <c r="AV1132" i="3"/>
  <c r="AV1133" i="3"/>
  <c r="AV1134" i="3"/>
  <c r="AV1135" i="3"/>
  <c r="AV1136" i="3"/>
  <c r="AV1137" i="3"/>
  <c r="AV1138" i="3"/>
  <c r="AV1139" i="3"/>
  <c r="AV1140" i="3"/>
  <c r="AV1141" i="3"/>
  <c r="AV1142" i="3"/>
  <c r="AV1143" i="3"/>
  <c r="AV1144" i="3"/>
  <c r="AV1145" i="3"/>
  <c r="AV1146" i="3"/>
  <c r="AV1147" i="3"/>
  <c r="AV1148" i="3"/>
  <c r="AV1149" i="3"/>
  <c r="AV1150" i="3"/>
  <c r="AV1151" i="3"/>
  <c r="AV1152" i="3"/>
  <c r="AV1153" i="3"/>
  <c r="AV1154" i="3"/>
  <c r="AV1155" i="3"/>
  <c r="AV1156" i="3"/>
  <c r="AV1157" i="3"/>
  <c r="AV1158" i="3"/>
  <c r="AV1159" i="3"/>
  <c r="AV1160" i="3"/>
  <c r="AV1161" i="3"/>
  <c r="AV1162" i="3"/>
  <c r="AV1163" i="3"/>
  <c r="AV1164" i="3"/>
  <c r="AV1165" i="3"/>
  <c r="AV1166" i="3"/>
  <c r="AV1167" i="3"/>
  <c r="AV1168" i="3"/>
  <c r="AV1169" i="3"/>
  <c r="AV1170" i="3"/>
  <c r="AV1171" i="3"/>
  <c r="AV1172" i="3"/>
  <c r="AV1173" i="3"/>
  <c r="AV1174" i="3"/>
  <c r="AV1175" i="3"/>
  <c r="AV1176" i="3"/>
  <c r="AV1177" i="3"/>
  <c r="AV1178" i="3"/>
  <c r="AV1179" i="3"/>
  <c r="AV1180" i="3"/>
  <c r="AV1181" i="3"/>
  <c r="AV1182" i="3"/>
  <c r="AV1183" i="3"/>
  <c r="AV1184" i="3"/>
  <c r="AV1185" i="3"/>
  <c r="AV1186" i="3"/>
  <c r="AV1187" i="3"/>
  <c r="AV1188" i="3"/>
  <c r="AV1189" i="3"/>
  <c r="AV1190" i="3"/>
  <c r="AV1191" i="3"/>
  <c r="AV1192" i="3"/>
  <c r="AV1193" i="3"/>
  <c r="AV1194" i="3"/>
  <c r="AV1195" i="3"/>
  <c r="AV1196" i="3"/>
  <c r="AV1197" i="3"/>
  <c r="AV1198" i="3"/>
  <c r="AV1199" i="3"/>
  <c r="AV1200" i="3"/>
  <c r="AV1201" i="3"/>
  <c r="AV1202" i="3"/>
  <c r="AV1203" i="3"/>
  <c r="AV1204" i="3"/>
  <c r="AV1205" i="3"/>
  <c r="AV1206" i="3"/>
  <c r="AV1207" i="3"/>
  <c r="AV1208" i="3"/>
  <c r="AV1209" i="3"/>
  <c r="AV1210" i="3"/>
  <c r="AV1211" i="3"/>
  <c r="AV1212" i="3"/>
  <c r="AV1213" i="3"/>
  <c r="AV1214" i="3"/>
  <c r="AV1215" i="3"/>
  <c r="AV1216" i="3"/>
  <c r="AV1217" i="3"/>
  <c r="AV1218" i="3"/>
  <c r="AV1219" i="3"/>
  <c r="AV1220" i="3"/>
  <c r="AV1221" i="3"/>
  <c r="AV1222" i="3"/>
  <c r="AV1223" i="3"/>
  <c r="AV1224" i="3"/>
  <c r="AV1225" i="3"/>
  <c r="AV1226" i="3"/>
  <c r="AV1227" i="3"/>
  <c r="AV1228" i="3"/>
  <c r="AV1229" i="3"/>
  <c r="AV1230" i="3"/>
  <c r="AV1231" i="3"/>
  <c r="AV1232" i="3"/>
  <c r="AV1233" i="3"/>
  <c r="AV1234" i="3"/>
  <c r="AV1235" i="3"/>
  <c r="AV1236" i="3"/>
  <c r="AV1237" i="3"/>
  <c r="AV1238" i="3"/>
  <c r="AV1239" i="3"/>
  <c r="AV1240" i="3"/>
  <c r="AV1241" i="3"/>
  <c r="AV1242" i="3"/>
  <c r="AV1243" i="3"/>
  <c r="AV1244" i="3"/>
  <c r="AV1245" i="3"/>
  <c r="AV1246" i="3"/>
  <c r="AV1247" i="3"/>
  <c r="AV1248" i="3"/>
  <c r="AV1249" i="3"/>
  <c r="AV1250" i="3"/>
  <c r="AV1251" i="3"/>
  <c r="AV1252" i="3"/>
  <c r="AV1253" i="3"/>
  <c r="AV1254" i="3"/>
  <c r="AV1255" i="3"/>
  <c r="AV1256" i="3"/>
  <c r="AV1257" i="3"/>
  <c r="AV1258" i="3"/>
  <c r="AV1259" i="3"/>
  <c r="AV1260" i="3"/>
  <c r="AV1261" i="3"/>
  <c r="AV1262" i="3"/>
  <c r="AV1263" i="3"/>
  <c r="AV1264" i="3"/>
  <c r="AV1265" i="3"/>
  <c r="AV1266" i="3"/>
  <c r="AV1267" i="3"/>
  <c r="AV1268" i="3"/>
  <c r="AV1269" i="3"/>
  <c r="AV1270" i="3"/>
  <c r="AV1271" i="3"/>
  <c r="AV1272" i="3"/>
  <c r="AV1273" i="3"/>
  <c r="AV1274" i="3"/>
  <c r="AV1275" i="3"/>
  <c r="AV1276" i="3"/>
  <c r="AV1277" i="3"/>
  <c r="AV1278" i="3"/>
  <c r="AV1279" i="3"/>
  <c r="AV1280" i="3"/>
  <c r="AV1281" i="3"/>
  <c r="AV1282" i="3"/>
  <c r="AV1283" i="3"/>
  <c r="AV1284" i="3"/>
  <c r="AV1285" i="3"/>
  <c r="AV1286" i="3"/>
  <c r="AV1287" i="3"/>
  <c r="AV1288" i="3"/>
  <c r="AV1289" i="3"/>
  <c r="AV1290" i="3"/>
  <c r="AV1291" i="3"/>
  <c r="AV1292" i="3"/>
  <c r="AV1293" i="3"/>
  <c r="AV1294" i="3"/>
  <c r="AV1295" i="3"/>
  <c r="AV1296" i="3"/>
  <c r="AV1297" i="3"/>
  <c r="AV1298" i="3"/>
  <c r="AV1299" i="3"/>
  <c r="AV1300" i="3"/>
  <c r="AV1301" i="3"/>
  <c r="AV1302" i="3"/>
  <c r="AV1303" i="3"/>
  <c r="AV1304" i="3"/>
  <c r="AV1305" i="3"/>
  <c r="AV1306" i="3"/>
  <c r="AV1307" i="3"/>
  <c r="AV1308" i="3"/>
  <c r="AV1309" i="3"/>
  <c r="AV1310" i="3"/>
  <c r="AV1311" i="3"/>
  <c r="AV1312" i="3"/>
  <c r="AV1313" i="3"/>
  <c r="AV1314" i="3"/>
  <c r="AV1315" i="3"/>
  <c r="AV1316" i="3"/>
  <c r="AV1317" i="3"/>
  <c r="AV1318" i="3"/>
  <c r="AV1319" i="3"/>
  <c r="AV1320" i="3"/>
  <c r="AV1321" i="3"/>
  <c r="AV1322" i="3"/>
  <c r="AV1323" i="3"/>
  <c r="AV1324" i="3"/>
  <c r="AV1325" i="3"/>
  <c r="AV1326" i="3"/>
  <c r="AV1327" i="3"/>
  <c r="AV1328" i="3"/>
  <c r="AV1329" i="3"/>
  <c r="AV1330" i="3"/>
  <c r="AV1331" i="3"/>
  <c r="AV1332" i="3"/>
  <c r="AV1333" i="3"/>
  <c r="AV1334" i="3"/>
  <c r="AV1335" i="3"/>
  <c r="AV1336" i="3"/>
  <c r="AV1337" i="3"/>
  <c r="AV1338" i="3"/>
  <c r="AV1339" i="3"/>
  <c r="AV1340" i="3"/>
  <c r="AV1341" i="3"/>
  <c r="AV1342" i="3"/>
  <c r="AV1343" i="3"/>
  <c r="AV1344" i="3"/>
  <c r="AV1345" i="3"/>
  <c r="AV1346" i="3"/>
  <c r="AV1347" i="3"/>
  <c r="AV1348" i="3"/>
  <c r="AV1349" i="3"/>
  <c r="AV1350" i="3"/>
  <c r="AV1351" i="3"/>
  <c r="AV1352" i="3"/>
  <c r="AV1353" i="3"/>
  <c r="AV1354" i="3"/>
  <c r="AV1355" i="3"/>
  <c r="AV1356" i="3"/>
  <c r="AV1357" i="3"/>
  <c r="AV1358" i="3"/>
  <c r="AV1359" i="3"/>
  <c r="AV1360" i="3"/>
  <c r="AV1361" i="3"/>
  <c r="AV1362" i="3"/>
  <c r="AV1363" i="3"/>
  <c r="AV1364" i="3"/>
  <c r="AV1365" i="3"/>
  <c r="AV1366" i="3"/>
  <c r="AV1367" i="3"/>
  <c r="AV1368" i="3"/>
  <c r="AV1369" i="3"/>
  <c r="AV1370" i="3"/>
  <c r="AV1371" i="3"/>
  <c r="AV1372" i="3"/>
  <c r="AV1373" i="3"/>
  <c r="AV1374" i="3"/>
  <c r="AV1375" i="3"/>
  <c r="AV1376" i="3"/>
  <c r="AV1377" i="3"/>
  <c r="AV1378" i="3"/>
  <c r="AV1379" i="3"/>
  <c r="AV1380" i="3"/>
  <c r="AV1381" i="3"/>
  <c r="AV1382" i="3"/>
  <c r="AV1383" i="3"/>
  <c r="AV1384" i="3"/>
  <c r="AV1385" i="3"/>
  <c r="AV1386" i="3"/>
  <c r="AV1387" i="3"/>
  <c r="AV1388" i="3"/>
  <c r="AV1389" i="3"/>
  <c r="AV1390" i="3"/>
  <c r="AV1391" i="3"/>
  <c r="AV1392" i="3"/>
  <c r="AV1393" i="3"/>
  <c r="AV1394" i="3"/>
  <c r="AV1395" i="3"/>
  <c r="AV1396" i="3"/>
  <c r="AV1397" i="3"/>
  <c r="AV1398" i="3"/>
  <c r="AV1399" i="3"/>
  <c r="AV1400" i="3"/>
  <c r="AV1401" i="3"/>
  <c r="AV1402" i="3"/>
  <c r="AV1403" i="3"/>
  <c r="AV1404" i="3"/>
  <c r="AV1405" i="3"/>
  <c r="AV1406" i="3"/>
  <c r="AV1407" i="3"/>
  <c r="AV1408" i="3"/>
  <c r="AV1409" i="3"/>
  <c r="AV1410" i="3"/>
  <c r="AV1411" i="3"/>
  <c r="AV1412" i="3"/>
  <c r="AV1413" i="3"/>
  <c r="AV1414" i="3"/>
  <c r="AV1415" i="3"/>
  <c r="AV1416" i="3"/>
  <c r="AV1417" i="3"/>
  <c r="AV1418" i="3"/>
  <c r="AV1419" i="3"/>
  <c r="AV1420" i="3"/>
  <c r="AV1421" i="3"/>
  <c r="AV1422" i="3"/>
  <c r="AV1423" i="3"/>
  <c r="AV1424" i="3"/>
  <c r="AV1425" i="3"/>
  <c r="AV1426" i="3"/>
  <c r="AV1427" i="3"/>
  <c r="AV1428" i="3"/>
  <c r="AV1429" i="3"/>
  <c r="AV1430" i="3"/>
  <c r="AV1431" i="3"/>
  <c r="AV1432" i="3"/>
  <c r="AV1433" i="3"/>
  <c r="AV1434" i="3"/>
  <c r="AV1435" i="3"/>
  <c r="AV1436" i="3"/>
  <c r="AV1437" i="3"/>
  <c r="AV1438" i="3"/>
  <c r="AV1439" i="3"/>
  <c r="AV3" i="3"/>
  <c r="AU4" i="3"/>
  <c r="AU5" i="3"/>
  <c r="AU6" i="3"/>
  <c r="AU7" i="3"/>
  <c r="AU8" i="3"/>
  <c r="AU9" i="3"/>
  <c r="AU10" i="3"/>
  <c r="AU11" i="3"/>
  <c r="AU12" i="3"/>
  <c r="AU13" i="3"/>
  <c r="AU14" i="3"/>
  <c r="AU15" i="3"/>
  <c r="AU16" i="3"/>
  <c r="AU17" i="3"/>
  <c r="AU18" i="3"/>
  <c r="AU19" i="3"/>
  <c r="AU20" i="3"/>
  <c r="AU21" i="3"/>
  <c r="AU22" i="3"/>
  <c r="AU23" i="3"/>
  <c r="AU24" i="3"/>
  <c r="AU25" i="3"/>
  <c r="AU26" i="3"/>
  <c r="AU27" i="3"/>
  <c r="AU28" i="3"/>
  <c r="AU29" i="3"/>
  <c r="AU30" i="3"/>
  <c r="AU31" i="3"/>
  <c r="AU32" i="3"/>
  <c r="AU33" i="3"/>
  <c r="AU34" i="3"/>
  <c r="AU35" i="3"/>
  <c r="AU36" i="3"/>
  <c r="AU37" i="3"/>
  <c r="AU38" i="3"/>
  <c r="AU39" i="3"/>
  <c r="AU40" i="3"/>
  <c r="AU41" i="3"/>
  <c r="AU42" i="3"/>
  <c r="AU43" i="3"/>
  <c r="AU44" i="3"/>
  <c r="AU45" i="3"/>
  <c r="AU46" i="3"/>
  <c r="AU47" i="3"/>
  <c r="AU48" i="3"/>
  <c r="AU49" i="3"/>
  <c r="AU50" i="3"/>
  <c r="AU51" i="3"/>
  <c r="AU52" i="3"/>
  <c r="AU53" i="3"/>
  <c r="AU54" i="3"/>
  <c r="AU55" i="3"/>
  <c r="AU56" i="3"/>
  <c r="AU57" i="3"/>
  <c r="AU58" i="3"/>
  <c r="AU59" i="3"/>
  <c r="AU60" i="3"/>
  <c r="AU61" i="3"/>
  <c r="AU62" i="3"/>
  <c r="AU63" i="3"/>
  <c r="AU64" i="3"/>
  <c r="AU65" i="3"/>
  <c r="AU66" i="3"/>
  <c r="AU67" i="3"/>
  <c r="AU68" i="3"/>
  <c r="AU69" i="3"/>
  <c r="AU70" i="3"/>
  <c r="AU71" i="3"/>
  <c r="AU72" i="3"/>
  <c r="AU73" i="3"/>
  <c r="AU74" i="3"/>
  <c r="AU75" i="3"/>
  <c r="AU76" i="3"/>
  <c r="AU77" i="3"/>
  <c r="AU78" i="3"/>
  <c r="AU79" i="3"/>
  <c r="AU80" i="3"/>
  <c r="AU81" i="3"/>
  <c r="AU82" i="3"/>
  <c r="AU83" i="3"/>
  <c r="AU84" i="3"/>
  <c r="AU85" i="3"/>
  <c r="AU86" i="3"/>
  <c r="AU87" i="3"/>
  <c r="AU88" i="3"/>
  <c r="AU89" i="3"/>
  <c r="AU90" i="3"/>
  <c r="AU91" i="3"/>
  <c r="AU92" i="3"/>
  <c r="AU93" i="3"/>
  <c r="AU94" i="3"/>
  <c r="AU95" i="3"/>
  <c r="AU96" i="3"/>
  <c r="AU97" i="3"/>
  <c r="AU98" i="3"/>
  <c r="AU99" i="3"/>
  <c r="AU100" i="3"/>
  <c r="AU101" i="3"/>
  <c r="AU102" i="3"/>
  <c r="AU103" i="3"/>
  <c r="AU104" i="3"/>
  <c r="AU105" i="3"/>
  <c r="AU106" i="3"/>
  <c r="AU107" i="3"/>
  <c r="AU108" i="3"/>
  <c r="AU109" i="3"/>
  <c r="AU110" i="3"/>
  <c r="AU111" i="3"/>
  <c r="AU112" i="3"/>
  <c r="AU113" i="3"/>
  <c r="AU114" i="3"/>
  <c r="AU115" i="3"/>
  <c r="AU116" i="3"/>
  <c r="AU117" i="3"/>
  <c r="AU118" i="3"/>
  <c r="AU119" i="3"/>
  <c r="AU120" i="3"/>
  <c r="AU121" i="3"/>
  <c r="AU122" i="3"/>
  <c r="AU123" i="3"/>
  <c r="AU124" i="3"/>
  <c r="AU125" i="3"/>
  <c r="AU126" i="3"/>
  <c r="AU127" i="3"/>
  <c r="AU128" i="3"/>
  <c r="AU129" i="3"/>
  <c r="AU130" i="3"/>
  <c r="AU131" i="3"/>
  <c r="AU132" i="3"/>
  <c r="AU133" i="3"/>
  <c r="AU134" i="3"/>
  <c r="AU135" i="3"/>
  <c r="AU136" i="3"/>
  <c r="AU137" i="3"/>
  <c r="AU138" i="3"/>
  <c r="AU139" i="3"/>
  <c r="AU140" i="3"/>
  <c r="AU141" i="3"/>
  <c r="AU142" i="3"/>
  <c r="AU143" i="3"/>
  <c r="AU144" i="3"/>
  <c r="AU145" i="3"/>
  <c r="AU146" i="3"/>
  <c r="AU147" i="3"/>
  <c r="AU148" i="3"/>
  <c r="AU149" i="3"/>
  <c r="AU150" i="3"/>
  <c r="AU151" i="3"/>
  <c r="AU152" i="3"/>
  <c r="AU153" i="3"/>
  <c r="AU154" i="3"/>
  <c r="AU155" i="3"/>
  <c r="AU156" i="3"/>
  <c r="AU157" i="3"/>
  <c r="AU158" i="3"/>
  <c r="AU159" i="3"/>
  <c r="AU160" i="3"/>
  <c r="AU161" i="3"/>
  <c r="AU162" i="3"/>
  <c r="AU163" i="3"/>
  <c r="AU164" i="3"/>
  <c r="AU165" i="3"/>
  <c r="AU166" i="3"/>
  <c r="AU167" i="3"/>
  <c r="AU168" i="3"/>
  <c r="AU169" i="3"/>
  <c r="AU170" i="3"/>
  <c r="AU171" i="3"/>
  <c r="AU172" i="3"/>
  <c r="AU173" i="3"/>
  <c r="AU174" i="3"/>
  <c r="AU175" i="3"/>
  <c r="AU176" i="3"/>
  <c r="AU177" i="3"/>
  <c r="AU178" i="3"/>
  <c r="AU179" i="3"/>
  <c r="AU180" i="3"/>
  <c r="AU181" i="3"/>
  <c r="AU182" i="3"/>
  <c r="AU183" i="3"/>
  <c r="AU184" i="3"/>
  <c r="AU185" i="3"/>
  <c r="AU186" i="3"/>
  <c r="AU187" i="3"/>
  <c r="AU188" i="3"/>
  <c r="AU189" i="3"/>
  <c r="AU190" i="3"/>
  <c r="AU191" i="3"/>
  <c r="AU192" i="3"/>
  <c r="AU193" i="3"/>
  <c r="AU194" i="3"/>
  <c r="AU195" i="3"/>
  <c r="AU196" i="3"/>
  <c r="AU197" i="3"/>
  <c r="AU198" i="3"/>
  <c r="AU199" i="3"/>
  <c r="AU200" i="3"/>
  <c r="AU201" i="3"/>
  <c r="AU202" i="3"/>
  <c r="AU203" i="3"/>
  <c r="AU204" i="3"/>
  <c r="AU205" i="3"/>
  <c r="AU206" i="3"/>
  <c r="AU207" i="3"/>
  <c r="AU208" i="3"/>
  <c r="AU209" i="3"/>
  <c r="AU210" i="3"/>
  <c r="AU211" i="3"/>
  <c r="AU212" i="3"/>
  <c r="AU213" i="3"/>
  <c r="AU214" i="3"/>
  <c r="AU215" i="3"/>
  <c r="AU216" i="3"/>
  <c r="AU217" i="3"/>
  <c r="AU218" i="3"/>
  <c r="AU219" i="3"/>
  <c r="AU220" i="3"/>
  <c r="AU221" i="3"/>
  <c r="AU222" i="3"/>
  <c r="AU223" i="3"/>
  <c r="AU224" i="3"/>
  <c r="AU225" i="3"/>
  <c r="AU226" i="3"/>
  <c r="AU227" i="3"/>
  <c r="AU228" i="3"/>
  <c r="AU229" i="3"/>
  <c r="AU230" i="3"/>
  <c r="AU231" i="3"/>
  <c r="AU232" i="3"/>
  <c r="AU233" i="3"/>
  <c r="AU234" i="3"/>
  <c r="AU235" i="3"/>
  <c r="AU236" i="3"/>
  <c r="AU237" i="3"/>
  <c r="AU238" i="3"/>
  <c r="AU239" i="3"/>
  <c r="AU240" i="3"/>
  <c r="AU241" i="3"/>
  <c r="AU242" i="3"/>
  <c r="AU243" i="3"/>
  <c r="AU244" i="3"/>
  <c r="AU245" i="3"/>
  <c r="AU246" i="3"/>
  <c r="AU247" i="3"/>
  <c r="AU248" i="3"/>
  <c r="AU249" i="3"/>
  <c r="AU250" i="3"/>
  <c r="AU251" i="3"/>
  <c r="AU252" i="3"/>
  <c r="AU253" i="3"/>
  <c r="AU254" i="3"/>
  <c r="AU255" i="3"/>
  <c r="AU256" i="3"/>
  <c r="AU257" i="3"/>
  <c r="AU258" i="3"/>
  <c r="AU259" i="3"/>
  <c r="AU260" i="3"/>
  <c r="AU261" i="3"/>
  <c r="AU262" i="3"/>
  <c r="AU263" i="3"/>
  <c r="AU264" i="3"/>
  <c r="AU265" i="3"/>
  <c r="AU266" i="3"/>
  <c r="AU267" i="3"/>
  <c r="AU268" i="3"/>
  <c r="AU269" i="3"/>
  <c r="AU270" i="3"/>
  <c r="AU271" i="3"/>
  <c r="AU272" i="3"/>
  <c r="AU273" i="3"/>
  <c r="AU274" i="3"/>
  <c r="AU275" i="3"/>
  <c r="AU276" i="3"/>
  <c r="AU277" i="3"/>
  <c r="AU278" i="3"/>
  <c r="AU279" i="3"/>
  <c r="AU280" i="3"/>
  <c r="AU281" i="3"/>
  <c r="AU282" i="3"/>
  <c r="AU283" i="3"/>
  <c r="AU284" i="3"/>
  <c r="AU285" i="3"/>
  <c r="AU286" i="3"/>
  <c r="AU287" i="3"/>
  <c r="AU288" i="3"/>
  <c r="AU289" i="3"/>
  <c r="AU290" i="3"/>
  <c r="AU291" i="3"/>
  <c r="AU292" i="3"/>
  <c r="AU293" i="3"/>
  <c r="AU294" i="3"/>
  <c r="AU295" i="3"/>
  <c r="AU296" i="3"/>
  <c r="AU297" i="3"/>
  <c r="AU298" i="3"/>
  <c r="AU299" i="3"/>
  <c r="AU300" i="3"/>
  <c r="AU301" i="3"/>
  <c r="AU302" i="3"/>
  <c r="AU303" i="3"/>
  <c r="AU304" i="3"/>
  <c r="AU305" i="3"/>
  <c r="AU306" i="3"/>
  <c r="AU307" i="3"/>
  <c r="AU308" i="3"/>
  <c r="AU309" i="3"/>
  <c r="AU310" i="3"/>
  <c r="AU311" i="3"/>
  <c r="AU312" i="3"/>
  <c r="AU313" i="3"/>
  <c r="AU314" i="3"/>
  <c r="AU315" i="3"/>
  <c r="AU316" i="3"/>
  <c r="AU317" i="3"/>
  <c r="AU318" i="3"/>
  <c r="AU319" i="3"/>
  <c r="AU320" i="3"/>
  <c r="AU321" i="3"/>
  <c r="AU322" i="3"/>
  <c r="AU323" i="3"/>
  <c r="AU324" i="3"/>
  <c r="AU325" i="3"/>
  <c r="AU326" i="3"/>
  <c r="AU327" i="3"/>
  <c r="AU328" i="3"/>
  <c r="AU329" i="3"/>
  <c r="AU330" i="3"/>
  <c r="AU331" i="3"/>
  <c r="AU332" i="3"/>
  <c r="AU333" i="3"/>
  <c r="AU334" i="3"/>
  <c r="AU335" i="3"/>
  <c r="AU336" i="3"/>
  <c r="AU337" i="3"/>
  <c r="AU338" i="3"/>
  <c r="AU339" i="3"/>
  <c r="AU340" i="3"/>
  <c r="AU341" i="3"/>
  <c r="AU342" i="3"/>
  <c r="AU343" i="3"/>
  <c r="AU344" i="3"/>
  <c r="AU345" i="3"/>
  <c r="AU346" i="3"/>
  <c r="AU347" i="3"/>
  <c r="AU348" i="3"/>
  <c r="AU349" i="3"/>
  <c r="AU350" i="3"/>
  <c r="AU351" i="3"/>
  <c r="AU352" i="3"/>
  <c r="AU353" i="3"/>
  <c r="AU354" i="3"/>
  <c r="AU355" i="3"/>
  <c r="AU356" i="3"/>
  <c r="AU357" i="3"/>
  <c r="AU358" i="3"/>
  <c r="AU359" i="3"/>
  <c r="AU360" i="3"/>
  <c r="AU361" i="3"/>
  <c r="AU362" i="3"/>
  <c r="AU363" i="3"/>
  <c r="AU364" i="3"/>
  <c r="AU365" i="3"/>
  <c r="AU366" i="3"/>
  <c r="AU367" i="3"/>
  <c r="AU368" i="3"/>
  <c r="AU369" i="3"/>
  <c r="AU370" i="3"/>
  <c r="AU371" i="3"/>
  <c r="AU372" i="3"/>
  <c r="AU373" i="3"/>
  <c r="AU374" i="3"/>
  <c r="AU375" i="3"/>
  <c r="AU376" i="3"/>
  <c r="AU377" i="3"/>
  <c r="AU378" i="3"/>
  <c r="AU379" i="3"/>
  <c r="AU380" i="3"/>
  <c r="AU381" i="3"/>
  <c r="AU382" i="3"/>
  <c r="AU383" i="3"/>
  <c r="AU384" i="3"/>
  <c r="AU385" i="3"/>
  <c r="AU386" i="3"/>
  <c r="AU387" i="3"/>
  <c r="AU388" i="3"/>
  <c r="AU389" i="3"/>
  <c r="AU390" i="3"/>
  <c r="AU391" i="3"/>
  <c r="AU392" i="3"/>
  <c r="AU393" i="3"/>
  <c r="AU394" i="3"/>
  <c r="AU395" i="3"/>
  <c r="AU396" i="3"/>
  <c r="AU397" i="3"/>
  <c r="AU398" i="3"/>
  <c r="AU399" i="3"/>
  <c r="AU400" i="3"/>
  <c r="AU401" i="3"/>
  <c r="AU402" i="3"/>
  <c r="AU403" i="3"/>
  <c r="AU404" i="3"/>
  <c r="AU405" i="3"/>
  <c r="AU406" i="3"/>
  <c r="AU407" i="3"/>
  <c r="AU408" i="3"/>
  <c r="AU409" i="3"/>
  <c r="AU410" i="3"/>
  <c r="AU411" i="3"/>
  <c r="AU412" i="3"/>
  <c r="AU413" i="3"/>
  <c r="AU414" i="3"/>
  <c r="AU415" i="3"/>
  <c r="AU416" i="3"/>
  <c r="AU417" i="3"/>
  <c r="AU418" i="3"/>
  <c r="AU419" i="3"/>
  <c r="AU420" i="3"/>
  <c r="AU421" i="3"/>
  <c r="AU422" i="3"/>
  <c r="AU423" i="3"/>
  <c r="AU424" i="3"/>
  <c r="AU425" i="3"/>
  <c r="AU426" i="3"/>
  <c r="AU427" i="3"/>
  <c r="AU428" i="3"/>
  <c r="AU429" i="3"/>
  <c r="AU430" i="3"/>
  <c r="AU431" i="3"/>
  <c r="AU432" i="3"/>
  <c r="AU433" i="3"/>
  <c r="AU434" i="3"/>
  <c r="AU435" i="3"/>
  <c r="AU436" i="3"/>
  <c r="AU437" i="3"/>
  <c r="AU438" i="3"/>
  <c r="AU439" i="3"/>
  <c r="AU440" i="3"/>
  <c r="AU441" i="3"/>
  <c r="AU442" i="3"/>
  <c r="AU443" i="3"/>
  <c r="AU444" i="3"/>
  <c r="AU445" i="3"/>
  <c r="AU446" i="3"/>
  <c r="AU447" i="3"/>
  <c r="AU448" i="3"/>
  <c r="AU449" i="3"/>
  <c r="AU450" i="3"/>
  <c r="AU451" i="3"/>
  <c r="AU452" i="3"/>
  <c r="AU453" i="3"/>
  <c r="AU454" i="3"/>
  <c r="AU455" i="3"/>
  <c r="AU456" i="3"/>
  <c r="AU457" i="3"/>
  <c r="AU458" i="3"/>
  <c r="AU459" i="3"/>
  <c r="AU460" i="3"/>
  <c r="AU461" i="3"/>
  <c r="AU462" i="3"/>
  <c r="AU463" i="3"/>
  <c r="AU464" i="3"/>
  <c r="AU465" i="3"/>
  <c r="AU466" i="3"/>
  <c r="AU467" i="3"/>
  <c r="AU468" i="3"/>
  <c r="AU469" i="3"/>
  <c r="AU470" i="3"/>
  <c r="AU471" i="3"/>
  <c r="AU472" i="3"/>
  <c r="AU473" i="3"/>
  <c r="AU474" i="3"/>
  <c r="AU475" i="3"/>
  <c r="AU476" i="3"/>
  <c r="AU477" i="3"/>
  <c r="AU478" i="3"/>
  <c r="AU479" i="3"/>
  <c r="AU480" i="3"/>
  <c r="AU481" i="3"/>
  <c r="AU482" i="3"/>
  <c r="AU483" i="3"/>
  <c r="AU484" i="3"/>
  <c r="AU485" i="3"/>
  <c r="AU486" i="3"/>
  <c r="AU487" i="3"/>
  <c r="AU488" i="3"/>
  <c r="AU489" i="3"/>
  <c r="AU490" i="3"/>
  <c r="AU491" i="3"/>
  <c r="AU492" i="3"/>
  <c r="AU493" i="3"/>
  <c r="AU494" i="3"/>
  <c r="AU495" i="3"/>
  <c r="AU496" i="3"/>
  <c r="AU497" i="3"/>
  <c r="AU498" i="3"/>
  <c r="AU499" i="3"/>
  <c r="AU500" i="3"/>
  <c r="AU501" i="3"/>
  <c r="AU502" i="3"/>
  <c r="AU503" i="3"/>
  <c r="AU504" i="3"/>
  <c r="AU505" i="3"/>
  <c r="AU506" i="3"/>
  <c r="AU507" i="3"/>
  <c r="AU508" i="3"/>
  <c r="AU509" i="3"/>
  <c r="AU510" i="3"/>
  <c r="AU511" i="3"/>
  <c r="AU512" i="3"/>
  <c r="AU513" i="3"/>
  <c r="AU514" i="3"/>
  <c r="AU515" i="3"/>
  <c r="AU516" i="3"/>
  <c r="AU517" i="3"/>
  <c r="AU518" i="3"/>
  <c r="AU519" i="3"/>
  <c r="AU520" i="3"/>
  <c r="AU521" i="3"/>
  <c r="AU522" i="3"/>
  <c r="AU523" i="3"/>
  <c r="AU524" i="3"/>
  <c r="AU525" i="3"/>
  <c r="AU526" i="3"/>
  <c r="AU527" i="3"/>
  <c r="AU528" i="3"/>
  <c r="AU529" i="3"/>
  <c r="AU530" i="3"/>
  <c r="AU531" i="3"/>
  <c r="AU532" i="3"/>
  <c r="AU533" i="3"/>
  <c r="AU534" i="3"/>
  <c r="AU535" i="3"/>
  <c r="AU536" i="3"/>
  <c r="AU537" i="3"/>
  <c r="AU538" i="3"/>
  <c r="AU539" i="3"/>
  <c r="AU540" i="3"/>
  <c r="AU541" i="3"/>
  <c r="AU542" i="3"/>
  <c r="AU543" i="3"/>
  <c r="AU544" i="3"/>
  <c r="AU545" i="3"/>
  <c r="AU546" i="3"/>
  <c r="AU547" i="3"/>
  <c r="AU548" i="3"/>
  <c r="AU549" i="3"/>
  <c r="AU550" i="3"/>
  <c r="AU551" i="3"/>
  <c r="AU552" i="3"/>
  <c r="AU553" i="3"/>
  <c r="AU554" i="3"/>
  <c r="AU555" i="3"/>
  <c r="AU556" i="3"/>
  <c r="AU557" i="3"/>
  <c r="AU558" i="3"/>
  <c r="AU559" i="3"/>
  <c r="AU560" i="3"/>
  <c r="AU561" i="3"/>
  <c r="AU562" i="3"/>
  <c r="AU563" i="3"/>
  <c r="AU564" i="3"/>
  <c r="AU565" i="3"/>
  <c r="AU566" i="3"/>
  <c r="AU567" i="3"/>
  <c r="AU568" i="3"/>
  <c r="AU569" i="3"/>
  <c r="AU570" i="3"/>
  <c r="AU571" i="3"/>
  <c r="AU572" i="3"/>
  <c r="AU573" i="3"/>
  <c r="AU574" i="3"/>
  <c r="AU575" i="3"/>
  <c r="AU576" i="3"/>
  <c r="AU577" i="3"/>
  <c r="AU578" i="3"/>
  <c r="AU579" i="3"/>
  <c r="AU580" i="3"/>
  <c r="AU581" i="3"/>
  <c r="AU582" i="3"/>
  <c r="AU583" i="3"/>
  <c r="AU584" i="3"/>
  <c r="AU585" i="3"/>
  <c r="AU586" i="3"/>
  <c r="AU587" i="3"/>
  <c r="AU588" i="3"/>
  <c r="AU589" i="3"/>
  <c r="AU590" i="3"/>
  <c r="AU591" i="3"/>
  <c r="AU592" i="3"/>
  <c r="AU593" i="3"/>
  <c r="AU594" i="3"/>
  <c r="AU595" i="3"/>
  <c r="AU596" i="3"/>
  <c r="AU597" i="3"/>
  <c r="AU598" i="3"/>
  <c r="AU599" i="3"/>
  <c r="AU600" i="3"/>
  <c r="AU601" i="3"/>
  <c r="AU602" i="3"/>
  <c r="AU603" i="3"/>
  <c r="AU604" i="3"/>
  <c r="AU605" i="3"/>
  <c r="AU606" i="3"/>
  <c r="AU607" i="3"/>
  <c r="AU608" i="3"/>
  <c r="AU609" i="3"/>
  <c r="AU610" i="3"/>
  <c r="AU611" i="3"/>
  <c r="AU612" i="3"/>
  <c r="AU613" i="3"/>
  <c r="AU614" i="3"/>
  <c r="AU615" i="3"/>
  <c r="AU616" i="3"/>
  <c r="AU617" i="3"/>
  <c r="AU618" i="3"/>
  <c r="AU619" i="3"/>
  <c r="AU620" i="3"/>
  <c r="AU621" i="3"/>
  <c r="AU622" i="3"/>
  <c r="AU623" i="3"/>
  <c r="AU624" i="3"/>
  <c r="AU625" i="3"/>
  <c r="AU626" i="3"/>
  <c r="AU627" i="3"/>
  <c r="AU628" i="3"/>
  <c r="AU629" i="3"/>
  <c r="AU630" i="3"/>
  <c r="AU631" i="3"/>
  <c r="AU632" i="3"/>
  <c r="AU633" i="3"/>
  <c r="AU634" i="3"/>
  <c r="AU635" i="3"/>
  <c r="AU636" i="3"/>
  <c r="AU637" i="3"/>
  <c r="AU638" i="3"/>
  <c r="AU639" i="3"/>
  <c r="AU640" i="3"/>
  <c r="AU641" i="3"/>
  <c r="AU642" i="3"/>
  <c r="AU643" i="3"/>
  <c r="AU644" i="3"/>
  <c r="AU645" i="3"/>
  <c r="AU646" i="3"/>
  <c r="AU647" i="3"/>
  <c r="AU648" i="3"/>
  <c r="AU649" i="3"/>
  <c r="AU650" i="3"/>
  <c r="AU651" i="3"/>
  <c r="AU652" i="3"/>
  <c r="AU653" i="3"/>
  <c r="AU654" i="3"/>
  <c r="AU655" i="3"/>
  <c r="AU656" i="3"/>
  <c r="AU657" i="3"/>
  <c r="AU658" i="3"/>
  <c r="AU659" i="3"/>
  <c r="AU660" i="3"/>
  <c r="AU661" i="3"/>
  <c r="AU662" i="3"/>
  <c r="AU663" i="3"/>
  <c r="AU664" i="3"/>
  <c r="AU665" i="3"/>
  <c r="AU666" i="3"/>
  <c r="AU667" i="3"/>
  <c r="AU668" i="3"/>
  <c r="AU669" i="3"/>
  <c r="AU670" i="3"/>
  <c r="AU671" i="3"/>
  <c r="AU672" i="3"/>
  <c r="AU673" i="3"/>
  <c r="AU674" i="3"/>
  <c r="AU675" i="3"/>
  <c r="AU676" i="3"/>
  <c r="AU677" i="3"/>
  <c r="AU678" i="3"/>
  <c r="AU679" i="3"/>
  <c r="AU680" i="3"/>
  <c r="AU681" i="3"/>
  <c r="AU682" i="3"/>
  <c r="AU683" i="3"/>
  <c r="AU684" i="3"/>
  <c r="AU685" i="3"/>
  <c r="AU686" i="3"/>
  <c r="AU687" i="3"/>
  <c r="AU688" i="3"/>
  <c r="AU689" i="3"/>
  <c r="AU690" i="3"/>
  <c r="AU691" i="3"/>
  <c r="AU692" i="3"/>
  <c r="AU693" i="3"/>
  <c r="AU694" i="3"/>
  <c r="AU695" i="3"/>
  <c r="AU696" i="3"/>
  <c r="AU697" i="3"/>
  <c r="AU698" i="3"/>
  <c r="AU699" i="3"/>
  <c r="AU700" i="3"/>
  <c r="AU701" i="3"/>
  <c r="AU702" i="3"/>
  <c r="AU703" i="3"/>
  <c r="AU704" i="3"/>
  <c r="AU705" i="3"/>
  <c r="AU706" i="3"/>
  <c r="AU707" i="3"/>
  <c r="AU708" i="3"/>
  <c r="AU709" i="3"/>
  <c r="AU710" i="3"/>
  <c r="AU711" i="3"/>
  <c r="AU712" i="3"/>
  <c r="AU713" i="3"/>
  <c r="AU714" i="3"/>
  <c r="AU715" i="3"/>
  <c r="AU716" i="3"/>
  <c r="AU717" i="3"/>
  <c r="AU718" i="3"/>
  <c r="AU719" i="3"/>
  <c r="AU720" i="3"/>
  <c r="AU721" i="3"/>
  <c r="AU722" i="3"/>
  <c r="AU723" i="3"/>
  <c r="AU724" i="3"/>
  <c r="AU725" i="3"/>
  <c r="AU726" i="3"/>
  <c r="AU727" i="3"/>
  <c r="AU728" i="3"/>
  <c r="AU729" i="3"/>
  <c r="AU730" i="3"/>
  <c r="AU731" i="3"/>
  <c r="AU732" i="3"/>
  <c r="AU733" i="3"/>
  <c r="AU734" i="3"/>
  <c r="AU735" i="3"/>
  <c r="AU736" i="3"/>
  <c r="AU737" i="3"/>
  <c r="AU738" i="3"/>
  <c r="AU739" i="3"/>
  <c r="AU740" i="3"/>
  <c r="AU741" i="3"/>
  <c r="AU742" i="3"/>
  <c r="AU743" i="3"/>
  <c r="AU744" i="3"/>
  <c r="AU745" i="3"/>
  <c r="AU746" i="3"/>
  <c r="AU747" i="3"/>
  <c r="AU748" i="3"/>
  <c r="AU749" i="3"/>
  <c r="AU750" i="3"/>
  <c r="AU751" i="3"/>
  <c r="AU752" i="3"/>
  <c r="AU753" i="3"/>
  <c r="AU754" i="3"/>
  <c r="AU755" i="3"/>
  <c r="AU756" i="3"/>
  <c r="AU757" i="3"/>
  <c r="AU758" i="3"/>
  <c r="AU759" i="3"/>
  <c r="AU760" i="3"/>
  <c r="AU761" i="3"/>
  <c r="AU762" i="3"/>
  <c r="AU763" i="3"/>
  <c r="AU764" i="3"/>
  <c r="AU765" i="3"/>
  <c r="AU766" i="3"/>
  <c r="AU767" i="3"/>
  <c r="AU768" i="3"/>
  <c r="AU769" i="3"/>
  <c r="AU770" i="3"/>
  <c r="AU771" i="3"/>
  <c r="AU772" i="3"/>
  <c r="AU773" i="3"/>
  <c r="AU774" i="3"/>
  <c r="AU775" i="3"/>
  <c r="AU776" i="3"/>
  <c r="AU777" i="3"/>
  <c r="AU778" i="3"/>
  <c r="AU779" i="3"/>
  <c r="AU780" i="3"/>
  <c r="AU781" i="3"/>
  <c r="AU782" i="3"/>
  <c r="AU783" i="3"/>
  <c r="AU784" i="3"/>
  <c r="AU785" i="3"/>
  <c r="AU786" i="3"/>
  <c r="AU787" i="3"/>
  <c r="AU788" i="3"/>
  <c r="AU789" i="3"/>
  <c r="AU790" i="3"/>
  <c r="AU791" i="3"/>
  <c r="AU792" i="3"/>
  <c r="AU793" i="3"/>
  <c r="AU794" i="3"/>
  <c r="AU795" i="3"/>
  <c r="AU796" i="3"/>
  <c r="AU797" i="3"/>
  <c r="AU798" i="3"/>
  <c r="AU799" i="3"/>
  <c r="AU800" i="3"/>
  <c r="AU801" i="3"/>
  <c r="AU802" i="3"/>
  <c r="AU803" i="3"/>
  <c r="AU804" i="3"/>
  <c r="AU805" i="3"/>
  <c r="AU806" i="3"/>
  <c r="AU807" i="3"/>
  <c r="AU808" i="3"/>
  <c r="AU809" i="3"/>
  <c r="AU810" i="3"/>
  <c r="AU811" i="3"/>
  <c r="AU812" i="3"/>
  <c r="AU813" i="3"/>
  <c r="AU814" i="3"/>
  <c r="AU815" i="3"/>
  <c r="AU816" i="3"/>
  <c r="AU817" i="3"/>
  <c r="AU818" i="3"/>
  <c r="AU819" i="3"/>
  <c r="AU820" i="3"/>
  <c r="AU821" i="3"/>
  <c r="AU822" i="3"/>
  <c r="AU823" i="3"/>
  <c r="AU824" i="3"/>
  <c r="AU825" i="3"/>
  <c r="AU826" i="3"/>
  <c r="AU827" i="3"/>
  <c r="AU828" i="3"/>
  <c r="AU829" i="3"/>
  <c r="AU830" i="3"/>
  <c r="AU831" i="3"/>
  <c r="AU832" i="3"/>
  <c r="AU833" i="3"/>
  <c r="AU834" i="3"/>
  <c r="AU835" i="3"/>
  <c r="AU836" i="3"/>
  <c r="AU837" i="3"/>
  <c r="AU838" i="3"/>
  <c r="AU839" i="3"/>
  <c r="AU840" i="3"/>
  <c r="AU841" i="3"/>
  <c r="AU842" i="3"/>
  <c r="AU843" i="3"/>
  <c r="AU844" i="3"/>
  <c r="AU845" i="3"/>
  <c r="AU846" i="3"/>
  <c r="AU847" i="3"/>
  <c r="AU848" i="3"/>
  <c r="AU849" i="3"/>
  <c r="AU850" i="3"/>
  <c r="AU851" i="3"/>
  <c r="AU852" i="3"/>
  <c r="AU853" i="3"/>
  <c r="AU854" i="3"/>
  <c r="AU855" i="3"/>
  <c r="AU856" i="3"/>
  <c r="AU857" i="3"/>
  <c r="AU858" i="3"/>
  <c r="AU859" i="3"/>
  <c r="AU860" i="3"/>
  <c r="AU861" i="3"/>
  <c r="AU862" i="3"/>
  <c r="AU863" i="3"/>
  <c r="AU864" i="3"/>
  <c r="AU865" i="3"/>
  <c r="AU866" i="3"/>
  <c r="AU867" i="3"/>
  <c r="AU868" i="3"/>
  <c r="AU869" i="3"/>
  <c r="AU870" i="3"/>
  <c r="AU871" i="3"/>
  <c r="AU872" i="3"/>
  <c r="AU873" i="3"/>
  <c r="AU874" i="3"/>
  <c r="AU875" i="3"/>
  <c r="AU876" i="3"/>
  <c r="AU877" i="3"/>
  <c r="AU878" i="3"/>
  <c r="AU879" i="3"/>
  <c r="AU880" i="3"/>
  <c r="AU881" i="3"/>
  <c r="AU882" i="3"/>
  <c r="AU883" i="3"/>
  <c r="AU884" i="3"/>
  <c r="AU885" i="3"/>
  <c r="AU886" i="3"/>
  <c r="AU887" i="3"/>
  <c r="AU888" i="3"/>
  <c r="AU889" i="3"/>
  <c r="AU890" i="3"/>
  <c r="AU891" i="3"/>
  <c r="AU892" i="3"/>
  <c r="AU893" i="3"/>
  <c r="AU894" i="3"/>
  <c r="AU895" i="3"/>
  <c r="AU896" i="3"/>
  <c r="AU897" i="3"/>
  <c r="AU898" i="3"/>
  <c r="AU899" i="3"/>
  <c r="AU900" i="3"/>
  <c r="AU901" i="3"/>
  <c r="AU902" i="3"/>
  <c r="AU903" i="3"/>
  <c r="AU904" i="3"/>
  <c r="AU905" i="3"/>
  <c r="AU906" i="3"/>
  <c r="AU907" i="3"/>
  <c r="AU908" i="3"/>
  <c r="AU909" i="3"/>
  <c r="AU910" i="3"/>
  <c r="AU911" i="3"/>
  <c r="AU912" i="3"/>
  <c r="AU913" i="3"/>
  <c r="AU914" i="3"/>
  <c r="AU915" i="3"/>
  <c r="AU916" i="3"/>
  <c r="AU917" i="3"/>
  <c r="AU918" i="3"/>
  <c r="AU919" i="3"/>
  <c r="AU920" i="3"/>
  <c r="AU921" i="3"/>
  <c r="AU922" i="3"/>
  <c r="AU923" i="3"/>
  <c r="AU924" i="3"/>
  <c r="AU925" i="3"/>
  <c r="AU926" i="3"/>
  <c r="AU927" i="3"/>
  <c r="AU928" i="3"/>
  <c r="AU929" i="3"/>
  <c r="AU930" i="3"/>
  <c r="AU931" i="3"/>
  <c r="AU932" i="3"/>
  <c r="AU933" i="3"/>
  <c r="AU934" i="3"/>
  <c r="AU935" i="3"/>
  <c r="AU936" i="3"/>
  <c r="AU937" i="3"/>
  <c r="AU938" i="3"/>
  <c r="AU939" i="3"/>
  <c r="AU940" i="3"/>
  <c r="AU941" i="3"/>
  <c r="AU942" i="3"/>
  <c r="AU943" i="3"/>
  <c r="AU944" i="3"/>
  <c r="AU945" i="3"/>
  <c r="AU946" i="3"/>
  <c r="AU947" i="3"/>
  <c r="AU948" i="3"/>
  <c r="AU949" i="3"/>
  <c r="AU950" i="3"/>
  <c r="AU951" i="3"/>
  <c r="AU952" i="3"/>
  <c r="AU953" i="3"/>
  <c r="AU954" i="3"/>
  <c r="AU955" i="3"/>
  <c r="AU956" i="3"/>
  <c r="AU957" i="3"/>
  <c r="AU958" i="3"/>
  <c r="AU959" i="3"/>
  <c r="AU960" i="3"/>
  <c r="AU961" i="3"/>
  <c r="AU962" i="3"/>
  <c r="AU963" i="3"/>
  <c r="AU964" i="3"/>
  <c r="AU965" i="3"/>
  <c r="AU966" i="3"/>
  <c r="AU967" i="3"/>
  <c r="AU968" i="3"/>
  <c r="AU969" i="3"/>
  <c r="AU970" i="3"/>
  <c r="AU971" i="3"/>
  <c r="AU972" i="3"/>
  <c r="AU973" i="3"/>
  <c r="AU974" i="3"/>
  <c r="AU975" i="3"/>
  <c r="AU976" i="3"/>
  <c r="AU977" i="3"/>
  <c r="AU978" i="3"/>
  <c r="AU979" i="3"/>
  <c r="AU980" i="3"/>
  <c r="AU981" i="3"/>
  <c r="AU982" i="3"/>
  <c r="AU983" i="3"/>
  <c r="AU984" i="3"/>
  <c r="AU985" i="3"/>
  <c r="AU986" i="3"/>
  <c r="AU987" i="3"/>
  <c r="AU988" i="3"/>
  <c r="AU989" i="3"/>
  <c r="AU990" i="3"/>
  <c r="AU991" i="3"/>
  <c r="AU992" i="3"/>
  <c r="AU993" i="3"/>
  <c r="AU994" i="3"/>
  <c r="AU995" i="3"/>
  <c r="AU996" i="3"/>
  <c r="AU997" i="3"/>
  <c r="AU998" i="3"/>
  <c r="AU999" i="3"/>
  <c r="AU1000" i="3"/>
  <c r="AU1001" i="3"/>
  <c r="AU1002" i="3"/>
  <c r="AU1003" i="3"/>
  <c r="AU1004" i="3"/>
  <c r="AU1005" i="3"/>
  <c r="AU1006" i="3"/>
  <c r="AU1007" i="3"/>
  <c r="AU1008" i="3"/>
  <c r="AU1009" i="3"/>
  <c r="AU1010" i="3"/>
  <c r="AU1011" i="3"/>
  <c r="AU1012" i="3"/>
  <c r="AU1013" i="3"/>
  <c r="AU1014" i="3"/>
  <c r="AU1015" i="3"/>
  <c r="AU1016" i="3"/>
  <c r="AU1017" i="3"/>
  <c r="AU1018" i="3"/>
  <c r="AU1019" i="3"/>
  <c r="AU1020" i="3"/>
  <c r="AU1021" i="3"/>
  <c r="AU1022" i="3"/>
  <c r="AU1023" i="3"/>
  <c r="AU1024" i="3"/>
  <c r="AU1025" i="3"/>
  <c r="AU1026" i="3"/>
  <c r="AU1027" i="3"/>
  <c r="AU1028" i="3"/>
  <c r="AU1029" i="3"/>
  <c r="AU1030" i="3"/>
  <c r="AU1031" i="3"/>
  <c r="AU1032" i="3"/>
  <c r="AU1033" i="3"/>
  <c r="AU1034" i="3"/>
  <c r="AU1035" i="3"/>
  <c r="AU1036" i="3"/>
  <c r="AU1037" i="3"/>
  <c r="AU1038" i="3"/>
  <c r="AU1039" i="3"/>
  <c r="AU1040" i="3"/>
  <c r="AU1041" i="3"/>
  <c r="AU1042" i="3"/>
  <c r="AU1043" i="3"/>
  <c r="AU1044" i="3"/>
  <c r="AU1045" i="3"/>
  <c r="AU1046" i="3"/>
  <c r="AU1047" i="3"/>
  <c r="AU1048" i="3"/>
  <c r="AU1049" i="3"/>
  <c r="AU1050" i="3"/>
  <c r="AU1051" i="3"/>
  <c r="AU1052" i="3"/>
  <c r="AU1053" i="3"/>
  <c r="AU1054" i="3"/>
  <c r="AU1055" i="3"/>
  <c r="AU1056" i="3"/>
  <c r="AU1057" i="3"/>
  <c r="AU1058" i="3"/>
  <c r="AU1059" i="3"/>
  <c r="AU1060" i="3"/>
  <c r="AU1061" i="3"/>
  <c r="AU1062" i="3"/>
  <c r="AU1063" i="3"/>
  <c r="AU1064" i="3"/>
  <c r="AU1065" i="3"/>
  <c r="AU1066" i="3"/>
  <c r="AU1067" i="3"/>
  <c r="AU1068" i="3"/>
  <c r="AU1069" i="3"/>
  <c r="AU1070" i="3"/>
  <c r="AU1071" i="3"/>
  <c r="AU1072" i="3"/>
  <c r="AU1073" i="3"/>
  <c r="AU1074" i="3"/>
  <c r="AU1075" i="3"/>
  <c r="AU1076" i="3"/>
  <c r="AU1077" i="3"/>
  <c r="AU1078" i="3"/>
  <c r="AU1079" i="3"/>
  <c r="AU1080" i="3"/>
  <c r="AU1081" i="3"/>
  <c r="AU1082" i="3"/>
  <c r="AU1083" i="3"/>
  <c r="AU1084" i="3"/>
  <c r="AU1085" i="3"/>
  <c r="AU1086" i="3"/>
  <c r="AU1087" i="3"/>
  <c r="AU1088" i="3"/>
  <c r="AU1089" i="3"/>
  <c r="AU1090" i="3"/>
  <c r="AU1091" i="3"/>
  <c r="AU1092" i="3"/>
  <c r="AU1093" i="3"/>
  <c r="AU1094" i="3"/>
  <c r="AU1095" i="3"/>
  <c r="AU1096" i="3"/>
  <c r="AU1097" i="3"/>
  <c r="AU1098" i="3"/>
  <c r="AU1099" i="3"/>
  <c r="AU1100" i="3"/>
  <c r="AU1101" i="3"/>
  <c r="AU1102" i="3"/>
  <c r="AU1103" i="3"/>
  <c r="AU1104" i="3"/>
  <c r="AU1105" i="3"/>
  <c r="AU1106" i="3"/>
  <c r="AU1107" i="3"/>
  <c r="AU1108" i="3"/>
  <c r="AU1109" i="3"/>
  <c r="AU1110" i="3"/>
  <c r="AU1111" i="3"/>
  <c r="AU1112" i="3"/>
  <c r="AU1113" i="3"/>
  <c r="AU1114" i="3"/>
  <c r="AU1115" i="3"/>
  <c r="AU1116" i="3"/>
  <c r="AU1117" i="3"/>
  <c r="AU1118" i="3"/>
  <c r="AU1119" i="3"/>
  <c r="AU1120" i="3"/>
  <c r="AU1121" i="3"/>
  <c r="AU1122" i="3"/>
  <c r="AU1123" i="3"/>
  <c r="AU1124" i="3"/>
  <c r="AU1125" i="3"/>
  <c r="AU1126" i="3"/>
  <c r="AU1127" i="3"/>
  <c r="AU1128" i="3"/>
  <c r="AU1129" i="3"/>
  <c r="AU1130" i="3"/>
  <c r="AU1131" i="3"/>
  <c r="AU1132" i="3"/>
  <c r="AU1133" i="3"/>
  <c r="AU1134" i="3"/>
  <c r="AU1135" i="3"/>
  <c r="AU1136" i="3"/>
  <c r="AU1137" i="3"/>
  <c r="AU1138" i="3"/>
  <c r="AU1139" i="3"/>
  <c r="AU1140" i="3"/>
  <c r="AU1141" i="3"/>
  <c r="AU1142" i="3"/>
  <c r="AU1143" i="3"/>
  <c r="AU1144" i="3"/>
  <c r="AU1145" i="3"/>
  <c r="AU1146" i="3"/>
  <c r="AU1147" i="3"/>
  <c r="AU1148" i="3"/>
  <c r="AU1149" i="3"/>
  <c r="AU1150" i="3"/>
  <c r="AU1151" i="3"/>
  <c r="AU1152" i="3"/>
  <c r="AU1153" i="3"/>
  <c r="AU1154" i="3"/>
  <c r="AU1155" i="3"/>
  <c r="AU1156" i="3"/>
  <c r="AU1157" i="3"/>
  <c r="AU1158" i="3"/>
  <c r="AU1159" i="3"/>
  <c r="AU1160" i="3"/>
  <c r="AU1161" i="3"/>
  <c r="AU1162" i="3"/>
  <c r="AU1163" i="3"/>
  <c r="AU1164" i="3"/>
  <c r="AU1165" i="3"/>
  <c r="AU1166" i="3"/>
  <c r="AU1167" i="3"/>
  <c r="AU1168" i="3"/>
  <c r="AU1169" i="3"/>
  <c r="AU1170" i="3"/>
  <c r="AU1171" i="3"/>
  <c r="AU1172" i="3"/>
  <c r="AU1173" i="3"/>
  <c r="AU1174" i="3"/>
  <c r="AU1175" i="3"/>
  <c r="AU1176" i="3"/>
  <c r="AU1177" i="3"/>
  <c r="AU1178" i="3"/>
  <c r="AU1179" i="3"/>
  <c r="AU1180" i="3"/>
  <c r="AU1181" i="3"/>
  <c r="AU1182" i="3"/>
  <c r="AU1183" i="3"/>
  <c r="AU1184" i="3"/>
  <c r="AU1185" i="3"/>
  <c r="AU1186" i="3"/>
  <c r="AU1187" i="3"/>
  <c r="AU1188" i="3"/>
  <c r="AU1189" i="3"/>
  <c r="AU1190" i="3"/>
  <c r="AU1191" i="3"/>
  <c r="AU1192" i="3"/>
  <c r="AU1193" i="3"/>
  <c r="AU1194" i="3"/>
  <c r="AU1195" i="3"/>
  <c r="AU1196" i="3"/>
  <c r="AU1197" i="3"/>
  <c r="AU1198" i="3"/>
  <c r="AU1199" i="3"/>
  <c r="AU1200" i="3"/>
  <c r="AU1201" i="3"/>
  <c r="AU1202" i="3"/>
  <c r="AU1203" i="3"/>
  <c r="AU1204" i="3"/>
  <c r="AU1205" i="3"/>
  <c r="AU1206" i="3"/>
  <c r="AU1207" i="3"/>
  <c r="AU1208" i="3"/>
  <c r="AU1209" i="3"/>
  <c r="AU1210" i="3"/>
  <c r="AU1211" i="3"/>
  <c r="AU1212" i="3"/>
  <c r="AU1213" i="3"/>
  <c r="AU1214" i="3"/>
  <c r="AU1215" i="3"/>
  <c r="AU1216" i="3"/>
  <c r="AU1217" i="3"/>
  <c r="AU1218" i="3"/>
  <c r="AU1219" i="3"/>
  <c r="AU1220" i="3"/>
  <c r="AU1221" i="3"/>
  <c r="AU1222" i="3"/>
  <c r="AU1223" i="3"/>
  <c r="AU1224" i="3"/>
  <c r="AU1225" i="3"/>
  <c r="AU1226" i="3"/>
  <c r="AU1227" i="3"/>
  <c r="AU1228" i="3"/>
  <c r="AU1229" i="3"/>
  <c r="AU1230" i="3"/>
  <c r="AU1231" i="3"/>
  <c r="AU1232" i="3"/>
  <c r="AU1233" i="3"/>
  <c r="AU1234" i="3"/>
  <c r="AU1235" i="3"/>
  <c r="AU1236" i="3"/>
  <c r="AU1237" i="3"/>
  <c r="AU1238" i="3"/>
  <c r="AU1239" i="3"/>
  <c r="AU1240" i="3"/>
  <c r="AU1241" i="3"/>
  <c r="AU1242" i="3"/>
  <c r="AU1243" i="3"/>
  <c r="AU1244" i="3"/>
  <c r="AU1245" i="3"/>
  <c r="AU1246" i="3"/>
  <c r="AU1247" i="3"/>
  <c r="AU1248" i="3"/>
  <c r="AU1249" i="3"/>
  <c r="AU1250" i="3"/>
  <c r="AU1251" i="3"/>
  <c r="AU1252" i="3"/>
  <c r="AU1253" i="3"/>
  <c r="AU1254" i="3"/>
  <c r="AU1255" i="3"/>
  <c r="AU1256" i="3"/>
  <c r="AU1257" i="3"/>
  <c r="AU1258" i="3"/>
  <c r="AU1259" i="3"/>
  <c r="AU1260" i="3"/>
  <c r="AU1261" i="3"/>
  <c r="AU1262" i="3"/>
  <c r="AU1263" i="3"/>
  <c r="AU1264" i="3"/>
  <c r="AU1265" i="3"/>
  <c r="AU1266" i="3"/>
  <c r="AU1267" i="3"/>
  <c r="AU1268" i="3"/>
  <c r="AU1269" i="3"/>
  <c r="AU1270" i="3"/>
  <c r="AU1271" i="3"/>
  <c r="AU1272" i="3"/>
  <c r="AU1273" i="3"/>
  <c r="AU1274" i="3"/>
  <c r="AU1275" i="3"/>
  <c r="AU1276" i="3"/>
  <c r="AU1277" i="3"/>
  <c r="AU1278" i="3"/>
  <c r="AU1279" i="3"/>
  <c r="AU1280" i="3"/>
  <c r="AU1281" i="3"/>
  <c r="AU1282" i="3"/>
  <c r="AU1283" i="3"/>
  <c r="AU1284" i="3"/>
  <c r="AU1285" i="3"/>
  <c r="AU1286" i="3"/>
  <c r="AU1287" i="3"/>
  <c r="AU1288" i="3"/>
  <c r="AU1289" i="3"/>
  <c r="AU1290" i="3"/>
  <c r="AU1291" i="3"/>
  <c r="AU1292" i="3"/>
  <c r="AU1293" i="3"/>
  <c r="AU1294" i="3"/>
  <c r="AU1295" i="3"/>
  <c r="AU1296" i="3"/>
  <c r="AU1297" i="3"/>
  <c r="AU1298" i="3"/>
  <c r="AU1299" i="3"/>
  <c r="AU1300" i="3"/>
  <c r="AU1301" i="3"/>
  <c r="AU1302" i="3"/>
  <c r="AU1303" i="3"/>
  <c r="AU1304" i="3"/>
  <c r="AU1305" i="3"/>
  <c r="AU1306" i="3"/>
  <c r="AU1307" i="3"/>
  <c r="AU1308" i="3"/>
  <c r="AU1309" i="3"/>
  <c r="AU1310" i="3"/>
  <c r="AU1311" i="3"/>
  <c r="AU1312" i="3"/>
  <c r="AU1313" i="3"/>
  <c r="AU1314" i="3"/>
  <c r="AU1315" i="3"/>
  <c r="AU1316" i="3"/>
  <c r="AU1317" i="3"/>
  <c r="AU1318" i="3"/>
  <c r="AU1319" i="3"/>
  <c r="AU1320" i="3"/>
  <c r="AU1321" i="3"/>
  <c r="AU1322" i="3"/>
  <c r="AU1323" i="3"/>
  <c r="AU1324" i="3"/>
  <c r="AU1325" i="3"/>
  <c r="AU1326" i="3"/>
  <c r="AU1327" i="3"/>
  <c r="AU1328" i="3"/>
  <c r="AU1329" i="3"/>
  <c r="AU1330" i="3"/>
  <c r="AU1331" i="3"/>
  <c r="AU1332" i="3"/>
  <c r="AU1333" i="3"/>
  <c r="AU1334" i="3"/>
  <c r="AU1335" i="3"/>
  <c r="AU1336" i="3"/>
  <c r="AU1337" i="3"/>
  <c r="AU1338" i="3"/>
  <c r="AU1339" i="3"/>
  <c r="AU1340" i="3"/>
  <c r="AU1341" i="3"/>
  <c r="AU1342" i="3"/>
  <c r="AU1343" i="3"/>
  <c r="AU1344" i="3"/>
  <c r="AU1345" i="3"/>
  <c r="AU1346" i="3"/>
  <c r="AU1347" i="3"/>
  <c r="AU1348" i="3"/>
  <c r="AU1349" i="3"/>
  <c r="AU1350" i="3"/>
  <c r="AU1351" i="3"/>
  <c r="AU1352" i="3"/>
  <c r="AU1353" i="3"/>
  <c r="AU1354" i="3"/>
  <c r="AU1355" i="3"/>
  <c r="AU1356" i="3"/>
  <c r="AU1357" i="3"/>
  <c r="AU1358" i="3"/>
  <c r="AU1359" i="3"/>
  <c r="AU1360" i="3"/>
  <c r="AU1361" i="3"/>
  <c r="AU1362" i="3"/>
  <c r="AU1363" i="3"/>
  <c r="AU1364" i="3"/>
  <c r="AU1365" i="3"/>
  <c r="AU1366" i="3"/>
  <c r="AU1367" i="3"/>
  <c r="AU1368" i="3"/>
  <c r="AU1369" i="3"/>
  <c r="AU1370" i="3"/>
  <c r="AU1371" i="3"/>
  <c r="AU1372" i="3"/>
  <c r="AU1373" i="3"/>
  <c r="AU1374" i="3"/>
  <c r="AU1375" i="3"/>
  <c r="AU1376" i="3"/>
  <c r="AU1377" i="3"/>
  <c r="AU1378" i="3"/>
  <c r="AU1379" i="3"/>
  <c r="AU1380" i="3"/>
  <c r="AU1381" i="3"/>
  <c r="AU1382" i="3"/>
  <c r="AU1383" i="3"/>
  <c r="AU1384" i="3"/>
  <c r="AU1385" i="3"/>
  <c r="AU1386" i="3"/>
  <c r="AU1387" i="3"/>
  <c r="AU1388" i="3"/>
  <c r="AU1389" i="3"/>
  <c r="AU1390" i="3"/>
  <c r="AU1391" i="3"/>
  <c r="AU1392" i="3"/>
  <c r="AU1393" i="3"/>
  <c r="AU1394" i="3"/>
  <c r="AU1395" i="3"/>
  <c r="AU1396" i="3"/>
  <c r="AU1397" i="3"/>
  <c r="AU1398" i="3"/>
  <c r="AU1399" i="3"/>
  <c r="AU1400" i="3"/>
  <c r="AU1401" i="3"/>
  <c r="AU1402" i="3"/>
  <c r="AU1403" i="3"/>
  <c r="AU1404" i="3"/>
  <c r="AU1405" i="3"/>
  <c r="AU1406" i="3"/>
  <c r="AU1407" i="3"/>
  <c r="AU1408" i="3"/>
  <c r="AU1409" i="3"/>
  <c r="AU1410" i="3"/>
  <c r="AU1411" i="3"/>
  <c r="AU1412" i="3"/>
  <c r="AU1413" i="3"/>
  <c r="AU1414" i="3"/>
  <c r="AU1415" i="3"/>
  <c r="AU1416" i="3"/>
  <c r="AU1417" i="3"/>
  <c r="AU1418" i="3"/>
  <c r="AU1419" i="3"/>
  <c r="AU1420" i="3"/>
  <c r="AU1421" i="3"/>
  <c r="AU1422" i="3"/>
  <c r="AU1423" i="3"/>
  <c r="AU1424" i="3"/>
  <c r="AU1425" i="3"/>
  <c r="AU1426" i="3"/>
  <c r="AU1427" i="3"/>
  <c r="AU1428" i="3"/>
  <c r="AU1429" i="3"/>
  <c r="AU1430" i="3"/>
  <c r="AU1431" i="3"/>
  <c r="AU1432" i="3"/>
  <c r="AU1433" i="3"/>
  <c r="AU1434" i="3"/>
  <c r="AU1435" i="3"/>
  <c r="AU1436" i="3"/>
  <c r="AU1437" i="3"/>
  <c r="AU1438" i="3"/>
  <c r="AU1439" i="3"/>
  <c r="AU3" i="3"/>
  <c r="AT4" i="3"/>
  <c r="AT5" i="3" s="1"/>
  <c r="AT6" i="3" s="1"/>
  <c r="AT7" i="3" s="1"/>
  <c r="AT8" i="3" s="1"/>
  <c r="AT9" i="3" s="1"/>
  <c r="AT10" i="3" s="1"/>
  <c r="AT11" i="3" s="1"/>
  <c r="AT12" i="3" s="1"/>
  <c r="AT13" i="3" s="1"/>
  <c r="AT14" i="3" s="1"/>
  <c r="AT15" i="3" s="1"/>
  <c r="AT16" i="3" s="1"/>
  <c r="AT17" i="3" s="1"/>
  <c r="AT18" i="3" s="1"/>
  <c r="AT19" i="3" s="1"/>
  <c r="AT20" i="3" s="1"/>
  <c r="AT21" i="3" s="1"/>
  <c r="AT22" i="3" s="1"/>
  <c r="AT23" i="3" s="1"/>
  <c r="AT24" i="3" s="1"/>
  <c r="AT25" i="3" s="1"/>
  <c r="AT26" i="3" s="1"/>
  <c r="AT27" i="3" s="1"/>
  <c r="AT28" i="3" s="1"/>
  <c r="AT29" i="3" s="1"/>
  <c r="AT30" i="3" s="1"/>
  <c r="AT31" i="3" s="1"/>
  <c r="AT32" i="3" s="1"/>
  <c r="AT33" i="3" s="1"/>
  <c r="AT34" i="3" s="1"/>
  <c r="AT35" i="3" s="1"/>
  <c r="AT36" i="3" s="1"/>
  <c r="AT37" i="3" s="1"/>
  <c r="AT38" i="3" s="1"/>
  <c r="AT39" i="3" s="1"/>
  <c r="AT40" i="3" s="1"/>
  <c r="AT41" i="3" s="1"/>
  <c r="AT42" i="3" s="1"/>
  <c r="AT43" i="3" s="1"/>
  <c r="AT44" i="3" s="1"/>
  <c r="AT45" i="3" s="1"/>
  <c r="AT46" i="3" s="1"/>
  <c r="AT47" i="3" s="1"/>
  <c r="AT48" i="3" s="1"/>
  <c r="AT49" i="3" s="1"/>
  <c r="AT50" i="3" s="1"/>
  <c r="AT51" i="3" s="1"/>
  <c r="AT52" i="3" s="1"/>
  <c r="AT53" i="3" s="1"/>
  <c r="AT54" i="3" s="1"/>
  <c r="AT55" i="3" s="1"/>
  <c r="AT56" i="3" s="1"/>
  <c r="AT57" i="3" s="1"/>
  <c r="AT58" i="3" s="1"/>
  <c r="AT59" i="3" s="1"/>
  <c r="AT60" i="3" s="1"/>
  <c r="AT61" i="3" s="1"/>
  <c r="AT62" i="3" s="1"/>
  <c r="AT63" i="3" s="1"/>
  <c r="AT64" i="3" s="1"/>
  <c r="AT65" i="3" s="1"/>
  <c r="AT66" i="3" s="1"/>
  <c r="AT67" i="3" s="1"/>
  <c r="AT68" i="3" s="1"/>
  <c r="AT69" i="3" s="1"/>
  <c r="AT70" i="3" s="1"/>
  <c r="AT71" i="3" s="1"/>
  <c r="AT72" i="3" s="1"/>
  <c r="AT73" i="3" s="1"/>
  <c r="AT74" i="3" s="1"/>
  <c r="AT75" i="3" s="1"/>
  <c r="AT76" i="3" s="1"/>
  <c r="AT77" i="3" s="1"/>
  <c r="AT78" i="3" s="1"/>
  <c r="AT79" i="3" s="1"/>
  <c r="AT80" i="3" s="1"/>
  <c r="AT81" i="3" s="1"/>
  <c r="AT82" i="3" s="1"/>
  <c r="AT83" i="3" s="1"/>
  <c r="AT84" i="3" s="1"/>
  <c r="AT85" i="3" s="1"/>
  <c r="AT86" i="3" s="1"/>
  <c r="AT87" i="3" s="1"/>
  <c r="AT88" i="3" s="1"/>
  <c r="AT89" i="3" s="1"/>
  <c r="AT90" i="3" s="1"/>
  <c r="AT91" i="3" s="1"/>
  <c r="AT92" i="3" s="1"/>
  <c r="AT93" i="3" s="1"/>
  <c r="AT94" i="3" s="1"/>
  <c r="AT95" i="3" s="1"/>
  <c r="AT96" i="3" s="1"/>
  <c r="AT97" i="3" s="1"/>
  <c r="AT98" i="3" s="1"/>
  <c r="AT99" i="3" s="1"/>
  <c r="AT100" i="3" s="1"/>
  <c r="AT101" i="3" s="1"/>
  <c r="AT102" i="3" s="1"/>
  <c r="AT103" i="3" s="1"/>
  <c r="AT104" i="3" s="1"/>
  <c r="AT105" i="3" s="1"/>
  <c r="AT106" i="3" s="1"/>
  <c r="AT107" i="3" s="1"/>
  <c r="AT108" i="3" s="1"/>
  <c r="AT109" i="3" s="1"/>
  <c r="AT110" i="3" s="1"/>
  <c r="AT111" i="3" s="1"/>
  <c r="AT112" i="3" s="1"/>
  <c r="AT113" i="3" s="1"/>
  <c r="AT114" i="3" s="1"/>
  <c r="AT115" i="3" s="1"/>
  <c r="AT116" i="3" s="1"/>
  <c r="AT117" i="3" s="1"/>
  <c r="AT118" i="3" s="1"/>
  <c r="AT119" i="3" s="1"/>
  <c r="AT120" i="3" s="1"/>
  <c r="AT121" i="3" s="1"/>
  <c r="AT122" i="3" s="1"/>
  <c r="AT123" i="3" s="1"/>
  <c r="AT124" i="3" s="1"/>
  <c r="AT125" i="3" s="1"/>
  <c r="AT126" i="3" s="1"/>
  <c r="AT127" i="3" s="1"/>
  <c r="AT128" i="3" s="1"/>
  <c r="AT129" i="3" s="1"/>
  <c r="AT130" i="3" s="1"/>
  <c r="AT131" i="3" s="1"/>
  <c r="AT132" i="3" s="1"/>
  <c r="AT133" i="3" s="1"/>
  <c r="AT134" i="3" s="1"/>
  <c r="AT135" i="3" s="1"/>
  <c r="AT136" i="3" s="1"/>
  <c r="AT137" i="3" s="1"/>
  <c r="AT138" i="3" s="1"/>
  <c r="AT139" i="3" s="1"/>
  <c r="AT140" i="3" s="1"/>
  <c r="AT141" i="3" s="1"/>
  <c r="AT142" i="3" s="1"/>
  <c r="AT143" i="3" s="1"/>
  <c r="AT144" i="3" s="1"/>
  <c r="AT145" i="3" s="1"/>
  <c r="AT146" i="3" s="1"/>
  <c r="AT147" i="3" s="1"/>
  <c r="AT148" i="3" s="1"/>
  <c r="AT149" i="3" s="1"/>
  <c r="AT150" i="3" s="1"/>
  <c r="AT151" i="3" s="1"/>
  <c r="AT152" i="3" s="1"/>
  <c r="AT153" i="3" s="1"/>
  <c r="AT154" i="3" s="1"/>
  <c r="AT155" i="3" s="1"/>
  <c r="AT156" i="3" s="1"/>
  <c r="AT157" i="3" s="1"/>
  <c r="AT158" i="3" s="1"/>
  <c r="AT159" i="3" s="1"/>
  <c r="AT160" i="3" s="1"/>
  <c r="AT161" i="3" s="1"/>
  <c r="AT162" i="3" s="1"/>
  <c r="AT163" i="3" s="1"/>
  <c r="AT164" i="3" s="1"/>
  <c r="AT165" i="3" s="1"/>
  <c r="AT166" i="3" s="1"/>
  <c r="AT167" i="3" s="1"/>
  <c r="AT168" i="3" s="1"/>
  <c r="AT169" i="3" s="1"/>
  <c r="AT170" i="3" s="1"/>
  <c r="AT171" i="3" s="1"/>
  <c r="AT172" i="3" s="1"/>
  <c r="AT173" i="3" s="1"/>
  <c r="AT174" i="3" s="1"/>
  <c r="AT175" i="3" s="1"/>
  <c r="AT176" i="3" s="1"/>
  <c r="AT177" i="3" s="1"/>
  <c r="AT178" i="3" s="1"/>
  <c r="AT179" i="3" s="1"/>
  <c r="AT180" i="3" s="1"/>
  <c r="AT181" i="3" s="1"/>
  <c r="AT182" i="3" s="1"/>
  <c r="AT183" i="3" s="1"/>
  <c r="AT184" i="3" s="1"/>
  <c r="AT185" i="3" s="1"/>
  <c r="AT186" i="3" s="1"/>
  <c r="AT187" i="3" s="1"/>
  <c r="AT188" i="3" s="1"/>
  <c r="AT189" i="3" s="1"/>
  <c r="AT190" i="3" s="1"/>
  <c r="AT191" i="3" s="1"/>
  <c r="AT192" i="3" s="1"/>
  <c r="AT193" i="3" s="1"/>
  <c r="AT194" i="3" s="1"/>
  <c r="AT195" i="3" s="1"/>
  <c r="AT196" i="3" s="1"/>
  <c r="AT197" i="3" s="1"/>
  <c r="AT198" i="3" s="1"/>
  <c r="AT199" i="3" s="1"/>
  <c r="AT200" i="3" s="1"/>
  <c r="AT201" i="3" s="1"/>
  <c r="AT202" i="3" s="1"/>
  <c r="AT203" i="3" s="1"/>
  <c r="AT204" i="3" s="1"/>
  <c r="AT205" i="3" s="1"/>
  <c r="AT206" i="3" s="1"/>
  <c r="AT207" i="3" s="1"/>
  <c r="AT208" i="3" s="1"/>
  <c r="AT209" i="3" s="1"/>
  <c r="AT210" i="3" s="1"/>
  <c r="AT211" i="3" s="1"/>
  <c r="AT212" i="3" s="1"/>
  <c r="AT213" i="3" s="1"/>
  <c r="AT214" i="3" s="1"/>
  <c r="AT215" i="3" s="1"/>
  <c r="AT216" i="3" s="1"/>
  <c r="AT217" i="3" s="1"/>
  <c r="AT218" i="3" s="1"/>
  <c r="AT219" i="3" s="1"/>
  <c r="AT220" i="3" s="1"/>
  <c r="AT221" i="3" s="1"/>
  <c r="AT222" i="3" s="1"/>
  <c r="AT223" i="3" s="1"/>
  <c r="AT224" i="3" s="1"/>
  <c r="AT225" i="3" s="1"/>
  <c r="AT226" i="3" s="1"/>
  <c r="AT227" i="3" s="1"/>
  <c r="AT228" i="3" s="1"/>
  <c r="AT229" i="3" s="1"/>
  <c r="AT230" i="3" s="1"/>
  <c r="AT231" i="3" s="1"/>
  <c r="AT232" i="3" s="1"/>
  <c r="AT233" i="3" s="1"/>
  <c r="AT234" i="3" s="1"/>
  <c r="AT235" i="3" s="1"/>
  <c r="AT236" i="3" s="1"/>
  <c r="AT237" i="3" s="1"/>
  <c r="AT238" i="3" s="1"/>
  <c r="AT239" i="3" s="1"/>
  <c r="AT240" i="3" s="1"/>
  <c r="AT241" i="3" s="1"/>
  <c r="AT242" i="3" s="1"/>
  <c r="AT243" i="3" s="1"/>
  <c r="AT244" i="3" s="1"/>
  <c r="AT245" i="3" s="1"/>
  <c r="AT246" i="3" s="1"/>
  <c r="AT247" i="3" s="1"/>
  <c r="AT248" i="3" s="1"/>
  <c r="AT249" i="3" s="1"/>
  <c r="AT250" i="3" s="1"/>
  <c r="AT251" i="3" s="1"/>
  <c r="AT252" i="3" s="1"/>
  <c r="AT253" i="3" s="1"/>
  <c r="AT254" i="3" s="1"/>
  <c r="AT255" i="3" s="1"/>
  <c r="AT256" i="3" s="1"/>
  <c r="AT257" i="3" s="1"/>
  <c r="AT258" i="3" s="1"/>
  <c r="AT259" i="3" s="1"/>
  <c r="AT260" i="3" s="1"/>
  <c r="AT261" i="3" s="1"/>
  <c r="AT262" i="3" s="1"/>
  <c r="AT263" i="3" s="1"/>
  <c r="AT264" i="3" s="1"/>
  <c r="AT265" i="3" s="1"/>
  <c r="AT266" i="3" s="1"/>
  <c r="AT267" i="3" s="1"/>
  <c r="AT268" i="3" s="1"/>
  <c r="AT269" i="3" s="1"/>
  <c r="AT270" i="3" s="1"/>
  <c r="AT271" i="3" s="1"/>
  <c r="AT272" i="3" s="1"/>
  <c r="AT273" i="3" s="1"/>
  <c r="AT274" i="3" s="1"/>
  <c r="AT275" i="3" s="1"/>
  <c r="AT276" i="3" s="1"/>
  <c r="AT277" i="3" s="1"/>
  <c r="AT278" i="3" s="1"/>
  <c r="AT279" i="3" s="1"/>
  <c r="AT280" i="3" s="1"/>
  <c r="AT281" i="3" s="1"/>
  <c r="AT282" i="3" s="1"/>
  <c r="AT283" i="3" s="1"/>
  <c r="AT284" i="3" s="1"/>
  <c r="AT285" i="3" s="1"/>
  <c r="AT286" i="3" s="1"/>
  <c r="AT287" i="3" s="1"/>
  <c r="AT288" i="3" s="1"/>
  <c r="AT289" i="3" s="1"/>
  <c r="AT290" i="3" s="1"/>
  <c r="AT291" i="3" s="1"/>
  <c r="AT292" i="3" s="1"/>
  <c r="AT293" i="3" s="1"/>
  <c r="AT294" i="3" s="1"/>
  <c r="AT295" i="3" s="1"/>
  <c r="AT296" i="3" s="1"/>
  <c r="AT297" i="3" s="1"/>
  <c r="AT298" i="3" s="1"/>
  <c r="AT299" i="3" s="1"/>
  <c r="AT300" i="3" s="1"/>
  <c r="AT301" i="3" s="1"/>
  <c r="AT302" i="3" s="1"/>
  <c r="AT303" i="3" s="1"/>
  <c r="AT304" i="3" s="1"/>
  <c r="AT305" i="3" s="1"/>
  <c r="AT306" i="3" s="1"/>
  <c r="AT307" i="3" s="1"/>
  <c r="AT308" i="3" s="1"/>
  <c r="AT309" i="3" s="1"/>
  <c r="AT310" i="3" s="1"/>
  <c r="AT311" i="3" s="1"/>
  <c r="AT312" i="3" s="1"/>
  <c r="AT313" i="3" s="1"/>
  <c r="AT314" i="3" s="1"/>
  <c r="AT315" i="3" s="1"/>
  <c r="AT316" i="3" s="1"/>
  <c r="AT317" i="3" s="1"/>
  <c r="AT318" i="3" s="1"/>
  <c r="AT319" i="3" s="1"/>
  <c r="AT320" i="3" s="1"/>
  <c r="AT321" i="3" s="1"/>
  <c r="AT322" i="3" s="1"/>
  <c r="AT323" i="3" s="1"/>
  <c r="AT324" i="3" s="1"/>
  <c r="AT325" i="3" s="1"/>
  <c r="AT326" i="3" s="1"/>
  <c r="AT327" i="3" s="1"/>
  <c r="AT328" i="3" s="1"/>
  <c r="AT329" i="3" s="1"/>
  <c r="AT330" i="3" s="1"/>
  <c r="AT331" i="3" s="1"/>
  <c r="AT332" i="3" s="1"/>
  <c r="AT333" i="3" s="1"/>
  <c r="AT334" i="3" s="1"/>
  <c r="AT335" i="3" s="1"/>
  <c r="AT336" i="3" s="1"/>
  <c r="AT337" i="3" s="1"/>
  <c r="AT338" i="3" s="1"/>
  <c r="AT339" i="3" s="1"/>
  <c r="AT340" i="3" s="1"/>
  <c r="AT341" i="3" s="1"/>
  <c r="AT342" i="3" s="1"/>
  <c r="AT343" i="3" s="1"/>
  <c r="AT344" i="3" s="1"/>
  <c r="AT345" i="3" s="1"/>
  <c r="AT346" i="3" s="1"/>
  <c r="AT347" i="3" s="1"/>
  <c r="AT348" i="3" s="1"/>
  <c r="AT349" i="3" s="1"/>
  <c r="AT350" i="3" s="1"/>
  <c r="AT351" i="3" s="1"/>
  <c r="AT352" i="3" s="1"/>
  <c r="AT353" i="3" s="1"/>
  <c r="AT354" i="3" s="1"/>
  <c r="AT355" i="3" s="1"/>
  <c r="AT356" i="3" s="1"/>
  <c r="AT357" i="3" s="1"/>
  <c r="AT358" i="3" s="1"/>
  <c r="AT359" i="3" s="1"/>
  <c r="AT360" i="3" s="1"/>
  <c r="AT361" i="3" s="1"/>
  <c r="AT362" i="3" s="1"/>
  <c r="AT363" i="3" s="1"/>
  <c r="AT364" i="3" s="1"/>
  <c r="AT365" i="3" s="1"/>
  <c r="AT366" i="3" s="1"/>
  <c r="AT367" i="3" s="1"/>
  <c r="AT368" i="3" s="1"/>
  <c r="AT369" i="3" s="1"/>
  <c r="AT370" i="3" s="1"/>
  <c r="AT371" i="3" s="1"/>
  <c r="AT372" i="3" s="1"/>
  <c r="AT373" i="3" s="1"/>
  <c r="AT374" i="3" s="1"/>
  <c r="AT375" i="3" s="1"/>
  <c r="AT376" i="3" s="1"/>
  <c r="AT377" i="3" s="1"/>
  <c r="AT378" i="3" s="1"/>
  <c r="AT379" i="3" s="1"/>
  <c r="AT380" i="3" s="1"/>
  <c r="AT381" i="3" s="1"/>
  <c r="AT382" i="3" s="1"/>
  <c r="AT383" i="3" s="1"/>
  <c r="AT384" i="3" s="1"/>
  <c r="AT385" i="3" s="1"/>
  <c r="AT386" i="3" s="1"/>
  <c r="AT387" i="3" s="1"/>
  <c r="AT388" i="3" s="1"/>
  <c r="AT389" i="3" s="1"/>
  <c r="AT390" i="3" s="1"/>
  <c r="AT391" i="3" s="1"/>
  <c r="AT392" i="3" s="1"/>
  <c r="AT393" i="3" s="1"/>
  <c r="AT394" i="3" s="1"/>
  <c r="AT395" i="3" s="1"/>
  <c r="AT396" i="3" s="1"/>
  <c r="AT397" i="3" s="1"/>
  <c r="AT398" i="3" s="1"/>
  <c r="AT399" i="3" s="1"/>
  <c r="AT400" i="3" s="1"/>
  <c r="AT401" i="3" s="1"/>
  <c r="AT402" i="3" s="1"/>
  <c r="AT403" i="3" s="1"/>
  <c r="AT404" i="3" s="1"/>
  <c r="AT405" i="3" s="1"/>
  <c r="AT406" i="3" s="1"/>
  <c r="AT407" i="3" s="1"/>
  <c r="AT408" i="3" s="1"/>
  <c r="AT409" i="3" s="1"/>
  <c r="AT410" i="3" s="1"/>
  <c r="AT411" i="3" s="1"/>
  <c r="AT412" i="3" s="1"/>
  <c r="AT413" i="3" s="1"/>
  <c r="AT414" i="3" s="1"/>
  <c r="AT415" i="3" s="1"/>
  <c r="AT416" i="3" s="1"/>
  <c r="AT417" i="3" s="1"/>
  <c r="AT418" i="3" s="1"/>
  <c r="AT419" i="3" s="1"/>
  <c r="AT420" i="3" s="1"/>
  <c r="AT421" i="3" s="1"/>
  <c r="AT422" i="3" s="1"/>
  <c r="AT423" i="3" s="1"/>
  <c r="AT424" i="3" s="1"/>
  <c r="AT425" i="3" s="1"/>
  <c r="AT426" i="3" s="1"/>
  <c r="AT427" i="3" s="1"/>
  <c r="AT428" i="3" s="1"/>
  <c r="AT429" i="3" s="1"/>
  <c r="AT430" i="3" s="1"/>
  <c r="AT431" i="3" s="1"/>
  <c r="AT432" i="3" s="1"/>
  <c r="AT433" i="3" s="1"/>
  <c r="AT434" i="3" s="1"/>
  <c r="AT435" i="3" s="1"/>
  <c r="AT436" i="3" s="1"/>
  <c r="AT437" i="3" s="1"/>
  <c r="AT438" i="3" s="1"/>
  <c r="AT439" i="3" s="1"/>
  <c r="AT440" i="3" s="1"/>
  <c r="AT441" i="3" s="1"/>
  <c r="AT442" i="3" s="1"/>
  <c r="AT443" i="3" s="1"/>
  <c r="AT444" i="3" s="1"/>
  <c r="AT445" i="3" s="1"/>
  <c r="AT446" i="3" s="1"/>
  <c r="AT447" i="3" s="1"/>
  <c r="AT448" i="3" s="1"/>
  <c r="AT449" i="3" s="1"/>
  <c r="AT450" i="3" s="1"/>
  <c r="AT451" i="3" s="1"/>
  <c r="AT452" i="3" s="1"/>
  <c r="AT453" i="3" s="1"/>
  <c r="AT454" i="3" s="1"/>
  <c r="AT455" i="3" s="1"/>
  <c r="AT456" i="3" s="1"/>
  <c r="AT457" i="3" s="1"/>
  <c r="AT458" i="3" s="1"/>
  <c r="AT459" i="3" s="1"/>
  <c r="AT460" i="3" s="1"/>
  <c r="AT461" i="3" s="1"/>
  <c r="AT462" i="3" s="1"/>
  <c r="AT463" i="3" s="1"/>
  <c r="AT464" i="3" s="1"/>
  <c r="AT465" i="3" s="1"/>
  <c r="AT466" i="3" s="1"/>
  <c r="AT467" i="3" s="1"/>
  <c r="AT468" i="3" s="1"/>
  <c r="AT469" i="3" s="1"/>
  <c r="AT470" i="3" s="1"/>
  <c r="AT471" i="3" s="1"/>
  <c r="AT472" i="3" s="1"/>
  <c r="AT473" i="3" s="1"/>
  <c r="AT474" i="3" s="1"/>
  <c r="AT475" i="3" s="1"/>
  <c r="AT476" i="3" s="1"/>
  <c r="AT477" i="3" s="1"/>
  <c r="AT478" i="3" s="1"/>
  <c r="AT479" i="3" s="1"/>
  <c r="AT480" i="3" s="1"/>
  <c r="AT481" i="3" s="1"/>
  <c r="AT482" i="3" s="1"/>
  <c r="AT483" i="3" s="1"/>
  <c r="AT484" i="3" s="1"/>
  <c r="AT485" i="3" s="1"/>
  <c r="AT486" i="3" s="1"/>
  <c r="AT487" i="3" s="1"/>
  <c r="AT488" i="3" s="1"/>
  <c r="AT489" i="3" s="1"/>
  <c r="AT490" i="3" s="1"/>
  <c r="AT491" i="3" s="1"/>
  <c r="AT492" i="3" s="1"/>
  <c r="AT493" i="3" s="1"/>
  <c r="AT494" i="3" s="1"/>
  <c r="AT495" i="3" s="1"/>
  <c r="AT496" i="3" s="1"/>
  <c r="AT497" i="3" s="1"/>
  <c r="AT498" i="3" s="1"/>
  <c r="AT499" i="3" s="1"/>
  <c r="AT500" i="3" s="1"/>
  <c r="AT501" i="3" s="1"/>
  <c r="AT502" i="3" s="1"/>
  <c r="AT503" i="3" s="1"/>
  <c r="AT504" i="3" s="1"/>
  <c r="AT505" i="3" s="1"/>
  <c r="AT506" i="3" s="1"/>
  <c r="AT507" i="3" s="1"/>
  <c r="AT508" i="3" s="1"/>
  <c r="AT509" i="3" s="1"/>
  <c r="AT510" i="3" s="1"/>
  <c r="AT511" i="3" s="1"/>
  <c r="AT512" i="3" s="1"/>
  <c r="AT513" i="3" s="1"/>
  <c r="AT514" i="3" s="1"/>
  <c r="AT515" i="3" s="1"/>
  <c r="AT516" i="3" s="1"/>
  <c r="AT517" i="3" s="1"/>
  <c r="AT518" i="3" s="1"/>
  <c r="AT519" i="3" s="1"/>
  <c r="AT520" i="3" s="1"/>
  <c r="AT521" i="3" s="1"/>
  <c r="AT522" i="3" s="1"/>
  <c r="AT523" i="3" s="1"/>
  <c r="AT524" i="3" s="1"/>
  <c r="AT525" i="3" s="1"/>
  <c r="AT526" i="3" s="1"/>
  <c r="AT527" i="3" s="1"/>
  <c r="AT528" i="3" s="1"/>
  <c r="AT529" i="3" s="1"/>
  <c r="AT530" i="3" s="1"/>
  <c r="AT531" i="3" s="1"/>
  <c r="AT532" i="3" s="1"/>
  <c r="AT533" i="3" s="1"/>
  <c r="AT534" i="3" s="1"/>
  <c r="AT535" i="3" s="1"/>
  <c r="AT536" i="3" s="1"/>
  <c r="AT537" i="3" s="1"/>
  <c r="AT538" i="3" s="1"/>
  <c r="AT539" i="3" s="1"/>
  <c r="AT540" i="3" s="1"/>
  <c r="AT541" i="3" s="1"/>
  <c r="AT542" i="3" s="1"/>
  <c r="AT543" i="3" s="1"/>
  <c r="AT544" i="3" s="1"/>
  <c r="AT545" i="3" s="1"/>
  <c r="AT546" i="3" s="1"/>
  <c r="AT547" i="3" s="1"/>
  <c r="AT548" i="3" s="1"/>
  <c r="AT549" i="3" s="1"/>
  <c r="AT550" i="3" s="1"/>
  <c r="AT551" i="3" s="1"/>
  <c r="AT552" i="3" s="1"/>
  <c r="AT553" i="3" s="1"/>
  <c r="AT554" i="3" s="1"/>
  <c r="AT555" i="3" s="1"/>
  <c r="AT556" i="3" s="1"/>
  <c r="AT557" i="3" s="1"/>
  <c r="AT558" i="3" s="1"/>
  <c r="AT559" i="3" s="1"/>
  <c r="AT560" i="3" s="1"/>
  <c r="AT561" i="3" s="1"/>
  <c r="AT562" i="3" s="1"/>
  <c r="AT563" i="3" s="1"/>
  <c r="AT564" i="3" s="1"/>
  <c r="AT565" i="3" s="1"/>
  <c r="AT566" i="3" s="1"/>
  <c r="AT567" i="3" s="1"/>
  <c r="AT568" i="3" s="1"/>
  <c r="AT569" i="3" s="1"/>
  <c r="AT570" i="3" s="1"/>
  <c r="AT571" i="3" s="1"/>
  <c r="AT572" i="3" s="1"/>
  <c r="AT573" i="3" s="1"/>
  <c r="AT574" i="3" s="1"/>
  <c r="AT575" i="3" s="1"/>
  <c r="AT576" i="3" s="1"/>
  <c r="AT577" i="3" s="1"/>
  <c r="AT578" i="3" s="1"/>
  <c r="AT579" i="3" s="1"/>
  <c r="AT580" i="3" s="1"/>
  <c r="AT581" i="3" s="1"/>
  <c r="AT582" i="3" s="1"/>
  <c r="AT583" i="3" s="1"/>
  <c r="AT584" i="3" s="1"/>
  <c r="AT585" i="3" s="1"/>
  <c r="AT586" i="3" s="1"/>
  <c r="AT587" i="3" s="1"/>
  <c r="AT588" i="3" s="1"/>
  <c r="AT589" i="3" s="1"/>
  <c r="AT590" i="3" s="1"/>
  <c r="AT591" i="3" s="1"/>
  <c r="AT592" i="3" s="1"/>
  <c r="AT593" i="3" s="1"/>
  <c r="AT594" i="3" s="1"/>
  <c r="AT595" i="3" s="1"/>
  <c r="AT596" i="3" s="1"/>
  <c r="AT597" i="3" s="1"/>
  <c r="AT598" i="3" s="1"/>
  <c r="AT599" i="3" s="1"/>
  <c r="AT600" i="3" s="1"/>
  <c r="AT601" i="3" s="1"/>
  <c r="AT602" i="3" s="1"/>
  <c r="AT603" i="3" s="1"/>
  <c r="AT604" i="3" s="1"/>
  <c r="AT605" i="3" s="1"/>
  <c r="AT606" i="3" s="1"/>
  <c r="AT607" i="3" s="1"/>
  <c r="AT608" i="3" s="1"/>
  <c r="AT609" i="3" s="1"/>
  <c r="AT610" i="3" s="1"/>
  <c r="AT611" i="3" s="1"/>
  <c r="AT612" i="3" s="1"/>
  <c r="AT613" i="3" s="1"/>
  <c r="AT614" i="3" s="1"/>
  <c r="AT615" i="3" s="1"/>
  <c r="AT616" i="3" s="1"/>
  <c r="AT617" i="3" s="1"/>
  <c r="AT618" i="3" s="1"/>
  <c r="AT619" i="3" s="1"/>
  <c r="AT620" i="3" s="1"/>
  <c r="AT621" i="3" s="1"/>
  <c r="AT622" i="3" s="1"/>
  <c r="AT623" i="3" s="1"/>
  <c r="AT624" i="3" s="1"/>
  <c r="AT625" i="3" s="1"/>
  <c r="AT626" i="3" s="1"/>
  <c r="AT627" i="3" s="1"/>
  <c r="AT628" i="3" s="1"/>
  <c r="AT629" i="3" s="1"/>
  <c r="AT630" i="3" s="1"/>
  <c r="AT631" i="3" s="1"/>
  <c r="AT632" i="3" s="1"/>
  <c r="AT633" i="3" s="1"/>
  <c r="AT634" i="3" s="1"/>
  <c r="AT635" i="3" s="1"/>
  <c r="AT636" i="3" s="1"/>
  <c r="AT637" i="3" s="1"/>
  <c r="AT638" i="3" s="1"/>
  <c r="AT639" i="3" s="1"/>
  <c r="AT640" i="3" s="1"/>
  <c r="AT641" i="3" s="1"/>
  <c r="AT642" i="3" s="1"/>
  <c r="AT643" i="3" s="1"/>
  <c r="AT644" i="3" s="1"/>
  <c r="AT645" i="3" s="1"/>
  <c r="AT646" i="3" s="1"/>
  <c r="AT647" i="3" s="1"/>
  <c r="AT648" i="3" s="1"/>
  <c r="AT649" i="3" s="1"/>
  <c r="AT650" i="3" s="1"/>
  <c r="AT651" i="3" s="1"/>
  <c r="AT652" i="3" s="1"/>
  <c r="AT653" i="3" s="1"/>
  <c r="AT654" i="3" s="1"/>
  <c r="AT655" i="3" s="1"/>
  <c r="AT656" i="3" s="1"/>
  <c r="AT657" i="3" s="1"/>
  <c r="AT658" i="3" s="1"/>
  <c r="AT659" i="3" s="1"/>
  <c r="AT660" i="3" s="1"/>
  <c r="AT661" i="3" s="1"/>
  <c r="AT662" i="3" s="1"/>
  <c r="AT663" i="3" s="1"/>
  <c r="AT664" i="3" s="1"/>
  <c r="AT665" i="3" s="1"/>
  <c r="AT666" i="3" s="1"/>
  <c r="AT667" i="3" s="1"/>
  <c r="AT668" i="3" s="1"/>
  <c r="AT669" i="3" s="1"/>
  <c r="AT670" i="3" s="1"/>
  <c r="AT671" i="3" s="1"/>
  <c r="AT672" i="3" s="1"/>
  <c r="AT673" i="3" s="1"/>
  <c r="AT674" i="3" s="1"/>
  <c r="AT675" i="3" s="1"/>
  <c r="AT676" i="3" s="1"/>
  <c r="AT677" i="3" s="1"/>
  <c r="AT678" i="3" s="1"/>
  <c r="AT679" i="3" s="1"/>
  <c r="AT680" i="3" s="1"/>
  <c r="AT681" i="3" s="1"/>
  <c r="AT682" i="3" s="1"/>
  <c r="AT683" i="3" s="1"/>
  <c r="AT684" i="3" s="1"/>
  <c r="AT685" i="3" s="1"/>
  <c r="AT686" i="3" s="1"/>
  <c r="AT687" i="3" s="1"/>
  <c r="AT688" i="3" s="1"/>
  <c r="AT689" i="3" s="1"/>
  <c r="AT690" i="3" s="1"/>
  <c r="AT691" i="3" s="1"/>
  <c r="AT692" i="3" s="1"/>
  <c r="AT693" i="3" s="1"/>
  <c r="AT694" i="3" s="1"/>
  <c r="AT695" i="3" s="1"/>
  <c r="AT696" i="3" s="1"/>
  <c r="AT697" i="3" s="1"/>
  <c r="AT698" i="3" s="1"/>
  <c r="AT699" i="3" s="1"/>
  <c r="AT700" i="3" s="1"/>
  <c r="AT701" i="3" s="1"/>
  <c r="AT702" i="3" s="1"/>
  <c r="AT703" i="3" s="1"/>
  <c r="AT704" i="3" s="1"/>
  <c r="AT705" i="3" s="1"/>
  <c r="AT706" i="3" s="1"/>
  <c r="AT707" i="3" s="1"/>
  <c r="AT708" i="3" s="1"/>
  <c r="AT709" i="3" s="1"/>
  <c r="AT710" i="3" s="1"/>
  <c r="AT711" i="3" s="1"/>
  <c r="AT712" i="3" s="1"/>
  <c r="AT713" i="3" s="1"/>
  <c r="AT714" i="3" s="1"/>
  <c r="AT715" i="3" s="1"/>
  <c r="AT716" i="3" s="1"/>
  <c r="AT717" i="3" s="1"/>
  <c r="AT718" i="3" s="1"/>
  <c r="AT719" i="3" s="1"/>
  <c r="AT720" i="3" s="1"/>
  <c r="AT721" i="3" s="1"/>
  <c r="AT722" i="3" s="1"/>
  <c r="AT723" i="3" s="1"/>
  <c r="AT724" i="3" s="1"/>
  <c r="AT725" i="3" s="1"/>
  <c r="AT726" i="3" s="1"/>
  <c r="AT727" i="3" s="1"/>
  <c r="AT728" i="3" s="1"/>
  <c r="AT729" i="3" s="1"/>
  <c r="AT730" i="3" s="1"/>
  <c r="AT731" i="3" s="1"/>
  <c r="AT732" i="3" s="1"/>
  <c r="AT733" i="3" s="1"/>
  <c r="AT734" i="3" s="1"/>
  <c r="AT735" i="3" s="1"/>
  <c r="AT736" i="3" s="1"/>
  <c r="AT737" i="3" s="1"/>
  <c r="AT738" i="3" s="1"/>
  <c r="AT739" i="3" s="1"/>
  <c r="AT740" i="3" s="1"/>
  <c r="AT741" i="3" s="1"/>
  <c r="AT742" i="3" s="1"/>
  <c r="AT743" i="3" s="1"/>
  <c r="AT744" i="3" s="1"/>
  <c r="AT745" i="3" s="1"/>
  <c r="AT746" i="3" s="1"/>
  <c r="AT747" i="3" s="1"/>
  <c r="AT748" i="3" s="1"/>
  <c r="AT749" i="3" s="1"/>
  <c r="AT750" i="3" s="1"/>
  <c r="AT751" i="3" s="1"/>
  <c r="AT752" i="3" s="1"/>
  <c r="AT753" i="3" s="1"/>
  <c r="AT754" i="3" s="1"/>
  <c r="AT755" i="3" s="1"/>
  <c r="AT756" i="3" s="1"/>
  <c r="AT757" i="3" s="1"/>
  <c r="AT758" i="3" s="1"/>
  <c r="AT759" i="3" s="1"/>
  <c r="AT760" i="3" s="1"/>
  <c r="AT761" i="3" s="1"/>
  <c r="AT762" i="3" s="1"/>
  <c r="AT763" i="3" s="1"/>
  <c r="AT764" i="3" s="1"/>
  <c r="AT765" i="3" s="1"/>
  <c r="AT766" i="3" s="1"/>
  <c r="AT767" i="3" s="1"/>
  <c r="AT768" i="3" s="1"/>
  <c r="AT769" i="3" s="1"/>
  <c r="AT770" i="3" s="1"/>
  <c r="AT771" i="3" s="1"/>
  <c r="AT772" i="3" s="1"/>
  <c r="AT773" i="3" s="1"/>
  <c r="AT774" i="3" s="1"/>
  <c r="AT775" i="3" s="1"/>
  <c r="AT776" i="3" s="1"/>
  <c r="AT777" i="3" s="1"/>
  <c r="AT778" i="3" s="1"/>
  <c r="AT779" i="3" s="1"/>
  <c r="AT780" i="3" s="1"/>
  <c r="AT781" i="3" s="1"/>
  <c r="AT782" i="3" s="1"/>
  <c r="AT783" i="3" s="1"/>
  <c r="AT784" i="3" s="1"/>
  <c r="AT785" i="3" s="1"/>
  <c r="AT786" i="3" s="1"/>
  <c r="AT787" i="3" s="1"/>
  <c r="AT788" i="3" s="1"/>
  <c r="AT789" i="3" s="1"/>
  <c r="AT790" i="3" s="1"/>
  <c r="AT791" i="3" s="1"/>
  <c r="AT792" i="3" s="1"/>
  <c r="AT793" i="3" s="1"/>
  <c r="AT794" i="3" s="1"/>
  <c r="AT795" i="3" s="1"/>
  <c r="AT796" i="3" s="1"/>
  <c r="AT797" i="3" s="1"/>
  <c r="AT798" i="3" s="1"/>
  <c r="AT799" i="3" s="1"/>
  <c r="AT800" i="3" s="1"/>
  <c r="AT801" i="3" s="1"/>
  <c r="AT802" i="3" s="1"/>
  <c r="AT803" i="3" s="1"/>
  <c r="AT804" i="3" s="1"/>
  <c r="AT805" i="3" s="1"/>
  <c r="AT806" i="3" s="1"/>
  <c r="AT807" i="3" s="1"/>
  <c r="AT808" i="3" s="1"/>
  <c r="AT809" i="3" s="1"/>
  <c r="AT810" i="3" s="1"/>
  <c r="AT811" i="3" s="1"/>
  <c r="AT812" i="3" s="1"/>
  <c r="AT813" i="3" s="1"/>
  <c r="AT814" i="3" s="1"/>
  <c r="AT815" i="3" s="1"/>
  <c r="AT816" i="3" s="1"/>
  <c r="AT817" i="3" s="1"/>
  <c r="AT818" i="3" s="1"/>
  <c r="AT819" i="3" s="1"/>
  <c r="AT820" i="3" s="1"/>
  <c r="AT821" i="3" s="1"/>
  <c r="AT822" i="3" s="1"/>
  <c r="AT823" i="3" s="1"/>
  <c r="AT824" i="3" s="1"/>
  <c r="AT825" i="3" s="1"/>
  <c r="AT826" i="3" s="1"/>
  <c r="AT827" i="3" s="1"/>
  <c r="AT828" i="3" s="1"/>
  <c r="AT829" i="3" s="1"/>
  <c r="AT830" i="3" s="1"/>
  <c r="AT831" i="3" s="1"/>
  <c r="AT832" i="3" s="1"/>
  <c r="AT833" i="3" s="1"/>
  <c r="AT834" i="3" s="1"/>
  <c r="AT835" i="3" s="1"/>
  <c r="AT836" i="3" s="1"/>
  <c r="AT837" i="3" s="1"/>
  <c r="AT838" i="3" s="1"/>
  <c r="AT839" i="3" s="1"/>
  <c r="AT840" i="3" s="1"/>
  <c r="AT841" i="3" s="1"/>
  <c r="AT842" i="3" s="1"/>
  <c r="AT843" i="3" s="1"/>
  <c r="AT844" i="3" s="1"/>
  <c r="AT845" i="3" s="1"/>
  <c r="AT846" i="3" s="1"/>
  <c r="AT847" i="3" s="1"/>
  <c r="AT848" i="3" s="1"/>
  <c r="AT849" i="3" s="1"/>
  <c r="AT850" i="3" s="1"/>
  <c r="AT851" i="3" s="1"/>
  <c r="AT852" i="3" s="1"/>
  <c r="AT853" i="3" s="1"/>
  <c r="AT854" i="3" s="1"/>
  <c r="AT855" i="3" s="1"/>
  <c r="AT856" i="3" s="1"/>
  <c r="AT857" i="3" s="1"/>
  <c r="AT858" i="3" s="1"/>
  <c r="AT859" i="3" s="1"/>
  <c r="AT860" i="3" s="1"/>
  <c r="AT861" i="3" s="1"/>
  <c r="AT862" i="3" s="1"/>
  <c r="AT863" i="3" s="1"/>
  <c r="AT864" i="3" s="1"/>
  <c r="AT865" i="3" s="1"/>
  <c r="AT866" i="3" s="1"/>
  <c r="AT867" i="3" s="1"/>
  <c r="AT868" i="3" s="1"/>
  <c r="AT869" i="3" s="1"/>
  <c r="AT870" i="3" s="1"/>
  <c r="AT871" i="3" s="1"/>
  <c r="AT872" i="3" s="1"/>
  <c r="AT873" i="3" s="1"/>
  <c r="AT874" i="3" s="1"/>
  <c r="AT875" i="3" s="1"/>
  <c r="AT876" i="3" s="1"/>
  <c r="AT877" i="3" s="1"/>
  <c r="AT878" i="3" s="1"/>
  <c r="AT879" i="3" s="1"/>
  <c r="AT880" i="3" s="1"/>
  <c r="AT881" i="3" s="1"/>
  <c r="AT882" i="3" s="1"/>
  <c r="AT883" i="3" s="1"/>
  <c r="AT884" i="3" s="1"/>
  <c r="AT885" i="3" s="1"/>
  <c r="AT886" i="3" s="1"/>
  <c r="AT887" i="3" s="1"/>
  <c r="AT888" i="3" s="1"/>
  <c r="AT889" i="3" s="1"/>
  <c r="AT890" i="3" s="1"/>
  <c r="AT891" i="3" s="1"/>
  <c r="AT892" i="3" s="1"/>
  <c r="AT893" i="3" s="1"/>
  <c r="AT894" i="3" s="1"/>
  <c r="AT895" i="3" s="1"/>
  <c r="AT896" i="3" s="1"/>
  <c r="AT897" i="3" s="1"/>
  <c r="AT898" i="3" s="1"/>
  <c r="AT899" i="3" s="1"/>
  <c r="AT900" i="3" s="1"/>
  <c r="AT901" i="3" s="1"/>
  <c r="AT902" i="3" s="1"/>
  <c r="AT903" i="3" s="1"/>
  <c r="AT904" i="3" s="1"/>
  <c r="AT905" i="3" s="1"/>
  <c r="AT906" i="3" s="1"/>
  <c r="AT907" i="3" s="1"/>
  <c r="AT908" i="3" s="1"/>
  <c r="AT909" i="3" s="1"/>
  <c r="AT910" i="3" s="1"/>
  <c r="AT911" i="3" s="1"/>
  <c r="AT912" i="3" s="1"/>
  <c r="AT913" i="3" s="1"/>
  <c r="AT914" i="3" s="1"/>
  <c r="AT915" i="3" s="1"/>
  <c r="AT916" i="3" s="1"/>
  <c r="AT917" i="3" s="1"/>
  <c r="AT918" i="3" s="1"/>
  <c r="AT919" i="3" s="1"/>
  <c r="AT920" i="3" s="1"/>
  <c r="AT921" i="3" s="1"/>
  <c r="AT922" i="3" s="1"/>
  <c r="AT923" i="3" s="1"/>
  <c r="AT924" i="3" s="1"/>
  <c r="AT925" i="3" s="1"/>
  <c r="AT926" i="3" s="1"/>
  <c r="AT927" i="3" s="1"/>
  <c r="AT928" i="3" s="1"/>
  <c r="AT929" i="3" s="1"/>
  <c r="AT930" i="3" s="1"/>
  <c r="AT931" i="3" s="1"/>
  <c r="AT932" i="3" s="1"/>
  <c r="AT933" i="3" s="1"/>
  <c r="AT934" i="3" s="1"/>
  <c r="AT935" i="3" s="1"/>
  <c r="AT936" i="3" s="1"/>
  <c r="AT937" i="3" s="1"/>
  <c r="AT938" i="3" s="1"/>
  <c r="AT939" i="3" s="1"/>
  <c r="AT940" i="3" s="1"/>
  <c r="AT941" i="3" s="1"/>
  <c r="AT942" i="3" s="1"/>
  <c r="AT943" i="3" s="1"/>
  <c r="AT944" i="3" s="1"/>
  <c r="AT945" i="3" s="1"/>
  <c r="AT946" i="3" s="1"/>
  <c r="AT947" i="3" s="1"/>
  <c r="AT948" i="3" s="1"/>
  <c r="AT949" i="3" s="1"/>
  <c r="AT950" i="3" s="1"/>
  <c r="AT951" i="3" s="1"/>
  <c r="AT952" i="3" s="1"/>
  <c r="AT953" i="3" s="1"/>
  <c r="AT954" i="3" s="1"/>
  <c r="AT955" i="3" s="1"/>
  <c r="AT956" i="3" s="1"/>
  <c r="AT957" i="3" s="1"/>
  <c r="AT958" i="3" s="1"/>
  <c r="AT959" i="3" s="1"/>
  <c r="AT960" i="3" s="1"/>
  <c r="AT961" i="3" s="1"/>
  <c r="AT962" i="3" s="1"/>
  <c r="AT963" i="3" s="1"/>
  <c r="AT964" i="3" s="1"/>
  <c r="AT965" i="3" s="1"/>
  <c r="AT966" i="3" s="1"/>
  <c r="AT967" i="3" s="1"/>
  <c r="AT968" i="3" s="1"/>
  <c r="AT969" i="3" s="1"/>
  <c r="AT970" i="3" s="1"/>
  <c r="AT971" i="3" s="1"/>
  <c r="AT972" i="3" s="1"/>
  <c r="AT973" i="3" s="1"/>
  <c r="AT974" i="3" s="1"/>
  <c r="AT975" i="3" s="1"/>
  <c r="AT976" i="3" s="1"/>
  <c r="AT977" i="3" s="1"/>
  <c r="AT978" i="3" s="1"/>
  <c r="AT979" i="3" s="1"/>
  <c r="AT980" i="3" s="1"/>
  <c r="AT981" i="3" s="1"/>
  <c r="AT982" i="3" s="1"/>
  <c r="AT983" i="3" s="1"/>
  <c r="AT984" i="3" s="1"/>
  <c r="AT985" i="3" s="1"/>
  <c r="AT986" i="3" s="1"/>
  <c r="AT987" i="3" s="1"/>
  <c r="AT988" i="3" s="1"/>
  <c r="AT989" i="3" s="1"/>
  <c r="AT990" i="3" s="1"/>
  <c r="AT991" i="3" s="1"/>
  <c r="AT992" i="3" s="1"/>
  <c r="AT993" i="3" s="1"/>
  <c r="AT994" i="3" s="1"/>
  <c r="AT995" i="3" s="1"/>
  <c r="AT996" i="3" s="1"/>
  <c r="AT997" i="3" s="1"/>
  <c r="AT998" i="3" s="1"/>
  <c r="AT999" i="3" s="1"/>
  <c r="AT1000" i="3" s="1"/>
  <c r="AT1001" i="3" s="1"/>
  <c r="AT1002" i="3" s="1"/>
  <c r="AT1003" i="3" s="1"/>
  <c r="AT1004" i="3" s="1"/>
  <c r="AT1005" i="3" s="1"/>
  <c r="AT1006" i="3" s="1"/>
  <c r="AT1007" i="3" s="1"/>
  <c r="AT1008" i="3" s="1"/>
  <c r="AT1009" i="3" s="1"/>
  <c r="AT1010" i="3" s="1"/>
  <c r="AT1011" i="3" s="1"/>
  <c r="AT1012" i="3" s="1"/>
  <c r="AT1013" i="3" s="1"/>
  <c r="AT1014" i="3" s="1"/>
  <c r="AT1015" i="3" s="1"/>
  <c r="AT1016" i="3" s="1"/>
  <c r="AT1017" i="3" s="1"/>
  <c r="AT1018" i="3" s="1"/>
  <c r="AT1019" i="3" s="1"/>
  <c r="AT1020" i="3" s="1"/>
  <c r="AT1021" i="3" s="1"/>
  <c r="AT1022" i="3" s="1"/>
  <c r="AT1023" i="3" s="1"/>
  <c r="AT1024" i="3" s="1"/>
  <c r="AT1025" i="3" s="1"/>
  <c r="AT1026" i="3" s="1"/>
  <c r="AT1027" i="3" s="1"/>
  <c r="AT1028" i="3" s="1"/>
  <c r="AT1029" i="3" s="1"/>
  <c r="AT1030" i="3" s="1"/>
  <c r="AT1031" i="3" s="1"/>
  <c r="AT1032" i="3" s="1"/>
  <c r="AT1033" i="3" s="1"/>
  <c r="AT1034" i="3" s="1"/>
  <c r="AT1035" i="3" s="1"/>
  <c r="AT1036" i="3" s="1"/>
  <c r="AT1037" i="3" s="1"/>
  <c r="AT1038" i="3" s="1"/>
  <c r="AT1039" i="3" s="1"/>
  <c r="AT1040" i="3" s="1"/>
  <c r="AT1041" i="3" s="1"/>
  <c r="AT1042" i="3" s="1"/>
  <c r="AT1043" i="3" s="1"/>
  <c r="AT1044" i="3" s="1"/>
  <c r="AT1045" i="3" s="1"/>
  <c r="AT1046" i="3" s="1"/>
  <c r="AT1047" i="3" s="1"/>
  <c r="AT1048" i="3" s="1"/>
  <c r="AT1049" i="3" s="1"/>
  <c r="AT1050" i="3" s="1"/>
  <c r="AT1051" i="3" s="1"/>
  <c r="AT1052" i="3" s="1"/>
  <c r="AT1053" i="3" s="1"/>
  <c r="AT1054" i="3" s="1"/>
  <c r="AT1055" i="3" s="1"/>
  <c r="AT1056" i="3" s="1"/>
  <c r="AT1057" i="3" s="1"/>
  <c r="AT1058" i="3" s="1"/>
  <c r="AT1059" i="3" s="1"/>
  <c r="AT1060" i="3" s="1"/>
  <c r="AT1061" i="3" s="1"/>
  <c r="AT1062" i="3" s="1"/>
  <c r="AT1063" i="3" s="1"/>
  <c r="AT1064" i="3" s="1"/>
  <c r="AT1065" i="3" s="1"/>
  <c r="AT1066" i="3" s="1"/>
  <c r="AT1067" i="3" s="1"/>
  <c r="AT1068" i="3" s="1"/>
  <c r="AT1069" i="3" s="1"/>
  <c r="AT1070" i="3" s="1"/>
  <c r="AT1071" i="3" s="1"/>
  <c r="AT1072" i="3" s="1"/>
  <c r="AT1073" i="3" s="1"/>
  <c r="AT1074" i="3" s="1"/>
  <c r="AT1075" i="3" s="1"/>
  <c r="AT1076" i="3" s="1"/>
  <c r="AT1077" i="3" s="1"/>
  <c r="AT1078" i="3" s="1"/>
  <c r="AT1079" i="3" s="1"/>
  <c r="AT1080" i="3" s="1"/>
  <c r="AT1081" i="3" s="1"/>
  <c r="AT1082" i="3" s="1"/>
  <c r="AT1083" i="3" s="1"/>
  <c r="AT1084" i="3" s="1"/>
  <c r="AT1085" i="3" s="1"/>
  <c r="AT1086" i="3" s="1"/>
  <c r="AT1087" i="3" s="1"/>
  <c r="AT1088" i="3" s="1"/>
  <c r="AT1089" i="3" s="1"/>
  <c r="AT1090" i="3" s="1"/>
  <c r="AT1091" i="3" s="1"/>
  <c r="AT1092" i="3" s="1"/>
  <c r="AT1093" i="3" s="1"/>
  <c r="AT1094" i="3" s="1"/>
  <c r="AT1095" i="3" s="1"/>
  <c r="AT1096" i="3" s="1"/>
  <c r="AT1097" i="3" s="1"/>
  <c r="AT1098" i="3" s="1"/>
  <c r="AT1099" i="3" s="1"/>
  <c r="AT1100" i="3" s="1"/>
  <c r="AT1101" i="3" s="1"/>
  <c r="AT1102" i="3" s="1"/>
  <c r="AT1103" i="3" s="1"/>
  <c r="AT1104" i="3" s="1"/>
  <c r="AT1105" i="3" s="1"/>
  <c r="AT1106" i="3" s="1"/>
  <c r="AT1107" i="3" s="1"/>
  <c r="AT1108" i="3" s="1"/>
  <c r="AT1109" i="3" s="1"/>
  <c r="AT1110" i="3" s="1"/>
  <c r="AT1111" i="3" s="1"/>
  <c r="AT1112" i="3" s="1"/>
  <c r="AT1113" i="3" s="1"/>
  <c r="AT1114" i="3" s="1"/>
  <c r="AT1115" i="3" s="1"/>
  <c r="AT1116" i="3" s="1"/>
  <c r="AT1117" i="3" s="1"/>
  <c r="AT1118" i="3" s="1"/>
  <c r="AT1119" i="3" s="1"/>
  <c r="AT1120" i="3" s="1"/>
  <c r="AT1121" i="3" s="1"/>
  <c r="AT1122" i="3" s="1"/>
  <c r="AT1123" i="3" s="1"/>
  <c r="AT1124" i="3" s="1"/>
  <c r="AT1125" i="3" s="1"/>
  <c r="AT1126" i="3" s="1"/>
  <c r="AT1127" i="3" s="1"/>
  <c r="AT1128" i="3" s="1"/>
  <c r="AT1129" i="3" s="1"/>
  <c r="AT1130" i="3" s="1"/>
  <c r="AT1131" i="3" s="1"/>
  <c r="AT1132" i="3" s="1"/>
  <c r="AT1133" i="3" s="1"/>
  <c r="AT1134" i="3" s="1"/>
  <c r="AT1135" i="3" s="1"/>
  <c r="AT1136" i="3" s="1"/>
  <c r="AT1137" i="3" s="1"/>
  <c r="AT1138" i="3" s="1"/>
  <c r="AT1139" i="3" s="1"/>
  <c r="AT1140" i="3" s="1"/>
  <c r="AT1141" i="3" s="1"/>
  <c r="AT1142" i="3" s="1"/>
  <c r="AT1143" i="3" s="1"/>
  <c r="AT1144" i="3" s="1"/>
  <c r="AT1145" i="3" s="1"/>
  <c r="AT1146" i="3" s="1"/>
  <c r="AT1147" i="3" s="1"/>
  <c r="AT1148" i="3" s="1"/>
  <c r="AT1149" i="3" s="1"/>
  <c r="AT1150" i="3" s="1"/>
  <c r="AT1151" i="3" s="1"/>
  <c r="AT1152" i="3" s="1"/>
  <c r="AT1153" i="3" s="1"/>
  <c r="AT1154" i="3" s="1"/>
  <c r="AT1155" i="3" s="1"/>
  <c r="AT1156" i="3" s="1"/>
  <c r="AT1157" i="3" s="1"/>
  <c r="AT1158" i="3" s="1"/>
  <c r="AT1159" i="3" s="1"/>
  <c r="AT1160" i="3" s="1"/>
  <c r="AT1161" i="3" s="1"/>
  <c r="AT1162" i="3" s="1"/>
  <c r="AT1163" i="3" s="1"/>
  <c r="AT1164" i="3" s="1"/>
  <c r="AT1165" i="3" s="1"/>
  <c r="AT1166" i="3" s="1"/>
  <c r="AT1167" i="3" s="1"/>
  <c r="AT1168" i="3" s="1"/>
  <c r="AT1169" i="3" s="1"/>
  <c r="AT1170" i="3" s="1"/>
  <c r="AT1171" i="3" s="1"/>
  <c r="AT1172" i="3" s="1"/>
  <c r="AT1173" i="3" s="1"/>
  <c r="AT1174" i="3" s="1"/>
  <c r="AT1175" i="3" s="1"/>
  <c r="AT1176" i="3" s="1"/>
  <c r="AT1177" i="3" s="1"/>
  <c r="AT1178" i="3" s="1"/>
  <c r="AT1179" i="3" s="1"/>
  <c r="AT1180" i="3" s="1"/>
  <c r="AT1181" i="3" s="1"/>
  <c r="AT1182" i="3" s="1"/>
  <c r="AT1183" i="3" s="1"/>
  <c r="AT1184" i="3" s="1"/>
  <c r="AT1185" i="3" s="1"/>
  <c r="AT1186" i="3" s="1"/>
  <c r="AT1187" i="3" s="1"/>
  <c r="AT1188" i="3" s="1"/>
  <c r="AT1189" i="3" s="1"/>
  <c r="AT1190" i="3" s="1"/>
  <c r="AT1191" i="3" s="1"/>
  <c r="AT1192" i="3" s="1"/>
  <c r="AT1193" i="3" s="1"/>
  <c r="AT1194" i="3" s="1"/>
  <c r="AT1195" i="3" s="1"/>
  <c r="AT1196" i="3" s="1"/>
  <c r="AT1197" i="3" s="1"/>
  <c r="AT1198" i="3" s="1"/>
  <c r="AT1199" i="3" s="1"/>
  <c r="AT1200" i="3" s="1"/>
  <c r="AT1201" i="3" s="1"/>
  <c r="AT1202" i="3" s="1"/>
  <c r="AT1203" i="3" s="1"/>
  <c r="AT1204" i="3" s="1"/>
  <c r="AT1205" i="3" s="1"/>
  <c r="AT1206" i="3" s="1"/>
  <c r="AT1207" i="3" s="1"/>
  <c r="AT1208" i="3" s="1"/>
  <c r="AT1209" i="3" s="1"/>
  <c r="AT1210" i="3" s="1"/>
  <c r="AT1211" i="3" s="1"/>
  <c r="AT1212" i="3" s="1"/>
  <c r="AT1213" i="3" s="1"/>
  <c r="AT1214" i="3" s="1"/>
  <c r="AT1215" i="3" s="1"/>
  <c r="AT1216" i="3" s="1"/>
  <c r="AT1217" i="3" s="1"/>
  <c r="AT1218" i="3" s="1"/>
  <c r="AT1219" i="3" s="1"/>
  <c r="AT1220" i="3" s="1"/>
  <c r="AT1221" i="3" s="1"/>
  <c r="AT1222" i="3" s="1"/>
  <c r="AT1223" i="3" s="1"/>
  <c r="AT1224" i="3" s="1"/>
  <c r="AT1225" i="3" s="1"/>
  <c r="AT1226" i="3" s="1"/>
  <c r="AT1227" i="3" s="1"/>
  <c r="AT1228" i="3" s="1"/>
  <c r="AT1229" i="3" s="1"/>
  <c r="AT1230" i="3" s="1"/>
  <c r="AT1231" i="3" s="1"/>
  <c r="AT1232" i="3" s="1"/>
  <c r="AT1233" i="3" s="1"/>
  <c r="AT1234" i="3" s="1"/>
  <c r="AT1235" i="3" s="1"/>
  <c r="AT1236" i="3" s="1"/>
  <c r="AT1237" i="3" s="1"/>
  <c r="AT1238" i="3" s="1"/>
  <c r="AT1239" i="3" s="1"/>
  <c r="AT1240" i="3" s="1"/>
  <c r="AT1241" i="3" s="1"/>
  <c r="AT1242" i="3" s="1"/>
  <c r="AT1243" i="3" s="1"/>
  <c r="AT1244" i="3" s="1"/>
  <c r="AT1245" i="3" s="1"/>
  <c r="AT1246" i="3" s="1"/>
  <c r="AT1247" i="3" s="1"/>
  <c r="AT1248" i="3" s="1"/>
  <c r="AT1249" i="3" s="1"/>
  <c r="AT1250" i="3" s="1"/>
  <c r="AT1251" i="3" s="1"/>
  <c r="AT1252" i="3" s="1"/>
  <c r="AT1253" i="3" s="1"/>
  <c r="AT1254" i="3" s="1"/>
  <c r="AT1255" i="3" s="1"/>
  <c r="AT1256" i="3" s="1"/>
  <c r="AT1257" i="3" s="1"/>
  <c r="AT1258" i="3" s="1"/>
  <c r="AT1259" i="3" s="1"/>
  <c r="AT1260" i="3" s="1"/>
  <c r="AT1261" i="3" s="1"/>
  <c r="AT1262" i="3" s="1"/>
  <c r="AT1263" i="3" s="1"/>
  <c r="AT1264" i="3" s="1"/>
  <c r="AT1265" i="3" s="1"/>
  <c r="AT1266" i="3" s="1"/>
  <c r="AT1267" i="3" s="1"/>
  <c r="AT1268" i="3" s="1"/>
  <c r="AT1269" i="3" s="1"/>
  <c r="AT1270" i="3" s="1"/>
  <c r="AT1271" i="3" s="1"/>
  <c r="AT1272" i="3" s="1"/>
  <c r="AT1273" i="3" s="1"/>
  <c r="AT1274" i="3" s="1"/>
  <c r="AT1275" i="3" s="1"/>
  <c r="AT1276" i="3" s="1"/>
  <c r="AT1277" i="3" s="1"/>
  <c r="AT1278" i="3" s="1"/>
  <c r="AT1279" i="3" s="1"/>
  <c r="AT1280" i="3" s="1"/>
  <c r="AT1281" i="3" s="1"/>
  <c r="AT1282" i="3" s="1"/>
  <c r="AT1283" i="3" s="1"/>
  <c r="AT1284" i="3" s="1"/>
  <c r="AT1285" i="3" s="1"/>
  <c r="AT1286" i="3" s="1"/>
  <c r="AT1287" i="3" s="1"/>
  <c r="AT1288" i="3" s="1"/>
  <c r="AT1289" i="3" s="1"/>
  <c r="AT1290" i="3" s="1"/>
  <c r="AT1291" i="3" s="1"/>
  <c r="AT1292" i="3" s="1"/>
  <c r="AT1293" i="3" s="1"/>
  <c r="AT1294" i="3" s="1"/>
  <c r="AT1295" i="3" s="1"/>
  <c r="AT1296" i="3" s="1"/>
  <c r="AT1297" i="3" s="1"/>
  <c r="AT1298" i="3" s="1"/>
  <c r="AT1299" i="3" s="1"/>
  <c r="AT1300" i="3" s="1"/>
  <c r="AT1301" i="3" s="1"/>
  <c r="AT1302" i="3" s="1"/>
  <c r="AT1303" i="3" s="1"/>
  <c r="AT1304" i="3" s="1"/>
  <c r="AT1305" i="3" s="1"/>
  <c r="AT1306" i="3" s="1"/>
  <c r="AT1307" i="3" s="1"/>
  <c r="AT1308" i="3" s="1"/>
  <c r="AT1309" i="3" s="1"/>
  <c r="AT1310" i="3" s="1"/>
  <c r="AT1311" i="3" s="1"/>
  <c r="AT1312" i="3" s="1"/>
  <c r="AT1313" i="3" s="1"/>
  <c r="AT1314" i="3" s="1"/>
  <c r="AT1315" i="3" s="1"/>
  <c r="AT1316" i="3" s="1"/>
  <c r="AT1317" i="3" s="1"/>
  <c r="AT1318" i="3" s="1"/>
  <c r="AT1319" i="3" s="1"/>
  <c r="AT1320" i="3" s="1"/>
  <c r="AT1321" i="3" s="1"/>
  <c r="AT1322" i="3" s="1"/>
  <c r="AT1323" i="3" s="1"/>
  <c r="AT1324" i="3" s="1"/>
  <c r="AT1325" i="3" s="1"/>
  <c r="AT1326" i="3" s="1"/>
  <c r="AT1327" i="3" s="1"/>
  <c r="AT1328" i="3" s="1"/>
  <c r="AT1329" i="3" s="1"/>
  <c r="AT1330" i="3" s="1"/>
  <c r="AT1331" i="3" s="1"/>
  <c r="AT1332" i="3" s="1"/>
  <c r="AT1333" i="3" s="1"/>
  <c r="AT1334" i="3" s="1"/>
  <c r="AT1335" i="3" s="1"/>
  <c r="AT1336" i="3" s="1"/>
  <c r="AT1337" i="3" s="1"/>
  <c r="AT1338" i="3" s="1"/>
  <c r="AT1339" i="3" s="1"/>
  <c r="AT1340" i="3" s="1"/>
  <c r="AT1341" i="3" s="1"/>
  <c r="AT1342" i="3" s="1"/>
  <c r="AT1343" i="3" s="1"/>
  <c r="AT1344" i="3" s="1"/>
  <c r="AT1345" i="3" s="1"/>
  <c r="AT1346" i="3" s="1"/>
  <c r="AT1347" i="3" s="1"/>
  <c r="AT1348" i="3" s="1"/>
  <c r="AT1349" i="3" s="1"/>
  <c r="AT1350" i="3" s="1"/>
  <c r="AT1351" i="3" s="1"/>
  <c r="AT1352" i="3" s="1"/>
  <c r="AT1353" i="3" s="1"/>
  <c r="AT1354" i="3" s="1"/>
  <c r="AT1355" i="3" s="1"/>
  <c r="AT1356" i="3" s="1"/>
  <c r="AT1357" i="3" s="1"/>
  <c r="AT1358" i="3" s="1"/>
  <c r="AT1359" i="3" s="1"/>
  <c r="AT1360" i="3" s="1"/>
  <c r="AT1361" i="3" s="1"/>
  <c r="AT1362" i="3" s="1"/>
  <c r="AT1363" i="3" s="1"/>
  <c r="AT1364" i="3" s="1"/>
  <c r="AT1365" i="3" s="1"/>
  <c r="AT1366" i="3" s="1"/>
  <c r="AT1367" i="3" s="1"/>
  <c r="AT1368" i="3" s="1"/>
  <c r="AT1369" i="3" s="1"/>
  <c r="AT1370" i="3" s="1"/>
  <c r="AT1371" i="3" s="1"/>
  <c r="AT1372" i="3" s="1"/>
  <c r="AT1373" i="3" s="1"/>
  <c r="AT1374" i="3" s="1"/>
  <c r="AT1375" i="3" s="1"/>
  <c r="AT1376" i="3" s="1"/>
  <c r="AT1377" i="3" s="1"/>
  <c r="AT1378" i="3" s="1"/>
  <c r="AT1379" i="3" s="1"/>
  <c r="AT1380" i="3" s="1"/>
  <c r="AT1381" i="3" s="1"/>
  <c r="AT1382" i="3" s="1"/>
  <c r="AT1383" i="3" s="1"/>
  <c r="AT1384" i="3" s="1"/>
  <c r="AT1385" i="3" s="1"/>
  <c r="AT1386" i="3" s="1"/>
  <c r="AT1387" i="3" s="1"/>
  <c r="AT1388" i="3" s="1"/>
  <c r="AT1389" i="3" s="1"/>
  <c r="AT1390" i="3" s="1"/>
  <c r="AT1391" i="3" s="1"/>
  <c r="AT1392" i="3" s="1"/>
  <c r="AT1393" i="3" s="1"/>
  <c r="AT1394" i="3" s="1"/>
  <c r="AT1395" i="3" s="1"/>
  <c r="AT1396" i="3" s="1"/>
  <c r="AT1397" i="3" s="1"/>
  <c r="AT1398" i="3" s="1"/>
  <c r="AT1399" i="3" s="1"/>
  <c r="AT1400" i="3" s="1"/>
  <c r="AT1401" i="3" s="1"/>
  <c r="AT1402" i="3" s="1"/>
  <c r="AT1403" i="3" s="1"/>
  <c r="AT1404" i="3" s="1"/>
  <c r="AT1405" i="3" s="1"/>
  <c r="AT1406" i="3" s="1"/>
  <c r="AT1407" i="3" s="1"/>
  <c r="AT1408" i="3" s="1"/>
  <c r="AT1409" i="3" s="1"/>
  <c r="AT1410" i="3" s="1"/>
  <c r="AT1411" i="3" s="1"/>
  <c r="AT1412" i="3" s="1"/>
  <c r="AT1413" i="3" s="1"/>
  <c r="AT1414" i="3" s="1"/>
  <c r="AT1415" i="3" s="1"/>
  <c r="AT1416" i="3" s="1"/>
  <c r="AT1417" i="3" s="1"/>
  <c r="AT1418" i="3" s="1"/>
  <c r="AT1419" i="3" s="1"/>
  <c r="AT1420" i="3" s="1"/>
  <c r="AT1421" i="3" s="1"/>
  <c r="AT1422" i="3" s="1"/>
  <c r="AT1423" i="3" s="1"/>
  <c r="AT1424" i="3" s="1"/>
  <c r="AT1425" i="3" s="1"/>
  <c r="AT1426" i="3" s="1"/>
  <c r="AT1427" i="3" s="1"/>
  <c r="AT1428" i="3" s="1"/>
  <c r="AT1429" i="3" s="1"/>
  <c r="AT1430" i="3" s="1"/>
  <c r="AT1431" i="3" s="1"/>
  <c r="AT1432" i="3" s="1"/>
  <c r="AT1433" i="3" s="1"/>
  <c r="AT1434" i="3" s="1"/>
  <c r="AT1435" i="3" s="1"/>
  <c r="AT1436" i="3" s="1"/>
  <c r="AT1437" i="3" s="1"/>
  <c r="AT1438" i="3" s="1"/>
  <c r="AT1439" i="3" s="1"/>
  <c r="AR4" i="3" a="1"/>
  <c r="AR4" i="3" s="1"/>
  <c r="AR5" i="3" a="1"/>
  <c r="AR5" i="3" s="1"/>
  <c r="AR6" i="3" a="1"/>
  <c r="AR6" i="3" s="1"/>
  <c r="AR7" i="3" a="1"/>
  <c r="AR7" i="3" s="1"/>
  <c r="AR8" i="3" a="1"/>
  <c r="AR8" i="3" s="1"/>
  <c r="AR9" i="3" a="1"/>
  <c r="AR9" i="3" s="1"/>
  <c r="AR10" i="3" a="1"/>
  <c r="AR10" i="3" s="1"/>
  <c r="AR11" i="3" a="1"/>
  <c r="AR11" i="3" s="1"/>
  <c r="AR12" i="3" a="1"/>
  <c r="AR12" i="3" s="1"/>
  <c r="AR13" i="3" a="1"/>
  <c r="AR13" i="3" s="1"/>
  <c r="AR14" i="3" a="1"/>
  <c r="AR14" i="3" s="1"/>
  <c r="AR15" i="3" a="1"/>
  <c r="AR15" i="3" s="1"/>
  <c r="AR16" i="3" a="1"/>
  <c r="AR16" i="3" s="1"/>
  <c r="AR17" i="3" a="1"/>
  <c r="AR17" i="3" s="1"/>
  <c r="AR18" i="3" a="1"/>
  <c r="AR18" i="3" s="1"/>
  <c r="AR19" i="3" a="1"/>
  <c r="AR19" i="3" s="1"/>
  <c r="AR20" i="3" a="1"/>
  <c r="AR20" i="3" s="1"/>
  <c r="AR21" i="3" a="1"/>
  <c r="AR21" i="3" s="1"/>
  <c r="AR22" i="3" a="1"/>
  <c r="AR22" i="3" s="1"/>
  <c r="AR23" i="3" a="1"/>
  <c r="AR23" i="3" s="1"/>
  <c r="AR24" i="3" a="1"/>
  <c r="AR24" i="3" s="1"/>
  <c r="AR25" i="3" a="1"/>
  <c r="AR25" i="3" s="1"/>
  <c r="AR26" i="3" a="1"/>
  <c r="AR26" i="3" s="1"/>
  <c r="AR27" i="3" a="1"/>
  <c r="AR27" i="3" s="1"/>
  <c r="AR28" i="3" a="1"/>
  <c r="AR28" i="3" s="1"/>
  <c r="AR29" i="3" a="1"/>
  <c r="AR29" i="3" s="1"/>
  <c r="AR30" i="3" a="1"/>
  <c r="AR30" i="3" s="1"/>
  <c r="AR31" i="3" a="1"/>
  <c r="AR31" i="3" s="1"/>
  <c r="AR32" i="3" a="1"/>
  <c r="AR32" i="3" s="1"/>
  <c r="AR33" i="3" a="1"/>
  <c r="AR33" i="3" s="1"/>
  <c r="AR34" i="3" a="1"/>
  <c r="AR34" i="3" s="1"/>
  <c r="AR35" i="3" a="1"/>
  <c r="AR35" i="3" s="1"/>
  <c r="AR36" i="3" a="1"/>
  <c r="AR36" i="3" s="1"/>
  <c r="AR37" i="3" a="1"/>
  <c r="AR37" i="3" s="1"/>
  <c r="AR38" i="3" a="1"/>
  <c r="AR38" i="3" s="1"/>
  <c r="AR39" i="3" a="1"/>
  <c r="AR39" i="3" s="1"/>
  <c r="AR40" i="3" a="1"/>
  <c r="AR40" i="3" s="1"/>
  <c r="AR41" i="3" a="1"/>
  <c r="AR41" i="3" s="1"/>
  <c r="AR42" i="3" a="1"/>
  <c r="AR42" i="3" s="1"/>
  <c r="AR43" i="3" a="1"/>
  <c r="AR43" i="3" s="1"/>
  <c r="AR44" i="3" a="1"/>
  <c r="AR44" i="3" s="1"/>
  <c r="AR45" i="3" a="1"/>
  <c r="AR45" i="3" s="1"/>
  <c r="AR46" i="3" a="1"/>
  <c r="AR46" i="3" s="1"/>
  <c r="AR47" i="3" a="1"/>
  <c r="AR47" i="3" s="1"/>
  <c r="AR48" i="3" a="1"/>
  <c r="AR48" i="3" s="1"/>
  <c r="AR49" i="3" a="1"/>
  <c r="AR49" i="3" s="1"/>
  <c r="AR50" i="3" a="1"/>
  <c r="AR50" i="3" s="1"/>
  <c r="AR51" i="3" a="1"/>
  <c r="AR51" i="3" s="1"/>
  <c r="AR52" i="3" a="1"/>
  <c r="AR52" i="3" s="1"/>
  <c r="AR53" i="3" a="1"/>
  <c r="AR53" i="3" s="1"/>
  <c r="AR54" i="3" a="1"/>
  <c r="AR54" i="3" s="1"/>
  <c r="AR55" i="3" a="1"/>
  <c r="AR55" i="3" s="1"/>
  <c r="AR56" i="3" a="1"/>
  <c r="AR56" i="3" s="1"/>
  <c r="AR57" i="3" a="1"/>
  <c r="AR57" i="3" s="1"/>
  <c r="AR58" i="3" a="1"/>
  <c r="AR58" i="3" s="1"/>
  <c r="AR59" i="3" a="1"/>
  <c r="AR59" i="3" s="1"/>
  <c r="AR60" i="3" a="1"/>
  <c r="AR60" i="3" s="1"/>
  <c r="AR61" i="3" a="1"/>
  <c r="AR61" i="3" s="1"/>
  <c r="AR62" i="3" a="1"/>
  <c r="AR62" i="3" s="1"/>
  <c r="AR63" i="3" a="1"/>
  <c r="AR63" i="3" s="1"/>
  <c r="AR64" i="3" a="1"/>
  <c r="AR64" i="3" s="1"/>
  <c r="AR65" i="3" a="1"/>
  <c r="AR65" i="3" s="1"/>
  <c r="AR66" i="3" a="1"/>
  <c r="AR66" i="3" s="1"/>
  <c r="AR67" i="3" a="1"/>
  <c r="AR67" i="3" s="1"/>
  <c r="AR68" i="3" a="1"/>
  <c r="AR68" i="3" s="1"/>
  <c r="AR69" i="3" a="1"/>
  <c r="AR69" i="3" s="1"/>
  <c r="AR70" i="3" a="1"/>
  <c r="AR70" i="3" s="1"/>
  <c r="AR71" i="3" a="1"/>
  <c r="AR71" i="3" s="1"/>
  <c r="AR72" i="3" a="1"/>
  <c r="AR72" i="3" s="1"/>
  <c r="AR73" i="3" a="1"/>
  <c r="AR73" i="3" s="1"/>
  <c r="AR74" i="3" a="1"/>
  <c r="AR74" i="3" s="1"/>
  <c r="AR75" i="3" a="1"/>
  <c r="AR75" i="3" s="1"/>
  <c r="AR76" i="3" a="1"/>
  <c r="AR76" i="3" s="1"/>
  <c r="AR77" i="3" a="1"/>
  <c r="AR77" i="3" s="1"/>
  <c r="AR78" i="3" a="1"/>
  <c r="AR78" i="3" s="1"/>
  <c r="AR79" i="3" a="1"/>
  <c r="AR79" i="3" s="1"/>
  <c r="AR80" i="3" a="1"/>
  <c r="AR80" i="3" s="1"/>
  <c r="AR81" i="3" a="1"/>
  <c r="AR81" i="3" s="1"/>
  <c r="AR82" i="3" a="1"/>
  <c r="AR82" i="3" s="1"/>
  <c r="AR83" i="3" a="1"/>
  <c r="AR83" i="3" s="1"/>
  <c r="AR84" i="3" a="1"/>
  <c r="AR84" i="3" s="1"/>
  <c r="AR85" i="3" a="1"/>
  <c r="AR85" i="3" s="1"/>
  <c r="AR86" i="3" a="1"/>
  <c r="AR86" i="3" s="1"/>
  <c r="AR87" i="3" a="1"/>
  <c r="AR87" i="3" s="1"/>
  <c r="AR88" i="3" a="1"/>
  <c r="AR88" i="3" s="1"/>
  <c r="AR89" i="3" a="1"/>
  <c r="AR89" i="3" s="1"/>
  <c r="AR90" i="3" a="1"/>
  <c r="AR90" i="3" s="1"/>
  <c r="AR91" i="3" a="1"/>
  <c r="AR91" i="3" s="1"/>
  <c r="AR92" i="3" a="1"/>
  <c r="AR92" i="3" s="1"/>
  <c r="AR93" i="3" a="1"/>
  <c r="AR93" i="3" s="1"/>
  <c r="AR94" i="3" a="1"/>
  <c r="AR94" i="3" s="1"/>
  <c r="AR95" i="3" a="1"/>
  <c r="AR95" i="3" s="1"/>
  <c r="AR96" i="3" a="1"/>
  <c r="AR96" i="3" s="1"/>
  <c r="AR97" i="3" a="1"/>
  <c r="AR97" i="3" s="1"/>
  <c r="AR98" i="3" a="1"/>
  <c r="AR98" i="3" s="1"/>
  <c r="AR99" i="3" a="1"/>
  <c r="AR99" i="3" s="1"/>
  <c r="AR100" i="3" a="1"/>
  <c r="AR100" i="3" s="1"/>
  <c r="AR101" i="3" a="1"/>
  <c r="AR101" i="3" s="1"/>
  <c r="AR102" i="3" a="1"/>
  <c r="AR102" i="3" s="1"/>
  <c r="AR103" i="3" a="1"/>
  <c r="AR103" i="3" s="1"/>
  <c r="AR104" i="3" a="1"/>
  <c r="AR104" i="3" s="1"/>
  <c r="AR105" i="3" a="1"/>
  <c r="AR105" i="3" s="1"/>
  <c r="AR106" i="3" a="1"/>
  <c r="AR106" i="3" s="1"/>
  <c r="AR107" i="3" a="1"/>
  <c r="AR107" i="3" s="1"/>
  <c r="AR108" i="3" a="1"/>
  <c r="AR108" i="3" s="1"/>
  <c r="AR109" i="3" a="1"/>
  <c r="AR109" i="3" s="1"/>
  <c r="AR110" i="3" a="1"/>
  <c r="AR110" i="3" s="1"/>
  <c r="AR111" i="3" a="1"/>
  <c r="AR111" i="3" s="1"/>
  <c r="AR112" i="3" a="1"/>
  <c r="AR112" i="3" s="1"/>
  <c r="AR113" i="3" a="1"/>
  <c r="AR113" i="3" s="1"/>
  <c r="AR114" i="3" a="1"/>
  <c r="AR114" i="3" s="1"/>
  <c r="AR115" i="3" a="1"/>
  <c r="AR115" i="3" s="1"/>
  <c r="AR116" i="3" a="1"/>
  <c r="AR116" i="3" s="1"/>
  <c r="AR117" i="3" a="1"/>
  <c r="AR117" i="3" s="1"/>
  <c r="AR118" i="3" a="1"/>
  <c r="AR118" i="3" s="1"/>
  <c r="AR119" i="3" a="1"/>
  <c r="AR119" i="3" s="1"/>
  <c r="AR120" i="3" a="1"/>
  <c r="AR120" i="3" s="1"/>
  <c r="AR121" i="3" a="1"/>
  <c r="AR121" i="3" s="1"/>
  <c r="AR122" i="3" a="1"/>
  <c r="AR122" i="3" s="1"/>
  <c r="AR123" i="3" a="1"/>
  <c r="AR123" i="3" s="1"/>
  <c r="AR124" i="3" a="1"/>
  <c r="AR124" i="3" s="1"/>
  <c r="AR125" i="3" a="1"/>
  <c r="AR125" i="3" s="1"/>
  <c r="AR126" i="3" a="1"/>
  <c r="AR126" i="3" s="1"/>
  <c r="AR127" i="3" a="1"/>
  <c r="AR127" i="3" s="1"/>
  <c r="AR128" i="3" a="1"/>
  <c r="AR128" i="3" s="1"/>
  <c r="AR129" i="3" a="1"/>
  <c r="AR129" i="3" s="1"/>
  <c r="AR130" i="3" a="1"/>
  <c r="AR130" i="3" s="1"/>
  <c r="AR131" i="3" a="1"/>
  <c r="AR131" i="3" s="1"/>
  <c r="AR132" i="3" a="1"/>
  <c r="AR132" i="3" s="1"/>
  <c r="AR133" i="3" a="1"/>
  <c r="AR133" i="3" s="1"/>
  <c r="AR134" i="3" a="1"/>
  <c r="AR134" i="3" s="1"/>
  <c r="AR135" i="3" a="1"/>
  <c r="AR135" i="3" s="1"/>
  <c r="AR136" i="3" a="1"/>
  <c r="AR136" i="3" s="1"/>
  <c r="AR137" i="3" a="1"/>
  <c r="AR137" i="3" s="1"/>
  <c r="AR138" i="3" a="1"/>
  <c r="AR138" i="3" s="1"/>
  <c r="AR139" i="3" a="1"/>
  <c r="AR139" i="3" s="1"/>
  <c r="AR140" i="3" a="1"/>
  <c r="AR140" i="3" s="1"/>
  <c r="AR141" i="3" a="1"/>
  <c r="AR141" i="3" s="1"/>
  <c r="AR142" i="3" a="1"/>
  <c r="AR142" i="3" s="1"/>
  <c r="AR143" i="3" a="1"/>
  <c r="AR143" i="3" s="1"/>
  <c r="AR144" i="3" a="1"/>
  <c r="AR144" i="3" s="1"/>
  <c r="AR145" i="3" a="1"/>
  <c r="AR145" i="3" s="1"/>
  <c r="AR146" i="3" a="1"/>
  <c r="AR146" i="3" s="1"/>
  <c r="AR147" i="3" a="1"/>
  <c r="AR147" i="3" s="1"/>
  <c r="AR148" i="3" a="1"/>
  <c r="AR148" i="3" s="1"/>
  <c r="AR149" i="3" a="1"/>
  <c r="AR149" i="3" s="1"/>
  <c r="AR150" i="3" a="1"/>
  <c r="AR150" i="3" s="1"/>
  <c r="AR151" i="3" a="1"/>
  <c r="AR151" i="3" s="1"/>
  <c r="AR152" i="3" a="1"/>
  <c r="AR152" i="3" s="1"/>
  <c r="AR153" i="3" a="1"/>
  <c r="AR153" i="3" s="1"/>
  <c r="AR154" i="3" a="1"/>
  <c r="AR154" i="3" s="1"/>
  <c r="AR155" i="3" a="1"/>
  <c r="AR155" i="3" s="1"/>
  <c r="AR156" i="3" a="1"/>
  <c r="AR156" i="3" s="1"/>
  <c r="AR157" i="3" a="1"/>
  <c r="AR157" i="3" s="1"/>
  <c r="AR158" i="3" a="1"/>
  <c r="AR158" i="3" s="1"/>
  <c r="AR159" i="3" a="1"/>
  <c r="AR159" i="3" s="1"/>
  <c r="AR160" i="3" a="1"/>
  <c r="AR160" i="3" s="1"/>
  <c r="AR161" i="3" a="1"/>
  <c r="AR161" i="3" s="1"/>
  <c r="AR162" i="3" a="1"/>
  <c r="AR162" i="3" s="1"/>
  <c r="AR163" i="3" a="1"/>
  <c r="AR163" i="3" s="1"/>
  <c r="AR164" i="3" a="1"/>
  <c r="AR164" i="3" s="1"/>
  <c r="AR165" i="3" a="1"/>
  <c r="AR165" i="3" s="1"/>
  <c r="AR166" i="3" a="1"/>
  <c r="AR166" i="3" s="1"/>
  <c r="AR167" i="3" a="1"/>
  <c r="AR167" i="3" s="1"/>
  <c r="AR168" i="3" a="1"/>
  <c r="AR168" i="3" s="1"/>
  <c r="AR169" i="3" a="1"/>
  <c r="AR169" i="3" s="1"/>
  <c r="AR170" i="3" a="1"/>
  <c r="AR170" i="3" s="1"/>
  <c r="AR171" i="3" a="1"/>
  <c r="AR171" i="3" s="1"/>
  <c r="AR172" i="3" a="1"/>
  <c r="AR172" i="3" s="1"/>
  <c r="AR173" i="3" a="1"/>
  <c r="AR173" i="3" s="1"/>
  <c r="AR174" i="3" a="1"/>
  <c r="AR174" i="3" s="1"/>
  <c r="AR175" i="3" a="1"/>
  <c r="AR175" i="3" s="1"/>
  <c r="AR176" i="3" a="1"/>
  <c r="AR176" i="3" s="1"/>
  <c r="AR177" i="3" a="1"/>
  <c r="AR177" i="3" s="1"/>
  <c r="AR178" i="3" a="1"/>
  <c r="AR178" i="3" s="1"/>
  <c r="AR179" i="3" a="1"/>
  <c r="AR179" i="3" s="1"/>
  <c r="AR180" i="3" a="1"/>
  <c r="AR180" i="3" s="1"/>
  <c r="AR181" i="3" a="1"/>
  <c r="AR181" i="3" s="1"/>
  <c r="AR182" i="3" a="1"/>
  <c r="AR182" i="3" s="1"/>
  <c r="AR183" i="3" a="1"/>
  <c r="AR183" i="3" s="1"/>
  <c r="AR184" i="3" a="1"/>
  <c r="AR184" i="3" s="1"/>
  <c r="AR185" i="3" a="1"/>
  <c r="AR185" i="3" s="1"/>
  <c r="AR186" i="3" a="1"/>
  <c r="AR186" i="3" s="1"/>
  <c r="AR187" i="3" a="1"/>
  <c r="AR187" i="3" s="1"/>
  <c r="AR188" i="3" a="1"/>
  <c r="AR188" i="3" s="1"/>
  <c r="AR189" i="3" a="1"/>
  <c r="AR189" i="3" s="1"/>
  <c r="AR190" i="3" a="1"/>
  <c r="AR190" i="3" s="1"/>
  <c r="AR191" i="3" a="1"/>
  <c r="AR191" i="3" s="1"/>
  <c r="AR192" i="3" a="1"/>
  <c r="AR192" i="3" s="1"/>
  <c r="AR193" i="3" a="1"/>
  <c r="AR193" i="3" s="1"/>
  <c r="AR194" i="3" a="1"/>
  <c r="AR194" i="3" s="1"/>
  <c r="AR195" i="3" a="1"/>
  <c r="AR195" i="3" s="1"/>
  <c r="AR196" i="3" a="1"/>
  <c r="AR196" i="3" s="1"/>
  <c r="AR197" i="3" a="1"/>
  <c r="AR197" i="3" s="1"/>
  <c r="AR198" i="3" a="1"/>
  <c r="AR198" i="3" s="1"/>
  <c r="AR199" i="3" a="1"/>
  <c r="AR199" i="3" s="1"/>
  <c r="AR200" i="3" a="1"/>
  <c r="AR200" i="3" s="1"/>
  <c r="AR201" i="3" a="1"/>
  <c r="AR201" i="3" s="1"/>
  <c r="AR202" i="3" a="1"/>
  <c r="AR202" i="3" s="1"/>
  <c r="AR203" i="3" a="1"/>
  <c r="AR203" i="3" s="1"/>
  <c r="AR204" i="3" a="1"/>
  <c r="AR204" i="3" s="1"/>
  <c r="AR205" i="3" a="1"/>
  <c r="AR205" i="3" s="1"/>
  <c r="AR206" i="3" a="1"/>
  <c r="AR206" i="3" s="1"/>
  <c r="AR207" i="3" a="1"/>
  <c r="AR207" i="3" s="1"/>
  <c r="AR208" i="3" a="1"/>
  <c r="AR208" i="3" s="1"/>
  <c r="AR209" i="3" a="1"/>
  <c r="AR209" i="3" s="1"/>
  <c r="AR210" i="3" a="1"/>
  <c r="AR210" i="3" s="1"/>
  <c r="AR211" i="3" a="1"/>
  <c r="AR211" i="3" s="1"/>
  <c r="AR212" i="3" a="1"/>
  <c r="AR212" i="3" s="1"/>
  <c r="AR213" i="3" a="1"/>
  <c r="AR213" i="3" s="1"/>
  <c r="AR214" i="3" a="1"/>
  <c r="AR214" i="3" s="1"/>
  <c r="AR215" i="3" a="1"/>
  <c r="AR215" i="3" s="1"/>
  <c r="AR216" i="3" a="1"/>
  <c r="AR216" i="3" s="1"/>
  <c r="AR217" i="3" a="1"/>
  <c r="AR217" i="3" s="1"/>
  <c r="AR218" i="3" a="1"/>
  <c r="AR218" i="3" s="1"/>
  <c r="AR219" i="3" a="1"/>
  <c r="AR219" i="3" s="1"/>
  <c r="AR220" i="3" a="1"/>
  <c r="AR220" i="3" s="1"/>
  <c r="AR221" i="3" a="1"/>
  <c r="AR221" i="3" s="1"/>
  <c r="AR222" i="3" a="1"/>
  <c r="AR222" i="3" s="1"/>
  <c r="AR223" i="3" a="1"/>
  <c r="AR223" i="3" s="1"/>
  <c r="AR224" i="3" a="1"/>
  <c r="AR224" i="3" s="1"/>
  <c r="AR225" i="3" a="1"/>
  <c r="AR225" i="3" s="1"/>
  <c r="AR226" i="3" a="1"/>
  <c r="AR226" i="3" s="1"/>
  <c r="AR227" i="3" a="1"/>
  <c r="AR227" i="3" s="1"/>
  <c r="AR228" i="3" a="1"/>
  <c r="AR228" i="3" s="1"/>
  <c r="AR229" i="3" a="1"/>
  <c r="AR229" i="3" s="1"/>
  <c r="AR230" i="3" a="1"/>
  <c r="AR230" i="3" s="1"/>
  <c r="AR231" i="3" a="1"/>
  <c r="AR231" i="3" s="1"/>
  <c r="AR232" i="3" a="1"/>
  <c r="AR232" i="3" s="1"/>
  <c r="AR233" i="3" a="1"/>
  <c r="AR233" i="3" s="1"/>
  <c r="AR234" i="3" a="1"/>
  <c r="AR234" i="3" s="1"/>
  <c r="AR235" i="3" a="1"/>
  <c r="AR235" i="3" s="1"/>
  <c r="AR236" i="3" a="1"/>
  <c r="AR236" i="3" s="1"/>
  <c r="AR237" i="3" a="1"/>
  <c r="AR237" i="3" s="1"/>
  <c r="AR238" i="3" a="1"/>
  <c r="AR238" i="3" s="1"/>
  <c r="AR239" i="3" a="1"/>
  <c r="AR239" i="3" s="1"/>
  <c r="AR240" i="3" a="1"/>
  <c r="AR240" i="3" s="1"/>
  <c r="AR241" i="3" a="1"/>
  <c r="AR241" i="3" s="1"/>
  <c r="AR242" i="3" a="1"/>
  <c r="AR242" i="3" s="1"/>
  <c r="AR243" i="3" a="1"/>
  <c r="AR243" i="3" s="1"/>
  <c r="AR244" i="3" a="1"/>
  <c r="AR244" i="3" s="1"/>
  <c r="AR245" i="3" a="1"/>
  <c r="AR245" i="3" s="1"/>
  <c r="AR246" i="3" a="1"/>
  <c r="AR246" i="3" s="1"/>
  <c r="AR247" i="3" a="1"/>
  <c r="AR247" i="3" s="1"/>
  <c r="AR248" i="3" a="1"/>
  <c r="AR248" i="3" s="1"/>
  <c r="AR249" i="3" a="1"/>
  <c r="AR249" i="3" s="1"/>
  <c r="AR250" i="3" a="1"/>
  <c r="AR250" i="3" s="1"/>
  <c r="AR251" i="3" a="1"/>
  <c r="AR251" i="3" s="1"/>
  <c r="AR252" i="3" a="1"/>
  <c r="AR252" i="3" s="1"/>
  <c r="AR253" i="3" a="1"/>
  <c r="AR253" i="3" s="1"/>
  <c r="AR254" i="3" a="1"/>
  <c r="AR254" i="3" s="1"/>
  <c r="AR255" i="3" a="1"/>
  <c r="AR255" i="3" s="1"/>
  <c r="AR256" i="3" a="1"/>
  <c r="AR256" i="3" s="1"/>
  <c r="AR257" i="3" a="1"/>
  <c r="AR257" i="3" s="1"/>
  <c r="AR258" i="3" a="1"/>
  <c r="AR258" i="3" s="1"/>
  <c r="AR259" i="3" a="1"/>
  <c r="AR259" i="3" s="1"/>
  <c r="AR260" i="3" a="1"/>
  <c r="AR260" i="3" s="1"/>
  <c r="AR261" i="3" a="1"/>
  <c r="AR261" i="3" s="1"/>
  <c r="AR262" i="3" a="1"/>
  <c r="AR262" i="3" s="1"/>
  <c r="AR263" i="3" a="1"/>
  <c r="AR263" i="3" s="1"/>
  <c r="AR264" i="3" a="1"/>
  <c r="AR264" i="3" s="1"/>
  <c r="AR265" i="3" a="1"/>
  <c r="AR265" i="3" s="1"/>
  <c r="AR266" i="3" a="1"/>
  <c r="AR266" i="3" s="1"/>
  <c r="AR267" i="3" a="1"/>
  <c r="AR267" i="3" s="1"/>
  <c r="AR268" i="3" a="1"/>
  <c r="AR268" i="3" s="1"/>
  <c r="AR269" i="3" a="1"/>
  <c r="AR269" i="3" s="1"/>
  <c r="AR270" i="3" a="1"/>
  <c r="AR270" i="3" s="1"/>
  <c r="AR271" i="3" a="1"/>
  <c r="AR271" i="3" s="1"/>
  <c r="AR272" i="3" a="1"/>
  <c r="AR272" i="3" s="1"/>
  <c r="AR273" i="3" a="1"/>
  <c r="AR273" i="3" s="1"/>
  <c r="AR274" i="3" a="1"/>
  <c r="AR274" i="3" s="1"/>
  <c r="AR275" i="3" a="1"/>
  <c r="AR275" i="3" s="1"/>
  <c r="AR276" i="3" a="1"/>
  <c r="AR276" i="3" s="1"/>
  <c r="AR277" i="3" a="1"/>
  <c r="AR277" i="3" s="1"/>
  <c r="AR278" i="3" a="1"/>
  <c r="AR278" i="3" s="1"/>
  <c r="AR279" i="3" a="1"/>
  <c r="AR279" i="3" s="1"/>
  <c r="AR280" i="3" a="1"/>
  <c r="AR280" i="3" s="1"/>
  <c r="AR281" i="3" a="1"/>
  <c r="AR281" i="3" s="1"/>
  <c r="AR282" i="3" a="1"/>
  <c r="AR282" i="3" s="1"/>
  <c r="AR283" i="3" a="1"/>
  <c r="AR283" i="3" s="1"/>
  <c r="AR284" i="3" a="1"/>
  <c r="AR284" i="3" s="1"/>
  <c r="AR285" i="3" a="1"/>
  <c r="AR285" i="3" s="1"/>
  <c r="AR286" i="3" a="1"/>
  <c r="AR286" i="3" s="1"/>
  <c r="AR287" i="3" a="1"/>
  <c r="AR287" i="3" s="1"/>
  <c r="AR288" i="3" a="1"/>
  <c r="AR288" i="3" s="1"/>
  <c r="AR289" i="3" a="1"/>
  <c r="AR289" i="3" s="1"/>
  <c r="AR290" i="3" a="1"/>
  <c r="AR290" i="3" s="1"/>
  <c r="AR291" i="3" a="1"/>
  <c r="AR291" i="3" s="1"/>
  <c r="AR292" i="3" a="1"/>
  <c r="AR292" i="3" s="1"/>
  <c r="AR293" i="3" a="1"/>
  <c r="AR293" i="3" s="1"/>
  <c r="AR294" i="3" a="1"/>
  <c r="AR294" i="3" s="1"/>
  <c r="AR295" i="3" a="1"/>
  <c r="AR295" i="3" s="1"/>
  <c r="AR296" i="3" a="1"/>
  <c r="AR296" i="3" s="1"/>
  <c r="AR297" i="3" a="1"/>
  <c r="AR297" i="3" s="1"/>
  <c r="AR298" i="3" a="1"/>
  <c r="AR298" i="3" s="1"/>
  <c r="AR299" i="3" a="1"/>
  <c r="AR299" i="3" s="1"/>
  <c r="AR300" i="3" a="1"/>
  <c r="AR300" i="3" s="1"/>
  <c r="AR301" i="3" a="1"/>
  <c r="AR301" i="3" s="1"/>
  <c r="AR302" i="3" a="1"/>
  <c r="AR302" i="3" s="1"/>
  <c r="AR303" i="3" a="1"/>
  <c r="AR303" i="3" s="1"/>
  <c r="AR304" i="3" a="1"/>
  <c r="AR304" i="3" s="1"/>
  <c r="AR305" i="3" a="1"/>
  <c r="AR305" i="3" s="1"/>
  <c r="AR306" i="3" a="1"/>
  <c r="AR306" i="3" s="1"/>
  <c r="AR307" i="3" a="1"/>
  <c r="AR307" i="3" s="1"/>
  <c r="AR308" i="3" a="1"/>
  <c r="AR308" i="3" s="1"/>
  <c r="AR309" i="3" a="1"/>
  <c r="AR309" i="3" s="1"/>
  <c r="AR310" i="3" a="1"/>
  <c r="AR310" i="3" s="1"/>
  <c r="AR311" i="3" a="1"/>
  <c r="AR311" i="3" s="1"/>
  <c r="AR312" i="3" a="1"/>
  <c r="AR312" i="3" s="1"/>
  <c r="AR313" i="3" a="1"/>
  <c r="AR313" i="3" s="1"/>
  <c r="AR314" i="3" a="1"/>
  <c r="AR314" i="3" s="1"/>
  <c r="AR315" i="3" a="1"/>
  <c r="AR315" i="3" s="1"/>
  <c r="AR316" i="3" a="1"/>
  <c r="AR316" i="3" s="1"/>
  <c r="AR317" i="3" a="1"/>
  <c r="AR317" i="3" s="1"/>
  <c r="AR318" i="3" a="1"/>
  <c r="AR318" i="3" s="1"/>
  <c r="AR319" i="3" a="1"/>
  <c r="AR319" i="3" s="1"/>
  <c r="AR320" i="3" a="1"/>
  <c r="AR320" i="3" s="1"/>
  <c r="AR321" i="3" a="1"/>
  <c r="AR321" i="3" s="1"/>
  <c r="AR322" i="3" a="1"/>
  <c r="AR322" i="3" s="1"/>
  <c r="AR323" i="3" a="1"/>
  <c r="AR323" i="3" s="1"/>
  <c r="AR324" i="3" a="1"/>
  <c r="AR324" i="3" s="1"/>
  <c r="AR325" i="3" a="1"/>
  <c r="AR325" i="3" s="1"/>
  <c r="AR326" i="3" a="1"/>
  <c r="AR326" i="3" s="1"/>
  <c r="AR327" i="3" a="1"/>
  <c r="AR327" i="3" s="1"/>
  <c r="AR328" i="3" a="1"/>
  <c r="AR328" i="3" s="1"/>
  <c r="AR329" i="3" a="1"/>
  <c r="AR329" i="3" s="1"/>
  <c r="AR330" i="3" a="1"/>
  <c r="AR330" i="3" s="1"/>
  <c r="AR331" i="3" a="1"/>
  <c r="AR331" i="3" s="1"/>
  <c r="AR332" i="3" a="1"/>
  <c r="AR332" i="3" s="1"/>
  <c r="AR333" i="3" a="1"/>
  <c r="AR333" i="3" s="1"/>
  <c r="AR334" i="3" a="1"/>
  <c r="AR334" i="3" s="1"/>
  <c r="AR335" i="3" a="1"/>
  <c r="AR335" i="3" s="1"/>
  <c r="AR336" i="3" a="1"/>
  <c r="AR336" i="3" s="1"/>
  <c r="AR337" i="3" a="1"/>
  <c r="AR337" i="3" s="1"/>
  <c r="AR338" i="3" a="1"/>
  <c r="AR338" i="3" s="1"/>
  <c r="AR339" i="3" a="1"/>
  <c r="AR339" i="3" s="1"/>
  <c r="AR340" i="3" a="1"/>
  <c r="AR340" i="3" s="1"/>
  <c r="AR341" i="3" a="1"/>
  <c r="AR341" i="3" s="1"/>
  <c r="AR342" i="3" a="1"/>
  <c r="AR342" i="3" s="1"/>
  <c r="AR343" i="3" a="1"/>
  <c r="AR343" i="3" s="1"/>
  <c r="AR344" i="3" a="1"/>
  <c r="AR344" i="3" s="1"/>
  <c r="AR345" i="3" a="1"/>
  <c r="AR345" i="3" s="1"/>
  <c r="AR346" i="3" a="1"/>
  <c r="AR346" i="3" s="1"/>
  <c r="AR347" i="3" a="1"/>
  <c r="AR347" i="3" s="1"/>
  <c r="AR348" i="3" a="1"/>
  <c r="AR348" i="3" s="1"/>
  <c r="AR349" i="3" a="1"/>
  <c r="AR349" i="3" s="1"/>
  <c r="AR350" i="3" a="1"/>
  <c r="AR350" i="3" s="1"/>
  <c r="AR351" i="3" a="1"/>
  <c r="AR351" i="3" s="1"/>
  <c r="AR352" i="3" a="1"/>
  <c r="AR352" i="3" s="1"/>
  <c r="AR353" i="3" a="1"/>
  <c r="AR353" i="3" s="1"/>
  <c r="AR354" i="3" a="1"/>
  <c r="AR354" i="3" s="1"/>
  <c r="AR355" i="3" a="1"/>
  <c r="AR355" i="3" s="1"/>
  <c r="AR356" i="3" a="1"/>
  <c r="AR356" i="3" s="1"/>
  <c r="AR357" i="3" a="1"/>
  <c r="AR357" i="3" s="1"/>
  <c r="AR358" i="3" a="1"/>
  <c r="AR358" i="3" s="1"/>
  <c r="AR359" i="3" a="1"/>
  <c r="AR359" i="3" s="1"/>
  <c r="AR360" i="3" a="1"/>
  <c r="AR360" i="3" s="1"/>
  <c r="AR361" i="3" a="1"/>
  <c r="AR361" i="3" s="1"/>
  <c r="AR362" i="3" a="1"/>
  <c r="AR362" i="3" s="1"/>
  <c r="AR363" i="3" a="1"/>
  <c r="AR363" i="3" s="1"/>
  <c r="AR364" i="3" a="1"/>
  <c r="AR364" i="3" s="1"/>
  <c r="AR365" i="3" a="1"/>
  <c r="AR365" i="3" s="1"/>
  <c r="AR366" i="3" a="1"/>
  <c r="AR366" i="3" s="1"/>
  <c r="AR367" i="3" a="1"/>
  <c r="AR367" i="3" s="1"/>
  <c r="AR368" i="3" a="1"/>
  <c r="AR368" i="3" s="1"/>
  <c r="AR369" i="3" a="1"/>
  <c r="AR369" i="3" s="1"/>
  <c r="AR370" i="3" a="1"/>
  <c r="AR370" i="3" s="1"/>
  <c r="AR371" i="3" a="1"/>
  <c r="AR371" i="3" s="1"/>
  <c r="AR372" i="3" a="1"/>
  <c r="AR372" i="3" s="1"/>
  <c r="AR373" i="3" a="1"/>
  <c r="AR373" i="3" s="1"/>
  <c r="AR374" i="3" a="1"/>
  <c r="AR374" i="3" s="1"/>
  <c r="AR375" i="3" a="1"/>
  <c r="AR375" i="3" s="1"/>
  <c r="AR376" i="3" a="1"/>
  <c r="AR376" i="3" s="1"/>
  <c r="AR377" i="3" a="1"/>
  <c r="AR377" i="3" s="1"/>
  <c r="AR378" i="3" a="1"/>
  <c r="AR378" i="3" s="1"/>
  <c r="AR379" i="3" a="1"/>
  <c r="AR379" i="3" s="1"/>
  <c r="AR380" i="3" a="1"/>
  <c r="AR380" i="3" s="1"/>
  <c r="AR381" i="3" a="1"/>
  <c r="AR381" i="3" s="1"/>
  <c r="AR382" i="3" a="1"/>
  <c r="AR382" i="3" s="1"/>
  <c r="AR383" i="3" a="1"/>
  <c r="AR383" i="3" s="1"/>
  <c r="AR384" i="3" a="1"/>
  <c r="AR384" i="3" s="1"/>
  <c r="AR385" i="3" a="1"/>
  <c r="AR385" i="3" s="1"/>
  <c r="AR386" i="3" a="1"/>
  <c r="AR386" i="3" s="1"/>
  <c r="AR387" i="3" a="1"/>
  <c r="AR387" i="3" s="1"/>
  <c r="AR388" i="3" a="1"/>
  <c r="AR388" i="3" s="1"/>
  <c r="AR389" i="3" a="1"/>
  <c r="AR389" i="3" s="1"/>
  <c r="AR390" i="3" a="1"/>
  <c r="AR390" i="3" s="1"/>
  <c r="AR391" i="3" a="1"/>
  <c r="AR391" i="3" s="1"/>
  <c r="AR392" i="3" a="1"/>
  <c r="AR392" i="3" s="1"/>
  <c r="AR393" i="3" a="1"/>
  <c r="AR393" i="3" s="1"/>
  <c r="AR394" i="3" a="1"/>
  <c r="AR394" i="3" s="1"/>
  <c r="AR395" i="3" a="1"/>
  <c r="AR395" i="3" s="1"/>
  <c r="AR396" i="3" a="1"/>
  <c r="AR396" i="3" s="1"/>
  <c r="AR397" i="3" a="1"/>
  <c r="AR397" i="3" s="1"/>
  <c r="AR398" i="3" a="1"/>
  <c r="AR398" i="3" s="1"/>
  <c r="AR399" i="3" a="1"/>
  <c r="AR399" i="3" s="1"/>
  <c r="AR400" i="3" a="1"/>
  <c r="AR400" i="3" s="1"/>
  <c r="AR401" i="3" a="1"/>
  <c r="AR401" i="3" s="1"/>
  <c r="AR402" i="3" a="1"/>
  <c r="AR402" i="3" s="1"/>
  <c r="AR403" i="3" a="1"/>
  <c r="AR403" i="3" s="1"/>
  <c r="AR404" i="3" a="1"/>
  <c r="AR404" i="3" s="1"/>
  <c r="AR405" i="3" a="1"/>
  <c r="AR405" i="3" s="1"/>
  <c r="AR406" i="3" a="1"/>
  <c r="AR406" i="3" s="1"/>
  <c r="AR407" i="3" a="1"/>
  <c r="AR407" i="3" s="1"/>
  <c r="AR408" i="3" a="1"/>
  <c r="AR408" i="3" s="1"/>
  <c r="AR409" i="3" a="1"/>
  <c r="AR409" i="3" s="1"/>
  <c r="AR410" i="3" a="1"/>
  <c r="AR410" i="3" s="1"/>
  <c r="AR411" i="3" a="1"/>
  <c r="AR411" i="3" s="1"/>
  <c r="AR412" i="3" a="1"/>
  <c r="AR412" i="3" s="1"/>
  <c r="AR413" i="3" a="1"/>
  <c r="AR413" i="3" s="1"/>
  <c r="AR414" i="3" a="1"/>
  <c r="AR414" i="3" s="1"/>
  <c r="AR415" i="3" a="1"/>
  <c r="AR415" i="3" s="1"/>
  <c r="AR416" i="3" a="1"/>
  <c r="AR416" i="3" s="1"/>
  <c r="AR417" i="3" a="1"/>
  <c r="AR417" i="3" s="1"/>
  <c r="AR418" i="3" a="1"/>
  <c r="AR418" i="3" s="1"/>
  <c r="AR419" i="3" a="1"/>
  <c r="AR419" i="3" s="1"/>
  <c r="AR420" i="3" a="1"/>
  <c r="AR420" i="3" s="1"/>
  <c r="AR421" i="3" a="1"/>
  <c r="AR421" i="3" s="1"/>
  <c r="AR422" i="3" a="1"/>
  <c r="AR422" i="3" s="1"/>
  <c r="AR423" i="3" a="1"/>
  <c r="AR423" i="3" s="1"/>
  <c r="AR424" i="3" a="1"/>
  <c r="AR424" i="3" s="1"/>
  <c r="AR425" i="3" a="1"/>
  <c r="AR425" i="3" s="1"/>
  <c r="AR426" i="3" a="1"/>
  <c r="AR426" i="3" s="1"/>
  <c r="AR427" i="3" a="1"/>
  <c r="AR427" i="3" s="1"/>
  <c r="AR428" i="3" a="1"/>
  <c r="AR428" i="3" s="1"/>
  <c r="AR429" i="3" a="1"/>
  <c r="AR429" i="3" s="1"/>
  <c r="AR430" i="3" a="1"/>
  <c r="AR430" i="3" s="1"/>
  <c r="AR431" i="3" a="1"/>
  <c r="AR431" i="3" s="1"/>
  <c r="AR432" i="3" a="1"/>
  <c r="AR432" i="3" s="1"/>
  <c r="AR433" i="3" a="1"/>
  <c r="AR433" i="3" s="1"/>
  <c r="AR434" i="3" a="1"/>
  <c r="AR434" i="3" s="1"/>
  <c r="AR435" i="3" a="1"/>
  <c r="AR435" i="3" s="1"/>
  <c r="AR436" i="3" a="1"/>
  <c r="AR436" i="3" s="1"/>
  <c r="AR437" i="3" a="1"/>
  <c r="AR437" i="3" s="1"/>
  <c r="AR438" i="3" a="1"/>
  <c r="AR438" i="3" s="1"/>
  <c r="AR439" i="3" a="1"/>
  <c r="AR439" i="3" s="1"/>
  <c r="AR440" i="3" a="1"/>
  <c r="AR440" i="3" s="1"/>
  <c r="AR441" i="3" a="1"/>
  <c r="AR441" i="3" s="1"/>
  <c r="AR442" i="3" a="1"/>
  <c r="AR442" i="3" s="1"/>
  <c r="AR443" i="3" a="1"/>
  <c r="AR443" i="3" s="1"/>
  <c r="AR444" i="3" a="1"/>
  <c r="AR444" i="3" s="1"/>
  <c r="AR445" i="3" a="1"/>
  <c r="AR445" i="3" s="1"/>
  <c r="AR446" i="3" a="1"/>
  <c r="AR446" i="3" s="1"/>
  <c r="AR447" i="3" a="1"/>
  <c r="AR447" i="3" s="1"/>
  <c r="AR448" i="3" a="1"/>
  <c r="AR448" i="3" s="1"/>
  <c r="AR449" i="3" a="1"/>
  <c r="AR449" i="3" s="1"/>
  <c r="AR450" i="3" a="1"/>
  <c r="AR450" i="3" s="1"/>
  <c r="AR451" i="3" a="1"/>
  <c r="AR451" i="3" s="1"/>
  <c r="AR452" i="3" a="1"/>
  <c r="AR452" i="3" s="1"/>
  <c r="AR453" i="3" a="1"/>
  <c r="AR453" i="3" s="1"/>
  <c r="AR454" i="3" a="1"/>
  <c r="AR454" i="3" s="1"/>
  <c r="AR455" i="3" a="1"/>
  <c r="AR455" i="3" s="1"/>
  <c r="AR456" i="3" a="1"/>
  <c r="AR456" i="3" s="1"/>
  <c r="AR457" i="3" a="1"/>
  <c r="AR457" i="3" s="1"/>
  <c r="AR458" i="3" a="1"/>
  <c r="AR458" i="3" s="1"/>
  <c r="AR459" i="3" a="1"/>
  <c r="AR459" i="3" s="1"/>
  <c r="AR460" i="3" a="1"/>
  <c r="AR460" i="3" s="1"/>
  <c r="AR461" i="3" a="1"/>
  <c r="AR461" i="3" s="1"/>
  <c r="AR462" i="3" a="1"/>
  <c r="AR462" i="3" s="1"/>
  <c r="AR463" i="3" a="1"/>
  <c r="AR463" i="3" s="1"/>
  <c r="AR464" i="3" a="1"/>
  <c r="AR464" i="3" s="1"/>
  <c r="AR465" i="3" a="1"/>
  <c r="AR465" i="3" s="1"/>
  <c r="AR466" i="3" a="1"/>
  <c r="AR466" i="3" s="1"/>
  <c r="AR467" i="3" a="1"/>
  <c r="AR467" i="3" s="1"/>
  <c r="AR468" i="3" a="1"/>
  <c r="AR468" i="3" s="1"/>
  <c r="AR469" i="3" a="1"/>
  <c r="AR469" i="3" s="1"/>
  <c r="AR470" i="3" a="1"/>
  <c r="AR470" i="3" s="1"/>
  <c r="AR471" i="3" a="1"/>
  <c r="AR471" i="3" s="1"/>
  <c r="AR472" i="3" a="1"/>
  <c r="AR472" i="3" s="1"/>
  <c r="AR473" i="3" a="1"/>
  <c r="AR473" i="3" s="1"/>
  <c r="AR474" i="3" a="1"/>
  <c r="AR474" i="3" s="1"/>
  <c r="AR475" i="3" a="1"/>
  <c r="AR475" i="3" s="1"/>
  <c r="AR476" i="3" a="1"/>
  <c r="AR476" i="3" s="1"/>
  <c r="AR477" i="3" a="1"/>
  <c r="AR477" i="3" s="1"/>
  <c r="AR478" i="3" a="1"/>
  <c r="AR478" i="3" s="1"/>
  <c r="AR479" i="3" a="1"/>
  <c r="AR479" i="3" s="1"/>
  <c r="AR480" i="3" a="1"/>
  <c r="AR480" i="3" s="1"/>
  <c r="AR481" i="3" a="1"/>
  <c r="AR481" i="3" s="1"/>
  <c r="AR482" i="3" a="1"/>
  <c r="AR482" i="3" s="1"/>
  <c r="AR483" i="3" a="1"/>
  <c r="AR483" i="3" s="1"/>
  <c r="AR484" i="3" a="1"/>
  <c r="AR484" i="3" s="1"/>
  <c r="AR485" i="3" a="1"/>
  <c r="AR485" i="3" s="1"/>
  <c r="AR486" i="3" a="1"/>
  <c r="AR486" i="3" s="1"/>
  <c r="AR487" i="3" a="1"/>
  <c r="AR487" i="3" s="1"/>
  <c r="AR488" i="3" a="1"/>
  <c r="AR488" i="3" s="1"/>
  <c r="AR489" i="3" a="1"/>
  <c r="AR489" i="3" s="1"/>
  <c r="AR490" i="3" a="1"/>
  <c r="AR490" i="3" s="1"/>
  <c r="AR491" i="3" a="1"/>
  <c r="AR491" i="3" s="1"/>
  <c r="AR492" i="3" a="1"/>
  <c r="AR492" i="3" s="1"/>
  <c r="AR493" i="3" a="1"/>
  <c r="AR493" i="3" s="1"/>
  <c r="AR494" i="3" a="1"/>
  <c r="AR494" i="3" s="1"/>
  <c r="AR495" i="3" a="1"/>
  <c r="AR495" i="3" s="1"/>
  <c r="AR496" i="3" a="1"/>
  <c r="AR496" i="3" s="1"/>
  <c r="AR497" i="3" a="1"/>
  <c r="AR497" i="3" s="1"/>
  <c r="AR498" i="3" a="1"/>
  <c r="AR498" i="3" s="1"/>
  <c r="AR499" i="3" a="1"/>
  <c r="AR499" i="3" s="1"/>
  <c r="AR500" i="3" a="1"/>
  <c r="AR500" i="3" s="1"/>
  <c r="AR501" i="3" a="1"/>
  <c r="AR501" i="3" s="1"/>
  <c r="AR502" i="3" a="1"/>
  <c r="AR502" i="3" s="1"/>
  <c r="AR503" i="3" a="1"/>
  <c r="AR503" i="3" s="1"/>
  <c r="AR504" i="3" a="1"/>
  <c r="AR504" i="3" s="1"/>
  <c r="AR505" i="3" a="1"/>
  <c r="AR505" i="3" s="1"/>
  <c r="AR506" i="3" a="1"/>
  <c r="AR506" i="3" s="1"/>
  <c r="AR507" i="3" a="1"/>
  <c r="AR507" i="3" s="1"/>
  <c r="AR508" i="3" a="1"/>
  <c r="AR508" i="3" s="1"/>
  <c r="AR509" i="3" a="1"/>
  <c r="AR509" i="3" s="1"/>
  <c r="AR510" i="3" a="1"/>
  <c r="AR510" i="3" s="1"/>
  <c r="AR511" i="3" a="1"/>
  <c r="AR511" i="3" s="1"/>
  <c r="AR512" i="3" a="1"/>
  <c r="AR512" i="3" s="1"/>
  <c r="AR513" i="3" a="1"/>
  <c r="AR513" i="3" s="1"/>
  <c r="AR514" i="3" a="1"/>
  <c r="AR514" i="3" s="1"/>
  <c r="AR515" i="3" a="1"/>
  <c r="AR515" i="3" s="1"/>
  <c r="AR516" i="3" a="1"/>
  <c r="AR516" i="3" s="1"/>
  <c r="AR517" i="3" a="1"/>
  <c r="AR517" i="3" s="1"/>
  <c r="AR518" i="3" a="1"/>
  <c r="AR518" i="3" s="1"/>
  <c r="AR519" i="3" a="1"/>
  <c r="AR519" i="3" s="1"/>
  <c r="AR520" i="3" a="1"/>
  <c r="AR520" i="3" s="1"/>
  <c r="AR521" i="3" a="1"/>
  <c r="AR521" i="3" s="1"/>
  <c r="AR522" i="3" a="1"/>
  <c r="AR522" i="3" s="1"/>
  <c r="AR523" i="3" a="1"/>
  <c r="AR523" i="3" s="1"/>
  <c r="AR524" i="3" a="1"/>
  <c r="AR524" i="3" s="1"/>
  <c r="AR525" i="3" a="1"/>
  <c r="AR525" i="3" s="1"/>
  <c r="AR526" i="3" a="1"/>
  <c r="AR526" i="3" s="1"/>
  <c r="AR527" i="3" a="1"/>
  <c r="AR527" i="3" s="1"/>
  <c r="AR528" i="3" a="1"/>
  <c r="AR528" i="3" s="1"/>
  <c r="AR529" i="3" a="1"/>
  <c r="AR529" i="3" s="1"/>
  <c r="AR530" i="3" a="1"/>
  <c r="AR530" i="3" s="1"/>
  <c r="AR531" i="3" a="1"/>
  <c r="AR531" i="3" s="1"/>
  <c r="AR532" i="3" a="1"/>
  <c r="AR532" i="3" s="1"/>
  <c r="AR533" i="3" a="1"/>
  <c r="AR533" i="3" s="1"/>
  <c r="AR534" i="3" a="1"/>
  <c r="AR534" i="3" s="1"/>
  <c r="AR535" i="3" a="1"/>
  <c r="AR535" i="3" s="1"/>
  <c r="AR536" i="3" a="1"/>
  <c r="AR536" i="3" s="1"/>
  <c r="AR537" i="3" a="1"/>
  <c r="AR537" i="3" s="1"/>
  <c r="AR538" i="3" a="1"/>
  <c r="AR538" i="3" s="1"/>
  <c r="AR539" i="3" a="1"/>
  <c r="AR539" i="3" s="1"/>
  <c r="AR540" i="3" a="1"/>
  <c r="AR540" i="3" s="1"/>
  <c r="AR541" i="3" a="1"/>
  <c r="AR541" i="3" s="1"/>
  <c r="AR542" i="3" a="1"/>
  <c r="AR542" i="3" s="1"/>
  <c r="AR543" i="3" a="1"/>
  <c r="AR543" i="3" s="1"/>
  <c r="AR544" i="3" a="1"/>
  <c r="AR544" i="3" s="1"/>
  <c r="AR545" i="3" a="1"/>
  <c r="AR545" i="3" s="1"/>
  <c r="AR546" i="3" a="1"/>
  <c r="AR546" i="3" s="1"/>
  <c r="AR547" i="3" a="1"/>
  <c r="AR547" i="3" s="1"/>
  <c r="AR548" i="3" a="1"/>
  <c r="AR548" i="3" s="1"/>
  <c r="AR549" i="3" a="1"/>
  <c r="AR549" i="3" s="1"/>
  <c r="AR550" i="3" a="1"/>
  <c r="AR550" i="3" s="1"/>
  <c r="AR551" i="3" a="1"/>
  <c r="AR551" i="3" s="1"/>
  <c r="AR552" i="3" a="1"/>
  <c r="AR552" i="3" s="1"/>
  <c r="AR553" i="3" a="1"/>
  <c r="AR553" i="3" s="1"/>
  <c r="AR554" i="3" a="1"/>
  <c r="AR554" i="3" s="1"/>
  <c r="AR555" i="3" a="1"/>
  <c r="AR555" i="3" s="1"/>
  <c r="AR556" i="3" a="1"/>
  <c r="AR556" i="3" s="1"/>
  <c r="AR557" i="3" a="1"/>
  <c r="AR557" i="3" s="1"/>
  <c r="AR558" i="3" a="1"/>
  <c r="AR558" i="3" s="1"/>
  <c r="AR559" i="3" a="1"/>
  <c r="AR559" i="3" s="1"/>
  <c r="AR560" i="3" a="1"/>
  <c r="AR560" i="3" s="1"/>
  <c r="AR561" i="3" a="1"/>
  <c r="AR561" i="3" s="1"/>
  <c r="AR562" i="3" a="1"/>
  <c r="AR562" i="3" s="1"/>
  <c r="AR563" i="3" a="1"/>
  <c r="AR563" i="3" s="1"/>
  <c r="AR564" i="3" a="1"/>
  <c r="AR564" i="3" s="1"/>
  <c r="AR565" i="3" a="1"/>
  <c r="AR565" i="3" s="1"/>
  <c r="AR566" i="3" a="1"/>
  <c r="AR566" i="3" s="1"/>
  <c r="AR567" i="3" a="1"/>
  <c r="AR567" i="3" s="1"/>
  <c r="AR568" i="3" a="1"/>
  <c r="AR568" i="3" s="1"/>
  <c r="AR569" i="3" a="1"/>
  <c r="AR569" i="3" s="1"/>
  <c r="AR570" i="3" a="1"/>
  <c r="AR570" i="3" s="1"/>
  <c r="AR571" i="3" a="1"/>
  <c r="AR571" i="3" s="1"/>
  <c r="AR572" i="3" a="1"/>
  <c r="AR572" i="3" s="1"/>
  <c r="AR573" i="3" a="1"/>
  <c r="AR573" i="3" s="1"/>
  <c r="AR574" i="3" a="1"/>
  <c r="AR574" i="3" s="1"/>
  <c r="AR575" i="3" a="1"/>
  <c r="AR575" i="3" s="1"/>
  <c r="AR576" i="3" a="1"/>
  <c r="AR576" i="3" s="1"/>
  <c r="AR577" i="3" a="1"/>
  <c r="AR577" i="3" s="1"/>
  <c r="AR578" i="3" a="1"/>
  <c r="AR578" i="3" s="1"/>
  <c r="AR579" i="3" a="1"/>
  <c r="AR579" i="3" s="1"/>
  <c r="AR580" i="3" a="1"/>
  <c r="AR580" i="3" s="1"/>
  <c r="AR581" i="3" a="1"/>
  <c r="AR581" i="3" s="1"/>
  <c r="AR582" i="3" a="1"/>
  <c r="AR582" i="3" s="1"/>
  <c r="AR583" i="3" a="1"/>
  <c r="AR583" i="3" s="1"/>
  <c r="AR584" i="3" a="1"/>
  <c r="AR584" i="3" s="1"/>
  <c r="AR585" i="3" a="1"/>
  <c r="AR585" i="3" s="1"/>
  <c r="AR586" i="3" a="1"/>
  <c r="AR586" i="3" s="1"/>
  <c r="AR587" i="3" a="1"/>
  <c r="AR587" i="3" s="1"/>
  <c r="AR588" i="3" a="1"/>
  <c r="AR588" i="3" s="1"/>
  <c r="AR589" i="3" a="1"/>
  <c r="AR589" i="3" s="1"/>
  <c r="AR590" i="3" a="1"/>
  <c r="AR590" i="3" s="1"/>
  <c r="AR591" i="3" a="1"/>
  <c r="AR591" i="3" s="1"/>
  <c r="AR592" i="3" a="1"/>
  <c r="AR592" i="3" s="1"/>
  <c r="AR593" i="3" a="1"/>
  <c r="AR593" i="3" s="1"/>
  <c r="AR594" i="3" a="1"/>
  <c r="AR594" i="3" s="1"/>
  <c r="AR595" i="3" a="1"/>
  <c r="AR595" i="3" s="1"/>
  <c r="AR596" i="3" a="1"/>
  <c r="AR596" i="3" s="1"/>
  <c r="AR597" i="3" a="1"/>
  <c r="AR597" i="3" s="1"/>
  <c r="AR598" i="3" a="1"/>
  <c r="AR598" i="3" s="1"/>
  <c r="AR599" i="3" a="1"/>
  <c r="AR599" i="3" s="1"/>
  <c r="AR600" i="3" a="1"/>
  <c r="AR600" i="3" s="1"/>
  <c r="AR601" i="3" a="1"/>
  <c r="AR601" i="3" s="1"/>
  <c r="AR602" i="3" a="1"/>
  <c r="AR602" i="3" s="1"/>
  <c r="AR603" i="3" a="1"/>
  <c r="AR603" i="3" s="1"/>
  <c r="AR604" i="3" a="1"/>
  <c r="AR604" i="3" s="1"/>
  <c r="AR605" i="3" a="1"/>
  <c r="AR605" i="3" s="1"/>
  <c r="AR606" i="3" a="1"/>
  <c r="AR606" i="3" s="1"/>
  <c r="AR607" i="3" a="1"/>
  <c r="AR607" i="3" s="1"/>
  <c r="AR608" i="3" a="1"/>
  <c r="AR608" i="3" s="1"/>
  <c r="AR609" i="3" a="1"/>
  <c r="AR609" i="3" s="1"/>
  <c r="AR610" i="3" a="1"/>
  <c r="AR610" i="3" s="1"/>
  <c r="AR611" i="3" a="1"/>
  <c r="AR611" i="3" s="1"/>
  <c r="AR612" i="3" a="1"/>
  <c r="AR612" i="3" s="1"/>
  <c r="AR613" i="3" a="1"/>
  <c r="AR613" i="3" s="1"/>
  <c r="AR614" i="3" a="1"/>
  <c r="AR614" i="3" s="1"/>
  <c r="AR615" i="3" a="1"/>
  <c r="AR615" i="3" s="1"/>
  <c r="AR616" i="3" a="1"/>
  <c r="AR616" i="3" s="1"/>
  <c r="AR617" i="3" a="1"/>
  <c r="AR617" i="3" s="1"/>
  <c r="AR618" i="3" a="1"/>
  <c r="AR618" i="3" s="1"/>
  <c r="AR619" i="3" a="1"/>
  <c r="AR619" i="3" s="1"/>
  <c r="AR620" i="3" a="1"/>
  <c r="AR620" i="3" s="1"/>
  <c r="AR621" i="3" a="1"/>
  <c r="AR621" i="3" s="1"/>
  <c r="AR622" i="3" a="1"/>
  <c r="AR622" i="3" s="1"/>
  <c r="AR623" i="3" a="1"/>
  <c r="AR623" i="3" s="1"/>
  <c r="AR624" i="3" a="1"/>
  <c r="AR624" i="3" s="1"/>
  <c r="AR625" i="3" a="1"/>
  <c r="AR625" i="3" s="1"/>
  <c r="AR626" i="3" a="1"/>
  <c r="AR626" i="3" s="1"/>
  <c r="AR627" i="3" a="1"/>
  <c r="AR627" i="3" s="1"/>
  <c r="AR628" i="3" a="1"/>
  <c r="AR628" i="3" s="1"/>
  <c r="AR629" i="3" a="1"/>
  <c r="AR629" i="3" s="1"/>
  <c r="AR630" i="3" a="1"/>
  <c r="AR630" i="3" s="1"/>
  <c r="AR631" i="3" a="1"/>
  <c r="AR631" i="3" s="1"/>
  <c r="AR632" i="3" a="1"/>
  <c r="AR632" i="3" s="1"/>
  <c r="AR633" i="3" a="1"/>
  <c r="AR633" i="3" s="1"/>
  <c r="AR634" i="3" a="1"/>
  <c r="AR634" i="3" s="1"/>
  <c r="AR635" i="3" a="1"/>
  <c r="AR635" i="3" s="1"/>
  <c r="AR636" i="3" a="1"/>
  <c r="AR636" i="3" s="1"/>
  <c r="AR637" i="3" a="1"/>
  <c r="AR637" i="3" s="1"/>
  <c r="AR638" i="3" a="1"/>
  <c r="AR638" i="3" s="1"/>
  <c r="AR639" i="3" a="1"/>
  <c r="AR639" i="3" s="1"/>
  <c r="AR640" i="3" a="1"/>
  <c r="AR640" i="3" s="1"/>
  <c r="AR641" i="3" a="1"/>
  <c r="AR641" i="3" s="1"/>
  <c r="AR642" i="3" a="1"/>
  <c r="AR642" i="3" s="1"/>
  <c r="AR643" i="3" a="1"/>
  <c r="AR643" i="3" s="1"/>
  <c r="AR644" i="3" a="1"/>
  <c r="AR644" i="3" s="1"/>
  <c r="AR645" i="3" a="1"/>
  <c r="AR645" i="3" s="1"/>
  <c r="AR646" i="3" a="1"/>
  <c r="AR646" i="3" s="1"/>
  <c r="AR647" i="3" a="1"/>
  <c r="AR647" i="3" s="1"/>
  <c r="AR648" i="3" a="1"/>
  <c r="AR648" i="3" s="1"/>
  <c r="AR649" i="3" a="1"/>
  <c r="AR649" i="3" s="1"/>
  <c r="AR650" i="3" a="1"/>
  <c r="AR650" i="3" s="1"/>
  <c r="AR651" i="3" a="1"/>
  <c r="AR651" i="3" s="1"/>
  <c r="AR652" i="3" a="1"/>
  <c r="AR652" i="3" s="1"/>
  <c r="AR653" i="3" a="1"/>
  <c r="AR653" i="3" s="1"/>
  <c r="AR654" i="3" a="1"/>
  <c r="AR654" i="3" s="1"/>
  <c r="AR655" i="3" a="1"/>
  <c r="AR655" i="3" s="1"/>
  <c r="AR656" i="3" a="1"/>
  <c r="AR656" i="3" s="1"/>
  <c r="AR657" i="3" a="1"/>
  <c r="AR657" i="3" s="1"/>
  <c r="AR658" i="3" a="1"/>
  <c r="AR658" i="3" s="1"/>
  <c r="AR659" i="3" a="1"/>
  <c r="AR659" i="3" s="1"/>
  <c r="AR660" i="3" a="1"/>
  <c r="AR660" i="3" s="1"/>
  <c r="AR661" i="3" a="1"/>
  <c r="AR661" i="3" s="1"/>
  <c r="AR662" i="3" a="1"/>
  <c r="AR662" i="3" s="1"/>
  <c r="AR663" i="3" a="1"/>
  <c r="AR663" i="3" s="1"/>
  <c r="AR664" i="3" a="1"/>
  <c r="AR664" i="3" s="1"/>
  <c r="AR665" i="3" a="1"/>
  <c r="AR665" i="3" s="1"/>
  <c r="AR666" i="3" a="1"/>
  <c r="AR666" i="3" s="1"/>
  <c r="AR667" i="3" a="1"/>
  <c r="AR667" i="3" s="1"/>
  <c r="AR668" i="3" a="1"/>
  <c r="AR668" i="3" s="1"/>
  <c r="AR669" i="3" a="1"/>
  <c r="AR669" i="3" s="1"/>
  <c r="AR670" i="3" a="1"/>
  <c r="AR670" i="3" s="1"/>
  <c r="AR671" i="3" a="1"/>
  <c r="AR671" i="3" s="1"/>
  <c r="AR672" i="3" a="1"/>
  <c r="AR672" i="3" s="1"/>
  <c r="AR673" i="3" a="1"/>
  <c r="AR673" i="3" s="1"/>
  <c r="AR674" i="3" a="1"/>
  <c r="AR674" i="3" s="1"/>
  <c r="AR675" i="3" a="1"/>
  <c r="AR675" i="3" s="1"/>
  <c r="AR676" i="3" a="1"/>
  <c r="AR676" i="3" s="1"/>
  <c r="AR677" i="3" a="1"/>
  <c r="AR677" i="3" s="1"/>
  <c r="AR678" i="3" a="1"/>
  <c r="AR678" i="3" s="1"/>
  <c r="AR679" i="3" a="1"/>
  <c r="AR679" i="3" s="1"/>
  <c r="AR680" i="3" a="1"/>
  <c r="AR680" i="3" s="1"/>
  <c r="AR681" i="3" a="1"/>
  <c r="AR681" i="3" s="1"/>
  <c r="AR682" i="3" a="1"/>
  <c r="AR682" i="3" s="1"/>
  <c r="AR683" i="3" a="1"/>
  <c r="AR683" i="3" s="1"/>
  <c r="AR684" i="3" a="1"/>
  <c r="AR684" i="3" s="1"/>
  <c r="AR685" i="3" a="1"/>
  <c r="AR685" i="3" s="1"/>
  <c r="AR686" i="3" a="1"/>
  <c r="AR686" i="3" s="1"/>
  <c r="AR687" i="3" a="1"/>
  <c r="AR687" i="3" s="1"/>
  <c r="AR688" i="3" a="1"/>
  <c r="AR688" i="3" s="1"/>
  <c r="AR689" i="3" a="1"/>
  <c r="AR689" i="3" s="1"/>
  <c r="AR690" i="3" a="1"/>
  <c r="AR690" i="3" s="1"/>
  <c r="AR691" i="3" a="1"/>
  <c r="AR691" i="3" s="1"/>
  <c r="AR692" i="3" a="1"/>
  <c r="AR692" i="3" s="1"/>
  <c r="AR693" i="3" a="1"/>
  <c r="AR693" i="3" s="1"/>
  <c r="AR694" i="3" a="1"/>
  <c r="AR694" i="3" s="1"/>
  <c r="AR695" i="3" a="1"/>
  <c r="AR695" i="3" s="1"/>
  <c r="AR696" i="3" a="1"/>
  <c r="AR696" i="3" s="1"/>
  <c r="AR697" i="3" a="1"/>
  <c r="AR697" i="3" s="1"/>
  <c r="AR698" i="3" a="1"/>
  <c r="AR698" i="3" s="1"/>
  <c r="AR699" i="3" a="1"/>
  <c r="AR699" i="3" s="1"/>
  <c r="AR700" i="3" a="1"/>
  <c r="AR700" i="3" s="1"/>
  <c r="AR701" i="3" a="1"/>
  <c r="AR701" i="3" s="1"/>
  <c r="AR702" i="3" a="1"/>
  <c r="AR702" i="3" s="1"/>
  <c r="AR703" i="3" a="1"/>
  <c r="AR703" i="3" s="1"/>
  <c r="AR704" i="3" a="1"/>
  <c r="AR704" i="3" s="1"/>
  <c r="AR705" i="3" a="1"/>
  <c r="AR705" i="3" s="1"/>
  <c r="AR706" i="3" a="1"/>
  <c r="AR706" i="3" s="1"/>
  <c r="AR707" i="3" a="1"/>
  <c r="AR707" i="3" s="1"/>
  <c r="AR708" i="3" a="1"/>
  <c r="AR708" i="3" s="1"/>
  <c r="AR709" i="3" a="1"/>
  <c r="AR709" i="3" s="1"/>
  <c r="AR710" i="3" a="1"/>
  <c r="AR710" i="3" s="1"/>
  <c r="AR711" i="3" a="1"/>
  <c r="AR711" i="3" s="1"/>
  <c r="AR712" i="3" a="1"/>
  <c r="AR712" i="3" s="1"/>
  <c r="AR713" i="3" a="1"/>
  <c r="AR713" i="3" s="1"/>
  <c r="AR714" i="3" a="1"/>
  <c r="AR714" i="3" s="1"/>
  <c r="AR715" i="3" a="1"/>
  <c r="AR715" i="3" s="1"/>
  <c r="AR716" i="3" a="1"/>
  <c r="AR716" i="3" s="1"/>
  <c r="AR717" i="3" a="1"/>
  <c r="AR717" i="3" s="1"/>
  <c r="AR718" i="3" a="1"/>
  <c r="AR718" i="3" s="1"/>
  <c r="AR719" i="3" a="1"/>
  <c r="AR719" i="3" s="1"/>
  <c r="AR720" i="3" a="1"/>
  <c r="AR720" i="3" s="1"/>
  <c r="AR721" i="3" a="1"/>
  <c r="AR721" i="3" s="1"/>
  <c r="AR722" i="3" a="1"/>
  <c r="AR722" i="3" s="1"/>
  <c r="AR723" i="3" a="1"/>
  <c r="AR723" i="3" s="1"/>
  <c r="AR724" i="3" a="1"/>
  <c r="AR724" i="3" s="1"/>
  <c r="AR725" i="3" a="1"/>
  <c r="AR725" i="3" s="1"/>
  <c r="AR726" i="3" a="1"/>
  <c r="AR726" i="3" s="1"/>
  <c r="AR727" i="3" a="1"/>
  <c r="AR727" i="3" s="1"/>
  <c r="AR728" i="3" a="1"/>
  <c r="AR728" i="3" s="1"/>
  <c r="AR729" i="3" a="1"/>
  <c r="AR729" i="3" s="1"/>
  <c r="AR730" i="3" a="1"/>
  <c r="AR730" i="3" s="1"/>
  <c r="AR731" i="3" a="1"/>
  <c r="AR731" i="3" s="1"/>
  <c r="AR732" i="3" a="1"/>
  <c r="AR732" i="3" s="1"/>
  <c r="AR733" i="3" a="1"/>
  <c r="AR733" i="3" s="1"/>
  <c r="AR734" i="3" a="1"/>
  <c r="AR734" i="3" s="1"/>
  <c r="AR735" i="3" a="1"/>
  <c r="AR735" i="3" s="1"/>
  <c r="AR736" i="3" a="1"/>
  <c r="AR736" i="3" s="1"/>
  <c r="AR737" i="3" a="1"/>
  <c r="AR737" i="3" s="1"/>
  <c r="AR738" i="3" a="1"/>
  <c r="AR738" i="3" s="1"/>
  <c r="AR739" i="3" a="1"/>
  <c r="AR739" i="3" s="1"/>
  <c r="AR740" i="3" a="1"/>
  <c r="AR740" i="3" s="1"/>
  <c r="AR741" i="3" a="1"/>
  <c r="AR741" i="3" s="1"/>
  <c r="AR742" i="3" a="1"/>
  <c r="AR742" i="3" s="1"/>
  <c r="AR743" i="3" a="1"/>
  <c r="AR743" i="3" s="1"/>
  <c r="AR744" i="3" a="1"/>
  <c r="AR744" i="3" s="1"/>
  <c r="AR745" i="3" a="1"/>
  <c r="AR745" i="3" s="1"/>
  <c r="AR746" i="3" a="1"/>
  <c r="AR746" i="3" s="1"/>
  <c r="AR747" i="3" a="1"/>
  <c r="AR747" i="3" s="1"/>
  <c r="AR748" i="3" a="1"/>
  <c r="AR748" i="3" s="1"/>
  <c r="AR749" i="3" a="1"/>
  <c r="AR749" i="3" s="1"/>
  <c r="AR750" i="3" a="1"/>
  <c r="AR750" i="3" s="1"/>
  <c r="AR751" i="3" a="1"/>
  <c r="AR751" i="3" s="1"/>
  <c r="AR752" i="3" a="1"/>
  <c r="AR752" i="3" s="1"/>
  <c r="AR753" i="3" a="1"/>
  <c r="AR753" i="3" s="1"/>
  <c r="AR754" i="3" a="1"/>
  <c r="AR754" i="3" s="1"/>
  <c r="AR755" i="3" a="1"/>
  <c r="AR755" i="3" s="1"/>
  <c r="AR756" i="3" a="1"/>
  <c r="AR756" i="3" s="1"/>
  <c r="AR757" i="3" a="1"/>
  <c r="AR757" i="3" s="1"/>
  <c r="AR758" i="3" a="1"/>
  <c r="AR758" i="3" s="1"/>
  <c r="AR759" i="3" a="1"/>
  <c r="AR759" i="3" s="1"/>
  <c r="AR760" i="3" a="1"/>
  <c r="AR760" i="3" s="1"/>
  <c r="AR761" i="3" a="1"/>
  <c r="AR761" i="3" s="1"/>
  <c r="AR762" i="3" a="1"/>
  <c r="AR762" i="3" s="1"/>
  <c r="AR763" i="3" a="1"/>
  <c r="AR763" i="3" s="1"/>
  <c r="AR764" i="3" a="1"/>
  <c r="AR764" i="3" s="1"/>
  <c r="AR765" i="3" a="1"/>
  <c r="AR765" i="3" s="1"/>
  <c r="AR766" i="3" a="1"/>
  <c r="AR766" i="3" s="1"/>
  <c r="AR767" i="3" a="1"/>
  <c r="AR767" i="3" s="1"/>
  <c r="AR768" i="3" a="1"/>
  <c r="AR768" i="3" s="1"/>
  <c r="AR769" i="3" a="1"/>
  <c r="AR769" i="3" s="1"/>
  <c r="AR770" i="3" a="1"/>
  <c r="AR770" i="3" s="1"/>
  <c r="AR771" i="3" a="1"/>
  <c r="AR771" i="3" s="1"/>
  <c r="AR772" i="3" a="1"/>
  <c r="AR772" i="3" s="1"/>
  <c r="AR773" i="3" a="1"/>
  <c r="AR773" i="3" s="1"/>
  <c r="AR774" i="3" a="1"/>
  <c r="AR774" i="3" s="1"/>
  <c r="AR775" i="3" a="1"/>
  <c r="AR775" i="3" s="1"/>
  <c r="AR776" i="3" a="1"/>
  <c r="AR776" i="3" s="1"/>
  <c r="AR777" i="3" a="1"/>
  <c r="AR777" i="3" s="1"/>
  <c r="AR778" i="3" a="1"/>
  <c r="AR778" i="3" s="1"/>
  <c r="AR779" i="3" a="1"/>
  <c r="AR779" i="3" s="1"/>
  <c r="AR780" i="3" a="1"/>
  <c r="AR780" i="3" s="1"/>
  <c r="AR781" i="3" a="1"/>
  <c r="AR781" i="3" s="1"/>
  <c r="AR782" i="3" a="1"/>
  <c r="AR782" i="3" s="1"/>
  <c r="AR783" i="3" a="1"/>
  <c r="AR783" i="3" s="1"/>
  <c r="AR784" i="3" a="1"/>
  <c r="AR784" i="3" s="1"/>
  <c r="AR785" i="3" a="1"/>
  <c r="AR785" i="3" s="1"/>
  <c r="AR786" i="3" a="1"/>
  <c r="AR786" i="3" s="1"/>
  <c r="AR787" i="3" a="1"/>
  <c r="AR787" i="3" s="1"/>
  <c r="AR788" i="3" a="1"/>
  <c r="AR788" i="3" s="1"/>
  <c r="AR789" i="3" a="1"/>
  <c r="AR789" i="3" s="1"/>
  <c r="AR790" i="3" a="1"/>
  <c r="AR790" i="3" s="1"/>
  <c r="AR791" i="3" a="1"/>
  <c r="AR791" i="3" s="1"/>
  <c r="AR792" i="3" a="1"/>
  <c r="AR792" i="3" s="1"/>
  <c r="AR793" i="3" a="1"/>
  <c r="AR793" i="3" s="1"/>
  <c r="AR794" i="3" a="1"/>
  <c r="AR794" i="3" s="1"/>
  <c r="AR795" i="3" a="1"/>
  <c r="AR795" i="3" s="1"/>
  <c r="AR796" i="3" a="1"/>
  <c r="AR796" i="3" s="1"/>
  <c r="AR797" i="3" a="1"/>
  <c r="AR797" i="3" s="1"/>
  <c r="AR798" i="3" a="1"/>
  <c r="AR798" i="3" s="1"/>
  <c r="AR799" i="3" a="1"/>
  <c r="AR799" i="3" s="1"/>
  <c r="AR800" i="3" a="1"/>
  <c r="AR800" i="3" s="1"/>
  <c r="AR801" i="3" a="1"/>
  <c r="AR801" i="3" s="1"/>
  <c r="AR802" i="3" a="1"/>
  <c r="AR802" i="3" s="1"/>
  <c r="AR803" i="3" a="1"/>
  <c r="AR803" i="3" s="1"/>
  <c r="AR804" i="3" a="1"/>
  <c r="AR804" i="3" s="1"/>
  <c r="AR805" i="3" a="1"/>
  <c r="AR805" i="3" s="1"/>
  <c r="AR806" i="3" a="1"/>
  <c r="AR806" i="3" s="1"/>
  <c r="AR807" i="3" a="1"/>
  <c r="AR807" i="3" s="1"/>
  <c r="AR808" i="3" a="1"/>
  <c r="AR808" i="3" s="1"/>
  <c r="AR809" i="3" a="1"/>
  <c r="AR809" i="3" s="1"/>
  <c r="AR810" i="3" a="1"/>
  <c r="AR810" i="3" s="1"/>
  <c r="AR811" i="3" a="1"/>
  <c r="AR811" i="3" s="1"/>
  <c r="AR812" i="3" a="1"/>
  <c r="AR812" i="3" s="1"/>
  <c r="AR813" i="3" a="1"/>
  <c r="AR813" i="3" s="1"/>
  <c r="AR814" i="3" a="1"/>
  <c r="AR814" i="3" s="1"/>
  <c r="AR815" i="3" a="1"/>
  <c r="AR815" i="3" s="1"/>
  <c r="AR816" i="3" a="1"/>
  <c r="AR816" i="3" s="1"/>
  <c r="AR817" i="3" a="1"/>
  <c r="AR817" i="3" s="1"/>
  <c r="AR818" i="3" a="1"/>
  <c r="AR818" i="3" s="1"/>
  <c r="AR819" i="3" a="1"/>
  <c r="AR819" i="3" s="1"/>
  <c r="AR820" i="3" a="1"/>
  <c r="AR820" i="3" s="1"/>
  <c r="AR821" i="3" a="1"/>
  <c r="AR821" i="3" s="1"/>
  <c r="AR822" i="3" a="1"/>
  <c r="AR822" i="3" s="1"/>
  <c r="AR823" i="3" a="1"/>
  <c r="AR823" i="3" s="1"/>
  <c r="AR824" i="3" a="1"/>
  <c r="AR824" i="3" s="1"/>
  <c r="AR825" i="3" a="1"/>
  <c r="AR825" i="3" s="1"/>
  <c r="AR826" i="3" a="1"/>
  <c r="AR826" i="3" s="1"/>
  <c r="AR827" i="3" a="1"/>
  <c r="AR827" i="3" s="1"/>
  <c r="AR828" i="3" a="1"/>
  <c r="AR828" i="3" s="1"/>
  <c r="AR829" i="3" a="1"/>
  <c r="AR829" i="3" s="1"/>
  <c r="AR830" i="3" a="1"/>
  <c r="AR830" i="3" s="1"/>
  <c r="AR831" i="3" a="1"/>
  <c r="AR831" i="3" s="1"/>
  <c r="AR832" i="3" a="1"/>
  <c r="AR832" i="3" s="1"/>
  <c r="AR833" i="3" a="1"/>
  <c r="AR833" i="3" s="1"/>
  <c r="AR834" i="3" a="1"/>
  <c r="AR834" i="3" s="1"/>
  <c r="AR835" i="3" a="1"/>
  <c r="AR835" i="3" s="1"/>
  <c r="AR836" i="3" a="1"/>
  <c r="AR836" i="3" s="1"/>
  <c r="AR837" i="3" a="1"/>
  <c r="AR837" i="3" s="1"/>
  <c r="AR838" i="3" a="1"/>
  <c r="AR838" i="3" s="1"/>
  <c r="AR839" i="3" a="1"/>
  <c r="AR839" i="3" s="1"/>
  <c r="AR840" i="3" a="1"/>
  <c r="AR840" i="3" s="1"/>
  <c r="AR841" i="3" a="1"/>
  <c r="AR841" i="3" s="1"/>
  <c r="AR842" i="3" a="1"/>
  <c r="AR842" i="3" s="1"/>
  <c r="AR843" i="3" a="1"/>
  <c r="AR843" i="3" s="1"/>
  <c r="AR844" i="3" a="1"/>
  <c r="AR844" i="3" s="1"/>
  <c r="AR845" i="3" a="1"/>
  <c r="AR845" i="3" s="1"/>
  <c r="AR846" i="3" a="1"/>
  <c r="AR846" i="3" s="1"/>
  <c r="AR847" i="3" a="1"/>
  <c r="AR847" i="3" s="1"/>
  <c r="AR848" i="3" a="1"/>
  <c r="AR848" i="3" s="1"/>
  <c r="AR849" i="3" a="1"/>
  <c r="AR849" i="3" s="1"/>
  <c r="AR850" i="3" a="1"/>
  <c r="AR850" i="3" s="1"/>
  <c r="AR851" i="3" a="1"/>
  <c r="AR851" i="3" s="1"/>
  <c r="AR852" i="3" a="1"/>
  <c r="AR852" i="3" s="1"/>
  <c r="AR853" i="3" a="1"/>
  <c r="AR853" i="3" s="1"/>
  <c r="AR854" i="3" a="1"/>
  <c r="AR854" i="3" s="1"/>
  <c r="AR855" i="3" a="1"/>
  <c r="AR855" i="3" s="1"/>
  <c r="AR856" i="3" a="1"/>
  <c r="AR856" i="3" s="1"/>
  <c r="AR857" i="3" a="1"/>
  <c r="AR857" i="3" s="1"/>
  <c r="AR858" i="3" a="1"/>
  <c r="AR858" i="3" s="1"/>
  <c r="AR859" i="3" a="1"/>
  <c r="AR859" i="3" s="1"/>
  <c r="AR860" i="3" a="1"/>
  <c r="AR860" i="3" s="1"/>
  <c r="AR861" i="3" a="1"/>
  <c r="AR861" i="3" s="1"/>
  <c r="AR862" i="3" a="1"/>
  <c r="AR862" i="3" s="1"/>
  <c r="AR863" i="3" a="1"/>
  <c r="AR863" i="3" s="1"/>
  <c r="AR864" i="3" a="1"/>
  <c r="AR864" i="3" s="1"/>
  <c r="AR865" i="3" a="1"/>
  <c r="AR865" i="3" s="1"/>
  <c r="AR866" i="3" a="1"/>
  <c r="AR866" i="3" s="1"/>
  <c r="AR867" i="3" a="1"/>
  <c r="AR867" i="3" s="1"/>
  <c r="AR868" i="3" a="1"/>
  <c r="AR868" i="3" s="1"/>
  <c r="AR869" i="3" a="1"/>
  <c r="AR869" i="3" s="1"/>
  <c r="AR870" i="3" a="1"/>
  <c r="AR870" i="3" s="1"/>
  <c r="AR871" i="3" a="1"/>
  <c r="AR871" i="3" s="1"/>
  <c r="AR872" i="3" a="1"/>
  <c r="AR872" i="3" s="1"/>
  <c r="AR873" i="3" a="1"/>
  <c r="AR873" i="3" s="1"/>
  <c r="AR874" i="3" a="1"/>
  <c r="AR874" i="3" s="1"/>
  <c r="AR875" i="3" a="1"/>
  <c r="AR875" i="3" s="1"/>
  <c r="AR876" i="3" a="1"/>
  <c r="AR876" i="3" s="1"/>
  <c r="AR877" i="3" a="1"/>
  <c r="AR877" i="3" s="1"/>
  <c r="AR878" i="3" a="1"/>
  <c r="AR878" i="3" s="1"/>
  <c r="AR879" i="3" a="1"/>
  <c r="AR879" i="3" s="1"/>
  <c r="AR880" i="3" a="1"/>
  <c r="AR880" i="3" s="1"/>
  <c r="AR881" i="3" a="1"/>
  <c r="AR881" i="3" s="1"/>
  <c r="AR882" i="3" a="1"/>
  <c r="AR882" i="3" s="1"/>
  <c r="AR883" i="3" a="1"/>
  <c r="AR883" i="3" s="1"/>
  <c r="AR884" i="3" a="1"/>
  <c r="AR884" i="3" s="1"/>
  <c r="AR885" i="3" a="1"/>
  <c r="AR885" i="3" s="1"/>
  <c r="AR886" i="3" a="1"/>
  <c r="AR886" i="3" s="1"/>
  <c r="AR887" i="3" a="1"/>
  <c r="AR887" i="3" s="1"/>
  <c r="AR888" i="3" a="1"/>
  <c r="AR888" i="3" s="1"/>
  <c r="AR889" i="3" a="1"/>
  <c r="AR889" i="3" s="1"/>
  <c r="AR890" i="3" a="1"/>
  <c r="AR890" i="3" s="1"/>
  <c r="AR891" i="3" a="1"/>
  <c r="AR891" i="3" s="1"/>
  <c r="AR892" i="3" a="1"/>
  <c r="AR892" i="3" s="1"/>
  <c r="AR893" i="3" a="1"/>
  <c r="AR893" i="3" s="1"/>
  <c r="AR894" i="3" a="1"/>
  <c r="AR894" i="3" s="1"/>
  <c r="AR895" i="3" a="1"/>
  <c r="AR895" i="3" s="1"/>
  <c r="AR896" i="3" a="1"/>
  <c r="AR896" i="3" s="1"/>
  <c r="AR897" i="3" a="1"/>
  <c r="AR897" i="3" s="1"/>
  <c r="AR898" i="3" a="1"/>
  <c r="AR898" i="3" s="1"/>
  <c r="AR899" i="3" a="1"/>
  <c r="AR899" i="3" s="1"/>
  <c r="AR900" i="3" a="1"/>
  <c r="AR900" i="3" s="1"/>
  <c r="AR901" i="3" a="1"/>
  <c r="AR901" i="3" s="1"/>
  <c r="AR902" i="3" a="1"/>
  <c r="AR902" i="3" s="1"/>
  <c r="AR903" i="3" a="1"/>
  <c r="AR903" i="3" s="1"/>
  <c r="AR904" i="3" a="1"/>
  <c r="AR904" i="3" s="1"/>
  <c r="AR905" i="3" a="1"/>
  <c r="AR905" i="3" s="1"/>
  <c r="AR906" i="3" a="1"/>
  <c r="AR906" i="3" s="1"/>
  <c r="AR907" i="3" a="1"/>
  <c r="AR907" i="3" s="1"/>
  <c r="AR908" i="3" a="1"/>
  <c r="AR908" i="3" s="1"/>
  <c r="AR909" i="3" a="1"/>
  <c r="AR909" i="3" s="1"/>
  <c r="AR910" i="3" a="1"/>
  <c r="AR910" i="3" s="1"/>
  <c r="AR911" i="3" a="1"/>
  <c r="AR911" i="3" s="1"/>
  <c r="AR912" i="3" a="1"/>
  <c r="AR912" i="3" s="1"/>
  <c r="AR913" i="3" a="1"/>
  <c r="AR913" i="3" s="1"/>
  <c r="AR914" i="3" a="1"/>
  <c r="AR914" i="3" s="1"/>
  <c r="AR915" i="3" a="1"/>
  <c r="AR915" i="3" s="1"/>
  <c r="AR916" i="3" a="1"/>
  <c r="AR916" i="3" s="1"/>
  <c r="AR917" i="3" a="1"/>
  <c r="AR917" i="3" s="1"/>
  <c r="AR918" i="3" a="1"/>
  <c r="AR918" i="3" s="1"/>
  <c r="AR919" i="3" a="1"/>
  <c r="AR919" i="3" s="1"/>
  <c r="AR920" i="3" a="1"/>
  <c r="AR920" i="3" s="1"/>
  <c r="AR921" i="3" a="1"/>
  <c r="AR921" i="3" s="1"/>
  <c r="AR922" i="3" a="1"/>
  <c r="AR922" i="3" s="1"/>
  <c r="AR923" i="3" a="1"/>
  <c r="AR923" i="3" s="1"/>
  <c r="AR924" i="3" a="1"/>
  <c r="AR924" i="3" s="1"/>
  <c r="AR925" i="3" a="1"/>
  <c r="AR925" i="3" s="1"/>
  <c r="AR926" i="3" a="1"/>
  <c r="AR926" i="3" s="1"/>
  <c r="AR927" i="3" a="1"/>
  <c r="AR927" i="3" s="1"/>
  <c r="AR928" i="3" a="1"/>
  <c r="AR928" i="3" s="1"/>
  <c r="AR929" i="3" a="1"/>
  <c r="AR929" i="3" s="1"/>
  <c r="AR930" i="3" a="1"/>
  <c r="AR930" i="3" s="1"/>
  <c r="AR931" i="3" a="1"/>
  <c r="AR931" i="3" s="1"/>
  <c r="AR932" i="3" a="1"/>
  <c r="AR932" i="3" s="1"/>
  <c r="AR933" i="3" a="1"/>
  <c r="AR933" i="3" s="1"/>
  <c r="AR934" i="3" a="1"/>
  <c r="AR934" i="3" s="1"/>
  <c r="AR935" i="3" a="1"/>
  <c r="AR935" i="3" s="1"/>
  <c r="AR936" i="3" a="1"/>
  <c r="AR936" i="3" s="1"/>
  <c r="AR937" i="3" a="1"/>
  <c r="AR937" i="3" s="1"/>
  <c r="AR938" i="3" a="1"/>
  <c r="AR938" i="3" s="1"/>
  <c r="AR939" i="3" a="1"/>
  <c r="AR939" i="3" s="1"/>
  <c r="AR940" i="3" a="1"/>
  <c r="AR940" i="3" s="1"/>
  <c r="AR941" i="3" a="1"/>
  <c r="AR941" i="3" s="1"/>
  <c r="AR942" i="3" a="1"/>
  <c r="AR942" i="3" s="1"/>
  <c r="AR943" i="3" a="1"/>
  <c r="AR943" i="3" s="1"/>
  <c r="AR944" i="3" a="1"/>
  <c r="AR944" i="3" s="1"/>
  <c r="AR945" i="3" a="1"/>
  <c r="AR945" i="3" s="1"/>
  <c r="AR946" i="3" a="1"/>
  <c r="AR946" i="3" s="1"/>
  <c r="AR947" i="3" a="1"/>
  <c r="AR947" i="3" s="1"/>
  <c r="AR948" i="3" a="1"/>
  <c r="AR948" i="3" s="1"/>
  <c r="AR949" i="3" a="1"/>
  <c r="AR949" i="3" s="1"/>
  <c r="AR950" i="3" a="1"/>
  <c r="AR950" i="3" s="1"/>
  <c r="AR951" i="3" a="1"/>
  <c r="AR951" i="3" s="1"/>
  <c r="AR952" i="3" a="1"/>
  <c r="AR952" i="3" s="1"/>
  <c r="AR953" i="3" a="1"/>
  <c r="AR953" i="3" s="1"/>
  <c r="AR954" i="3" a="1"/>
  <c r="AR954" i="3" s="1"/>
  <c r="AR955" i="3" a="1"/>
  <c r="AR955" i="3" s="1"/>
  <c r="AR956" i="3" a="1"/>
  <c r="AR956" i="3" s="1"/>
  <c r="AR957" i="3" a="1"/>
  <c r="AR957" i="3" s="1"/>
  <c r="AR958" i="3" a="1"/>
  <c r="AR958" i="3" s="1"/>
  <c r="AR959" i="3" a="1"/>
  <c r="AR959" i="3" s="1"/>
  <c r="AR960" i="3" a="1"/>
  <c r="AR960" i="3" s="1"/>
  <c r="AR961" i="3" a="1"/>
  <c r="AR961" i="3" s="1"/>
  <c r="AR962" i="3" a="1"/>
  <c r="AR962" i="3" s="1"/>
  <c r="AR963" i="3" a="1"/>
  <c r="AR963" i="3" s="1"/>
  <c r="AR964" i="3" a="1"/>
  <c r="AR964" i="3" s="1"/>
  <c r="AR965" i="3" a="1"/>
  <c r="AR965" i="3" s="1"/>
  <c r="AR966" i="3" a="1"/>
  <c r="AR966" i="3" s="1"/>
  <c r="AR967" i="3" a="1"/>
  <c r="AR967" i="3" s="1"/>
  <c r="AR968" i="3" a="1"/>
  <c r="AR968" i="3" s="1"/>
  <c r="AR969" i="3" a="1"/>
  <c r="AR969" i="3" s="1"/>
  <c r="AR970" i="3" a="1"/>
  <c r="AR970" i="3" s="1"/>
  <c r="AR971" i="3" a="1"/>
  <c r="AR971" i="3" s="1"/>
  <c r="AR972" i="3" a="1"/>
  <c r="AR972" i="3" s="1"/>
  <c r="AR973" i="3" a="1"/>
  <c r="AR973" i="3" s="1"/>
  <c r="AR974" i="3" a="1"/>
  <c r="AR974" i="3" s="1"/>
  <c r="AR975" i="3" a="1"/>
  <c r="AR975" i="3" s="1"/>
  <c r="AR976" i="3" a="1"/>
  <c r="AR976" i="3" s="1"/>
  <c r="AR977" i="3" a="1"/>
  <c r="AR977" i="3" s="1"/>
  <c r="AR978" i="3" a="1"/>
  <c r="AR978" i="3" s="1"/>
  <c r="AR979" i="3" a="1"/>
  <c r="AR979" i="3" s="1"/>
  <c r="AR980" i="3" a="1"/>
  <c r="AR980" i="3" s="1"/>
  <c r="AR981" i="3" a="1"/>
  <c r="AR981" i="3" s="1"/>
  <c r="AR982" i="3" a="1"/>
  <c r="AR982" i="3" s="1"/>
  <c r="AR983" i="3" a="1"/>
  <c r="AR983" i="3" s="1"/>
  <c r="AR984" i="3" a="1"/>
  <c r="AR984" i="3" s="1"/>
  <c r="AR985" i="3" a="1"/>
  <c r="AR985" i="3" s="1"/>
  <c r="AR986" i="3" a="1"/>
  <c r="AR986" i="3" s="1"/>
  <c r="AR987" i="3" a="1"/>
  <c r="AR987" i="3" s="1"/>
  <c r="AR988" i="3" a="1"/>
  <c r="AR988" i="3" s="1"/>
  <c r="AR989" i="3" a="1"/>
  <c r="AR989" i="3" s="1"/>
  <c r="AR990" i="3" a="1"/>
  <c r="AR990" i="3" s="1"/>
  <c r="AR991" i="3" a="1"/>
  <c r="AR991" i="3" s="1"/>
  <c r="AR992" i="3" a="1"/>
  <c r="AR992" i="3" s="1"/>
  <c r="AR993" i="3" a="1"/>
  <c r="AR993" i="3" s="1"/>
  <c r="AR994" i="3" a="1"/>
  <c r="AR994" i="3" s="1"/>
  <c r="AR995" i="3" a="1"/>
  <c r="AR995" i="3" s="1"/>
  <c r="AR996" i="3" a="1"/>
  <c r="AR996" i="3" s="1"/>
  <c r="AR997" i="3" a="1"/>
  <c r="AR997" i="3" s="1"/>
  <c r="AR998" i="3" a="1"/>
  <c r="AR998" i="3" s="1"/>
  <c r="AR999" i="3" a="1"/>
  <c r="AR999" i="3" s="1"/>
  <c r="AR1000" i="3" a="1"/>
  <c r="AR1000" i="3" s="1"/>
  <c r="AR1001" i="3" a="1"/>
  <c r="AR1001" i="3" s="1"/>
  <c r="AR1002" i="3" a="1"/>
  <c r="AR1002" i="3" s="1"/>
  <c r="AR1003" i="3" a="1"/>
  <c r="AR1003" i="3" s="1"/>
  <c r="AR1004" i="3" a="1"/>
  <c r="AR1004" i="3" s="1"/>
  <c r="AR1005" i="3" a="1"/>
  <c r="AR1005" i="3" s="1"/>
  <c r="AR1006" i="3" a="1"/>
  <c r="AR1006" i="3" s="1"/>
  <c r="AR1007" i="3" a="1"/>
  <c r="AR1007" i="3" s="1"/>
  <c r="AR1008" i="3" a="1"/>
  <c r="AR1008" i="3" s="1"/>
  <c r="AR1009" i="3" a="1"/>
  <c r="AR1009" i="3" s="1"/>
  <c r="AR1010" i="3" a="1"/>
  <c r="AR1010" i="3" s="1"/>
  <c r="AR1011" i="3" a="1"/>
  <c r="AR1011" i="3" s="1"/>
  <c r="AR1012" i="3" a="1"/>
  <c r="AR1012" i="3" s="1"/>
  <c r="AR1013" i="3" a="1"/>
  <c r="AR1013" i="3" s="1"/>
  <c r="AR1014" i="3" a="1"/>
  <c r="AR1014" i="3" s="1"/>
  <c r="AR1015" i="3" a="1"/>
  <c r="AR1015" i="3" s="1"/>
  <c r="AR1016" i="3" a="1"/>
  <c r="AR1016" i="3" s="1"/>
  <c r="AR1017" i="3" a="1"/>
  <c r="AR1017" i="3" s="1"/>
  <c r="AR1018" i="3" a="1"/>
  <c r="AR1018" i="3" s="1"/>
  <c r="AR1019" i="3" a="1"/>
  <c r="AR1019" i="3" s="1"/>
  <c r="AR1020" i="3" a="1"/>
  <c r="AR1020" i="3" s="1"/>
  <c r="AR1021" i="3" a="1"/>
  <c r="AR1021" i="3" s="1"/>
  <c r="AR1022" i="3" a="1"/>
  <c r="AR1022" i="3" s="1"/>
  <c r="AR1023" i="3" a="1"/>
  <c r="AR1023" i="3" s="1"/>
  <c r="AR1024" i="3" a="1"/>
  <c r="AR1024" i="3" s="1"/>
  <c r="AR1025" i="3" a="1"/>
  <c r="AR1025" i="3" s="1"/>
  <c r="AR1026" i="3" a="1"/>
  <c r="AR1026" i="3" s="1"/>
  <c r="AR1027" i="3" a="1"/>
  <c r="AR1027" i="3" s="1"/>
  <c r="AR1028" i="3" a="1"/>
  <c r="AR1028" i="3" s="1"/>
  <c r="AR1029" i="3" a="1"/>
  <c r="AR1029" i="3" s="1"/>
  <c r="AR1030" i="3" a="1"/>
  <c r="AR1030" i="3" s="1"/>
  <c r="AR1031" i="3" a="1"/>
  <c r="AR1031" i="3" s="1"/>
  <c r="AR1032" i="3" a="1"/>
  <c r="AR1032" i="3" s="1"/>
  <c r="AR1033" i="3" a="1"/>
  <c r="AR1033" i="3" s="1"/>
  <c r="AR1034" i="3" a="1"/>
  <c r="AR1034" i="3" s="1"/>
  <c r="AR1035" i="3" a="1"/>
  <c r="AR1035" i="3" s="1"/>
  <c r="AR1036" i="3" a="1"/>
  <c r="AR1036" i="3" s="1"/>
  <c r="AR1037" i="3" a="1"/>
  <c r="AR1037" i="3" s="1"/>
  <c r="AR1038" i="3" a="1"/>
  <c r="AR1038" i="3" s="1"/>
  <c r="AR1039" i="3" a="1"/>
  <c r="AR1039" i="3" s="1"/>
  <c r="AR1040" i="3" a="1"/>
  <c r="AR1040" i="3" s="1"/>
  <c r="AR1041" i="3" a="1"/>
  <c r="AR1041" i="3" s="1"/>
  <c r="AR1042" i="3" a="1"/>
  <c r="AR1042" i="3" s="1"/>
  <c r="AR1043" i="3" a="1"/>
  <c r="AR1043" i="3" s="1"/>
  <c r="AR1044" i="3" a="1"/>
  <c r="AR1044" i="3" s="1"/>
  <c r="AR1045" i="3" a="1"/>
  <c r="AR1045" i="3" s="1"/>
  <c r="AR1046" i="3" a="1"/>
  <c r="AR1046" i="3" s="1"/>
  <c r="AR1047" i="3" a="1"/>
  <c r="AR1047" i="3" s="1"/>
  <c r="AR1048" i="3" a="1"/>
  <c r="AR1048" i="3" s="1"/>
  <c r="AR1049" i="3" a="1"/>
  <c r="AR1049" i="3" s="1"/>
  <c r="AR1050" i="3" a="1"/>
  <c r="AR1050" i="3" s="1"/>
  <c r="AR1051" i="3" a="1"/>
  <c r="AR1051" i="3" s="1"/>
  <c r="AR1052" i="3" a="1"/>
  <c r="AR1052" i="3" s="1"/>
  <c r="AR1053" i="3" a="1"/>
  <c r="AR1053" i="3" s="1"/>
  <c r="AR1054" i="3" a="1"/>
  <c r="AR1054" i="3" s="1"/>
  <c r="AR1055" i="3" a="1"/>
  <c r="AR1055" i="3" s="1"/>
  <c r="AR1056" i="3" a="1"/>
  <c r="AR1056" i="3" s="1"/>
  <c r="AR1057" i="3" a="1"/>
  <c r="AR1057" i="3" s="1"/>
  <c r="AR1058" i="3" a="1"/>
  <c r="AR1058" i="3" s="1"/>
  <c r="AR1059" i="3" a="1"/>
  <c r="AR1059" i="3" s="1"/>
  <c r="AR1060" i="3" a="1"/>
  <c r="AR1060" i="3" s="1"/>
  <c r="AR1061" i="3" a="1"/>
  <c r="AR1061" i="3" s="1"/>
  <c r="AR1062" i="3" a="1"/>
  <c r="AR1062" i="3" s="1"/>
  <c r="AR1063" i="3" a="1"/>
  <c r="AR1063" i="3" s="1"/>
  <c r="AR1064" i="3" a="1"/>
  <c r="AR1064" i="3" s="1"/>
  <c r="AR1065" i="3" a="1"/>
  <c r="AR1065" i="3" s="1"/>
  <c r="AR1066" i="3" a="1"/>
  <c r="AR1066" i="3" s="1"/>
  <c r="AR1067" i="3" a="1"/>
  <c r="AR1067" i="3" s="1"/>
  <c r="AR1068" i="3" a="1"/>
  <c r="AR1068" i="3" s="1"/>
  <c r="AR1069" i="3" a="1"/>
  <c r="AR1069" i="3" s="1"/>
  <c r="AR1070" i="3" a="1"/>
  <c r="AR1070" i="3" s="1"/>
  <c r="AR1071" i="3" a="1"/>
  <c r="AR1071" i="3" s="1"/>
  <c r="AR1072" i="3" a="1"/>
  <c r="AR1072" i="3" s="1"/>
  <c r="AR1073" i="3" a="1"/>
  <c r="AR1073" i="3" s="1"/>
  <c r="AR1074" i="3" a="1"/>
  <c r="AR1074" i="3" s="1"/>
  <c r="AR1075" i="3" a="1"/>
  <c r="AR1075" i="3" s="1"/>
  <c r="AR1076" i="3" a="1"/>
  <c r="AR1076" i="3" s="1"/>
  <c r="AR1077" i="3" a="1"/>
  <c r="AR1077" i="3" s="1"/>
  <c r="AR1078" i="3" a="1"/>
  <c r="AR1078" i="3" s="1"/>
  <c r="AR1079" i="3" a="1"/>
  <c r="AR1079" i="3" s="1"/>
  <c r="AR1080" i="3" a="1"/>
  <c r="AR1080" i="3" s="1"/>
  <c r="AR1081" i="3" a="1"/>
  <c r="AR1081" i="3" s="1"/>
  <c r="AR1082" i="3" a="1"/>
  <c r="AR1082" i="3" s="1"/>
  <c r="AR1083" i="3" a="1"/>
  <c r="AR1083" i="3" s="1"/>
  <c r="AR1084" i="3" a="1"/>
  <c r="AR1084" i="3" s="1"/>
  <c r="AR1085" i="3" a="1"/>
  <c r="AR1085" i="3" s="1"/>
  <c r="AR1086" i="3" a="1"/>
  <c r="AR1086" i="3" s="1"/>
  <c r="AR1087" i="3" a="1"/>
  <c r="AR1087" i="3" s="1"/>
  <c r="AR1088" i="3" a="1"/>
  <c r="AR1088" i="3" s="1"/>
  <c r="AR1089" i="3" a="1"/>
  <c r="AR1089" i="3" s="1"/>
  <c r="AR1090" i="3" a="1"/>
  <c r="AR1090" i="3" s="1"/>
  <c r="AR1091" i="3" a="1"/>
  <c r="AR1091" i="3" s="1"/>
  <c r="AR1092" i="3" a="1"/>
  <c r="AR1092" i="3" s="1"/>
  <c r="AR1093" i="3" a="1"/>
  <c r="AR1093" i="3" s="1"/>
  <c r="AR1094" i="3" a="1"/>
  <c r="AR1094" i="3" s="1"/>
  <c r="AR1095" i="3" a="1"/>
  <c r="AR1095" i="3" s="1"/>
  <c r="AR1096" i="3" a="1"/>
  <c r="AR1096" i="3" s="1"/>
  <c r="AR1097" i="3" a="1"/>
  <c r="AR1097" i="3" s="1"/>
  <c r="AR1098" i="3" a="1"/>
  <c r="AR1098" i="3" s="1"/>
  <c r="AR1099" i="3" a="1"/>
  <c r="AR1099" i="3" s="1"/>
  <c r="AR1100" i="3" a="1"/>
  <c r="AR1100" i="3" s="1"/>
  <c r="AR1101" i="3" a="1"/>
  <c r="AR1101" i="3" s="1"/>
  <c r="AR1102" i="3" a="1"/>
  <c r="AR1102" i="3" s="1"/>
  <c r="AR1103" i="3" a="1"/>
  <c r="AR1103" i="3" s="1"/>
  <c r="AR1104" i="3" a="1"/>
  <c r="AR1104" i="3" s="1"/>
  <c r="AR1105" i="3" a="1"/>
  <c r="AR1105" i="3" s="1"/>
  <c r="AR1106" i="3" a="1"/>
  <c r="AR1106" i="3" s="1"/>
  <c r="AR1107" i="3" a="1"/>
  <c r="AR1107" i="3" s="1"/>
  <c r="AR1108" i="3" a="1"/>
  <c r="AR1108" i="3" s="1"/>
  <c r="AR1109" i="3" a="1"/>
  <c r="AR1109" i="3" s="1"/>
  <c r="AR1110" i="3" a="1"/>
  <c r="AR1110" i="3" s="1"/>
  <c r="AR1111" i="3" a="1"/>
  <c r="AR1111" i="3" s="1"/>
  <c r="AR1112" i="3" a="1"/>
  <c r="AR1112" i="3" s="1"/>
  <c r="AR1113" i="3" a="1"/>
  <c r="AR1113" i="3" s="1"/>
  <c r="AR1114" i="3" a="1"/>
  <c r="AR1114" i="3" s="1"/>
  <c r="AR1115" i="3" a="1"/>
  <c r="AR1115" i="3" s="1"/>
  <c r="AR1116" i="3" a="1"/>
  <c r="AR1116" i="3" s="1"/>
  <c r="AR1117" i="3" a="1"/>
  <c r="AR1117" i="3" s="1"/>
  <c r="AR1118" i="3" a="1"/>
  <c r="AR1118" i="3" s="1"/>
  <c r="AR1119" i="3" a="1"/>
  <c r="AR1119" i="3" s="1"/>
  <c r="AR1120" i="3" a="1"/>
  <c r="AR1120" i="3" s="1"/>
  <c r="AR1121" i="3" a="1"/>
  <c r="AR1121" i="3" s="1"/>
  <c r="AR1122" i="3" a="1"/>
  <c r="AR1122" i="3" s="1"/>
  <c r="AR1123" i="3" a="1"/>
  <c r="AR1123" i="3" s="1"/>
  <c r="AR1124" i="3" a="1"/>
  <c r="AR1124" i="3" s="1"/>
  <c r="AR1125" i="3" a="1"/>
  <c r="AR1125" i="3" s="1"/>
  <c r="AR1126" i="3" a="1"/>
  <c r="AR1126" i="3" s="1"/>
  <c r="AR1127" i="3" a="1"/>
  <c r="AR1127" i="3" s="1"/>
  <c r="AR1128" i="3" a="1"/>
  <c r="AR1128" i="3" s="1"/>
  <c r="AR1129" i="3" a="1"/>
  <c r="AR1129" i="3" s="1"/>
  <c r="AR1130" i="3" a="1"/>
  <c r="AR1130" i="3" s="1"/>
  <c r="AR1131" i="3" a="1"/>
  <c r="AR1131" i="3" s="1"/>
  <c r="AR1132" i="3" a="1"/>
  <c r="AR1132" i="3" s="1"/>
  <c r="AR1133" i="3" a="1"/>
  <c r="AR1133" i="3" s="1"/>
  <c r="AR1134" i="3" a="1"/>
  <c r="AR1134" i="3" s="1"/>
  <c r="AR1135" i="3" a="1"/>
  <c r="AR1135" i="3" s="1"/>
  <c r="AR1136" i="3" a="1"/>
  <c r="AR1136" i="3" s="1"/>
  <c r="AR1137" i="3" a="1"/>
  <c r="AR1137" i="3" s="1"/>
  <c r="AR1138" i="3" a="1"/>
  <c r="AR1138" i="3" s="1"/>
  <c r="AR1139" i="3" a="1"/>
  <c r="AR1139" i="3" s="1"/>
  <c r="AR1140" i="3" a="1"/>
  <c r="AR1140" i="3" s="1"/>
  <c r="AR1141" i="3" a="1"/>
  <c r="AR1141" i="3" s="1"/>
  <c r="AR1142" i="3" a="1"/>
  <c r="AR1142" i="3" s="1"/>
  <c r="AR1143" i="3" a="1"/>
  <c r="AR1143" i="3" s="1"/>
  <c r="AR1144" i="3" a="1"/>
  <c r="AR1144" i="3" s="1"/>
  <c r="AR1145" i="3" a="1"/>
  <c r="AR1145" i="3" s="1"/>
  <c r="AR1146" i="3" a="1"/>
  <c r="AR1146" i="3" s="1"/>
  <c r="AR1147" i="3" a="1"/>
  <c r="AR1147" i="3" s="1"/>
  <c r="AR1148" i="3" a="1"/>
  <c r="AR1148" i="3" s="1"/>
  <c r="AR1149" i="3" a="1"/>
  <c r="AR1149" i="3" s="1"/>
  <c r="AR1150" i="3" a="1"/>
  <c r="AR1150" i="3" s="1"/>
  <c r="AR1151" i="3" a="1"/>
  <c r="AR1151" i="3" s="1"/>
  <c r="AR1152" i="3" a="1"/>
  <c r="AR1152" i="3" s="1"/>
  <c r="AR1153" i="3" a="1"/>
  <c r="AR1153" i="3" s="1"/>
  <c r="AR1154" i="3" a="1"/>
  <c r="AR1154" i="3" s="1"/>
  <c r="AR1155" i="3" a="1"/>
  <c r="AR1155" i="3" s="1"/>
  <c r="AR1156" i="3" a="1"/>
  <c r="AR1156" i="3" s="1"/>
  <c r="AR1157" i="3" a="1"/>
  <c r="AR1157" i="3" s="1"/>
  <c r="AR1158" i="3" a="1"/>
  <c r="AR1158" i="3" s="1"/>
  <c r="AR1159" i="3" a="1"/>
  <c r="AR1159" i="3" s="1"/>
  <c r="AR1160" i="3" a="1"/>
  <c r="AR1160" i="3" s="1"/>
  <c r="AR1161" i="3" a="1"/>
  <c r="AR1161" i="3" s="1"/>
  <c r="AR1162" i="3" a="1"/>
  <c r="AR1162" i="3" s="1"/>
  <c r="AR1163" i="3" a="1"/>
  <c r="AR1163" i="3" s="1"/>
  <c r="AR1164" i="3" a="1"/>
  <c r="AR1164" i="3" s="1"/>
  <c r="AR1165" i="3" a="1"/>
  <c r="AR1165" i="3" s="1"/>
  <c r="AR1166" i="3" a="1"/>
  <c r="AR1166" i="3" s="1"/>
  <c r="AR1167" i="3" a="1"/>
  <c r="AR1167" i="3" s="1"/>
  <c r="AR1168" i="3" a="1"/>
  <c r="AR1168" i="3" s="1"/>
  <c r="AR1169" i="3" a="1"/>
  <c r="AR1169" i="3" s="1"/>
  <c r="AR1170" i="3" a="1"/>
  <c r="AR1170" i="3" s="1"/>
  <c r="AR1171" i="3" a="1"/>
  <c r="AR1171" i="3" s="1"/>
  <c r="AR1172" i="3" a="1"/>
  <c r="AR1172" i="3" s="1"/>
  <c r="AR1173" i="3" a="1"/>
  <c r="AR1173" i="3" s="1"/>
  <c r="AR1174" i="3" a="1"/>
  <c r="AR1174" i="3" s="1"/>
  <c r="AR1175" i="3" a="1"/>
  <c r="AR1175" i="3" s="1"/>
  <c r="AR1176" i="3" a="1"/>
  <c r="AR1176" i="3" s="1"/>
  <c r="AR1177" i="3" a="1"/>
  <c r="AR1177" i="3" s="1"/>
  <c r="AR1178" i="3" a="1"/>
  <c r="AR1178" i="3" s="1"/>
  <c r="AR1179" i="3" a="1"/>
  <c r="AR1179" i="3" s="1"/>
  <c r="AR1180" i="3" a="1"/>
  <c r="AR1180" i="3" s="1"/>
  <c r="AR1181" i="3" a="1"/>
  <c r="AR1181" i="3" s="1"/>
  <c r="AR1182" i="3" a="1"/>
  <c r="AR1182" i="3" s="1"/>
  <c r="AR1183" i="3" a="1"/>
  <c r="AR1183" i="3" s="1"/>
  <c r="AR1184" i="3" a="1"/>
  <c r="AR1184" i="3" s="1"/>
  <c r="AR1185" i="3" a="1"/>
  <c r="AR1185" i="3" s="1"/>
  <c r="AR1186" i="3" a="1"/>
  <c r="AR1186" i="3" s="1"/>
  <c r="AR1187" i="3" a="1"/>
  <c r="AR1187" i="3" s="1"/>
  <c r="AR1188" i="3" a="1"/>
  <c r="AR1188" i="3" s="1"/>
  <c r="AR1189" i="3" a="1"/>
  <c r="AR1189" i="3" s="1"/>
  <c r="AR1190" i="3" a="1"/>
  <c r="AR1190" i="3" s="1"/>
  <c r="AR1191" i="3" a="1"/>
  <c r="AR1191" i="3" s="1"/>
  <c r="AR1192" i="3" a="1"/>
  <c r="AR1192" i="3" s="1"/>
  <c r="AR1193" i="3" a="1"/>
  <c r="AR1193" i="3" s="1"/>
  <c r="AR1194" i="3" a="1"/>
  <c r="AR1194" i="3" s="1"/>
  <c r="AR1195" i="3" a="1"/>
  <c r="AR1195" i="3" s="1"/>
  <c r="AR1196" i="3" a="1"/>
  <c r="AR1196" i="3" s="1"/>
  <c r="AR1197" i="3" a="1"/>
  <c r="AR1197" i="3" s="1"/>
  <c r="AR1198" i="3" a="1"/>
  <c r="AR1198" i="3" s="1"/>
  <c r="AR1199" i="3" a="1"/>
  <c r="AR1199" i="3" s="1"/>
  <c r="AR1200" i="3" a="1"/>
  <c r="AR1200" i="3" s="1"/>
  <c r="AR1201" i="3" a="1"/>
  <c r="AR1201" i="3" s="1"/>
  <c r="AR1202" i="3" a="1"/>
  <c r="AR1202" i="3" s="1"/>
  <c r="AR1203" i="3" a="1"/>
  <c r="AR1203" i="3" s="1"/>
  <c r="AR1204" i="3" a="1"/>
  <c r="AR1204" i="3" s="1"/>
  <c r="AR1205" i="3" a="1"/>
  <c r="AR1205" i="3" s="1"/>
  <c r="AR1206" i="3" a="1"/>
  <c r="AR1206" i="3" s="1"/>
  <c r="AR1207" i="3" a="1"/>
  <c r="AR1207" i="3" s="1"/>
  <c r="AR1208" i="3" a="1"/>
  <c r="AR1208" i="3" s="1"/>
  <c r="AR1209" i="3" a="1"/>
  <c r="AR1209" i="3" s="1"/>
  <c r="AR1210" i="3" a="1"/>
  <c r="AR1210" i="3" s="1"/>
  <c r="AR1211" i="3" a="1"/>
  <c r="AR1211" i="3" s="1"/>
  <c r="AR1212" i="3" a="1"/>
  <c r="AR1212" i="3" s="1"/>
  <c r="AR1213" i="3" a="1"/>
  <c r="AR1213" i="3" s="1"/>
  <c r="AR1214" i="3" a="1"/>
  <c r="AR1214" i="3" s="1"/>
  <c r="AR1215" i="3" a="1"/>
  <c r="AR1215" i="3" s="1"/>
  <c r="AR1216" i="3" a="1"/>
  <c r="AR1216" i="3" s="1"/>
  <c r="AR1217" i="3" a="1"/>
  <c r="AR1217" i="3" s="1"/>
  <c r="AR1218" i="3" a="1"/>
  <c r="AR1218" i="3" s="1"/>
  <c r="AR1219" i="3" a="1"/>
  <c r="AR1219" i="3" s="1"/>
  <c r="AR1220" i="3" a="1"/>
  <c r="AR1220" i="3" s="1"/>
  <c r="AR1221" i="3" a="1"/>
  <c r="AR1221" i="3" s="1"/>
  <c r="AR1222" i="3" a="1"/>
  <c r="AR1222" i="3" s="1"/>
  <c r="AR1223" i="3" a="1"/>
  <c r="AR1223" i="3" s="1"/>
  <c r="AR1224" i="3" a="1"/>
  <c r="AR1224" i="3" s="1"/>
  <c r="AR1225" i="3" a="1"/>
  <c r="AR1225" i="3" s="1"/>
  <c r="AR1226" i="3" a="1"/>
  <c r="AR1226" i="3" s="1"/>
  <c r="AR1227" i="3" a="1"/>
  <c r="AR1227" i="3" s="1"/>
  <c r="AR1228" i="3" a="1"/>
  <c r="AR1228" i="3" s="1"/>
  <c r="AR1229" i="3" a="1"/>
  <c r="AR1229" i="3" s="1"/>
  <c r="AR1230" i="3" a="1"/>
  <c r="AR1230" i="3" s="1"/>
  <c r="AR1231" i="3" a="1"/>
  <c r="AR1231" i="3" s="1"/>
  <c r="AR1232" i="3" a="1"/>
  <c r="AR1232" i="3" s="1"/>
  <c r="AR1233" i="3" a="1"/>
  <c r="AR1233" i="3" s="1"/>
  <c r="AR1234" i="3" a="1"/>
  <c r="AR1234" i="3" s="1"/>
  <c r="AR1235" i="3" a="1"/>
  <c r="AR1235" i="3" s="1"/>
  <c r="AR1236" i="3" a="1"/>
  <c r="AR1236" i="3" s="1"/>
  <c r="AR1237" i="3" a="1"/>
  <c r="AR1237" i="3" s="1"/>
  <c r="AR1238" i="3" a="1"/>
  <c r="AR1238" i="3" s="1"/>
  <c r="AR1239" i="3" a="1"/>
  <c r="AR1239" i="3" s="1"/>
  <c r="AR1240" i="3" a="1"/>
  <c r="AR1240" i="3" s="1"/>
  <c r="AR1241" i="3" a="1"/>
  <c r="AR1241" i="3" s="1"/>
  <c r="AR1242" i="3" a="1"/>
  <c r="AR1242" i="3" s="1"/>
  <c r="AR1243" i="3" a="1"/>
  <c r="AR1243" i="3" s="1"/>
  <c r="AR1244" i="3" a="1"/>
  <c r="AR1244" i="3" s="1"/>
  <c r="AR1245" i="3" a="1"/>
  <c r="AR1245" i="3" s="1"/>
  <c r="AR1246" i="3" a="1"/>
  <c r="AR1246" i="3" s="1"/>
  <c r="AR1247" i="3" a="1"/>
  <c r="AR1247" i="3" s="1"/>
  <c r="AR1248" i="3" a="1"/>
  <c r="AR1248" i="3" s="1"/>
  <c r="AR1249" i="3" a="1"/>
  <c r="AR1249" i="3" s="1"/>
  <c r="AR1250" i="3" a="1"/>
  <c r="AR1250" i="3" s="1"/>
  <c r="AR1251" i="3" a="1"/>
  <c r="AR1251" i="3" s="1"/>
  <c r="AR1252" i="3" a="1"/>
  <c r="AR1252" i="3" s="1"/>
  <c r="AR1253" i="3" a="1"/>
  <c r="AR1253" i="3" s="1"/>
  <c r="AR1254" i="3" a="1"/>
  <c r="AR1254" i="3" s="1"/>
  <c r="AR1255" i="3" a="1"/>
  <c r="AR1255" i="3" s="1"/>
  <c r="AR1256" i="3" a="1"/>
  <c r="AR1256" i="3" s="1"/>
  <c r="AR1257" i="3" a="1"/>
  <c r="AR1257" i="3" s="1"/>
  <c r="AR1258" i="3" a="1"/>
  <c r="AR1258" i="3" s="1"/>
  <c r="AR1259" i="3" a="1"/>
  <c r="AR1259" i="3" s="1"/>
  <c r="AR1260" i="3" a="1"/>
  <c r="AR1260" i="3" s="1"/>
  <c r="AR1261" i="3" a="1"/>
  <c r="AR1261" i="3" s="1"/>
  <c r="AR1262" i="3" a="1"/>
  <c r="AR1262" i="3" s="1"/>
  <c r="AR1263" i="3" a="1"/>
  <c r="AR1263" i="3" s="1"/>
  <c r="AR1264" i="3" a="1"/>
  <c r="AR1264" i="3" s="1"/>
  <c r="AR1265" i="3" a="1"/>
  <c r="AR1265" i="3" s="1"/>
  <c r="AR1266" i="3" a="1"/>
  <c r="AR1266" i="3" s="1"/>
  <c r="AR1267" i="3" a="1"/>
  <c r="AR1267" i="3" s="1"/>
  <c r="AR1268" i="3" a="1"/>
  <c r="AR1268" i="3" s="1"/>
  <c r="AR1269" i="3" a="1"/>
  <c r="AR1269" i="3" s="1"/>
  <c r="AR1270" i="3" a="1"/>
  <c r="AR1270" i="3" s="1"/>
  <c r="AR1271" i="3" a="1"/>
  <c r="AR1271" i="3" s="1"/>
  <c r="AR1272" i="3" a="1"/>
  <c r="AR1272" i="3" s="1"/>
  <c r="AR1273" i="3" a="1"/>
  <c r="AR1273" i="3" s="1"/>
  <c r="AR1274" i="3" a="1"/>
  <c r="AR1274" i="3" s="1"/>
  <c r="AR1275" i="3" a="1"/>
  <c r="AR1275" i="3" s="1"/>
  <c r="AR1276" i="3" a="1"/>
  <c r="AR1276" i="3" s="1"/>
  <c r="AR1277" i="3" a="1"/>
  <c r="AR1277" i="3" s="1"/>
  <c r="AR1278" i="3" a="1"/>
  <c r="AR1278" i="3" s="1"/>
  <c r="AR1279" i="3" a="1"/>
  <c r="AR1279" i="3" s="1"/>
  <c r="AR1280" i="3" a="1"/>
  <c r="AR1280" i="3" s="1"/>
  <c r="AR1281" i="3" a="1"/>
  <c r="AR1281" i="3" s="1"/>
  <c r="AR1282" i="3" a="1"/>
  <c r="AR1282" i="3" s="1"/>
  <c r="AR1283" i="3" a="1"/>
  <c r="AR1283" i="3" s="1"/>
  <c r="AR1284" i="3" a="1"/>
  <c r="AR1284" i="3" s="1"/>
  <c r="AR1285" i="3" a="1"/>
  <c r="AR1285" i="3" s="1"/>
  <c r="AR1286" i="3" a="1"/>
  <c r="AR1286" i="3" s="1"/>
  <c r="AR1287" i="3" a="1"/>
  <c r="AR1287" i="3" s="1"/>
  <c r="AR1288" i="3" a="1"/>
  <c r="AR1288" i="3" s="1"/>
  <c r="AR1289" i="3" a="1"/>
  <c r="AR1289" i="3" s="1"/>
  <c r="AR1290" i="3" a="1"/>
  <c r="AR1290" i="3" s="1"/>
  <c r="AR1291" i="3" a="1"/>
  <c r="AR1291" i="3" s="1"/>
  <c r="AR1292" i="3" a="1"/>
  <c r="AR1292" i="3" s="1"/>
  <c r="AR1293" i="3" a="1"/>
  <c r="AR1293" i="3" s="1"/>
  <c r="AR1294" i="3" a="1"/>
  <c r="AR1294" i="3" s="1"/>
  <c r="AR1295" i="3" a="1"/>
  <c r="AR1295" i="3" s="1"/>
  <c r="AR1296" i="3" a="1"/>
  <c r="AR1296" i="3" s="1"/>
  <c r="AR1297" i="3" a="1"/>
  <c r="AR1297" i="3" s="1"/>
  <c r="AR1298" i="3" a="1"/>
  <c r="AR1298" i="3" s="1"/>
  <c r="AR1299" i="3" a="1"/>
  <c r="AR1299" i="3" s="1"/>
  <c r="AR1300" i="3" a="1"/>
  <c r="AR1300" i="3" s="1"/>
  <c r="AR1301" i="3" a="1"/>
  <c r="AR1301" i="3" s="1"/>
  <c r="AR1302" i="3" a="1"/>
  <c r="AR1302" i="3" s="1"/>
  <c r="AR1303" i="3" a="1"/>
  <c r="AR1303" i="3" s="1"/>
  <c r="AR1304" i="3" a="1"/>
  <c r="AR1304" i="3" s="1"/>
  <c r="AR1305" i="3" a="1"/>
  <c r="AR1305" i="3" s="1"/>
  <c r="AR1306" i="3" a="1"/>
  <c r="AR1306" i="3" s="1"/>
  <c r="AR1307" i="3" a="1"/>
  <c r="AR1307" i="3" s="1"/>
  <c r="AR1308" i="3" a="1"/>
  <c r="AR1308" i="3" s="1"/>
  <c r="AR1309" i="3" a="1"/>
  <c r="AR1309" i="3" s="1"/>
  <c r="AR1310" i="3" a="1"/>
  <c r="AR1310" i="3" s="1"/>
  <c r="AR1311" i="3" a="1"/>
  <c r="AR1311" i="3" s="1"/>
  <c r="AR1312" i="3" a="1"/>
  <c r="AR1312" i="3" s="1"/>
  <c r="AR1313" i="3" a="1"/>
  <c r="AR1313" i="3" s="1"/>
  <c r="AR1314" i="3" a="1"/>
  <c r="AR1314" i="3" s="1"/>
  <c r="AR1315" i="3" a="1"/>
  <c r="AR1315" i="3" s="1"/>
  <c r="AR1316" i="3" a="1"/>
  <c r="AR1316" i="3" s="1"/>
  <c r="AR1317" i="3" a="1"/>
  <c r="AR1317" i="3" s="1"/>
  <c r="AR1318" i="3" a="1"/>
  <c r="AR1318" i="3" s="1"/>
  <c r="AR1319" i="3" a="1"/>
  <c r="AR1319" i="3" s="1"/>
  <c r="AR1320" i="3" a="1"/>
  <c r="AR1320" i="3" s="1"/>
  <c r="AR1321" i="3" a="1"/>
  <c r="AR1321" i="3" s="1"/>
  <c r="AR1322" i="3" a="1"/>
  <c r="AR1322" i="3" s="1"/>
  <c r="AR1323" i="3" a="1"/>
  <c r="AR1323" i="3" s="1"/>
  <c r="AR1324" i="3" a="1"/>
  <c r="AR1324" i="3" s="1"/>
  <c r="AR1325" i="3" a="1"/>
  <c r="AR1325" i="3" s="1"/>
  <c r="AR1326" i="3" a="1"/>
  <c r="AR1326" i="3" s="1"/>
  <c r="AR1327" i="3" a="1"/>
  <c r="AR1327" i="3" s="1"/>
  <c r="AR1328" i="3" a="1"/>
  <c r="AR1328" i="3" s="1"/>
  <c r="AR1329" i="3" a="1"/>
  <c r="AR1329" i="3" s="1"/>
  <c r="AR1330" i="3" a="1"/>
  <c r="AR1330" i="3" s="1"/>
  <c r="AR1331" i="3" a="1"/>
  <c r="AR1331" i="3" s="1"/>
  <c r="AR1332" i="3" a="1"/>
  <c r="AR1332" i="3" s="1"/>
  <c r="AR1333" i="3" a="1"/>
  <c r="AR1333" i="3" s="1"/>
  <c r="AR1334" i="3" a="1"/>
  <c r="AR1334" i="3" s="1"/>
  <c r="AR1335" i="3" a="1"/>
  <c r="AR1335" i="3" s="1"/>
  <c r="AR1336" i="3" a="1"/>
  <c r="AR1336" i="3" s="1"/>
  <c r="AR1337" i="3" a="1"/>
  <c r="AR1337" i="3" s="1"/>
  <c r="AR1338" i="3" a="1"/>
  <c r="AR1338" i="3" s="1"/>
  <c r="AR1339" i="3" a="1"/>
  <c r="AR1339" i="3" s="1"/>
  <c r="AR1340" i="3" a="1"/>
  <c r="AR1340" i="3" s="1"/>
  <c r="AR1341" i="3" a="1"/>
  <c r="AR1341" i="3" s="1"/>
  <c r="AR1342" i="3" a="1"/>
  <c r="AR1342" i="3" s="1"/>
  <c r="AR1343" i="3" a="1"/>
  <c r="AR1343" i="3" s="1"/>
  <c r="AR1344" i="3" a="1"/>
  <c r="AR1344" i="3" s="1"/>
  <c r="AR1345" i="3" a="1"/>
  <c r="AR1345" i="3" s="1"/>
  <c r="AR1346" i="3" a="1"/>
  <c r="AR1346" i="3" s="1"/>
  <c r="AR1347" i="3" a="1"/>
  <c r="AR1347" i="3" s="1"/>
  <c r="AR1348" i="3" a="1"/>
  <c r="AR1348" i="3" s="1"/>
  <c r="AR1349" i="3" a="1"/>
  <c r="AR1349" i="3" s="1"/>
  <c r="AR1350" i="3" a="1"/>
  <c r="AR1350" i="3" s="1"/>
  <c r="AR1351" i="3" a="1"/>
  <c r="AR1351" i="3" s="1"/>
  <c r="AR1352" i="3" a="1"/>
  <c r="AR1352" i="3" s="1"/>
  <c r="AR1353" i="3" a="1"/>
  <c r="AR1353" i="3" s="1"/>
  <c r="AR1354" i="3" a="1"/>
  <c r="AR1354" i="3" s="1"/>
  <c r="AR1355" i="3" a="1"/>
  <c r="AR1355" i="3" s="1"/>
  <c r="AR1356" i="3" a="1"/>
  <c r="AR1356" i="3" s="1"/>
  <c r="AR1357" i="3" a="1"/>
  <c r="AR1357" i="3" s="1"/>
  <c r="AR1358" i="3" a="1"/>
  <c r="AR1358" i="3" s="1"/>
  <c r="AR1359" i="3" a="1"/>
  <c r="AR1359" i="3" s="1"/>
  <c r="AR1360" i="3" a="1"/>
  <c r="AR1360" i="3" s="1"/>
  <c r="AR1361" i="3" a="1"/>
  <c r="AR1361" i="3" s="1"/>
  <c r="AR1362" i="3" a="1"/>
  <c r="AR1362" i="3" s="1"/>
  <c r="AR1363" i="3" a="1"/>
  <c r="AR1363" i="3" s="1"/>
  <c r="AR1364" i="3" a="1"/>
  <c r="AR1364" i="3" s="1"/>
  <c r="AR1365" i="3" a="1"/>
  <c r="AR1365" i="3" s="1"/>
  <c r="AR1366" i="3" a="1"/>
  <c r="AR1366" i="3" s="1"/>
  <c r="AR1367" i="3" a="1"/>
  <c r="AR1367" i="3" s="1"/>
  <c r="AR1368" i="3" a="1"/>
  <c r="AR1368" i="3" s="1"/>
  <c r="AR1369" i="3" a="1"/>
  <c r="AR1369" i="3" s="1"/>
  <c r="AR1370" i="3" a="1"/>
  <c r="AR1370" i="3" s="1"/>
  <c r="AR1371" i="3" a="1"/>
  <c r="AR1371" i="3" s="1"/>
  <c r="AR1372" i="3" a="1"/>
  <c r="AR1372" i="3" s="1"/>
  <c r="AR1373" i="3" a="1"/>
  <c r="AR1373" i="3" s="1"/>
  <c r="AR1374" i="3" a="1"/>
  <c r="AR1374" i="3" s="1"/>
  <c r="AR1375" i="3" a="1"/>
  <c r="AR1375" i="3" s="1"/>
  <c r="AR1376" i="3" a="1"/>
  <c r="AR1376" i="3" s="1"/>
  <c r="AR1377" i="3" a="1"/>
  <c r="AR1377" i="3" s="1"/>
  <c r="AR1378" i="3" a="1"/>
  <c r="AR1378" i="3" s="1"/>
  <c r="AR1379" i="3" a="1"/>
  <c r="AR1379" i="3" s="1"/>
  <c r="AR1380" i="3" a="1"/>
  <c r="AR1380" i="3" s="1"/>
  <c r="AR1381" i="3" a="1"/>
  <c r="AR1381" i="3" s="1"/>
  <c r="AR1382" i="3" a="1"/>
  <c r="AR1382" i="3" s="1"/>
  <c r="AR1383" i="3" a="1"/>
  <c r="AR1383" i="3" s="1"/>
  <c r="AR1384" i="3" a="1"/>
  <c r="AR1384" i="3" s="1"/>
  <c r="AR1385" i="3" a="1"/>
  <c r="AR1385" i="3" s="1"/>
  <c r="AR1386" i="3" a="1"/>
  <c r="AR1386" i="3" s="1"/>
  <c r="AR1387" i="3" a="1"/>
  <c r="AR1387" i="3" s="1"/>
  <c r="AR1388" i="3" a="1"/>
  <c r="AR1388" i="3" s="1"/>
  <c r="AR1389" i="3" a="1"/>
  <c r="AR1389" i="3" s="1"/>
  <c r="AR1390" i="3" a="1"/>
  <c r="AR1390" i="3" s="1"/>
  <c r="AR1391" i="3" a="1"/>
  <c r="AR1391" i="3" s="1"/>
  <c r="AR1392" i="3" a="1"/>
  <c r="AR1392" i="3" s="1"/>
  <c r="AR1393" i="3" a="1"/>
  <c r="AR1393" i="3" s="1"/>
  <c r="AR1394" i="3" a="1"/>
  <c r="AR1394" i="3" s="1"/>
  <c r="AR1395" i="3" a="1"/>
  <c r="AR1395" i="3" s="1"/>
  <c r="AR1396" i="3" a="1"/>
  <c r="AR1396" i="3" s="1"/>
  <c r="AR1397" i="3" a="1"/>
  <c r="AR1397" i="3" s="1"/>
  <c r="AR1398" i="3" a="1"/>
  <c r="AR1398" i="3" s="1"/>
  <c r="AR1399" i="3" a="1"/>
  <c r="AR1399" i="3" s="1"/>
  <c r="AR1400" i="3" a="1"/>
  <c r="AR1400" i="3" s="1"/>
  <c r="AR1401" i="3" a="1"/>
  <c r="AR1401" i="3" s="1"/>
  <c r="AR1402" i="3" a="1"/>
  <c r="AR1402" i="3" s="1"/>
  <c r="AR1403" i="3" a="1"/>
  <c r="AR1403" i="3" s="1"/>
  <c r="AR1404" i="3" a="1"/>
  <c r="AR1404" i="3" s="1"/>
  <c r="AR1405" i="3" a="1"/>
  <c r="AR1405" i="3" s="1"/>
  <c r="AR1406" i="3" a="1"/>
  <c r="AR1406" i="3" s="1"/>
  <c r="AR1407" i="3" a="1"/>
  <c r="AR1407" i="3" s="1"/>
  <c r="AR1408" i="3" a="1"/>
  <c r="AR1408" i="3" s="1"/>
  <c r="AR1409" i="3" a="1"/>
  <c r="AR1409" i="3" s="1"/>
  <c r="AR1410" i="3" a="1"/>
  <c r="AR1410" i="3" s="1"/>
  <c r="AR1411" i="3" a="1"/>
  <c r="AR1411" i="3" s="1"/>
  <c r="AR1412" i="3" a="1"/>
  <c r="AR1412" i="3" s="1"/>
  <c r="AR1413" i="3" a="1"/>
  <c r="AR1413" i="3" s="1"/>
  <c r="AR1414" i="3" a="1"/>
  <c r="AR1414" i="3" s="1"/>
  <c r="AR1415" i="3" a="1"/>
  <c r="AR1415" i="3" s="1"/>
  <c r="AR1416" i="3" a="1"/>
  <c r="AR1416" i="3" s="1"/>
  <c r="AR1417" i="3" a="1"/>
  <c r="AR1417" i="3" s="1"/>
  <c r="AR1418" i="3" a="1"/>
  <c r="AR1418" i="3" s="1"/>
  <c r="AR1419" i="3" a="1"/>
  <c r="AR1419" i="3" s="1"/>
  <c r="AR1420" i="3" a="1"/>
  <c r="AR1420" i="3" s="1"/>
  <c r="AR1421" i="3" a="1"/>
  <c r="AR1421" i="3" s="1"/>
  <c r="AR1422" i="3" a="1"/>
  <c r="AR1422" i="3" s="1"/>
  <c r="AR1423" i="3" a="1"/>
  <c r="AR1423" i="3" s="1"/>
  <c r="AR1424" i="3" a="1"/>
  <c r="AR1424" i="3" s="1"/>
  <c r="AR1425" i="3" a="1"/>
  <c r="AR1425" i="3" s="1"/>
  <c r="AR1426" i="3" a="1"/>
  <c r="AR1426" i="3" s="1"/>
  <c r="AR1427" i="3" a="1"/>
  <c r="AR1427" i="3" s="1"/>
  <c r="AR1428" i="3" a="1"/>
  <c r="AR1428" i="3" s="1"/>
  <c r="AR1429" i="3" a="1"/>
  <c r="AR1429" i="3" s="1"/>
  <c r="AR1430" i="3" a="1"/>
  <c r="AR1430" i="3" s="1"/>
  <c r="AR1431" i="3" a="1"/>
  <c r="AR1431" i="3" s="1"/>
  <c r="AR1432" i="3" a="1"/>
  <c r="AR1432" i="3" s="1"/>
  <c r="AR1433" i="3" a="1"/>
  <c r="AR1433" i="3" s="1"/>
  <c r="AR1434" i="3" a="1"/>
  <c r="AR1434" i="3" s="1"/>
  <c r="AR1435" i="3" a="1"/>
  <c r="AR1435" i="3" s="1"/>
  <c r="AR1436" i="3" a="1"/>
  <c r="AR1436" i="3" s="1"/>
  <c r="AR1437" i="3" a="1"/>
  <c r="AR1437" i="3" s="1"/>
  <c r="AR1438" i="3" a="1"/>
  <c r="AR1438" i="3" s="1"/>
  <c r="AR1439" i="3" a="1"/>
  <c r="AR1439" i="3" s="1"/>
  <c r="AR3" i="3" a="1"/>
  <c r="AR3" i="3" s="1"/>
  <c r="AA3" i="3"/>
  <c r="Z3" i="3"/>
  <c r="U4" i="3"/>
  <c r="U5" i="3"/>
  <c r="U6" i="3"/>
  <c r="U7" i="3"/>
  <c r="U8" i="3"/>
  <c r="U9" i="3"/>
  <c r="U10" i="3"/>
  <c r="U11" i="3"/>
  <c r="U12" i="3"/>
  <c r="U13" i="3"/>
  <c r="U14" i="3"/>
  <c r="U15" i="3"/>
  <c r="U16" i="3"/>
  <c r="U17" i="3"/>
  <c r="U18" i="3"/>
  <c r="U19" i="3"/>
  <c r="U20" i="3"/>
  <c r="U21" i="3"/>
  <c r="U22" i="3"/>
  <c r="U23" i="3"/>
  <c r="U24" i="3"/>
  <c r="U25" i="3"/>
  <c r="U26" i="3"/>
  <c r="U27" i="3"/>
  <c r="U28" i="3"/>
  <c r="U29" i="3"/>
  <c r="U30" i="3"/>
  <c r="U31" i="3"/>
  <c r="U32" i="3"/>
  <c r="U33" i="3"/>
  <c r="U34" i="3"/>
  <c r="U35" i="3"/>
  <c r="U36" i="3"/>
  <c r="U37" i="3"/>
  <c r="U38" i="3"/>
  <c r="U39" i="3"/>
  <c r="U40" i="3"/>
  <c r="U41" i="3"/>
  <c r="U42" i="3"/>
  <c r="U43" i="3"/>
  <c r="U44" i="3"/>
  <c r="U45" i="3"/>
  <c r="U46" i="3"/>
  <c r="U47" i="3"/>
  <c r="U48" i="3"/>
  <c r="U49" i="3"/>
  <c r="U50" i="3"/>
  <c r="U51" i="3"/>
  <c r="U52" i="3"/>
  <c r="U53" i="3"/>
  <c r="U54" i="3"/>
  <c r="U55" i="3"/>
  <c r="U56" i="3"/>
  <c r="U57" i="3"/>
  <c r="U58" i="3"/>
  <c r="U59" i="3"/>
  <c r="U60" i="3"/>
  <c r="U61" i="3"/>
  <c r="U62" i="3"/>
  <c r="U63" i="3"/>
  <c r="U64" i="3"/>
  <c r="U65" i="3"/>
  <c r="U66" i="3"/>
  <c r="U67" i="3"/>
  <c r="U68" i="3"/>
  <c r="U69" i="3"/>
  <c r="U70" i="3"/>
  <c r="U71" i="3"/>
  <c r="U72" i="3"/>
  <c r="U73" i="3"/>
  <c r="U74" i="3"/>
  <c r="U75" i="3"/>
  <c r="U76" i="3"/>
  <c r="U77" i="3"/>
  <c r="U78" i="3"/>
  <c r="U79" i="3"/>
  <c r="U80" i="3"/>
  <c r="U81" i="3"/>
  <c r="U82" i="3"/>
  <c r="U83" i="3"/>
  <c r="U84" i="3"/>
  <c r="U85" i="3"/>
  <c r="U86" i="3"/>
  <c r="U87" i="3"/>
  <c r="U88" i="3"/>
  <c r="U89" i="3"/>
  <c r="U90" i="3"/>
  <c r="U91" i="3"/>
  <c r="U92" i="3"/>
  <c r="U93" i="3"/>
  <c r="U94" i="3"/>
  <c r="U95" i="3"/>
  <c r="U96" i="3"/>
  <c r="U97" i="3"/>
  <c r="U98" i="3"/>
  <c r="U99" i="3"/>
  <c r="U100" i="3"/>
  <c r="U101" i="3"/>
  <c r="U102" i="3"/>
  <c r="U103" i="3"/>
  <c r="U104" i="3"/>
  <c r="U105" i="3"/>
  <c r="U106" i="3"/>
  <c r="U107" i="3"/>
  <c r="U108" i="3"/>
  <c r="U109" i="3"/>
  <c r="U110" i="3"/>
  <c r="U111" i="3"/>
  <c r="U112" i="3"/>
  <c r="U113" i="3"/>
  <c r="U114" i="3"/>
  <c r="U115" i="3"/>
  <c r="U116" i="3"/>
  <c r="U117" i="3"/>
  <c r="U118" i="3"/>
  <c r="U119" i="3"/>
  <c r="U120" i="3"/>
  <c r="U121" i="3"/>
  <c r="U122" i="3"/>
  <c r="U123" i="3"/>
  <c r="U124" i="3"/>
  <c r="U125" i="3"/>
  <c r="U126" i="3"/>
  <c r="U127" i="3"/>
  <c r="U128" i="3"/>
  <c r="U129" i="3"/>
  <c r="U130" i="3"/>
  <c r="U131" i="3"/>
  <c r="U132" i="3"/>
  <c r="U133" i="3"/>
  <c r="U134" i="3"/>
  <c r="U135" i="3"/>
  <c r="U136" i="3"/>
  <c r="U137" i="3"/>
  <c r="U138" i="3"/>
  <c r="U139" i="3"/>
  <c r="U140" i="3"/>
  <c r="U141" i="3"/>
  <c r="U142" i="3"/>
  <c r="U143" i="3"/>
  <c r="U144" i="3"/>
  <c r="U145" i="3"/>
  <c r="U146" i="3"/>
  <c r="U147" i="3"/>
  <c r="U148" i="3"/>
  <c r="U149" i="3"/>
  <c r="U150" i="3"/>
  <c r="U151" i="3"/>
  <c r="U152" i="3"/>
  <c r="U153" i="3"/>
  <c r="U154" i="3"/>
  <c r="U155" i="3"/>
  <c r="U156" i="3"/>
  <c r="U157" i="3"/>
  <c r="U158" i="3"/>
  <c r="U159" i="3"/>
  <c r="U160" i="3"/>
  <c r="U161" i="3"/>
  <c r="U162" i="3"/>
  <c r="U163" i="3"/>
  <c r="U164" i="3"/>
  <c r="U165" i="3"/>
  <c r="U166" i="3"/>
  <c r="U167" i="3"/>
  <c r="U168" i="3"/>
  <c r="U169" i="3"/>
  <c r="U170" i="3"/>
  <c r="U171" i="3"/>
  <c r="U172" i="3"/>
  <c r="U173" i="3"/>
  <c r="U174" i="3"/>
  <c r="U175" i="3"/>
  <c r="U176" i="3"/>
  <c r="U177" i="3"/>
  <c r="U178" i="3"/>
  <c r="U179" i="3"/>
  <c r="U180" i="3"/>
  <c r="U181" i="3"/>
  <c r="U182" i="3"/>
  <c r="U183" i="3"/>
  <c r="U184" i="3"/>
  <c r="U185" i="3"/>
  <c r="U186" i="3"/>
  <c r="U187" i="3"/>
  <c r="U188" i="3"/>
  <c r="U189" i="3"/>
  <c r="U190" i="3"/>
  <c r="U191" i="3"/>
  <c r="U192" i="3"/>
  <c r="U193" i="3"/>
  <c r="U194" i="3"/>
  <c r="U195" i="3"/>
  <c r="U196" i="3"/>
  <c r="U197" i="3"/>
  <c r="U198" i="3"/>
  <c r="U199" i="3"/>
  <c r="U200" i="3"/>
  <c r="U201" i="3"/>
  <c r="U202" i="3"/>
  <c r="U203" i="3"/>
  <c r="U204" i="3"/>
  <c r="U205" i="3"/>
  <c r="U206" i="3"/>
  <c r="U207" i="3"/>
  <c r="U208" i="3"/>
  <c r="U209" i="3"/>
  <c r="U210" i="3"/>
  <c r="U211" i="3"/>
  <c r="U212" i="3"/>
  <c r="U213" i="3"/>
  <c r="U214" i="3"/>
  <c r="U215" i="3"/>
  <c r="U216" i="3"/>
  <c r="U217" i="3"/>
  <c r="U218" i="3"/>
  <c r="U219" i="3"/>
  <c r="U220" i="3"/>
  <c r="U221" i="3"/>
  <c r="U222" i="3"/>
  <c r="U223" i="3"/>
  <c r="U224" i="3"/>
  <c r="U225" i="3"/>
  <c r="U226" i="3"/>
  <c r="U227" i="3"/>
  <c r="U228" i="3"/>
  <c r="U229" i="3"/>
  <c r="U230" i="3"/>
  <c r="U231" i="3"/>
  <c r="U232" i="3"/>
  <c r="U233" i="3"/>
  <c r="U234" i="3"/>
  <c r="U235" i="3"/>
  <c r="U236" i="3"/>
  <c r="U237" i="3"/>
  <c r="U238" i="3"/>
  <c r="U239" i="3"/>
  <c r="U240" i="3"/>
  <c r="U241" i="3"/>
  <c r="U242" i="3"/>
  <c r="U243" i="3"/>
  <c r="U244" i="3"/>
  <c r="U245" i="3"/>
  <c r="U246" i="3"/>
  <c r="U247" i="3"/>
  <c r="U248" i="3"/>
  <c r="U249" i="3"/>
  <c r="U250" i="3"/>
  <c r="U251" i="3"/>
  <c r="U252" i="3"/>
  <c r="U253" i="3"/>
  <c r="U254" i="3"/>
  <c r="U255" i="3"/>
  <c r="U256" i="3"/>
  <c r="U257" i="3"/>
  <c r="U258" i="3"/>
  <c r="U259" i="3"/>
  <c r="U260" i="3"/>
  <c r="U261" i="3"/>
  <c r="U262" i="3"/>
  <c r="U263" i="3"/>
  <c r="U264" i="3"/>
  <c r="U265" i="3"/>
  <c r="U266" i="3"/>
  <c r="U267" i="3"/>
  <c r="U268" i="3"/>
  <c r="U269" i="3"/>
  <c r="U270" i="3"/>
  <c r="U271" i="3"/>
  <c r="U272" i="3"/>
  <c r="U273" i="3"/>
  <c r="U274" i="3"/>
  <c r="U275" i="3"/>
  <c r="U276" i="3"/>
  <c r="U277" i="3"/>
  <c r="U278" i="3"/>
  <c r="U279" i="3"/>
  <c r="U280" i="3"/>
  <c r="U281" i="3"/>
  <c r="U282" i="3"/>
  <c r="U283" i="3"/>
  <c r="U284" i="3"/>
  <c r="U285" i="3"/>
  <c r="U286" i="3"/>
  <c r="U287" i="3"/>
  <c r="U288" i="3"/>
  <c r="U289" i="3"/>
  <c r="U290" i="3"/>
  <c r="U291" i="3"/>
  <c r="U292" i="3"/>
  <c r="U293" i="3"/>
  <c r="U294" i="3"/>
  <c r="U295" i="3"/>
  <c r="U296" i="3"/>
  <c r="U297" i="3"/>
  <c r="U298" i="3"/>
  <c r="U299" i="3"/>
  <c r="U300" i="3"/>
  <c r="U301" i="3"/>
  <c r="U302" i="3"/>
  <c r="U303" i="3"/>
  <c r="U304" i="3"/>
  <c r="U305" i="3"/>
  <c r="U306" i="3"/>
  <c r="U307" i="3"/>
  <c r="U308" i="3"/>
  <c r="U309" i="3"/>
  <c r="U310" i="3"/>
  <c r="U311" i="3"/>
  <c r="U312" i="3"/>
  <c r="U313" i="3"/>
  <c r="U314" i="3"/>
  <c r="U315" i="3"/>
  <c r="U316" i="3"/>
  <c r="U317" i="3"/>
  <c r="U318" i="3"/>
  <c r="U319" i="3"/>
  <c r="U320" i="3"/>
  <c r="U321" i="3"/>
  <c r="U322" i="3"/>
  <c r="U323" i="3"/>
  <c r="U324" i="3"/>
  <c r="U325" i="3"/>
  <c r="U326" i="3"/>
  <c r="U327" i="3"/>
  <c r="U328" i="3"/>
  <c r="U329" i="3"/>
  <c r="U330" i="3"/>
  <c r="U331" i="3"/>
  <c r="U332" i="3"/>
  <c r="U333" i="3"/>
  <c r="U334" i="3"/>
  <c r="U335" i="3"/>
  <c r="U336" i="3"/>
  <c r="U337" i="3"/>
  <c r="U338" i="3"/>
  <c r="U339" i="3"/>
  <c r="U340" i="3"/>
  <c r="U341" i="3"/>
  <c r="U342" i="3"/>
  <c r="U343" i="3"/>
  <c r="U344" i="3"/>
  <c r="U345" i="3"/>
  <c r="U346" i="3"/>
  <c r="U347" i="3"/>
  <c r="U348" i="3"/>
  <c r="U349" i="3"/>
  <c r="U350" i="3"/>
  <c r="U351" i="3"/>
  <c r="U352" i="3"/>
  <c r="U353" i="3"/>
  <c r="U354" i="3"/>
  <c r="U355" i="3"/>
  <c r="U356" i="3"/>
  <c r="U357" i="3"/>
  <c r="U358" i="3"/>
  <c r="U359" i="3"/>
  <c r="U360" i="3"/>
  <c r="U361" i="3"/>
  <c r="U362" i="3"/>
  <c r="U363" i="3"/>
  <c r="U364" i="3"/>
  <c r="U365" i="3"/>
  <c r="U366" i="3"/>
  <c r="U367" i="3"/>
  <c r="U368" i="3"/>
  <c r="U369" i="3"/>
  <c r="U370" i="3"/>
  <c r="U371" i="3"/>
  <c r="U372" i="3"/>
  <c r="U373" i="3"/>
  <c r="U374" i="3"/>
  <c r="U375" i="3"/>
  <c r="U376" i="3"/>
  <c r="U377" i="3"/>
  <c r="U378" i="3"/>
  <c r="U379" i="3"/>
  <c r="U380" i="3"/>
  <c r="U381" i="3"/>
  <c r="U382" i="3"/>
  <c r="U383" i="3"/>
  <c r="U384" i="3"/>
  <c r="U385" i="3"/>
  <c r="U386" i="3"/>
  <c r="U387" i="3"/>
  <c r="U388" i="3"/>
  <c r="U389" i="3"/>
  <c r="U390" i="3"/>
  <c r="U391" i="3"/>
  <c r="U392" i="3"/>
  <c r="U393" i="3"/>
  <c r="U394" i="3"/>
  <c r="U395" i="3"/>
  <c r="U396" i="3"/>
  <c r="U397" i="3"/>
  <c r="U398" i="3"/>
  <c r="U399" i="3"/>
  <c r="U400" i="3"/>
  <c r="U401" i="3"/>
  <c r="U402" i="3"/>
  <c r="U403" i="3"/>
  <c r="U404" i="3"/>
  <c r="U405" i="3"/>
  <c r="U406" i="3"/>
  <c r="U407" i="3"/>
  <c r="U408" i="3"/>
  <c r="U409" i="3"/>
  <c r="U410" i="3"/>
  <c r="U411" i="3"/>
  <c r="U412" i="3"/>
  <c r="U413" i="3"/>
  <c r="U414" i="3"/>
  <c r="U415" i="3"/>
  <c r="U416" i="3"/>
  <c r="U417" i="3"/>
  <c r="U418" i="3"/>
  <c r="U419" i="3"/>
  <c r="U420" i="3"/>
  <c r="U421" i="3"/>
  <c r="U422" i="3"/>
  <c r="U423" i="3"/>
  <c r="U424" i="3"/>
  <c r="U425" i="3"/>
  <c r="U426" i="3"/>
  <c r="U427" i="3"/>
  <c r="U428" i="3"/>
  <c r="U429" i="3"/>
  <c r="U430" i="3"/>
  <c r="U431" i="3"/>
  <c r="U432" i="3"/>
  <c r="U433" i="3"/>
  <c r="U434" i="3"/>
  <c r="U435" i="3"/>
  <c r="U436" i="3"/>
  <c r="U437" i="3"/>
  <c r="U438" i="3"/>
  <c r="U439" i="3"/>
  <c r="U440" i="3"/>
  <c r="U441" i="3"/>
  <c r="U442" i="3"/>
  <c r="U443" i="3"/>
  <c r="U444" i="3"/>
  <c r="U445" i="3"/>
  <c r="U446" i="3"/>
  <c r="U447" i="3"/>
  <c r="U448" i="3"/>
  <c r="U449" i="3"/>
  <c r="U450" i="3"/>
  <c r="U451" i="3"/>
  <c r="U452" i="3"/>
  <c r="U453" i="3"/>
  <c r="U454" i="3"/>
  <c r="U455" i="3"/>
  <c r="U456" i="3"/>
  <c r="U457" i="3"/>
  <c r="U458" i="3"/>
  <c r="U459" i="3"/>
  <c r="U460" i="3"/>
  <c r="U461" i="3"/>
  <c r="U462" i="3"/>
  <c r="U463" i="3"/>
  <c r="U464" i="3"/>
  <c r="U465" i="3"/>
  <c r="U466" i="3"/>
  <c r="U467" i="3"/>
  <c r="U468" i="3"/>
  <c r="U469" i="3"/>
  <c r="U470" i="3"/>
  <c r="U471" i="3"/>
  <c r="U472" i="3"/>
  <c r="U473" i="3"/>
  <c r="U474" i="3"/>
  <c r="U475" i="3"/>
  <c r="U476" i="3"/>
  <c r="U477" i="3"/>
  <c r="U478" i="3"/>
  <c r="U479" i="3"/>
  <c r="U480" i="3"/>
  <c r="U481" i="3"/>
  <c r="U482" i="3"/>
  <c r="U483" i="3"/>
  <c r="U484" i="3"/>
  <c r="U485" i="3"/>
  <c r="U486" i="3"/>
  <c r="U487" i="3"/>
  <c r="U488" i="3"/>
  <c r="U489" i="3"/>
  <c r="U490" i="3"/>
  <c r="U491" i="3"/>
  <c r="U492" i="3"/>
  <c r="U493" i="3"/>
  <c r="U494" i="3"/>
  <c r="U495" i="3"/>
  <c r="U496" i="3"/>
  <c r="U497" i="3"/>
  <c r="U498" i="3"/>
  <c r="U499" i="3"/>
  <c r="U500" i="3"/>
  <c r="U501" i="3"/>
  <c r="U502" i="3"/>
  <c r="U503" i="3"/>
  <c r="U504" i="3"/>
  <c r="U505" i="3"/>
  <c r="U506" i="3"/>
  <c r="U507" i="3"/>
  <c r="U508" i="3"/>
  <c r="U509" i="3"/>
  <c r="U510" i="3"/>
  <c r="U511" i="3"/>
  <c r="U512" i="3"/>
  <c r="U513" i="3"/>
  <c r="U514" i="3"/>
  <c r="U515" i="3"/>
  <c r="U516" i="3"/>
  <c r="U517" i="3"/>
  <c r="U518" i="3"/>
  <c r="U519" i="3"/>
  <c r="U520" i="3"/>
  <c r="U521" i="3"/>
  <c r="U522" i="3"/>
  <c r="U523" i="3"/>
  <c r="U524" i="3"/>
  <c r="U525" i="3"/>
  <c r="U526" i="3"/>
  <c r="U527" i="3"/>
  <c r="U528" i="3"/>
  <c r="U529" i="3"/>
  <c r="U530" i="3"/>
  <c r="U531" i="3"/>
  <c r="U532" i="3"/>
  <c r="U533" i="3"/>
  <c r="U534" i="3"/>
  <c r="U535" i="3"/>
  <c r="U536" i="3"/>
  <c r="U537" i="3"/>
  <c r="U538" i="3"/>
  <c r="U539" i="3"/>
  <c r="U540" i="3"/>
  <c r="U541" i="3"/>
  <c r="U542" i="3"/>
  <c r="U543" i="3"/>
  <c r="U544" i="3"/>
  <c r="U545" i="3"/>
  <c r="U546" i="3"/>
  <c r="U547" i="3"/>
  <c r="U548" i="3"/>
  <c r="U549" i="3"/>
  <c r="U550" i="3"/>
  <c r="U551" i="3"/>
  <c r="U552" i="3"/>
  <c r="U553" i="3"/>
  <c r="U554" i="3"/>
  <c r="U555" i="3"/>
  <c r="U556" i="3"/>
  <c r="U557" i="3"/>
  <c r="U558" i="3"/>
  <c r="U559" i="3"/>
  <c r="U560" i="3"/>
  <c r="U561" i="3"/>
  <c r="U562" i="3"/>
  <c r="U563" i="3"/>
  <c r="U564" i="3"/>
  <c r="U565" i="3"/>
  <c r="U566" i="3"/>
  <c r="U567" i="3"/>
  <c r="U568" i="3"/>
  <c r="U569" i="3"/>
  <c r="U570" i="3"/>
  <c r="U571" i="3"/>
  <c r="U572" i="3"/>
  <c r="U573" i="3"/>
  <c r="U574" i="3"/>
  <c r="U575" i="3"/>
  <c r="U576" i="3"/>
  <c r="U577" i="3"/>
  <c r="U578" i="3"/>
  <c r="U579" i="3"/>
  <c r="U580" i="3"/>
  <c r="U581" i="3"/>
  <c r="U582" i="3"/>
  <c r="U583" i="3"/>
  <c r="U584" i="3"/>
  <c r="U585" i="3"/>
  <c r="U586" i="3"/>
  <c r="U587" i="3"/>
  <c r="U588" i="3"/>
  <c r="U589" i="3"/>
  <c r="U590" i="3"/>
  <c r="U591" i="3"/>
  <c r="U592" i="3"/>
  <c r="U593" i="3"/>
  <c r="U594" i="3"/>
  <c r="U595" i="3"/>
  <c r="U596" i="3"/>
  <c r="U597" i="3"/>
  <c r="U598" i="3"/>
  <c r="U599" i="3"/>
  <c r="U600" i="3"/>
  <c r="U601" i="3"/>
  <c r="U602" i="3"/>
  <c r="U603" i="3"/>
  <c r="U604" i="3"/>
  <c r="U605" i="3"/>
  <c r="U606" i="3"/>
  <c r="U607" i="3"/>
  <c r="U608" i="3"/>
  <c r="U609" i="3"/>
  <c r="U610" i="3"/>
  <c r="U611" i="3"/>
  <c r="U612" i="3"/>
  <c r="U613" i="3"/>
  <c r="U614" i="3"/>
  <c r="U615" i="3"/>
  <c r="U616" i="3"/>
  <c r="U617" i="3"/>
  <c r="U618" i="3"/>
  <c r="U619" i="3"/>
  <c r="U620" i="3"/>
  <c r="U621" i="3"/>
  <c r="U622" i="3"/>
  <c r="U623" i="3"/>
  <c r="U624" i="3"/>
  <c r="U625" i="3"/>
  <c r="U626" i="3"/>
  <c r="U627" i="3"/>
  <c r="U628" i="3"/>
  <c r="U629" i="3"/>
  <c r="U630" i="3"/>
  <c r="U631" i="3"/>
  <c r="U632" i="3"/>
  <c r="U633" i="3"/>
  <c r="U634" i="3"/>
  <c r="U635" i="3"/>
  <c r="U636" i="3"/>
  <c r="U637" i="3"/>
  <c r="U638" i="3"/>
  <c r="U639" i="3"/>
  <c r="U640" i="3"/>
  <c r="U641" i="3"/>
  <c r="U642" i="3"/>
  <c r="U643" i="3"/>
  <c r="U644" i="3"/>
  <c r="U645" i="3"/>
  <c r="U646" i="3"/>
  <c r="U647" i="3"/>
  <c r="U648" i="3"/>
  <c r="U649" i="3"/>
  <c r="U650" i="3"/>
  <c r="U651" i="3"/>
  <c r="U652" i="3"/>
  <c r="U653" i="3"/>
  <c r="U654" i="3"/>
  <c r="U655" i="3"/>
  <c r="U656" i="3"/>
  <c r="U657" i="3"/>
  <c r="U658" i="3"/>
  <c r="U659" i="3"/>
  <c r="U660" i="3"/>
  <c r="U661" i="3"/>
  <c r="U662" i="3"/>
  <c r="U663" i="3"/>
  <c r="U664" i="3"/>
  <c r="U665" i="3"/>
  <c r="U666" i="3"/>
  <c r="U667" i="3"/>
  <c r="U668" i="3"/>
  <c r="U669" i="3"/>
  <c r="U670" i="3"/>
  <c r="U671" i="3"/>
  <c r="U672" i="3"/>
  <c r="U673" i="3"/>
  <c r="U674" i="3"/>
  <c r="U675" i="3"/>
  <c r="U676" i="3"/>
  <c r="U677" i="3"/>
  <c r="U678" i="3"/>
  <c r="U679" i="3"/>
  <c r="U680" i="3"/>
  <c r="U681" i="3"/>
  <c r="U682" i="3"/>
  <c r="U683" i="3"/>
  <c r="U684" i="3"/>
  <c r="U685" i="3"/>
  <c r="U686" i="3"/>
  <c r="U687" i="3"/>
  <c r="U688" i="3"/>
  <c r="U689" i="3"/>
  <c r="U690" i="3"/>
  <c r="U691" i="3"/>
  <c r="U692" i="3"/>
  <c r="U693" i="3"/>
  <c r="U694" i="3"/>
  <c r="U695" i="3"/>
  <c r="U696" i="3"/>
  <c r="U697" i="3"/>
  <c r="U698" i="3"/>
  <c r="U699" i="3"/>
  <c r="U700" i="3"/>
  <c r="U701" i="3"/>
  <c r="U702" i="3"/>
  <c r="U703" i="3"/>
  <c r="U704" i="3"/>
  <c r="U705" i="3"/>
  <c r="U706" i="3"/>
  <c r="U707" i="3"/>
  <c r="U708" i="3"/>
  <c r="U709" i="3"/>
  <c r="U710" i="3"/>
  <c r="U711" i="3"/>
  <c r="U712" i="3"/>
  <c r="U713" i="3"/>
  <c r="U714" i="3"/>
  <c r="U715" i="3"/>
  <c r="U716" i="3"/>
  <c r="U717" i="3"/>
  <c r="U718" i="3"/>
  <c r="U719" i="3"/>
  <c r="U720" i="3"/>
  <c r="U721" i="3"/>
  <c r="U722" i="3"/>
  <c r="U723" i="3"/>
  <c r="U724" i="3"/>
  <c r="U725" i="3"/>
  <c r="U726" i="3"/>
  <c r="U727" i="3"/>
  <c r="U728" i="3"/>
  <c r="U729" i="3"/>
  <c r="U730" i="3"/>
  <c r="U731" i="3"/>
  <c r="U732" i="3"/>
  <c r="U733" i="3"/>
  <c r="U734" i="3"/>
  <c r="U735" i="3"/>
  <c r="U736" i="3"/>
  <c r="U737" i="3"/>
  <c r="U738" i="3"/>
  <c r="U739" i="3"/>
  <c r="U740" i="3"/>
  <c r="U741" i="3"/>
  <c r="U742" i="3"/>
  <c r="U743" i="3"/>
  <c r="U744" i="3"/>
  <c r="U745" i="3"/>
  <c r="U746" i="3"/>
  <c r="U747" i="3"/>
  <c r="U748" i="3"/>
  <c r="U749" i="3"/>
  <c r="U750" i="3"/>
  <c r="U751" i="3"/>
  <c r="U752" i="3"/>
  <c r="U753" i="3"/>
  <c r="U754" i="3"/>
  <c r="U755" i="3"/>
  <c r="U756" i="3"/>
  <c r="U757" i="3"/>
  <c r="U758" i="3"/>
  <c r="U759" i="3"/>
  <c r="U760" i="3"/>
  <c r="U761" i="3"/>
  <c r="U762" i="3"/>
  <c r="U763" i="3"/>
  <c r="U764" i="3"/>
  <c r="U765" i="3"/>
  <c r="U766" i="3"/>
  <c r="U767" i="3"/>
  <c r="U768" i="3"/>
  <c r="U769" i="3"/>
  <c r="U770" i="3"/>
  <c r="U771" i="3"/>
  <c r="U772" i="3"/>
  <c r="U773" i="3"/>
  <c r="U774" i="3"/>
  <c r="U775" i="3"/>
  <c r="U776" i="3"/>
  <c r="U777" i="3"/>
  <c r="U778" i="3"/>
  <c r="U779" i="3"/>
  <c r="U780" i="3"/>
  <c r="U781" i="3"/>
  <c r="U782" i="3"/>
  <c r="U783" i="3"/>
  <c r="U784" i="3"/>
  <c r="U785" i="3"/>
  <c r="U786" i="3"/>
  <c r="U787" i="3"/>
  <c r="U788" i="3"/>
  <c r="U789" i="3"/>
  <c r="U790" i="3"/>
  <c r="U791" i="3"/>
  <c r="U792" i="3"/>
  <c r="U793" i="3"/>
  <c r="U794" i="3"/>
  <c r="U795" i="3"/>
  <c r="U796" i="3"/>
  <c r="U797" i="3"/>
  <c r="U798" i="3"/>
  <c r="U799" i="3"/>
  <c r="U800" i="3"/>
  <c r="U801" i="3"/>
  <c r="U802" i="3"/>
  <c r="U803" i="3"/>
  <c r="U804" i="3"/>
  <c r="U805" i="3"/>
  <c r="U806" i="3"/>
  <c r="U807" i="3"/>
  <c r="U808" i="3"/>
  <c r="U809" i="3"/>
  <c r="U810" i="3"/>
  <c r="U811" i="3"/>
  <c r="U812" i="3"/>
  <c r="U813" i="3"/>
  <c r="U814" i="3"/>
  <c r="U815" i="3"/>
  <c r="U816" i="3"/>
  <c r="U817" i="3"/>
  <c r="U818" i="3"/>
  <c r="U819" i="3"/>
  <c r="U820" i="3"/>
  <c r="U821" i="3"/>
  <c r="U822" i="3"/>
  <c r="U823" i="3"/>
  <c r="U824" i="3"/>
  <c r="U825" i="3"/>
  <c r="U826" i="3"/>
  <c r="U827" i="3"/>
  <c r="U828" i="3"/>
  <c r="U829" i="3"/>
  <c r="U830" i="3"/>
  <c r="U831" i="3"/>
  <c r="U832" i="3"/>
  <c r="U833" i="3"/>
  <c r="U834" i="3"/>
  <c r="U835" i="3"/>
  <c r="U836" i="3"/>
  <c r="U837" i="3"/>
  <c r="U838" i="3"/>
  <c r="U839" i="3"/>
  <c r="U840" i="3"/>
  <c r="U841" i="3"/>
  <c r="U842" i="3"/>
  <c r="U843" i="3"/>
  <c r="U844" i="3"/>
  <c r="U845" i="3"/>
  <c r="U846" i="3"/>
  <c r="U847" i="3"/>
  <c r="U848" i="3"/>
  <c r="U849" i="3"/>
  <c r="U850" i="3"/>
  <c r="U851" i="3"/>
  <c r="U852" i="3"/>
  <c r="U853" i="3"/>
  <c r="U854" i="3"/>
  <c r="U855" i="3"/>
  <c r="U856" i="3"/>
  <c r="U857" i="3"/>
  <c r="U858" i="3"/>
  <c r="U859" i="3"/>
  <c r="U860" i="3"/>
  <c r="U861" i="3"/>
  <c r="U862" i="3"/>
  <c r="U863" i="3"/>
  <c r="U864" i="3"/>
  <c r="U865" i="3"/>
  <c r="U866" i="3"/>
  <c r="U867" i="3"/>
  <c r="U868" i="3"/>
  <c r="U869" i="3"/>
  <c r="U870" i="3"/>
  <c r="U871" i="3"/>
  <c r="U872" i="3"/>
  <c r="U873" i="3"/>
  <c r="U874" i="3"/>
  <c r="U875" i="3"/>
  <c r="U876" i="3"/>
  <c r="U877" i="3"/>
  <c r="U878" i="3"/>
  <c r="U879" i="3"/>
  <c r="U880" i="3"/>
  <c r="U881" i="3"/>
  <c r="U882" i="3"/>
  <c r="U883" i="3"/>
  <c r="U884" i="3"/>
  <c r="U885" i="3"/>
  <c r="U886" i="3"/>
  <c r="U887" i="3"/>
  <c r="U888" i="3"/>
  <c r="U889" i="3"/>
  <c r="U890" i="3"/>
  <c r="U891" i="3"/>
  <c r="U892" i="3"/>
  <c r="U893" i="3"/>
  <c r="U894" i="3"/>
  <c r="U895" i="3"/>
  <c r="U896" i="3"/>
  <c r="U897" i="3"/>
  <c r="U898" i="3"/>
  <c r="U899" i="3"/>
  <c r="U900" i="3"/>
  <c r="U901" i="3"/>
  <c r="U902" i="3"/>
  <c r="U903" i="3"/>
  <c r="U904" i="3"/>
  <c r="U905" i="3"/>
  <c r="U906" i="3"/>
  <c r="U907" i="3"/>
  <c r="U908" i="3"/>
  <c r="U909" i="3"/>
  <c r="U910" i="3"/>
  <c r="U911" i="3"/>
  <c r="U912" i="3"/>
  <c r="U913" i="3"/>
  <c r="U914" i="3"/>
  <c r="U915" i="3"/>
  <c r="U916" i="3"/>
  <c r="U917" i="3"/>
  <c r="U918" i="3"/>
  <c r="U919" i="3"/>
  <c r="U920" i="3"/>
  <c r="U921" i="3"/>
  <c r="U922" i="3"/>
  <c r="U923" i="3"/>
  <c r="U924" i="3"/>
  <c r="U925" i="3"/>
  <c r="U926" i="3"/>
  <c r="U927" i="3"/>
  <c r="U928" i="3"/>
  <c r="U929" i="3"/>
  <c r="U930" i="3"/>
  <c r="U931" i="3"/>
  <c r="U932" i="3"/>
  <c r="U933" i="3"/>
  <c r="U934" i="3"/>
  <c r="U935" i="3"/>
  <c r="U936" i="3"/>
  <c r="U937" i="3"/>
  <c r="U938" i="3"/>
  <c r="U939" i="3"/>
  <c r="U940" i="3"/>
  <c r="U941" i="3"/>
  <c r="U942" i="3"/>
  <c r="U943" i="3"/>
  <c r="U944" i="3"/>
  <c r="U945" i="3"/>
  <c r="U946" i="3"/>
  <c r="U947" i="3"/>
  <c r="U948" i="3"/>
  <c r="U949" i="3"/>
  <c r="U950" i="3"/>
  <c r="U951" i="3"/>
  <c r="U952" i="3"/>
  <c r="U953" i="3"/>
  <c r="U954" i="3"/>
  <c r="U955" i="3"/>
  <c r="U956" i="3"/>
  <c r="U957" i="3"/>
  <c r="U958" i="3"/>
  <c r="U959" i="3"/>
  <c r="U960" i="3"/>
  <c r="U961" i="3"/>
  <c r="U962" i="3"/>
  <c r="U963" i="3"/>
  <c r="U964" i="3"/>
  <c r="U965" i="3"/>
  <c r="U966" i="3"/>
  <c r="U967" i="3"/>
  <c r="U968" i="3"/>
  <c r="U969" i="3"/>
  <c r="U970" i="3"/>
  <c r="U971" i="3"/>
  <c r="U972" i="3"/>
  <c r="U973" i="3"/>
  <c r="U974" i="3"/>
  <c r="U975" i="3"/>
  <c r="U976" i="3"/>
  <c r="U977" i="3"/>
  <c r="U978" i="3"/>
  <c r="U979" i="3"/>
  <c r="U980" i="3"/>
  <c r="U981" i="3"/>
  <c r="U982" i="3"/>
  <c r="U983" i="3"/>
  <c r="U984" i="3"/>
  <c r="U985" i="3"/>
  <c r="U986" i="3"/>
  <c r="U987" i="3"/>
  <c r="U988" i="3"/>
  <c r="U989" i="3"/>
  <c r="U990" i="3"/>
  <c r="U991" i="3"/>
  <c r="U992" i="3"/>
  <c r="U993" i="3"/>
  <c r="U994" i="3"/>
  <c r="U995" i="3"/>
  <c r="U996" i="3"/>
  <c r="U997" i="3"/>
  <c r="U998" i="3"/>
  <c r="U999" i="3"/>
  <c r="U1000" i="3"/>
  <c r="U1001" i="3"/>
  <c r="U1002" i="3"/>
  <c r="U1003" i="3"/>
  <c r="U1004" i="3"/>
  <c r="U1005" i="3"/>
  <c r="U1006" i="3"/>
  <c r="U1007" i="3"/>
  <c r="U1008" i="3"/>
  <c r="U1009" i="3"/>
  <c r="U1010" i="3"/>
  <c r="U1011" i="3"/>
  <c r="U1012" i="3"/>
  <c r="U1013" i="3"/>
  <c r="U1014" i="3"/>
  <c r="U1015" i="3"/>
  <c r="U1016" i="3"/>
  <c r="U1017" i="3"/>
  <c r="U1018" i="3"/>
  <c r="U1019" i="3"/>
  <c r="U1020" i="3"/>
  <c r="U1021" i="3"/>
  <c r="U1022" i="3"/>
  <c r="U1023" i="3"/>
  <c r="U1024" i="3"/>
  <c r="U1025" i="3"/>
  <c r="U1026" i="3"/>
  <c r="U1027" i="3"/>
  <c r="U1028" i="3"/>
  <c r="U1029" i="3"/>
  <c r="U1030" i="3"/>
  <c r="U1031" i="3"/>
  <c r="U1032" i="3"/>
  <c r="U1033" i="3"/>
  <c r="U1034" i="3"/>
  <c r="U1035" i="3"/>
  <c r="U1036" i="3"/>
  <c r="U1037" i="3"/>
  <c r="U1038" i="3"/>
  <c r="U1039" i="3"/>
  <c r="U1040" i="3"/>
  <c r="U1041" i="3"/>
  <c r="U1042" i="3"/>
  <c r="U1043" i="3"/>
  <c r="U1044" i="3"/>
  <c r="U1045" i="3"/>
  <c r="U1046" i="3"/>
  <c r="U1047" i="3"/>
  <c r="U1048" i="3"/>
  <c r="U1049" i="3"/>
  <c r="U1050" i="3"/>
  <c r="U1051" i="3"/>
  <c r="U1052" i="3"/>
  <c r="U1053" i="3"/>
  <c r="U1054" i="3"/>
  <c r="U1055" i="3"/>
  <c r="U1056" i="3"/>
  <c r="U1057" i="3"/>
  <c r="U1058" i="3"/>
  <c r="U1059" i="3"/>
  <c r="U1060" i="3"/>
  <c r="U1061" i="3"/>
  <c r="U1062" i="3"/>
  <c r="U1063" i="3"/>
  <c r="U1064" i="3"/>
  <c r="U1065" i="3"/>
  <c r="U1066" i="3"/>
  <c r="U1067" i="3"/>
  <c r="U1068" i="3"/>
  <c r="U1069" i="3"/>
  <c r="U1070" i="3"/>
  <c r="U1071" i="3"/>
  <c r="U1072" i="3"/>
  <c r="U1073" i="3"/>
  <c r="U1074" i="3"/>
  <c r="U1075" i="3"/>
  <c r="U1076" i="3"/>
  <c r="U1077" i="3"/>
  <c r="U1078" i="3"/>
  <c r="U1079" i="3"/>
  <c r="U1080" i="3"/>
  <c r="U1081" i="3"/>
  <c r="U1082" i="3"/>
  <c r="U1083" i="3"/>
  <c r="U1084" i="3"/>
  <c r="U1085" i="3"/>
  <c r="U1086" i="3"/>
  <c r="U1087" i="3"/>
  <c r="U1088" i="3"/>
  <c r="U1089" i="3"/>
  <c r="U1090" i="3"/>
  <c r="U1091" i="3"/>
  <c r="U1092" i="3"/>
  <c r="U1093" i="3"/>
  <c r="U1094" i="3"/>
  <c r="U1095" i="3"/>
  <c r="U1096" i="3"/>
  <c r="U1097" i="3"/>
  <c r="U1098" i="3"/>
  <c r="U1099" i="3"/>
  <c r="U1100" i="3"/>
  <c r="U1101" i="3"/>
  <c r="U1102" i="3"/>
  <c r="U1103" i="3"/>
  <c r="U1104" i="3"/>
  <c r="U1105" i="3"/>
  <c r="U1106" i="3"/>
  <c r="U1107" i="3"/>
  <c r="U1108" i="3"/>
  <c r="U1109" i="3"/>
  <c r="U1110" i="3"/>
  <c r="U1111" i="3"/>
  <c r="U1112" i="3"/>
  <c r="U1113" i="3"/>
  <c r="U1114" i="3"/>
  <c r="U1115" i="3"/>
  <c r="U1116" i="3"/>
  <c r="U1117" i="3"/>
  <c r="U1118" i="3"/>
  <c r="U1119" i="3"/>
  <c r="U1120" i="3"/>
  <c r="U1121" i="3"/>
  <c r="U1122" i="3"/>
  <c r="U1123" i="3"/>
  <c r="U1124" i="3"/>
  <c r="U1125" i="3"/>
  <c r="U1126" i="3"/>
  <c r="U1127" i="3"/>
  <c r="U1128" i="3"/>
  <c r="U1129" i="3"/>
  <c r="U1130" i="3"/>
  <c r="U1131" i="3"/>
  <c r="U1132" i="3"/>
  <c r="U1133" i="3"/>
  <c r="U1134" i="3"/>
  <c r="U1135" i="3"/>
  <c r="U1136" i="3"/>
  <c r="U1137" i="3"/>
  <c r="U1138" i="3"/>
  <c r="U1139" i="3"/>
  <c r="U1140" i="3"/>
  <c r="U1141" i="3"/>
  <c r="U1142" i="3"/>
  <c r="U1143" i="3"/>
  <c r="U1144" i="3"/>
  <c r="U1145" i="3"/>
  <c r="U1146" i="3"/>
  <c r="U1147" i="3"/>
  <c r="U1148" i="3"/>
  <c r="U1149" i="3"/>
  <c r="U1150" i="3"/>
  <c r="U1151" i="3"/>
  <c r="U1152" i="3"/>
  <c r="U1153" i="3"/>
  <c r="U1154" i="3"/>
  <c r="U1155" i="3"/>
  <c r="U1156" i="3"/>
  <c r="U1157" i="3"/>
  <c r="U1158" i="3"/>
  <c r="U1159" i="3"/>
  <c r="U1160" i="3"/>
  <c r="U1161" i="3"/>
  <c r="U1162" i="3"/>
  <c r="U1163" i="3"/>
  <c r="U1164" i="3"/>
  <c r="U1165" i="3"/>
  <c r="U1166" i="3"/>
  <c r="U1167" i="3"/>
  <c r="U1168" i="3"/>
  <c r="U1169" i="3"/>
  <c r="U1170" i="3"/>
  <c r="U1171" i="3"/>
  <c r="U1172" i="3"/>
  <c r="U1173" i="3"/>
  <c r="U1174" i="3"/>
  <c r="U1175" i="3"/>
  <c r="U1176" i="3"/>
  <c r="U1177" i="3"/>
  <c r="U1178" i="3"/>
  <c r="U1179" i="3"/>
  <c r="U1180" i="3"/>
  <c r="U1181" i="3"/>
  <c r="U1182" i="3"/>
  <c r="U1183" i="3"/>
  <c r="U1184" i="3"/>
  <c r="U1185" i="3"/>
  <c r="U1186" i="3"/>
  <c r="U1187" i="3"/>
  <c r="U1188" i="3"/>
  <c r="U1189" i="3"/>
  <c r="U1190" i="3"/>
  <c r="U1191" i="3"/>
  <c r="U1192" i="3"/>
  <c r="U1193" i="3"/>
  <c r="U1194" i="3"/>
  <c r="U1195" i="3"/>
  <c r="U1196" i="3"/>
  <c r="U1197" i="3"/>
  <c r="U1198" i="3"/>
  <c r="U1199" i="3"/>
  <c r="U1200" i="3"/>
  <c r="U1201" i="3"/>
  <c r="U1202" i="3"/>
  <c r="U1203" i="3"/>
  <c r="U1204" i="3"/>
  <c r="U1205" i="3"/>
  <c r="U1206" i="3"/>
  <c r="U1207" i="3"/>
  <c r="U1208" i="3"/>
  <c r="U1209" i="3"/>
  <c r="U1210" i="3"/>
  <c r="U1211" i="3"/>
  <c r="U1212" i="3"/>
  <c r="U1213" i="3"/>
  <c r="U1214" i="3"/>
  <c r="U1215" i="3"/>
  <c r="U1216" i="3"/>
  <c r="U1217" i="3"/>
  <c r="U1218" i="3"/>
  <c r="U1219" i="3"/>
  <c r="U1220" i="3"/>
  <c r="U1221" i="3"/>
  <c r="U1222" i="3"/>
  <c r="U1223" i="3"/>
  <c r="U1224" i="3"/>
  <c r="U1225" i="3"/>
  <c r="U1226" i="3"/>
  <c r="U1227" i="3"/>
  <c r="U1228" i="3"/>
  <c r="U1229" i="3"/>
  <c r="U1230" i="3"/>
  <c r="U1231" i="3"/>
  <c r="U1232" i="3"/>
  <c r="U1233" i="3"/>
  <c r="U1234" i="3"/>
  <c r="U1235" i="3"/>
  <c r="U1236" i="3"/>
  <c r="U1237" i="3"/>
  <c r="U1238" i="3"/>
  <c r="U1239" i="3"/>
  <c r="U1240" i="3"/>
  <c r="U1241" i="3"/>
  <c r="U1242" i="3"/>
  <c r="U1243" i="3"/>
  <c r="U1244" i="3"/>
  <c r="U1245" i="3"/>
  <c r="U1246" i="3"/>
  <c r="U1247" i="3"/>
  <c r="U1248" i="3"/>
  <c r="U1249" i="3"/>
  <c r="U1250" i="3"/>
  <c r="U1251" i="3"/>
  <c r="U1252" i="3"/>
  <c r="U1253" i="3"/>
  <c r="U1254" i="3"/>
  <c r="U1255" i="3"/>
  <c r="U1256" i="3"/>
  <c r="U1257" i="3"/>
  <c r="U1258" i="3"/>
  <c r="U1259" i="3"/>
  <c r="U1260" i="3"/>
  <c r="U1261" i="3"/>
  <c r="U1262" i="3"/>
  <c r="U1263" i="3"/>
  <c r="U1264" i="3"/>
  <c r="U1265" i="3"/>
  <c r="U1266" i="3"/>
  <c r="U1267" i="3"/>
  <c r="U1268" i="3"/>
  <c r="U1269" i="3"/>
  <c r="U1270" i="3"/>
  <c r="U1271" i="3"/>
  <c r="U1272" i="3"/>
  <c r="U1273" i="3"/>
  <c r="U1274" i="3"/>
  <c r="U1275" i="3"/>
  <c r="U1276" i="3"/>
  <c r="U1277" i="3"/>
  <c r="U1278" i="3"/>
  <c r="U1279" i="3"/>
  <c r="U1280" i="3"/>
  <c r="U1281" i="3"/>
  <c r="U1282" i="3"/>
  <c r="U1283" i="3"/>
  <c r="U1284" i="3"/>
  <c r="U1285" i="3"/>
  <c r="U1286" i="3"/>
  <c r="U1287" i="3"/>
  <c r="U1288" i="3"/>
  <c r="U1289" i="3"/>
  <c r="U1290" i="3"/>
  <c r="U1291" i="3"/>
  <c r="U1292" i="3"/>
  <c r="U1293" i="3"/>
  <c r="U1294" i="3"/>
  <c r="U1295" i="3"/>
  <c r="U1296" i="3"/>
  <c r="U1297" i="3"/>
  <c r="U1298" i="3"/>
  <c r="U1299" i="3"/>
  <c r="U1300" i="3"/>
  <c r="U1301" i="3"/>
  <c r="U1302" i="3"/>
  <c r="U1303" i="3"/>
  <c r="U1304" i="3"/>
  <c r="U1305" i="3"/>
  <c r="U1306" i="3"/>
  <c r="U1307" i="3"/>
  <c r="U1308" i="3"/>
  <c r="U1309" i="3"/>
  <c r="U1310" i="3"/>
  <c r="U1311" i="3"/>
  <c r="U1312" i="3"/>
  <c r="U1313" i="3"/>
  <c r="U1314" i="3"/>
  <c r="U1315" i="3"/>
  <c r="U1316" i="3"/>
  <c r="U1317" i="3"/>
  <c r="U1318" i="3"/>
  <c r="U1319" i="3"/>
  <c r="U1320" i="3"/>
  <c r="U1321" i="3"/>
  <c r="U1322" i="3"/>
  <c r="U1323" i="3"/>
  <c r="U1324" i="3"/>
  <c r="U1325" i="3"/>
  <c r="U1326" i="3"/>
  <c r="U1327" i="3"/>
  <c r="U1328" i="3"/>
  <c r="U1329" i="3"/>
  <c r="U1330" i="3"/>
  <c r="U1331" i="3"/>
  <c r="U1332" i="3"/>
  <c r="U1333" i="3"/>
  <c r="U1334" i="3"/>
  <c r="U1335" i="3"/>
  <c r="U1336" i="3"/>
  <c r="U1337" i="3"/>
  <c r="U1338" i="3"/>
  <c r="U1339" i="3"/>
  <c r="U1340" i="3"/>
  <c r="U1341" i="3"/>
  <c r="U1342" i="3"/>
  <c r="U1343" i="3"/>
  <c r="U1344" i="3"/>
  <c r="U1345" i="3"/>
  <c r="U1346" i="3"/>
  <c r="U1347" i="3"/>
  <c r="U1348" i="3"/>
  <c r="U1349" i="3"/>
  <c r="U1350" i="3"/>
  <c r="U1351" i="3"/>
  <c r="U1352" i="3"/>
  <c r="U1353" i="3"/>
  <c r="U1354" i="3"/>
  <c r="U1355" i="3"/>
  <c r="U1356" i="3"/>
  <c r="U1357" i="3"/>
  <c r="U1358" i="3"/>
  <c r="U1359" i="3"/>
  <c r="U1360" i="3"/>
  <c r="U1361" i="3"/>
  <c r="U1362" i="3"/>
  <c r="U1363" i="3"/>
  <c r="U1364" i="3"/>
  <c r="U1365" i="3"/>
  <c r="U1366" i="3"/>
  <c r="U1367" i="3"/>
  <c r="U1368" i="3"/>
  <c r="U1369" i="3"/>
  <c r="U1370" i="3"/>
  <c r="U1371" i="3"/>
  <c r="U1372" i="3"/>
  <c r="U1373" i="3"/>
  <c r="U1374" i="3"/>
  <c r="U1375" i="3"/>
  <c r="U1376" i="3"/>
  <c r="U1377" i="3"/>
  <c r="U1378" i="3"/>
  <c r="U1379" i="3"/>
  <c r="U1380" i="3"/>
  <c r="U1381" i="3"/>
  <c r="U1382" i="3"/>
  <c r="U1383" i="3"/>
  <c r="U1384" i="3"/>
  <c r="U1385" i="3"/>
  <c r="U1386" i="3"/>
  <c r="U1387" i="3"/>
  <c r="U1388" i="3"/>
  <c r="U1389" i="3"/>
  <c r="U1390" i="3"/>
  <c r="U1391" i="3"/>
  <c r="U1392" i="3"/>
  <c r="U1393" i="3"/>
  <c r="U1394" i="3"/>
  <c r="U1395" i="3"/>
  <c r="U1396" i="3"/>
  <c r="U1397" i="3"/>
  <c r="U1398" i="3"/>
  <c r="U1399" i="3"/>
  <c r="U1400" i="3"/>
  <c r="U1401" i="3"/>
  <c r="U1402" i="3"/>
  <c r="U1403" i="3"/>
  <c r="U1404" i="3"/>
  <c r="U1405" i="3"/>
  <c r="U1406" i="3"/>
  <c r="U1407" i="3"/>
  <c r="U1408" i="3"/>
  <c r="U1409" i="3"/>
  <c r="U1410" i="3"/>
  <c r="U1411" i="3"/>
  <c r="U1412" i="3"/>
  <c r="U1413" i="3"/>
  <c r="U1414" i="3"/>
  <c r="U1415" i="3"/>
  <c r="U1416" i="3"/>
  <c r="U1417" i="3"/>
  <c r="U1418" i="3"/>
  <c r="U1419" i="3"/>
  <c r="U1420" i="3"/>
  <c r="U1421" i="3"/>
  <c r="U1422" i="3"/>
  <c r="U1423" i="3"/>
  <c r="U1424" i="3"/>
  <c r="U1425" i="3"/>
  <c r="U1426" i="3"/>
  <c r="U1427" i="3"/>
  <c r="U1428" i="3"/>
  <c r="U1429" i="3"/>
  <c r="U1430" i="3"/>
  <c r="U1431" i="3"/>
  <c r="U1432" i="3"/>
  <c r="U1433" i="3"/>
  <c r="U1434" i="3"/>
  <c r="U1435" i="3"/>
  <c r="U1436" i="3"/>
  <c r="U1437" i="3"/>
  <c r="U1438" i="3"/>
  <c r="U1439" i="3"/>
  <c r="U1440" i="3"/>
  <c r="U1441" i="3"/>
  <c r="U1442" i="3"/>
  <c r="U1443" i="3"/>
  <c r="U1444" i="3"/>
  <c r="U1445" i="3"/>
  <c r="U1446" i="3"/>
  <c r="U1447" i="3"/>
  <c r="U1448" i="3"/>
  <c r="U1449" i="3"/>
  <c r="U1450" i="3"/>
  <c r="U1451" i="3"/>
  <c r="U1452" i="3"/>
  <c r="U1453" i="3"/>
  <c r="U1454" i="3"/>
  <c r="U1455" i="3"/>
  <c r="U1456" i="3"/>
  <c r="U1457" i="3"/>
  <c r="U1458" i="3"/>
  <c r="U1459" i="3"/>
  <c r="U1460" i="3"/>
  <c r="U1461" i="3"/>
  <c r="U1462" i="3"/>
  <c r="U1463" i="3"/>
  <c r="U1464" i="3"/>
  <c r="U1465" i="3"/>
  <c r="U1466" i="3"/>
  <c r="U1467" i="3"/>
  <c r="U1468" i="3"/>
  <c r="U1469" i="3"/>
  <c r="U1470" i="3"/>
  <c r="U1471" i="3"/>
  <c r="U1472" i="3"/>
  <c r="U1473" i="3"/>
  <c r="U1474" i="3"/>
  <c r="U1475" i="3"/>
  <c r="U1476" i="3"/>
  <c r="U1477" i="3"/>
  <c r="U1478" i="3"/>
  <c r="U1479" i="3"/>
  <c r="U1480" i="3"/>
  <c r="U1481" i="3"/>
  <c r="U1482" i="3"/>
  <c r="U1483" i="3"/>
  <c r="U1484" i="3"/>
  <c r="U1485" i="3"/>
  <c r="U1486" i="3"/>
  <c r="U1487" i="3"/>
  <c r="U1488" i="3"/>
  <c r="U1489" i="3"/>
  <c r="U1490" i="3"/>
  <c r="U1491" i="3"/>
  <c r="U1492" i="3"/>
  <c r="U1493" i="3"/>
  <c r="U1494" i="3"/>
  <c r="U1495" i="3"/>
  <c r="U1496" i="3"/>
  <c r="U1497" i="3"/>
  <c r="U1498" i="3"/>
  <c r="U1499" i="3"/>
  <c r="U1500" i="3"/>
  <c r="U1501" i="3"/>
  <c r="U1502" i="3"/>
  <c r="U1503" i="3"/>
  <c r="U1504" i="3"/>
  <c r="U1505" i="3"/>
  <c r="U1506" i="3"/>
  <c r="U1507" i="3"/>
  <c r="U1508" i="3"/>
  <c r="U1509" i="3"/>
  <c r="U1510" i="3"/>
  <c r="U1511" i="3"/>
  <c r="U1512" i="3"/>
  <c r="U1513" i="3"/>
  <c r="U1514" i="3"/>
  <c r="U1515" i="3"/>
  <c r="U1516" i="3"/>
  <c r="U1517" i="3"/>
  <c r="U1518" i="3"/>
  <c r="U1519" i="3"/>
  <c r="U1520" i="3"/>
  <c r="U1521" i="3"/>
  <c r="U1522" i="3"/>
  <c r="U1523" i="3"/>
  <c r="U1524" i="3"/>
  <c r="U1525" i="3"/>
  <c r="U1526" i="3"/>
  <c r="U1527" i="3"/>
  <c r="U1528" i="3"/>
  <c r="U1529" i="3"/>
  <c r="U1530" i="3"/>
  <c r="U1531" i="3"/>
  <c r="U1532" i="3"/>
  <c r="U1533" i="3"/>
  <c r="U1534" i="3"/>
  <c r="U1535" i="3"/>
  <c r="U1536" i="3"/>
  <c r="U1537" i="3"/>
  <c r="U1538" i="3"/>
  <c r="U1539" i="3"/>
  <c r="U1540" i="3"/>
  <c r="U1541" i="3"/>
  <c r="U1542" i="3"/>
  <c r="U1543" i="3"/>
  <c r="U1544" i="3"/>
  <c r="U1545" i="3"/>
  <c r="U1546" i="3"/>
  <c r="U1547" i="3"/>
  <c r="U1548" i="3"/>
  <c r="U1549" i="3"/>
  <c r="U1550" i="3"/>
  <c r="U1551" i="3"/>
  <c r="U1552" i="3"/>
  <c r="U1553" i="3"/>
  <c r="U1554" i="3"/>
  <c r="U1555" i="3"/>
  <c r="U1556" i="3"/>
  <c r="U1557" i="3"/>
  <c r="U1558" i="3"/>
  <c r="U1559" i="3"/>
  <c r="U1560" i="3"/>
  <c r="U1561" i="3"/>
  <c r="U1562" i="3"/>
  <c r="U1563" i="3"/>
  <c r="U1564" i="3"/>
  <c r="U1565" i="3"/>
  <c r="U1566" i="3"/>
  <c r="U1567" i="3"/>
  <c r="U1568" i="3"/>
  <c r="U1569" i="3"/>
  <c r="U1570" i="3"/>
  <c r="U1571" i="3"/>
  <c r="U1572" i="3"/>
  <c r="U1573" i="3"/>
  <c r="U1574" i="3"/>
  <c r="U1575" i="3"/>
  <c r="U1576" i="3"/>
  <c r="U1577" i="3"/>
  <c r="U1578" i="3"/>
  <c r="U1579" i="3"/>
  <c r="U1580" i="3"/>
  <c r="U1581" i="3"/>
  <c r="U1582" i="3"/>
  <c r="U1583" i="3"/>
  <c r="U1584" i="3"/>
  <c r="U1585" i="3"/>
  <c r="U1586" i="3"/>
  <c r="U1587" i="3"/>
  <c r="U1588" i="3"/>
  <c r="U1589" i="3"/>
  <c r="U1590" i="3"/>
  <c r="U1591" i="3"/>
  <c r="U1592" i="3"/>
  <c r="U1593" i="3"/>
  <c r="U1594" i="3"/>
  <c r="U1595" i="3"/>
  <c r="U1596" i="3"/>
  <c r="U1597" i="3"/>
  <c r="U1598" i="3"/>
  <c r="U1599" i="3"/>
  <c r="U1600" i="3"/>
  <c r="U1601" i="3"/>
  <c r="U1602" i="3"/>
  <c r="U1603" i="3"/>
  <c r="U1604" i="3"/>
  <c r="U1605" i="3"/>
  <c r="U1606" i="3"/>
  <c r="U1607" i="3"/>
  <c r="U1608" i="3"/>
  <c r="U1609" i="3"/>
  <c r="U1610" i="3"/>
  <c r="U1611" i="3"/>
  <c r="U1612" i="3"/>
  <c r="U1613" i="3"/>
  <c r="U1614" i="3"/>
  <c r="U1615" i="3"/>
  <c r="U1616" i="3"/>
  <c r="U1617" i="3"/>
  <c r="U1618" i="3"/>
  <c r="U1619" i="3"/>
  <c r="U1620" i="3"/>
  <c r="U1621" i="3"/>
  <c r="U1622" i="3"/>
  <c r="U1623" i="3"/>
  <c r="U1624" i="3"/>
  <c r="U1625" i="3"/>
  <c r="U1626" i="3"/>
  <c r="U1627" i="3"/>
  <c r="U1628" i="3"/>
  <c r="U1629" i="3"/>
  <c r="U1630" i="3"/>
  <c r="U1631" i="3"/>
  <c r="U1632" i="3"/>
  <c r="U1633" i="3"/>
  <c r="U1634" i="3"/>
  <c r="U1635" i="3"/>
  <c r="U1636" i="3"/>
  <c r="U1637" i="3"/>
  <c r="U1638" i="3"/>
  <c r="U1639" i="3"/>
  <c r="U1640" i="3"/>
  <c r="U1641" i="3"/>
  <c r="U1642" i="3"/>
  <c r="U1643" i="3"/>
  <c r="U1644" i="3"/>
  <c r="U1645" i="3"/>
  <c r="U1646" i="3"/>
  <c r="U1647" i="3"/>
  <c r="U1648" i="3"/>
  <c r="U1649" i="3"/>
  <c r="U1650" i="3"/>
  <c r="U1651" i="3"/>
  <c r="U1652" i="3"/>
  <c r="U1653" i="3"/>
  <c r="U1654" i="3"/>
  <c r="U1655" i="3"/>
  <c r="U1656" i="3"/>
  <c r="U1657" i="3"/>
  <c r="U1658" i="3"/>
  <c r="U1659" i="3"/>
  <c r="U1660" i="3"/>
  <c r="U1661" i="3"/>
  <c r="U1662" i="3"/>
  <c r="U1663" i="3"/>
  <c r="U1664" i="3"/>
  <c r="U1665" i="3"/>
  <c r="U1666" i="3"/>
  <c r="U1667" i="3"/>
  <c r="U1668" i="3"/>
  <c r="U1669" i="3"/>
  <c r="U1670" i="3"/>
  <c r="U1671" i="3"/>
  <c r="U1672" i="3"/>
  <c r="U1673" i="3"/>
  <c r="U1674" i="3"/>
  <c r="U1675" i="3"/>
  <c r="U1676" i="3"/>
  <c r="U1677" i="3"/>
  <c r="U1678" i="3"/>
  <c r="U1679" i="3"/>
  <c r="U1680" i="3"/>
  <c r="U1681" i="3"/>
  <c r="U1682" i="3"/>
  <c r="U1683" i="3"/>
  <c r="U1684" i="3"/>
  <c r="U1685" i="3"/>
  <c r="U1686" i="3"/>
  <c r="U1687" i="3"/>
  <c r="U1688" i="3"/>
  <c r="U1689" i="3"/>
  <c r="U1690" i="3"/>
  <c r="U1691" i="3"/>
  <c r="U1692" i="3"/>
  <c r="U1693" i="3"/>
  <c r="U1694" i="3"/>
  <c r="U1695" i="3"/>
  <c r="U1696" i="3"/>
  <c r="U1697" i="3"/>
  <c r="U1698" i="3"/>
  <c r="U1699" i="3"/>
  <c r="U1700" i="3"/>
  <c r="U1701" i="3"/>
  <c r="U1702" i="3"/>
  <c r="U1703" i="3"/>
  <c r="U1704" i="3"/>
  <c r="U1705" i="3"/>
  <c r="U1706" i="3"/>
  <c r="U1707" i="3"/>
  <c r="U1708" i="3"/>
  <c r="U1709" i="3"/>
  <c r="U1710" i="3"/>
  <c r="U1711" i="3"/>
  <c r="U1712" i="3"/>
  <c r="U1713" i="3"/>
  <c r="U1714" i="3"/>
  <c r="U1715" i="3"/>
  <c r="U1716" i="3"/>
  <c r="U1717" i="3"/>
  <c r="U1718" i="3"/>
  <c r="U1719" i="3"/>
  <c r="U1720" i="3"/>
  <c r="U1721" i="3"/>
  <c r="U1722" i="3"/>
  <c r="U1723" i="3"/>
  <c r="U1724" i="3"/>
  <c r="U1725" i="3"/>
  <c r="U1726" i="3"/>
  <c r="U1727" i="3"/>
  <c r="U1728" i="3"/>
  <c r="U1729" i="3"/>
  <c r="U1730" i="3"/>
  <c r="U1731" i="3"/>
  <c r="U1732" i="3"/>
  <c r="U1733" i="3"/>
  <c r="U1734" i="3"/>
  <c r="U1735" i="3"/>
  <c r="U1736" i="3"/>
  <c r="U1737" i="3"/>
  <c r="U1738" i="3"/>
  <c r="U1739" i="3"/>
  <c r="U1740" i="3"/>
  <c r="U1741" i="3"/>
  <c r="U1742" i="3"/>
  <c r="U1743" i="3"/>
  <c r="U1744" i="3"/>
  <c r="U1745" i="3"/>
  <c r="U1746" i="3"/>
  <c r="U1747" i="3"/>
  <c r="U1748" i="3"/>
  <c r="U1749" i="3"/>
  <c r="U1750" i="3"/>
  <c r="U1751" i="3"/>
  <c r="U1752" i="3"/>
  <c r="U1753" i="3"/>
  <c r="U1754" i="3"/>
  <c r="U1755" i="3"/>
  <c r="U1756" i="3"/>
  <c r="U1757" i="3"/>
  <c r="U1758" i="3"/>
  <c r="U1759" i="3"/>
  <c r="U1760" i="3"/>
  <c r="U1761" i="3"/>
  <c r="U1762" i="3"/>
  <c r="U1763" i="3"/>
  <c r="U1764" i="3"/>
  <c r="U1765" i="3"/>
  <c r="U1766" i="3"/>
  <c r="U1767" i="3"/>
  <c r="U1768" i="3"/>
  <c r="U1769" i="3"/>
  <c r="U1770" i="3"/>
  <c r="U1771" i="3"/>
  <c r="U1772" i="3"/>
  <c r="U1773" i="3"/>
  <c r="U1774" i="3"/>
  <c r="U1775" i="3"/>
  <c r="U1776" i="3"/>
  <c r="U1777" i="3"/>
  <c r="U1778" i="3"/>
  <c r="U1779" i="3"/>
  <c r="U1780" i="3"/>
  <c r="U1781" i="3"/>
  <c r="U1782" i="3"/>
  <c r="U1783" i="3"/>
  <c r="U1784" i="3"/>
  <c r="U1785" i="3"/>
  <c r="U1786" i="3"/>
  <c r="U1787" i="3"/>
  <c r="U1788" i="3"/>
  <c r="U1789" i="3"/>
  <c r="U1790" i="3"/>
  <c r="U1791" i="3"/>
  <c r="U1792" i="3"/>
  <c r="U1793" i="3"/>
  <c r="U1794" i="3"/>
  <c r="U1795" i="3"/>
  <c r="U1796" i="3"/>
  <c r="U1797" i="3"/>
  <c r="U1798" i="3"/>
  <c r="U1799" i="3"/>
  <c r="U1800" i="3"/>
  <c r="U1801" i="3"/>
  <c r="U1802" i="3"/>
  <c r="U1803" i="3"/>
  <c r="U1804" i="3"/>
  <c r="U1805" i="3"/>
  <c r="U1806" i="3"/>
  <c r="U1807" i="3"/>
  <c r="U1808" i="3"/>
  <c r="U1809" i="3"/>
  <c r="U1810" i="3"/>
  <c r="U1811" i="3"/>
  <c r="U1812" i="3"/>
  <c r="U1813" i="3"/>
  <c r="U1814" i="3"/>
  <c r="U1815" i="3"/>
  <c r="U1816" i="3"/>
  <c r="U1817" i="3"/>
  <c r="U1818" i="3"/>
  <c r="U1819" i="3"/>
  <c r="U1820" i="3"/>
  <c r="U1821" i="3"/>
  <c r="U1822" i="3"/>
  <c r="U1823" i="3"/>
  <c r="U1824" i="3"/>
  <c r="U1825" i="3"/>
  <c r="U1826" i="3"/>
  <c r="U1827" i="3"/>
  <c r="U1828" i="3"/>
  <c r="U1829" i="3"/>
  <c r="U1830" i="3"/>
  <c r="U1831" i="3"/>
  <c r="U1832" i="3"/>
  <c r="U1833" i="3"/>
  <c r="U1834" i="3"/>
  <c r="U1835" i="3"/>
  <c r="U1836" i="3"/>
  <c r="U1837" i="3"/>
  <c r="U1838" i="3"/>
  <c r="U1839" i="3"/>
  <c r="U1840" i="3"/>
  <c r="U1841" i="3"/>
  <c r="U1842" i="3"/>
  <c r="U1843" i="3"/>
  <c r="U1844" i="3"/>
  <c r="U1845" i="3"/>
  <c r="U1846" i="3"/>
  <c r="U1847" i="3"/>
  <c r="U1848" i="3"/>
  <c r="U1849" i="3"/>
  <c r="U1850" i="3"/>
  <c r="U1851" i="3"/>
  <c r="U1852" i="3"/>
  <c r="U1853" i="3"/>
  <c r="U1854" i="3"/>
  <c r="U1855" i="3"/>
  <c r="U1856" i="3"/>
  <c r="U1857" i="3"/>
  <c r="U1858" i="3"/>
  <c r="U1859" i="3"/>
  <c r="U1860" i="3"/>
  <c r="U1861" i="3"/>
  <c r="U1862" i="3"/>
  <c r="U1863" i="3"/>
  <c r="U1864" i="3"/>
  <c r="U1865" i="3"/>
  <c r="U1866" i="3"/>
  <c r="U1867" i="3"/>
  <c r="U1868" i="3"/>
  <c r="U1869" i="3"/>
  <c r="U1870" i="3"/>
  <c r="U1871" i="3"/>
  <c r="U1872" i="3"/>
  <c r="U1873" i="3"/>
  <c r="U1874" i="3"/>
  <c r="U1875" i="3"/>
  <c r="U1876" i="3"/>
  <c r="U1877" i="3"/>
  <c r="U1878" i="3"/>
  <c r="U1879" i="3"/>
  <c r="U1880" i="3"/>
  <c r="U1881" i="3"/>
  <c r="U1882" i="3"/>
  <c r="U1883" i="3"/>
  <c r="U1884" i="3"/>
  <c r="U1885" i="3"/>
  <c r="U1886" i="3"/>
  <c r="U1887" i="3"/>
  <c r="U1888" i="3"/>
  <c r="U1889" i="3"/>
  <c r="U1890" i="3"/>
  <c r="U1891" i="3"/>
  <c r="U1892" i="3"/>
  <c r="U1893" i="3"/>
  <c r="U1894" i="3"/>
  <c r="U1895" i="3"/>
  <c r="U1896" i="3"/>
  <c r="U1897" i="3"/>
  <c r="U1898" i="3"/>
  <c r="U1899" i="3"/>
  <c r="U1900" i="3"/>
  <c r="U1901" i="3"/>
  <c r="U1902" i="3"/>
  <c r="U1903" i="3"/>
  <c r="U1904" i="3"/>
  <c r="U1905" i="3"/>
  <c r="U1906" i="3"/>
  <c r="U1907" i="3"/>
  <c r="U1908" i="3"/>
  <c r="U1909" i="3"/>
  <c r="U1910" i="3"/>
  <c r="U1911" i="3"/>
  <c r="U1912" i="3"/>
  <c r="U1913" i="3"/>
  <c r="U1914" i="3"/>
  <c r="U1915" i="3"/>
  <c r="U1916" i="3"/>
  <c r="U1917" i="3"/>
  <c r="U1918" i="3"/>
  <c r="U1919" i="3"/>
  <c r="U1920" i="3"/>
  <c r="U1921" i="3"/>
  <c r="U1922" i="3"/>
  <c r="U1923" i="3"/>
  <c r="U1924" i="3"/>
  <c r="U1925" i="3"/>
  <c r="U1926" i="3"/>
  <c r="U1927" i="3"/>
  <c r="U1928" i="3"/>
  <c r="U1929" i="3"/>
  <c r="U1930" i="3"/>
  <c r="U1931" i="3"/>
  <c r="U1932" i="3"/>
  <c r="U1933" i="3"/>
  <c r="U1934" i="3"/>
  <c r="U1935" i="3"/>
  <c r="U1936" i="3"/>
  <c r="U1937" i="3"/>
  <c r="U1938" i="3"/>
  <c r="U1939" i="3"/>
  <c r="U1940" i="3"/>
  <c r="U1941" i="3"/>
  <c r="U1942" i="3"/>
  <c r="U1943" i="3"/>
  <c r="U1944" i="3"/>
  <c r="U1945" i="3"/>
  <c r="U1946" i="3"/>
  <c r="U1947" i="3"/>
  <c r="U1948" i="3"/>
  <c r="U1949" i="3"/>
  <c r="U1950" i="3"/>
  <c r="U1951" i="3"/>
  <c r="U1952" i="3"/>
  <c r="U1953" i="3"/>
  <c r="U1954" i="3"/>
  <c r="U1955" i="3"/>
  <c r="U1956" i="3"/>
  <c r="U1957" i="3"/>
  <c r="U1958" i="3"/>
  <c r="U1959" i="3"/>
  <c r="U1960" i="3"/>
  <c r="U1961" i="3"/>
  <c r="U1962" i="3"/>
  <c r="U1963" i="3"/>
  <c r="U1964" i="3"/>
  <c r="U1965" i="3"/>
  <c r="U1966" i="3"/>
  <c r="U1967" i="3"/>
  <c r="U1968" i="3"/>
  <c r="U1969" i="3"/>
  <c r="U1970" i="3"/>
  <c r="U1971" i="3"/>
  <c r="U1972" i="3"/>
  <c r="U1973" i="3"/>
  <c r="U1974" i="3"/>
  <c r="U1975" i="3"/>
  <c r="U1976" i="3"/>
  <c r="U1977" i="3"/>
  <c r="U1978" i="3"/>
  <c r="U1979" i="3"/>
  <c r="U1980" i="3"/>
  <c r="U1981" i="3"/>
  <c r="U1982" i="3"/>
  <c r="U1983" i="3"/>
  <c r="U1984" i="3"/>
  <c r="U1985" i="3"/>
  <c r="U1986" i="3"/>
  <c r="U1987" i="3"/>
  <c r="U1988" i="3"/>
  <c r="U1989" i="3"/>
  <c r="U1990" i="3"/>
  <c r="U1991" i="3"/>
  <c r="U1992" i="3"/>
  <c r="U1993" i="3"/>
  <c r="U1994" i="3"/>
  <c r="U1995" i="3"/>
  <c r="U1996" i="3"/>
  <c r="U1997" i="3"/>
  <c r="U1998" i="3"/>
  <c r="U1999" i="3"/>
  <c r="U2000" i="3"/>
  <c r="U2001" i="3"/>
  <c r="U2002" i="3"/>
  <c r="U2003" i="3"/>
  <c r="U2004" i="3"/>
  <c r="U2005" i="3"/>
  <c r="U2006" i="3"/>
  <c r="U2007" i="3"/>
  <c r="U2008" i="3"/>
  <c r="U2009" i="3"/>
  <c r="U2010" i="3"/>
  <c r="U2011" i="3"/>
  <c r="U2012" i="3"/>
  <c r="U2013" i="3"/>
  <c r="U2014" i="3"/>
  <c r="U2015" i="3"/>
  <c r="U2016" i="3"/>
  <c r="U2017" i="3"/>
  <c r="U2018" i="3"/>
  <c r="U2019" i="3"/>
  <c r="U2020" i="3"/>
  <c r="U2021" i="3"/>
  <c r="U2022" i="3"/>
  <c r="U2023" i="3"/>
  <c r="U2024" i="3"/>
  <c r="U2025" i="3"/>
  <c r="U2026" i="3"/>
  <c r="U2027" i="3"/>
  <c r="U2028" i="3"/>
  <c r="U2029" i="3"/>
  <c r="U2030" i="3"/>
  <c r="U2031" i="3"/>
  <c r="U2032" i="3"/>
  <c r="U2033" i="3"/>
  <c r="U2034" i="3"/>
  <c r="U2035" i="3"/>
  <c r="U2036" i="3"/>
  <c r="U2037" i="3"/>
  <c r="U2038" i="3"/>
  <c r="U2039" i="3"/>
  <c r="U2040" i="3"/>
  <c r="U2041" i="3"/>
  <c r="U2042" i="3"/>
  <c r="U2043" i="3"/>
  <c r="U2044" i="3"/>
  <c r="U2045" i="3"/>
  <c r="U2046" i="3"/>
  <c r="U2047" i="3"/>
  <c r="U2048" i="3"/>
  <c r="U2049" i="3"/>
  <c r="U2050" i="3"/>
  <c r="U2051" i="3"/>
  <c r="U2052" i="3"/>
  <c r="U2053" i="3"/>
  <c r="U2054" i="3"/>
  <c r="U2055" i="3"/>
  <c r="U2056" i="3"/>
  <c r="U2057" i="3"/>
  <c r="U2058" i="3"/>
  <c r="U2059" i="3"/>
  <c r="U2060" i="3"/>
  <c r="U2061" i="3"/>
  <c r="U2062" i="3"/>
  <c r="U2063" i="3"/>
  <c r="U2064" i="3"/>
  <c r="U2065" i="3"/>
  <c r="U2066" i="3"/>
  <c r="U2067" i="3"/>
  <c r="U2068" i="3"/>
  <c r="U2069" i="3"/>
  <c r="U2070" i="3"/>
  <c r="U2071" i="3"/>
  <c r="U2072" i="3"/>
  <c r="U2073" i="3"/>
  <c r="U2074" i="3"/>
  <c r="U2075" i="3"/>
  <c r="U2076" i="3"/>
  <c r="U2077" i="3"/>
  <c r="U2078" i="3"/>
  <c r="U2079" i="3"/>
  <c r="U2080" i="3"/>
  <c r="U2081" i="3"/>
  <c r="U2082" i="3"/>
  <c r="U2083" i="3"/>
  <c r="U2084" i="3"/>
  <c r="U2085" i="3"/>
  <c r="U2086" i="3"/>
  <c r="U2087" i="3"/>
  <c r="U2088" i="3"/>
  <c r="U2089" i="3"/>
  <c r="U2090" i="3"/>
  <c r="U2091" i="3"/>
  <c r="U2092" i="3"/>
  <c r="U2093" i="3"/>
  <c r="U2094" i="3"/>
  <c r="U2095" i="3"/>
  <c r="U2096" i="3"/>
  <c r="U2097" i="3"/>
  <c r="U2098" i="3"/>
  <c r="U2099" i="3"/>
  <c r="U2100" i="3"/>
  <c r="U2101" i="3"/>
  <c r="U2102" i="3"/>
  <c r="U2103" i="3"/>
  <c r="U2104" i="3"/>
  <c r="U2105" i="3"/>
  <c r="U2106" i="3"/>
  <c r="U2107" i="3"/>
  <c r="U2108" i="3"/>
  <c r="U2109" i="3"/>
  <c r="U2110" i="3"/>
  <c r="U2111" i="3"/>
  <c r="U2112" i="3"/>
  <c r="U2113" i="3"/>
  <c r="U2114" i="3"/>
  <c r="U2115" i="3"/>
  <c r="U2116" i="3"/>
  <c r="U2117" i="3"/>
  <c r="U2118" i="3"/>
  <c r="U2119" i="3"/>
  <c r="U2120" i="3"/>
  <c r="U2121" i="3"/>
  <c r="U2122" i="3"/>
  <c r="U2123" i="3"/>
  <c r="U2124" i="3"/>
  <c r="U2125" i="3"/>
  <c r="U2126" i="3"/>
  <c r="U2127" i="3"/>
  <c r="U2128" i="3"/>
  <c r="U2129" i="3"/>
  <c r="U2130" i="3"/>
  <c r="U2131" i="3"/>
  <c r="U2132" i="3"/>
  <c r="U2133" i="3"/>
  <c r="U2134" i="3"/>
  <c r="U2135" i="3"/>
  <c r="U2136" i="3"/>
  <c r="U2137" i="3"/>
  <c r="U2138" i="3"/>
  <c r="U2139" i="3"/>
  <c r="U2140" i="3"/>
  <c r="U2141" i="3"/>
  <c r="U2142" i="3"/>
  <c r="U2143" i="3"/>
  <c r="U2144" i="3"/>
  <c r="U2145" i="3"/>
  <c r="U2146" i="3"/>
  <c r="U2147" i="3"/>
  <c r="U2148" i="3"/>
  <c r="U2149" i="3"/>
  <c r="U2150" i="3"/>
  <c r="U2151" i="3"/>
  <c r="U2152" i="3"/>
  <c r="U2153" i="3"/>
  <c r="U2154" i="3"/>
  <c r="U2155" i="3"/>
  <c r="U2156" i="3"/>
  <c r="U2157" i="3"/>
  <c r="U2158" i="3"/>
  <c r="U2159" i="3"/>
  <c r="U2160" i="3"/>
  <c r="U2161" i="3"/>
  <c r="U2162" i="3"/>
  <c r="U2163" i="3"/>
  <c r="U2164" i="3"/>
  <c r="U2165" i="3"/>
  <c r="U2166" i="3"/>
  <c r="U2167" i="3"/>
  <c r="U2168" i="3"/>
  <c r="U2169" i="3"/>
  <c r="U2170" i="3"/>
  <c r="U2171" i="3"/>
  <c r="U2172" i="3"/>
  <c r="U2173" i="3"/>
  <c r="U2174" i="3"/>
  <c r="U2175" i="3"/>
  <c r="U2176" i="3"/>
  <c r="U2177" i="3"/>
  <c r="U2178" i="3"/>
  <c r="U2179" i="3"/>
  <c r="U2180" i="3"/>
  <c r="U2181" i="3"/>
  <c r="U2182" i="3"/>
  <c r="U2183" i="3"/>
  <c r="U2184" i="3"/>
  <c r="U2185" i="3"/>
  <c r="U2186" i="3"/>
  <c r="U2187" i="3"/>
  <c r="U2188" i="3"/>
  <c r="U2189" i="3"/>
  <c r="U2190" i="3"/>
  <c r="U2191" i="3"/>
  <c r="U2192" i="3"/>
  <c r="U2193" i="3"/>
  <c r="U2194" i="3"/>
  <c r="U2195" i="3"/>
  <c r="U2196" i="3"/>
  <c r="U2197" i="3"/>
  <c r="U2198" i="3"/>
  <c r="U2199" i="3"/>
  <c r="U2200" i="3"/>
  <c r="U2201" i="3"/>
  <c r="U2202" i="3"/>
  <c r="U2203" i="3"/>
  <c r="U2204" i="3"/>
  <c r="U2205" i="3"/>
  <c r="U2206" i="3"/>
  <c r="U2207" i="3"/>
  <c r="U2208" i="3"/>
  <c r="U2209" i="3"/>
  <c r="U2210" i="3"/>
  <c r="U2211" i="3"/>
  <c r="U2212" i="3"/>
  <c r="U2213" i="3"/>
  <c r="U2214" i="3"/>
  <c r="U2215" i="3"/>
  <c r="U2216" i="3"/>
  <c r="U2217" i="3"/>
  <c r="U2218" i="3"/>
  <c r="U2219" i="3"/>
  <c r="U2220" i="3"/>
  <c r="U2221" i="3"/>
  <c r="U2222" i="3"/>
  <c r="U2223" i="3"/>
  <c r="U2224" i="3"/>
  <c r="U2225" i="3"/>
  <c r="U2226" i="3"/>
  <c r="U2227" i="3"/>
  <c r="U2228" i="3"/>
  <c r="U2229" i="3"/>
  <c r="U2230" i="3"/>
  <c r="U2231" i="3"/>
  <c r="U2232" i="3"/>
  <c r="U2233" i="3"/>
  <c r="U2234" i="3"/>
  <c r="U2235" i="3"/>
  <c r="U2236" i="3"/>
  <c r="U2237" i="3"/>
  <c r="U2238" i="3"/>
  <c r="U2239" i="3"/>
  <c r="U2240" i="3"/>
  <c r="U2241" i="3"/>
  <c r="U2242" i="3"/>
  <c r="U2243" i="3"/>
  <c r="U2244" i="3"/>
  <c r="U2245" i="3"/>
  <c r="U2246" i="3"/>
  <c r="U2247" i="3"/>
  <c r="U2248" i="3"/>
  <c r="U2249" i="3"/>
  <c r="U2250" i="3"/>
  <c r="U2251" i="3"/>
  <c r="U2252" i="3"/>
  <c r="U2253" i="3"/>
  <c r="U2254" i="3"/>
  <c r="U2255" i="3"/>
  <c r="U2256" i="3"/>
  <c r="U2257" i="3"/>
  <c r="U2258" i="3"/>
  <c r="U2259" i="3"/>
  <c r="U2260" i="3"/>
  <c r="U2261" i="3"/>
  <c r="U2262" i="3"/>
  <c r="U2263" i="3"/>
  <c r="U2264" i="3"/>
  <c r="U2265" i="3"/>
  <c r="U2266" i="3"/>
  <c r="U2267" i="3"/>
  <c r="U2268" i="3"/>
  <c r="U2269" i="3"/>
  <c r="U2270" i="3"/>
  <c r="U2271" i="3"/>
  <c r="U2272" i="3"/>
  <c r="U2273" i="3"/>
  <c r="U2274" i="3"/>
  <c r="U2275" i="3"/>
  <c r="U2276" i="3"/>
  <c r="U2277" i="3"/>
  <c r="U2278" i="3"/>
  <c r="U2279" i="3"/>
  <c r="U2280" i="3"/>
  <c r="U2281" i="3"/>
  <c r="U2282" i="3"/>
  <c r="U2283" i="3"/>
  <c r="U2284" i="3"/>
  <c r="U2285" i="3"/>
  <c r="U2286" i="3"/>
  <c r="U2287" i="3"/>
  <c r="U2288" i="3"/>
  <c r="U2289" i="3"/>
  <c r="U2290" i="3"/>
  <c r="U2291" i="3"/>
  <c r="U2292" i="3"/>
  <c r="U2293" i="3"/>
  <c r="U2294" i="3"/>
  <c r="U2295" i="3"/>
  <c r="U2296" i="3"/>
  <c r="U2297" i="3"/>
  <c r="U2298" i="3"/>
  <c r="U2299" i="3"/>
  <c r="U2300" i="3"/>
  <c r="U2301" i="3"/>
  <c r="U2302" i="3"/>
  <c r="U2303" i="3"/>
  <c r="U2304" i="3"/>
  <c r="U2305" i="3"/>
  <c r="U2306" i="3"/>
  <c r="U2307" i="3"/>
  <c r="U2308" i="3"/>
  <c r="U2309" i="3"/>
  <c r="U2310" i="3"/>
  <c r="U2311" i="3"/>
  <c r="U2312" i="3"/>
  <c r="U2313" i="3"/>
  <c r="U2314" i="3"/>
  <c r="U2315" i="3"/>
  <c r="U2316" i="3"/>
  <c r="U2317" i="3"/>
  <c r="U2318" i="3"/>
  <c r="U2319" i="3"/>
  <c r="U2320" i="3"/>
  <c r="U2321" i="3"/>
  <c r="U2322" i="3"/>
  <c r="U2323" i="3"/>
  <c r="U2324" i="3"/>
  <c r="U2325" i="3"/>
  <c r="U2326" i="3"/>
  <c r="U2327" i="3"/>
  <c r="U2328" i="3"/>
  <c r="U2329" i="3"/>
  <c r="U2330" i="3"/>
  <c r="U2331" i="3"/>
  <c r="U2332" i="3"/>
  <c r="U2333" i="3"/>
  <c r="U2334" i="3"/>
  <c r="U2335" i="3"/>
  <c r="U2336" i="3"/>
  <c r="U2337" i="3"/>
  <c r="U2338" i="3"/>
  <c r="U2339" i="3"/>
  <c r="U2340" i="3"/>
  <c r="U2341" i="3"/>
  <c r="U2342" i="3"/>
  <c r="U2343" i="3"/>
  <c r="U2344" i="3"/>
  <c r="U2345" i="3"/>
  <c r="U2346" i="3"/>
  <c r="U2347" i="3"/>
  <c r="U2348" i="3"/>
  <c r="U2349" i="3"/>
  <c r="U2350" i="3"/>
  <c r="U2351" i="3"/>
  <c r="U2352" i="3"/>
  <c r="U2353" i="3"/>
  <c r="U2354" i="3"/>
  <c r="U2355" i="3"/>
  <c r="U2356" i="3"/>
  <c r="U2357" i="3"/>
  <c r="U2358" i="3"/>
  <c r="U2359" i="3"/>
  <c r="U2360" i="3"/>
  <c r="U2361" i="3"/>
  <c r="U2362" i="3"/>
  <c r="U2363" i="3"/>
  <c r="U2364" i="3"/>
  <c r="U2365" i="3"/>
  <c r="U2366" i="3"/>
  <c r="U2367" i="3"/>
  <c r="U2368" i="3"/>
  <c r="U2369" i="3"/>
  <c r="U2370" i="3"/>
  <c r="U2371" i="3"/>
  <c r="U2372" i="3"/>
  <c r="U2373" i="3"/>
  <c r="U2374" i="3"/>
  <c r="U2375" i="3"/>
  <c r="U2376" i="3"/>
  <c r="U2377" i="3"/>
  <c r="U2378" i="3"/>
  <c r="U2379" i="3"/>
  <c r="U2380" i="3"/>
  <c r="U2381" i="3"/>
  <c r="U2382" i="3"/>
  <c r="U2383" i="3"/>
  <c r="U2384" i="3"/>
  <c r="U2385" i="3"/>
  <c r="U2386" i="3"/>
  <c r="U2387" i="3"/>
  <c r="U2388" i="3"/>
  <c r="U2389" i="3"/>
  <c r="U2390" i="3"/>
  <c r="U2391" i="3"/>
  <c r="U2392" i="3"/>
  <c r="U2393" i="3"/>
  <c r="U2394" i="3"/>
  <c r="U2395" i="3"/>
  <c r="U2396" i="3"/>
  <c r="U2397" i="3"/>
  <c r="U2398" i="3"/>
  <c r="U2399" i="3"/>
  <c r="U2400" i="3"/>
  <c r="U2401" i="3"/>
  <c r="U2402" i="3"/>
  <c r="U2403" i="3"/>
  <c r="U2404" i="3"/>
  <c r="U2405" i="3"/>
  <c r="U2406" i="3"/>
  <c r="U2407" i="3"/>
  <c r="U2408" i="3"/>
  <c r="U2409" i="3"/>
  <c r="U2410" i="3"/>
  <c r="U2411" i="3"/>
  <c r="U2412" i="3"/>
  <c r="U2413" i="3"/>
  <c r="U2414" i="3"/>
  <c r="U2415" i="3"/>
  <c r="U2416" i="3"/>
  <c r="U2417" i="3"/>
  <c r="U2418" i="3"/>
  <c r="U2419" i="3"/>
  <c r="U2420" i="3"/>
  <c r="U2421" i="3"/>
  <c r="U2422" i="3"/>
  <c r="U2423" i="3"/>
  <c r="U2424" i="3"/>
  <c r="U2425" i="3"/>
  <c r="U2426" i="3"/>
  <c r="U2427" i="3"/>
  <c r="U2428" i="3"/>
  <c r="U2429" i="3"/>
  <c r="U2430" i="3"/>
  <c r="U2431" i="3"/>
  <c r="U2432" i="3"/>
  <c r="U2433" i="3"/>
  <c r="U2434" i="3"/>
  <c r="U2435" i="3"/>
  <c r="U2436" i="3"/>
  <c r="U2437" i="3"/>
  <c r="U2438" i="3"/>
  <c r="U2439" i="3"/>
  <c r="U2440" i="3"/>
  <c r="U2441" i="3"/>
  <c r="U2442" i="3"/>
  <c r="U2443" i="3"/>
  <c r="U2444" i="3"/>
  <c r="U2445" i="3"/>
  <c r="U2446" i="3"/>
  <c r="U2447" i="3"/>
  <c r="U2448" i="3"/>
  <c r="U2449" i="3"/>
  <c r="U2450" i="3"/>
  <c r="U2451" i="3"/>
  <c r="U2452" i="3"/>
  <c r="U2453" i="3"/>
  <c r="U2454" i="3"/>
  <c r="U2455" i="3"/>
  <c r="U2456" i="3"/>
  <c r="U2457" i="3"/>
  <c r="U2458" i="3"/>
  <c r="U2459" i="3"/>
  <c r="U2460" i="3"/>
  <c r="U2461" i="3"/>
  <c r="U2462" i="3"/>
  <c r="U2463" i="3"/>
  <c r="U2464" i="3"/>
  <c r="U2465" i="3"/>
  <c r="U2466" i="3"/>
  <c r="U2467" i="3"/>
  <c r="U2468" i="3"/>
  <c r="U2469" i="3"/>
  <c r="U2470" i="3"/>
  <c r="U2471" i="3"/>
  <c r="U2472" i="3"/>
  <c r="U2473" i="3"/>
  <c r="U2474" i="3"/>
  <c r="U2475" i="3"/>
  <c r="U2476" i="3"/>
  <c r="U2477" i="3"/>
  <c r="U2478" i="3"/>
  <c r="U2479" i="3"/>
  <c r="U2480" i="3"/>
  <c r="U2481" i="3"/>
  <c r="U2482" i="3"/>
  <c r="U2483" i="3"/>
  <c r="U2484" i="3"/>
  <c r="U2485" i="3"/>
  <c r="U2486" i="3"/>
  <c r="U2487" i="3"/>
  <c r="U2488" i="3"/>
  <c r="U2489" i="3"/>
  <c r="U2490" i="3"/>
  <c r="U2491" i="3"/>
  <c r="U2492" i="3"/>
  <c r="U2493" i="3"/>
  <c r="U2494" i="3"/>
  <c r="U2495" i="3"/>
  <c r="U2496" i="3"/>
  <c r="U2497" i="3"/>
  <c r="U2498" i="3"/>
  <c r="U2499" i="3"/>
  <c r="U2500" i="3"/>
  <c r="U2501" i="3"/>
  <c r="U2502" i="3"/>
  <c r="U2503" i="3"/>
  <c r="U2504" i="3"/>
  <c r="U2505" i="3"/>
  <c r="U2506" i="3"/>
  <c r="U2507" i="3"/>
  <c r="U2508" i="3"/>
  <c r="U2509" i="3"/>
  <c r="U2510" i="3"/>
  <c r="U2511" i="3"/>
  <c r="U2512" i="3"/>
  <c r="U2513" i="3"/>
  <c r="U2514" i="3"/>
  <c r="U2515" i="3"/>
  <c r="U2516" i="3"/>
  <c r="U2517" i="3"/>
  <c r="U2518" i="3"/>
  <c r="U2519" i="3"/>
  <c r="U2520" i="3"/>
  <c r="U2521" i="3"/>
  <c r="U2522" i="3"/>
  <c r="U2523" i="3"/>
  <c r="U2524" i="3"/>
  <c r="U2525" i="3"/>
  <c r="U2526" i="3"/>
  <c r="U2527" i="3"/>
  <c r="U2528" i="3"/>
  <c r="U2529" i="3"/>
  <c r="U2530" i="3"/>
  <c r="U2531" i="3"/>
  <c r="U2532" i="3"/>
  <c r="U2533" i="3"/>
  <c r="U2534" i="3"/>
  <c r="U2535" i="3"/>
  <c r="U2536" i="3"/>
  <c r="U2537" i="3"/>
  <c r="U2538" i="3"/>
  <c r="U2539" i="3"/>
  <c r="U2540" i="3"/>
  <c r="U2541" i="3"/>
  <c r="U2542" i="3"/>
  <c r="U2543" i="3"/>
  <c r="U2544" i="3"/>
  <c r="U2545" i="3"/>
  <c r="U2546" i="3"/>
  <c r="U2547" i="3"/>
  <c r="U2548" i="3"/>
  <c r="U2549" i="3"/>
  <c r="U2550" i="3"/>
  <c r="U2551" i="3"/>
  <c r="U2552" i="3"/>
  <c r="U2553" i="3"/>
  <c r="U2554" i="3"/>
  <c r="U2555" i="3"/>
  <c r="U2556" i="3"/>
  <c r="U2557" i="3"/>
  <c r="U2558" i="3"/>
  <c r="U2559" i="3"/>
  <c r="U2560" i="3"/>
  <c r="U2561" i="3"/>
  <c r="U2562" i="3"/>
  <c r="U2563" i="3"/>
  <c r="U2564" i="3"/>
  <c r="U2565" i="3"/>
  <c r="U2566" i="3"/>
  <c r="U2567" i="3"/>
  <c r="U2568" i="3"/>
  <c r="U2569" i="3"/>
  <c r="U2570" i="3"/>
  <c r="U2571" i="3"/>
  <c r="U2572" i="3"/>
  <c r="U2573" i="3"/>
  <c r="U2574" i="3"/>
  <c r="U2575" i="3"/>
  <c r="U2576" i="3"/>
  <c r="U2577" i="3"/>
  <c r="U2578" i="3"/>
  <c r="U2579" i="3"/>
  <c r="U2580" i="3"/>
  <c r="U2581" i="3"/>
  <c r="U2582" i="3"/>
  <c r="U2583" i="3"/>
  <c r="U2584" i="3"/>
  <c r="U2585" i="3"/>
  <c r="U2586" i="3"/>
  <c r="U2587" i="3"/>
  <c r="U2588" i="3"/>
  <c r="U2589" i="3"/>
  <c r="U2590" i="3"/>
  <c r="U2591" i="3"/>
  <c r="U2592" i="3"/>
  <c r="U2593" i="3"/>
  <c r="U2594" i="3"/>
  <c r="U2595" i="3"/>
  <c r="U2596" i="3"/>
  <c r="U2597" i="3"/>
  <c r="U2598" i="3"/>
  <c r="U2599" i="3"/>
  <c r="U2600" i="3"/>
  <c r="U2601" i="3"/>
  <c r="U2602" i="3"/>
  <c r="U2603" i="3"/>
  <c r="U2604" i="3"/>
  <c r="U2605" i="3"/>
  <c r="U2606" i="3"/>
  <c r="U2607" i="3"/>
  <c r="U2608" i="3"/>
  <c r="U2609" i="3"/>
  <c r="U2610" i="3"/>
  <c r="U2611" i="3"/>
  <c r="U2612" i="3"/>
  <c r="U2613" i="3"/>
  <c r="U2614" i="3"/>
  <c r="U2615" i="3"/>
  <c r="U2616" i="3"/>
  <c r="U2617" i="3"/>
  <c r="U2618" i="3"/>
  <c r="U2619" i="3"/>
  <c r="U2620" i="3"/>
  <c r="U2621" i="3"/>
  <c r="U2622" i="3"/>
  <c r="U2623" i="3"/>
  <c r="U2624" i="3"/>
  <c r="U3" i="3"/>
  <c r="M4" i="3"/>
  <c r="M5" i="3"/>
  <c r="M6" i="3"/>
  <c r="M7" i="3"/>
  <c r="M8" i="3"/>
  <c r="M9" i="3"/>
  <c r="M10" i="3"/>
  <c r="M11" i="3"/>
  <c r="M12" i="3"/>
  <c r="M13" i="3"/>
  <c r="M14" i="3"/>
  <c r="M15" i="3"/>
  <c r="M16" i="3"/>
  <c r="M17" i="3"/>
  <c r="M18" i="3"/>
  <c r="M19" i="3"/>
  <c r="M20" i="3"/>
  <c r="M21" i="3"/>
  <c r="M22" i="3"/>
  <c r="M23" i="3"/>
  <c r="M24" i="3"/>
  <c r="M25" i="3"/>
  <c r="M26" i="3"/>
  <c r="M27" i="3"/>
  <c r="M28" i="3"/>
  <c r="M29" i="3"/>
  <c r="M30" i="3"/>
  <c r="M31" i="3"/>
  <c r="M32" i="3"/>
  <c r="M33" i="3"/>
  <c r="M34" i="3"/>
  <c r="M35" i="3"/>
  <c r="M36" i="3"/>
  <c r="M37" i="3"/>
  <c r="M38" i="3"/>
  <c r="M39" i="3"/>
  <c r="M40" i="3"/>
  <c r="M41" i="3"/>
  <c r="M42" i="3"/>
  <c r="M43" i="3"/>
  <c r="M44" i="3"/>
  <c r="M45" i="3"/>
  <c r="M46" i="3"/>
  <c r="M47" i="3"/>
  <c r="M48" i="3"/>
  <c r="M49" i="3"/>
  <c r="M50" i="3"/>
  <c r="M51" i="3"/>
  <c r="M52" i="3"/>
  <c r="M53" i="3"/>
  <c r="M54" i="3"/>
  <c r="M55" i="3"/>
  <c r="M56" i="3"/>
  <c r="M57" i="3"/>
  <c r="M58" i="3"/>
  <c r="M59" i="3"/>
  <c r="M60" i="3"/>
  <c r="M61" i="3"/>
  <c r="M62" i="3"/>
  <c r="M63" i="3"/>
  <c r="M64" i="3"/>
  <c r="M65" i="3"/>
  <c r="M66" i="3"/>
  <c r="M67" i="3"/>
  <c r="M68" i="3"/>
  <c r="M69" i="3"/>
  <c r="M70" i="3"/>
  <c r="M71" i="3"/>
  <c r="M72" i="3"/>
  <c r="M73" i="3"/>
  <c r="M74" i="3"/>
  <c r="M75" i="3"/>
  <c r="M76" i="3"/>
  <c r="M77" i="3"/>
  <c r="M78" i="3"/>
  <c r="M79" i="3"/>
  <c r="M80" i="3"/>
  <c r="M81" i="3"/>
  <c r="M82" i="3"/>
  <c r="M83" i="3"/>
  <c r="M84" i="3"/>
  <c r="M85" i="3"/>
  <c r="M86" i="3"/>
  <c r="M87" i="3"/>
  <c r="M88" i="3"/>
  <c r="M89" i="3"/>
  <c r="M90" i="3"/>
  <c r="M91" i="3"/>
  <c r="M92" i="3"/>
  <c r="M93" i="3"/>
  <c r="M94" i="3"/>
  <c r="M95" i="3"/>
  <c r="M96" i="3"/>
  <c r="M97" i="3"/>
  <c r="M98" i="3"/>
  <c r="M99" i="3"/>
  <c r="M100" i="3"/>
  <c r="M101" i="3"/>
  <c r="M102" i="3"/>
  <c r="M103" i="3"/>
  <c r="M104" i="3"/>
  <c r="M105" i="3"/>
  <c r="M106" i="3"/>
  <c r="M107" i="3"/>
  <c r="M108" i="3"/>
  <c r="M109" i="3"/>
  <c r="M110" i="3"/>
  <c r="M111" i="3"/>
  <c r="M112" i="3"/>
  <c r="M113" i="3"/>
  <c r="M114" i="3"/>
  <c r="M115" i="3"/>
  <c r="M116" i="3"/>
  <c r="M117" i="3"/>
  <c r="M118" i="3"/>
  <c r="M119" i="3"/>
  <c r="M120" i="3"/>
  <c r="M121" i="3"/>
  <c r="M122" i="3"/>
  <c r="M123" i="3"/>
  <c r="M124" i="3"/>
  <c r="M125" i="3"/>
  <c r="M126" i="3"/>
  <c r="M127" i="3"/>
  <c r="M128" i="3"/>
  <c r="M129" i="3"/>
  <c r="M130" i="3"/>
  <c r="M131" i="3"/>
  <c r="M132" i="3"/>
  <c r="M133" i="3"/>
  <c r="M134" i="3"/>
  <c r="M135" i="3"/>
  <c r="M136" i="3"/>
  <c r="M137" i="3"/>
  <c r="M138" i="3"/>
  <c r="M139" i="3"/>
  <c r="M140" i="3"/>
  <c r="M141" i="3"/>
  <c r="M142" i="3"/>
  <c r="M143" i="3"/>
  <c r="M144" i="3"/>
  <c r="M145" i="3"/>
  <c r="M146" i="3"/>
  <c r="M147" i="3"/>
  <c r="M148" i="3"/>
  <c r="M149" i="3"/>
  <c r="M150" i="3"/>
  <c r="M151" i="3"/>
  <c r="M152" i="3"/>
  <c r="M153" i="3"/>
  <c r="M154" i="3"/>
  <c r="M155" i="3"/>
  <c r="M156" i="3"/>
  <c r="M157" i="3"/>
  <c r="M158" i="3"/>
  <c r="M159" i="3"/>
  <c r="M160" i="3"/>
  <c r="M161" i="3"/>
  <c r="M162" i="3"/>
  <c r="M163" i="3"/>
  <c r="M164" i="3"/>
  <c r="M165" i="3"/>
  <c r="M166" i="3"/>
  <c r="M167" i="3"/>
  <c r="M168" i="3"/>
  <c r="M169" i="3"/>
  <c r="M170" i="3"/>
  <c r="M171" i="3"/>
  <c r="M172" i="3"/>
  <c r="M173" i="3"/>
  <c r="M174" i="3"/>
  <c r="M175" i="3"/>
  <c r="M176" i="3"/>
  <c r="M177" i="3"/>
  <c r="M178" i="3"/>
  <c r="M179" i="3"/>
  <c r="M180" i="3"/>
  <c r="M181" i="3"/>
  <c r="M182" i="3"/>
  <c r="M183" i="3"/>
  <c r="M184" i="3"/>
  <c r="M185" i="3"/>
  <c r="M186" i="3"/>
  <c r="M187" i="3"/>
  <c r="M188" i="3"/>
  <c r="M189" i="3"/>
  <c r="M190" i="3"/>
  <c r="M191" i="3"/>
  <c r="M192" i="3"/>
  <c r="M193" i="3"/>
  <c r="M194" i="3"/>
  <c r="M195" i="3"/>
  <c r="M196" i="3"/>
  <c r="M197" i="3"/>
  <c r="M198" i="3"/>
  <c r="M199" i="3"/>
  <c r="M200" i="3"/>
  <c r="M201" i="3"/>
  <c r="M202" i="3"/>
  <c r="M203" i="3"/>
  <c r="M204" i="3"/>
  <c r="M205" i="3"/>
  <c r="M206" i="3"/>
  <c r="M207" i="3"/>
  <c r="M208" i="3"/>
  <c r="M209" i="3"/>
  <c r="M210" i="3"/>
  <c r="M211" i="3"/>
  <c r="M212" i="3"/>
  <c r="M213" i="3"/>
  <c r="M214" i="3"/>
  <c r="M215" i="3"/>
  <c r="M216" i="3"/>
  <c r="M217" i="3"/>
  <c r="M218" i="3"/>
  <c r="M219" i="3"/>
  <c r="M220" i="3"/>
  <c r="M221" i="3"/>
  <c r="M222" i="3"/>
  <c r="M223" i="3"/>
  <c r="M224" i="3"/>
  <c r="M225" i="3"/>
  <c r="M226" i="3"/>
  <c r="M227" i="3"/>
  <c r="M228" i="3"/>
  <c r="M229" i="3"/>
  <c r="M230" i="3"/>
  <c r="M231" i="3"/>
  <c r="M232" i="3"/>
  <c r="M233" i="3"/>
  <c r="M234" i="3"/>
  <c r="M235" i="3"/>
  <c r="M236" i="3"/>
  <c r="M237" i="3"/>
  <c r="M238" i="3"/>
  <c r="M239" i="3"/>
  <c r="M240" i="3"/>
  <c r="M241" i="3"/>
  <c r="M242" i="3"/>
  <c r="M243" i="3"/>
  <c r="M244" i="3"/>
  <c r="M245" i="3"/>
  <c r="M246" i="3"/>
  <c r="M247" i="3"/>
  <c r="M248" i="3"/>
  <c r="M249" i="3"/>
  <c r="M250" i="3"/>
  <c r="M251" i="3"/>
  <c r="M252" i="3"/>
  <c r="M253" i="3"/>
  <c r="M254" i="3"/>
  <c r="M255" i="3"/>
  <c r="M256" i="3"/>
  <c r="M257" i="3"/>
  <c r="M258" i="3"/>
  <c r="M259" i="3"/>
  <c r="M260" i="3"/>
  <c r="M261" i="3"/>
  <c r="M262" i="3"/>
  <c r="M263" i="3"/>
  <c r="M264" i="3"/>
  <c r="M265" i="3"/>
  <c r="M266" i="3"/>
  <c r="M267" i="3"/>
  <c r="M268" i="3"/>
  <c r="M269" i="3"/>
  <c r="M270" i="3"/>
  <c r="M271" i="3"/>
  <c r="M272" i="3"/>
  <c r="M273" i="3"/>
  <c r="M274" i="3"/>
  <c r="M275" i="3"/>
  <c r="M276" i="3"/>
  <c r="M277" i="3"/>
  <c r="M278" i="3"/>
  <c r="M279" i="3"/>
  <c r="M280" i="3"/>
  <c r="M281" i="3"/>
  <c r="M282" i="3"/>
  <c r="M283" i="3"/>
  <c r="M284" i="3"/>
  <c r="M285" i="3"/>
  <c r="M286" i="3"/>
  <c r="M287" i="3"/>
  <c r="M288" i="3"/>
  <c r="M289" i="3"/>
  <c r="M290" i="3"/>
  <c r="M291" i="3"/>
  <c r="M292" i="3"/>
  <c r="M293" i="3"/>
  <c r="M294" i="3"/>
  <c r="M295" i="3"/>
  <c r="M296" i="3"/>
  <c r="M297" i="3"/>
  <c r="M298" i="3"/>
  <c r="M299" i="3"/>
  <c r="M300" i="3"/>
  <c r="M301" i="3"/>
  <c r="M302" i="3"/>
  <c r="M303" i="3"/>
  <c r="M304" i="3"/>
  <c r="M305" i="3"/>
  <c r="M306" i="3"/>
  <c r="M307" i="3"/>
  <c r="M308" i="3"/>
  <c r="M309" i="3"/>
  <c r="M310" i="3"/>
  <c r="M311" i="3"/>
  <c r="M312" i="3"/>
  <c r="M313" i="3"/>
  <c r="M314" i="3"/>
  <c r="M315" i="3"/>
  <c r="M316" i="3"/>
  <c r="M317" i="3"/>
  <c r="M318" i="3"/>
  <c r="M319" i="3"/>
  <c r="M320" i="3"/>
  <c r="M321" i="3"/>
  <c r="M322" i="3"/>
  <c r="M323" i="3"/>
  <c r="M324" i="3"/>
  <c r="M325" i="3"/>
  <c r="M326" i="3"/>
  <c r="M327" i="3"/>
  <c r="M328" i="3"/>
  <c r="M329" i="3"/>
  <c r="M330" i="3"/>
  <c r="M331" i="3"/>
  <c r="M332" i="3"/>
  <c r="M333" i="3"/>
  <c r="M334" i="3"/>
  <c r="M335" i="3"/>
  <c r="M336" i="3"/>
  <c r="M337" i="3"/>
  <c r="M338" i="3"/>
  <c r="M339" i="3"/>
  <c r="M340" i="3"/>
  <c r="M341" i="3"/>
  <c r="M342" i="3"/>
  <c r="M343" i="3"/>
  <c r="M344" i="3"/>
  <c r="M345" i="3"/>
  <c r="M346" i="3"/>
  <c r="M347" i="3"/>
  <c r="M348" i="3"/>
  <c r="M349" i="3"/>
  <c r="M350" i="3"/>
  <c r="M351" i="3"/>
  <c r="M352" i="3"/>
  <c r="M353" i="3"/>
  <c r="M354" i="3"/>
  <c r="M355" i="3"/>
  <c r="M356" i="3"/>
  <c r="M357" i="3"/>
  <c r="M358" i="3"/>
  <c r="M359" i="3"/>
  <c r="M360" i="3"/>
  <c r="M361" i="3"/>
  <c r="M362" i="3"/>
  <c r="M363" i="3"/>
  <c r="M364" i="3"/>
  <c r="M365" i="3"/>
  <c r="M366" i="3"/>
  <c r="M367" i="3"/>
  <c r="M368" i="3"/>
  <c r="M369" i="3"/>
  <c r="M370" i="3"/>
  <c r="M371" i="3"/>
  <c r="M372" i="3"/>
  <c r="M373" i="3"/>
  <c r="M374" i="3"/>
  <c r="M375" i="3"/>
  <c r="M376" i="3"/>
  <c r="M377" i="3"/>
  <c r="M378" i="3"/>
  <c r="M379" i="3"/>
  <c r="M380" i="3"/>
  <c r="M381" i="3"/>
  <c r="M382" i="3"/>
  <c r="M383" i="3"/>
  <c r="M384" i="3"/>
  <c r="M385" i="3"/>
  <c r="M386" i="3"/>
  <c r="M387" i="3"/>
  <c r="M388" i="3"/>
  <c r="M389" i="3"/>
  <c r="M390" i="3"/>
  <c r="M391" i="3"/>
  <c r="M392" i="3"/>
  <c r="M393" i="3"/>
  <c r="M394" i="3"/>
  <c r="M395" i="3"/>
  <c r="M396" i="3"/>
  <c r="M397" i="3"/>
  <c r="M398" i="3"/>
  <c r="M399" i="3"/>
  <c r="M400" i="3"/>
  <c r="M401" i="3"/>
  <c r="M402" i="3"/>
  <c r="M403" i="3"/>
  <c r="M404" i="3"/>
  <c r="M405" i="3"/>
  <c r="M406" i="3"/>
  <c r="M407" i="3"/>
  <c r="M408" i="3"/>
  <c r="M409" i="3"/>
  <c r="M410" i="3"/>
  <c r="M411" i="3"/>
  <c r="M412" i="3"/>
  <c r="M413" i="3"/>
  <c r="M414" i="3"/>
  <c r="M415" i="3"/>
  <c r="M416" i="3"/>
  <c r="M417" i="3"/>
  <c r="M418" i="3"/>
  <c r="M419" i="3"/>
  <c r="M420" i="3"/>
  <c r="M421" i="3"/>
  <c r="M422" i="3"/>
  <c r="M423" i="3"/>
  <c r="M424" i="3"/>
  <c r="M425" i="3"/>
  <c r="M426" i="3"/>
  <c r="M427" i="3"/>
  <c r="M428" i="3"/>
  <c r="M429" i="3"/>
  <c r="M430" i="3"/>
  <c r="M431" i="3"/>
  <c r="M432" i="3"/>
  <c r="M433" i="3"/>
  <c r="M434" i="3"/>
  <c r="M435" i="3"/>
  <c r="M436" i="3"/>
  <c r="M437" i="3"/>
  <c r="M438" i="3"/>
  <c r="M439" i="3"/>
  <c r="M440" i="3"/>
  <c r="M441" i="3"/>
  <c r="M442" i="3"/>
  <c r="M443" i="3"/>
  <c r="M444" i="3"/>
  <c r="M445" i="3"/>
  <c r="M446" i="3"/>
  <c r="M447" i="3"/>
  <c r="M448" i="3"/>
  <c r="M449" i="3"/>
  <c r="M450" i="3"/>
  <c r="M451" i="3"/>
  <c r="M452" i="3"/>
  <c r="M453" i="3"/>
  <c r="M454" i="3"/>
  <c r="M455" i="3"/>
  <c r="M456" i="3"/>
  <c r="M457" i="3"/>
  <c r="M458" i="3"/>
  <c r="M459" i="3"/>
  <c r="M460" i="3"/>
  <c r="M461" i="3"/>
  <c r="M462" i="3"/>
  <c r="M463" i="3"/>
  <c r="M464" i="3"/>
  <c r="M465" i="3"/>
  <c r="M466" i="3"/>
  <c r="M467" i="3"/>
  <c r="M468" i="3"/>
  <c r="M469" i="3"/>
  <c r="M470" i="3"/>
  <c r="M471" i="3"/>
  <c r="M472" i="3"/>
  <c r="M473" i="3"/>
  <c r="M474" i="3"/>
  <c r="M475" i="3"/>
  <c r="M476" i="3"/>
  <c r="M477" i="3"/>
  <c r="M478" i="3"/>
  <c r="M479" i="3"/>
  <c r="M480" i="3"/>
  <c r="M481" i="3"/>
  <c r="M482" i="3"/>
  <c r="M483" i="3"/>
  <c r="M484" i="3"/>
  <c r="M485" i="3"/>
  <c r="M486" i="3"/>
  <c r="M487" i="3"/>
  <c r="M488" i="3"/>
  <c r="M489" i="3"/>
  <c r="M490" i="3"/>
  <c r="M491" i="3"/>
  <c r="M492" i="3"/>
  <c r="M493" i="3"/>
  <c r="M494" i="3"/>
  <c r="M495" i="3"/>
  <c r="M496" i="3"/>
  <c r="M497" i="3"/>
  <c r="M498" i="3"/>
  <c r="M499" i="3"/>
  <c r="M500" i="3"/>
  <c r="M501" i="3"/>
  <c r="M502" i="3"/>
  <c r="M503" i="3"/>
  <c r="M504" i="3"/>
  <c r="M505" i="3"/>
  <c r="M506" i="3"/>
  <c r="M507" i="3"/>
  <c r="M508" i="3"/>
  <c r="M509" i="3"/>
  <c r="M510" i="3"/>
  <c r="M511" i="3"/>
  <c r="M512" i="3"/>
  <c r="M513" i="3"/>
  <c r="M514" i="3"/>
  <c r="M515" i="3"/>
  <c r="M516" i="3"/>
  <c r="M517" i="3"/>
  <c r="M518" i="3"/>
  <c r="M519" i="3"/>
  <c r="M520" i="3"/>
  <c r="M521" i="3"/>
  <c r="M522" i="3"/>
  <c r="M523" i="3"/>
  <c r="M524" i="3"/>
  <c r="M525" i="3"/>
  <c r="M526" i="3"/>
  <c r="M527" i="3"/>
  <c r="M528" i="3"/>
  <c r="M529" i="3"/>
  <c r="M530" i="3"/>
  <c r="M531" i="3"/>
  <c r="M532" i="3"/>
  <c r="M533" i="3"/>
  <c r="M534" i="3"/>
  <c r="M535" i="3"/>
  <c r="M536" i="3"/>
  <c r="M537" i="3"/>
  <c r="M538" i="3"/>
  <c r="M539" i="3"/>
  <c r="M540" i="3"/>
  <c r="M541" i="3"/>
  <c r="M542" i="3"/>
  <c r="M543" i="3"/>
  <c r="M544" i="3"/>
  <c r="M545" i="3"/>
  <c r="M546" i="3"/>
  <c r="M547" i="3"/>
  <c r="M548" i="3"/>
  <c r="M549" i="3"/>
  <c r="M550" i="3"/>
  <c r="M551" i="3"/>
  <c r="M552" i="3"/>
  <c r="M553" i="3"/>
  <c r="M554" i="3"/>
  <c r="M555" i="3"/>
  <c r="M556" i="3"/>
  <c r="M557" i="3"/>
  <c r="M558" i="3"/>
  <c r="M559" i="3"/>
  <c r="M560" i="3"/>
  <c r="M561" i="3"/>
  <c r="M562" i="3"/>
  <c r="M563" i="3"/>
  <c r="M564" i="3"/>
  <c r="M565" i="3"/>
  <c r="M566" i="3"/>
  <c r="M567" i="3"/>
  <c r="M568" i="3"/>
  <c r="M569" i="3"/>
  <c r="M570" i="3"/>
  <c r="M571" i="3"/>
  <c r="M572" i="3"/>
  <c r="M573" i="3"/>
  <c r="M574" i="3"/>
  <c r="M575" i="3"/>
  <c r="M576" i="3"/>
  <c r="M577" i="3"/>
  <c r="M578" i="3"/>
  <c r="M579" i="3"/>
  <c r="M580" i="3"/>
  <c r="M581" i="3"/>
  <c r="M582" i="3"/>
  <c r="M583" i="3"/>
  <c r="M584" i="3"/>
  <c r="M585" i="3"/>
  <c r="M586" i="3"/>
  <c r="M587" i="3"/>
  <c r="M588" i="3"/>
  <c r="M589" i="3"/>
  <c r="M590" i="3"/>
  <c r="M591" i="3"/>
  <c r="M592" i="3"/>
  <c r="M593" i="3"/>
  <c r="M594" i="3"/>
  <c r="M595" i="3"/>
  <c r="M596" i="3"/>
  <c r="M597" i="3"/>
  <c r="M598" i="3"/>
  <c r="M599" i="3"/>
  <c r="M600" i="3"/>
  <c r="M601" i="3"/>
  <c r="M602" i="3"/>
  <c r="M603" i="3"/>
  <c r="M604" i="3"/>
  <c r="M605" i="3"/>
  <c r="M606" i="3"/>
  <c r="M607" i="3"/>
  <c r="M608" i="3"/>
  <c r="M609" i="3"/>
  <c r="M610" i="3"/>
  <c r="M611" i="3"/>
  <c r="M612" i="3"/>
  <c r="M613" i="3"/>
  <c r="M614" i="3"/>
  <c r="M615" i="3"/>
  <c r="M616" i="3"/>
  <c r="M617" i="3"/>
  <c r="M618" i="3"/>
  <c r="M619" i="3"/>
  <c r="M620" i="3"/>
  <c r="M621" i="3"/>
  <c r="M622" i="3"/>
  <c r="M623" i="3"/>
  <c r="M624" i="3"/>
  <c r="M625" i="3"/>
  <c r="M626" i="3"/>
  <c r="M627" i="3"/>
  <c r="M628" i="3"/>
  <c r="M629" i="3"/>
  <c r="M630" i="3"/>
  <c r="M631" i="3"/>
  <c r="M632" i="3"/>
  <c r="M633" i="3"/>
  <c r="M634" i="3"/>
  <c r="M635" i="3"/>
  <c r="M636" i="3"/>
  <c r="M637" i="3"/>
  <c r="M638" i="3"/>
  <c r="M639" i="3"/>
  <c r="M640" i="3"/>
  <c r="M641" i="3"/>
  <c r="M642" i="3"/>
  <c r="M643" i="3"/>
  <c r="M644" i="3"/>
  <c r="M645" i="3"/>
  <c r="M646" i="3"/>
  <c r="M647" i="3"/>
  <c r="M648" i="3"/>
  <c r="M649" i="3"/>
  <c r="M650" i="3"/>
  <c r="M651" i="3"/>
  <c r="M652" i="3"/>
  <c r="M653" i="3"/>
  <c r="M654" i="3"/>
  <c r="M655" i="3"/>
  <c r="M656" i="3"/>
  <c r="M657" i="3"/>
  <c r="M658" i="3"/>
  <c r="M659" i="3"/>
  <c r="M660" i="3"/>
  <c r="M661" i="3"/>
  <c r="M662" i="3"/>
  <c r="M663" i="3"/>
  <c r="M664" i="3"/>
  <c r="M665" i="3"/>
  <c r="M666" i="3"/>
  <c r="M667" i="3"/>
  <c r="M668" i="3"/>
  <c r="M669" i="3"/>
  <c r="M670" i="3"/>
  <c r="M671" i="3"/>
  <c r="M672" i="3"/>
  <c r="M673" i="3"/>
  <c r="M674" i="3"/>
  <c r="M675" i="3"/>
  <c r="M676" i="3"/>
  <c r="M677" i="3"/>
  <c r="M678" i="3"/>
  <c r="M679" i="3"/>
  <c r="M680" i="3"/>
  <c r="M681" i="3"/>
  <c r="M682" i="3"/>
  <c r="M683" i="3"/>
  <c r="M684" i="3"/>
  <c r="M685" i="3"/>
  <c r="M686" i="3"/>
  <c r="M687" i="3"/>
  <c r="M688" i="3"/>
  <c r="M689" i="3"/>
  <c r="M690" i="3"/>
  <c r="M691" i="3"/>
  <c r="M692" i="3"/>
  <c r="M693" i="3"/>
  <c r="M694" i="3"/>
  <c r="M695" i="3"/>
  <c r="M696" i="3"/>
  <c r="M697" i="3"/>
  <c r="M698" i="3"/>
  <c r="M699" i="3"/>
  <c r="M700" i="3"/>
  <c r="M701" i="3"/>
  <c r="M702" i="3"/>
  <c r="M703" i="3"/>
  <c r="M704" i="3"/>
  <c r="M705" i="3"/>
  <c r="M706" i="3"/>
  <c r="M707" i="3"/>
  <c r="M708" i="3"/>
  <c r="M709" i="3"/>
  <c r="M710" i="3"/>
  <c r="M711" i="3"/>
  <c r="M712" i="3"/>
  <c r="M713" i="3"/>
  <c r="M714" i="3"/>
  <c r="M715" i="3"/>
  <c r="M716" i="3"/>
  <c r="M717" i="3"/>
  <c r="M718" i="3"/>
  <c r="M719" i="3"/>
  <c r="M720" i="3"/>
  <c r="M721" i="3"/>
  <c r="M722" i="3"/>
  <c r="M723" i="3"/>
  <c r="M724" i="3"/>
  <c r="M725" i="3"/>
  <c r="M726" i="3"/>
  <c r="M727" i="3"/>
  <c r="M728" i="3"/>
  <c r="M729" i="3"/>
  <c r="M730" i="3"/>
  <c r="M731" i="3"/>
  <c r="M732" i="3"/>
  <c r="M733" i="3"/>
  <c r="M734" i="3"/>
  <c r="M735" i="3"/>
  <c r="M736" i="3"/>
  <c r="M737" i="3"/>
  <c r="M738" i="3"/>
  <c r="M739" i="3"/>
  <c r="M740" i="3"/>
  <c r="M741" i="3"/>
  <c r="M742" i="3"/>
  <c r="M743" i="3"/>
  <c r="M744" i="3"/>
  <c r="M745" i="3"/>
  <c r="M746" i="3"/>
  <c r="M747" i="3"/>
  <c r="M748" i="3"/>
  <c r="M749" i="3"/>
  <c r="M750" i="3"/>
  <c r="M751" i="3"/>
  <c r="M752" i="3"/>
  <c r="M753" i="3"/>
  <c r="M754" i="3"/>
  <c r="M755" i="3"/>
  <c r="M756" i="3"/>
  <c r="M757" i="3"/>
  <c r="M758" i="3"/>
  <c r="M759" i="3"/>
  <c r="M760" i="3"/>
  <c r="M761" i="3"/>
  <c r="M762" i="3"/>
  <c r="M763" i="3"/>
  <c r="M764" i="3"/>
  <c r="M765" i="3"/>
  <c r="M766" i="3"/>
  <c r="M767" i="3"/>
  <c r="M768" i="3"/>
  <c r="M769" i="3"/>
  <c r="M770" i="3"/>
  <c r="M771" i="3"/>
  <c r="M772" i="3"/>
  <c r="M773" i="3"/>
  <c r="M774" i="3"/>
  <c r="M775" i="3"/>
  <c r="M776" i="3"/>
  <c r="M777" i="3"/>
  <c r="M778" i="3"/>
  <c r="M779" i="3"/>
  <c r="M780" i="3"/>
  <c r="M781" i="3"/>
  <c r="M782" i="3"/>
  <c r="M783" i="3"/>
  <c r="M784" i="3"/>
  <c r="M785" i="3"/>
  <c r="M786" i="3"/>
  <c r="M787" i="3"/>
  <c r="M788" i="3"/>
  <c r="M789" i="3"/>
  <c r="M790" i="3"/>
  <c r="M791" i="3"/>
  <c r="M792" i="3"/>
  <c r="M793" i="3"/>
  <c r="M794" i="3"/>
  <c r="M795" i="3"/>
  <c r="M796" i="3"/>
  <c r="M797" i="3"/>
  <c r="M798" i="3"/>
  <c r="M799" i="3"/>
  <c r="M800" i="3"/>
  <c r="M801" i="3"/>
  <c r="M802" i="3"/>
  <c r="M803" i="3"/>
  <c r="M804" i="3"/>
  <c r="M805" i="3"/>
  <c r="M806" i="3"/>
  <c r="M807" i="3"/>
  <c r="M808" i="3"/>
  <c r="M809" i="3"/>
  <c r="M810" i="3"/>
  <c r="M811" i="3"/>
  <c r="M812" i="3"/>
  <c r="M813" i="3"/>
  <c r="M814" i="3"/>
  <c r="M815" i="3"/>
  <c r="M816" i="3"/>
  <c r="M817" i="3"/>
  <c r="M818" i="3"/>
  <c r="M819" i="3"/>
  <c r="M820" i="3"/>
  <c r="M821" i="3"/>
  <c r="M822" i="3"/>
  <c r="M823" i="3"/>
  <c r="M824" i="3"/>
  <c r="M825" i="3"/>
  <c r="M826" i="3"/>
  <c r="M827" i="3"/>
  <c r="M828" i="3"/>
  <c r="M829" i="3"/>
  <c r="M830" i="3"/>
  <c r="M831" i="3"/>
  <c r="M832" i="3"/>
  <c r="M833" i="3"/>
  <c r="M834" i="3"/>
  <c r="M835" i="3"/>
  <c r="M836" i="3"/>
  <c r="M837" i="3"/>
  <c r="M838" i="3"/>
  <c r="M839" i="3"/>
  <c r="M840" i="3"/>
  <c r="M841" i="3"/>
  <c r="M842" i="3"/>
  <c r="M843" i="3"/>
  <c r="M844" i="3"/>
  <c r="M845" i="3"/>
  <c r="M846" i="3"/>
  <c r="M847" i="3"/>
  <c r="M848" i="3"/>
  <c r="M849" i="3"/>
  <c r="M850" i="3"/>
  <c r="M851" i="3"/>
  <c r="M852" i="3"/>
  <c r="M853" i="3"/>
  <c r="M854" i="3"/>
  <c r="M855" i="3"/>
  <c r="M856" i="3"/>
  <c r="M857" i="3"/>
  <c r="M858" i="3"/>
  <c r="M859" i="3"/>
  <c r="M860" i="3"/>
  <c r="M861" i="3"/>
  <c r="M862" i="3"/>
  <c r="M863" i="3"/>
  <c r="M864" i="3"/>
  <c r="M865" i="3"/>
  <c r="M866" i="3"/>
  <c r="M867" i="3"/>
  <c r="M868" i="3"/>
  <c r="M869" i="3"/>
  <c r="M870" i="3"/>
  <c r="M871" i="3"/>
  <c r="M872" i="3"/>
  <c r="M873" i="3"/>
  <c r="M874" i="3"/>
  <c r="M875" i="3"/>
  <c r="M876" i="3"/>
  <c r="M877" i="3"/>
  <c r="M878" i="3"/>
  <c r="M879" i="3"/>
  <c r="M880" i="3"/>
  <c r="M881" i="3"/>
  <c r="M882" i="3"/>
  <c r="M883" i="3"/>
  <c r="M884" i="3"/>
  <c r="M885" i="3"/>
  <c r="M886" i="3"/>
  <c r="M887" i="3"/>
  <c r="M888" i="3"/>
  <c r="M889" i="3"/>
  <c r="M890" i="3"/>
  <c r="M891" i="3"/>
  <c r="M892" i="3"/>
  <c r="M893" i="3"/>
  <c r="M894" i="3"/>
  <c r="M895" i="3"/>
  <c r="M896" i="3"/>
  <c r="M897" i="3"/>
  <c r="M898" i="3"/>
  <c r="M899" i="3"/>
  <c r="M900" i="3"/>
  <c r="M901" i="3"/>
  <c r="M902" i="3"/>
  <c r="M903" i="3"/>
  <c r="M904" i="3"/>
  <c r="M905" i="3"/>
  <c r="M906" i="3"/>
  <c r="M907" i="3"/>
  <c r="M908" i="3"/>
  <c r="M909" i="3"/>
  <c r="M910" i="3"/>
  <c r="M911" i="3"/>
  <c r="M912" i="3"/>
  <c r="M913" i="3"/>
  <c r="M914" i="3"/>
  <c r="M915" i="3"/>
  <c r="M916" i="3"/>
  <c r="M917" i="3"/>
  <c r="M918" i="3"/>
  <c r="M919" i="3"/>
  <c r="M920" i="3"/>
  <c r="M921" i="3"/>
  <c r="M922" i="3"/>
  <c r="M923" i="3"/>
  <c r="M924" i="3"/>
  <c r="M925" i="3"/>
  <c r="M926" i="3"/>
  <c r="M927" i="3"/>
  <c r="M928" i="3"/>
  <c r="M929" i="3"/>
  <c r="M930" i="3"/>
  <c r="M931" i="3"/>
  <c r="M932" i="3"/>
  <c r="M933" i="3"/>
  <c r="M934" i="3"/>
  <c r="M935" i="3"/>
  <c r="M936" i="3"/>
  <c r="M937" i="3"/>
  <c r="M938" i="3"/>
  <c r="M939" i="3"/>
  <c r="M940" i="3"/>
  <c r="M941" i="3"/>
  <c r="M942" i="3"/>
  <c r="M943" i="3"/>
  <c r="M944" i="3"/>
  <c r="M945" i="3"/>
  <c r="M946" i="3"/>
  <c r="M947" i="3"/>
  <c r="M948" i="3"/>
  <c r="M949" i="3"/>
  <c r="M950" i="3"/>
  <c r="M951" i="3"/>
  <c r="M952" i="3"/>
  <c r="M953" i="3"/>
  <c r="M954" i="3"/>
  <c r="M955" i="3"/>
  <c r="M956" i="3"/>
  <c r="M957" i="3"/>
  <c r="M958" i="3"/>
  <c r="M959" i="3"/>
  <c r="M960" i="3"/>
  <c r="M961" i="3"/>
  <c r="M962" i="3"/>
  <c r="M963" i="3"/>
  <c r="M964" i="3"/>
  <c r="M965" i="3"/>
  <c r="M966" i="3"/>
  <c r="M967" i="3"/>
  <c r="M968" i="3"/>
  <c r="M969" i="3"/>
  <c r="M970" i="3"/>
  <c r="M971" i="3"/>
  <c r="M972" i="3"/>
  <c r="M973" i="3"/>
  <c r="M974" i="3"/>
  <c r="M975" i="3"/>
  <c r="M976" i="3"/>
  <c r="M977" i="3"/>
  <c r="M978" i="3"/>
  <c r="M979" i="3"/>
  <c r="M980" i="3"/>
  <c r="M981" i="3"/>
  <c r="M982" i="3"/>
  <c r="M983" i="3"/>
  <c r="M984" i="3"/>
  <c r="M985" i="3"/>
  <c r="M986" i="3"/>
  <c r="M987" i="3"/>
  <c r="M988" i="3"/>
  <c r="M989" i="3"/>
  <c r="M990" i="3"/>
  <c r="M991" i="3"/>
  <c r="M992" i="3"/>
  <c r="M993" i="3"/>
  <c r="M994" i="3"/>
  <c r="M995" i="3"/>
  <c r="M996" i="3"/>
  <c r="M997" i="3"/>
  <c r="M998" i="3"/>
  <c r="M999" i="3"/>
  <c r="M1000" i="3"/>
  <c r="M1001" i="3"/>
  <c r="M1002" i="3"/>
  <c r="M1003" i="3"/>
  <c r="M1004" i="3"/>
  <c r="M1005" i="3"/>
  <c r="M1006" i="3"/>
  <c r="M1007" i="3"/>
  <c r="M1008" i="3"/>
  <c r="M1009" i="3"/>
  <c r="M1010" i="3"/>
  <c r="M1011" i="3"/>
  <c r="M1012" i="3"/>
  <c r="M1013" i="3"/>
  <c r="M1014" i="3"/>
  <c r="M1015" i="3"/>
  <c r="M1016" i="3"/>
  <c r="M1017" i="3"/>
  <c r="M1018" i="3"/>
  <c r="M1019" i="3"/>
  <c r="M1020" i="3"/>
  <c r="M1021" i="3"/>
  <c r="M1022" i="3"/>
  <c r="M1023" i="3"/>
  <c r="M1024" i="3"/>
  <c r="M1025" i="3"/>
  <c r="M1026" i="3"/>
  <c r="M1027" i="3"/>
  <c r="M1028" i="3"/>
  <c r="M1029" i="3"/>
  <c r="M1030" i="3"/>
  <c r="M1031" i="3"/>
  <c r="M1032" i="3"/>
  <c r="M1033" i="3"/>
  <c r="M1034" i="3"/>
  <c r="M1035" i="3"/>
  <c r="M1036" i="3"/>
  <c r="M1037" i="3"/>
  <c r="M1038" i="3"/>
  <c r="M1039" i="3"/>
  <c r="M1040" i="3"/>
  <c r="M1041" i="3"/>
  <c r="M1042" i="3"/>
  <c r="M1043" i="3"/>
  <c r="M1044" i="3"/>
  <c r="M1045" i="3"/>
  <c r="M1046" i="3"/>
  <c r="M1047" i="3"/>
  <c r="M1048" i="3"/>
  <c r="M1049" i="3"/>
  <c r="M1050" i="3"/>
  <c r="M1051" i="3"/>
  <c r="M1052" i="3"/>
  <c r="M1053" i="3"/>
  <c r="M1054" i="3"/>
  <c r="M1055" i="3"/>
  <c r="M1056" i="3"/>
  <c r="M1057" i="3"/>
  <c r="M1058" i="3"/>
  <c r="M1059" i="3"/>
  <c r="M1060" i="3"/>
  <c r="M1061" i="3"/>
  <c r="M1062" i="3"/>
  <c r="M1063" i="3"/>
  <c r="M1064" i="3"/>
  <c r="M1065" i="3"/>
  <c r="M1066" i="3"/>
  <c r="M1067" i="3"/>
  <c r="M1068" i="3"/>
  <c r="M1069" i="3"/>
  <c r="M1070" i="3"/>
  <c r="M1071" i="3"/>
  <c r="M1072" i="3"/>
  <c r="M1073" i="3"/>
  <c r="M1074" i="3"/>
  <c r="M1075" i="3"/>
  <c r="M1076" i="3"/>
  <c r="M1077" i="3"/>
  <c r="M1078" i="3"/>
  <c r="M1079" i="3"/>
  <c r="M1080" i="3"/>
  <c r="M1081" i="3"/>
  <c r="M1082" i="3"/>
  <c r="M1083" i="3"/>
  <c r="M1084" i="3"/>
  <c r="M1085" i="3"/>
  <c r="M1086" i="3"/>
  <c r="M1087" i="3"/>
  <c r="M1088" i="3"/>
  <c r="M1089" i="3"/>
  <c r="M1090" i="3"/>
  <c r="M1091" i="3"/>
  <c r="M1092" i="3"/>
  <c r="M1093" i="3"/>
  <c r="M1094" i="3"/>
  <c r="M1095" i="3"/>
  <c r="M1096" i="3"/>
  <c r="M1097" i="3"/>
  <c r="M1098" i="3"/>
  <c r="M1099" i="3"/>
  <c r="M1100" i="3"/>
  <c r="M1101" i="3"/>
  <c r="M1102" i="3"/>
  <c r="M1103" i="3"/>
  <c r="M1104" i="3"/>
  <c r="M1105" i="3"/>
  <c r="M1106" i="3"/>
  <c r="M1107" i="3"/>
  <c r="M1108" i="3"/>
  <c r="M1109" i="3"/>
  <c r="M1110" i="3"/>
  <c r="M1111" i="3"/>
  <c r="M1112" i="3"/>
  <c r="M1113" i="3"/>
  <c r="M1114" i="3"/>
  <c r="M1115" i="3"/>
  <c r="M1116" i="3"/>
  <c r="M1117" i="3"/>
  <c r="M1118" i="3"/>
  <c r="M1119" i="3"/>
  <c r="M1120" i="3"/>
  <c r="M1121" i="3"/>
  <c r="M1122" i="3"/>
  <c r="M1123" i="3"/>
  <c r="M1124" i="3"/>
  <c r="M1125" i="3"/>
  <c r="M1126" i="3"/>
  <c r="M1127" i="3"/>
  <c r="M1128" i="3"/>
  <c r="M1129" i="3"/>
  <c r="M1130" i="3"/>
  <c r="M1131" i="3"/>
  <c r="M1132" i="3"/>
  <c r="M1133" i="3"/>
  <c r="M1134" i="3"/>
  <c r="M1135" i="3"/>
  <c r="M1136" i="3"/>
  <c r="M1137" i="3"/>
  <c r="M1138" i="3"/>
  <c r="M1139" i="3"/>
  <c r="M1140" i="3"/>
  <c r="M1141" i="3"/>
  <c r="M1142" i="3"/>
  <c r="M1143" i="3"/>
  <c r="M1144" i="3"/>
  <c r="M1145" i="3"/>
  <c r="M1146" i="3"/>
  <c r="M1147" i="3"/>
  <c r="M1148" i="3"/>
  <c r="M1149" i="3"/>
  <c r="M1150" i="3"/>
  <c r="M1151" i="3"/>
  <c r="M1152" i="3"/>
  <c r="M1153" i="3"/>
  <c r="M1154" i="3"/>
  <c r="M1155" i="3"/>
  <c r="M1156" i="3"/>
  <c r="M1157" i="3"/>
  <c r="M1158" i="3"/>
  <c r="M1159" i="3"/>
  <c r="M1160" i="3"/>
  <c r="M1161" i="3"/>
  <c r="M1162" i="3"/>
  <c r="M1163" i="3"/>
  <c r="M1164" i="3"/>
  <c r="M1165" i="3"/>
  <c r="M1166" i="3"/>
  <c r="M1167" i="3"/>
  <c r="M1168" i="3"/>
  <c r="M1169" i="3"/>
  <c r="M1170" i="3"/>
  <c r="M1171" i="3"/>
  <c r="M1172" i="3"/>
  <c r="M1173" i="3"/>
  <c r="M1174" i="3"/>
  <c r="M1175" i="3"/>
  <c r="M1176" i="3"/>
  <c r="M1177" i="3"/>
  <c r="M1178" i="3"/>
  <c r="M1179" i="3"/>
  <c r="M1180" i="3"/>
  <c r="M1181" i="3"/>
  <c r="M1182" i="3"/>
  <c r="M1183" i="3"/>
  <c r="M1184" i="3"/>
  <c r="M1185" i="3"/>
  <c r="M1186" i="3"/>
  <c r="M1187" i="3"/>
  <c r="M1188" i="3"/>
  <c r="M1189" i="3"/>
  <c r="M1190" i="3"/>
  <c r="M1191" i="3"/>
  <c r="M1192" i="3"/>
  <c r="M1193" i="3"/>
  <c r="M1194" i="3"/>
  <c r="M1195" i="3"/>
  <c r="M1196" i="3"/>
  <c r="M1197" i="3"/>
  <c r="M1198" i="3"/>
  <c r="M1199" i="3"/>
  <c r="M1200" i="3"/>
  <c r="M1201" i="3"/>
  <c r="M1202" i="3"/>
  <c r="M1203" i="3"/>
  <c r="M1204" i="3"/>
  <c r="M1205" i="3"/>
  <c r="M1206" i="3"/>
  <c r="M1207" i="3"/>
  <c r="M1208" i="3"/>
  <c r="M1209" i="3"/>
  <c r="M1210" i="3"/>
  <c r="M1211" i="3"/>
  <c r="M1212" i="3"/>
  <c r="M1213" i="3"/>
  <c r="M1214" i="3"/>
  <c r="M1215" i="3"/>
  <c r="M1216" i="3"/>
  <c r="M1217" i="3"/>
  <c r="M1218" i="3"/>
  <c r="M1219" i="3"/>
  <c r="M1220" i="3"/>
  <c r="M1221" i="3"/>
  <c r="M1222" i="3"/>
  <c r="M1223" i="3"/>
  <c r="M1224" i="3"/>
  <c r="M1225" i="3"/>
  <c r="M1226" i="3"/>
  <c r="M1227" i="3"/>
  <c r="M1228" i="3"/>
  <c r="M1229" i="3"/>
  <c r="M1230" i="3"/>
  <c r="M1231" i="3"/>
  <c r="M1232" i="3"/>
  <c r="M1233" i="3"/>
  <c r="M1234" i="3"/>
  <c r="M1235" i="3"/>
  <c r="M1236" i="3"/>
  <c r="M1237" i="3"/>
  <c r="M1238" i="3"/>
  <c r="M1239" i="3"/>
  <c r="M1240" i="3"/>
  <c r="M1241" i="3"/>
  <c r="M1242" i="3"/>
  <c r="M1243" i="3"/>
  <c r="M1244" i="3"/>
  <c r="M1245" i="3"/>
  <c r="M1246" i="3"/>
  <c r="M1247" i="3"/>
  <c r="M1248" i="3"/>
  <c r="M1249" i="3"/>
  <c r="M1250" i="3"/>
  <c r="M1251" i="3"/>
  <c r="M1252" i="3"/>
  <c r="M1253" i="3"/>
  <c r="M1254" i="3"/>
  <c r="M1255" i="3"/>
  <c r="M1256" i="3"/>
  <c r="M1257" i="3"/>
  <c r="M1258" i="3"/>
  <c r="M1259" i="3"/>
  <c r="M1260" i="3"/>
  <c r="M1261" i="3"/>
  <c r="M1262" i="3"/>
  <c r="M1263" i="3"/>
  <c r="M1264" i="3"/>
  <c r="M1265" i="3"/>
  <c r="M1266" i="3"/>
  <c r="M1267" i="3"/>
  <c r="M1268" i="3"/>
  <c r="M1269" i="3"/>
  <c r="M1270" i="3"/>
  <c r="M1271" i="3"/>
  <c r="M1272" i="3"/>
  <c r="M1273" i="3"/>
  <c r="M1274" i="3"/>
  <c r="M1275" i="3"/>
  <c r="M1276" i="3"/>
  <c r="M1277" i="3"/>
  <c r="M1278" i="3"/>
  <c r="M1279" i="3"/>
  <c r="M1280" i="3"/>
  <c r="M1281" i="3"/>
  <c r="M1282" i="3"/>
  <c r="M1283" i="3"/>
  <c r="M1284" i="3"/>
  <c r="M1285" i="3"/>
  <c r="M1286" i="3"/>
  <c r="M1287" i="3"/>
  <c r="M1288" i="3"/>
  <c r="M1289" i="3"/>
  <c r="M1290" i="3"/>
  <c r="M1291" i="3"/>
  <c r="M1292" i="3"/>
  <c r="M1293" i="3"/>
  <c r="M1294" i="3"/>
  <c r="M1295" i="3"/>
  <c r="M1296" i="3"/>
  <c r="M1297" i="3"/>
  <c r="M1298" i="3"/>
  <c r="M1299" i="3"/>
  <c r="M1300" i="3"/>
  <c r="M1301" i="3"/>
  <c r="M1302" i="3"/>
  <c r="M1303" i="3"/>
  <c r="M1304" i="3"/>
  <c r="M1305" i="3"/>
  <c r="M1306" i="3"/>
  <c r="M1307" i="3"/>
  <c r="M1308" i="3"/>
  <c r="M1309" i="3"/>
  <c r="M1310" i="3"/>
  <c r="M1311" i="3"/>
  <c r="M1312" i="3"/>
  <c r="M1313" i="3"/>
  <c r="M1314" i="3"/>
  <c r="M1315" i="3"/>
  <c r="M1316" i="3"/>
  <c r="M1317" i="3"/>
  <c r="M1318" i="3"/>
  <c r="M1319" i="3"/>
  <c r="M1320" i="3"/>
  <c r="M1321" i="3"/>
  <c r="M1322" i="3"/>
  <c r="M1323" i="3"/>
  <c r="M1324" i="3"/>
  <c r="M1325" i="3"/>
  <c r="M1326" i="3"/>
  <c r="M1327" i="3"/>
  <c r="M1328" i="3"/>
  <c r="M1329" i="3"/>
  <c r="M1330" i="3"/>
  <c r="M1331" i="3"/>
  <c r="M1332" i="3"/>
  <c r="M1333" i="3"/>
  <c r="M1334" i="3"/>
  <c r="M1335" i="3"/>
  <c r="M1336" i="3"/>
  <c r="M1337" i="3"/>
  <c r="M1338" i="3"/>
  <c r="M1339" i="3"/>
  <c r="M1340" i="3"/>
  <c r="M1341" i="3"/>
  <c r="M1342" i="3"/>
  <c r="M1343" i="3"/>
  <c r="M1344" i="3"/>
  <c r="M1345" i="3"/>
  <c r="M1346" i="3"/>
  <c r="M1347" i="3"/>
  <c r="M1348" i="3"/>
  <c r="M1349" i="3"/>
  <c r="M1350" i="3"/>
  <c r="M1351" i="3"/>
  <c r="M1352" i="3"/>
  <c r="M1353" i="3"/>
  <c r="M1354" i="3"/>
  <c r="M1355" i="3"/>
  <c r="M1356" i="3"/>
  <c r="M1357" i="3"/>
  <c r="M1358" i="3"/>
  <c r="M1359" i="3"/>
  <c r="M1360" i="3"/>
  <c r="M1361" i="3"/>
  <c r="M1362" i="3"/>
  <c r="M1363" i="3"/>
  <c r="M1364" i="3"/>
  <c r="M1365" i="3"/>
  <c r="M1366" i="3"/>
  <c r="M1367" i="3"/>
  <c r="M1368" i="3"/>
  <c r="M1369" i="3"/>
  <c r="M1370" i="3"/>
  <c r="M1371" i="3"/>
  <c r="M1372" i="3"/>
  <c r="M1373" i="3"/>
  <c r="M1374" i="3"/>
  <c r="M1375" i="3"/>
  <c r="M1376" i="3"/>
  <c r="M1377" i="3"/>
  <c r="M1378" i="3"/>
  <c r="M1379" i="3"/>
  <c r="M1380" i="3"/>
  <c r="M1381" i="3"/>
  <c r="M1382" i="3"/>
  <c r="M1383" i="3"/>
  <c r="M1384" i="3"/>
  <c r="M1385" i="3"/>
  <c r="M1386" i="3"/>
  <c r="M1387" i="3"/>
  <c r="M1388" i="3"/>
  <c r="M1389" i="3"/>
  <c r="M1390" i="3"/>
  <c r="M1391" i="3"/>
  <c r="M1392" i="3"/>
  <c r="M1393" i="3"/>
  <c r="M1394" i="3"/>
  <c r="M1395" i="3"/>
  <c r="M1396" i="3"/>
  <c r="M1397" i="3"/>
  <c r="M1398" i="3"/>
  <c r="M1399" i="3"/>
  <c r="M1400" i="3"/>
  <c r="M1401" i="3"/>
  <c r="M1402" i="3"/>
  <c r="M1403" i="3"/>
  <c r="M1404" i="3"/>
  <c r="M1405" i="3"/>
  <c r="M1406" i="3"/>
  <c r="M1407" i="3"/>
  <c r="M1408" i="3"/>
  <c r="M1409" i="3"/>
  <c r="M1410" i="3"/>
  <c r="M1411" i="3"/>
  <c r="M1412" i="3"/>
  <c r="M1413" i="3"/>
  <c r="M1414" i="3"/>
  <c r="M1415" i="3"/>
  <c r="M1416" i="3"/>
  <c r="M1417" i="3"/>
  <c r="M1418" i="3"/>
  <c r="M1419" i="3"/>
  <c r="M1420" i="3"/>
  <c r="M1421" i="3"/>
  <c r="M1422" i="3"/>
  <c r="M1423" i="3"/>
  <c r="M1424" i="3"/>
  <c r="M1425" i="3"/>
  <c r="M1426" i="3"/>
  <c r="M1427" i="3"/>
  <c r="M1428" i="3"/>
  <c r="M1429" i="3"/>
  <c r="M1430" i="3"/>
  <c r="M1431" i="3"/>
  <c r="M1432" i="3"/>
  <c r="M1433" i="3"/>
  <c r="M1434" i="3"/>
  <c r="M1435" i="3"/>
  <c r="M1436" i="3"/>
  <c r="M1437" i="3"/>
  <c r="M1438" i="3"/>
  <c r="M1439" i="3"/>
  <c r="M1440" i="3"/>
  <c r="M1441" i="3"/>
  <c r="M1442" i="3"/>
  <c r="M1443" i="3"/>
  <c r="M1444" i="3"/>
  <c r="M1445" i="3"/>
  <c r="M1446" i="3"/>
  <c r="M1447" i="3"/>
  <c r="M1448" i="3"/>
  <c r="M1449" i="3"/>
  <c r="M1450" i="3"/>
  <c r="M1451" i="3"/>
  <c r="M1452" i="3"/>
  <c r="M1453" i="3"/>
  <c r="M1454" i="3"/>
  <c r="M1455" i="3"/>
  <c r="M1456" i="3"/>
  <c r="M1457" i="3"/>
  <c r="M1458" i="3"/>
  <c r="M1459" i="3"/>
  <c r="M1460" i="3"/>
  <c r="M1461" i="3"/>
  <c r="M1462" i="3"/>
  <c r="M1463" i="3"/>
  <c r="M1464" i="3"/>
  <c r="M1465" i="3"/>
  <c r="M1466" i="3"/>
  <c r="M1467" i="3"/>
  <c r="M1468" i="3"/>
  <c r="M1469" i="3"/>
  <c r="M1470" i="3"/>
  <c r="M1471" i="3"/>
  <c r="M1472" i="3"/>
  <c r="M1473" i="3"/>
  <c r="M1474" i="3"/>
  <c r="M1475" i="3"/>
  <c r="M1476" i="3"/>
  <c r="M1477" i="3"/>
  <c r="M1478" i="3"/>
  <c r="M1479" i="3"/>
  <c r="M1480" i="3"/>
  <c r="M1481" i="3"/>
  <c r="M1482" i="3"/>
  <c r="M1483" i="3"/>
  <c r="M1484" i="3"/>
  <c r="M1485" i="3"/>
  <c r="M1486" i="3"/>
  <c r="M1487" i="3"/>
  <c r="M1488" i="3"/>
  <c r="M1489" i="3"/>
  <c r="M1490" i="3"/>
  <c r="M1491" i="3"/>
  <c r="M1492" i="3"/>
  <c r="M1493" i="3"/>
  <c r="M1494" i="3"/>
  <c r="M1495" i="3"/>
  <c r="M1496" i="3"/>
  <c r="M1497" i="3"/>
  <c r="M1498" i="3"/>
  <c r="M1499" i="3"/>
  <c r="M1500" i="3"/>
  <c r="M1501" i="3"/>
  <c r="M1502" i="3"/>
  <c r="M1503" i="3"/>
  <c r="M1504" i="3"/>
  <c r="M1505" i="3"/>
  <c r="M1506" i="3"/>
  <c r="M1507" i="3"/>
  <c r="M1508" i="3"/>
  <c r="M1509" i="3"/>
  <c r="M1510" i="3"/>
  <c r="M1511" i="3"/>
  <c r="M1512" i="3"/>
  <c r="M1513" i="3"/>
  <c r="M1514" i="3"/>
  <c r="M1515" i="3"/>
  <c r="M1516" i="3"/>
  <c r="M1517" i="3"/>
  <c r="M1518" i="3"/>
  <c r="M1519" i="3"/>
  <c r="M1520" i="3"/>
  <c r="M1521" i="3"/>
  <c r="M1522" i="3"/>
  <c r="M1523" i="3"/>
  <c r="M1524" i="3"/>
  <c r="M1525" i="3"/>
  <c r="M1526" i="3"/>
  <c r="M1527" i="3"/>
  <c r="M1528" i="3"/>
  <c r="M1529" i="3"/>
  <c r="M1530" i="3"/>
  <c r="M1531" i="3"/>
  <c r="M1532" i="3"/>
  <c r="M1533" i="3"/>
  <c r="M1534" i="3"/>
  <c r="M1535" i="3"/>
  <c r="M1536" i="3"/>
  <c r="M1537" i="3"/>
  <c r="M1538" i="3"/>
  <c r="M1539" i="3"/>
  <c r="M1540" i="3"/>
  <c r="M1541" i="3"/>
  <c r="M1542" i="3"/>
  <c r="M1543" i="3"/>
  <c r="M1544" i="3"/>
  <c r="M1545" i="3"/>
  <c r="M1546" i="3"/>
  <c r="M1547" i="3"/>
  <c r="M1548" i="3"/>
  <c r="M1549" i="3"/>
  <c r="M1550" i="3"/>
  <c r="M1551" i="3"/>
  <c r="M1552" i="3"/>
  <c r="M1553" i="3"/>
  <c r="M1554" i="3"/>
  <c r="M1555" i="3"/>
  <c r="M1556" i="3"/>
  <c r="M1557" i="3"/>
  <c r="M1558" i="3"/>
  <c r="M1559" i="3"/>
  <c r="M1560" i="3"/>
  <c r="M1561" i="3"/>
  <c r="M1562" i="3"/>
  <c r="M1563" i="3"/>
  <c r="M1564" i="3"/>
  <c r="M1565" i="3"/>
  <c r="M1566" i="3"/>
  <c r="M1567" i="3"/>
  <c r="M1568" i="3"/>
  <c r="M1569" i="3"/>
  <c r="M1570" i="3"/>
  <c r="M1571" i="3"/>
  <c r="M1572" i="3"/>
  <c r="M1573" i="3"/>
  <c r="M1574" i="3"/>
  <c r="M1575" i="3"/>
  <c r="M1576" i="3"/>
  <c r="M1577" i="3"/>
  <c r="M1578" i="3"/>
  <c r="M1579" i="3"/>
  <c r="M1580" i="3"/>
  <c r="M1581" i="3"/>
  <c r="M1582" i="3"/>
  <c r="M1583" i="3"/>
  <c r="M1584" i="3"/>
  <c r="M1585" i="3"/>
  <c r="M1586" i="3"/>
  <c r="M1587" i="3"/>
  <c r="M1588" i="3"/>
  <c r="M1589" i="3"/>
  <c r="M1590" i="3"/>
  <c r="M1591" i="3"/>
  <c r="M1592" i="3"/>
  <c r="M1593" i="3"/>
  <c r="M1594" i="3"/>
  <c r="M1595" i="3"/>
  <c r="M1596" i="3"/>
  <c r="M1597" i="3"/>
  <c r="M1598" i="3"/>
  <c r="M1599" i="3"/>
  <c r="M1600" i="3"/>
  <c r="M1601" i="3"/>
  <c r="M1602" i="3"/>
  <c r="M1603" i="3"/>
  <c r="M1604" i="3"/>
  <c r="M1605" i="3"/>
  <c r="M1606" i="3"/>
  <c r="M1607" i="3"/>
  <c r="M1608" i="3"/>
  <c r="M1609" i="3"/>
  <c r="M1610" i="3"/>
  <c r="M1611" i="3"/>
  <c r="M1612" i="3"/>
  <c r="M1613" i="3"/>
  <c r="M1614" i="3"/>
  <c r="M1615" i="3"/>
  <c r="M1616" i="3"/>
  <c r="M1617" i="3"/>
  <c r="M1618" i="3"/>
  <c r="M1619" i="3"/>
  <c r="M1620" i="3"/>
  <c r="M1621" i="3"/>
  <c r="M1622" i="3"/>
  <c r="M1623" i="3"/>
  <c r="M1624" i="3"/>
  <c r="M1625" i="3"/>
  <c r="M1626" i="3"/>
  <c r="M1627" i="3"/>
  <c r="M1628" i="3"/>
  <c r="M1629" i="3"/>
  <c r="M1630" i="3"/>
  <c r="M1631" i="3"/>
  <c r="M1632" i="3"/>
  <c r="M1633" i="3"/>
  <c r="M1634" i="3"/>
  <c r="M1635" i="3"/>
  <c r="M1636" i="3"/>
  <c r="M1637" i="3"/>
  <c r="M1638" i="3"/>
  <c r="M1639" i="3"/>
  <c r="M1640" i="3"/>
  <c r="M1641" i="3"/>
  <c r="M1642" i="3"/>
  <c r="M1643" i="3"/>
  <c r="M1644" i="3"/>
  <c r="M1645" i="3"/>
  <c r="M1646" i="3"/>
  <c r="M1647" i="3"/>
  <c r="M1648" i="3"/>
  <c r="M1649" i="3"/>
  <c r="M1650" i="3"/>
  <c r="M1651" i="3"/>
  <c r="M1652" i="3"/>
  <c r="M1653" i="3"/>
  <c r="M1654" i="3"/>
  <c r="M1655" i="3"/>
  <c r="M1656" i="3"/>
  <c r="M1657" i="3"/>
  <c r="M1658" i="3"/>
  <c r="M1659" i="3"/>
  <c r="M1660" i="3"/>
  <c r="M1661" i="3"/>
  <c r="M1662" i="3"/>
  <c r="M1663" i="3"/>
  <c r="M1664" i="3"/>
  <c r="M1665" i="3"/>
  <c r="M1666" i="3"/>
  <c r="M1667" i="3"/>
  <c r="M1668" i="3"/>
  <c r="M1669" i="3"/>
  <c r="M1670" i="3"/>
  <c r="M1671" i="3"/>
  <c r="M1672" i="3"/>
  <c r="M1673" i="3"/>
  <c r="M1674" i="3"/>
  <c r="M1675" i="3"/>
  <c r="M1676" i="3"/>
  <c r="M1677" i="3"/>
  <c r="M1678" i="3"/>
  <c r="M1679" i="3"/>
  <c r="M1680" i="3"/>
  <c r="M1681" i="3"/>
  <c r="M1682" i="3"/>
  <c r="M1683" i="3"/>
  <c r="M1684" i="3"/>
  <c r="M1685" i="3"/>
  <c r="M1686" i="3"/>
  <c r="M1687" i="3"/>
  <c r="M1688" i="3"/>
  <c r="M1689" i="3"/>
  <c r="M1690" i="3"/>
  <c r="M1691" i="3"/>
  <c r="M1692" i="3"/>
  <c r="M1693" i="3"/>
  <c r="M1694" i="3"/>
  <c r="M1695" i="3"/>
  <c r="M1696" i="3"/>
  <c r="M1697" i="3"/>
  <c r="M1698" i="3"/>
  <c r="M1699" i="3"/>
  <c r="M1700" i="3"/>
  <c r="M1701" i="3"/>
  <c r="M1702" i="3"/>
  <c r="M1703" i="3"/>
  <c r="M1704" i="3"/>
  <c r="M1705" i="3"/>
  <c r="M1706" i="3"/>
  <c r="M1707" i="3"/>
  <c r="M1708" i="3"/>
  <c r="M1709" i="3"/>
  <c r="M1710" i="3"/>
  <c r="M1711" i="3"/>
  <c r="M1712" i="3"/>
  <c r="M1713" i="3"/>
  <c r="M1714" i="3"/>
  <c r="M1715" i="3"/>
  <c r="M1716" i="3"/>
  <c r="M1717" i="3"/>
  <c r="M1718" i="3"/>
  <c r="M1719" i="3"/>
  <c r="M1720" i="3"/>
  <c r="M1721" i="3"/>
  <c r="M1722" i="3"/>
  <c r="M1723" i="3"/>
  <c r="M1724" i="3"/>
  <c r="M1725" i="3"/>
  <c r="M1726" i="3"/>
  <c r="M1727" i="3"/>
  <c r="M1728" i="3"/>
  <c r="M1729" i="3"/>
  <c r="M1730" i="3"/>
  <c r="M1731" i="3"/>
  <c r="M1732" i="3"/>
  <c r="M1733" i="3"/>
  <c r="M1734" i="3"/>
  <c r="M1735" i="3"/>
  <c r="M1736" i="3"/>
  <c r="M1737" i="3"/>
  <c r="M1738" i="3"/>
  <c r="M1739" i="3"/>
  <c r="M1740" i="3"/>
  <c r="M1741" i="3"/>
  <c r="M1742" i="3"/>
  <c r="M1743" i="3"/>
  <c r="M1744" i="3"/>
  <c r="M1745" i="3"/>
  <c r="M1746" i="3"/>
  <c r="M1747" i="3"/>
  <c r="M1748" i="3"/>
  <c r="M1749" i="3"/>
  <c r="M1750" i="3"/>
  <c r="M1751" i="3"/>
  <c r="M1752" i="3"/>
  <c r="M1753" i="3"/>
  <c r="M1754" i="3"/>
  <c r="M1755" i="3"/>
  <c r="M1756" i="3"/>
  <c r="M1757" i="3"/>
  <c r="M1758" i="3"/>
  <c r="M1759" i="3"/>
  <c r="M1760" i="3"/>
  <c r="M1761" i="3"/>
  <c r="M1762" i="3"/>
  <c r="M1763" i="3"/>
  <c r="M1764" i="3"/>
  <c r="M1765" i="3"/>
  <c r="M1766" i="3"/>
  <c r="M1767" i="3"/>
  <c r="M1768" i="3"/>
  <c r="M1769" i="3"/>
  <c r="M1770" i="3"/>
  <c r="M1771" i="3"/>
  <c r="M1772" i="3"/>
  <c r="M1773" i="3"/>
  <c r="M1774" i="3"/>
  <c r="M1775" i="3"/>
  <c r="M1776" i="3"/>
  <c r="M1777" i="3"/>
  <c r="M1778" i="3"/>
  <c r="M1779" i="3"/>
  <c r="M1780" i="3"/>
  <c r="M1781" i="3"/>
  <c r="M1782" i="3"/>
  <c r="M1783" i="3"/>
  <c r="M1784" i="3"/>
  <c r="M1785" i="3"/>
  <c r="M1786" i="3"/>
  <c r="M1787" i="3"/>
  <c r="M1788" i="3"/>
  <c r="M1789" i="3"/>
  <c r="M1790" i="3"/>
  <c r="M1791" i="3"/>
  <c r="M1792" i="3"/>
  <c r="M1793" i="3"/>
  <c r="M1794" i="3"/>
  <c r="M1795" i="3"/>
  <c r="M1796" i="3"/>
  <c r="M1797" i="3"/>
  <c r="M1798" i="3"/>
  <c r="M1799" i="3"/>
  <c r="M1800" i="3"/>
  <c r="M1801" i="3"/>
  <c r="M1802" i="3"/>
  <c r="M1803" i="3"/>
  <c r="M1804" i="3"/>
  <c r="M1805" i="3"/>
  <c r="M1806" i="3"/>
  <c r="M1807" i="3"/>
  <c r="M1808" i="3"/>
  <c r="M1809" i="3"/>
  <c r="M1810" i="3"/>
  <c r="M1811" i="3"/>
  <c r="M1812" i="3"/>
  <c r="M1813" i="3"/>
  <c r="M1814" i="3"/>
  <c r="M1815" i="3"/>
  <c r="M1816" i="3"/>
  <c r="M1817" i="3"/>
  <c r="M1818" i="3"/>
  <c r="M1819" i="3"/>
  <c r="M1820" i="3"/>
  <c r="M1821" i="3"/>
  <c r="M1822" i="3"/>
  <c r="M1823" i="3"/>
  <c r="M1824" i="3"/>
  <c r="M1825" i="3"/>
  <c r="M1826" i="3"/>
  <c r="M1827" i="3"/>
  <c r="M1828" i="3"/>
  <c r="M1829" i="3"/>
  <c r="M1830" i="3"/>
  <c r="M1831" i="3"/>
  <c r="M1832" i="3"/>
  <c r="M1833" i="3"/>
  <c r="M1834" i="3"/>
  <c r="M1835" i="3"/>
  <c r="M1836" i="3"/>
  <c r="M1837" i="3"/>
  <c r="M1838" i="3"/>
  <c r="M1839" i="3"/>
  <c r="M1840" i="3"/>
  <c r="M1841" i="3"/>
  <c r="M1842" i="3"/>
  <c r="M1843" i="3"/>
  <c r="M1844" i="3"/>
  <c r="M1845" i="3"/>
  <c r="M1846" i="3"/>
  <c r="M1847" i="3"/>
  <c r="M1848" i="3"/>
  <c r="M1849" i="3"/>
  <c r="M1850" i="3"/>
  <c r="M1851" i="3"/>
  <c r="M1852" i="3"/>
  <c r="M1853" i="3"/>
  <c r="M1854" i="3"/>
  <c r="M1855" i="3"/>
  <c r="M1856" i="3"/>
  <c r="M1857" i="3"/>
  <c r="M1858" i="3"/>
  <c r="M1859" i="3"/>
  <c r="M1860" i="3"/>
  <c r="M1861" i="3"/>
  <c r="M1862" i="3"/>
  <c r="M1863" i="3"/>
  <c r="M1864" i="3"/>
  <c r="M1865" i="3"/>
  <c r="M1866" i="3"/>
  <c r="M1867" i="3"/>
  <c r="M1868" i="3"/>
  <c r="M1869" i="3"/>
  <c r="M1870" i="3"/>
  <c r="M1871" i="3"/>
  <c r="M1872" i="3"/>
  <c r="M1873" i="3"/>
  <c r="M1874" i="3"/>
  <c r="M1875" i="3"/>
  <c r="M1876" i="3"/>
  <c r="M1877" i="3"/>
  <c r="M1878" i="3"/>
  <c r="M1879" i="3"/>
  <c r="M1880" i="3"/>
  <c r="M1881" i="3"/>
  <c r="M1882" i="3"/>
  <c r="M1883" i="3"/>
  <c r="M1884" i="3"/>
  <c r="M1885" i="3"/>
  <c r="M1886" i="3"/>
  <c r="M1887" i="3"/>
  <c r="M1888" i="3"/>
  <c r="M1889" i="3"/>
  <c r="M1890" i="3"/>
  <c r="M1891" i="3"/>
  <c r="M1892" i="3"/>
  <c r="M1893" i="3"/>
  <c r="M1894" i="3"/>
  <c r="M1895" i="3"/>
  <c r="M1896" i="3"/>
  <c r="M1897" i="3"/>
  <c r="M1898" i="3"/>
  <c r="M1899" i="3"/>
  <c r="M1900" i="3"/>
  <c r="M1901" i="3"/>
  <c r="M1902" i="3"/>
  <c r="M1903" i="3"/>
  <c r="M1904" i="3"/>
  <c r="M1905" i="3"/>
  <c r="M1906" i="3"/>
  <c r="M1907" i="3"/>
  <c r="M1908" i="3"/>
  <c r="M1909" i="3"/>
  <c r="M1910" i="3"/>
  <c r="M1911" i="3"/>
  <c r="M1912" i="3"/>
  <c r="M1913" i="3"/>
  <c r="M1914" i="3"/>
  <c r="M1915" i="3"/>
  <c r="M1916" i="3"/>
  <c r="M1917" i="3"/>
  <c r="M1918" i="3"/>
  <c r="M1919" i="3"/>
  <c r="M1920" i="3"/>
  <c r="M1921" i="3"/>
  <c r="M1922" i="3"/>
  <c r="M1923" i="3"/>
  <c r="M1924" i="3"/>
  <c r="M1925" i="3"/>
  <c r="M1926" i="3"/>
  <c r="M1927" i="3"/>
  <c r="M1928" i="3"/>
  <c r="M1929" i="3"/>
  <c r="M1930" i="3"/>
  <c r="M1931" i="3"/>
  <c r="M1932" i="3"/>
  <c r="M1933" i="3"/>
  <c r="M1934" i="3"/>
  <c r="M1935" i="3"/>
  <c r="M1936" i="3"/>
  <c r="M1937" i="3"/>
  <c r="M1938" i="3"/>
  <c r="M1939" i="3"/>
  <c r="M1940" i="3"/>
  <c r="M1941" i="3"/>
  <c r="M1942" i="3"/>
  <c r="M1943" i="3"/>
  <c r="M1944" i="3"/>
  <c r="M1945" i="3"/>
  <c r="M1946" i="3"/>
  <c r="M1947" i="3"/>
  <c r="M1948" i="3"/>
  <c r="M1949" i="3"/>
  <c r="M1950" i="3"/>
  <c r="M1951" i="3"/>
  <c r="M1952" i="3"/>
  <c r="M1953" i="3"/>
  <c r="M1954" i="3"/>
  <c r="M1955" i="3"/>
  <c r="M1956" i="3"/>
  <c r="M1957" i="3"/>
  <c r="M1958" i="3"/>
  <c r="M1959" i="3"/>
  <c r="M1960" i="3"/>
  <c r="M1961" i="3"/>
  <c r="M1962" i="3"/>
  <c r="M1963" i="3"/>
  <c r="M1964" i="3"/>
  <c r="M1965" i="3"/>
  <c r="M1966" i="3"/>
  <c r="M1967" i="3"/>
  <c r="M1968" i="3"/>
  <c r="M1969" i="3"/>
  <c r="M1970" i="3"/>
  <c r="M1971" i="3"/>
  <c r="M1972" i="3"/>
  <c r="M1973" i="3"/>
  <c r="M1974" i="3"/>
  <c r="M1975" i="3"/>
  <c r="M1976" i="3"/>
  <c r="M1977" i="3"/>
  <c r="M1978" i="3"/>
  <c r="M1979" i="3"/>
  <c r="M1980" i="3"/>
  <c r="M1981" i="3"/>
  <c r="M1982" i="3"/>
  <c r="M1983" i="3"/>
  <c r="M1984" i="3"/>
  <c r="M1985" i="3"/>
  <c r="M1986" i="3"/>
  <c r="M1987" i="3"/>
  <c r="M1988" i="3"/>
  <c r="M1989" i="3"/>
  <c r="M1990" i="3"/>
  <c r="M1991" i="3"/>
  <c r="M1992" i="3"/>
  <c r="M1993" i="3"/>
  <c r="M1994" i="3"/>
  <c r="M1995" i="3"/>
  <c r="M1996" i="3"/>
  <c r="M1997" i="3"/>
  <c r="M1998" i="3"/>
  <c r="M1999" i="3"/>
  <c r="M2000" i="3"/>
  <c r="M2001" i="3"/>
  <c r="M2002" i="3"/>
  <c r="M2003" i="3"/>
  <c r="M2004" i="3"/>
  <c r="M2005" i="3"/>
  <c r="M2006" i="3"/>
  <c r="M2007" i="3"/>
  <c r="M2008" i="3"/>
  <c r="M2009" i="3"/>
  <c r="M2010" i="3"/>
  <c r="M2011" i="3"/>
  <c r="M2012" i="3"/>
  <c r="M2013" i="3"/>
  <c r="M2014" i="3"/>
  <c r="M2015" i="3"/>
  <c r="M2016" i="3"/>
  <c r="M2017" i="3"/>
  <c r="M2018" i="3"/>
  <c r="M2019" i="3"/>
  <c r="M2020" i="3"/>
  <c r="M2021" i="3"/>
  <c r="M2022" i="3"/>
  <c r="M2023" i="3"/>
  <c r="M2024" i="3"/>
  <c r="M2025" i="3"/>
  <c r="M2026" i="3"/>
  <c r="M2027" i="3"/>
  <c r="M2028" i="3"/>
  <c r="M2029" i="3"/>
  <c r="M2030" i="3"/>
  <c r="M2031" i="3"/>
  <c r="M2032" i="3"/>
  <c r="M2033" i="3"/>
  <c r="M2034" i="3"/>
  <c r="M2035" i="3"/>
  <c r="M2036" i="3"/>
  <c r="M2037" i="3"/>
  <c r="M2038" i="3"/>
  <c r="M2039" i="3"/>
  <c r="M2040" i="3"/>
  <c r="M2041" i="3"/>
  <c r="M2042" i="3"/>
  <c r="M2043" i="3"/>
  <c r="M2044" i="3"/>
  <c r="M2045" i="3"/>
  <c r="M2046" i="3"/>
  <c r="M2047" i="3"/>
  <c r="M2048" i="3"/>
  <c r="M2049" i="3"/>
  <c r="M2050" i="3"/>
  <c r="M2051" i="3"/>
  <c r="M2052" i="3"/>
  <c r="M2053" i="3"/>
  <c r="M2054" i="3"/>
  <c r="M2055" i="3"/>
  <c r="M2056" i="3"/>
  <c r="M2057" i="3"/>
  <c r="M2058" i="3"/>
  <c r="M2059" i="3"/>
  <c r="M2060" i="3"/>
  <c r="M2061" i="3"/>
  <c r="M2062" i="3"/>
  <c r="M2063" i="3"/>
  <c r="M2064" i="3"/>
  <c r="M2065" i="3"/>
  <c r="M2066" i="3"/>
  <c r="M2067" i="3"/>
  <c r="M2068" i="3"/>
  <c r="M2069" i="3"/>
  <c r="M2070" i="3"/>
  <c r="M2071" i="3"/>
  <c r="M2072" i="3"/>
  <c r="M2073" i="3"/>
  <c r="M2074" i="3"/>
  <c r="M2075" i="3"/>
  <c r="M2076" i="3"/>
  <c r="M2077" i="3"/>
  <c r="M2078" i="3"/>
  <c r="M2079" i="3"/>
  <c r="M2080" i="3"/>
  <c r="M2081" i="3"/>
  <c r="M2082" i="3"/>
  <c r="M2083" i="3"/>
  <c r="M2084" i="3"/>
  <c r="M2085" i="3"/>
  <c r="M2086" i="3"/>
  <c r="M2087" i="3"/>
  <c r="M2088" i="3"/>
  <c r="M2089" i="3"/>
  <c r="M2090" i="3"/>
  <c r="M2091" i="3"/>
  <c r="M2092" i="3"/>
  <c r="M2093" i="3"/>
  <c r="M2094" i="3"/>
  <c r="M2095" i="3"/>
  <c r="M2096" i="3"/>
  <c r="M2097" i="3"/>
  <c r="M2098" i="3"/>
  <c r="M2099" i="3"/>
  <c r="M2100" i="3"/>
  <c r="M2101" i="3"/>
  <c r="M2102" i="3"/>
  <c r="M2103" i="3"/>
  <c r="M2104" i="3"/>
  <c r="M2105" i="3"/>
  <c r="M2106" i="3"/>
  <c r="M2107" i="3"/>
  <c r="M2108" i="3"/>
  <c r="M2109" i="3"/>
  <c r="M2110" i="3"/>
  <c r="M2111" i="3"/>
  <c r="M2112" i="3"/>
  <c r="M2113" i="3"/>
  <c r="M2114" i="3"/>
  <c r="M2115" i="3"/>
  <c r="M2116" i="3"/>
  <c r="M2117" i="3"/>
  <c r="M2118" i="3"/>
  <c r="M2119" i="3"/>
  <c r="M2120" i="3"/>
  <c r="M2121" i="3"/>
  <c r="M2122" i="3"/>
  <c r="M2123" i="3"/>
  <c r="M2124" i="3"/>
  <c r="M2125" i="3"/>
  <c r="M2126" i="3"/>
  <c r="M2127" i="3"/>
  <c r="M2128" i="3"/>
  <c r="M2129" i="3"/>
  <c r="M2130" i="3"/>
  <c r="M2131" i="3"/>
  <c r="M2132" i="3"/>
  <c r="M2133" i="3"/>
  <c r="M2134" i="3"/>
  <c r="M2135" i="3"/>
  <c r="M2136" i="3"/>
  <c r="M2137" i="3"/>
  <c r="M2138" i="3"/>
  <c r="M2139" i="3"/>
  <c r="M2140" i="3"/>
  <c r="M2141" i="3"/>
  <c r="M2142" i="3"/>
  <c r="M2143" i="3"/>
  <c r="M2144" i="3"/>
  <c r="M2145" i="3"/>
  <c r="M2146" i="3"/>
  <c r="M2147" i="3"/>
  <c r="M2148" i="3"/>
  <c r="M2149" i="3"/>
  <c r="M2150" i="3"/>
  <c r="M2151" i="3"/>
  <c r="M2152" i="3"/>
  <c r="M2153" i="3"/>
  <c r="M2154" i="3"/>
  <c r="M2155" i="3"/>
  <c r="M2156" i="3"/>
  <c r="M2157" i="3"/>
  <c r="M2158" i="3"/>
  <c r="M2159" i="3"/>
  <c r="M2160" i="3"/>
  <c r="M2161" i="3"/>
  <c r="M2162" i="3"/>
  <c r="M2163" i="3"/>
  <c r="M2164" i="3"/>
  <c r="M2165" i="3"/>
  <c r="M2166" i="3"/>
  <c r="M2167" i="3"/>
  <c r="M2168" i="3"/>
  <c r="M2169" i="3"/>
  <c r="M2170" i="3"/>
  <c r="M2171" i="3"/>
  <c r="M2172" i="3"/>
  <c r="M2173" i="3"/>
  <c r="M2174" i="3"/>
  <c r="M2175" i="3"/>
  <c r="M2176" i="3"/>
  <c r="M2177" i="3"/>
  <c r="M2178" i="3"/>
  <c r="M2179" i="3"/>
  <c r="M2180" i="3"/>
  <c r="M2181" i="3"/>
  <c r="M2182" i="3"/>
  <c r="M2183" i="3"/>
  <c r="M2184" i="3"/>
  <c r="M2185" i="3"/>
  <c r="M2186" i="3"/>
  <c r="M2187" i="3"/>
  <c r="M2188" i="3"/>
  <c r="M2189" i="3"/>
  <c r="M2190" i="3"/>
  <c r="M2191" i="3"/>
  <c r="M2192" i="3"/>
  <c r="M2193" i="3"/>
  <c r="M2194" i="3"/>
  <c r="M2195" i="3"/>
  <c r="M2196" i="3"/>
  <c r="M2197" i="3"/>
  <c r="M2198" i="3"/>
  <c r="M2199" i="3"/>
  <c r="M2200" i="3"/>
  <c r="M2201" i="3"/>
  <c r="M2202" i="3"/>
  <c r="M2203" i="3"/>
  <c r="M2204" i="3"/>
  <c r="M2205" i="3"/>
  <c r="M2206" i="3"/>
  <c r="M2207" i="3"/>
  <c r="M2208" i="3"/>
  <c r="M2209" i="3"/>
  <c r="M2210" i="3"/>
  <c r="M2211" i="3"/>
  <c r="M2212" i="3"/>
  <c r="M2213" i="3"/>
  <c r="M2214" i="3"/>
  <c r="M2215" i="3"/>
  <c r="M2216" i="3"/>
  <c r="M2217" i="3"/>
  <c r="M2218" i="3"/>
  <c r="M2219" i="3"/>
  <c r="M2220" i="3"/>
  <c r="M2221" i="3"/>
  <c r="M2222" i="3"/>
  <c r="M2223" i="3"/>
  <c r="M2224" i="3"/>
  <c r="M2225" i="3"/>
  <c r="M2226" i="3"/>
  <c r="M2227" i="3"/>
  <c r="M2228" i="3"/>
  <c r="M2229" i="3"/>
  <c r="M2230" i="3"/>
  <c r="M2231" i="3"/>
  <c r="M2232" i="3"/>
  <c r="M2233" i="3"/>
  <c r="M2234" i="3"/>
  <c r="M2235" i="3"/>
  <c r="M2236" i="3"/>
  <c r="M2237" i="3"/>
  <c r="M2238" i="3"/>
  <c r="M2239" i="3"/>
  <c r="M2240" i="3"/>
  <c r="M2241" i="3"/>
  <c r="M2242" i="3"/>
  <c r="M2243" i="3"/>
  <c r="M2244" i="3"/>
  <c r="M2245" i="3"/>
  <c r="M2246" i="3"/>
  <c r="M2247" i="3"/>
  <c r="M2248" i="3"/>
  <c r="M2249" i="3"/>
  <c r="M2250" i="3"/>
  <c r="M2251" i="3"/>
  <c r="M2252" i="3"/>
  <c r="M2253" i="3"/>
  <c r="M2254" i="3"/>
  <c r="M2255" i="3"/>
  <c r="M2256" i="3"/>
  <c r="M2257" i="3"/>
  <c r="M2258" i="3"/>
  <c r="M2259" i="3"/>
  <c r="M2260" i="3"/>
  <c r="M2261" i="3"/>
  <c r="M2262" i="3"/>
  <c r="M2263" i="3"/>
  <c r="M2264" i="3"/>
  <c r="M2265" i="3"/>
  <c r="M2266" i="3"/>
  <c r="M2267" i="3"/>
  <c r="M2268" i="3"/>
  <c r="M2269" i="3"/>
  <c r="M2270" i="3"/>
  <c r="M2271" i="3"/>
  <c r="M2272" i="3"/>
  <c r="M2273" i="3"/>
  <c r="M2274" i="3"/>
  <c r="M2275" i="3"/>
  <c r="M2276" i="3"/>
  <c r="M2277" i="3"/>
  <c r="M2278" i="3"/>
  <c r="M2279" i="3"/>
  <c r="M2280" i="3"/>
  <c r="M2281" i="3"/>
  <c r="M2282" i="3"/>
  <c r="M2283" i="3"/>
  <c r="M2284" i="3"/>
  <c r="M2285" i="3"/>
  <c r="M2286" i="3"/>
  <c r="M2287" i="3"/>
  <c r="M2288" i="3"/>
  <c r="M2289" i="3"/>
  <c r="M2290" i="3"/>
  <c r="M2291" i="3"/>
  <c r="M2292" i="3"/>
  <c r="M2293" i="3"/>
  <c r="M2294" i="3"/>
  <c r="M2295" i="3"/>
  <c r="M2296" i="3"/>
  <c r="M2297" i="3"/>
  <c r="M2298" i="3"/>
  <c r="M2299" i="3"/>
  <c r="M2300" i="3"/>
  <c r="M2301" i="3"/>
  <c r="M2302" i="3"/>
  <c r="M2303" i="3"/>
  <c r="M2304" i="3"/>
  <c r="M2305" i="3"/>
  <c r="M2306" i="3"/>
  <c r="M2307" i="3"/>
  <c r="M2308" i="3"/>
  <c r="M2309" i="3"/>
  <c r="M2310" i="3"/>
  <c r="M2311" i="3"/>
  <c r="M2312" i="3"/>
  <c r="M2313" i="3"/>
  <c r="M2314" i="3"/>
  <c r="M2315" i="3"/>
  <c r="M2316" i="3"/>
  <c r="M2317" i="3"/>
  <c r="M2318" i="3"/>
  <c r="M2319" i="3"/>
  <c r="M2320" i="3"/>
  <c r="M2321" i="3"/>
  <c r="M2322" i="3"/>
  <c r="M2323" i="3"/>
  <c r="M2324" i="3"/>
  <c r="M2325" i="3"/>
  <c r="M2326" i="3"/>
  <c r="M2327" i="3"/>
  <c r="M2328" i="3"/>
  <c r="M2329" i="3"/>
  <c r="M2330" i="3"/>
  <c r="M2331" i="3"/>
  <c r="M2332" i="3"/>
  <c r="M2333" i="3"/>
  <c r="M2334" i="3"/>
  <c r="M2335" i="3"/>
  <c r="M2336" i="3"/>
  <c r="M2337" i="3"/>
  <c r="M2338" i="3"/>
  <c r="M2339" i="3"/>
  <c r="M2340" i="3"/>
  <c r="M2341" i="3"/>
  <c r="M2342" i="3"/>
  <c r="M2343" i="3"/>
  <c r="M2344" i="3"/>
  <c r="M2345" i="3"/>
  <c r="M2346" i="3"/>
  <c r="M2347" i="3"/>
  <c r="M2348" i="3"/>
  <c r="M2349" i="3"/>
  <c r="M2350" i="3"/>
  <c r="M2351" i="3"/>
  <c r="M2352" i="3"/>
  <c r="M2353" i="3"/>
  <c r="M2354" i="3"/>
  <c r="M2355" i="3"/>
  <c r="M2356" i="3"/>
  <c r="M2357" i="3"/>
  <c r="M2358" i="3"/>
  <c r="M2359" i="3"/>
  <c r="M2360" i="3"/>
  <c r="M2361" i="3"/>
  <c r="M2362" i="3"/>
  <c r="M2363" i="3"/>
  <c r="M2364" i="3"/>
  <c r="M2365" i="3"/>
  <c r="M2366" i="3"/>
  <c r="M2367" i="3"/>
  <c r="M2368" i="3"/>
  <c r="M2369" i="3"/>
  <c r="M2370" i="3"/>
  <c r="M2371" i="3"/>
  <c r="M2372" i="3"/>
  <c r="M2373" i="3"/>
  <c r="M2374" i="3"/>
  <c r="M2375" i="3"/>
  <c r="M2376" i="3"/>
  <c r="M2377" i="3"/>
  <c r="M2378" i="3"/>
  <c r="M2379" i="3"/>
  <c r="M2380" i="3"/>
  <c r="M2381" i="3"/>
  <c r="M2382" i="3"/>
  <c r="M2383" i="3"/>
  <c r="M2384" i="3"/>
  <c r="M2385" i="3"/>
  <c r="M2386" i="3"/>
  <c r="M2387" i="3"/>
  <c r="M2388" i="3"/>
  <c r="M2389" i="3"/>
  <c r="M2390" i="3"/>
  <c r="M2391" i="3"/>
  <c r="M2392" i="3"/>
  <c r="M2393" i="3"/>
  <c r="M2394" i="3"/>
  <c r="M2395" i="3"/>
  <c r="M2396" i="3"/>
  <c r="M2397" i="3"/>
  <c r="M2398" i="3"/>
  <c r="M2399" i="3"/>
  <c r="M2400" i="3"/>
  <c r="M2401" i="3"/>
  <c r="M2402" i="3"/>
  <c r="M2403" i="3"/>
  <c r="M2404" i="3"/>
  <c r="M2405" i="3"/>
  <c r="M2406" i="3"/>
  <c r="M2407" i="3"/>
  <c r="M2408" i="3"/>
  <c r="M2409" i="3"/>
  <c r="M2410" i="3"/>
  <c r="M2411" i="3"/>
  <c r="M2412" i="3"/>
  <c r="M2413" i="3"/>
  <c r="M2414" i="3"/>
  <c r="M2415" i="3"/>
  <c r="M2416" i="3"/>
  <c r="M2417" i="3"/>
  <c r="M2418" i="3"/>
  <c r="M2419" i="3"/>
  <c r="M2420" i="3"/>
  <c r="M2421" i="3"/>
  <c r="M2422" i="3"/>
  <c r="M2423" i="3"/>
  <c r="M2424" i="3"/>
  <c r="M2425" i="3"/>
  <c r="M2426" i="3"/>
  <c r="M2427" i="3"/>
  <c r="M2428" i="3"/>
  <c r="M2429" i="3"/>
  <c r="M2430" i="3"/>
  <c r="M2431" i="3"/>
  <c r="M2432" i="3"/>
  <c r="M2433" i="3"/>
  <c r="M2434" i="3"/>
  <c r="M2435" i="3"/>
  <c r="M2436" i="3"/>
  <c r="M2437" i="3"/>
  <c r="M2438" i="3"/>
  <c r="M2439" i="3"/>
  <c r="M2440" i="3"/>
  <c r="M2441" i="3"/>
  <c r="M2442" i="3"/>
  <c r="M2443" i="3"/>
  <c r="M2444" i="3"/>
  <c r="M2445" i="3"/>
  <c r="M2446" i="3"/>
  <c r="M2447" i="3"/>
  <c r="M2448" i="3"/>
  <c r="M2449" i="3"/>
  <c r="M2450" i="3"/>
  <c r="M2451" i="3"/>
  <c r="M2452" i="3"/>
  <c r="M2453" i="3"/>
  <c r="M2454" i="3"/>
  <c r="M2455" i="3"/>
  <c r="M2456" i="3"/>
  <c r="M2457" i="3"/>
  <c r="M2458" i="3"/>
  <c r="M2459" i="3"/>
  <c r="M2460" i="3"/>
  <c r="M2461" i="3"/>
  <c r="M2462" i="3"/>
  <c r="M2463" i="3"/>
  <c r="M2464" i="3"/>
  <c r="M2465" i="3"/>
  <c r="M2466" i="3"/>
  <c r="M2467" i="3"/>
  <c r="M2468" i="3"/>
  <c r="M2469" i="3"/>
  <c r="M2470" i="3"/>
  <c r="M2471" i="3"/>
  <c r="M2472" i="3"/>
  <c r="M2473" i="3"/>
  <c r="M2474" i="3"/>
  <c r="M2475" i="3"/>
  <c r="M2476" i="3"/>
  <c r="M2477" i="3"/>
  <c r="M2478" i="3"/>
  <c r="M2479" i="3"/>
  <c r="M2480" i="3"/>
  <c r="M2481" i="3"/>
  <c r="M2482" i="3"/>
  <c r="M2483" i="3"/>
  <c r="M2484" i="3"/>
  <c r="M2485" i="3"/>
  <c r="M2486" i="3"/>
  <c r="M2487" i="3"/>
  <c r="M2488" i="3"/>
  <c r="M2489" i="3"/>
  <c r="M2490" i="3"/>
  <c r="M2491" i="3"/>
  <c r="M2492" i="3"/>
  <c r="M2493" i="3"/>
  <c r="M2494" i="3"/>
  <c r="M2495" i="3"/>
  <c r="M2496" i="3"/>
  <c r="M2497" i="3"/>
  <c r="M2498" i="3"/>
  <c r="M2499" i="3"/>
  <c r="M2500" i="3"/>
  <c r="M2501" i="3"/>
  <c r="M2502" i="3"/>
  <c r="M2503" i="3"/>
  <c r="M2504" i="3"/>
  <c r="M2505" i="3"/>
  <c r="M2506" i="3"/>
  <c r="M2507" i="3"/>
  <c r="M2508" i="3"/>
  <c r="M2509" i="3"/>
  <c r="M2510" i="3"/>
  <c r="M2511" i="3"/>
  <c r="M2512" i="3"/>
  <c r="M2513" i="3"/>
  <c r="M2514" i="3"/>
  <c r="M2515" i="3"/>
  <c r="M2516" i="3"/>
  <c r="M2517" i="3"/>
  <c r="M2518" i="3"/>
  <c r="M2519" i="3"/>
  <c r="M2520" i="3"/>
  <c r="M2521" i="3"/>
  <c r="M2522" i="3"/>
  <c r="M2523" i="3"/>
  <c r="M2524" i="3"/>
  <c r="M2525" i="3"/>
  <c r="M2526" i="3"/>
  <c r="M2527" i="3"/>
  <c r="M2528" i="3"/>
  <c r="M2529" i="3"/>
  <c r="M2530" i="3"/>
  <c r="M2531" i="3"/>
  <c r="M2532" i="3"/>
  <c r="M2533" i="3"/>
  <c r="M2534" i="3"/>
  <c r="M2535" i="3"/>
  <c r="M2536" i="3"/>
  <c r="M2537" i="3"/>
  <c r="M2538" i="3"/>
  <c r="M2539" i="3"/>
  <c r="M2540" i="3"/>
  <c r="M2541" i="3"/>
  <c r="M2542" i="3"/>
  <c r="M2543" i="3"/>
  <c r="M2544" i="3"/>
  <c r="M2545" i="3"/>
  <c r="M2546" i="3"/>
  <c r="M2547" i="3"/>
  <c r="M2548" i="3"/>
  <c r="M2549" i="3"/>
  <c r="M2550" i="3"/>
  <c r="M2551" i="3"/>
  <c r="M2552" i="3"/>
  <c r="M2553" i="3"/>
  <c r="M2554" i="3"/>
  <c r="M2555" i="3"/>
  <c r="M2556" i="3"/>
  <c r="M2557" i="3"/>
  <c r="M2558" i="3"/>
  <c r="M2559" i="3"/>
  <c r="M2560" i="3"/>
  <c r="M2561" i="3"/>
  <c r="M2562" i="3"/>
  <c r="M2563" i="3"/>
  <c r="M2564" i="3"/>
  <c r="M2565" i="3"/>
  <c r="M2566" i="3"/>
  <c r="M2567" i="3"/>
  <c r="M2568" i="3"/>
  <c r="M2569" i="3"/>
  <c r="M2570" i="3"/>
  <c r="M2571" i="3"/>
  <c r="M2572" i="3"/>
  <c r="M2573" i="3"/>
  <c r="M2574" i="3"/>
  <c r="M2575" i="3"/>
  <c r="M2576" i="3"/>
  <c r="M2577" i="3"/>
  <c r="M2578" i="3"/>
  <c r="M2579" i="3"/>
  <c r="M2580" i="3"/>
  <c r="M2581" i="3"/>
  <c r="M2582" i="3"/>
  <c r="M2583" i="3"/>
  <c r="M2584" i="3"/>
  <c r="M2585" i="3"/>
  <c r="M2586" i="3"/>
  <c r="M2587" i="3"/>
  <c r="M2588" i="3"/>
  <c r="M2589" i="3"/>
  <c r="M2590" i="3"/>
  <c r="M2591" i="3"/>
  <c r="M2592" i="3"/>
  <c r="M2593" i="3"/>
  <c r="M2594" i="3"/>
  <c r="M2595" i="3"/>
  <c r="M2596" i="3"/>
  <c r="M2597" i="3"/>
  <c r="M2598" i="3"/>
  <c r="M2599" i="3"/>
  <c r="M2600" i="3"/>
  <c r="M2601" i="3"/>
  <c r="M2602" i="3"/>
  <c r="M2603" i="3"/>
  <c r="M2604" i="3"/>
  <c r="M2605" i="3"/>
  <c r="M2606" i="3"/>
  <c r="M2607" i="3"/>
  <c r="M2608" i="3"/>
  <c r="M2609" i="3"/>
  <c r="M2610" i="3"/>
  <c r="M2611" i="3"/>
  <c r="M2612" i="3"/>
  <c r="M2613" i="3"/>
  <c r="M2614" i="3"/>
  <c r="M2615" i="3"/>
  <c r="M2616" i="3"/>
  <c r="M2617" i="3"/>
  <c r="M2618" i="3"/>
  <c r="M2619" i="3"/>
  <c r="M2620" i="3"/>
  <c r="M2621" i="3"/>
  <c r="M2622" i="3"/>
  <c r="M2623" i="3"/>
  <c r="M2624" i="3"/>
  <c r="M3" i="3"/>
  <c r="S3" i="3"/>
  <c r="K3" i="3"/>
  <c r="T4" i="3"/>
  <c r="T5" i="3"/>
  <c r="T6" i="3"/>
  <c r="T7" i="3"/>
  <c r="T8" i="3"/>
  <c r="T9" i="3"/>
  <c r="T10" i="3"/>
  <c r="T11" i="3"/>
  <c r="T12" i="3"/>
  <c r="T13" i="3"/>
  <c r="T14" i="3"/>
  <c r="T15" i="3"/>
  <c r="T16" i="3"/>
  <c r="T17" i="3"/>
  <c r="T18" i="3"/>
  <c r="T19" i="3"/>
  <c r="T20" i="3"/>
  <c r="T21" i="3"/>
  <c r="T22" i="3"/>
  <c r="T23" i="3"/>
  <c r="T24" i="3"/>
  <c r="T25" i="3"/>
  <c r="T26" i="3"/>
  <c r="T27" i="3"/>
  <c r="T28" i="3"/>
  <c r="T29" i="3"/>
  <c r="T30" i="3"/>
  <c r="T31" i="3"/>
  <c r="T32" i="3"/>
  <c r="T33" i="3"/>
  <c r="T34" i="3"/>
  <c r="T35" i="3"/>
  <c r="T36" i="3"/>
  <c r="T37" i="3"/>
  <c r="T38" i="3"/>
  <c r="T39" i="3"/>
  <c r="T40" i="3"/>
  <c r="T41" i="3"/>
  <c r="T42" i="3"/>
  <c r="T43" i="3"/>
  <c r="T44" i="3"/>
  <c r="T45" i="3"/>
  <c r="T46" i="3"/>
  <c r="T47" i="3"/>
  <c r="T48" i="3"/>
  <c r="T49" i="3"/>
  <c r="T50" i="3"/>
  <c r="T51" i="3"/>
  <c r="T52" i="3"/>
  <c r="T53" i="3"/>
  <c r="T54" i="3"/>
  <c r="T55" i="3"/>
  <c r="T56" i="3"/>
  <c r="T57" i="3"/>
  <c r="T58" i="3"/>
  <c r="T59" i="3"/>
  <c r="T60" i="3"/>
  <c r="T61" i="3"/>
  <c r="T62" i="3"/>
  <c r="T63" i="3"/>
  <c r="T64" i="3"/>
  <c r="T65" i="3"/>
  <c r="T66" i="3"/>
  <c r="T67" i="3"/>
  <c r="T68" i="3"/>
  <c r="T69" i="3"/>
  <c r="T70" i="3"/>
  <c r="T71" i="3"/>
  <c r="T72" i="3"/>
  <c r="T73" i="3"/>
  <c r="T74" i="3"/>
  <c r="T75" i="3"/>
  <c r="T76" i="3"/>
  <c r="T77" i="3"/>
  <c r="T78" i="3"/>
  <c r="T79" i="3"/>
  <c r="T80" i="3"/>
  <c r="T81" i="3"/>
  <c r="T82" i="3"/>
  <c r="T83" i="3"/>
  <c r="T84" i="3"/>
  <c r="T85" i="3"/>
  <c r="T86" i="3"/>
  <c r="T87" i="3"/>
  <c r="T88" i="3"/>
  <c r="T89" i="3"/>
  <c r="T90" i="3"/>
  <c r="T91" i="3"/>
  <c r="T92" i="3"/>
  <c r="T93" i="3"/>
  <c r="T94" i="3"/>
  <c r="T95" i="3"/>
  <c r="T96" i="3"/>
  <c r="T97" i="3"/>
  <c r="T98" i="3"/>
  <c r="T99" i="3"/>
  <c r="T100" i="3"/>
  <c r="T101" i="3"/>
  <c r="T102" i="3"/>
  <c r="T103" i="3"/>
  <c r="T104" i="3"/>
  <c r="T105" i="3"/>
  <c r="T106" i="3"/>
  <c r="T107" i="3"/>
  <c r="T108" i="3"/>
  <c r="T109" i="3"/>
  <c r="T110" i="3"/>
  <c r="T111" i="3"/>
  <c r="T112" i="3"/>
  <c r="T113" i="3"/>
  <c r="T114" i="3"/>
  <c r="T115" i="3"/>
  <c r="T116" i="3"/>
  <c r="T117" i="3"/>
  <c r="T118" i="3"/>
  <c r="T119" i="3"/>
  <c r="T120" i="3"/>
  <c r="T121" i="3"/>
  <c r="T122" i="3"/>
  <c r="T123" i="3"/>
  <c r="T124" i="3"/>
  <c r="T125" i="3"/>
  <c r="T126" i="3"/>
  <c r="T127" i="3"/>
  <c r="T128" i="3"/>
  <c r="T129" i="3"/>
  <c r="T130" i="3"/>
  <c r="T131" i="3"/>
  <c r="T132" i="3"/>
  <c r="T133" i="3"/>
  <c r="T134" i="3"/>
  <c r="T135" i="3"/>
  <c r="T136" i="3"/>
  <c r="T137" i="3"/>
  <c r="T138" i="3"/>
  <c r="T139" i="3"/>
  <c r="T140" i="3"/>
  <c r="T141" i="3"/>
  <c r="T142" i="3"/>
  <c r="T143" i="3"/>
  <c r="T144" i="3"/>
  <c r="T145" i="3"/>
  <c r="T146" i="3"/>
  <c r="T147" i="3"/>
  <c r="T148" i="3"/>
  <c r="T149" i="3"/>
  <c r="T150" i="3"/>
  <c r="T151" i="3"/>
  <c r="T152" i="3"/>
  <c r="T153" i="3"/>
  <c r="T154" i="3"/>
  <c r="T155" i="3"/>
  <c r="T156" i="3"/>
  <c r="T157" i="3"/>
  <c r="T158" i="3"/>
  <c r="T159" i="3"/>
  <c r="T160" i="3"/>
  <c r="T161" i="3"/>
  <c r="T162" i="3"/>
  <c r="T163" i="3"/>
  <c r="T164" i="3"/>
  <c r="T165" i="3"/>
  <c r="T166" i="3"/>
  <c r="T167" i="3"/>
  <c r="T168" i="3"/>
  <c r="T169" i="3"/>
  <c r="T170" i="3"/>
  <c r="T171" i="3"/>
  <c r="T172" i="3"/>
  <c r="T173" i="3"/>
  <c r="T174" i="3"/>
  <c r="T175" i="3"/>
  <c r="T176" i="3"/>
  <c r="T177" i="3"/>
  <c r="T178" i="3"/>
  <c r="T179" i="3"/>
  <c r="T180" i="3"/>
  <c r="T181" i="3"/>
  <c r="T182" i="3"/>
  <c r="T183" i="3"/>
  <c r="T184" i="3"/>
  <c r="T185" i="3"/>
  <c r="T186" i="3"/>
  <c r="T187" i="3"/>
  <c r="T188" i="3"/>
  <c r="T189" i="3"/>
  <c r="T190" i="3"/>
  <c r="T191" i="3"/>
  <c r="T192" i="3"/>
  <c r="T193" i="3"/>
  <c r="T194" i="3"/>
  <c r="T195" i="3"/>
  <c r="T196" i="3"/>
  <c r="T197" i="3"/>
  <c r="T198" i="3"/>
  <c r="T199" i="3"/>
  <c r="T200" i="3"/>
  <c r="T201" i="3"/>
  <c r="T202" i="3"/>
  <c r="T203" i="3"/>
  <c r="T204" i="3"/>
  <c r="T205" i="3"/>
  <c r="T206" i="3"/>
  <c r="T207" i="3"/>
  <c r="T208" i="3"/>
  <c r="T209" i="3"/>
  <c r="T210" i="3"/>
  <c r="T211" i="3"/>
  <c r="T212" i="3"/>
  <c r="T213" i="3"/>
  <c r="T214" i="3"/>
  <c r="T215" i="3"/>
  <c r="T216" i="3"/>
  <c r="T217" i="3"/>
  <c r="T218" i="3"/>
  <c r="T219" i="3"/>
  <c r="T220" i="3"/>
  <c r="T221" i="3"/>
  <c r="T222" i="3"/>
  <c r="T223" i="3"/>
  <c r="T224" i="3"/>
  <c r="T225" i="3"/>
  <c r="T226" i="3"/>
  <c r="T227" i="3"/>
  <c r="T228" i="3"/>
  <c r="T229" i="3"/>
  <c r="T230" i="3"/>
  <c r="T231" i="3"/>
  <c r="T232" i="3"/>
  <c r="T233" i="3"/>
  <c r="T234" i="3"/>
  <c r="T235" i="3"/>
  <c r="T236" i="3"/>
  <c r="T237" i="3"/>
  <c r="T238" i="3"/>
  <c r="T239" i="3"/>
  <c r="T240" i="3"/>
  <c r="T241" i="3"/>
  <c r="T242" i="3"/>
  <c r="T243" i="3"/>
  <c r="T244" i="3"/>
  <c r="T245" i="3"/>
  <c r="T246" i="3"/>
  <c r="T247" i="3"/>
  <c r="T248" i="3"/>
  <c r="T249" i="3"/>
  <c r="T250" i="3"/>
  <c r="T251" i="3"/>
  <c r="T252" i="3"/>
  <c r="T253" i="3"/>
  <c r="T254" i="3"/>
  <c r="T255" i="3"/>
  <c r="T256" i="3"/>
  <c r="T257" i="3"/>
  <c r="T258" i="3"/>
  <c r="T259" i="3"/>
  <c r="T260" i="3"/>
  <c r="T261" i="3"/>
  <c r="T262" i="3"/>
  <c r="T263" i="3"/>
  <c r="T264" i="3"/>
  <c r="T265" i="3"/>
  <c r="T266" i="3"/>
  <c r="T267" i="3"/>
  <c r="T268" i="3"/>
  <c r="T269" i="3"/>
  <c r="T270" i="3"/>
  <c r="T271" i="3"/>
  <c r="T272" i="3"/>
  <c r="T273" i="3"/>
  <c r="T274" i="3"/>
  <c r="T275" i="3"/>
  <c r="T276" i="3"/>
  <c r="T277" i="3"/>
  <c r="T278" i="3"/>
  <c r="T279" i="3"/>
  <c r="T280" i="3"/>
  <c r="T281" i="3"/>
  <c r="T282" i="3"/>
  <c r="T283" i="3"/>
  <c r="T284" i="3"/>
  <c r="T285" i="3"/>
  <c r="T286" i="3"/>
  <c r="T287" i="3"/>
  <c r="T288" i="3"/>
  <c r="T289" i="3"/>
  <c r="T290" i="3"/>
  <c r="T291" i="3"/>
  <c r="T292" i="3"/>
  <c r="T293" i="3"/>
  <c r="T294" i="3"/>
  <c r="T295" i="3"/>
  <c r="T296" i="3"/>
  <c r="T297" i="3"/>
  <c r="T298" i="3"/>
  <c r="T299" i="3"/>
  <c r="T300" i="3"/>
  <c r="T301" i="3"/>
  <c r="T302" i="3"/>
  <c r="T303" i="3"/>
  <c r="T304" i="3"/>
  <c r="T305" i="3"/>
  <c r="T306" i="3"/>
  <c r="T307" i="3"/>
  <c r="T308" i="3"/>
  <c r="T309" i="3"/>
  <c r="T310" i="3"/>
  <c r="T311" i="3"/>
  <c r="T312" i="3"/>
  <c r="T313" i="3"/>
  <c r="T314" i="3"/>
  <c r="T315" i="3"/>
  <c r="T316" i="3"/>
  <c r="T317" i="3"/>
  <c r="T318" i="3"/>
  <c r="T319" i="3"/>
  <c r="T320" i="3"/>
  <c r="T321" i="3"/>
  <c r="T322" i="3"/>
  <c r="T323" i="3"/>
  <c r="T324" i="3"/>
  <c r="T325" i="3"/>
  <c r="T326" i="3"/>
  <c r="T327" i="3"/>
  <c r="T328" i="3"/>
  <c r="T329" i="3"/>
  <c r="T330" i="3"/>
  <c r="T331" i="3"/>
  <c r="T332" i="3"/>
  <c r="T333" i="3"/>
  <c r="T334" i="3"/>
  <c r="T335" i="3"/>
  <c r="T336" i="3"/>
  <c r="T337" i="3"/>
  <c r="T338" i="3"/>
  <c r="T339" i="3"/>
  <c r="T340" i="3"/>
  <c r="T341" i="3"/>
  <c r="T342" i="3"/>
  <c r="T343" i="3"/>
  <c r="T344" i="3"/>
  <c r="T345" i="3"/>
  <c r="T346" i="3"/>
  <c r="T347" i="3"/>
  <c r="T348" i="3"/>
  <c r="T349" i="3"/>
  <c r="T350" i="3"/>
  <c r="T351" i="3"/>
  <c r="T352" i="3"/>
  <c r="T353" i="3"/>
  <c r="T354" i="3"/>
  <c r="T355" i="3"/>
  <c r="T356" i="3"/>
  <c r="T357" i="3"/>
  <c r="T358" i="3"/>
  <c r="T359" i="3"/>
  <c r="T360" i="3"/>
  <c r="T361" i="3"/>
  <c r="T362" i="3"/>
  <c r="T363" i="3"/>
  <c r="T364" i="3"/>
  <c r="T365" i="3"/>
  <c r="T366" i="3"/>
  <c r="T367" i="3"/>
  <c r="T368" i="3"/>
  <c r="T369" i="3"/>
  <c r="T370" i="3"/>
  <c r="T371" i="3"/>
  <c r="T372" i="3"/>
  <c r="T373" i="3"/>
  <c r="T374" i="3"/>
  <c r="T375" i="3"/>
  <c r="T376" i="3"/>
  <c r="T377" i="3"/>
  <c r="T378" i="3"/>
  <c r="T379" i="3"/>
  <c r="T380" i="3"/>
  <c r="T381" i="3"/>
  <c r="T382" i="3"/>
  <c r="T383" i="3"/>
  <c r="T384" i="3"/>
  <c r="T385" i="3"/>
  <c r="T386" i="3"/>
  <c r="T387" i="3"/>
  <c r="T388" i="3"/>
  <c r="T389" i="3"/>
  <c r="T390" i="3"/>
  <c r="T391" i="3"/>
  <c r="T392" i="3"/>
  <c r="T393" i="3"/>
  <c r="T394" i="3"/>
  <c r="T395" i="3"/>
  <c r="T396" i="3"/>
  <c r="T397" i="3"/>
  <c r="T398" i="3"/>
  <c r="T399" i="3"/>
  <c r="T400" i="3"/>
  <c r="T401" i="3"/>
  <c r="T402" i="3"/>
  <c r="T403" i="3"/>
  <c r="T404" i="3"/>
  <c r="T405" i="3"/>
  <c r="T406" i="3"/>
  <c r="T407" i="3"/>
  <c r="T408" i="3"/>
  <c r="T409" i="3"/>
  <c r="T410" i="3"/>
  <c r="T411" i="3"/>
  <c r="T412" i="3"/>
  <c r="T413" i="3"/>
  <c r="T414" i="3"/>
  <c r="T415" i="3"/>
  <c r="T416" i="3"/>
  <c r="T417" i="3"/>
  <c r="T418" i="3"/>
  <c r="T419" i="3"/>
  <c r="T420" i="3"/>
  <c r="T421" i="3"/>
  <c r="T422" i="3"/>
  <c r="T423" i="3"/>
  <c r="T424" i="3"/>
  <c r="T425" i="3"/>
  <c r="T426" i="3"/>
  <c r="T427" i="3"/>
  <c r="T428" i="3"/>
  <c r="T429" i="3"/>
  <c r="T430" i="3"/>
  <c r="T431" i="3"/>
  <c r="T432" i="3"/>
  <c r="T433" i="3"/>
  <c r="T434" i="3"/>
  <c r="T435" i="3"/>
  <c r="T436" i="3"/>
  <c r="T437" i="3"/>
  <c r="T438" i="3"/>
  <c r="T439" i="3"/>
  <c r="T440" i="3"/>
  <c r="T441" i="3"/>
  <c r="T442" i="3"/>
  <c r="T443" i="3"/>
  <c r="T444" i="3"/>
  <c r="T445" i="3"/>
  <c r="T446" i="3"/>
  <c r="T447" i="3"/>
  <c r="T448" i="3"/>
  <c r="T449" i="3"/>
  <c r="T450" i="3"/>
  <c r="T451" i="3"/>
  <c r="T452" i="3"/>
  <c r="T453" i="3"/>
  <c r="T454" i="3"/>
  <c r="T455" i="3"/>
  <c r="T456" i="3"/>
  <c r="T457" i="3"/>
  <c r="T458" i="3"/>
  <c r="T459" i="3"/>
  <c r="T460" i="3"/>
  <c r="T461" i="3"/>
  <c r="T462" i="3"/>
  <c r="T463" i="3"/>
  <c r="T464" i="3"/>
  <c r="T465" i="3"/>
  <c r="T466" i="3"/>
  <c r="T467" i="3"/>
  <c r="T468" i="3"/>
  <c r="T469" i="3"/>
  <c r="T470" i="3"/>
  <c r="T471" i="3"/>
  <c r="T472" i="3"/>
  <c r="T473" i="3"/>
  <c r="T474" i="3"/>
  <c r="T475" i="3"/>
  <c r="T476" i="3"/>
  <c r="T477" i="3"/>
  <c r="T478" i="3"/>
  <c r="T479" i="3"/>
  <c r="T480" i="3"/>
  <c r="T481" i="3"/>
  <c r="T482" i="3"/>
  <c r="T483" i="3"/>
  <c r="T484" i="3"/>
  <c r="T485" i="3"/>
  <c r="T486" i="3"/>
  <c r="T487" i="3"/>
  <c r="T488" i="3"/>
  <c r="T489" i="3"/>
  <c r="T490" i="3"/>
  <c r="T491" i="3"/>
  <c r="T492" i="3"/>
  <c r="T493" i="3"/>
  <c r="T494" i="3"/>
  <c r="T495" i="3"/>
  <c r="T496" i="3"/>
  <c r="T497" i="3"/>
  <c r="T498" i="3"/>
  <c r="T499" i="3"/>
  <c r="T500" i="3"/>
  <c r="T501" i="3"/>
  <c r="T502" i="3"/>
  <c r="T503" i="3"/>
  <c r="T504" i="3"/>
  <c r="T505" i="3"/>
  <c r="T506" i="3"/>
  <c r="T507" i="3"/>
  <c r="T508" i="3"/>
  <c r="T509" i="3"/>
  <c r="T510" i="3"/>
  <c r="T511" i="3"/>
  <c r="T512" i="3"/>
  <c r="T513" i="3"/>
  <c r="T514" i="3"/>
  <c r="T515" i="3"/>
  <c r="T516" i="3"/>
  <c r="T517" i="3"/>
  <c r="T518" i="3"/>
  <c r="T519" i="3"/>
  <c r="T520" i="3"/>
  <c r="T521" i="3"/>
  <c r="T522" i="3"/>
  <c r="T523" i="3"/>
  <c r="T524" i="3"/>
  <c r="T525" i="3"/>
  <c r="T526" i="3"/>
  <c r="T527" i="3"/>
  <c r="T528" i="3"/>
  <c r="T529" i="3"/>
  <c r="T530" i="3"/>
  <c r="T531" i="3"/>
  <c r="T532" i="3"/>
  <c r="T533" i="3"/>
  <c r="T534" i="3"/>
  <c r="T535" i="3"/>
  <c r="T536" i="3"/>
  <c r="T537" i="3"/>
  <c r="T538" i="3"/>
  <c r="T539" i="3"/>
  <c r="T540" i="3"/>
  <c r="T541" i="3"/>
  <c r="T542" i="3"/>
  <c r="T543" i="3"/>
  <c r="T544" i="3"/>
  <c r="T545" i="3"/>
  <c r="T546" i="3"/>
  <c r="T547" i="3"/>
  <c r="T548" i="3"/>
  <c r="T549" i="3"/>
  <c r="T550" i="3"/>
  <c r="T551" i="3"/>
  <c r="T552" i="3"/>
  <c r="T553" i="3"/>
  <c r="T554" i="3"/>
  <c r="T555" i="3"/>
  <c r="T556" i="3"/>
  <c r="T557" i="3"/>
  <c r="T558" i="3"/>
  <c r="T559" i="3"/>
  <c r="T560" i="3"/>
  <c r="T561" i="3"/>
  <c r="T562" i="3"/>
  <c r="T563" i="3"/>
  <c r="T564" i="3"/>
  <c r="T565" i="3"/>
  <c r="T566" i="3"/>
  <c r="T567" i="3"/>
  <c r="T568" i="3"/>
  <c r="T569" i="3"/>
  <c r="T570" i="3"/>
  <c r="T571" i="3"/>
  <c r="T572" i="3"/>
  <c r="T573" i="3"/>
  <c r="T574" i="3"/>
  <c r="T575" i="3"/>
  <c r="T576" i="3"/>
  <c r="T577" i="3"/>
  <c r="T578" i="3"/>
  <c r="T579" i="3"/>
  <c r="T580" i="3"/>
  <c r="T581" i="3"/>
  <c r="T582" i="3"/>
  <c r="T583" i="3"/>
  <c r="T584" i="3"/>
  <c r="T585" i="3"/>
  <c r="T586" i="3"/>
  <c r="T587" i="3"/>
  <c r="T588" i="3"/>
  <c r="T589" i="3"/>
  <c r="T590" i="3"/>
  <c r="T591" i="3"/>
  <c r="T592" i="3"/>
  <c r="T593" i="3"/>
  <c r="T594" i="3"/>
  <c r="T595" i="3"/>
  <c r="T596" i="3"/>
  <c r="T597" i="3"/>
  <c r="T598" i="3"/>
  <c r="T599" i="3"/>
  <c r="T600" i="3"/>
  <c r="T601" i="3"/>
  <c r="T602" i="3"/>
  <c r="T603" i="3"/>
  <c r="T604" i="3"/>
  <c r="T605" i="3"/>
  <c r="T606" i="3"/>
  <c r="T607" i="3"/>
  <c r="T608" i="3"/>
  <c r="T609" i="3"/>
  <c r="T610" i="3"/>
  <c r="T611" i="3"/>
  <c r="T612" i="3"/>
  <c r="T613" i="3"/>
  <c r="T614" i="3"/>
  <c r="T615" i="3"/>
  <c r="T616" i="3"/>
  <c r="T617" i="3"/>
  <c r="T618" i="3"/>
  <c r="T619" i="3"/>
  <c r="T620" i="3"/>
  <c r="T621" i="3"/>
  <c r="T622" i="3"/>
  <c r="T623" i="3"/>
  <c r="T624" i="3"/>
  <c r="T625" i="3"/>
  <c r="T626" i="3"/>
  <c r="T627" i="3"/>
  <c r="T628" i="3"/>
  <c r="T629" i="3"/>
  <c r="T630" i="3"/>
  <c r="T631" i="3"/>
  <c r="T632" i="3"/>
  <c r="T633" i="3"/>
  <c r="T634" i="3"/>
  <c r="T635" i="3"/>
  <c r="T636" i="3"/>
  <c r="T637" i="3"/>
  <c r="T638" i="3"/>
  <c r="T639" i="3"/>
  <c r="T640" i="3"/>
  <c r="T641" i="3"/>
  <c r="T642" i="3"/>
  <c r="T643" i="3"/>
  <c r="T644" i="3"/>
  <c r="T645" i="3"/>
  <c r="T646" i="3"/>
  <c r="T647" i="3"/>
  <c r="T648" i="3"/>
  <c r="T649" i="3"/>
  <c r="T650" i="3"/>
  <c r="T651" i="3"/>
  <c r="T652" i="3"/>
  <c r="T653" i="3"/>
  <c r="T654" i="3"/>
  <c r="T655" i="3"/>
  <c r="T656" i="3"/>
  <c r="T657" i="3"/>
  <c r="T658" i="3"/>
  <c r="T659" i="3"/>
  <c r="T660" i="3"/>
  <c r="T661" i="3"/>
  <c r="T662" i="3"/>
  <c r="T663" i="3"/>
  <c r="T664" i="3"/>
  <c r="T665" i="3"/>
  <c r="T666" i="3"/>
  <c r="T667" i="3"/>
  <c r="T668" i="3"/>
  <c r="T669" i="3"/>
  <c r="T670" i="3"/>
  <c r="T671" i="3"/>
  <c r="T672" i="3"/>
  <c r="T673" i="3"/>
  <c r="T674" i="3"/>
  <c r="T675" i="3"/>
  <c r="T676" i="3"/>
  <c r="T677" i="3"/>
  <c r="T678" i="3"/>
  <c r="T679" i="3"/>
  <c r="T680" i="3"/>
  <c r="T681" i="3"/>
  <c r="T682" i="3"/>
  <c r="T683" i="3"/>
  <c r="T684" i="3"/>
  <c r="T685" i="3"/>
  <c r="T686" i="3"/>
  <c r="T687" i="3"/>
  <c r="T688" i="3"/>
  <c r="T689" i="3"/>
  <c r="T690" i="3"/>
  <c r="T691" i="3"/>
  <c r="T692" i="3"/>
  <c r="T693" i="3"/>
  <c r="T694" i="3"/>
  <c r="T695" i="3"/>
  <c r="T696" i="3"/>
  <c r="T697" i="3"/>
  <c r="T698" i="3"/>
  <c r="T699" i="3"/>
  <c r="T700" i="3"/>
  <c r="T701" i="3"/>
  <c r="T702" i="3"/>
  <c r="T703" i="3"/>
  <c r="T704" i="3"/>
  <c r="T705" i="3"/>
  <c r="T706" i="3"/>
  <c r="T707" i="3"/>
  <c r="T708" i="3"/>
  <c r="T709" i="3"/>
  <c r="T710" i="3"/>
  <c r="T711" i="3"/>
  <c r="T712" i="3"/>
  <c r="T713" i="3"/>
  <c r="T714" i="3"/>
  <c r="T715" i="3"/>
  <c r="T716" i="3"/>
  <c r="T717" i="3"/>
  <c r="T718" i="3"/>
  <c r="T719" i="3"/>
  <c r="T720" i="3"/>
  <c r="T721" i="3"/>
  <c r="T722" i="3"/>
  <c r="T723" i="3"/>
  <c r="T724" i="3"/>
  <c r="T725" i="3"/>
  <c r="T726" i="3"/>
  <c r="T727" i="3"/>
  <c r="T728" i="3"/>
  <c r="T729" i="3"/>
  <c r="T730" i="3"/>
  <c r="T731" i="3"/>
  <c r="T732" i="3"/>
  <c r="T733" i="3"/>
  <c r="T734" i="3"/>
  <c r="T735" i="3"/>
  <c r="T736" i="3"/>
  <c r="T737" i="3"/>
  <c r="T738" i="3"/>
  <c r="T739" i="3"/>
  <c r="T740" i="3"/>
  <c r="T741" i="3"/>
  <c r="T742" i="3"/>
  <c r="T743" i="3"/>
  <c r="T744" i="3"/>
  <c r="T745" i="3"/>
  <c r="T746" i="3"/>
  <c r="T747" i="3"/>
  <c r="T748" i="3"/>
  <c r="T749" i="3"/>
  <c r="T750" i="3"/>
  <c r="T751" i="3"/>
  <c r="T752" i="3"/>
  <c r="T753" i="3"/>
  <c r="T754" i="3"/>
  <c r="T755" i="3"/>
  <c r="T756" i="3"/>
  <c r="T757" i="3"/>
  <c r="T758" i="3"/>
  <c r="T759" i="3"/>
  <c r="T760" i="3"/>
  <c r="T761" i="3"/>
  <c r="T762" i="3"/>
  <c r="T763" i="3"/>
  <c r="T764" i="3"/>
  <c r="T765" i="3"/>
  <c r="T766" i="3"/>
  <c r="T767" i="3"/>
  <c r="T768" i="3"/>
  <c r="T769" i="3"/>
  <c r="T770" i="3"/>
  <c r="T771" i="3"/>
  <c r="T772" i="3"/>
  <c r="T773" i="3"/>
  <c r="T774" i="3"/>
  <c r="T775" i="3"/>
  <c r="T776" i="3"/>
  <c r="T777" i="3"/>
  <c r="T778" i="3"/>
  <c r="T779" i="3"/>
  <c r="T780" i="3"/>
  <c r="T781" i="3"/>
  <c r="T782" i="3"/>
  <c r="T783" i="3"/>
  <c r="T784" i="3"/>
  <c r="T785" i="3"/>
  <c r="T786" i="3"/>
  <c r="T787" i="3"/>
  <c r="T788" i="3"/>
  <c r="T789" i="3"/>
  <c r="T790" i="3"/>
  <c r="T791" i="3"/>
  <c r="T792" i="3"/>
  <c r="T793" i="3"/>
  <c r="T794" i="3"/>
  <c r="T795" i="3"/>
  <c r="T796" i="3"/>
  <c r="T797" i="3"/>
  <c r="T798" i="3"/>
  <c r="T799" i="3"/>
  <c r="T800" i="3"/>
  <c r="T801" i="3"/>
  <c r="T802" i="3"/>
  <c r="T803" i="3"/>
  <c r="T804" i="3"/>
  <c r="T805" i="3"/>
  <c r="T806" i="3"/>
  <c r="T807" i="3"/>
  <c r="T808" i="3"/>
  <c r="T809" i="3"/>
  <c r="T810" i="3"/>
  <c r="T811" i="3"/>
  <c r="T812" i="3"/>
  <c r="T813" i="3"/>
  <c r="T814" i="3"/>
  <c r="T815" i="3"/>
  <c r="T816" i="3"/>
  <c r="T817" i="3"/>
  <c r="T818" i="3"/>
  <c r="T819" i="3"/>
  <c r="T820" i="3"/>
  <c r="T821" i="3"/>
  <c r="T822" i="3"/>
  <c r="T823" i="3"/>
  <c r="T824" i="3"/>
  <c r="T825" i="3"/>
  <c r="T826" i="3"/>
  <c r="T827" i="3"/>
  <c r="T828" i="3"/>
  <c r="T829" i="3"/>
  <c r="T830" i="3"/>
  <c r="T831" i="3"/>
  <c r="T832" i="3"/>
  <c r="T833" i="3"/>
  <c r="T834" i="3"/>
  <c r="T835" i="3"/>
  <c r="T836" i="3"/>
  <c r="T837" i="3"/>
  <c r="T838" i="3"/>
  <c r="T839" i="3"/>
  <c r="T840" i="3"/>
  <c r="T841" i="3"/>
  <c r="T842" i="3"/>
  <c r="T843" i="3"/>
  <c r="T844" i="3"/>
  <c r="T845" i="3"/>
  <c r="T846" i="3"/>
  <c r="T847" i="3"/>
  <c r="T848" i="3"/>
  <c r="T849" i="3"/>
  <c r="T850" i="3"/>
  <c r="T851" i="3"/>
  <c r="T852" i="3"/>
  <c r="T853" i="3"/>
  <c r="T854" i="3"/>
  <c r="T855" i="3"/>
  <c r="T856" i="3"/>
  <c r="T857" i="3"/>
  <c r="T858" i="3"/>
  <c r="T859" i="3"/>
  <c r="T860" i="3"/>
  <c r="T861" i="3"/>
  <c r="T862" i="3"/>
  <c r="T863" i="3"/>
  <c r="T864" i="3"/>
  <c r="T865" i="3"/>
  <c r="T866" i="3"/>
  <c r="T867" i="3"/>
  <c r="T868" i="3"/>
  <c r="T869" i="3"/>
  <c r="T870" i="3"/>
  <c r="T871" i="3"/>
  <c r="T872" i="3"/>
  <c r="T873" i="3"/>
  <c r="T874" i="3"/>
  <c r="T875" i="3"/>
  <c r="T876" i="3"/>
  <c r="T877" i="3"/>
  <c r="T878" i="3"/>
  <c r="T879" i="3"/>
  <c r="T880" i="3"/>
  <c r="T881" i="3"/>
  <c r="T882" i="3"/>
  <c r="T883" i="3"/>
  <c r="T884" i="3"/>
  <c r="T885" i="3"/>
  <c r="T886" i="3"/>
  <c r="T887" i="3"/>
  <c r="T888" i="3"/>
  <c r="T889" i="3"/>
  <c r="T890" i="3"/>
  <c r="T891" i="3"/>
  <c r="T892" i="3"/>
  <c r="T893" i="3"/>
  <c r="T894" i="3"/>
  <c r="T895" i="3"/>
  <c r="T896" i="3"/>
  <c r="T897" i="3"/>
  <c r="T898" i="3"/>
  <c r="T899" i="3"/>
  <c r="T900" i="3"/>
  <c r="T901" i="3"/>
  <c r="T902" i="3"/>
  <c r="T903" i="3"/>
  <c r="T904" i="3"/>
  <c r="T905" i="3"/>
  <c r="T906" i="3"/>
  <c r="T907" i="3"/>
  <c r="T908" i="3"/>
  <c r="T909" i="3"/>
  <c r="T910" i="3"/>
  <c r="T911" i="3"/>
  <c r="T912" i="3"/>
  <c r="T913" i="3"/>
  <c r="T914" i="3"/>
  <c r="T915" i="3"/>
  <c r="T916" i="3"/>
  <c r="T917" i="3"/>
  <c r="T918" i="3"/>
  <c r="T919" i="3"/>
  <c r="T920" i="3"/>
  <c r="T921" i="3"/>
  <c r="T922" i="3"/>
  <c r="T923" i="3"/>
  <c r="T924" i="3"/>
  <c r="T925" i="3"/>
  <c r="T926" i="3"/>
  <c r="T927" i="3"/>
  <c r="T928" i="3"/>
  <c r="T929" i="3"/>
  <c r="T930" i="3"/>
  <c r="T931" i="3"/>
  <c r="T932" i="3"/>
  <c r="T933" i="3"/>
  <c r="T934" i="3"/>
  <c r="T935" i="3"/>
  <c r="T936" i="3"/>
  <c r="T937" i="3"/>
  <c r="T938" i="3"/>
  <c r="T939" i="3"/>
  <c r="T940" i="3"/>
  <c r="T941" i="3"/>
  <c r="T942" i="3"/>
  <c r="T943" i="3"/>
  <c r="T944" i="3"/>
  <c r="T945" i="3"/>
  <c r="T946" i="3"/>
  <c r="T947" i="3"/>
  <c r="T948" i="3"/>
  <c r="T949" i="3"/>
  <c r="T950" i="3"/>
  <c r="T951" i="3"/>
  <c r="T952" i="3"/>
  <c r="T953" i="3"/>
  <c r="T954" i="3"/>
  <c r="T955" i="3"/>
  <c r="T956" i="3"/>
  <c r="T957" i="3"/>
  <c r="T958" i="3"/>
  <c r="T959" i="3"/>
  <c r="T960" i="3"/>
  <c r="T961" i="3"/>
  <c r="T962" i="3"/>
  <c r="T963" i="3"/>
  <c r="T964" i="3"/>
  <c r="T965" i="3"/>
  <c r="T966" i="3"/>
  <c r="T967" i="3"/>
  <c r="T968" i="3"/>
  <c r="T969" i="3"/>
  <c r="T970" i="3"/>
  <c r="T971" i="3"/>
  <c r="T972" i="3"/>
  <c r="T973" i="3"/>
  <c r="T974" i="3"/>
  <c r="T975" i="3"/>
  <c r="T976" i="3"/>
  <c r="T977" i="3"/>
  <c r="T978" i="3"/>
  <c r="T979" i="3"/>
  <c r="T980" i="3"/>
  <c r="T981" i="3"/>
  <c r="T982" i="3"/>
  <c r="T983" i="3"/>
  <c r="T984" i="3"/>
  <c r="T985" i="3"/>
  <c r="T986" i="3"/>
  <c r="T987" i="3"/>
  <c r="T988" i="3"/>
  <c r="T989" i="3"/>
  <c r="T990" i="3"/>
  <c r="T991" i="3"/>
  <c r="T992" i="3"/>
  <c r="T993" i="3"/>
  <c r="T994" i="3"/>
  <c r="T995" i="3"/>
  <c r="T996" i="3"/>
  <c r="T997" i="3"/>
  <c r="T998" i="3"/>
  <c r="T999" i="3"/>
  <c r="T1000" i="3"/>
  <c r="T1001" i="3"/>
  <c r="T1002" i="3"/>
  <c r="T1003" i="3"/>
  <c r="T1004" i="3"/>
  <c r="T1005" i="3"/>
  <c r="T1006" i="3"/>
  <c r="T1007" i="3"/>
  <c r="T1008" i="3"/>
  <c r="T1009" i="3"/>
  <c r="T1010" i="3"/>
  <c r="T1011" i="3"/>
  <c r="T1012" i="3"/>
  <c r="T1013" i="3"/>
  <c r="T1014" i="3"/>
  <c r="T1015" i="3"/>
  <c r="T1016" i="3"/>
  <c r="T1017" i="3"/>
  <c r="T1018" i="3"/>
  <c r="T1019" i="3"/>
  <c r="T1020" i="3"/>
  <c r="T1021" i="3"/>
  <c r="T1022" i="3"/>
  <c r="T1023" i="3"/>
  <c r="T1024" i="3"/>
  <c r="T1025" i="3"/>
  <c r="T1026" i="3"/>
  <c r="T1027" i="3"/>
  <c r="T1028" i="3"/>
  <c r="T1029" i="3"/>
  <c r="T1030" i="3"/>
  <c r="T1031" i="3"/>
  <c r="T1032" i="3"/>
  <c r="T1033" i="3"/>
  <c r="T1034" i="3"/>
  <c r="T1035" i="3"/>
  <c r="T1036" i="3"/>
  <c r="T1037" i="3"/>
  <c r="T1038" i="3"/>
  <c r="T1039" i="3"/>
  <c r="T1040" i="3"/>
  <c r="T1041" i="3"/>
  <c r="T1042" i="3"/>
  <c r="T1043" i="3"/>
  <c r="T1044" i="3"/>
  <c r="T1045" i="3"/>
  <c r="T1046" i="3"/>
  <c r="T1047" i="3"/>
  <c r="T1048" i="3"/>
  <c r="T1049" i="3"/>
  <c r="T1050" i="3"/>
  <c r="T1051" i="3"/>
  <c r="T1052" i="3"/>
  <c r="T1053" i="3"/>
  <c r="T1054" i="3"/>
  <c r="T1055" i="3"/>
  <c r="T1056" i="3"/>
  <c r="T1057" i="3"/>
  <c r="T1058" i="3"/>
  <c r="T1059" i="3"/>
  <c r="T1060" i="3"/>
  <c r="T1061" i="3"/>
  <c r="T1062" i="3"/>
  <c r="T1063" i="3"/>
  <c r="T1064" i="3"/>
  <c r="T1065" i="3"/>
  <c r="T1066" i="3"/>
  <c r="T1067" i="3"/>
  <c r="T1068" i="3"/>
  <c r="T1069" i="3"/>
  <c r="T1070" i="3"/>
  <c r="T1071" i="3"/>
  <c r="T1072" i="3"/>
  <c r="T1073" i="3"/>
  <c r="T1074" i="3"/>
  <c r="T1075" i="3"/>
  <c r="T1076" i="3"/>
  <c r="T1077" i="3"/>
  <c r="T1078" i="3"/>
  <c r="T1079" i="3"/>
  <c r="T1080" i="3"/>
  <c r="T1081" i="3"/>
  <c r="T1082" i="3"/>
  <c r="T1083" i="3"/>
  <c r="T1084" i="3"/>
  <c r="T1085" i="3"/>
  <c r="T1086" i="3"/>
  <c r="T1087" i="3"/>
  <c r="T1088" i="3"/>
  <c r="T1089" i="3"/>
  <c r="T1090" i="3"/>
  <c r="T1091" i="3"/>
  <c r="T1092" i="3"/>
  <c r="T1093" i="3"/>
  <c r="T1094" i="3"/>
  <c r="T1095" i="3"/>
  <c r="T1096" i="3"/>
  <c r="T1097" i="3"/>
  <c r="T1098" i="3"/>
  <c r="T1099" i="3"/>
  <c r="T1100" i="3"/>
  <c r="T1101" i="3"/>
  <c r="T1102" i="3"/>
  <c r="T1103" i="3"/>
  <c r="T1104" i="3"/>
  <c r="T1105" i="3"/>
  <c r="T1106" i="3"/>
  <c r="T1107" i="3"/>
  <c r="T1108" i="3"/>
  <c r="T1109" i="3"/>
  <c r="T1110" i="3"/>
  <c r="T1111" i="3"/>
  <c r="T1112" i="3"/>
  <c r="T1113" i="3"/>
  <c r="T1114" i="3"/>
  <c r="T1115" i="3"/>
  <c r="T1116" i="3"/>
  <c r="T1117" i="3"/>
  <c r="T1118" i="3"/>
  <c r="T1119" i="3"/>
  <c r="T1120" i="3"/>
  <c r="T1121" i="3"/>
  <c r="T1122" i="3"/>
  <c r="T1123" i="3"/>
  <c r="T1124" i="3"/>
  <c r="T1125" i="3"/>
  <c r="T1126" i="3"/>
  <c r="T1127" i="3"/>
  <c r="T1128" i="3"/>
  <c r="T1129" i="3"/>
  <c r="T1130" i="3"/>
  <c r="T1131" i="3"/>
  <c r="T1132" i="3"/>
  <c r="T1133" i="3"/>
  <c r="T1134" i="3"/>
  <c r="T1135" i="3"/>
  <c r="T1136" i="3"/>
  <c r="T1137" i="3"/>
  <c r="T1138" i="3"/>
  <c r="T1139" i="3"/>
  <c r="T1140" i="3"/>
  <c r="T1141" i="3"/>
  <c r="T1142" i="3"/>
  <c r="T1143" i="3"/>
  <c r="T1144" i="3"/>
  <c r="T1145" i="3"/>
  <c r="T1146" i="3"/>
  <c r="T1147" i="3"/>
  <c r="T1148" i="3"/>
  <c r="T1149" i="3"/>
  <c r="T1150" i="3"/>
  <c r="T1151" i="3"/>
  <c r="T1152" i="3"/>
  <c r="T1153" i="3"/>
  <c r="T1154" i="3"/>
  <c r="T1155" i="3"/>
  <c r="T1156" i="3"/>
  <c r="T1157" i="3"/>
  <c r="T1158" i="3"/>
  <c r="T1159" i="3"/>
  <c r="T1160" i="3"/>
  <c r="T1161" i="3"/>
  <c r="T1162" i="3"/>
  <c r="T1163" i="3"/>
  <c r="T1164" i="3"/>
  <c r="T1165" i="3"/>
  <c r="T1166" i="3"/>
  <c r="T1167" i="3"/>
  <c r="T1168" i="3"/>
  <c r="T1169" i="3"/>
  <c r="T1170" i="3"/>
  <c r="T1171" i="3"/>
  <c r="T1172" i="3"/>
  <c r="T1173" i="3"/>
  <c r="T1174" i="3"/>
  <c r="T1175" i="3"/>
  <c r="T1176" i="3"/>
  <c r="T1177" i="3"/>
  <c r="T1178" i="3"/>
  <c r="T1179" i="3"/>
  <c r="T1180" i="3"/>
  <c r="T1181" i="3"/>
  <c r="T1182" i="3"/>
  <c r="T1183" i="3"/>
  <c r="T1184" i="3"/>
  <c r="T1185" i="3"/>
  <c r="T1186" i="3"/>
  <c r="T1187" i="3"/>
  <c r="T1188" i="3"/>
  <c r="T1189" i="3"/>
  <c r="T1190" i="3"/>
  <c r="T1191" i="3"/>
  <c r="T1192" i="3"/>
  <c r="T1193" i="3"/>
  <c r="T1194" i="3"/>
  <c r="T1195" i="3"/>
  <c r="T1196" i="3"/>
  <c r="T1197" i="3"/>
  <c r="T1198" i="3"/>
  <c r="T1199" i="3"/>
  <c r="T1200" i="3"/>
  <c r="T1201" i="3"/>
  <c r="T1202" i="3"/>
  <c r="T1203" i="3"/>
  <c r="T1204" i="3"/>
  <c r="T1205" i="3"/>
  <c r="T1206" i="3"/>
  <c r="T1207" i="3"/>
  <c r="T1208" i="3"/>
  <c r="T1209" i="3"/>
  <c r="T1210" i="3"/>
  <c r="T1211" i="3"/>
  <c r="T1212" i="3"/>
  <c r="T1213" i="3"/>
  <c r="T1214" i="3"/>
  <c r="T1215" i="3"/>
  <c r="T1216" i="3"/>
  <c r="T1217" i="3"/>
  <c r="T1218" i="3"/>
  <c r="T1219" i="3"/>
  <c r="T1220" i="3"/>
  <c r="T1221" i="3"/>
  <c r="T1222" i="3"/>
  <c r="T1223" i="3"/>
  <c r="T1224" i="3"/>
  <c r="T1225" i="3"/>
  <c r="T1226" i="3"/>
  <c r="T1227" i="3"/>
  <c r="T1228" i="3"/>
  <c r="T1229" i="3"/>
  <c r="T1230" i="3"/>
  <c r="T1231" i="3"/>
  <c r="T1232" i="3"/>
  <c r="T1233" i="3"/>
  <c r="T1234" i="3"/>
  <c r="T1235" i="3"/>
  <c r="T1236" i="3"/>
  <c r="T1237" i="3"/>
  <c r="T1238" i="3"/>
  <c r="T1239" i="3"/>
  <c r="T1240" i="3"/>
  <c r="T1241" i="3"/>
  <c r="T1242" i="3"/>
  <c r="T1243" i="3"/>
  <c r="T1244" i="3"/>
  <c r="T1245" i="3"/>
  <c r="T1246" i="3"/>
  <c r="T1247" i="3"/>
  <c r="T1248" i="3"/>
  <c r="T1249" i="3"/>
  <c r="T1250" i="3"/>
  <c r="T1251" i="3"/>
  <c r="T1252" i="3"/>
  <c r="T1253" i="3"/>
  <c r="T1254" i="3"/>
  <c r="T1255" i="3"/>
  <c r="T1256" i="3"/>
  <c r="T1257" i="3"/>
  <c r="T1258" i="3"/>
  <c r="T1259" i="3"/>
  <c r="T1260" i="3"/>
  <c r="T1261" i="3"/>
  <c r="T1262" i="3"/>
  <c r="T1263" i="3"/>
  <c r="T1264" i="3"/>
  <c r="T1265" i="3"/>
  <c r="T1266" i="3"/>
  <c r="T1267" i="3"/>
  <c r="T1268" i="3"/>
  <c r="T1269" i="3"/>
  <c r="T1270" i="3"/>
  <c r="T1271" i="3"/>
  <c r="T1272" i="3"/>
  <c r="T1273" i="3"/>
  <c r="T1274" i="3"/>
  <c r="T1275" i="3"/>
  <c r="T1276" i="3"/>
  <c r="T1277" i="3"/>
  <c r="T1278" i="3"/>
  <c r="T1279" i="3"/>
  <c r="T1280" i="3"/>
  <c r="T1281" i="3"/>
  <c r="T1282" i="3"/>
  <c r="T1283" i="3"/>
  <c r="T1284" i="3"/>
  <c r="T1285" i="3"/>
  <c r="T1286" i="3"/>
  <c r="T1287" i="3"/>
  <c r="T1288" i="3"/>
  <c r="T1289" i="3"/>
  <c r="T1290" i="3"/>
  <c r="T1291" i="3"/>
  <c r="T1292" i="3"/>
  <c r="T1293" i="3"/>
  <c r="T1294" i="3"/>
  <c r="T1295" i="3"/>
  <c r="T1296" i="3"/>
  <c r="T1297" i="3"/>
  <c r="T1298" i="3"/>
  <c r="T1299" i="3"/>
  <c r="T1300" i="3"/>
  <c r="T1301" i="3"/>
  <c r="T1302" i="3"/>
  <c r="T1303" i="3"/>
  <c r="T1304" i="3"/>
  <c r="T1305" i="3"/>
  <c r="T1306" i="3"/>
  <c r="T1307" i="3"/>
  <c r="T1308" i="3"/>
  <c r="T1309" i="3"/>
  <c r="T1310" i="3"/>
  <c r="T1311" i="3"/>
  <c r="T1312" i="3"/>
  <c r="T1313" i="3"/>
  <c r="T1314" i="3"/>
  <c r="T1315" i="3"/>
  <c r="T1316" i="3"/>
  <c r="T1317" i="3"/>
  <c r="T1318" i="3"/>
  <c r="T1319" i="3"/>
  <c r="T1320" i="3"/>
  <c r="T1321" i="3"/>
  <c r="T1322" i="3"/>
  <c r="T1323" i="3"/>
  <c r="T1324" i="3"/>
  <c r="T1325" i="3"/>
  <c r="T1326" i="3"/>
  <c r="T1327" i="3"/>
  <c r="T1328" i="3"/>
  <c r="T1329" i="3"/>
  <c r="T1330" i="3"/>
  <c r="T1331" i="3"/>
  <c r="T1332" i="3"/>
  <c r="T1333" i="3"/>
  <c r="T1334" i="3"/>
  <c r="T1335" i="3"/>
  <c r="T1336" i="3"/>
  <c r="T1337" i="3"/>
  <c r="T1338" i="3"/>
  <c r="T1339" i="3"/>
  <c r="T1340" i="3"/>
  <c r="T1341" i="3"/>
  <c r="T1342" i="3"/>
  <c r="T1343" i="3"/>
  <c r="T1344" i="3"/>
  <c r="T1345" i="3"/>
  <c r="T1346" i="3"/>
  <c r="T1347" i="3"/>
  <c r="T1348" i="3"/>
  <c r="T1349" i="3"/>
  <c r="T1350" i="3"/>
  <c r="T1351" i="3"/>
  <c r="T1352" i="3"/>
  <c r="T1353" i="3"/>
  <c r="T1354" i="3"/>
  <c r="T1355" i="3"/>
  <c r="T1356" i="3"/>
  <c r="T1357" i="3"/>
  <c r="T1358" i="3"/>
  <c r="T1359" i="3"/>
  <c r="T1360" i="3"/>
  <c r="T1361" i="3"/>
  <c r="T1362" i="3"/>
  <c r="T1363" i="3"/>
  <c r="T1364" i="3"/>
  <c r="T1365" i="3"/>
  <c r="T1366" i="3"/>
  <c r="T1367" i="3"/>
  <c r="T1368" i="3"/>
  <c r="T1369" i="3"/>
  <c r="T1370" i="3"/>
  <c r="T1371" i="3"/>
  <c r="T1372" i="3"/>
  <c r="T1373" i="3"/>
  <c r="T1374" i="3"/>
  <c r="T1375" i="3"/>
  <c r="T1376" i="3"/>
  <c r="T1377" i="3"/>
  <c r="T1378" i="3"/>
  <c r="T1379" i="3"/>
  <c r="T1380" i="3"/>
  <c r="T1381" i="3"/>
  <c r="T1382" i="3"/>
  <c r="T1383" i="3"/>
  <c r="T1384" i="3"/>
  <c r="T1385" i="3"/>
  <c r="T1386" i="3"/>
  <c r="T1387" i="3"/>
  <c r="T1388" i="3"/>
  <c r="T1389" i="3"/>
  <c r="T1390" i="3"/>
  <c r="T1391" i="3"/>
  <c r="T1392" i="3"/>
  <c r="T1393" i="3"/>
  <c r="T1394" i="3"/>
  <c r="T1395" i="3"/>
  <c r="T1396" i="3"/>
  <c r="T1397" i="3"/>
  <c r="T1398" i="3"/>
  <c r="T1399" i="3"/>
  <c r="T1400" i="3"/>
  <c r="T1401" i="3"/>
  <c r="T1402" i="3"/>
  <c r="T1403" i="3"/>
  <c r="T1404" i="3"/>
  <c r="T1405" i="3"/>
  <c r="T1406" i="3"/>
  <c r="T1407" i="3"/>
  <c r="T1408" i="3"/>
  <c r="T1409" i="3"/>
  <c r="T1410" i="3"/>
  <c r="T1411" i="3"/>
  <c r="T1412" i="3"/>
  <c r="T1413" i="3"/>
  <c r="T1414" i="3"/>
  <c r="T1415" i="3"/>
  <c r="T1416" i="3"/>
  <c r="T1417" i="3"/>
  <c r="T1418" i="3"/>
  <c r="T1419" i="3"/>
  <c r="T1420" i="3"/>
  <c r="T1421" i="3"/>
  <c r="T1422" i="3"/>
  <c r="T1423" i="3"/>
  <c r="T1424" i="3"/>
  <c r="T1425" i="3"/>
  <c r="T1426" i="3"/>
  <c r="T1427" i="3"/>
  <c r="T1428" i="3"/>
  <c r="T1429" i="3"/>
  <c r="T1430" i="3"/>
  <c r="T1431" i="3"/>
  <c r="T1432" i="3"/>
  <c r="T1433" i="3"/>
  <c r="T1434" i="3"/>
  <c r="T1435" i="3"/>
  <c r="T1436" i="3"/>
  <c r="T1437" i="3"/>
  <c r="T1438" i="3"/>
  <c r="T1439" i="3"/>
  <c r="T1440" i="3"/>
  <c r="T1441" i="3"/>
  <c r="T1442" i="3"/>
  <c r="T1443" i="3"/>
  <c r="T1444" i="3"/>
  <c r="T1445" i="3"/>
  <c r="T1446" i="3"/>
  <c r="T1447" i="3"/>
  <c r="T1448" i="3"/>
  <c r="T1449" i="3"/>
  <c r="T1450" i="3"/>
  <c r="T1451" i="3"/>
  <c r="T1452" i="3"/>
  <c r="T1453" i="3"/>
  <c r="T1454" i="3"/>
  <c r="T1455" i="3"/>
  <c r="T1456" i="3"/>
  <c r="T1457" i="3"/>
  <c r="T1458" i="3"/>
  <c r="T1459" i="3"/>
  <c r="T1460" i="3"/>
  <c r="T1461" i="3"/>
  <c r="T1462" i="3"/>
  <c r="T1463" i="3"/>
  <c r="T1464" i="3"/>
  <c r="T1465" i="3"/>
  <c r="T1466" i="3"/>
  <c r="T1467" i="3"/>
  <c r="T1468" i="3"/>
  <c r="T1469" i="3"/>
  <c r="T1470" i="3"/>
  <c r="T1471" i="3"/>
  <c r="T1472" i="3"/>
  <c r="T1473" i="3"/>
  <c r="T1474" i="3"/>
  <c r="T1475" i="3"/>
  <c r="T1476" i="3"/>
  <c r="T1477" i="3"/>
  <c r="T1478" i="3"/>
  <c r="T1479" i="3"/>
  <c r="T1480" i="3"/>
  <c r="T1481" i="3"/>
  <c r="T1482" i="3"/>
  <c r="T1483" i="3"/>
  <c r="T1484" i="3"/>
  <c r="T1485" i="3"/>
  <c r="T1486" i="3"/>
  <c r="T1487" i="3"/>
  <c r="T1488" i="3"/>
  <c r="T1489" i="3"/>
  <c r="T1490" i="3"/>
  <c r="T1491" i="3"/>
  <c r="T1492" i="3"/>
  <c r="T1493" i="3"/>
  <c r="T1494" i="3"/>
  <c r="T1495" i="3"/>
  <c r="T1496" i="3"/>
  <c r="T1497" i="3"/>
  <c r="T1498" i="3"/>
  <c r="T1499" i="3"/>
  <c r="T1500" i="3"/>
  <c r="T1501" i="3"/>
  <c r="T1502" i="3"/>
  <c r="T1503" i="3"/>
  <c r="T1504" i="3"/>
  <c r="T1505" i="3"/>
  <c r="T1506" i="3"/>
  <c r="T1507" i="3"/>
  <c r="T1508" i="3"/>
  <c r="T1509" i="3"/>
  <c r="T1510" i="3"/>
  <c r="T1511" i="3"/>
  <c r="T1512" i="3"/>
  <c r="T1513" i="3"/>
  <c r="T1514" i="3"/>
  <c r="T1515" i="3"/>
  <c r="T1516" i="3"/>
  <c r="T1517" i="3"/>
  <c r="T1518" i="3"/>
  <c r="T1519" i="3"/>
  <c r="T1520" i="3"/>
  <c r="T1521" i="3"/>
  <c r="T1522" i="3"/>
  <c r="T1523" i="3"/>
  <c r="T1524" i="3"/>
  <c r="T1525" i="3"/>
  <c r="T1526" i="3"/>
  <c r="T1527" i="3"/>
  <c r="T1528" i="3"/>
  <c r="T1529" i="3"/>
  <c r="T1530" i="3"/>
  <c r="T1531" i="3"/>
  <c r="T1532" i="3"/>
  <c r="T1533" i="3"/>
  <c r="T1534" i="3"/>
  <c r="T1535" i="3"/>
  <c r="T1536" i="3"/>
  <c r="T1537" i="3"/>
  <c r="T1538" i="3"/>
  <c r="T1539" i="3"/>
  <c r="T1540" i="3"/>
  <c r="T1541" i="3"/>
  <c r="T1542" i="3"/>
  <c r="T1543" i="3"/>
  <c r="T1544" i="3"/>
  <c r="T1545" i="3"/>
  <c r="T1546" i="3"/>
  <c r="T1547" i="3"/>
  <c r="T1548" i="3"/>
  <c r="T1549" i="3"/>
  <c r="T1550" i="3"/>
  <c r="T1551" i="3"/>
  <c r="T1552" i="3"/>
  <c r="T1553" i="3"/>
  <c r="T1554" i="3"/>
  <c r="T1555" i="3"/>
  <c r="T1556" i="3"/>
  <c r="T1557" i="3"/>
  <c r="T1558" i="3"/>
  <c r="T1559" i="3"/>
  <c r="T1560" i="3"/>
  <c r="T1561" i="3"/>
  <c r="T1562" i="3"/>
  <c r="T1563" i="3"/>
  <c r="T1564" i="3"/>
  <c r="T1565" i="3"/>
  <c r="T1566" i="3"/>
  <c r="T1567" i="3"/>
  <c r="T1568" i="3"/>
  <c r="T1569" i="3"/>
  <c r="T1570" i="3"/>
  <c r="T1571" i="3"/>
  <c r="T1572" i="3"/>
  <c r="T1573" i="3"/>
  <c r="T1574" i="3"/>
  <c r="T1575" i="3"/>
  <c r="T1576" i="3"/>
  <c r="T1577" i="3"/>
  <c r="T1578" i="3"/>
  <c r="T1579" i="3"/>
  <c r="T1580" i="3"/>
  <c r="T1581" i="3"/>
  <c r="T1582" i="3"/>
  <c r="T1583" i="3"/>
  <c r="T1584" i="3"/>
  <c r="T1585" i="3"/>
  <c r="T1586" i="3"/>
  <c r="T1587" i="3"/>
  <c r="T1588" i="3"/>
  <c r="T1589" i="3"/>
  <c r="T1590" i="3"/>
  <c r="T1591" i="3"/>
  <c r="T1592" i="3"/>
  <c r="T1593" i="3"/>
  <c r="T1594" i="3"/>
  <c r="T1595" i="3"/>
  <c r="T1596" i="3"/>
  <c r="T1597" i="3"/>
  <c r="T1598" i="3"/>
  <c r="T1599" i="3"/>
  <c r="T1600" i="3"/>
  <c r="T1601" i="3"/>
  <c r="T1602" i="3"/>
  <c r="T1603" i="3"/>
  <c r="T1604" i="3"/>
  <c r="T1605" i="3"/>
  <c r="T1606" i="3"/>
  <c r="T1607" i="3"/>
  <c r="T1608" i="3"/>
  <c r="T1609" i="3"/>
  <c r="T1610" i="3"/>
  <c r="T1611" i="3"/>
  <c r="T1612" i="3"/>
  <c r="T1613" i="3"/>
  <c r="T1614" i="3"/>
  <c r="T1615" i="3"/>
  <c r="T1616" i="3"/>
  <c r="T1617" i="3"/>
  <c r="T1618" i="3"/>
  <c r="T1619" i="3"/>
  <c r="T1620" i="3"/>
  <c r="T1621" i="3"/>
  <c r="T1622" i="3"/>
  <c r="T1623" i="3"/>
  <c r="T1624" i="3"/>
  <c r="T1625" i="3"/>
  <c r="T1626" i="3"/>
  <c r="T1627" i="3"/>
  <c r="T1628" i="3"/>
  <c r="T1629" i="3"/>
  <c r="T1630" i="3"/>
  <c r="T1631" i="3"/>
  <c r="T1632" i="3"/>
  <c r="T1633" i="3"/>
  <c r="T1634" i="3"/>
  <c r="T1635" i="3"/>
  <c r="T1636" i="3"/>
  <c r="T1637" i="3"/>
  <c r="T1638" i="3"/>
  <c r="T1639" i="3"/>
  <c r="T1640" i="3"/>
  <c r="T1641" i="3"/>
  <c r="T1642" i="3"/>
  <c r="T1643" i="3"/>
  <c r="T1644" i="3"/>
  <c r="T1645" i="3"/>
  <c r="T1646" i="3"/>
  <c r="T1647" i="3"/>
  <c r="T1648" i="3"/>
  <c r="T1649" i="3"/>
  <c r="T1650" i="3"/>
  <c r="T1651" i="3"/>
  <c r="T1652" i="3"/>
  <c r="T1653" i="3"/>
  <c r="T1654" i="3"/>
  <c r="T1655" i="3"/>
  <c r="T1656" i="3"/>
  <c r="T1657" i="3"/>
  <c r="T1658" i="3"/>
  <c r="T1659" i="3"/>
  <c r="T1660" i="3"/>
  <c r="T1661" i="3"/>
  <c r="T1662" i="3"/>
  <c r="T1663" i="3"/>
  <c r="T1664" i="3"/>
  <c r="T1665" i="3"/>
  <c r="T1666" i="3"/>
  <c r="T1667" i="3"/>
  <c r="T1668" i="3"/>
  <c r="T1669" i="3"/>
  <c r="T1670" i="3"/>
  <c r="T1671" i="3"/>
  <c r="T1672" i="3"/>
  <c r="T1673" i="3"/>
  <c r="T1674" i="3"/>
  <c r="T1675" i="3"/>
  <c r="T1676" i="3"/>
  <c r="T1677" i="3"/>
  <c r="T1678" i="3"/>
  <c r="T1679" i="3"/>
  <c r="T1680" i="3"/>
  <c r="T1681" i="3"/>
  <c r="T1682" i="3"/>
  <c r="T1683" i="3"/>
  <c r="T1684" i="3"/>
  <c r="T1685" i="3"/>
  <c r="T1686" i="3"/>
  <c r="T1687" i="3"/>
  <c r="T1688" i="3"/>
  <c r="T1689" i="3"/>
  <c r="T1690" i="3"/>
  <c r="T1691" i="3"/>
  <c r="T1692" i="3"/>
  <c r="T1693" i="3"/>
  <c r="T1694" i="3"/>
  <c r="T1695" i="3"/>
  <c r="T1696" i="3"/>
  <c r="T1697" i="3"/>
  <c r="T1698" i="3"/>
  <c r="T1699" i="3"/>
  <c r="T1700" i="3"/>
  <c r="T1701" i="3"/>
  <c r="T1702" i="3"/>
  <c r="T1703" i="3"/>
  <c r="T1704" i="3"/>
  <c r="T1705" i="3"/>
  <c r="T1706" i="3"/>
  <c r="T1707" i="3"/>
  <c r="T1708" i="3"/>
  <c r="T1709" i="3"/>
  <c r="T1710" i="3"/>
  <c r="T1711" i="3"/>
  <c r="T1712" i="3"/>
  <c r="T1713" i="3"/>
  <c r="T1714" i="3"/>
  <c r="T1715" i="3"/>
  <c r="T1716" i="3"/>
  <c r="T1717" i="3"/>
  <c r="T1718" i="3"/>
  <c r="T1719" i="3"/>
  <c r="T1720" i="3"/>
  <c r="T1721" i="3"/>
  <c r="T1722" i="3"/>
  <c r="T1723" i="3"/>
  <c r="T1724" i="3"/>
  <c r="T1725" i="3"/>
  <c r="T1726" i="3"/>
  <c r="T1727" i="3"/>
  <c r="T1728" i="3"/>
  <c r="T1729" i="3"/>
  <c r="T1730" i="3"/>
  <c r="T1731" i="3"/>
  <c r="T1732" i="3"/>
  <c r="T1733" i="3"/>
  <c r="T1734" i="3"/>
  <c r="T1735" i="3"/>
  <c r="T1736" i="3"/>
  <c r="T1737" i="3"/>
  <c r="T1738" i="3"/>
  <c r="T1739" i="3"/>
  <c r="T1740" i="3"/>
  <c r="T1741" i="3"/>
  <c r="T1742" i="3"/>
  <c r="T1743" i="3"/>
  <c r="T1744" i="3"/>
  <c r="T1745" i="3"/>
  <c r="T1746" i="3"/>
  <c r="T1747" i="3"/>
  <c r="T1748" i="3"/>
  <c r="T1749" i="3"/>
  <c r="T1750" i="3"/>
  <c r="T1751" i="3"/>
  <c r="T1752" i="3"/>
  <c r="T1753" i="3"/>
  <c r="T1754" i="3"/>
  <c r="T1755" i="3"/>
  <c r="T1756" i="3"/>
  <c r="T1757" i="3"/>
  <c r="T1758" i="3"/>
  <c r="T1759" i="3"/>
  <c r="T1760" i="3"/>
  <c r="T1761" i="3"/>
  <c r="T1762" i="3"/>
  <c r="T1763" i="3"/>
  <c r="T1764" i="3"/>
  <c r="T1765" i="3"/>
  <c r="T1766" i="3"/>
  <c r="T1767" i="3"/>
  <c r="T1768" i="3"/>
  <c r="T1769" i="3"/>
  <c r="T1770" i="3"/>
  <c r="T1771" i="3"/>
  <c r="T1772" i="3"/>
  <c r="T1773" i="3"/>
  <c r="T1774" i="3"/>
  <c r="T1775" i="3"/>
  <c r="T1776" i="3"/>
  <c r="T1777" i="3"/>
  <c r="T1778" i="3"/>
  <c r="T1779" i="3"/>
  <c r="T1780" i="3"/>
  <c r="T1781" i="3"/>
  <c r="T1782" i="3"/>
  <c r="T1783" i="3"/>
  <c r="T1784" i="3"/>
  <c r="T1785" i="3"/>
  <c r="T1786" i="3"/>
  <c r="T1787" i="3"/>
  <c r="T1788" i="3"/>
  <c r="T1789" i="3"/>
  <c r="T1790" i="3"/>
  <c r="T1791" i="3"/>
  <c r="T1792" i="3"/>
  <c r="T1793" i="3"/>
  <c r="T1794" i="3"/>
  <c r="T1795" i="3"/>
  <c r="T1796" i="3"/>
  <c r="T1797" i="3"/>
  <c r="T1798" i="3"/>
  <c r="T1799" i="3"/>
  <c r="T1800" i="3"/>
  <c r="T1801" i="3"/>
  <c r="T1802" i="3"/>
  <c r="T1803" i="3"/>
  <c r="T1804" i="3"/>
  <c r="T1805" i="3"/>
  <c r="T1806" i="3"/>
  <c r="T1807" i="3"/>
  <c r="T1808" i="3"/>
  <c r="T1809" i="3"/>
  <c r="T1810" i="3"/>
  <c r="T1811" i="3"/>
  <c r="T1812" i="3"/>
  <c r="T1813" i="3"/>
  <c r="T1814" i="3"/>
  <c r="T1815" i="3"/>
  <c r="T1816" i="3"/>
  <c r="T1817" i="3"/>
  <c r="T1818" i="3"/>
  <c r="T1819" i="3"/>
  <c r="T1820" i="3"/>
  <c r="T1821" i="3"/>
  <c r="T1822" i="3"/>
  <c r="T1823" i="3"/>
  <c r="T1824" i="3"/>
  <c r="T1825" i="3"/>
  <c r="T1826" i="3"/>
  <c r="T1827" i="3"/>
  <c r="T1828" i="3"/>
  <c r="T1829" i="3"/>
  <c r="T1830" i="3"/>
  <c r="T1831" i="3"/>
  <c r="T1832" i="3"/>
  <c r="T1833" i="3"/>
  <c r="T1834" i="3"/>
  <c r="T1835" i="3"/>
  <c r="T1836" i="3"/>
  <c r="T1837" i="3"/>
  <c r="T1838" i="3"/>
  <c r="T1839" i="3"/>
  <c r="T1840" i="3"/>
  <c r="T1841" i="3"/>
  <c r="T1842" i="3"/>
  <c r="T1843" i="3"/>
  <c r="T1844" i="3"/>
  <c r="T1845" i="3"/>
  <c r="T1846" i="3"/>
  <c r="T1847" i="3"/>
  <c r="T1848" i="3"/>
  <c r="T1849" i="3"/>
  <c r="T1850" i="3"/>
  <c r="T1851" i="3"/>
  <c r="T1852" i="3"/>
  <c r="T1853" i="3"/>
  <c r="T1854" i="3"/>
  <c r="T1855" i="3"/>
  <c r="T1856" i="3"/>
  <c r="T1857" i="3"/>
  <c r="T1858" i="3"/>
  <c r="T1859" i="3"/>
  <c r="T1860" i="3"/>
  <c r="T1861" i="3"/>
  <c r="T1862" i="3"/>
  <c r="T1863" i="3"/>
  <c r="T1864" i="3"/>
  <c r="T1865" i="3"/>
  <c r="T1866" i="3"/>
  <c r="T1867" i="3"/>
  <c r="T1868" i="3"/>
  <c r="T1869" i="3"/>
  <c r="T1870" i="3"/>
  <c r="T1871" i="3"/>
  <c r="T1872" i="3"/>
  <c r="T1873" i="3"/>
  <c r="T1874" i="3"/>
  <c r="T1875" i="3"/>
  <c r="T1876" i="3"/>
  <c r="T1877" i="3"/>
  <c r="T1878" i="3"/>
  <c r="T1879" i="3"/>
  <c r="T1880" i="3"/>
  <c r="T1881" i="3"/>
  <c r="T1882" i="3"/>
  <c r="T1883" i="3"/>
  <c r="T1884" i="3"/>
  <c r="T1885" i="3"/>
  <c r="T1886" i="3"/>
  <c r="T1887" i="3"/>
  <c r="T1888" i="3"/>
  <c r="T1889" i="3"/>
  <c r="T1890" i="3"/>
  <c r="T1891" i="3"/>
  <c r="T1892" i="3"/>
  <c r="T1893" i="3"/>
  <c r="T1894" i="3"/>
  <c r="T1895" i="3"/>
  <c r="T1896" i="3"/>
  <c r="T1897" i="3"/>
  <c r="T1898" i="3"/>
  <c r="T1899" i="3"/>
  <c r="T1900" i="3"/>
  <c r="T1901" i="3"/>
  <c r="T1902" i="3"/>
  <c r="T1903" i="3"/>
  <c r="T1904" i="3"/>
  <c r="T1905" i="3"/>
  <c r="T1906" i="3"/>
  <c r="T1907" i="3"/>
  <c r="T1908" i="3"/>
  <c r="T1909" i="3"/>
  <c r="T1910" i="3"/>
  <c r="T1911" i="3"/>
  <c r="T1912" i="3"/>
  <c r="T1913" i="3"/>
  <c r="T1914" i="3"/>
  <c r="T1915" i="3"/>
  <c r="T1916" i="3"/>
  <c r="T1917" i="3"/>
  <c r="T1918" i="3"/>
  <c r="T1919" i="3"/>
  <c r="T1920" i="3"/>
  <c r="T1921" i="3"/>
  <c r="T1922" i="3"/>
  <c r="T1923" i="3"/>
  <c r="T1924" i="3"/>
  <c r="T1925" i="3"/>
  <c r="T1926" i="3"/>
  <c r="T1927" i="3"/>
  <c r="T1928" i="3"/>
  <c r="T1929" i="3"/>
  <c r="T1930" i="3"/>
  <c r="T1931" i="3"/>
  <c r="T1932" i="3"/>
  <c r="T1933" i="3"/>
  <c r="T1934" i="3"/>
  <c r="T1935" i="3"/>
  <c r="T1936" i="3"/>
  <c r="T1937" i="3"/>
  <c r="T1938" i="3"/>
  <c r="T1939" i="3"/>
  <c r="T1940" i="3"/>
  <c r="T1941" i="3"/>
  <c r="T1942" i="3"/>
  <c r="T1943" i="3"/>
  <c r="T1944" i="3"/>
  <c r="T1945" i="3"/>
  <c r="T1946" i="3"/>
  <c r="T1947" i="3"/>
  <c r="T1948" i="3"/>
  <c r="T1949" i="3"/>
  <c r="T1950" i="3"/>
  <c r="T1951" i="3"/>
  <c r="T1952" i="3"/>
  <c r="T1953" i="3"/>
  <c r="T1954" i="3"/>
  <c r="T1955" i="3"/>
  <c r="T1956" i="3"/>
  <c r="T1957" i="3"/>
  <c r="T1958" i="3"/>
  <c r="T1959" i="3"/>
  <c r="T1960" i="3"/>
  <c r="T1961" i="3"/>
  <c r="T1962" i="3"/>
  <c r="T1963" i="3"/>
  <c r="T1964" i="3"/>
  <c r="T1965" i="3"/>
  <c r="T1966" i="3"/>
  <c r="T1967" i="3"/>
  <c r="T1968" i="3"/>
  <c r="T1969" i="3"/>
  <c r="T1970" i="3"/>
  <c r="T1971" i="3"/>
  <c r="T1972" i="3"/>
  <c r="T1973" i="3"/>
  <c r="T1974" i="3"/>
  <c r="T1975" i="3"/>
  <c r="T1976" i="3"/>
  <c r="T1977" i="3"/>
  <c r="T1978" i="3"/>
  <c r="T1979" i="3"/>
  <c r="T1980" i="3"/>
  <c r="T1981" i="3"/>
  <c r="T1982" i="3"/>
  <c r="T1983" i="3"/>
  <c r="T1984" i="3"/>
  <c r="T1985" i="3"/>
  <c r="T1986" i="3"/>
  <c r="T1987" i="3"/>
  <c r="T1988" i="3"/>
  <c r="T1989" i="3"/>
  <c r="T1990" i="3"/>
  <c r="T1991" i="3"/>
  <c r="T1992" i="3"/>
  <c r="T1993" i="3"/>
  <c r="T1994" i="3"/>
  <c r="T1995" i="3"/>
  <c r="T1996" i="3"/>
  <c r="T1997" i="3"/>
  <c r="T1998" i="3"/>
  <c r="T1999" i="3"/>
  <c r="T2000" i="3"/>
  <c r="T2001" i="3"/>
  <c r="T2002" i="3"/>
  <c r="T2003" i="3"/>
  <c r="T2004" i="3"/>
  <c r="T2005" i="3"/>
  <c r="T2006" i="3"/>
  <c r="T2007" i="3"/>
  <c r="T2008" i="3"/>
  <c r="T2009" i="3"/>
  <c r="T2010" i="3"/>
  <c r="T2011" i="3"/>
  <c r="T2012" i="3"/>
  <c r="T2013" i="3"/>
  <c r="T2014" i="3"/>
  <c r="T2015" i="3"/>
  <c r="T2016" i="3"/>
  <c r="T2017" i="3"/>
  <c r="T2018" i="3"/>
  <c r="T2019" i="3"/>
  <c r="T2020" i="3"/>
  <c r="T2021" i="3"/>
  <c r="T2022" i="3"/>
  <c r="T2023" i="3"/>
  <c r="T2024" i="3"/>
  <c r="T2025" i="3"/>
  <c r="T2026" i="3"/>
  <c r="T2027" i="3"/>
  <c r="T2028" i="3"/>
  <c r="T2029" i="3"/>
  <c r="T2030" i="3"/>
  <c r="T2031" i="3"/>
  <c r="T2032" i="3"/>
  <c r="T2033" i="3"/>
  <c r="T2034" i="3"/>
  <c r="T2035" i="3"/>
  <c r="T2036" i="3"/>
  <c r="T2037" i="3"/>
  <c r="T2038" i="3"/>
  <c r="T2039" i="3"/>
  <c r="T2040" i="3"/>
  <c r="T2041" i="3"/>
  <c r="T2042" i="3"/>
  <c r="T2043" i="3"/>
  <c r="T2044" i="3"/>
  <c r="T2045" i="3"/>
  <c r="T2046" i="3"/>
  <c r="T2047" i="3"/>
  <c r="T2048" i="3"/>
  <c r="T2049" i="3"/>
  <c r="T2050" i="3"/>
  <c r="T2051" i="3"/>
  <c r="T2052" i="3"/>
  <c r="T2053" i="3"/>
  <c r="T2054" i="3"/>
  <c r="T2055" i="3"/>
  <c r="T2056" i="3"/>
  <c r="T2057" i="3"/>
  <c r="T2058" i="3"/>
  <c r="T2059" i="3"/>
  <c r="T2060" i="3"/>
  <c r="T2061" i="3"/>
  <c r="T2062" i="3"/>
  <c r="T2063" i="3"/>
  <c r="T2064" i="3"/>
  <c r="T2065" i="3"/>
  <c r="T2066" i="3"/>
  <c r="T2067" i="3"/>
  <c r="T2068" i="3"/>
  <c r="T2069" i="3"/>
  <c r="T2070" i="3"/>
  <c r="T2071" i="3"/>
  <c r="T2072" i="3"/>
  <c r="T2073" i="3"/>
  <c r="T2074" i="3"/>
  <c r="T2075" i="3"/>
  <c r="T2076" i="3"/>
  <c r="T2077" i="3"/>
  <c r="T2078" i="3"/>
  <c r="T2079" i="3"/>
  <c r="T2080" i="3"/>
  <c r="T2081" i="3"/>
  <c r="T2082" i="3"/>
  <c r="T2083" i="3"/>
  <c r="T2084" i="3"/>
  <c r="T2085" i="3"/>
  <c r="T2086" i="3"/>
  <c r="T2087" i="3"/>
  <c r="T2088" i="3"/>
  <c r="T2089" i="3"/>
  <c r="T2090" i="3"/>
  <c r="T2091" i="3"/>
  <c r="T2092" i="3"/>
  <c r="T2093" i="3"/>
  <c r="T2094" i="3"/>
  <c r="T2095" i="3"/>
  <c r="T2096" i="3"/>
  <c r="T2097" i="3"/>
  <c r="T2098" i="3"/>
  <c r="T2099" i="3"/>
  <c r="T2100" i="3"/>
  <c r="T2101" i="3"/>
  <c r="T2102" i="3"/>
  <c r="T2103" i="3"/>
  <c r="T2104" i="3"/>
  <c r="T2105" i="3"/>
  <c r="T2106" i="3"/>
  <c r="T2107" i="3"/>
  <c r="T2108" i="3"/>
  <c r="T2109" i="3"/>
  <c r="T2110" i="3"/>
  <c r="T2111" i="3"/>
  <c r="T2112" i="3"/>
  <c r="T2113" i="3"/>
  <c r="T2114" i="3"/>
  <c r="T2115" i="3"/>
  <c r="T2116" i="3"/>
  <c r="T2117" i="3"/>
  <c r="T2118" i="3"/>
  <c r="T2119" i="3"/>
  <c r="T2120" i="3"/>
  <c r="T2121" i="3"/>
  <c r="T2122" i="3"/>
  <c r="T2123" i="3"/>
  <c r="T2124" i="3"/>
  <c r="T2125" i="3"/>
  <c r="T2126" i="3"/>
  <c r="T2127" i="3"/>
  <c r="T2128" i="3"/>
  <c r="T2129" i="3"/>
  <c r="T2130" i="3"/>
  <c r="T2131" i="3"/>
  <c r="T2132" i="3"/>
  <c r="T2133" i="3"/>
  <c r="T2134" i="3"/>
  <c r="T2135" i="3"/>
  <c r="T2136" i="3"/>
  <c r="T2137" i="3"/>
  <c r="T2138" i="3"/>
  <c r="T2139" i="3"/>
  <c r="T2140" i="3"/>
  <c r="T2141" i="3"/>
  <c r="T2142" i="3"/>
  <c r="T2143" i="3"/>
  <c r="T2144" i="3"/>
  <c r="T2145" i="3"/>
  <c r="T2146" i="3"/>
  <c r="T2147" i="3"/>
  <c r="T2148" i="3"/>
  <c r="T2149" i="3"/>
  <c r="T2150" i="3"/>
  <c r="T2151" i="3"/>
  <c r="T2152" i="3"/>
  <c r="T2153" i="3"/>
  <c r="T2154" i="3"/>
  <c r="T2155" i="3"/>
  <c r="T2156" i="3"/>
  <c r="T2157" i="3"/>
  <c r="T2158" i="3"/>
  <c r="T2159" i="3"/>
  <c r="T2160" i="3"/>
  <c r="T2161" i="3"/>
  <c r="T2162" i="3"/>
  <c r="T2163" i="3"/>
  <c r="T2164" i="3"/>
  <c r="T2165" i="3"/>
  <c r="T2166" i="3"/>
  <c r="T2167" i="3"/>
  <c r="T2168" i="3"/>
  <c r="T2169" i="3"/>
  <c r="T2170" i="3"/>
  <c r="T2171" i="3"/>
  <c r="T2172" i="3"/>
  <c r="T2173" i="3"/>
  <c r="T2174" i="3"/>
  <c r="T2175" i="3"/>
  <c r="T2176" i="3"/>
  <c r="T2177" i="3"/>
  <c r="T2178" i="3"/>
  <c r="T2179" i="3"/>
  <c r="T2180" i="3"/>
  <c r="T2181" i="3"/>
  <c r="T2182" i="3"/>
  <c r="T2183" i="3"/>
  <c r="T2184" i="3"/>
  <c r="T2185" i="3"/>
  <c r="T2186" i="3"/>
  <c r="T2187" i="3"/>
  <c r="T2188" i="3"/>
  <c r="T2189" i="3"/>
  <c r="T2190" i="3"/>
  <c r="T2191" i="3"/>
  <c r="T2192" i="3"/>
  <c r="T2193" i="3"/>
  <c r="T2194" i="3"/>
  <c r="T2195" i="3"/>
  <c r="T2196" i="3"/>
  <c r="T2197" i="3"/>
  <c r="T2198" i="3"/>
  <c r="T2199" i="3"/>
  <c r="T2200" i="3"/>
  <c r="T2201" i="3"/>
  <c r="T2202" i="3"/>
  <c r="T2203" i="3"/>
  <c r="T2204" i="3"/>
  <c r="T2205" i="3"/>
  <c r="T2206" i="3"/>
  <c r="T2207" i="3"/>
  <c r="T2208" i="3"/>
  <c r="T2209" i="3"/>
  <c r="T2210" i="3"/>
  <c r="T2211" i="3"/>
  <c r="T2212" i="3"/>
  <c r="T2213" i="3"/>
  <c r="T2214" i="3"/>
  <c r="T2215" i="3"/>
  <c r="T2216" i="3"/>
  <c r="T2217" i="3"/>
  <c r="T2218" i="3"/>
  <c r="T2219" i="3"/>
  <c r="T2220" i="3"/>
  <c r="T2221" i="3"/>
  <c r="T2222" i="3"/>
  <c r="T2223" i="3"/>
  <c r="T2224" i="3"/>
  <c r="T2225" i="3"/>
  <c r="T2226" i="3"/>
  <c r="T2227" i="3"/>
  <c r="T2228" i="3"/>
  <c r="T2229" i="3"/>
  <c r="T2230" i="3"/>
  <c r="T2231" i="3"/>
  <c r="T2232" i="3"/>
  <c r="T2233" i="3"/>
  <c r="T2234" i="3"/>
  <c r="T2235" i="3"/>
  <c r="T2236" i="3"/>
  <c r="T2237" i="3"/>
  <c r="T2238" i="3"/>
  <c r="T2239" i="3"/>
  <c r="T2240" i="3"/>
  <c r="T2241" i="3"/>
  <c r="T2242" i="3"/>
  <c r="T2243" i="3"/>
  <c r="T2244" i="3"/>
  <c r="T2245" i="3"/>
  <c r="T2246" i="3"/>
  <c r="T2247" i="3"/>
  <c r="T2248" i="3"/>
  <c r="T2249" i="3"/>
  <c r="T2250" i="3"/>
  <c r="T2251" i="3"/>
  <c r="T2252" i="3"/>
  <c r="T2253" i="3"/>
  <c r="T2254" i="3"/>
  <c r="T2255" i="3"/>
  <c r="T2256" i="3"/>
  <c r="T2257" i="3"/>
  <c r="T2258" i="3"/>
  <c r="T2259" i="3"/>
  <c r="T2260" i="3"/>
  <c r="T2261" i="3"/>
  <c r="T2262" i="3"/>
  <c r="T2263" i="3"/>
  <c r="T2264" i="3"/>
  <c r="T2265" i="3"/>
  <c r="T2266" i="3"/>
  <c r="T2267" i="3"/>
  <c r="T2268" i="3"/>
  <c r="T2269" i="3"/>
  <c r="T2270" i="3"/>
  <c r="T2271" i="3"/>
  <c r="T2272" i="3"/>
  <c r="T2273" i="3"/>
  <c r="T2274" i="3"/>
  <c r="T2275" i="3"/>
  <c r="T2276" i="3"/>
  <c r="T2277" i="3"/>
  <c r="T2278" i="3"/>
  <c r="T2279" i="3"/>
  <c r="T2280" i="3"/>
  <c r="T2281" i="3"/>
  <c r="T2282" i="3"/>
  <c r="T2283" i="3"/>
  <c r="T2284" i="3"/>
  <c r="T2285" i="3"/>
  <c r="T2286" i="3"/>
  <c r="T2287" i="3"/>
  <c r="T2288" i="3"/>
  <c r="T2289" i="3"/>
  <c r="T2290" i="3"/>
  <c r="T2291" i="3"/>
  <c r="T2292" i="3"/>
  <c r="T2293" i="3"/>
  <c r="T2294" i="3"/>
  <c r="T2295" i="3"/>
  <c r="T2296" i="3"/>
  <c r="T2297" i="3"/>
  <c r="T2298" i="3"/>
  <c r="T2299" i="3"/>
  <c r="T2300" i="3"/>
  <c r="T2301" i="3"/>
  <c r="T2302" i="3"/>
  <c r="T2303" i="3"/>
  <c r="T2304" i="3"/>
  <c r="T2305" i="3"/>
  <c r="T2306" i="3"/>
  <c r="T2307" i="3"/>
  <c r="T2308" i="3"/>
  <c r="T2309" i="3"/>
  <c r="T2310" i="3"/>
  <c r="T2311" i="3"/>
  <c r="T2312" i="3"/>
  <c r="T2313" i="3"/>
  <c r="T2314" i="3"/>
  <c r="T2315" i="3"/>
  <c r="T2316" i="3"/>
  <c r="T2317" i="3"/>
  <c r="T2318" i="3"/>
  <c r="T2319" i="3"/>
  <c r="T2320" i="3"/>
  <c r="T2321" i="3"/>
  <c r="T2322" i="3"/>
  <c r="T2323" i="3"/>
  <c r="T2324" i="3"/>
  <c r="T2325" i="3"/>
  <c r="T2326" i="3"/>
  <c r="T2327" i="3"/>
  <c r="T2328" i="3"/>
  <c r="T2329" i="3"/>
  <c r="T2330" i="3"/>
  <c r="T2331" i="3"/>
  <c r="T2332" i="3"/>
  <c r="T2333" i="3"/>
  <c r="T2334" i="3"/>
  <c r="T2335" i="3"/>
  <c r="T2336" i="3"/>
  <c r="T2337" i="3"/>
  <c r="T2338" i="3"/>
  <c r="T2339" i="3"/>
  <c r="T2340" i="3"/>
  <c r="T2341" i="3"/>
  <c r="T2342" i="3"/>
  <c r="T2343" i="3"/>
  <c r="T2344" i="3"/>
  <c r="T2345" i="3"/>
  <c r="T2346" i="3"/>
  <c r="T2347" i="3"/>
  <c r="T2348" i="3"/>
  <c r="T2349" i="3"/>
  <c r="T2350" i="3"/>
  <c r="T2351" i="3"/>
  <c r="T2352" i="3"/>
  <c r="T2353" i="3"/>
  <c r="T2354" i="3"/>
  <c r="T2355" i="3"/>
  <c r="T2356" i="3"/>
  <c r="T2357" i="3"/>
  <c r="T2358" i="3"/>
  <c r="T2359" i="3"/>
  <c r="T2360" i="3"/>
  <c r="T2361" i="3"/>
  <c r="T2362" i="3"/>
  <c r="T2363" i="3"/>
  <c r="T2364" i="3"/>
  <c r="T2365" i="3"/>
  <c r="T2366" i="3"/>
  <c r="T2367" i="3"/>
  <c r="T2368" i="3"/>
  <c r="T2369" i="3"/>
  <c r="T2370" i="3"/>
  <c r="T2371" i="3"/>
  <c r="T2372" i="3"/>
  <c r="T2373" i="3"/>
  <c r="T2374" i="3"/>
  <c r="T2375" i="3"/>
  <c r="T2376" i="3"/>
  <c r="T2377" i="3"/>
  <c r="T2378" i="3"/>
  <c r="T2379" i="3"/>
  <c r="T2380" i="3"/>
  <c r="T2381" i="3"/>
  <c r="T2382" i="3"/>
  <c r="T2383" i="3"/>
  <c r="T2384" i="3"/>
  <c r="T2385" i="3"/>
  <c r="T2386" i="3"/>
  <c r="T2387" i="3"/>
  <c r="T2388" i="3"/>
  <c r="T2389" i="3"/>
  <c r="T2390" i="3"/>
  <c r="T2391" i="3"/>
  <c r="T2392" i="3"/>
  <c r="T2393" i="3"/>
  <c r="T2394" i="3"/>
  <c r="T2395" i="3"/>
  <c r="T2396" i="3"/>
  <c r="T2397" i="3"/>
  <c r="T2398" i="3"/>
  <c r="T2399" i="3"/>
  <c r="T2400" i="3"/>
  <c r="T2401" i="3"/>
  <c r="T2402" i="3"/>
  <c r="T2403" i="3"/>
  <c r="T2404" i="3"/>
  <c r="T2405" i="3"/>
  <c r="T2406" i="3"/>
  <c r="T2407" i="3"/>
  <c r="T2408" i="3"/>
  <c r="T2409" i="3"/>
  <c r="T2410" i="3"/>
  <c r="T2411" i="3"/>
  <c r="T2412" i="3"/>
  <c r="T2413" i="3"/>
  <c r="T2414" i="3"/>
  <c r="T2415" i="3"/>
  <c r="T2416" i="3"/>
  <c r="T2417" i="3"/>
  <c r="T2418" i="3"/>
  <c r="T2419" i="3"/>
  <c r="T2420" i="3"/>
  <c r="T2421" i="3"/>
  <c r="T2422" i="3"/>
  <c r="T2423" i="3"/>
  <c r="T2424" i="3"/>
  <c r="T2425" i="3"/>
  <c r="T2426" i="3"/>
  <c r="T2427" i="3"/>
  <c r="T2428" i="3"/>
  <c r="T2429" i="3"/>
  <c r="T2430" i="3"/>
  <c r="T2431" i="3"/>
  <c r="T2432" i="3"/>
  <c r="T2433" i="3"/>
  <c r="T2434" i="3"/>
  <c r="T2435" i="3"/>
  <c r="T2436" i="3"/>
  <c r="T2437" i="3"/>
  <c r="T2438" i="3"/>
  <c r="T2439" i="3"/>
  <c r="T2440" i="3"/>
  <c r="T2441" i="3"/>
  <c r="T2442" i="3"/>
  <c r="T2443" i="3"/>
  <c r="T2444" i="3"/>
  <c r="T2445" i="3"/>
  <c r="T2446" i="3"/>
  <c r="T2447" i="3"/>
  <c r="T2448" i="3"/>
  <c r="T2449" i="3"/>
  <c r="T2450" i="3"/>
  <c r="T2451" i="3"/>
  <c r="T2452" i="3"/>
  <c r="T2453" i="3"/>
  <c r="T2454" i="3"/>
  <c r="T2455" i="3"/>
  <c r="T2456" i="3"/>
  <c r="T2457" i="3"/>
  <c r="T2458" i="3"/>
  <c r="T2459" i="3"/>
  <c r="T2460" i="3"/>
  <c r="T2461" i="3"/>
  <c r="T2462" i="3"/>
  <c r="T2463" i="3"/>
  <c r="T2464" i="3"/>
  <c r="T2465" i="3"/>
  <c r="T2466" i="3"/>
  <c r="T2467" i="3"/>
  <c r="T2468" i="3"/>
  <c r="T2469" i="3"/>
  <c r="T2470" i="3"/>
  <c r="T2471" i="3"/>
  <c r="T2472" i="3"/>
  <c r="T2473" i="3"/>
  <c r="T2474" i="3"/>
  <c r="T2475" i="3"/>
  <c r="T2476" i="3"/>
  <c r="T2477" i="3"/>
  <c r="T2478" i="3"/>
  <c r="T2479" i="3"/>
  <c r="T2480" i="3"/>
  <c r="T2481" i="3"/>
  <c r="T2482" i="3"/>
  <c r="T2483" i="3"/>
  <c r="T2484" i="3"/>
  <c r="T2485" i="3"/>
  <c r="T2486" i="3"/>
  <c r="T2487" i="3"/>
  <c r="T2488" i="3"/>
  <c r="T2489" i="3"/>
  <c r="T2490" i="3"/>
  <c r="T2491" i="3"/>
  <c r="T2492" i="3"/>
  <c r="T2493" i="3"/>
  <c r="T2494" i="3"/>
  <c r="T2495" i="3"/>
  <c r="T2496" i="3"/>
  <c r="T2497" i="3"/>
  <c r="T2498" i="3"/>
  <c r="T2499" i="3"/>
  <c r="T2500" i="3"/>
  <c r="T2501" i="3"/>
  <c r="T2502" i="3"/>
  <c r="T2503" i="3"/>
  <c r="T2504" i="3"/>
  <c r="T2505" i="3"/>
  <c r="T2506" i="3"/>
  <c r="T2507" i="3"/>
  <c r="T2508" i="3"/>
  <c r="T2509" i="3"/>
  <c r="T2510" i="3"/>
  <c r="T2511" i="3"/>
  <c r="T2512" i="3"/>
  <c r="T2513" i="3"/>
  <c r="T2514" i="3"/>
  <c r="T2515" i="3"/>
  <c r="T2516" i="3"/>
  <c r="T2517" i="3"/>
  <c r="T2518" i="3"/>
  <c r="T2519" i="3"/>
  <c r="T2520" i="3"/>
  <c r="T2521" i="3"/>
  <c r="T2522" i="3"/>
  <c r="T2523" i="3"/>
  <c r="T2524" i="3"/>
  <c r="T2525" i="3"/>
  <c r="T2526" i="3"/>
  <c r="T2527" i="3"/>
  <c r="T2528" i="3"/>
  <c r="T2529" i="3"/>
  <c r="T2530" i="3"/>
  <c r="T2531" i="3"/>
  <c r="T2532" i="3"/>
  <c r="T2533" i="3"/>
  <c r="T2534" i="3"/>
  <c r="T2535" i="3"/>
  <c r="T2536" i="3"/>
  <c r="T2537" i="3"/>
  <c r="T2538" i="3"/>
  <c r="T2539" i="3"/>
  <c r="T2540" i="3"/>
  <c r="T2541" i="3"/>
  <c r="T2542" i="3"/>
  <c r="T2543" i="3"/>
  <c r="T2544" i="3"/>
  <c r="T2545" i="3"/>
  <c r="T2546" i="3"/>
  <c r="T2547" i="3"/>
  <c r="T2548" i="3"/>
  <c r="T2549" i="3"/>
  <c r="T2550" i="3"/>
  <c r="T2551" i="3"/>
  <c r="T2552" i="3"/>
  <c r="T2553" i="3"/>
  <c r="T2554" i="3"/>
  <c r="T2555" i="3"/>
  <c r="T2556" i="3"/>
  <c r="T2557" i="3"/>
  <c r="T2558" i="3"/>
  <c r="T2559" i="3"/>
  <c r="T2560" i="3"/>
  <c r="T2561" i="3"/>
  <c r="T2562" i="3"/>
  <c r="T2563" i="3"/>
  <c r="T2564" i="3"/>
  <c r="T2565" i="3"/>
  <c r="T2566" i="3"/>
  <c r="T2567" i="3"/>
  <c r="T2568" i="3"/>
  <c r="T2569" i="3"/>
  <c r="T2570" i="3"/>
  <c r="T2571" i="3"/>
  <c r="T2572" i="3"/>
  <c r="T2573" i="3"/>
  <c r="T2574" i="3"/>
  <c r="T2575" i="3"/>
  <c r="T2576" i="3"/>
  <c r="T2577" i="3"/>
  <c r="T2578" i="3"/>
  <c r="T2579" i="3"/>
  <c r="T2580" i="3"/>
  <c r="T2581" i="3"/>
  <c r="T2582" i="3"/>
  <c r="T2583" i="3"/>
  <c r="T2584" i="3"/>
  <c r="T2585" i="3"/>
  <c r="T2586" i="3"/>
  <c r="T2587" i="3"/>
  <c r="T2588" i="3"/>
  <c r="T2589" i="3"/>
  <c r="T2590" i="3"/>
  <c r="T2591" i="3"/>
  <c r="T2592" i="3"/>
  <c r="T2593" i="3"/>
  <c r="T2594" i="3"/>
  <c r="T2595" i="3"/>
  <c r="T2596" i="3"/>
  <c r="T2597" i="3"/>
  <c r="T2598" i="3"/>
  <c r="T2599" i="3"/>
  <c r="T2600" i="3"/>
  <c r="T2601" i="3"/>
  <c r="T2602" i="3"/>
  <c r="T2603" i="3"/>
  <c r="T2604" i="3"/>
  <c r="T2605" i="3"/>
  <c r="T2606" i="3"/>
  <c r="T2607" i="3"/>
  <c r="T2608" i="3"/>
  <c r="T2609" i="3"/>
  <c r="T2610" i="3"/>
  <c r="T2611" i="3"/>
  <c r="T2612" i="3"/>
  <c r="T2613" i="3"/>
  <c r="T2614" i="3"/>
  <c r="T2615" i="3"/>
  <c r="T2616" i="3"/>
  <c r="T2617" i="3"/>
  <c r="T2618" i="3"/>
  <c r="T2619" i="3"/>
  <c r="T2620" i="3"/>
  <c r="T2621" i="3"/>
  <c r="T2622" i="3"/>
  <c r="T2623" i="3"/>
  <c r="T2624" i="3"/>
  <c r="T3" i="3"/>
  <c r="Q4" i="3" a="1"/>
  <c r="Q4" i="3" s="1"/>
  <c r="Q5" i="3" a="1"/>
  <c r="Q5" i="3" s="1"/>
  <c r="Q6" i="3" a="1"/>
  <c r="Q6" i="3" s="1"/>
  <c r="Q7" i="3" a="1"/>
  <c r="Q7" i="3" s="1"/>
  <c r="Q8" i="3" a="1"/>
  <c r="Q8" i="3" s="1"/>
  <c r="Q9" i="3" a="1"/>
  <c r="Q9" i="3" s="1"/>
  <c r="Q10" i="3" a="1"/>
  <c r="Q10" i="3" s="1"/>
  <c r="Q11" i="3" a="1"/>
  <c r="Q11" i="3" s="1"/>
  <c r="Q12" i="3" a="1"/>
  <c r="Q12" i="3" s="1"/>
  <c r="Q13" i="3" a="1"/>
  <c r="Q13" i="3" s="1"/>
  <c r="Q14" i="3" a="1"/>
  <c r="Q14" i="3" s="1"/>
  <c r="Q15" i="3" a="1"/>
  <c r="Q15" i="3" s="1"/>
  <c r="Q16" i="3" a="1"/>
  <c r="Q16" i="3" s="1"/>
  <c r="Q17" i="3" a="1"/>
  <c r="Q17" i="3" s="1"/>
  <c r="Q18" i="3" a="1"/>
  <c r="Q18" i="3" s="1"/>
  <c r="Q19" i="3" a="1"/>
  <c r="Q19" i="3" s="1"/>
  <c r="Q20" i="3" a="1"/>
  <c r="Q20" i="3" s="1"/>
  <c r="Q21" i="3" a="1"/>
  <c r="Q21" i="3" s="1"/>
  <c r="Q22" i="3" a="1"/>
  <c r="Q22" i="3" s="1"/>
  <c r="Q23" i="3" a="1"/>
  <c r="Q23" i="3" s="1"/>
  <c r="Q24" i="3" a="1"/>
  <c r="Q24" i="3" s="1"/>
  <c r="Q25" i="3" a="1"/>
  <c r="Q25" i="3" s="1"/>
  <c r="Q26" i="3" a="1"/>
  <c r="Q26" i="3" s="1"/>
  <c r="Q27" i="3" a="1"/>
  <c r="Q27" i="3" s="1"/>
  <c r="Q28" i="3" a="1"/>
  <c r="Q28" i="3" s="1"/>
  <c r="Q29" i="3" a="1"/>
  <c r="Q29" i="3" s="1"/>
  <c r="Q30" i="3" a="1"/>
  <c r="Q30" i="3" s="1"/>
  <c r="Q31" i="3" a="1"/>
  <c r="Q31" i="3" s="1"/>
  <c r="Q32" i="3" a="1"/>
  <c r="Q32" i="3" s="1"/>
  <c r="Q33" i="3" a="1"/>
  <c r="Q33" i="3" s="1"/>
  <c r="Q34" i="3" a="1"/>
  <c r="Q34" i="3" s="1"/>
  <c r="Q35" i="3" a="1"/>
  <c r="Q35" i="3" s="1"/>
  <c r="Q36" i="3" a="1"/>
  <c r="Q36" i="3" s="1"/>
  <c r="Q37" i="3" a="1"/>
  <c r="Q37" i="3" s="1"/>
  <c r="Q38" i="3" a="1"/>
  <c r="Q38" i="3" s="1"/>
  <c r="Q39" i="3" a="1"/>
  <c r="Q39" i="3" s="1"/>
  <c r="Q40" i="3" a="1"/>
  <c r="Q40" i="3" s="1"/>
  <c r="Q41" i="3" a="1"/>
  <c r="Q41" i="3" s="1"/>
  <c r="Q42" i="3" a="1"/>
  <c r="Q42" i="3" s="1"/>
  <c r="Q43" i="3" a="1"/>
  <c r="Q43" i="3" s="1"/>
  <c r="Q44" i="3" a="1"/>
  <c r="Q44" i="3" s="1"/>
  <c r="Q45" i="3" a="1"/>
  <c r="Q45" i="3" s="1"/>
  <c r="Q46" i="3" a="1"/>
  <c r="Q46" i="3" s="1"/>
  <c r="Q47" i="3" a="1"/>
  <c r="Q47" i="3" s="1"/>
  <c r="Q48" i="3" a="1"/>
  <c r="Q48" i="3" s="1"/>
  <c r="Q49" i="3" a="1"/>
  <c r="Q49" i="3" s="1"/>
  <c r="Q50" i="3" a="1"/>
  <c r="Q50" i="3" s="1"/>
  <c r="Q51" i="3" a="1"/>
  <c r="Q51" i="3" s="1"/>
  <c r="Q52" i="3" a="1"/>
  <c r="Q52" i="3" s="1"/>
  <c r="Q53" i="3" a="1"/>
  <c r="Q53" i="3" s="1"/>
  <c r="Q54" i="3" a="1"/>
  <c r="Q54" i="3" s="1"/>
  <c r="Q55" i="3" a="1"/>
  <c r="Q55" i="3" s="1"/>
  <c r="Q56" i="3" a="1"/>
  <c r="Q56" i="3" s="1"/>
  <c r="Q57" i="3" a="1"/>
  <c r="Q57" i="3" s="1"/>
  <c r="Q58" i="3" a="1"/>
  <c r="Q58" i="3" s="1"/>
  <c r="Q59" i="3" a="1"/>
  <c r="Q59" i="3" s="1"/>
  <c r="Q60" i="3" a="1"/>
  <c r="Q60" i="3" s="1"/>
  <c r="Q61" i="3" a="1"/>
  <c r="Q61" i="3" s="1"/>
  <c r="Q62" i="3" a="1"/>
  <c r="Q62" i="3" s="1"/>
  <c r="Q63" i="3" a="1"/>
  <c r="Q63" i="3" s="1"/>
  <c r="Q64" i="3" a="1"/>
  <c r="Q64" i="3" s="1"/>
  <c r="Q65" i="3" a="1"/>
  <c r="Q65" i="3" s="1"/>
  <c r="Q66" i="3" a="1"/>
  <c r="Q66" i="3" s="1"/>
  <c r="Q67" i="3" a="1"/>
  <c r="Q67" i="3" s="1"/>
  <c r="Q68" i="3" a="1"/>
  <c r="Q68" i="3" s="1"/>
  <c r="Q69" i="3" a="1"/>
  <c r="Q69" i="3" s="1"/>
  <c r="Q70" i="3" a="1"/>
  <c r="Q70" i="3" s="1"/>
  <c r="Q71" i="3" a="1"/>
  <c r="Q71" i="3" s="1"/>
  <c r="Q72" i="3" a="1"/>
  <c r="Q72" i="3" s="1"/>
  <c r="Q73" i="3" a="1"/>
  <c r="Q73" i="3" s="1"/>
  <c r="Q74" i="3" a="1"/>
  <c r="Q74" i="3" s="1"/>
  <c r="Q75" i="3" a="1"/>
  <c r="Q75" i="3" s="1"/>
  <c r="Q76" i="3" a="1"/>
  <c r="Q76" i="3" s="1"/>
  <c r="Q77" i="3" a="1"/>
  <c r="Q77" i="3" s="1"/>
  <c r="Q78" i="3" a="1"/>
  <c r="Q78" i="3" s="1"/>
  <c r="Q79" i="3" a="1"/>
  <c r="Q79" i="3" s="1"/>
  <c r="Q80" i="3" a="1"/>
  <c r="Q80" i="3" s="1"/>
  <c r="Q81" i="3" a="1"/>
  <c r="Q81" i="3" s="1"/>
  <c r="Q82" i="3" a="1"/>
  <c r="Q82" i="3" s="1"/>
  <c r="Q83" i="3" a="1"/>
  <c r="Q83" i="3" s="1"/>
  <c r="Q84" i="3" a="1"/>
  <c r="Q84" i="3" s="1"/>
  <c r="Q85" i="3" a="1"/>
  <c r="Q85" i="3" s="1"/>
  <c r="Q86" i="3" a="1"/>
  <c r="Q86" i="3" s="1"/>
  <c r="Q87" i="3" a="1"/>
  <c r="Q87" i="3" s="1"/>
  <c r="Q88" i="3" a="1"/>
  <c r="Q88" i="3" s="1"/>
  <c r="Q89" i="3" a="1"/>
  <c r="Q89" i="3" s="1"/>
  <c r="Q90" i="3" a="1"/>
  <c r="Q90" i="3" s="1"/>
  <c r="Q91" i="3" a="1"/>
  <c r="Q91" i="3" s="1"/>
  <c r="Q92" i="3" a="1"/>
  <c r="Q92" i="3" s="1"/>
  <c r="Q93" i="3" a="1"/>
  <c r="Q93" i="3" s="1"/>
  <c r="Q94" i="3" a="1"/>
  <c r="Q94" i="3" s="1"/>
  <c r="Q95" i="3" a="1"/>
  <c r="Q95" i="3" s="1"/>
  <c r="Q96" i="3" a="1"/>
  <c r="Q96" i="3" s="1"/>
  <c r="Q97" i="3" a="1"/>
  <c r="Q97" i="3" s="1"/>
  <c r="Q98" i="3" a="1"/>
  <c r="Q98" i="3" s="1"/>
  <c r="Q99" i="3" a="1"/>
  <c r="Q99" i="3" s="1"/>
  <c r="Q100" i="3" a="1"/>
  <c r="Q100" i="3" s="1"/>
  <c r="Q101" i="3" a="1"/>
  <c r="Q101" i="3" s="1"/>
  <c r="Q102" i="3" a="1"/>
  <c r="Q102" i="3" s="1"/>
  <c r="Q103" i="3" a="1"/>
  <c r="Q103" i="3" s="1"/>
  <c r="Q104" i="3" a="1"/>
  <c r="Q104" i="3" s="1"/>
  <c r="Q105" i="3" a="1"/>
  <c r="Q105" i="3" s="1"/>
  <c r="Q106" i="3" a="1"/>
  <c r="Q106" i="3" s="1"/>
  <c r="Q107" i="3" a="1"/>
  <c r="Q107" i="3" s="1"/>
  <c r="Q108" i="3" a="1"/>
  <c r="Q108" i="3" s="1"/>
  <c r="Q109" i="3" a="1"/>
  <c r="Q109" i="3" s="1"/>
  <c r="Q110" i="3" a="1"/>
  <c r="Q110" i="3" s="1"/>
  <c r="Q111" i="3" a="1"/>
  <c r="Q111" i="3" s="1"/>
  <c r="Q112" i="3" a="1"/>
  <c r="Q112" i="3" s="1"/>
  <c r="Q113" i="3" a="1"/>
  <c r="Q113" i="3" s="1"/>
  <c r="Q114" i="3" a="1"/>
  <c r="Q114" i="3" s="1"/>
  <c r="Q115" i="3" a="1"/>
  <c r="Q115" i="3" s="1"/>
  <c r="Q116" i="3" a="1"/>
  <c r="Q116" i="3" s="1"/>
  <c r="Q117" i="3" a="1"/>
  <c r="Q117" i="3" s="1"/>
  <c r="Q118" i="3" a="1"/>
  <c r="Q118" i="3" s="1"/>
  <c r="Q119" i="3" a="1"/>
  <c r="Q119" i="3" s="1"/>
  <c r="Q120" i="3" a="1"/>
  <c r="Q120" i="3" s="1"/>
  <c r="Q121" i="3" a="1"/>
  <c r="Q121" i="3" s="1"/>
  <c r="Q122" i="3" a="1"/>
  <c r="Q122" i="3" s="1"/>
  <c r="Q123" i="3" a="1"/>
  <c r="Q123" i="3" s="1"/>
  <c r="Q124" i="3" a="1"/>
  <c r="Q124" i="3" s="1"/>
  <c r="Q125" i="3" a="1"/>
  <c r="Q125" i="3" s="1"/>
  <c r="Q126" i="3" a="1"/>
  <c r="Q126" i="3" s="1"/>
  <c r="Q127" i="3" a="1"/>
  <c r="Q127" i="3" s="1"/>
  <c r="Q128" i="3" a="1"/>
  <c r="Q128" i="3" s="1"/>
  <c r="Q129" i="3" a="1"/>
  <c r="Q129" i="3" s="1"/>
  <c r="Q130" i="3" a="1"/>
  <c r="Q130" i="3" s="1"/>
  <c r="Q131" i="3" a="1"/>
  <c r="Q131" i="3" s="1"/>
  <c r="Q132" i="3" a="1"/>
  <c r="Q132" i="3" s="1"/>
  <c r="Q133" i="3" a="1"/>
  <c r="Q133" i="3" s="1"/>
  <c r="Q134" i="3" a="1"/>
  <c r="Q134" i="3" s="1"/>
  <c r="Q135" i="3" a="1"/>
  <c r="Q135" i="3" s="1"/>
  <c r="Q136" i="3" a="1"/>
  <c r="Q136" i="3" s="1"/>
  <c r="Q137" i="3" a="1"/>
  <c r="Q137" i="3" s="1"/>
  <c r="Q138" i="3" a="1"/>
  <c r="Q138" i="3" s="1"/>
  <c r="Q139" i="3" a="1"/>
  <c r="Q139" i="3" s="1"/>
  <c r="Q140" i="3" a="1"/>
  <c r="Q140" i="3" s="1"/>
  <c r="Q141" i="3" a="1"/>
  <c r="Q141" i="3" s="1"/>
  <c r="Q142" i="3" a="1"/>
  <c r="Q142" i="3" s="1"/>
  <c r="Q143" i="3" a="1"/>
  <c r="Q143" i="3" s="1"/>
  <c r="Q144" i="3" a="1"/>
  <c r="Q144" i="3" s="1"/>
  <c r="Q145" i="3" a="1"/>
  <c r="Q145" i="3" s="1"/>
  <c r="Q146" i="3" a="1"/>
  <c r="Q146" i="3" s="1"/>
  <c r="Q147" i="3" a="1"/>
  <c r="Q147" i="3" s="1"/>
  <c r="Q148" i="3" a="1"/>
  <c r="Q148" i="3" s="1"/>
  <c r="Q149" i="3" a="1"/>
  <c r="Q149" i="3" s="1"/>
  <c r="Q150" i="3" a="1"/>
  <c r="Q150" i="3" s="1"/>
  <c r="Q151" i="3" a="1"/>
  <c r="Q151" i="3" s="1"/>
  <c r="Q152" i="3" a="1"/>
  <c r="Q152" i="3" s="1"/>
  <c r="Q153" i="3" a="1"/>
  <c r="Q153" i="3" s="1"/>
  <c r="Q154" i="3" a="1"/>
  <c r="Q154" i="3" s="1"/>
  <c r="Q155" i="3" a="1"/>
  <c r="Q155" i="3" s="1"/>
  <c r="Q156" i="3" a="1"/>
  <c r="Q156" i="3" s="1"/>
  <c r="Q157" i="3" a="1"/>
  <c r="Q157" i="3" s="1"/>
  <c r="Q158" i="3" a="1"/>
  <c r="Q158" i="3" s="1"/>
  <c r="Q159" i="3" a="1"/>
  <c r="Q159" i="3" s="1"/>
  <c r="Q160" i="3" a="1"/>
  <c r="Q160" i="3" s="1"/>
  <c r="Q161" i="3" a="1"/>
  <c r="Q161" i="3" s="1"/>
  <c r="Q162" i="3" a="1"/>
  <c r="Q162" i="3" s="1"/>
  <c r="Q163" i="3" a="1"/>
  <c r="Q163" i="3" s="1"/>
  <c r="Q164" i="3" a="1"/>
  <c r="Q164" i="3" s="1"/>
  <c r="Q165" i="3" a="1"/>
  <c r="Q165" i="3" s="1"/>
  <c r="Q166" i="3" a="1"/>
  <c r="Q166" i="3" s="1"/>
  <c r="Q167" i="3" a="1"/>
  <c r="Q167" i="3" s="1"/>
  <c r="Q168" i="3" a="1"/>
  <c r="Q168" i="3" s="1"/>
  <c r="Q169" i="3" a="1"/>
  <c r="Q169" i="3" s="1"/>
  <c r="Q170" i="3" a="1"/>
  <c r="Q170" i="3" s="1"/>
  <c r="Q171" i="3" a="1"/>
  <c r="Q171" i="3" s="1"/>
  <c r="Q172" i="3" a="1"/>
  <c r="Q172" i="3" s="1"/>
  <c r="Q173" i="3" a="1"/>
  <c r="Q173" i="3" s="1"/>
  <c r="Q174" i="3" a="1"/>
  <c r="Q174" i="3" s="1"/>
  <c r="Q175" i="3" a="1"/>
  <c r="Q175" i="3" s="1"/>
  <c r="Q176" i="3" a="1"/>
  <c r="Q176" i="3" s="1"/>
  <c r="Q177" i="3" a="1"/>
  <c r="Q177" i="3" s="1"/>
  <c r="Q178" i="3" a="1"/>
  <c r="Q178" i="3" s="1"/>
  <c r="Q179" i="3" a="1"/>
  <c r="Q179" i="3" s="1"/>
  <c r="Q180" i="3" a="1"/>
  <c r="Q180" i="3" s="1"/>
  <c r="Q181" i="3" a="1"/>
  <c r="Q181" i="3" s="1"/>
  <c r="Q182" i="3" a="1"/>
  <c r="Q182" i="3" s="1"/>
  <c r="Q183" i="3" a="1"/>
  <c r="Q183" i="3" s="1"/>
  <c r="Q184" i="3" a="1"/>
  <c r="Q184" i="3" s="1"/>
  <c r="Q185" i="3" a="1"/>
  <c r="Q185" i="3" s="1"/>
  <c r="Q186" i="3" a="1"/>
  <c r="Q186" i="3" s="1"/>
  <c r="Q187" i="3" a="1"/>
  <c r="Q187" i="3" s="1"/>
  <c r="Q188" i="3" a="1"/>
  <c r="Q188" i="3" s="1"/>
  <c r="Q189" i="3" a="1"/>
  <c r="Q189" i="3" s="1"/>
  <c r="Q190" i="3" a="1"/>
  <c r="Q190" i="3" s="1"/>
  <c r="Q191" i="3" a="1"/>
  <c r="Q191" i="3" s="1"/>
  <c r="Q192" i="3" a="1"/>
  <c r="Q192" i="3" s="1"/>
  <c r="Q193" i="3" a="1"/>
  <c r="Q193" i="3" s="1"/>
  <c r="Q194" i="3" a="1"/>
  <c r="Q194" i="3" s="1"/>
  <c r="Q195" i="3" a="1"/>
  <c r="Q195" i="3" s="1"/>
  <c r="Q196" i="3" a="1"/>
  <c r="Q196" i="3" s="1"/>
  <c r="Q197" i="3" a="1"/>
  <c r="Q197" i="3" s="1"/>
  <c r="Q198" i="3" a="1"/>
  <c r="Q198" i="3" s="1"/>
  <c r="Q199" i="3" a="1"/>
  <c r="Q199" i="3" s="1"/>
  <c r="Q200" i="3" a="1"/>
  <c r="Q200" i="3" s="1"/>
  <c r="Q201" i="3" a="1"/>
  <c r="Q201" i="3" s="1"/>
  <c r="Q202" i="3" a="1"/>
  <c r="Q202" i="3" s="1"/>
  <c r="Q203" i="3" a="1"/>
  <c r="Q203" i="3" s="1"/>
  <c r="Q204" i="3" a="1"/>
  <c r="Q204" i="3" s="1"/>
  <c r="Q205" i="3" a="1"/>
  <c r="Q205" i="3" s="1"/>
  <c r="Q206" i="3" a="1"/>
  <c r="Q206" i="3" s="1"/>
  <c r="Q207" i="3" a="1"/>
  <c r="Q207" i="3" s="1"/>
  <c r="Q208" i="3" a="1"/>
  <c r="Q208" i="3" s="1"/>
  <c r="Q209" i="3" a="1"/>
  <c r="Q209" i="3" s="1"/>
  <c r="Q210" i="3" a="1"/>
  <c r="Q210" i="3" s="1"/>
  <c r="Q211" i="3" a="1"/>
  <c r="Q211" i="3" s="1"/>
  <c r="Q212" i="3" a="1"/>
  <c r="Q212" i="3" s="1"/>
  <c r="Q213" i="3" a="1"/>
  <c r="Q213" i="3" s="1"/>
  <c r="Q214" i="3" a="1"/>
  <c r="Q214" i="3" s="1"/>
  <c r="Q215" i="3" a="1"/>
  <c r="Q215" i="3" s="1"/>
  <c r="Q216" i="3" a="1"/>
  <c r="Q216" i="3" s="1"/>
  <c r="Q217" i="3" a="1"/>
  <c r="Q217" i="3" s="1"/>
  <c r="Q218" i="3" a="1"/>
  <c r="Q218" i="3" s="1"/>
  <c r="Q219" i="3" a="1"/>
  <c r="Q219" i="3" s="1"/>
  <c r="Q220" i="3" a="1"/>
  <c r="Q220" i="3" s="1"/>
  <c r="Q221" i="3" a="1"/>
  <c r="Q221" i="3" s="1"/>
  <c r="Q222" i="3" a="1"/>
  <c r="Q222" i="3" s="1"/>
  <c r="Q223" i="3" a="1"/>
  <c r="Q223" i="3" s="1"/>
  <c r="Q224" i="3" a="1"/>
  <c r="Q224" i="3" s="1"/>
  <c r="Q225" i="3" a="1"/>
  <c r="Q225" i="3" s="1"/>
  <c r="Q226" i="3" a="1"/>
  <c r="Q226" i="3" s="1"/>
  <c r="Q227" i="3" a="1"/>
  <c r="Q227" i="3" s="1"/>
  <c r="Q228" i="3" a="1"/>
  <c r="Q228" i="3" s="1"/>
  <c r="Q229" i="3" a="1"/>
  <c r="Q229" i="3" s="1"/>
  <c r="Q230" i="3" a="1"/>
  <c r="Q230" i="3" s="1"/>
  <c r="Q231" i="3" a="1"/>
  <c r="Q231" i="3" s="1"/>
  <c r="Q232" i="3" a="1"/>
  <c r="Q232" i="3" s="1"/>
  <c r="Q233" i="3" a="1"/>
  <c r="Q233" i="3" s="1"/>
  <c r="Q234" i="3" a="1"/>
  <c r="Q234" i="3" s="1"/>
  <c r="Q235" i="3" a="1"/>
  <c r="Q235" i="3" s="1"/>
  <c r="Q236" i="3" a="1"/>
  <c r="Q236" i="3" s="1"/>
  <c r="Q237" i="3" a="1"/>
  <c r="Q237" i="3" s="1"/>
  <c r="Q238" i="3" a="1"/>
  <c r="Q238" i="3" s="1"/>
  <c r="Q239" i="3" a="1"/>
  <c r="Q239" i="3" s="1"/>
  <c r="Q240" i="3" a="1"/>
  <c r="Q240" i="3" s="1"/>
  <c r="Q241" i="3" a="1"/>
  <c r="Q241" i="3" s="1"/>
  <c r="Q242" i="3" a="1"/>
  <c r="Q242" i="3" s="1"/>
  <c r="Q243" i="3" a="1"/>
  <c r="Q243" i="3" s="1"/>
  <c r="Q244" i="3" a="1"/>
  <c r="Q244" i="3" s="1"/>
  <c r="Q245" i="3" a="1"/>
  <c r="Q245" i="3" s="1"/>
  <c r="Q246" i="3" a="1"/>
  <c r="Q246" i="3" s="1"/>
  <c r="Q247" i="3" a="1"/>
  <c r="Q247" i="3" s="1"/>
  <c r="Q248" i="3" a="1"/>
  <c r="Q248" i="3" s="1"/>
  <c r="Q249" i="3" a="1"/>
  <c r="Q249" i="3" s="1"/>
  <c r="Q250" i="3" a="1"/>
  <c r="Q250" i="3" s="1"/>
  <c r="Q251" i="3" a="1"/>
  <c r="Q251" i="3" s="1"/>
  <c r="Q252" i="3" a="1"/>
  <c r="Q252" i="3" s="1"/>
  <c r="Q253" i="3" a="1"/>
  <c r="Q253" i="3" s="1"/>
  <c r="Q254" i="3" a="1"/>
  <c r="Q254" i="3" s="1"/>
  <c r="Q255" i="3" a="1"/>
  <c r="Q255" i="3" s="1"/>
  <c r="Q256" i="3" a="1"/>
  <c r="Q256" i="3" s="1"/>
  <c r="Q257" i="3" a="1"/>
  <c r="Q257" i="3" s="1"/>
  <c r="Q258" i="3" a="1"/>
  <c r="Q258" i="3" s="1"/>
  <c r="Q259" i="3" a="1"/>
  <c r="Q259" i="3" s="1"/>
  <c r="Q260" i="3" a="1"/>
  <c r="Q260" i="3" s="1"/>
  <c r="Q261" i="3" a="1"/>
  <c r="Q261" i="3" s="1"/>
  <c r="Q262" i="3" a="1"/>
  <c r="Q262" i="3" s="1"/>
  <c r="Q263" i="3" a="1"/>
  <c r="Q263" i="3" s="1"/>
  <c r="Q264" i="3" a="1"/>
  <c r="Q264" i="3" s="1"/>
  <c r="Q265" i="3" a="1"/>
  <c r="Q265" i="3" s="1"/>
  <c r="Q266" i="3" a="1"/>
  <c r="Q266" i="3" s="1"/>
  <c r="Q267" i="3" a="1"/>
  <c r="Q267" i="3" s="1"/>
  <c r="Q268" i="3" a="1"/>
  <c r="Q268" i="3" s="1"/>
  <c r="Q269" i="3" a="1"/>
  <c r="Q269" i="3" s="1"/>
  <c r="Q270" i="3" a="1"/>
  <c r="Q270" i="3" s="1"/>
  <c r="Q271" i="3" a="1"/>
  <c r="Q271" i="3" s="1"/>
  <c r="Q272" i="3" a="1"/>
  <c r="Q272" i="3" s="1"/>
  <c r="Q273" i="3" a="1"/>
  <c r="Q273" i="3" s="1"/>
  <c r="Q274" i="3" a="1"/>
  <c r="Q274" i="3" s="1"/>
  <c r="Q275" i="3" a="1"/>
  <c r="Q275" i="3" s="1"/>
  <c r="Q276" i="3" a="1"/>
  <c r="Q276" i="3" s="1"/>
  <c r="Q277" i="3" a="1"/>
  <c r="Q277" i="3" s="1"/>
  <c r="Q278" i="3" a="1"/>
  <c r="Q278" i="3" s="1"/>
  <c r="Q279" i="3" a="1"/>
  <c r="Q279" i="3" s="1"/>
  <c r="Q280" i="3" a="1"/>
  <c r="Q280" i="3" s="1"/>
  <c r="Q281" i="3" a="1"/>
  <c r="Q281" i="3" s="1"/>
  <c r="Q282" i="3" a="1"/>
  <c r="Q282" i="3" s="1"/>
  <c r="Q283" i="3" a="1"/>
  <c r="Q283" i="3" s="1"/>
  <c r="Q284" i="3" a="1"/>
  <c r="Q284" i="3" s="1"/>
  <c r="Q285" i="3" a="1"/>
  <c r="Q285" i="3" s="1"/>
  <c r="Q286" i="3" a="1"/>
  <c r="Q286" i="3" s="1"/>
  <c r="Q287" i="3" a="1"/>
  <c r="Q287" i="3" s="1"/>
  <c r="Q288" i="3" a="1"/>
  <c r="Q288" i="3" s="1"/>
  <c r="Q289" i="3" a="1"/>
  <c r="Q289" i="3" s="1"/>
  <c r="Q290" i="3" a="1"/>
  <c r="Q290" i="3" s="1"/>
  <c r="Q291" i="3" a="1"/>
  <c r="Q291" i="3" s="1"/>
  <c r="Q292" i="3" a="1"/>
  <c r="Q292" i="3" s="1"/>
  <c r="Q293" i="3" a="1"/>
  <c r="Q293" i="3" s="1"/>
  <c r="Q294" i="3" a="1"/>
  <c r="Q294" i="3" s="1"/>
  <c r="Q295" i="3" a="1"/>
  <c r="Q295" i="3" s="1"/>
  <c r="Q296" i="3" a="1"/>
  <c r="Q296" i="3" s="1"/>
  <c r="Q297" i="3" a="1"/>
  <c r="Q297" i="3" s="1"/>
  <c r="Q298" i="3" a="1"/>
  <c r="Q298" i="3" s="1"/>
  <c r="Q299" i="3" a="1"/>
  <c r="Q299" i="3" s="1"/>
  <c r="Q300" i="3" a="1"/>
  <c r="Q300" i="3" s="1"/>
  <c r="Q301" i="3" a="1"/>
  <c r="Q301" i="3" s="1"/>
  <c r="Q302" i="3" a="1"/>
  <c r="Q302" i="3" s="1"/>
  <c r="Q303" i="3" a="1"/>
  <c r="Q303" i="3" s="1"/>
  <c r="Q304" i="3" a="1"/>
  <c r="Q304" i="3" s="1"/>
  <c r="Q305" i="3" a="1"/>
  <c r="Q305" i="3" s="1"/>
  <c r="Q306" i="3" a="1"/>
  <c r="Q306" i="3" s="1"/>
  <c r="Q307" i="3" a="1"/>
  <c r="Q307" i="3" s="1"/>
  <c r="Q308" i="3" a="1"/>
  <c r="Q308" i="3" s="1"/>
  <c r="Q309" i="3" a="1"/>
  <c r="Q309" i="3" s="1"/>
  <c r="Q310" i="3" a="1"/>
  <c r="Q310" i="3" s="1"/>
  <c r="Q311" i="3" a="1"/>
  <c r="Q311" i="3" s="1"/>
  <c r="Q312" i="3" a="1"/>
  <c r="Q312" i="3" s="1"/>
  <c r="Q313" i="3" a="1"/>
  <c r="Q313" i="3" s="1"/>
  <c r="Q314" i="3" a="1"/>
  <c r="Q314" i="3" s="1"/>
  <c r="Q315" i="3" a="1"/>
  <c r="Q315" i="3" s="1"/>
  <c r="Q316" i="3" a="1"/>
  <c r="Q316" i="3" s="1"/>
  <c r="Q317" i="3" a="1"/>
  <c r="Q317" i="3" s="1"/>
  <c r="Q318" i="3" a="1"/>
  <c r="Q318" i="3" s="1"/>
  <c r="Q319" i="3" a="1"/>
  <c r="Q319" i="3" s="1"/>
  <c r="Q320" i="3" a="1"/>
  <c r="Q320" i="3" s="1"/>
  <c r="Q321" i="3" a="1"/>
  <c r="Q321" i="3" s="1"/>
  <c r="Q322" i="3" a="1"/>
  <c r="Q322" i="3" s="1"/>
  <c r="Q323" i="3" a="1"/>
  <c r="Q323" i="3" s="1"/>
  <c r="Q324" i="3" a="1"/>
  <c r="Q324" i="3" s="1"/>
  <c r="Q325" i="3" a="1"/>
  <c r="Q325" i="3" s="1"/>
  <c r="Q326" i="3" a="1"/>
  <c r="Q326" i="3" s="1"/>
  <c r="Q327" i="3" a="1"/>
  <c r="Q327" i="3" s="1"/>
  <c r="Q328" i="3" a="1"/>
  <c r="Q328" i="3" s="1"/>
  <c r="Q329" i="3" a="1"/>
  <c r="Q329" i="3" s="1"/>
  <c r="Q330" i="3" a="1"/>
  <c r="Q330" i="3" s="1"/>
  <c r="Q331" i="3" a="1"/>
  <c r="Q331" i="3" s="1"/>
  <c r="Q332" i="3" a="1"/>
  <c r="Q332" i="3" s="1"/>
  <c r="Q333" i="3" a="1"/>
  <c r="Q333" i="3" s="1"/>
  <c r="Q334" i="3" a="1"/>
  <c r="Q334" i="3" s="1"/>
  <c r="Q335" i="3" a="1"/>
  <c r="Q335" i="3" s="1"/>
  <c r="Q336" i="3" a="1"/>
  <c r="Q336" i="3" s="1"/>
  <c r="Q337" i="3" a="1"/>
  <c r="Q337" i="3" s="1"/>
  <c r="Q338" i="3" a="1"/>
  <c r="Q338" i="3" s="1"/>
  <c r="Q339" i="3" a="1"/>
  <c r="Q339" i="3" s="1"/>
  <c r="Q340" i="3" a="1"/>
  <c r="Q340" i="3" s="1"/>
  <c r="Q341" i="3" a="1"/>
  <c r="Q341" i="3" s="1"/>
  <c r="Q342" i="3" a="1"/>
  <c r="Q342" i="3" s="1"/>
  <c r="Q343" i="3" a="1"/>
  <c r="Q343" i="3" s="1"/>
  <c r="Q344" i="3" a="1"/>
  <c r="Q344" i="3" s="1"/>
  <c r="Q345" i="3" a="1"/>
  <c r="Q345" i="3" s="1"/>
  <c r="Q346" i="3" a="1"/>
  <c r="Q346" i="3" s="1"/>
  <c r="Q347" i="3" a="1"/>
  <c r="Q347" i="3" s="1"/>
  <c r="Q348" i="3" a="1"/>
  <c r="Q348" i="3" s="1"/>
  <c r="Q349" i="3" a="1"/>
  <c r="Q349" i="3" s="1"/>
  <c r="Q350" i="3" a="1"/>
  <c r="Q350" i="3" s="1"/>
  <c r="Q351" i="3" a="1"/>
  <c r="Q351" i="3" s="1"/>
  <c r="Q352" i="3" a="1"/>
  <c r="Q352" i="3" s="1"/>
  <c r="Q353" i="3" a="1"/>
  <c r="Q353" i="3" s="1"/>
  <c r="Q354" i="3" a="1"/>
  <c r="Q354" i="3" s="1"/>
  <c r="Q355" i="3" a="1"/>
  <c r="Q355" i="3" s="1"/>
  <c r="Q356" i="3" a="1"/>
  <c r="Q356" i="3" s="1"/>
  <c r="Q357" i="3" a="1"/>
  <c r="Q357" i="3" s="1"/>
  <c r="Q358" i="3" a="1"/>
  <c r="Q358" i="3" s="1"/>
  <c r="Q359" i="3" a="1"/>
  <c r="Q359" i="3" s="1"/>
  <c r="Q360" i="3" a="1"/>
  <c r="Q360" i="3" s="1"/>
  <c r="Q361" i="3" a="1"/>
  <c r="Q361" i="3" s="1"/>
  <c r="Q362" i="3" a="1"/>
  <c r="Q362" i="3" s="1"/>
  <c r="Q363" i="3" a="1"/>
  <c r="Q363" i="3" s="1"/>
  <c r="Q364" i="3" a="1"/>
  <c r="Q364" i="3" s="1"/>
  <c r="Q365" i="3" a="1"/>
  <c r="Q365" i="3" s="1"/>
  <c r="Q366" i="3" a="1"/>
  <c r="Q366" i="3" s="1"/>
  <c r="Q367" i="3" a="1"/>
  <c r="Q367" i="3" s="1"/>
  <c r="Q368" i="3" a="1"/>
  <c r="Q368" i="3" s="1"/>
  <c r="Q369" i="3" a="1"/>
  <c r="Q369" i="3" s="1"/>
  <c r="Q370" i="3" a="1"/>
  <c r="Q370" i="3" s="1"/>
  <c r="Q371" i="3" a="1"/>
  <c r="Q371" i="3" s="1"/>
  <c r="Q372" i="3" a="1"/>
  <c r="Q372" i="3" s="1"/>
  <c r="Q373" i="3" a="1"/>
  <c r="Q373" i="3" s="1"/>
  <c r="Q374" i="3" a="1"/>
  <c r="Q374" i="3" s="1"/>
  <c r="Q375" i="3" a="1"/>
  <c r="Q375" i="3" s="1"/>
  <c r="Q376" i="3" a="1"/>
  <c r="Q376" i="3" s="1"/>
  <c r="Q377" i="3" a="1"/>
  <c r="Q377" i="3" s="1"/>
  <c r="Q378" i="3" a="1"/>
  <c r="Q378" i="3" s="1"/>
  <c r="Q379" i="3" a="1"/>
  <c r="Q379" i="3" s="1"/>
  <c r="Q380" i="3" a="1"/>
  <c r="Q380" i="3" s="1"/>
  <c r="Q381" i="3" a="1"/>
  <c r="Q381" i="3" s="1"/>
  <c r="Q382" i="3" a="1"/>
  <c r="Q382" i="3" s="1"/>
  <c r="Q383" i="3" a="1"/>
  <c r="Q383" i="3" s="1"/>
  <c r="Q384" i="3" a="1"/>
  <c r="Q384" i="3" s="1"/>
  <c r="Q385" i="3" a="1"/>
  <c r="Q385" i="3" s="1"/>
  <c r="Q386" i="3" a="1"/>
  <c r="Q386" i="3" s="1"/>
  <c r="Q387" i="3" a="1"/>
  <c r="Q387" i="3" s="1"/>
  <c r="Q388" i="3" a="1"/>
  <c r="Q388" i="3" s="1"/>
  <c r="Q389" i="3" a="1"/>
  <c r="Q389" i="3" s="1"/>
  <c r="Q390" i="3" a="1"/>
  <c r="Q390" i="3" s="1"/>
  <c r="Q391" i="3" a="1"/>
  <c r="Q391" i="3" s="1"/>
  <c r="Q392" i="3" a="1"/>
  <c r="Q392" i="3" s="1"/>
  <c r="Q393" i="3" a="1"/>
  <c r="Q393" i="3" s="1"/>
  <c r="Q394" i="3" a="1"/>
  <c r="Q394" i="3" s="1"/>
  <c r="Q395" i="3" a="1"/>
  <c r="Q395" i="3" s="1"/>
  <c r="Q396" i="3" a="1"/>
  <c r="Q396" i="3" s="1"/>
  <c r="Q397" i="3" a="1"/>
  <c r="Q397" i="3" s="1"/>
  <c r="Q398" i="3" a="1"/>
  <c r="Q398" i="3" s="1"/>
  <c r="Q399" i="3" a="1"/>
  <c r="Q399" i="3" s="1"/>
  <c r="Q400" i="3" a="1"/>
  <c r="Q400" i="3" s="1"/>
  <c r="Q401" i="3" a="1"/>
  <c r="Q401" i="3" s="1"/>
  <c r="Q402" i="3" a="1"/>
  <c r="Q402" i="3" s="1"/>
  <c r="Q403" i="3" a="1"/>
  <c r="Q403" i="3" s="1"/>
  <c r="Q404" i="3" a="1"/>
  <c r="Q404" i="3" s="1"/>
  <c r="Q405" i="3" a="1"/>
  <c r="Q405" i="3" s="1"/>
  <c r="Q406" i="3" a="1"/>
  <c r="Q406" i="3" s="1"/>
  <c r="Q407" i="3" a="1"/>
  <c r="Q407" i="3" s="1"/>
  <c r="Q408" i="3" a="1"/>
  <c r="Q408" i="3" s="1"/>
  <c r="Q409" i="3" a="1"/>
  <c r="Q409" i="3" s="1"/>
  <c r="Q410" i="3" a="1"/>
  <c r="Q410" i="3" s="1"/>
  <c r="Q411" i="3" a="1"/>
  <c r="Q411" i="3" s="1"/>
  <c r="Q412" i="3" a="1"/>
  <c r="Q412" i="3" s="1"/>
  <c r="Q413" i="3" a="1"/>
  <c r="Q413" i="3" s="1"/>
  <c r="Q414" i="3" a="1"/>
  <c r="Q414" i="3" s="1"/>
  <c r="Q415" i="3" a="1"/>
  <c r="Q415" i="3" s="1"/>
  <c r="Q416" i="3" a="1"/>
  <c r="Q416" i="3" s="1"/>
  <c r="Q417" i="3" a="1"/>
  <c r="Q417" i="3" s="1"/>
  <c r="Q418" i="3" a="1"/>
  <c r="Q418" i="3" s="1"/>
  <c r="Q419" i="3" a="1"/>
  <c r="Q419" i="3" s="1"/>
  <c r="Q420" i="3" a="1"/>
  <c r="Q420" i="3" s="1"/>
  <c r="Q421" i="3" a="1"/>
  <c r="Q421" i="3" s="1"/>
  <c r="Q422" i="3" a="1"/>
  <c r="Q422" i="3" s="1"/>
  <c r="Q423" i="3" a="1"/>
  <c r="Q423" i="3" s="1"/>
  <c r="Q424" i="3" a="1"/>
  <c r="Q424" i="3" s="1"/>
  <c r="Q425" i="3" a="1"/>
  <c r="Q425" i="3" s="1"/>
  <c r="Q426" i="3" a="1"/>
  <c r="Q426" i="3" s="1"/>
  <c r="Q427" i="3" a="1"/>
  <c r="Q427" i="3" s="1"/>
  <c r="Q428" i="3" a="1"/>
  <c r="Q428" i="3" s="1"/>
  <c r="Q429" i="3" a="1"/>
  <c r="Q429" i="3" s="1"/>
  <c r="Q430" i="3" a="1"/>
  <c r="Q430" i="3" s="1"/>
  <c r="Q431" i="3" a="1"/>
  <c r="Q431" i="3" s="1"/>
  <c r="Q432" i="3" a="1"/>
  <c r="Q432" i="3" s="1"/>
  <c r="Q433" i="3" a="1"/>
  <c r="Q433" i="3" s="1"/>
  <c r="Q434" i="3" a="1"/>
  <c r="Q434" i="3" s="1"/>
  <c r="Q435" i="3" a="1"/>
  <c r="Q435" i="3" s="1"/>
  <c r="Q436" i="3" a="1"/>
  <c r="Q436" i="3" s="1"/>
  <c r="Q437" i="3" a="1"/>
  <c r="Q437" i="3" s="1"/>
  <c r="Q438" i="3" a="1"/>
  <c r="Q438" i="3" s="1"/>
  <c r="Q439" i="3" a="1"/>
  <c r="Q439" i="3" s="1"/>
  <c r="Q440" i="3" a="1"/>
  <c r="Q440" i="3" s="1"/>
  <c r="Q441" i="3" a="1"/>
  <c r="Q441" i="3" s="1"/>
  <c r="Q442" i="3" a="1"/>
  <c r="Q442" i="3" s="1"/>
  <c r="Q443" i="3" a="1"/>
  <c r="Q443" i="3" s="1"/>
  <c r="Q444" i="3" a="1"/>
  <c r="Q444" i="3" s="1"/>
  <c r="Q445" i="3" a="1"/>
  <c r="Q445" i="3" s="1"/>
  <c r="Q446" i="3" a="1"/>
  <c r="Q446" i="3" s="1"/>
  <c r="Q447" i="3" a="1"/>
  <c r="Q447" i="3" s="1"/>
  <c r="Q448" i="3" a="1"/>
  <c r="Q448" i="3" s="1"/>
  <c r="Q449" i="3" a="1"/>
  <c r="Q449" i="3" s="1"/>
  <c r="Q450" i="3" a="1"/>
  <c r="Q450" i="3" s="1"/>
  <c r="Q451" i="3" a="1"/>
  <c r="Q451" i="3" s="1"/>
  <c r="Q452" i="3" a="1"/>
  <c r="Q452" i="3" s="1"/>
  <c r="Q453" i="3" a="1"/>
  <c r="Q453" i="3" s="1"/>
  <c r="Q454" i="3" a="1"/>
  <c r="Q454" i="3" s="1"/>
  <c r="Q455" i="3" a="1"/>
  <c r="Q455" i="3" s="1"/>
  <c r="Q456" i="3" a="1"/>
  <c r="Q456" i="3" s="1"/>
  <c r="Q457" i="3" a="1"/>
  <c r="Q457" i="3" s="1"/>
  <c r="Q458" i="3" a="1"/>
  <c r="Q458" i="3" s="1"/>
  <c r="Q459" i="3" a="1"/>
  <c r="Q459" i="3" s="1"/>
  <c r="Q460" i="3" a="1"/>
  <c r="Q460" i="3" s="1"/>
  <c r="Q461" i="3" a="1"/>
  <c r="Q461" i="3" s="1"/>
  <c r="Q462" i="3" a="1"/>
  <c r="Q462" i="3" s="1"/>
  <c r="Q463" i="3" a="1"/>
  <c r="Q463" i="3" s="1"/>
  <c r="Q464" i="3" a="1"/>
  <c r="Q464" i="3" s="1"/>
  <c r="Q465" i="3" a="1"/>
  <c r="Q465" i="3" s="1"/>
  <c r="Q466" i="3" a="1"/>
  <c r="Q466" i="3" s="1"/>
  <c r="Q467" i="3" a="1"/>
  <c r="Q467" i="3" s="1"/>
  <c r="Q468" i="3" a="1"/>
  <c r="Q468" i="3" s="1"/>
  <c r="Q469" i="3" a="1"/>
  <c r="Q469" i="3" s="1"/>
  <c r="Q470" i="3" a="1"/>
  <c r="Q470" i="3" s="1"/>
  <c r="Q471" i="3" a="1"/>
  <c r="Q471" i="3" s="1"/>
  <c r="Q472" i="3" a="1"/>
  <c r="Q472" i="3" s="1"/>
  <c r="Q473" i="3" a="1"/>
  <c r="Q473" i="3" s="1"/>
  <c r="Q474" i="3" a="1"/>
  <c r="Q474" i="3" s="1"/>
  <c r="Q475" i="3" a="1"/>
  <c r="Q475" i="3" s="1"/>
  <c r="Q476" i="3" a="1"/>
  <c r="Q476" i="3" s="1"/>
  <c r="Q477" i="3" a="1"/>
  <c r="Q477" i="3" s="1"/>
  <c r="Q478" i="3" a="1"/>
  <c r="Q478" i="3" s="1"/>
  <c r="Q479" i="3" a="1"/>
  <c r="Q479" i="3" s="1"/>
  <c r="Q480" i="3" a="1"/>
  <c r="Q480" i="3" s="1"/>
  <c r="Q481" i="3" a="1"/>
  <c r="Q481" i="3" s="1"/>
  <c r="Q482" i="3" a="1"/>
  <c r="Q482" i="3" s="1"/>
  <c r="Q483" i="3" a="1"/>
  <c r="Q483" i="3" s="1"/>
  <c r="Q484" i="3" a="1"/>
  <c r="Q484" i="3" s="1"/>
  <c r="Q485" i="3" a="1"/>
  <c r="Q485" i="3" s="1"/>
  <c r="Q486" i="3" a="1"/>
  <c r="Q486" i="3" s="1"/>
  <c r="Q487" i="3" a="1"/>
  <c r="Q487" i="3" s="1"/>
  <c r="Q488" i="3" a="1"/>
  <c r="Q488" i="3" s="1"/>
  <c r="Q489" i="3" a="1"/>
  <c r="Q489" i="3" s="1"/>
  <c r="Q490" i="3" a="1"/>
  <c r="Q490" i="3" s="1"/>
  <c r="Q491" i="3" a="1"/>
  <c r="Q491" i="3" s="1"/>
  <c r="Q492" i="3" a="1"/>
  <c r="Q492" i="3" s="1"/>
  <c r="Q493" i="3" a="1"/>
  <c r="Q493" i="3" s="1"/>
  <c r="Q494" i="3" a="1"/>
  <c r="Q494" i="3" s="1"/>
  <c r="Q495" i="3" a="1"/>
  <c r="Q495" i="3" s="1"/>
  <c r="Q496" i="3" a="1"/>
  <c r="Q496" i="3" s="1"/>
  <c r="Q497" i="3" a="1"/>
  <c r="Q497" i="3" s="1"/>
  <c r="Q498" i="3" a="1"/>
  <c r="Q498" i="3" s="1"/>
  <c r="Q499" i="3" a="1"/>
  <c r="Q499" i="3" s="1"/>
  <c r="Q500" i="3" a="1"/>
  <c r="Q500" i="3" s="1"/>
  <c r="Q501" i="3" a="1"/>
  <c r="Q501" i="3" s="1"/>
  <c r="Q502" i="3" a="1"/>
  <c r="Q502" i="3" s="1"/>
  <c r="Q503" i="3" a="1"/>
  <c r="Q503" i="3" s="1"/>
  <c r="Q504" i="3" a="1"/>
  <c r="Q504" i="3" s="1"/>
  <c r="Q505" i="3" a="1"/>
  <c r="Q505" i="3" s="1"/>
  <c r="Q506" i="3" a="1"/>
  <c r="Q506" i="3" s="1"/>
  <c r="Q507" i="3" a="1"/>
  <c r="Q507" i="3" s="1"/>
  <c r="Q508" i="3" a="1"/>
  <c r="Q508" i="3" s="1"/>
  <c r="Q509" i="3" a="1"/>
  <c r="Q509" i="3" s="1"/>
  <c r="Q510" i="3" a="1"/>
  <c r="Q510" i="3" s="1"/>
  <c r="Q511" i="3" a="1"/>
  <c r="Q511" i="3" s="1"/>
  <c r="Q512" i="3" a="1"/>
  <c r="Q512" i="3" s="1"/>
  <c r="Q513" i="3" a="1"/>
  <c r="Q513" i="3" s="1"/>
  <c r="Q514" i="3" a="1"/>
  <c r="Q514" i="3" s="1"/>
  <c r="Q515" i="3" a="1"/>
  <c r="Q515" i="3" s="1"/>
  <c r="Q516" i="3" a="1"/>
  <c r="Q516" i="3" s="1"/>
  <c r="Q517" i="3" a="1"/>
  <c r="Q517" i="3" s="1"/>
  <c r="Q518" i="3" a="1"/>
  <c r="Q518" i="3" s="1"/>
  <c r="Q519" i="3" a="1"/>
  <c r="Q519" i="3" s="1"/>
  <c r="Q520" i="3" a="1"/>
  <c r="Q520" i="3" s="1"/>
  <c r="Q521" i="3" a="1"/>
  <c r="Q521" i="3" s="1"/>
  <c r="Q522" i="3" a="1"/>
  <c r="Q522" i="3" s="1"/>
  <c r="Q523" i="3" a="1"/>
  <c r="Q523" i="3" s="1"/>
  <c r="Q524" i="3" a="1"/>
  <c r="Q524" i="3" s="1"/>
  <c r="Q525" i="3" a="1"/>
  <c r="Q525" i="3" s="1"/>
  <c r="Q526" i="3" a="1"/>
  <c r="Q526" i="3" s="1"/>
  <c r="Q527" i="3" a="1"/>
  <c r="Q527" i="3" s="1"/>
  <c r="Q528" i="3" a="1"/>
  <c r="Q528" i="3" s="1"/>
  <c r="Q529" i="3" a="1"/>
  <c r="Q529" i="3" s="1"/>
  <c r="Q530" i="3" a="1"/>
  <c r="Q530" i="3" s="1"/>
  <c r="Q531" i="3" a="1"/>
  <c r="Q531" i="3" s="1"/>
  <c r="Q532" i="3" a="1"/>
  <c r="Q532" i="3" s="1"/>
  <c r="Q533" i="3" a="1"/>
  <c r="Q533" i="3" s="1"/>
  <c r="Q534" i="3" a="1"/>
  <c r="Q534" i="3" s="1"/>
  <c r="Q535" i="3" a="1"/>
  <c r="Q535" i="3" s="1"/>
  <c r="Q536" i="3" a="1"/>
  <c r="Q536" i="3" s="1"/>
  <c r="Q537" i="3" a="1"/>
  <c r="Q537" i="3" s="1"/>
  <c r="Q538" i="3" a="1"/>
  <c r="Q538" i="3" s="1"/>
  <c r="Q539" i="3" a="1"/>
  <c r="Q539" i="3" s="1"/>
  <c r="Q540" i="3" a="1"/>
  <c r="Q540" i="3" s="1"/>
  <c r="Q541" i="3" a="1"/>
  <c r="Q541" i="3" s="1"/>
  <c r="Q542" i="3" a="1"/>
  <c r="Q542" i="3" s="1"/>
  <c r="Q543" i="3" a="1"/>
  <c r="Q543" i="3" s="1"/>
  <c r="Q544" i="3" a="1"/>
  <c r="Q544" i="3" s="1"/>
  <c r="Q545" i="3" a="1"/>
  <c r="Q545" i="3" s="1"/>
  <c r="Q546" i="3" a="1"/>
  <c r="Q546" i="3" s="1"/>
  <c r="Q547" i="3" a="1"/>
  <c r="Q547" i="3" s="1"/>
  <c r="Q548" i="3" a="1"/>
  <c r="Q548" i="3" s="1"/>
  <c r="Q549" i="3" a="1"/>
  <c r="Q549" i="3" s="1"/>
  <c r="Q550" i="3" a="1"/>
  <c r="Q550" i="3" s="1"/>
  <c r="Q551" i="3" a="1"/>
  <c r="Q551" i="3" s="1"/>
  <c r="Q552" i="3" a="1"/>
  <c r="Q552" i="3" s="1"/>
  <c r="Q553" i="3" a="1"/>
  <c r="Q553" i="3" s="1"/>
  <c r="Q554" i="3" a="1"/>
  <c r="Q554" i="3" s="1"/>
  <c r="Q555" i="3" a="1"/>
  <c r="Q555" i="3" s="1"/>
  <c r="Q556" i="3" a="1"/>
  <c r="Q556" i="3" s="1"/>
  <c r="Q557" i="3" a="1"/>
  <c r="Q557" i="3" s="1"/>
  <c r="Q558" i="3" a="1"/>
  <c r="Q558" i="3" s="1"/>
  <c r="Q559" i="3" a="1"/>
  <c r="Q559" i="3" s="1"/>
  <c r="Q560" i="3" a="1"/>
  <c r="Q560" i="3" s="1"/>
  <c r="Q561" i="3" a="1"/>
  <c r="Q561" i="3" s="1"/>
  <c r="Q562" i="3" a="1"/>
  <c r="Q562" i="3" s="1"/>
  <c r="Q563" i="3" a="1"/>
  <c r="Q563" i="3" s="1"/>
  <c r="Q564" i="3" a="1"/>
  <c r="Q564" i="3" s="1"/>
  <c r="Q565" i="3" a="1"/>
  <c r="Q565" i="3" s="1"/>
  <c r="Q566" i="3" a="1"/>
  <c r="Q566" i="3" s="1"/>
  <c r="Q567" i="3" a="1"/>
  <c r="Q567" i="3" s="1"/>
  <c r="Q568" i="3" a="1"/>
  <c r="Q568" i="3" s="1"/>
  <c r="Q569" i="3" a="1"/>
  <c r="Q569" i="3" s="1"/>
  <c r="Q570" i="3" a="1"/>
  <c r="Q570" i="3" s="1"/>
  <c r="Q571" i="3" a="1"/>
  <c r="Q571" i="3" s="1"/>
  <c r="Q572" i="3" a="1"/>
  <c r="Q572" i="3" s="1"/>
  <c r="Q573" i="3" a="1"/>
  <c r="Q573" i="3" s="1"/>
  <c r="Q574" i="3" a="1"/>
  <c r="Q574" i="3" s="1"/>
  <c r="Q575" i="3" a="1"/>
  <c r="Q575" i="3" s="1"/>
  <c r="Q576" i="3" a="1"/>
  <c r="Q576" i="3" s="1"/>
  <c r="Q577" i="3" a="1"/>
  <c r="Q577" i="3" s="1"/>
  <c r="Q578" i="3" a="1"/>
  <c r="Q578" i="3" s="1"/>
  <c r="Q579" i="3" a="1"/>
  <c r="Q579" i="3" s="1"/>
  <c r="Q580" i="3" a="1"/>
  <c r="Q580" i="3" s="1"/>
  <c r="Q581" i="3" a="1"/>
  <c r="Q581" i="3" s="1"/>
  <c r="Q582" i="3" a="1"/>
  <c r="Q582" i="3" s="1"/>
  <c r="Q583" i="3" a="1"/>
  <c r="Q583" i="3" s="1"/>
  <c r="Q584" i="3" a="1"/>
  <c r="Q584" i="3" s="1"/>
  <c r="Q585" i="3" a="1"/>
  <c r="Q585" i="3" s="1"/>
  <c r="Q586" i="3" a="1"/>
  <c r="Q586" i="3" s="1"/>
  <c r="Q587" i="3" a="1"/>
  <c r="Q587" i="3" s="1"/>
  <c r="Q588" i="3" a="1"/>
  <c r="Q588" i="3" s="1"/>
  <c r="Q589" i="3" a="1"/>
  <c r="Q589" i="3" s="1"/>
  <c r="Q590" i="3" a="1"/>
  <c r="Q590" i="3" s="1"/>
  <c r="Q591" i="3" a="1"/>
  <c r="Q591" i="3" s="1"/>
  <c r="Q592" i="3" a="1"/>
  <c r="Q592" i="3" s="1"/>
  <c r="Q593" i="3" a="1"/>
  <c r="Q593" i="3" s="1"/>
  <c r="Q594" i="3" a="1"/>
  <c r="Q594" i="3" s="1"/>
  <c r="Q595" i="3" a="1"/>
  <c r="Q595" i="3" s="1"/>
  <c r="Q596" i="3" a="1"/>
  <c r="Q596" i="3" s="1"/>
  <c r="Q597" i="3" a="1"/>
  <c r="Q597" i="3" s="1"/>
  <c r="Q598" i="3" a="1"/>
  <c r="Q598" i="3" s="1"/>
  <c r="Q599" i="3" a="1"/>
  <c r="Q599" i="3" s="1"/>
  <c r="Q600" i="3" a="1"/>
  <c r="Q600" i="3" s="1"/>
  <c r="Q601" i="3" a="1"/>
  <c r="Q601" i="3" s="1"/>
  <c r="Q602" i="3" a="1"/>
  <c r="Q602" i="3" s="1"/>
  <c r="Q603" i="3" a="1"/>
  <c r="Q603" i="3" s="1"/>
  <c r="Q604" i="3" a="1"/>
  <c r="Q604" i="3" s="1"/>
  <c r="Q605" i="3" a="1"/>
  <c r="Q605" i="3" s="1"/>
  <c r="Q606" i="3" a="1"/>
  <c r="Q606" i="3" s="1"/>
  <c r="Q607" i="3" a="1"/>
  <c r="Q607" i="3" s="1"/>
  <c r="Q608" i="3" a="1"/>
  <c r="Q608" i="3" s="1"/>
  <c r="Q609" i="3" a="1"/>
  <c r="Q609" i="3" s="1"/>
  <c r="Q610" i="3" a="1"/>
  <c r="Q610" i="3" s="1"/>
  <c r="Q611" i="3" a="1"/>
  <c r="Q611" i="3" s="1"/>
  <c r="Q612" i="3" a="1"/>
  <c r="Q612" i="3" s="1"/>
  <c r="Q613" i="3" a="1"/>
  <c r="Q613" i="3" s="1"/>
  <c r="Q614" i="3" a="1"/>
  <c r="Q614" i="3" s="1"/>
  <c r="Q615" i="3" a="1"/>
  <c r="Q615" i="3" s="1"/>
  <c r="Q616" i="3" a="1"/>
  <c r="Q616" i="3" s="1"/>
  <c r="Q617" i="3" a="1"/>
  <c r="Q617" i="3" s="1"/>
  <c r="Q618" i="3" a="1"/>
  <c r="Q618" i="3" s="1"/>
  <c r="Q619" i="3" a="1"/>
  <c r="Q619" i="3" s="1"/>
  <c r="Q620" i="3" a="1"/>
  <c r="Q620" i="3" s="1"/>
  <c r="Q621" i="3" a="1"/>
  <c r="Q621" i="3" s="1"/>
  <c r="Q622" i="3" a="1"/>
  <c r="Q622" i="3" s="1"/>
  <c r="Q623" i="3" a="1"/>
  <c r="Q623" i="3" s="1"/>
  <c r="Q624" i="3" a="1"/>
  <c r="Q624" i="3" s="1"/>
  <c r="Q625" i="3" a="1"/>
  <c r="Q625" i="3" s="1"/>
  <c r="Q626" i="3" a="1"/>
  <c r="Q626" i="3" s="1"/>
  <c r="Q627" i="3" a="1"/>
  <c r="Q627" i="3" s="1"/>
  <c r="Q628" i="3" a="1"/>
  <c r="Q628" i="3" s="1"/>
  <c r="Q629" i="3" a="1"/>
  <c r="Q629" i="3" s="1"/>
  <c r="Q630" i="3" a="1"/>
  <c r="Q630" i="3" s="1"/>
  <c r="Q631" i="3" a="1"/>
  <c r="Q631" i="3" s="1"/>
  <c r="Q632" i="3" a="1"/>
  <c r="Q632" i="3" s="1"/>
  <c r="Q633" i="3" a="1"/>
  <c r="Q633" i="3" s="1"/>
  <c r="Q634" i="3" a="1"/>
  <c r="Q634" i="3" s="1"/>
  <c r="Q635" i="3" a="1"/>
  <c r="Q635" i="3" s="1"/>
  <c r="Q636" i="3" a="1"/>
  <c r="Q636" i="3" s="1"/>
  <c r="Q637" i="3" a="1"/>
  <c r="Q637" i="3" s="1"/>
  <c r="Q638" i="3" a="1"/>
  <c r="Q638" i="3" s="1"/>
  <c r="Q639" i="3" a="1"/>
  <c r="Q639" i="3" s="1"/>
  <c r="Q640" i="3" a="1"/>
  <c r="Q640" i="3" s="1"/>
  <c r="Q641" i="3" a="1"/>
  <c r="Q641" i="3" s="1"/>
  <c r="Q642" i="3" a="1"/>
  <c r="Q642" i="3" s="1"/>
  <c r="Q643" i="3" a="1"/>
  <c r="Q643" i="3" s="1"/>
  <c r="Q644" i="3" a="1"/>
  <c r="Q644" i="3" s="1"/>
  <c r="Q645" i="3" a="1"/>
  <c r="Q645" i="3" s="1"/>
  <c r="Q646" i="3" a="1"/>
  <c r="Q646" i="3" s="1"/>
  <c r="Q647" i="3" a="1"/>
  <c r="Q647" i="3" s="1"/>
  <c r="Q648" i="3" a="1"/>
  <c r="Q648" i="3" s="1"/>
  <c r="Q649" i="3" a="1"/>
  <c r="Q649" i="3" s="1"/>
  <c r="Q650" i="3" a="1"/>
  <c r="Q650" i="3" s="1"/>
  <c r="Q651" i="3" a="1"/>
  <c r="Q651" i="3" s="1"/>
  <c r="Q652" i="3" a="1"/>
  <c r="Q652" i="3" s="1"/>
  <c r="Q653" i="3" a="1"/>
  <c r="Q653" i="3" s="1"/>
  <c r="Q654" i="3" a="1"/>
  <c r="Q654" i="3" s="1"/>
  <c r="Q655" i="3" a="1"/>
  <c r="Q655" i="3" s="1"/>
  <c r="Q656" i="3" a="1"/>
  <c r="Q656" i="3" s="1"/>
  <c r="Q657" i="3" a="1"/>
  <c r="Q657" i="3" s="1"/>
  <c r="Q658" i="3" a="1"/>
  <c r="Q658" i="3" s="1"/>
  <c r="Q659" i="3" a="1"/>
  <c r="Q659" i="3" s="1"/>
  <c r="Q660" i="3" a="1"/>
  <c r="Q660" i="3" s="1"/>
  <c r="Q661" i="3" a="1"/>
  <c r="Q661" i="3" s="1"/>
  <c r="Q662" i="3" a="1"/>
  <c r="Q662" i="3" s="1"/>
  <c r="Q663" i="3" a="1"/>
  <c r="Q663" i="3" s="1"/>
  <c r="Q664" i="3" a="1"/>
  <c r="Q664" i="3" s="1"/>
  <c r="Q665" i="3" a="1"/>
  <c r="Q665" i="3" s="1"/>
  <c r="Q666" i="3" a="1"/>
  <c r="Q666" i="3" s="1"/>
  <c r="Q667" i="3" a="1"/>
  <c r="Q667" i="3" s="1"/>
  <c r="Q668" i="3" a="1"/>
  <c r="Q668" i="3" s="1"/>
  <c r="Q669" i="3" a="1"/>
  <c r="Q669" i="3" s="1"/>
  <c r="Q670" i="3" a="1"/>
  <c r="Q670" i="3" s="1"/>
  <c r="Q671" i="3" a="1"/>
  <c r="Q671" i="3" s="1"/>
  <c r="Q672" i="3" a="1"/>
  <c r="Q672" i="3" s="1"/>
  <c r="Q673" i="3" a="1"/>
  <c r="Q673" i="3" s="1"/>
  <c r="Q674" i="3" a="1"/>
  <c r="Q674" i="3" s="1"/>
  <c r="Q675" i="3" a="1"/>
  <c r="Q675" i="3" s="1"/>
  <c r="Q676" i="3" a="1"/>
  <c r="Q676" i="3" s="1"/>
  <c r="Q677" i="3" a="1"/>
  <c r="Q677" i="3" s="1"/>
  <c r="Q678" i="3" a="1"/>
  <c r="Q678" i="3" s="1"/>
  <c r="Q679" i="3" a="1"/>
  <c r="Q679" i="3" s="1"/>
  <c r="Q680" i="3" a="1"/>
  <c r="Q680" i="3" s="1"/>
  <c r="Q681" i="3" a="1"/>
  <c r="Q681" i="3" s="1"/>
  <c r="Q682" i="3" a="1"/>
  <c r="Q682" i="3" s="1"/>
  <c r="Q683" i="3" a="1"/>
  <c r="Q683" i="3" s="1"/>
  <c r="Q684" i="3" a="1"/>
  <c r="Q684" i="3" s="1"/>
  <c r="Q685" i="3" a="1"/>
  <c r="Q685" i="3" s="1"/>
  <c r="Q686" i="3" a="1"/>
  <c r="Q686" i="3" s="1"/>
  <c r="Q687" i="3" a="1"/>
  <c r="Q687" i="3" s="1"/>
  <c r="Q688" i="3" a="1"/>
  <c r="Q688" i="3" s="1"/>
  <c r="Q689" i="3" a="1"/>
  <c r="Q689" i="3" s="1"/>
  <c r="Q690" i="3" a="1"/>
  <c r="Q690" i="3" s="1"/>
  <c r="Q691" i="3" a="1"/>
  <c r="Q691" i="3" s="1"/>
  <c r="Q692" i="3" a="1"/>
  <c r="Q692" i="3" s="1"/>
  <c r="Q693" i="3" a="1"/>
  <c r="Q693" i="3" s="1"/>
  <c r="Q694" i="3" a="1"/>
  <c r="Q694" i="3" s="1"/>
  <c r="Q695" i="3" a="1"/>
  <c r="Q695" i="3" s="1"/>
  <c r="Q696" i="3" a="1"/>
  <c r="Q696" i="3" s="1"/>
  <c r="Q697" i="3" a="1"/>
  <c r="Q697" i="3" s="1"/>
  <c r="Q698" i="3" a="1"/>
  <c r="Q698" i="3" s="1"/>
  <c r="Q699" i="3" a="1"/>
  <c r="Q699" i="3" s="1"/>
  <c r="Q700" i="3" a="1"/>
  <c r="Q700" i="3" s="1"/>
  <c r="Q701" i="3" a="1"/>
  <c r="Q701" i="3" s="1"/>
  <c r="Q702" i="3" a="1"/>
  <c r="Q702" i="3" s="1"/>
  <c r="Q703" i="3" a="1"/>
  <c r="Q703" i="3" s="1"/>
  <c r="Q704" i="3" a="1"/>
  <c r="Q704" i="3" s="1"/>
  <c r="Q705" i="3" a="1"/>
  <c r="Q705" i="3" s="1"/>
  <c r="Q706" i="3" a="1"/>
  <c r="Q706" i="3" s="1"/>
  <c r="Q707" i="3" a="1"/>
  <c r="Q707" i="3" s="1"/>
  <c r="Q708" i="3" a="1"/>
  <c r="Q708" i="3" s="1"/>
  <c r="Q709" i="3" a="1"/>
  <c r="Q709" i="3" s="1"/>
  <c r="Q710" i="3" a="1"/>
  <c r="Q710" i="3" s="1"/>
  <c r="Q711" i="3" a="1"/>
  <c r="Q711" i="3" s="1"/>
  <c r="Q712" i="3" a="1"/>
  <c r="Q712" i="3" s="1"/>
  <c r="Q713" i="3" a="1"/>
  <c r="Q713" i="3" s="1"/>
  <c r="Q714" i="3" a="1"/>
  <c r="Q714" i="3" s="1"/>
  <c r="Q715" i="3" a="1"/>
  <c r="Q715" i="3" s="1"/>
  <c r="Q716" i="3" a="1"/>
  <c r="Q716" i="3" s="1"/>
  <c r="Q717" i="3" a="1"/>
  <c r="Q717" i="3" s="1"/>
  <c r="Q718" i="3" a="1"/>
  <c r="Q718" i="3" s="1"/>
  <c r="Q719" i="3" a="1"/>
  <c r="Q719" i="3" s="1"/>
  <c r="Q720" i="3" a="1"/>
  <c r="Q720" i="3" s="1"/>
  <c r="Q721" i="3" a="1"/>
  <c r="Q721" i="3" s="1"/>
  <c r="Q722" i="3" a="1"/>
  <c r="Q722" i="3" s="1"/>
  <c r="Q723" i="3" a="1"/>
  <c r="Q723" i="3" s="1"/>
  <c r="Q724" i="3" a="1"/>
  <c r="Q724" i="3" s="1"/>
  <c r="Q725" i="3" a="1"/>
  <c r="Q725" i="3" s="1"/>
  <c r="Q726" i="3" a="1"/>
  <c r="Q726" i="3" s="1"/>
  <c r="Q727" i="3" a="1"/>
  <c r="Q727" i="3" s="1"/>
  <c r="Q728" i="3" a="1"/>
  <c r="Q728" i="3" s="1"/>
  <c r="Q729" i="3" a="1"/>
  <c r="Q729" i="3" s="1"/>
  <c r="Q730" i="3" a="1"/>
  <c r="Q730" i="3" s="1"/>
  <c r="Q731" i="3" a="1"/>
  <c r="Q731" i="3" s="1"/>
  <c r="Q732" i="3" a="1"/>
  <c r="Q732" i="3" s="1"/>
  <c r="Q733" i="3" a="1"/>
  <c r="Q733" i="3" s="1"/>
  <c r="Q734" i="3" a="1"/>
  <c r="Q734" i="3" s="1"/>
  <c r="Q735" i="3" a="1"/>
  <c r="Q735" i="3" s="1"/>
  <c r="Q736" i="3" a="1"/>
  <c r="Q736" i="3" s="1"/>
  <c r="Q737" i="3" a="1"/>
  <c r="Q737" i="3" s="1"/>
  <c r="Q738" i="3" a="1"/>
  <c r="Q738" i="3" s="1"/>
  <c r="Q739" i="3" a="1"/>
  <c r="Q739" i="3" s="1"/>
  <c r="Q740" i="3" a="1"/>
  <c r="Q740" i="3" s="1"/>
  <c r="Q741" i="3" a="1"/>
  <c r="Q741" i="3" s="1"/>
  <c r="Q742" i="3" a="1"/>
  <c r="Q742" i="3" s="1"/>
  <c r="Q743" i="3" a="1"/>
  <c r="Q743" i="3" s="1"/>
  <c r="Q744" i="3" a="1"/>
  <c r="Q744" i="3" s="1"/>
  <c r="Q745" i="3" a="1"/>
  <c r="Q745" i="3" s="1"/>
  <c r="Q746" i="3" a="1"/>
  <c r="Q746" i="3" s="1"/>
  <c r="Q747" i="3" a="1"/>
  <c r="Q747" i="3" s="1"/>
  <c r="Q748" i="3" a="1"/>
  <c r="Q748" i="3" s="1"/>
  <c r="Q749" i="3" a="1"/>
  <c r="Q749" i="3" s="1"/>
  <c r="Q750" i="3" a="1"/>
  <c r="Q750" i="3" s="1"/>
  <c r="Q751" i="3" a="1"/>
  <c r="Q751" i="3" s="1"/>
  <c r="Q752" i="3" a="1"/>
  <c r="Q752" i="3" s="1"/>
  <c r="Q753" i="3" a="1"/>
  <c r="Q753" i="3" s="1"/>
  <c r="Q754" i="3" a="1"/>
  <c r="Q754" i="3" s="1"/>
  <c r="Q755" i="3" a="1"/>
  <c r="Q755" i="3" s="1"/>
  <c r="Q756" i="3" a="1"/>
  <c r="Q756" i="3" s="1"/>
  <c r="Q757" i="3" a="1"/>
  <c r="Q757" i="3" s="1"/>
  <c r="Q758" i="3" a="1"/>
  <c r="Q758" i="3" s="1"/>
  <c r="Q759" i="3" a="1"/>
  <c r="Q759" i="3" s="1"/>
  <c r="Q760" i="3" a="1"/>
  <c r="Q760" i="3" s="1"/>
  <c r="Q761" i="3" a="1"/>
  <c r="Q761" i="3" s="1"/>
  <c r="Q762" i="3" a="1"/>
  <c r="Q762" i="3" s="1"/>
  <c r="Q763" i="3" a="1"/>
  <c r="Q763" i="3" s="1"/>
  <c r="Q764" i="3" a="1"/>
  <c r="Q764" i="3" s="1"/>
  <c r="Q765" i="3" a="1"/>
  <c r="Q765" i="3" s="1"/>
  <c r="Q766" i="3" a="1"/>
  <c r="Q766" i="3" s="1"/>
  <c r="Q767" i="3" a="1"/>
  <c r="Q767" i="3" s="1"/>
  <c r="Q768" i="3" a="1"/>
  <c r="Q768" i="3" s="1"/>
  <c r="Q769" i="3" a="1"/>
  <c r="Q769" i="3" s="1"/>
  <c r="Q770" i="3" a="1"/>
  <c r="Q770" i="3" s="1"/>
  <c r="Q771" i="3" a="1"/>
  <c r="Q771" i="3" s="1"/>
  <c r="Q772" i="3" a="1"/>
  <c r="Q772" i="3" s="1"/>
  <c r="Q773" i="3" a="1"/>
  <c r="Q773" i="3" s="1"/>
  <c r="Q774" i="3" a="1"/>
  <c r="Q774" i="3" s="1"/>
  <c r="Q775" i="3" a="1"/>
  <c r="Q775" i="3" s="1"/>
  <c r="Q776" i="3" a="1"/>
  <c r="Q776" i="3" s="1"/>
  <c r="Q777" i="3" a="1"/>
  <c r="Q777" i="3" s="1"/>
  <c r="Q778" i="3" a="1"/>
  <c r="Q778" i="3" s="1"/>
  <c r="Q779" i="3" a="1"/>
  <c r="Q779" i="3" s="1"/>
  <c r="Q780" i="3" a="1"/>
  <c r="Q780" i="3" s="1"/>
  <c r="Q781" i="3" a="1"/>
  <c r="Q781" i="3" s="1"/>
  <c r="Q782" i="3" a="1"/>
  <c r="Q782" i="3" s="1"/>
  <c r="Q783" i="3" a="1"/>
  <c r="Q783" i="3" s="1"/>
  <c r="Q784" i="3" a="1"/>
  <c r="Q784" i="3" s="1"/>
  <c r="Q785" i="3" a="1"/>
  <c r="Q785" i="3" s="1"/>
  <c r="Q786" i="3" a="1"/>
  <c r="Q786" i="3" s="1"/>
  <c r="Q787" i="3" a="1"/>
  <c r="Q787" i="3" s="1"/>
  <c r="Q788" i="3" a="1"/>
  <c r="Q788" i="3" s="1"/>
  <c r="Q789" i="3" a="1"/>
  <c r="Q789" i="3" s="1"/>
  <c r="Q790" i="3" a="1"/>
  <c r="Q790" i="3" s="1"/>
  <c r="Q791" i="3" a="1"/>
  <c r="Q791" i="3" s="1"/>
  <c r="Q792" i="3" a="1"/>
  <c r="Q792" i="3" s="1"/>
  <c r="Q793" i="3" a="1"/>
  <c r="Q793" i="3" s="1"/>
  <c r="Q794" i="3" a="1"/>
  <c r="Q794" i="3" s="1"/>
  <c r="Q795" i="3" a="1"/>
  <c r="Q795" i="3" s="1"/>
  <c r="Q796" i="3" a="1"/>
  <c r="Q796" i="3" s="1"/>
  <c r="Q797" i="3" a="1"/>
  <c r="Q797" i="3" s="1"/>
  <c r="Q798" i="3" a="1"/>
  <c r="Q798" i="3" s="1"/>
  <c r="Q799" i="3" a="1"/>
  <c r="Q799" i="3" s="1"/>
  <c r="Q800" i="3" a="1"/>
  <c r="Q800" i="3" s="1"/>
  <c r="Q801" i="3" a="1"/>
  <c r="Q801" i="3" s="1"/>
  <c r="Q802" i="3" a="1"/>
  <c r="Q802" i="3" s="1"/>
  <c r="Q803" i="3" a="1"/>
  <c r="Q803" i="3" s="1"/>
  <c r="Q804" i="3" a="1"/>
  <c r="Q804" i="3" s="1"/>
  <c r="Q805" i="3" a="1"/>
  <c r="Q805" i="3" s="1"/>
  <c r="Q806" i="3" a="1"/>
  <c r="Q806" i="3" s="1"/>
  <c r="Q807" i="3" a="1"/>
  <c r="Q807" i="3" s="1"/>
  <c r="Q808" i="3" a="1"/>
  <c r="Q808" i="3" s="1"/>
  <c r="Q809" i="3" a="1"/>
  <c r="Q809" i="3" s="1"/>
  <c r="Q810" i="3" a="1"/>
  <c r="Q810" i="3" s="1"/>
  <c r="Q811" i="3" a="1"/>
  <c r="Q811" i="3" s="1"/>
  <c r="Q812" i="3" a="1"/>
  <c r="Q812" i="3" s="1"/>
  <c r="Q813" i="3" a="1"/>
  <c r="Q813" i="3" s="1"/>
  <c r="Q814" i="3" a="1"/>
  <c r="Q814" i="3" s="1"/>
  <c r="Q815" i="3" a="1"/>
  <c r="Q815" i="3" s="1"/>
  <c r="Q816" i="3" a="1"/>
  <c r="Q816" i="3" s="1"/>
  <c r="Q817" i="3" a="1"/>
  <c r="Q817" i="3" s="1"/>
  <c r="Q818" i="3" a="1"/>
  <c r="Q818" i="3" s="1"/>
  <c r="Q819" i="3" a="1"/>
  <c r="Q819" i="3" s="1"/>
  <c r="Q820" i="3" a="1"/>
  <c r="Q820" i="3" s="1"/>
  <c r="Q821" i="3" a="1"/>
  <c r="Q821" i="3" s="1"/>
  <c r="Q822" i="3" a="1"/>
  <c r="Q822" i="3" s="1"/>
  <c r="Q823" i="3" a="1"/>
  <c r="Q823" i="3" s="1"/>
  <c r="Q824" i="3" a="1"/>
  <c r="Q824" i="3" s="1"/>
  <c r="Q825" i="3" a="1"/>
  <c r="Q825" i="3" s="1"/>
  <c r="Q826" i="3" a="1"/>
  <c r="Q826" i="3" s="1"/>
  <c r="Q827" i="3" a="1"/>
  <c r="Q827" i="3" s="1"/>
  <c r="Q828" i="3" a="1"/>
  <c r="Q828" i="3" s="1"/>
  <c r="Q829" i="3" a="1"/>
  <c r="Q829" i="3" s="1"/>
  <c r="Q830" i="3" a="1"/>
  <c r="Q830" i="3" s="1"/>
  <c r="Q831" i="3" a="1"/>
  <c r="Q831" i="3" s="1"/>
  <c r="Q832" i="3" a="1"/>
  <c r="Q832" i="3" s="1"/>
  <c r="Q833" i="3" a="1"/>
  <c r="Q833" i="3" s="1"/>
  <c r="Q834" i="3" a="1"/>
  <c r="Q834" i="3" s="1"/>
  <c r="Q835" i="3" a="1"/>
  <c r="Q835" i="3" s="1"/>
  <c r="Q836" i="3" a="1"/>
  <c r="Q836" i="3" s="1"/>
  <c r="Q837" i="3" a="1"/>
  <c r="Q837" i="3" s="1"/>
  <c r="Q838" i="3" a="1"/>
  <c r="Q838" i="3" s="1"/>
  <c r="Q839" i="3" a="1"/>
  <c r="Q839" i="3" s="1"/>
  <c r="Q840" i="3" a="1"/>
  <c r="Q840" i="3" s="1"/>
  <c r="Q841" i="3" a="1"/>
  <c r="Q841" i="3" s="1"/>
  <c r="Q842" i="3" a="1"/>
  <c r="Q842" i="3" s="1"/>
  <c r="Q843" i="3" a="1"/>
  <c r="Q843" i="3" s="1"/>
  <c r="Q844" i="3" a="1"/>
  <c r="Q844" i="3" s="1"/>
  <c r="Q845" i="3" a="1"/>
  <c r="Q845" i="3" s="1"/>
  <c r="Q846" i="3" a="1"/>
  <c r="Q846" i="3" s="1"/>
  <c r="Q847" i="3" a="1"/>
  <c r="Q847" i="3" s="1"/>
  <c r="Q848" i="3" a="1"/>
  <c r="Q848" i="3" s="1"/>
  <c r="Q849" i="3" a="1"/>
  <c r="Q849" i="3" s="1"/>
  <c r="Q850" i="3" a="1"/>
  <c r="Q850" i="3" s="1"/>
  <c r="Q851" i="3" a="1"/>
  <c r="Q851" i="3" s="1"/>
  <c r="Q852" i="3" a="1"/>
  <c r="Q852" i="3" s="1"/>
  <c r="Q853" i="3" a="1"/>
  <c r="Q853" i="3" s="1"/>
  <c r="Q854" i="3" a="1"/>
  <c r="Q854" i="3" s="1"/>
  <c r="Q855" i="3" a="1"/>
  <c r="Q855" i="3" s="1"/>
  <c r="Q856" i="3" a="1"/>
  <c r="Q856" i="3" s="1"/>
  <c r="Q857" i="3" a="1"/>
  <c r="Q857" i="3" s="1"/>
  <c r="Q858" i="3" a="1"/>
  <c r="Q858" i="3" s="1"/>
  <c r="Q859" i="3" a="1"/>
  <c r="Q859" i="3" s="1"/>
  <c r="Q860" i="3" a="1"/>
  <c r="Q860" i="3" s="1"/>
  <c r="Q861" i="3" a="1"/>
  <c r="Q861" i="3" s="1"/>
  <c r="Q862" i="3" a="1"/>
  <c r="Q862" i="3" s="1"/>
  <c r="Q863" i="3" a="1"/>
  <c r="Q863" i="3" s="1"/>
  <c r="Q864" i="3" a="1"/>
  <c r="Q864" i="3" s="1"/>
  <c r="Q865" i="3" a="1"/>
  <c r="Q865" i="3" s="1"/>
  <c r="Q866" i="3" a="1"/>
  <c r="Q866" i="3" s="1"/>
  <c r="Q867" i="3" a="1"/>
  <c r="Q867" i="3" s="1"/>
  <c r="Q868" i="3" a="1"/>
  <c r="Q868" i="3" s="1"/>
  <c r="Q869" i="3" a="1"/>
  <c r="Q869" i="3" s="1"/>
  <c r="Q870" i="3" a="1"/>
  <c r="Q870" i="3" s="1"/>
  <c r="Q871" i="3" a="1"/>
  <c r="Q871" i="3" s="1"/>
  <c r="Q872" i="3" a="1"/>
  <c r="Q872" i="3" s="1"/>
  <c r="Q873" i="3" a="1"/>
  <c r="Q873" i="3" s="1"/>
  <c r="Q874" i="3" a="1"/>
  <c r="Q874" i="3" s="1"/>
  <c r="Q875" i="3" a="1"/>
  <c r="Q875" i="3" s="1"/>
  <c r="Q876" i="3" a="1"/>
  <c r="Q876" i="3" s="1"/>
  <c r="Q877" i="3" a="1"/>
  <c r="Q877" i="3" s="1"/>
  <c r="Q878" i="3" a="1"/>
  <c r="Q878" i="3" s="1"/>
  <c r="Q879" i="3" a="1"/>
  <c r="Q879" i="3" s="1"/>
  <c r="Q880" i="3" a="1"/>
  <c r="Q880" i="3" s="1"/>
  <c r="Q881" i="3" a="1"/>
  <c r="Q881" i="3" s="1"/>
  <c r="Q882" i="3" a="1"/>
  <c r="Q882" i="3" s="1"/>
  <c r="Q883" i="3" a="1"/>
  <c r="Q883" i="3" s="1"/>
  <c r="Q884" i="3" a="1"/>
  <c r="Q884" i="3" s="1"/>
  <c r="Q885" i="3" a="1"/>
  <c r="Q885" i="3" s="1"/>
  <c r="Q886" i="3" a="1"/>
  <c r="Q886" i="3" s="1"/>
  <c r="Q887" i="3" a="1"/>
  <c r="Q887" i="3" s="1"/>
  <c r="Q888" i="3" a="1"/>
  <c r="Q888" i="3" s="1"/>
  <c r="Q889" i="3" a="1"/>
  <c r="Q889" i="3" s="1"/>
  <c r="Q890" i="3" a="1"/>
  <c r="Q890" i="3" s="1"/>
  <c r="Q891" i="3" a="1"/>
  <c r="Q891" i="3" s="1"/>
  <c r="Q892" i="3" a="1"/>
  <c r="Q892" i="3" s="1"/>
  <c r="Q893" i="3" a="1"/>
  <c r="Q893" i="3" s="1"/>
  <c r="Q894" i="3" a="1"/>
  <c r="Q894" i="3" s="1"/>
  <c r="Q895" i="3" a="1"/>
  <c r="Q895" i="3" s="1"/>
  <c r="Q896" i="3" a="1"/>
  <c r="Q896" i="3" s="1"/>
  <c r="Q897" i="3" a="1"/>
  <c r="Q897" i="3" s="1"/>
  <c r="Q898" i="3" a="1"/>
  <c r="Q898" i="3" s="1"/>
  <c r="Q899" i="3" a="1"/>
  <c r="Q899" i="3" s="1"/>
  <c r="Q900" i="3" a="1"/>
  <c r="Q900" i="3" s="1"/>
  <c r="Q901" i="3" a="1"/>
  <c r="Q901" i="3" s="1"/>
  <c r="Q902" i="3" a="1"/>
  <c r="Q902" i="3" s="1"/>
  <c r="Q903" i="3" a="1"/>
  <c r="Q903" i="3" s="1"/>
  <c r="Q904" i="3" a="1"/>
  <c r="Q904" i="3" s="1"/>
  <c r="Q905" i="3" a="1"/>
  <c r="Q905" i="3" s="1"/>
  <c r="Q906" i="3" a="1"/>
  <c r="Q906" i="3" s="1"/>
  <c r="Q907" i="3" a="1"/>
  <c r="Q907" i="3" s="1"/>
  <c r="Q908" i="3" a="1"/>
  <c r="Q908" i="3" s="1"/>
  <c r="Q909" i="3" a="1"/>
  <c r="Q909" i="3" s="1"/>
  <c r="Q910" i="3" a="1"/>
  <c r="Q910" i="3" s="1"/>
  <c r="Q911" i="3" a="1"/>
  <c r="Q911" i="3" s="1"/>
  <c r="Q912" i="3" a="1"/>
  <c r="Q912" i="3" s="1"/>
  <c r="Q913" i="3" a="1"/>
  <c r="Q913" i="3" s="1"/>
  <c r="Q914" i="3" a="1"/>
  <c r="Q914" i="3" s="1"/>
  <c r="Q915" i="3" a="1"/>
  <c r="Q915" i="3" s="1"/>
  <c r="Q916" i="3" a="1"/>
  <c r="Q916" i="3" s="1"/>
  <c r="Q917" i="3" a="1"/>
  <c r="Q917" i="3" s="1"/>
  <c r="Q918" i="3" a="1"/>
  <c r="Q918" i="3" s="1"/>
  <c r="Q919" i="3" a="1"/>
  <c r="Q919" i="3" s="1"/>
  <c r="Q920" i="3" a="1"/>
  <c r="Q920" i="3" s="1"/>
  <c r="Q921" i="3" a="1"/>
  <c r="Q921" i="3" s="1"/>
  <c r="Q922" i="3" a="1"/>
  <c r="Q922" i="3" s="1"/>
  <c r="Q923" i="3" a="1"/>
  <c r="Q923" i="3" s="1"/>
  <c r="Q924" i="3" a="1"/>
  <c r="Q924" i="3" s="1"/>
  <c r="Q925" i="3" a="1"/>
  <c r="Q925" i="3" s="1"/>
  <c r="Q926" i="3" a="1"/>
  <c r="Q926" i="3" s="1"/>
  <c r="Q927" i="3" a="1"/>
  <c r="Q927" i="3" s="1"/>
  <c r="Q928" i="3" a="1"/>
  <c r="Q928" i="3" s="1"/>
  <c r="Q929" i="3" a="1"/>
  <c r="Q929" i="3" s="1"/>
  <c r="Q930" i="3" a="1"/>
  <c r="Q930" i="3" s="1"/>
  <c r="Q931" i="3" a="1"/>
  <c r="Q931" i="3" s="1"/>
  <c r="Q932" i="3" a="1"/>
  <c r="Q932" i="3" s="1"/>
  <c r="Q933" i="3" a="1"/>
  <c r="Q933" i="3" s="1"/>
  <c r="Q934" i="3" a="1"/>
  <c r="Q934" i="3" s="1"/>
  <c r="Q935" i="3" a="1"/>
  <c r="Q935" i="3" s="1"/>
  <c r="Q936" i="3" a="1"/>
  <c r="Q936" i="3" s="1"/>
  <c r="Q937" i="3" a="1"/>
  <c r="Q937" i="3" s="1"/>
  <c r="Q938" i="3" a="1"/>
  <c r="Q938" i="3" s="1"/>
  <c r="Q939" i="3" a="1"/>
  <c r="Q939" i="3" s="1"/>
  <c r="Q940" i="3" a="1"/>
  <c r="Q940" i="3" s="1"/>
  <c r="Q941" i="3" a="1"/>
  <c r="Q941" i="3" s="1"/>
  <c r="Q942" i="3" a="1"/>
  <c r="Q942" i="3" s="1"/>
  <c r="Q943" i="3" a="1"/>
  <c r="Q943" i="3" s="1"/>
  <c r="Q944" i="3" a="1"/>
  <c r="Q944" i="3" s="1"/>
  <c r="Q945" i="3" a="1"/>
  <c r="Q945" i="3" s="1"/>
  <c r="Q946" i="3" a="1"/>
  <c r="Q946" i="3" s="1"/>
  <c r="Q947" i="3" a="1"/>
  <c r="Q947" i="3" s="1"/>
  <c r="Q948" i="3" a="1"/>
  <c r="Q948" i="3" s="1"/>
  <c r="Q949" i="3" a="1"/>
  <c r="Q949" i="3" s="1"/>
  <c r="Q950" i="3" a="1"/>
  <c r="Q950" i="3" s="1"/>
  <c r="Q951" i="3" a="1"/>
  <c r="Q951" i="3" s="1"/>
  <c r="Q952" i="3" a="1"/>
  <c r="Q952" i="3" s="1"/>
  <c r="Q953" i="3" a="1"/>
  <c r="Q953" i="3" s="1"/>
  <c r="Q954" i="3" a="1"/>
  <c r="Q954" i="3" s="1"/>
  <c r="Q955" i="3" a="1"/>
  <c r="Q955" i="3" s="1"/>
  <c r="Q956" i="3" a="1"/>
  <c r="Q956" i="3" s="1"/>
  <c r="Q957" i="3" a="1"/>
  <c r="Q957" i="3" s="1"/>
  <c r="Q958" i="3" a="1"/>
  <c r="Q958" i="3" s="1"/>
  <c r="Q959" i="3" a="1"/>
  <c r="Q959" i="3" s="1"/>
  <c r="Q960" i="3" a="1"/>
  <c r="Q960" i="3" s="1"/>
  <c r="Q961" i="3" a="1"/>
  <c r="Q961" i="3" s="1"/>
  <c r="Q962" i="3" a="1"/>
  <c r="Q962" i="3" s="1"/>
  <c r="Q963" i="3" a="1"/>
  <c r="Q963" i="3" s="1"/>
  <c r="Q964" i="3" a="1"/>
  <c r="Q964" i="3" s="1"/>
  <c r="Q965" i="3" a="1"/>
  <c r="Q965" i="3" s="1"/>
  <c r="Q966" i="3" a="1"/>
  <c r="Q966" i="3" s="1"/>
  <c r="Q967" i="3" a="1"/>
  <c r="Q967" i="3" s="1"/>
  <c r="Q968" i="3" a="1"/>
  <c r="Q968" i="3" s="1"/>
  <c r="Q969" i="3" a="1"/>
  <c r="Q969" i="3" s="1"/>
  <c r="Q970" i="3" a="1"/>
  <c r="Q970" i="3" s="1"/>
  <c r="Q971" i="3" a="1"/>
  <c r="Q971" i="3" s="1"/>
  <c r="Q972" i="3" a="1"/>
  <c r="Q972" i="3" s="1"/>
  <c r="Q973" i="3" a="1"/>
  <c r="Q973" i="3" s="1"/>
  <c r="Q974" i="3" a="1"/>
  <c r="Q974" i="3" s="1"/>
  <c r="Q975" i="3" a="1"/>
  <c r="Q975" i="3" s="1"/>
  <c r="Q976" i="3" a="1"/>
  <c r="Q976" i="3" s="1"/>
  <c r="Q977" i="3" a="1"/>
  <c r="Q977" i="3" s="1"/>
  <c r="Q978" i="3" a="1"/>
  <c r="Q978" i="3" s="1"/>
  <c r="Q979" i="3" a="1"/>
  <c r="Q979" i="3" s="1"/>
  <c r="Q980" i="3" a="1"/>
  <c r="Q980" i="3" s="1"/>
  <c r="Q981" i="3" a="1"/>
  <c r="Q981" i="3" s="1"/>
  <c r="Q982" i="3" a="1"/>
  <c r="Q982" i="3" s="1"/>
  <c r="Q983" i="3" a="1"/>
  <c r="Q983" i="3" s="1"/>
  <c r="Q984" i="3" a="1"/>
  <c r="Q984" i="3" s="1"/>
  <c r="Q985" i="3" a="1"/>
  <c r="Q985" i="3" s="1"/>
  <c r="Q986" i="3" a="1"/>
  <c r="Q986" i="3" s="1"/>
  <c r="Q987" i="3" a="1"/>
  <c r="Q987" i="3" s="1"/>
  <c r="Q988" i="3" a="1"/>
  <c r="Q988" i="3" s="1"/>
  <c r="Q989" i="3" a="1"/>
  <c r="Q989" i="3" s="1"/>
  <c r="Q990" i="3" a="1"/>
  <c r="Q990" i="3" s="1"/>
  <c r="Q991" i="3" a="1"/>
  <c r="Q991" i="3" s="1"/>
  <c r="Q992" i="3" a="1"/>
  <c r="Q992" i="3" s="1"/>
  <c r="Q993" i="3" a="1"/>
  <c r="Q993" i="3" s="1"/>
  <c r="Q994" i="3" a="1"/>
  <c r="Q994" i="3" s="1"/>
  <c r="Q995" i="3" a="1"/>
  <c r="Q995" i="3" s="1"/>
  <c r="Q996" i="3" a="1"/>
  <c r="Q996" i="3" s="1"/>
  <c r="Q997" i="3" a="1"/>
  <c r="Q997" i="3" s="1"/>
  <c r="Q998" i="3" a="1"/>
  <c r="Q998" i="3" s="1"/>
  <c r="Q999" i="3" a="1"/>
  <c r="Q999" i="3" s="1"/>
  <c r="Q1000" i="3" a="1"/>
  <c r="Q1000" i="3" s="1"/>
  <c r="Q1001" i="3" a="1"/>
  <c r="Q1001" i="3" s="1"/>
  <c r="Q1002" i="3" a="1"/>
  <c r="Q1002" i="3" s="1"/>
  <c r="Q1003" i="3" a="1"/>
  <c r="Q1003" i="3" s="1"/>
  <c r="Q1004" i="3" a="1"/>
  <c r="Q1004" i="3" s="1"/>
  <c r="Q1005" i="3" a="1"/>
  <c r="Q1005" i="3" s="1"/>
  <c r="Q1006" i="3" a="1"/>
  <c r="Q1006" i="3" s="1"/>
  <c r="Q1007" i="3" a="1"/>
  <c r="Q1007" i="3" s="1"/>
  <c r="Q1008" i="3" a="1"/>
  <c r="Q1008" i="3" s="1"/>
  <c r="Q1009" i="3" a="1"/>
  <c r="Q1009" i="3" s="1"/>
  <c r="Q1010" i="3" a="1"/>
  <c r="Q1010" i="3" s="1"/>
  <c r="Q1011" i="3" a="1"/>
  <c r="Q1011" i="3" s="1"/>
  <c r="Q1012" i="3" a="1"/>
  <c r="Q1012" i="3" s="1"/>
  <c r="Q1013" i="3" a="1"/>
  <c r="Q1013" i="3" s="1"/>
  <c r="Q1014" i="3" a="1"/>
  <c r="Q1014" i="3" s="1"/>
  <c r="Q1015" i="3" a="1"/>
  <c r="Q1015" i="3" s="1"/>
  <c r="Q1016" i="3" a="1"/>
  <c r="Q1016" i="3" s="1"/>
  <c r="Q1017" i="3" a="1"/>
  <c r="Q1017" i="3" s="1"/>
  <c r="Q1018" i="3" a="1"/>
  <c r="Q1018" i="3" s="1"/>
  <c r="Q1019" i="3" a="1"/>
  <c r="Q1019" i="3" s="1"/>
  <c r="Q1020" i="3" a="1"/>
  <c r="Q1020" i="3" s="1"/>
  <c r="Q1021" i="3" a="1"/>
  <c r="Q1021" i="3" s="1"/>
  <c r="Q1022" i="3" a="1"/>
  <c r="Q1022" i="3" s="1"/>
  <c r="Q1023" i="3" a="1"/>
  <c r="Q1023" i="3" s="1"/>
  <c r="Q1024" i="3" a="1"/>
  <c r="Q1024" i="3" s="1"/>
  <c r="Q1025" i="3" a="1"/>
  <c r="Q1025" i="3" s="1"/>
  <c r="Q1026" i="3" a="1"/>
  <c r="Q1026" i="3" s="1"/>
  <c r="Q1027" i="3" a="1"/>
  <c r="Q1027" i="3" s="1"/>
  <c r="Q1028" i="3" a="1"/>
  <c r="Q1028" i="3" s="1"/>
  <c r="Q1029" i="3" a="1"/>
  <c r="Q1029" i="3" s="1"/>
  <c r="Q1030" i="3" a="1"/>
  <c r="Q1030" i="3" s="1"/>
  <c r="Q1031" i="3" a="1"/>
  <c r="Q1031" i="3" s="1"/>
  <c r="Q1032" i="3" a="1"/>
  <c r="Q1032" i="3" s="1"/>
  <c r="Q1033" i="3" a="1"/>
  <c r="Q1033" i="3" s="1"/>
  <c r="Q1034" i="3" a="1"/>
  <c r="Q1034" i="3" s="1"/>
  <c r="Q1035" i="3" a="1"/>
  <c r="Q1035" i="3" s="1"/>
  <c r="Q1036" i="3" a="1"/>
  <c r="Q1036" i="3" s="1"/>
  <c r="Q1037" i="3" a="1"/>
  <c r="Q1037" i="3" s="1"/>
  <c r="Q1038" i="3" a="1"/>
  <c r="Q1038" i="3" s="1"/>
  <c r="Q1039" i="3" a="1"/>
  <c r="Q1039" i="3" s="1"/>
  <c r="Q1040" i="3" a="1"/>
  <c r="Q1040" i="3" s="1"/>
  <c r="Q1041" i="3" a="1"/>
  <c r="Q1041" i="3" s="1"/>
  <c r="Q1042" i="3" a="1"/>
  <c r="Q1042" i="3" s="1"/>
  <c r="Q1043" i="3" a="1"/>
  <c r="Q1043" i="3" s="1"/>
  <c r="Q1044" i="3" a="1"/>
  <c r="Q1044" i="3" s="1"/>
  <c r="Q1045" i="3" a="1"/>
  <c r="Q1045" i="3" s="1"/>
  <c r="Q1046" i="3" a="1"/>
  <c r="Q1046" i="3" s="1"/>
  <c r="Q1047" i="3" a="1"/>
  <c r="Q1047" i="3" s="1"/>
  <c r="Q1048" i="3" a="1"/>
  <c r="Q1048" i="3" s="1"/>
  <c r="Q1049" i="3" a="1"/>
  <c r="Q1049" i="3" s="1"/>
  <c r="Q1050" i="3" a="1"/>
  <c r="Q1050" i="3" s="1"/>
  <c r="Q1051" i="3" a="1"/>
  <c r="Q1051" i="3" s="1"/>
  <c r="Q1052" i="3" a="1"/>
  <c r="Q1052" i="3" s="1"/>
  <c r="Q1053" i="3" a="1"/>
  <c r="Q1053" i="3" s="1"/>
  <c r="Q1054" i="3" a="1"/>
  <c r="Q1054" i="3" s="1"/>
  <c r="Q1055" i="3" a="1"/>
  <c r="Q1055" i="3" s="1"/>
  <c r="Q1056" i="3" a="1"/>
  <c r="Q1056" i="3" s="1"/>
  <c r="Q1057" i="3" a="1"/>
  <c r="Q1057" i="3" s="1"/>
  <c r="Q1058" i="3" a="1"/>
  <c r="Q1058" i="3" s="1"/>
  <c r="Q1059" i="3" a="1"/>
  <c r="Q1059" i="3" s="1"/>
  <c r="Q1060" i="3" a="1"/>
  <c r="Q1060" i="3" s="1"/>
  <c r="Q1061" i="3" a="1"/>
  <c r="Q1061" i="3" s="1"/>
  <c r="Q1062" i="3" a="1"/>
  <c r="Q1062" i="3" s="1"/>
  <c r="Q1063" i="3" a="1"/>
  <c r="Q1063" i="3" s="1"/>
  <c r="Q1064" i="3" a="1"/>
  <c r="Q1064" i="3" s="1"/>
  <c r="Q1065" i="3" a="1"/>
  <c r="Q1065" i="3" s="1"/>
  <c r="Q1066" i="3" a="1"/>
  <c r="Q1066" i="3" s="1"/>
  <c r="Q1067" i="3" a="1"/>
  <c r="Q1067" i="3" s="1"/>
  <c r="Q1068" i="3" a="1"/>
  <c r="Q1068" i="3" s="1"/>
  <c r="Q1069" i="3" a="1"/>
  <c r="Q1069" i="3" s="1"/>
  <c r="Q1070" i="3" a="1"/>
  <c r="Q1070" i="3" s="1"/>
  <c r="Q1071" i="3" a="1"/>
  <c r="Q1071" i="3" s="1"/>
  <c r="Q1072" i="3" a="1"/>
  <c r="Q1072" i="3" s="1"/>
  <c r="Q1073" i="3" a="1"/>
  <c r="Q1073" i="3" s="1"/>
  <c r="Q1074" i="3" a="1"/>
  <c r="Q1074" i="3" s="1"/>
  <c r="Q1075" i="3" a="1"/>
  <c r="Q1075" i="3" s="1"/>
  <c r="Q1076" i="3" a="1"/>
  <c r="Q1076" i="3" s="1"/>
  <c r="Q1077" i="3" a="1"/>
  <c r="Q1077" i="3" s="1"/>
  <c r="Q1078" i="3" a="1"/>
  <c r="Q1078" i="3" s="1"/>
  <c r="Q1079" i="3" a="1"/>
  <c r="Q1079" i="3" s="1"/>
  <c r="Q1080" i="3" a="1"/>
  <c r="Q1080" i="3" s="1"/>
  <c r="Q1081" i="3" a="1"/>
  <c r="Q1081" i="3" s="1"/>
  <c r="Q1082" i="3" a="1"/>
  <c r="Q1082" i="3" s="1"/>
  <c r="Q1083" i="3" a="1"/>
  <c r="Q1083" i="3" s="1"/>
  <c r="Q1084" i="3" a="1"/>
  <c r="Q1084" i="3" s="1"/>
  <c r="Q1085" i="3" a="1"/>
  <c r="Q1085" i="3" s="1"/>
  <c r="Q1086" i="3" a="1"/>
  <c r="Q1086" i="3" s="1"/>
  <c r="Q1087" i="3" a="1"/>
  <c r="Q1087" i="3" s="1"/>
  <c r="Q1088" i="3" a="1"/>
  <c r="Q1088" i="3" s="1"/>
  <c r="Q1089" i="3" a="1"/>
  <c r="Q1089" i="3" s="1"/>
  <c r="Q1090" i="3" a="1"/>
  <c r="Q1090" i="3" s="1"/>
  <c r="Q1091" i="3" a="1"/>
  <c r="Q1091" i="3" s="1"/>
  <c r="Q1092" i="3" a="1"/>
  <c r="Q1092" i="3" s="1"/>
  <c r="Q1093" i="3" a="1"/>
  <c r="Q1093" i="3" s="1"/>
  <c r="Q1094" i="3" a="1"/>
  <c r="Q1094" i="3" s="1"/>
  <c r="Q1095" i="3" a="1"/>
  <c r="Q1095" i="3" s="1"/>
  <c r="Q1096" i="3" a="1"/>
  <c r="Q1096" i="3" s="1"/>
  <c r="Q1097" i="3" a="1"/>
  <c r="Q1097" i="3" s="1"/>
  <c r="Q1098" i="3" a="1"/>
  <c r="Q1098" i="3" s="1"/>
  <c r="Q1099" i="3" a="1"/>
  <c r="Q1099" i="3" s="1"/>
  <c r="Q1100" i="3" a="1"/>
  <c r="Q1100" i="3" s="1"/>
  <c r="Q1101" i="3" a="1"/>
  <c r="Q1101" i="3" s="1"/>
  <c r="Q1102" i="3" a="1"/>
  <c r="Q1102" i="3" s="1"/>
  <c r="Q1103" i="3" a="1"/>
  <c r="Q1103" i="3" s="1"/>
  <c r="Q1104" i="3" a="1"/>
  <c r="Q1104" i="3" s="1"/>
  <c r="Q1105" i="3" a="1"/>
  <c r="Q1105" i="3" s="1"/>
  <c r="Q1106" i="3" a="1"/>
  <c r="Q1106" i="3" s="1"/>
  <c r="Q1107" i="3" a="1"/>
  <c r="Q1107" i="3" s="1"/>
  <c r="Q1108" i="3" a="1"/>
  <c r="Q1108" i="3" s="1"/>
  <c r="Q1109" i="3" a="1"/>
  <c r="Q1109" i="3" s="1"/>
  <c r="Q1110" i="3" a="1"/>
  <c r="Q1110" i="3" s="1"/>
  <c r="Q1111" i="3" a="1"/>
  <c r="Q1111" i="3" s="1"/>
  <c r="Q1112" i="3" a="1"/>
  <c r="Q1112" i="3" s="1"/>
  <c r="Q1113" i="3" a="1"/>
  <c r="Q1113" i="3" s="1"/>
  <c r="Q1114" i="3" a="1"/>
  <c r="Q1114" i="3" s="1"/>
  <c r="Q1115" i="3" a="1"/>
  <c r="Q1115" i="3" s="1"/>
  <c r="Q1116" i="3" a="1"/>
  <c r="Q1116" i="3" s="1"/>
  <c r="Q1117" i="3" a="1"/>
  <c r="Q1117" i="3" s="1"/>
  <c r="Q1118" i="3" a="1"/>
  <c r="Q1118" i="3" s="1"/>
  <c r="Q1119" i="3" a="1"/>
  <c r="Q1119" i="3" s="1"/>
  <c r="Q1120" i="3" a="1"/>
  <c r="Q1120" i="3" s="1"/>
  <c r="Q1121" i="3" a="1"/>
  <c r="Q1121" i="3" s="1"/>
  <c r="Q1122" i="3" a="1"/>
  <c r="Q1122" i="3" s="1"/>
  <c r="Q1123" i="3" a="1"/>
  <c r="Q1123" i="3" s="1"/>
  <c r="Q1124" i="3" a="1"/>
  <c r="Q1124" i="3" s="1"/>
  <c r="Q1125" i="3" a="1"/>
  <c r="Q1125" i="3" s="1"/>
  <c r="Q1126" i="3" a="1"/>
  <c r="Q1126" i="3" s="1"/>
  <c r="Q1127" i="3" a="1"/>
  <c r="Q1127" i="3" s="1"/>
  <c r="Q1128" i="3" a="1"/>
  <c r="Q1128" i="3" s="1"/>
  <c r="Q1129" i="3" a="1"/>
  <c r="Q1129" i="3" s="1"/>
  <c r="Q1130" i="3" a="1"/>
  <c r="Q1130" i="3" s="1"/>
  <c r="Q1131" i="3" a="1"/>
  <c r="Q1131" i="3" s="1"/>
  <c r="Q1132" i="3" a="1"/>
  <c r="Q1132" i="3" s="1"/>
  <c r="Q1133" i="3" a="1"/>
  <c r="Q1133" i="3" s="1"/>
  <c r="Q1134" i="3" a="1"/>
  <c r="Q1134" i="3" s="1"/>
  <c r="Q1135" i="3" a="1"/>
  <c r="Q1135" i="3" s="1"/>
  <c r="Q1136" i="3" a="1"/>
  <c r="Q1136" i="3" s="1"/>
  <c r="Q1137" i="3" a="1"/>
  <c r="Q1137" i="3" s="1"/>
  <c r="Q1138" i="3" a="1"/>
  <c r="Q1138" i="3" s="1"/>
  <c r="Q1139" i="3" a="1"/>
  <c r="Q1139" i="3" s="1"/>
  <c r="Q1140" i="3" a="1"/>
  <c r="Q1140" i="3" s="1"/>
  <c r="Q1141" i="3" a="1"/>
  <c r="Q1141" i="3" s="1"/>
  <c r="Q1142" i="3" a="1"/>
  <c r="Q1142" i="3" s="1"/>
  <c r="Q1143" i="3" a="1"/>
  <c r="Q1143" i="3" s="1"/>
  <c r="Q1144" i="3" a="1"/>
  <c r="Q1144" i="3" s="1"/>
  <c r="Q1145" i="3" a="1"/>
  <c r="Q1145" i="3" s="1"/>
  <c r="Q1146" i="3" a="1"/>
  <c r="Q1146" i="3" s="1"/>
  <c r="Q1147" i="3" a="1"/>
  <c r="Q1147" i="3" s="1"/>
  <c r="Q1148" i="3" a="1"/>
  <c r="Q1148" i="3" s="1"/>
  <c r="Q1149" i="3" a="1"/>
  <c r="Q1149" i="3" s="1"/>
  <c r="Q1150" i="3" a="1"/>
  <c r="Q1150" i="3" s="1"/>
  <c r="Q1151" i="3" a="1"/>
  <c r="Q1151" i="3" s="1"/>
  <c r="Q1152" i="3" a="1"/>
  <c r="Q1152" i="3" s="1"/>
  <c r="Q1153" i="3" a="1"/>
  <c r="Q1153" i="3" s="1"/>
  <c r="Q1154" i="3" a="1"/>
  <c r="Q1154" i="3" s="1"/>
  <c r="Q1155" i="3" a="1"/>
  <c r="Q1155" i="3" s="1"/>
  <c r="Q1156" i="3" a="1"/>
  <c r="Q1156" i="3" s="1"/>
  <c r="Q1157" i="3" a="1"/>
  <c r="Q1157" i="3" s="1"/>
  <c r="Q1158" i="3" a="1"/>
  <c r="Q1158" i="3" s="1"/>
  <c r="Q1159" i="3" a="1"/>
  <c r="Q1159" i="3" s="1"/>
  <c r="Q1160" i="3" a="1"/>
  <c r="Q1160" i="3" s="1"/>
  <c r="Q1161" i="3" a="1"/>
  <c r="Q1161" i="3" s="1"/>
  <c r="Q1162" i="3" a="1"/>
  <c r="Q1162" i="3" s="1"/>
  <c r="Q1163" i="3" a="1"/>
  <c r="Q1163" i="3" s="1"/>
  <c r="Q1164" i="3" a="1"/>
  <c r="Q1164" i="3" s="1"/>
  <c r="Q1165" i="3" a="1"/>
  <c r="Q1165" i="3" s="1"/>
  <c r="Q1166" i="3" a="1"/>
  <c r="Q1166" i="3" s="1"/>
  <c r="Q1167" i="3" a="1"/>
  <c r="Q1167" i="3" s="1"/>
  <c r="Q1168" i="3" a="1"/>
  <c r="Q1168" i="3" s="1"/>
  <c r="Q1169" i="3" a="1"/>
  <c r="Q1169" i="3" s="1"/>
  <c r="Q1170" i="3" a="1"/>
  <c r="Q1170" i="3" s="1"/>
  <c r="Q1171" i="3" a="1"/>
  <c r="Q1171" i="3" s="1"/>
  <c r="Q1172" i="3" a="1"/>
  <c r="Q1172" i="3" s="1"/>
  <c r="Q1173" i="3" a="1"/>
  <c r="Q1173" i="3" s="1"/>
  <c r="Q1174" i="3" a="1"/>
  <c r="Q1174" i="3" s="1"/>
  <c r="Q1175" i="3" a="1"/>
  <c r="Q1175" i="3" s="1"/>
  <c r="Q1176" i="3" a="1"/>
  <c r="Q1176" i="3" s="1"/>
  <c r="Q1177" i="3" a="1"/>
  <c r="Q1177" i="3" s="1"/>
  <c r="Q1178" i="3" a="1"/>
  <c r="Q1178" i="3" s="1"/>
  <c r="Q1179" i="3" a="1"/>
  <c r="Q1179" i="3" s="1"/>
  <c r="Q1180" i="3" a="1"/>
  <c r="Q1180" i="3" s="1"/>
  <c r="Q1181" i="3" a="1"/>
  <c r="Q1181" i="3" s="1"/>
  <c r="Q1182" i="3" a="1"/>
  <c r="Q1182" i="3" s="1"/>
  <c r="Q1183" i="3" a="1"/>
  <c r="Q1183" i="3" s="1"/>
  <c r="Q1184" i="3" a="1"/>
  <c r="Q1184" i="3" s="1"/>
  <c r="Q1185" i="3" a="1"/>
  <c r="Q1185" i="3" s="1"/>
  <c r="Q1186" i="3" a="1"/>
  <c r="Q1186" i="3" s="1"/>
  <c r="Q1187" i="3" a="1"/>
  <c r="Q1187" i="3" s="1"/>
  <c r="Q1188" i="3" a="1"/>
  <c r="Q1188" i="3" s="1"/>
  <c r="Q1189" i="3" a="1"/>
  <c r="Q1189" i="3" s="1"/>
  <c r="Q1190" i="3" a="1"/>
  <c r="Q1190" i="3" s="1"/>
  <c r="Q1191" i="3" a="1"/>
  <c r="Q1191" i="3" s="1"/>
  <c r="Q1192" i="3" a="1"/>
  <c r="Q1192" i="3" s="1"/>
  <c r="Q1193" i="3" a="1"/>
  <c r="Q1193" i="3" s="1"/>
  <c r="Q1194" i="3" a="1"/>
  <c r="Q1194" i="3" s="1"/>
  <c r="Q1195" i="3" a="1"/>
  <c r="Q1195" i="3" s="1"/>
  <c r="Q1196" i="3" a="1"/>
  <c r="Q1196" i="3" s="1"/>
  <c r="Q1197" i="3" a="1"/>
  <c r="Q1197" i="3" s="1"/>
  <c r="Q1198" i="3" a="1"/>
  <c r="Q1198" i="3" s="1"/>
  <c r="Q1199" i="3" a="1"/>
  <c r="Q1199" i="3" s="1"/>
  <c r="Q1200" i="3" a="1"/>
  <c r="Q1200" i="3" s="1"/>
  <c r="Q1201" i="3" a="1"/>
  <c r="Q1201" i="3" s="1"/>
  <c r="Q1202" i="3" a="1"/>
  <c r="Q1202" i="3" s="1"/>
  <c r="Q1203" i="3" a="1"/>
  <c r="Q1203" i="3" s="1"/>
  <c r="Q1204" i="3" a="1"/>
  <c r="Q1204" i="3" s="1"/>
  <c r="Q1205" i="3" a="1"/>
  <c r="Q1205" i="3" s="1"/>
  <c r="Q1206" i="3" a="1"/>
  <c r="Q1206" i="3" s="1"/>
  <c r="Q1207" i="3" a="1"/>
  <c r="Q1207" i="3" s="1"/>
  <c r="Q1208" i="3" a="1"/>
  <c r="Q1208" i="3" s="1"/>
  <c r="Q1209" i="3" a="1"/>
  <c r="Q1209" i="3" s="1"/>
  <c r="Q1210" i="3" a="1"/>
  <c r="Q1210" i="3" s="1"/>
  <c r="Q1211" i="3" a="1"/>
  <c r="Q1211" i="3" s="1"/>
  <c r="Q1212" i="3" a="1"/>
  <c r="Q1212" i="3" s="1"/>
  <c r="Q1213" i="3" a="1"/>
  <c r="Q1213" i="3" s="1"/>
  <c r="Q1214" i="3" a="1"/>
  <c r="Q1214" i="3" s="1"/>
  <c r="Q1215" i="3" a="1"/>
  <c r="Q1215" i="3" s="1"/>
  <c r="Q1216" i="3" a="1"/>
  <c r="Q1216" i="3" s="1"/>
  <c r="Q1217" i="3" a="1"/>
  <c r="Q1217" i="3" s="1"/>
  <c r="Q1218" i="3" a="1"/>
  <c r="Q1218" i="3" s="1"/>
  <c r="Q1219" i="3" a="1"/>
  <c r="Q1219" i="3" s="1"/>
  <c r="Q1220" i="3" a="1"/>
  <c r="Q1220" i="3" s="1"/>
  <c r="Q1221" i="3" a="1"/>
  <c r="Q1221" i="3" s="1"/>
  <c r="Q1222" i="3" a="1"/>
  <c r="Q1222" i="3" s="1"/>
  <c r="Q1223" i="3" a="1"/>
  <c r="Q1223" i="3" s="1"/>
  <c r="Q1224" i="3" a="1"/>
  <c r="Q1224" i="3" s="1"/>
  <c r="Q1225" i="3" a="1"/>
  <c r="Q1225" i="3" s="1"/>
  <c r="Q1226" i="3" a="1"/>
  <c r="Q1226" i="3" s="1"/>
  <c r="Q1227" i="3" a="1"/>
  <c r="Q1227" i="3" s="1"/>
  <c r="Q1228" i="3" a="1"/>
  <c r="Q1228" i="3" s="1"/>
  <c r="Q1229" i="3" a="1"/>
  <c r="Q1229" i="3" s="1"/>
  <c r="Q1230" i="3" a="1"/>
  <c r="Q1230" i="3" s="1"/>
  <c r="Q1231" i="3" a="1"/>
  <c r="Q1231" i="3" s="1"/>
  <c r="Q1232" i="3" a="1"/>
  <c r="Q1232" i="3" s="1"/>
  <c r="Q1233" i="3" a="1"/>
  <c r="Q1233" i="3" s="1"/>
  <c r="Q1234" i="3" a="1"/>
  <c r="Q1234" i="3" s="1"/>
  <c r="Q1235" i="3" a="1"/>
  <c r="Q1235" i="3" s="1"/>
  <c r="Q1236" i="3" a="1"/>
  <c r="Q1236" i="3" s="1"/>
  <c r="Q1237" i="3" a="1"/>
  <c r="Q1237" i="3" s="1"/>
  <c r="Q1238" i="3" a="1"/>
  <c r="Q1238" i="3" s="1"/>
  <c r="Q1239" i="3" a="1"/>
  <c r="Q1239" i="3" s="1"/>
  <c r="Q1240" i="3" a="1"/>
  <c r="Q1240" i="3" s="1"/>
  <c r="Q1241" i="3" a="1"/>
  <c r="Q1241" i="3" s="1"/>
  <c r="Q1242" i="3" a="1"/>
  <c r="Q1242" i="3" s="1"/>
  <c r="Q1243" i="3" a="1"/>
  <c r="Q1243" i="3" s="1"/>
  <c r="Q1244" i="3" a="1"/>
  <c r="Q1244" i="3" s="1"/>
  <c r="Q1245" i="3" a="1"/>
  <c r="Q1245" i="3" s="1"/>
  <c r="Q1246" i="3" a="1"/>
  <c r="Q1246" i="3" s="1"/>
  <c r="Q1247" i="3" a="1"/>
  <c r="Q1247" i="3" s="1"/>
  <c r="Q1248" i="3" a="1"/>
  <c r="Q1248" i="3" s="1"/>
  <c r="Q1249" i="3" a="1"/>
  <c r="Q1249" i="3" s="1"/>
  <c r="Q1250" i="3" a="1"/>
  <c r="Q1250" i="3" s="1"/>
  <c r="Q1251" i="3" a="1"/>
  <c r="Q1251" i="3" s="1"/>
  <c r="Q1252" i="3" a="1"/>
  <c r="Q1252" i="3" s="1"/>
  <c r="Q1253" i="3" a="1"/>
  <c r="Q1253" i="3" s="1"/>
  <c r="Q1254" i="3" a="1"/>
  <c r="Q1254" i="3" s="1"/>
  <c r="Q1255" i="3" a="1"/>
  <c r="Q1255" i="3" s="1"/>
  <c r="Q1256" i="3" a="1"/>
  <c r="Q1256" i="3" s="1"/>
  <c r="Q1257" i="3" a="1"/>
  <c r="Q1257" i="3" s="1"/>
  <c r="Q1258" i="3" a="1"/>
  <c r="Q1258" i="3" s="1"/>
  <c r="Q1259" i="3" a="1"/>
  <c r="Q1259" i="3" s="1"/>
  <c r="Q1260" i="3" a="1"/>
  <c r="Q1260" i="3" s="1"/>
  <c r="Q1261" i="3" a="1"/>
  <c r="Q1261" i="3" s="1"/>
  <c r="Q1262" i="3" a="1"/>
  <c r="Q1262" i="3" s="1"/>
  <c r="Q1263" i="3" a="1"/>
  <c r="Q1263" i="3" s="1"/>
  <c r="Q1264" i="3" a="1"/>
  <c r="Q1264" i="3" s="1"/>
  <c r="Q1265" i="3" a="1"/>
  <c r="Q1265" i="3" s="1"/>
  <c r="Q1266" i="3" a="1"/>
  <c r="Q1266" i="3" s="1"/>
  <c r="Q1267" i="3" a="1"/>
  <c r="Q1267" i="3" s="1"/>
  <c r="Q1268" i="3" a="1"/>
  <c r="Q1268" i="3" s="1"/>
  <c r="Q1269" i="3" a="1"/>
  <c r="Q1269" i="3" s="1"/>
  <c r="Q1270" i="3" a="1"/>
  <c r="Q1270" i="3" s="1"/>
  <c r="Q1271" i="3" a="1"/>
  <c r="Q1271" i="3" s="1"/>
  <c r="Q1272" i="3" a="1"/>
  <c r="Q1272" i="3" s="1"/>
  <c r="Q1273" i="3" a="1"/>
  <c r="Q1273" i="3" s="1"/>
  <c r="Q1274" i="3" a="1"/>
  <c r="Q1274" i="3" s="1"/>
  <c r="Q1275" i="3" a="1"/>
  <c r="Q1275" i="3" s="1"/>
  <c r="Q1276" i="3" a="1"/>
  <c r="Q1276" i="3" s="1"/>
  <c r="Q1277" i="3" a="1"/>
  <c r="Q1277" i="3" s="1"/>
  <c r="Q1278" i="3" a="1"/>
  <c r="Q1278" i="3" s="1"/>
  <c r="Q1279" i="3" a="1"/>
  <c r="Q1279" i="3" s="1"/>
  <c r="Q1280" i="3" a="1"/>
  <c r="Q1280" i="3" s="1"/>
  <c r="Q1281" i="3" a="1"/>
  <c r="Q1281" i="3" s="1"/>
  <c r="Q1282" i="3" a="1"/>
  <c r="Q1282" i="3" s="1"/>
  <c r="Q1283" i="3" a="1"/>
  <c r="Q1283" i="3" s="1"/>
  <c r="Q1284" i="3" a="1"/>
  <c r="Q1284" i="3" s="1"/>
  <c r="Q1285" i="3" a="1"/>
  <c r="Q1285" i="3" s="1"/>
  <c r="Q1286" i="3" a="1"/>
  <c r="Q1286" i="3" s="1"/>
  <c r="Q1287" i="3" a="1"/>
  <c r="Q1287" i="3" s="1"/>
  <c r="Q1288" i="3" a="1"/>
  <c r="Q1288" i="3" s="1"/>
  <c r="Q1289" i="3" a="1"/>
  <c r="Q1289" i="3" s="1"/>
  <c r="Q1290" i="3" a="1"/>
  <c r="Q1290" i="3" s="1"/>
  <c r="Q1291" i="3" a="1"/>
  <c r="Q1291" i="3" s="1"/>
  <c r="Q1292" i="3" a="1"/>
  <c r="Q1292" i="3" s="1"/>
  <c r="Q1293" i="3" a="1"/>
  <c r="Q1293" i="3" s="1"/>
  <c r="Q1294" i="3" a="1"/>
  <c r="Q1294" i="3" s="1"/>
  <c r="Q1295" i="3" a="1"/>
  <c r="Q1295" i="3" s="1"/>
  <c r="Q1296" i="3" a="1"/>
  <c r="Q1296" i="3" s="1"/>
  <c r="Q1297" i="3" a="1"/>
  <c r="Q1297" i="3" s="1"/>
  <c r="Q1298" i="3" a="1"/>
  <c r="Q1298" i="3" s="1"/>
  <c r="Q1299" i="3" a="1"/>
  <c r="Q1299" i="3" s="1"/>
  <c r="Q1300" i="3" a="1"/>
  <c r="Q1300" i="3" s="1"/>
  <c r="Q1301" i="3" a="1"/>
  <c r="Q1301" i="3" s="1"/>
  <c r="Q1302" i="3" a="1"/>
  <c r="Q1302" i="3" s="1"/>
  <c r="Q1303" i="3" a="1"/>
  <c r="Q1303" i="3" s="1"/>
  <c r="Q1304" i="3" a="1"/>
  <c r="Q1304" i="3" s="1"/>
  <c r="Q1305" i="3" a="1"/>
  <c r="Q1305" i="3" s="1"/>
  <c r="Q1306" i="3" a="1"/>
  <c r="Q1306" i="3" s="1"/>
  <c r="Q1307" i="3" a="1"/>
  <c r="Q1307" i="3" s="1"/>
  <c r="Q1308" i="3" a="1"/>
  <c r="Q1308" i="3" s="1"/>
  <c r="Q1309" i="3" a="1"/>
  <c r="Q1309" i="3" s="1"/>
  <c r="Q1310" i="3" a="1"/>
  <c r="Q1310" i="3" s="1"/>
  <c r="Q1311" i="3" a="1"/>
  <c r="Q1311" i="3" s="1"/>
  <c r="Q1312" i="3" a="1"/>
  <c r="Q1312" i="3" s="1"/>
  <c r="Q1313" i="3" a="1"/>
  <c r="Q1313" i="3" s="1"/>
  <c r="Q1314" i="3" a="1"/>
  <c r="Q1314" i="3" s="1"/>
  <c r="Q1315" i="3" a="1"/>
  <c r="Q1315" i="3" s="1"/>
  <c r="Q1316" i="3" a="1"/>
  <c r="Q1316" i="3" s="1"/>
  <c r="Q1317" i="3" a="1"/>
  <c r="Q1317" i="3" s="1"/>
  <c r="Q1318" i="3" a="1"/>
  <c r="Q1318" i="3" s="1"/>
  <c r="Q1319" i="3" a="1"/>
  <c r="Q1319" i="3" s="1"/>
  <c r="Q1320" i="3" a="1"/>
  <c r="Q1320" i="3" s="1"/>
  <c r="Q1321" i="3" a="1"/>
  <c r="Q1321" i="3" s="1"/>
  <c r="Q1322" i="3" a="1"/>
  <c r="Q1322" i="3" s="1"/>
  <c r="Q1323" i="3" a="1"/>
  <c r="Q1323" i="3" s="1"/>
  <c r="Q1324" i="3" a="1"/>
  <c r="Q1324" i="3" s="1"/>
  <c r="Q1325" i="3" a="1"/>
  <c r="Q1325" i="3" s="1"/>
  <c r="Q1326" i="3" a="1"/>
  <c r="Q1326" i="3" s="1"/>
  <c r="Q1327" i="3" a="1"/>
  <c r="Q1327" i="3" s="1"/>
  <c r="Q1328" i="3" a="1"/>
  <c r="Q1328" i="3" s="1"/>
  <c r="Q1329" i="3" a="1"/>
  <c r="Q1329" i="3" s="1"/>
  <c r="Q1330" i="3" a="1"/>
  <c r="Q1330" i="3" s="1"/>
  <c r="Q1331" i="3" a="1"/>
  <c r="Q1331" i="3" s="1"/>
  <c r="Q1332" i="3" a="1"/>
  <c r="Q1332" i="3" s="1"/>
  <c r="Q1333" i="3" a="1"/>
  <c r="Q1333" i="3" s="1"/>
  <c r="Q1334" i="3" a="1"/>
  <c r="Q1334" i="3" s="1"/>
  <c r="Q1335" i="3" a="1"/>
  <c r="Q1335" i="3" s="1"/>
  <c r="Q1336" i="3" a="1"/>
  <c r="Q1336" i="3" s="1"/>
  <c r="Q1337" i="3" a="1"/>
  <c r="Q1337" i="3" s="1"/>
  <c r="Q1338" i="3" a="1"/>
  <c r="Q1338" i="3" s="1"/>
  <c r="Q1339" i="3" a="1"/>
  <c r="Q1339" i="3" s="1"/>
  <c r="Q1340" i="3" a="1"/>
  <c r="Q1340" i="3" s="1"/>
  <c r="Q1341" i="3" a="1"/>
  <c r="Q1341" i="3" s="1"/>
  <c r="Q1342" i="3" a="1"/>
  <c r="Q1342" i="3" s="1"/>
  <c r="Q1343" i="3" a="1"/>
  <c r="Q1343" i="3" s="1"/>
  <c r="Q1344" i="3" a="1"/>
  <c r="Q1344" i="3" s="1"/>
  <c r="Q1345" i="3" a="1"/>
  <c r="Q1345" i="3" s="1"/>
  <c r="Q1346" i="3" a="1"/>
  <c r="Q1346" i="3" s="1"/>
  <c r="Q1347" i="3" a="1"/>
  <c r="Q1347" i="3" s="1"/>
  <c r="Q1348" i="3" a="1"/>
  <c r="Q1348" i="3" s="1"/>
  <c r="Q1349" i="3" a="1"/>
  <c r="Q1349" i="3" s="1"/>
  <c r="Q1350" i="3" a="1"/>
  <c r="Q1350" i="3" s="1"/>
  <c r="Q1351" i="3" a="1"/>
  <c r="Q1351" i="3" s="1"/>
  <c r="Q1352" i="3" a="1"/>
  <c r="Q1352" i="3" s="1"/>
  <c r="Q1353" i="3" a="1"/>
  <c r="Q1353" i="3" s="1"/>
  <c r="Q1354" i="3" a="1"/>
  <c r="Q1354" i="3" s="1"/>
  <c r="Q1355" i="3" a="1"/>
  <c r="Q1355" i="3" s="1"/>
  <c r="Q1356" i="3" a="1"/>
  <c r="Q1356" i="3" s="1"/>
  <c r="Q1357" i="3" a="1"/>
  <c r="Q1357" i="3" s="1"/>
  <c r="Q1358" i="3" a="1"/>
  <c r="Q1358" i="3" s="1"/>
  <c r="Q1359" i="3" a="1"/>
  <c r="Q1359" i="3" s="1"/>
  <c r="Q1360" i="3" a="1"/>
  <c r="Q1360" i="3" s="1"/>
  <c r="Q1361" i="3" a="1"/>
  <c r="Q1361" i="3" s="1"/>
  <c r="Q1362" i="3" a="1"/>
  <c r="Q1362" i="3" s="1"/>
  <c r="Q1363" i="3" a="1"/>
  <c r="Q1363" i="3" s="1"/>
  <c r="Q1364" i="3" a="1"/>
  <c r="Q1364" i="3" s="1"/>
  <c r="Q1365" i="3" a="1"/>
  <c r="Q1365" i="3" s="1"/>
  <c r="Q1366" i="3" a="1"/>
  <c r="Q1366" i="3" s="1"/>
  <c r="Q1367" i="3" a="1"/>
  <c r="Q1367" i="3" s="1"/>
  <c r="Q1368" i="3" a="1"/>
  <c r="Q1368" i="3" s="1"/>
  <c r="Q1369" i="3" a="1"/>
  <c r="Q1369" i="3" s="1"/>
  <c r="Q1370" i="3" a="1"/>
  <c r="Q1370" i="3" s="1"/>
  <c r="Q1371" i="3" a="1"/>
  <c r="Q1371" i="3" s="1"/>
  <c r="Q1372" i="3" a="1"/>
  <c r="Q1372" i="3" s="1"/>
  <c r="Q1373" i="3" a="1"/>
  <c r="Q1373" i="3" s="1"/>
  <c r="Q1374" i="3" a="1"/>
  <c r="Q1374" i="3" s="1"/>
  <c r="Q1375" i="3" a="1"/>
  <c r="Q1375" i="3" s="1"/>
  <c r="Q1376" i="3" a="1"/>
  <c r="Q1376" i="3" s="1"/>
  <c r="Q1377" i="3" a="1"/>
  <c r="Q1377" i="3" s="1"/>
  <c r="Q1378" i="3" a="1"/>
  <c r="Q1378" i="3" s="1"/>
  <c r="Q1379" i="3" a="1"/>
  <c r="Q1379" i="3" s="1"/>
  <c r="Q1380" i="3" a="1"/>
  <c r="Q1380" i="3" s="1"/>
  <c r="Q1381" i="3" a="1"/>
  <c r="Q1381" i="3" s="1"/>
  <c r="Q1382" i="3" a="1"/>
  <c r="Q1382" i="3" s="1"/>
  <c r="Q1383" i="3" a="1"/>
  <c r="Q1383" i="3" s="1"/>
  <c r="Q1384" i="3" a="1"/>
  <c r="Q1384" i="3" s="1"/>
  <c r="Q1385" i="3" a="1"/>
  <c r="Q1385" i="3" s="1"/>
  <c r="Q1386" i="3" a="1"/>
  <c r="Q1386" i="3" s="1"/>
  <c r="Q1387" i="3" a="1"/>
  <c r="Q1387" i="3" s="1"/>
  <c r="Q1388" i="3" a="1"/>
  <c r="Q1388" i="3" s="1"/>
  <c r="Q1389" i="3" a="1"/>
  <c r="Q1389" i="3" s="1"/>
  <c r="Q1390" i="3" a="1"/>
  <c r="Q1390" i="3" s="1"/>
  <c r="Q1391" i="3" a="1"/>
  <c r="Q1391" i="3" s="1"/>
  <c r="Q1392" i="3" a="1"/>
  <c r="Q1392" i="3" s="1"/>
  <c r="Q1393" i="3" a="1"/>
  <c r="Q1393" i="3" s="1"/>
  <c r="Q1394" i="3" a="1"/>
  <c r="Q1394" i="3" s="1"/>
  <c r="Q1395" i="3" a="1"/>
  <c r="Q1395" i="3" s="1"/>
  <c r="Q1396" i="3" a="1"/>
  <c r="Q1396" i="3" s="1"/>
  <c r="Q1397" i="3" a="1"/>
  <c r="Q1397" i="3" s="1"/>
  <c r="Q1398" i="3" a="1"/>
  <c r="Q1398" i="3" s="1"/>
  <c r="Q1399" i="3" a="1"/>
  <c r="Q1399" i="3" s="1"/>
  <c r="Q1400" i="3" a="1"/>
  <c r="Q1400" i="3" s="1"/>
  <c r="Q1401" i="3" a="1"/>
  <c r="Q1401" i="3" s="1"/>
  <c r="Q1402" i="3" a="1"/>
  <c r="Q1402" i="3" s="1"/>
  <c r="Q1403" i="3" a="1"/>
  <c r="Q1403" i="3" s="1"/>
  <c r="Q1404" i="3" a="1"/>
  <c r="Q1404" i="3" s="1"/>
  <c r="Q1405" i="3" a="1"/>
  <c r="Q1405" i="3" s="1"/>
  <c r="Q1406" i="3" a="1"/>
  <c r="Q1406" i="3" s="1"/>
  <c r="Q1407" i="3" a="1"/>
  <c r="Q1407" i="3" s="1"/>
  <c r="Q1408" i="3" a="1"/>
  <c r="Q1408" i="3" s="1"/>
  <c r="Q1409" i="3" a="1"/>
  <c r="Q1409" i="3" s="1"/>
  <c r="Q1410" i="3" a="1"/>
  <c r="Q1410" i="3" s="1"/>
  <c r="Q1411" i="3" a="1"/>
  <c r="Q1411" i="3" s="1"/>
  <c r="Q1412" i="3" a="1"/>
  <c r="Q1412" i="3" s="1"/>
  <c r="Q1413" i="3" a="1"/>
  <c r="Q1413" i="3" s="1"/>
  <c r="Q1414" i="3" a="1"/>
  <c r="Q1414" i="3" s="1"/>
  <c r="Q1415" i="3" a="1"/>
  <c r="Q1415" i="3" s="1"/>
  <c r="Q1416" i="3" a="1"/>
  <c r="Q1416" i="3" s="1"/>
  <c r="Q1417" i="3" a="1"/>
  <c r="Q1417" i="3" s="1"/>
  <c r="Q1418" i="3" a="1"/>
  <c r="Q1418" i="3" s="1"/>
  <c r="Q1419" i="3" a="1"/>
  <c r="Q1419" i="3" s="1"/>
  <c r="Q1420" i="3" a="1"/>
  <c r="Q1420" i="3" s="1"/>
  <c r="Q1421" i="3" a="1"/>
  <c r="Q1421" i="3" s="1"/>
  <c r="Q1422" i="3" a="1"/>
  <c r="Q1422" i="3" s="1"/>
  <c r="Q1423" i="3" a="1"/>
  <c r="Q1423" i="3" s="1"/>
  <c r="Q1424" i="3" a="1"/>
  <c r="Q1424" i="3" s="1"/>
  <c r="Q1425" i="3" a="1"/>
  <c r="Q1425" i="3" s="1"/>
  <c r="Q1426" i="3" a="1"/>
  <c r="Q1426" i="3" s="1"/>
  <c r="Q1427" i="3" a="1"/>
  <c r="Q1427" i="3" s="1"/>
  <c r="Q1428" i="3" a="1"/>
  <c r="Q1428" i="3" s="1"/>
  <c r="Q1429" i="3" a="1"/>
  <c r="Q1429" i="3" s="1"/>
  <c r="Q1430" i="3" a="1"/>
  <c r="Q1430" i="3" s="1"/>
  <c r="Q1431" i="3" a="1"/>
  <c r="Q1431" i="3" s="1"/>
  <c r="Q1432" i="3" a="1"/>
  <c r="Q1432" i="3" s="1"/>
  <c r="Q1433" i="3" a="1"/>
  <c r="Q1433" i="3" s="1"/>
  <c r="Q1434" i="3" a="1"/>
  <c r="Q1434" i="3" s="1"/>
  <c r="Q1435" i="3" a="1"/>
  <c r="Q1435" i="3" s="1"/>
  <c r="Q1436" i="3" a="1"/>
  <c r="Q1436" i="3" s="1"/>
  <c r="Q1437" i="3" a="1"/>
  <c r="Q1437" i="3" s="1"/>
  <c r="Q1438" i="3" a="1"/>
  <c r="Q1438" i="3" s="1"/>
  <c r="Q1439" i="3" a="1"/>
  <c r="Q1439" i="3" s="1"/>
  <c r="Q1440" i="3" a="1"/>
  <c r="Q1440" i="3" s="1"/>
  <c r="Q1441" i="3" a="1"/>
  <c r="Q1441" i="3" s="1"/>
  <c r="Q1442" i="3" a="1"/>
  <c r="Q1442" i="3" s="1"/>
  <c r="Q1443" i="3" a="1"/>
  <c r="Q1443" i="3" s="1"/>
  <c r="Q1444" i="3" a="1"/>
  <c r="Q1444" i="3" s="1"/>
  <c r="Q1445" i="3" a="1"/>
  <c r="Q1445" i="3" s="1"/>
  <c r="Q1446" i="3" a="1"/>
  <c r="Q1446" i="3" s="1"/>
  <c r="Q1447" i="3" a="1"/>
  <c r="Q1447" i="3" s="1"/>
  <c r="Q1448" i="3" a="1"/>
  <c r="Q1448" i="3" s="1"/>
  <c r="Q1449" i="3" a="1"/>
  <c r="Q1449" i="3" s="1"/>
  <c r="Q1450" i="3" a="1"/>
  <c r="Q1450" i="3" s="1"/>
  <c r="Q1451" i="3" a="1"/>
  <c r="Q1451" i="3" s="1"/>
  <c r="Q1452" i="3" a="1"/>
  <c r="Q1452" i="3" s="1"/>
  <c r="Q1453" i="3" a="1"/>
  <c r="Q1453" i="3" s="1"/>
  <c r="Q1454" i="3" a="1"/>
  <c r="Q1454" i="3" s="1"/>
  <c r="Q1455" i="3" a="1"/>
  <c r="Q1455" i="3" s="1"/>
  <c r="Q1456" i="3" a="1"/>
  <c r="Q1456" i="3" s="1"/>
  <c r="Q1457" i="3" a="1"/>
  <c r="Q1457" i="3" s="1"/>
  <c r="Q1458" i="3" a="1"/>
  <c r="Q1458" i="3" s="1"/>
  <c r="Q1459" i="3" a="1"/>
  <c r="Q1459" i="3" s="1"/>
  <c r="Q1460" i="3" a="1"/>
  <c r="Q1460" i="3" s="1"/>
  <c r="Q1461" i="3" a="1"/>
  <c r="Q1461" i="3" s="1"/>
  <c r="Q1462" i="3" a="1"/>
  <c r="Q1462" i="3" s="1"/>
  <c r="Q1463" i="3" a="1"/>
  <c r="Q1463" i="3" s="1"/>
  <c r="Q1464" i="3" a="1"/>
  <c r="Q1464" i="3" s="1"/>
  <c r="Q1465" i="3" a="1"/>
  <c r="Q1465" i="3" s="1"/>
  <c r="Q1466" i="3" a="1"/>
  <c r="Q1466" i="3" s="1"/>
  <c r="Q1467" i="3" a="1"/>
  <c r="Q1467" i="3" s="1"/>
  <c r="Q1468" i="3" a="1"/>
  <c r="Q1468" i="3" s="1"/>
  <c r="Q1469" i="3" a="1"/>
  <c r="Q1469" i="3" s="1"/>
  <c r="Q1470" i="3" a="1"/>
  <c r="Q1470" i="3" s="1"/>
  <c r="Q1471" i="3" a="1"/>
  <c r="Q1471" i="3" s="1"/>
  <c r="Q1472" i="3" a="1"/>
  <c r="Q1472" i="3" s="1"/>
  <c r="Q1473" i="3" a="1"/>
  <c r="Q1473" i="3" s="1"/>
  <c r="Q1474" i="3" a="1"/>
  <c r="Q1474" i="3" s="1"/>
  <c r="Q1475" i="3" a="1"/>
  <c r="Q1475" i="3" s="1"/>
  <c r="Q1476" i="3" a="1"/>
  <c r="Q1476" i="3" s="1"/>
  <c r="Q1477" i="3" a="1"/>
  <c r="Q1477" i="3" s="1"/>
  <c r="Q1478" i="3" a="1"/>
  <c r="Q1478" i="3" s="1"/>
  <c r="Q1479" i="3" a="1"/>
  <c r="Q1479" i="3" s="1"/>
  <c r="Q1480" i="3" a="1"/>
  <c r="Q1480" i="3" s="1"/>
  <c r="Q1481" i="3" a="1"/>
  <c r="Q1481" i="3" s="1"/>
  <c r="Q1482" i="3" a="1"/>
  <c r="Q1482" i="3" s="1"/>
  <c r="Q1483" i="3" a="1"/>
  <c r="Q1483" i="3" s="1"/>
  <c r="Q1484" i="3" a="1"/>
  <c r="Q1484" i="3" s="1"/>
  <c r="Q1485" i="3" a="1"/>
  <c r="Q1485" i="3" s="1"/>
  <c r="Q1486" i="3" a="1"/>
  <c r="Q1486" i="3" s="1"/>
  <c r="Q1487" i="3" a="1"/>
  <c r="Q1487" i="3" s="1"/>
  <c r="Q1488" i="3" a="1"/>
  <c r="Q1488" i="3" s="1"/>
  <c r="Q1489" i="3" a="1"/>
  <c r="Q1489" i="3" s="1"/>
  <c r="Q1490" i="3" a="1"/>
  <c r="Q1490" i="3" s="1"/>
  <c r="Q1491" i="3" a="1"/>
  <c r="Q1491" i="3" s="1"/>
  <c r="Q1492" i="3" a="1"/>
  <c r="Q1492" i="3" s="1"/>
  <c r="Q1493" i="3" a="1"/>
  <c r="Q1493" i="3" s="1"/>
  <c r="Q1494" i="3" a="1"/>
  <c r="Q1494" i="3" s="1"/>
  <c r="Q1495" i="3" a="1"/>
  <c r="Q1495" i="3" s="1"/>
  <c r="Q1496" i="3" a="1"/>
  <c r="Q1496" i="3" s="1"/>
  <c r="Q1497" i="3" a="1"/>
  <c r="Q1497" i="3" s="1"/>
  <c r="Q1498" i="3" a="1"/>
  <c r="Q1498" i="3" s="1"/>
  <c r="Q1499" i="3" a="1"/>
  <c r="Q1499" i="3" s="1"/>
  <c r="Q1500" i="3" a="1"/>
  <c r="Q1500" i="3" s="1"/>
  <c r="Q1501" i="3" a="1"/>
  <c r="Q1501" i="3" s="1"/>
  <c r="Q1502" i="3" a="1"/>
  <c r="Q1502" i="3" s="1"/>
  <c r="Q1503" i="3" a="1"/>
  <c r="Q1503" i="3" s="1"/>
  <c r="Q1504" i="3" a="1"/>
  <c r="Q1504" i="3" s="1"/>
  <c r="Q1505" i="3" a="1"/>
  <c r="Q1505" i="3" s="1"/>
  <c r="Q1506" i="3" a="1"/>
  <c r="Q1506" i="3" s="1"/>
  <c r="Q1507" i="3" a="1"/>
  <c r="Q1507" i="3" s="1"/>
  <c r="Q1508" i="3" a="1"/>
  <c r="Q1508" i="3" s="1"/>
  <c r="Q1509" i="3" a="1"/>
  <c r="Q1509" i="3" s="1"/>
  <c r="Q1510" i="3" a="1"/>
  <c r="Q1510" i="3" s="1"/>
  <c r="Q1511" i="3" a="1"/>
  <c r="Q1511" i="3" s="1"/>
  <c r="Q1512" i="3" a="1"/>
  <c r="Q1512" i="3" s="1"/>
  <c r="Q1513" i="3" a="1"/>
  <c r="Q1513" i="3" s="1"/>
  <c r="Q1514" i="3" a="1"/>
  <c r="Q1514" i="3" s="1"/>
  <c r="Q1515" i="3" a="1"/>
  <c r="Q1515" i="3" s="1"/>
  <c r="Q1516" i="3" a="1"/>
  <c r="Q1516" i="3" s="1"/>
  <c r="Q1517" i="3" a="1"/>
  <c r="Q1517" i="3" s="1"/>
  <c r="Q1518" i="3" a="1"/>
  <c r="Q1518" i="3" s="1"/>
  <c r="Q1519" i="3" a="1"/>
  <c r="Q1519" i="3" s="1"/>
  <c r="Q1520" i="3" a="1"/>
  <c r="Q1520" i="3" s="1"/>
  <c r="Q1521" i="3" a="1"/>
  <c r="Q1521" i="3" s="1"/>
  <c r="Q1522" i="3" a="1"/>
  <c r="Q1522" i="3" s="1"/>
  <c r="Q1523" i="3" a="1"/>
  <c r="Q1523" i="3" s="1"/>
  <c r="Q1524" i="3" a="1"/>
  <c r="Q1524" i="3" s="1"/>
  <c r="Q1525" i="3" a="1"/>
  <c r="Q1525" i="3" s="1"/>
  <c r="Q1526" i="3" a="1"/>
  <c r="Q1526" i="3" s="1"/>
  <c r="Q1527" i="3" a="1"/>
  <c r="Q1527" i="3" s="1"/>
  <c r="Q1528" i="3" a="1"/>
  <c r="Q1528" i="3" s="1"/>
  <c r="Q1529" i="3" a="1"/>
  <c r="Q1529" i="3" s="1"/>
  <c r="Q1530" i="3" a="1"/>
  <c r="Q1530" i="3" s="1"/>
  <c r="Q1531" i="3" a="1"/>
  <c r="Q1531" i="3" s="1"/>
  <c r="Q1532" i="3" a="1"/>
  <c r="Q1532" i="3" s="1"/>
  <c r="Q1533" i="3" a="1"/>
  <c r="Q1533" i="3" s="1"/>
  <c r="Q1534" i="3" a="1"/>
  <c r="Q1534" i="3" s="1"/>
  <c r="Q1535" i="3" a="1"/>
  <c r="Q1535" i="3" s="1"/>
  <c r="Q1536" i="3" a="1"/>
  <c r="Q1536" i="3" s="1"/>
  <c r="Q1537" i="3" a="1"/>
  <c r="Q1537" i="3" s="1"/>
  <c r="Q1538" i="3" a="1"/>
  <c r="Q1538" i="3" s="1"/>
  <c r="Q1539" i="3" a="1"/>
  <c r="Q1539" i="3" s="1"/>
  <c r="Q1540" i="3" a="1"/>
  <c r="Q1540" i="3" s="1"/>
  <c r="Q1541" i="3" a="1"/>
  <c r="Q1541" i="3" s="1"/>
  <c r="Q1542" i="3" a="1"/>
  <c r="Q1542" i="3" s="1"/>
  <c r="Q1543" i="3" a="1"/>
  <c r="Q1543" i="3" s="1"/>
  <c r="Q1544" i="3" a="1"/>
  <c r="Q1544" i="3" s="1"/>
  <c r="Q1545" i="3" a="1"/>
  <c r="Q1545" i="3" s="1"/>
  <c r="Q1546" i="3" a="1"/>
  <c r="Q1546" i="3" s="1"/>
  <c r="Q1547" i="3" a="1"/>
  <c r="Q1547" i="3" s="1"/>
  <c r="Q1548" i="3" a="1"/>
  <c r="Q1548" i="3" s="1"/>
  <c r="Q1549" i="3" a="1"/>
  <c r="Q1549" i="3" s="1"/>
  <c r="Q1550" i="3" a="1"/>
  <c r="Q1550" i="3" s="1"/>
  <c r="Q1551" i="3" a="1"/>
  <c r="Q1551" i="3" s="1"/>
  <c r="Q1552" i="3" a="1"/>
  <c r="Q1552" i="3" s="1"/>
  <c r="Q1553" i="3" a="1"/>
  <c r="Q1553" i="3" s="1"/>
  <c r="Q1554" i="3" a="1"/>
  <c r="Q1554" i="3" s="1"/>
  <c r="Q1555" i="3" a="1"/>
  <c r="Q1555" i="3" s="1"/>
  <c r="Q1556" i="3" a="1"/>
  <c r="Q1556" i="3" s="1"/>
  <c r="Q1557" i="3" a="1"/>
  <c r="Q1557" i="3" s="1"/>
  <c r="Q1558" i="3" a="1"/>
  <c r="Q1558" i="3" s="1"/>
  <c r="Q1559" i="3" a="1"/>
  <c r="Q1559" i="3" s="1"/>
  <c r="Q1560" i="3" a="1"/>
  <c r="Q1560" i="3" s="1"/>
  <c r="Q1561" i="3" a="1"/>
  <c r="Q1561" i="3" s="1"/>
  <c r="Q1562" i="3" a="1"/>
  <c r="Q1562" i="3" s="1"/>
  <c r="Q1563" i="3" a="1"/>
  <c r="Q1563" i="3" s="1"/>
  <c r="Q1564" i="3" a="1"/>
  <c r="Q1564" i="3" s="1"/>
  <c r="Q1565" i="3" a="1"/>
  <c r="Q1565" i="3" s="1"/>
  <c r="Q1566" i="3" a="1"/>
  <c r="Q1566" i="3" s="1"/>
  <c r="Q1567" i="3" a="1"/>
  <c r="Q1567" i="3" s="1"/>
  <c r="Q1568" i="3" a="1"/>
  <c r="Q1568" i="3" s="1"/>
  <c r="Q1569" i="3" a="1"/>
  <c r="Q1569" i="3" s="1"/>
  <c r="Q1570" i="3" a="1"/>
  <c r="Q1570" i="3" s="1"/>
  <c r="Q1571" i="3" a="1"/>
  <c r="Q1571" i="3" s="1"/>
  <c r="Q1572" i="3" a="1"/>
  <c r="Q1572" i="3" s="1"/>
  <c r="Q1573" i="3" a="1"/>
  <c r="Q1573" i="3" s="1"/>
  <c r="Q1574" i="3" a="1"/>
  <c r="Q1574" i="3" s="1"/>
  <c r="Q1575" i="3" a="1"/>
  <c r="Q1575" i="3" s="1"/>
  <c r="Q1576" i="3" a="1"/>
  <c r="Q1576" i="3" s="1"/>
  <c r="Q1577" i="3" a="1"/>
  <c r="Q1577" i="3" s="1"/>
  <c r="Q1578" i="3" a="1"/>
  <c r="Q1578" i="3" s="1"/>
  <c r="Q1579" i="3" a="1"/>
  <c r="Q1579" i="3" s="1"/>
  <c r="Q1580" i="3" a="1"/>
  <c r="Q1580" i="3" s="1"/>
  <c r="Q1581" i="3" a="1"/>
  <c r="Q1581" i="3" s="1"/>
  <c r="Q1582" i="3" a="1"/>
  <c r="Q1582" i="3" s="1"/>
  <c r="Q1583" i="3" a="1"/>
  <c r="Q1583" i="3" s="1"/>
  <c r="Q1584" i="3" a="1"/>
  <c r="Q1584" i="3" s="1"/>
  <c r="Q1585" i="3" a="1"/>
  <c r="Q1585" i="3" s="1"/>
  <c r="Q1586" i="3" a="1"/>
  <c r="Q1586" i="3" s="1"/>
  <c r="Q1587" i="3" a="1"/>
  <c r="Q1587" i="3" s="1"/>
  <c r="Q1588" i="3" a="1"/>
  <c r="Q1588" i="3" s="1"/>
  <c r="Q1589" i="3" a="1"/>
  <c r="Q1589" i="3" s="1"/>
  <c r="Q1590" i="3" a="1"/>
  <c r="Q1590" i="3" s="1"/>
  <c r="Q1591" i="3" a="1"/>
  <c r="Q1591" i="3" s="1"/>
  <c r="Q1592" i="3" a="1"/>
  <c r="Q1592" i="3" s="1"/>
  <c r="Q1593" i="3" a="1"/>
  <c r="Q1593" i="3" s="1"/>
  <c r="Q1594" i="3" a="1"/>
  <c r="Q1594" i="3" s="1"/>
  <c r="Q1595" i="3" a="1"/>
  <c r="Q1595" i="3" s="1"/>
  <c r="Q1596" i="3" a="1"/>
  <c r="Q1596" i="3" s="1"/>
  <c r="Q1597" i="3" a="1"/>
  <c r="Q1597" i="3" s="1"/>
  <c r="Q1598" i="3" a="1"/>
  <c r="Q1598" i="3" s="1"/>
  <c r="Q1599" i="3" a="1"/>
  <c r="Q1599" i="3" s="1"/>
  <c r="Q1600" i="3" a="1"/>
  <c r="Q1600" i="3" s="1"/>
  <c r="Q1601" i="3" a="1"/>
  <c r="Q1601" i="3" s="1"/>
  <c r="Q1602" i="3" a="1"/>
  <c r="Q1602" i="3" s="1"/>
  <c r="Q1603" i="3" a="1"/>
  <c r="Q1603" i="3" s="1"/>
  <c r="Q1604" i="3" a="1"/>
  <c r="Q1604" i="3" s="1"/>
  <c r="Q1605" i="3" a="1"/>
  <c r="Q1605" i="3" s="1"/>
  <c r="Q1606" i="3" a="1"/>
  <c r="Q1606" i="3" s="1"/>
  <c r="Q1607" i="3" a="1"/>
  <c r="Q1607" i="3" s="1"/>
  <c r="Q1608" i="3" a="1"/>
  <c r="Q1608" i="3" s="1"/>
  <c r="Q1609" i="3" a="1"/>
  <c r="Q1609" i="3" s="1"/>
  <c r="Q1610" i="3" a="1"/>
  <c r="Q1610" i="3" s="1"/>
  <c r="Q1611" i="3" a="1"/>
  <c r="Q1611" i="3" s="1"/>
  <c r="Q1612" i="3" a="1"/>
  <c r="Q1612" i="3" s="1"/>
  <c r="Q1613" i="3" a="1"/>
  <c r="Q1613" i="3" s="1"/>
  <c r="Q1614" i="3" a="1"/>
  <c r="Q1614" i="3" s="1"/>
  <c r="Q1615" i="3" a="1"/>
  <c r="Q1615" i="3" s="1"/>
  <c r="Q1616" i="3" a="1"/>
  <c r="Q1616" i="3" s="1"/>
  <c r="Q1617" i="3" a="1"/>
  <c r="Q1617" i="3" s="1"/>
  <c r="Q1618" i="3" a="1"/>
  <c r="Q1618" i="3" s="1"/>
  <c r="Q1619" i="3" a="1"/>
  <c r="Q1619" i="3" s="1"/>
  <c r="Q1620" i="3" a="1"/>
  <c r="Q1620" i="3" s="1"/>
  <c r="Q1621" i="3" a="1"/>
  <c r="Q1621" i="3" s="1"/>
  <c r="Q1622" i="3" a="1"/>
  <c r="Q1622" i="3" s="1"/>
  <c r="Q1623" i="3" a="1"/>
  <c r="Q1623" i="3" s="1"/>
  <c r="Q1624" i="3" a="1"/>
  <c r="Q1624" i="3" s="1"/>
  <c r="Q1625" i="3" a="1"/>
  <c r="Q1625" i="3" s="1"/>
  <c r="Q1626" i="3" a="1"/>
  <c r="Q1626" i="3" s="1"/>
  <c r="Q1627" i="3" a="1"/>
  <c r="Q1627" i="3" s="1"/>
  <c r="Q1628" i="3" a="1"/>
  <c r="Q1628" i="3" s="1"/>
  <c r="Q1629" i="3" a="1"/>
  <c r="Q1629" i="3" s="1"/>
  <c r="Q1630" i="3" a="1"/>
  <c r="Q1630" i="3" s="1"/>
  <c r="Q1631" i="3" a="1"/>
  <c r="Q1631" i="3" s="1"/>
  <c r="Q1632" i="3" a="1"/>
  <c r="Q1632" i="3" s="1"/>
  <c r="Q1633" i="3" a="1"/>
  <c r="Q1633" i="3" s="1"/>
  <c r="Q1634" i="3" a="1"/>
  <c r="Q1634" i="3" s="1"/>
  <c r="Q1635" i="3" a="1"/>
  <c r="Q1635" i="3" s="1"/>
  <c r="Q1636" i="3" a="1"/>
  <c r="Q1636" i="3" s="1"/>
  <c r="Q1637" i="3" a="1"/>
  <c r="Q1637" i="3" s="1"/>
  <c r="Q1638" i="3" a="1"/>
  <c r="Q1638" i="3" s="1"/>
  <c r="Q1639" i="3" a="1"/>
  <c r="Q1639" i="3" s="1"/>
  <c r="Q1640" i="3" a="1"/>
  <c r="Q1640" i="3" s="1"/>
  <c r="Q1641" i="3" a="1"/>
  <c r="Q1641" i="3" s="1"/>
  <c r="Q1642" i="3" a="1"/>
  <c r="Q1642" i="3" s="1"/>
  <c r="Q1643" i="3" a="1"/>
  <c r="Q1643" i="3" s="1"/>
  <c r="Q1644" i="3" a="1"/>
  <c r="Q1644" i="3" s="1"/>
  <c r="Q1645" i="3" a="1"/>
  <c r="Q1645" i="3" s="1"/>
  <c r="Q1646" i="3" a="1"/>
  <c r="Q1646" i="3" s="1"/>
  <c r="Q1647" i="3" a="1"/>
  <c r="Q1647" i="3" s="1"/>
  <c r="Q1648" i="3" a="1"/>
  <c r="Q1648" i="3" s="1"/>
  <c r="Q1649" i="3" a="1"/>
  <c r="Q1649" i="3" s="1"/>
  <c r="Q1650" i="3" a="1"/>
  <c r="Q1650" i="3" s="1"/>
  <c r="Q1651" i="3" a="1"/>
  <c r="Q1651" i="3" s="1"/>
  <c r="Q1652" i="3" a="1"/>
  <c r="Q1652" i="3" s="1"/>
  <c r="Q1653" i="3" a="1"/>
  <c r="Q1653" i="3" s="1"/>
  <c r="Q1654" i="3" a="1"/>
  <c r="Q1654" i="3" s="1"/>
  <c r="Q1655" i="3" a="1"/>
  <c r="Q1655" i="3" s="1"/>
  <c r="Q1656" i="3" a="1"/>
  <c r="Q1656" i="3" s="1"/>
  <c r="Q1657" i="3" a="1"/>
  <c r="Q1657" i="3" s="1"/>
  <c r="Q1658" i="3" a="1"/>
  <c r="Q1658" i="3" s="1"/>
  <c r="Q1659" i="3" a="1"/>
  <c r="Q1659" i="3" s="1"/>
  <c r="Q1660" i="3" a="1"/>
  <c r="Q1660" i="3" s="1"/>
  <c r="Q1661" i="3" a="1"/>
  <c r="Q1661" i="3" s="1"/>
  <c r="Q1662" i="3" a="1"/>
  <c r="Q1662" i="3" s="1"/>
  <c r="Q1663" i="3" a="1"/>
  <c r="Q1663" i="3" s="1"/>
  <c r="Q1664" i="3" a="1"/>
  <c r="Q1664" i="3" s="1"/>
  <c r="Q1665" i="3" a="1"/>
  <c r="Q1665" i="3" s="1"/>
  <c r="Q1666" i="3" a="1"/>
  <c r="Q1666" i="3" s="1"/>
  <c r="Q1667" i="3" a="1"/>
  <c r="Q1667" i="3" s="1"/>
  <c r="Q1668" i="3" a="1"/>
  <c r="Q1668" i="3" s="1"/>
  <c r="Q1669" i="3" a="1"/>
  <c r="Q1669" i="3" s="1"/>
  <c r="Q1670" i="3" a="1"/>
  <c r="Q1670" i="3" s="1"/>
  <c r="Q1671" i="3" a="1"/>
  <c r="Q1671" i="3" s="1"/>
  <c r="Q1672" i="3" a="1"/>
  <c r="Q1672" i="3" s="1"/>
  <c r="Q1673" i="3" a="1"/>
  <c r="Q1673" i="3" s="1"/>
  <c r="Q1674" i="3" a="1"/>
  <c r="Q1674" i="3" s="1"/>
  <c r="Q1675" i="3" a="1"/>
  <c r="Q1675" i="3" s="1"/>
  <c r="Q1676" i="3" a="1"/>
  <c r="Q1676" i="3" s="1"/>
  <c r="Q1677" i="3" a="1"/>
  <c r="Q1677" i="3" s="1"/>
  <c r="Q1678" i="3" a="1"/>
  <c r="Q1678" i="3" s="1"/>
  <c r="Q1679" i="3" a="1"/>
  <c r="Q1679" i="3" s="1"/>
  <c r="Q1680" i="3" a="1"/>
  <c r="Q1680" i="3" s="1"/>
  <c r="Q1681" i="3" a="1"/>
  <c r="Q1681" i="3" s="1"/>
  <c r="Q1682" i="3" a="1"/>
  <c r="Q1682" i="3" s="1"/>
  <c r="Q1683" i="3" a="1"/>
  <c r="Q1683" i="3" s="1"/>
  <c r="Q1684" i="3" a="1"/>
  <c r="Q1684" i="3" s="1"/>
  <c r="Q1685" i="3" a="1"/>
  <c r="Q1685" i="3" s="1"/>
  <c r="Q1686" i="3" a="1"/>
  <c r="Q1686" i="3" s="1"/>
  <c r="Q1687" i="3" a="1"/>
  <c r="Q1687" i="3" s="1"/>
  <c r="Q1688" i="3" a="1"/>
  <c r="Q1688" i="3" s="1"/>
  <c r="Q1689" i="3" a="1"/>
  <c r="Q1689" i="3" s="1"/>
  <c r="Q1690" i="3" a="1"/>
  <c r="Q1690" i="3" s="1"/>
  <c r="Q1691" i="3" a="1"/>
  <c r="Q1691" i="3" s="1"/>
  <c r="Q1692" i="3" a="1"/>
  <c r="Q1692" i="3" s="1"/>
  <c r="Q1693" i="3" a="1"/>
  <c r="Q1693" i="3" s="1"/>
  <c r="Q1694" i="3" a="1"/>
  <c r="Q1694" i="3" s="1"/>
  <c r="Q1695" i="3" a="1"/>
  <c r="Q1695" i="3" s="1"/>
  <c r="Q1696" i="3" a="1"/>
  <c r="Q1696" i="3" s="1"/>
  <c r="Q1697" i="3" a="1"/>
  <c r="Q1697" i="3" s="1"/>
  <c r="Q1698" i="3" a="1"/>
  <c r="Q1698" i="3" s="1"/>
  <c r="Q1699" i="3" a="1"/>
  <c r="Q1699" i="3" s="1"/>
  <c r="Q1700" i="3" a="1"/>
  <c r="Q1700" i="3" s="1"/>
  <c r="Q1701" i="3" a="1"/>
  <c r="Q1701" i="3" s="1"/>
  <c r="Q1702" i="3" a="1"/>
  <c r="Q1702" i="3" s="1"/>
  <c r="Q1703" i="3" a="1"/>
  <c r="Q1703" i="3" s="1"/>
  <c r="Q1704" i="3" a="1"/>
  <c r="Q1704" i="3" s="1"/>
  <c r="Q1705" i="3" a="1"/>
  <c r="Q1705" i="3" s="1"/>
  <c r="Q1706" i="3" a="1"/>
  <c r="Q1706" i="3" s="1"/>
  <c r="Q1707" i="3" a="1"/>
  <c r="Q1707" i="3" s="1"/>
  <c r="Q1708" i="3" a="1"/>
  <c r="Q1708" i="3" s="1"/>
  <c r="Q1709" i="3" a="1"/>
  <c r="Q1709" i="3" s="1"/>
  <c r="Q1710" i="3" a="1"/>
  <c r="Q1710" i="3" s="1"/>
  <c r="Q1711" i="3" a="1"/>
  <c r="Q1711" i="3" s="1"/>
  <c r="Q1712" i="3" a="1"/>
  <c r="Q1712" i="3" s="1"/>
  <c r="Q1713" i="3" a="1"/>
  <c r="Q1713" i="3" s="1"/>
  <c r="Q1714" i="3" a="1"/>
  <c r="Q1714" i="3" s="1"/>
  <c r="Q1715" i="3" a="1"/>
  <c r="Q1715" i="3" s="1"/>
  <c r="Q1716" i="3" a="1"/>
  <c r="Q1716" i="3" s="1"/>
  <c r="Q1717" i="3" a="1"/>
  <c r="Q1717" i="3" s="1"/>
  <c r="Q1718" i="3" a="1"/>
  <c r="Q1718" i="3" s="1"/>
  <c r="Q1719" i="3" a="1"/>
  <c r="Q1719" i="3" s="1"/>
  <c r="Q1720" i="3" a="1"/>
  <c r="Q1720" i="3" s="1"/>
  <c r="Q1721" i="3" a="1"/>
  <c r="Q1721" i="3" s="1"/>
  <c r="Q1722" i="3" a="1"/>
  <c r="Q1722" i="3" s="1"/>
  <c r="Q1723" i="3" a="1"/>
  <c r="Q1723" i="3" s="1"/>
  <c r="Q1724" i="3" a="1"/>
  <c r="Q1724" i="3" s="1"/>
  <c r="Q1725" i="3" a="1"/>
  <c r="Q1725" i="3" s="1"/>
  <c r="Q1726" i="3" a="1"/>
  <c r="Q1726" i="3" s="1"/>
  <c r="Q1727" i="3" a="1"/>
  <c r="Q1727" i="3" s="1"/>
  <c r="Q1728" i="3" a="1"/>
  <c r="Q1728" i="3" s="1"/>
  <c r="Q1729" i="3" a="1"/>
  <c r="Q1729" i="3" s="1"/>
  <c r="Q1730" i="3" a="1"/>
  <c r="Q1730" i="3" s="1"/>
  <c r="Q1731" i="3" a="1"/>
  <c r="Q1731" i="3" s="1"/>
  <c r="Q1732" i="3" a="1"/>
  <c r="Q1732" i="3" s="1"/>
  <c r="Q1733" i="3" a="1"/>
  <c r="Q1733" i="3" s="1"/>
  <c r="Q1734" i="3" a="1"/>
  <c r="Q1734" i="3" s="1"/>
  <c r="Q1735" i="3" a="1"/>
  <c r="Q1735" i="3" s="1"/>
  <c r="Q1736" i="3" a="1"/>
  <c r="Q1736" i="3" s="1"/>
  <c r="Q1737" i="3" a="1"/>
  <c r="Q1737" i="3" s="1"/>
  <c r="Q1738" i="3" a="1"/>
  <c r="Q1738" i="3" s="1"/>
  <c r="Q1739" i="3" a="1"/>
  <c r="Q1739" i="3" s="1"/>
  <c r="Q1740" i="3" a="1"/>
  <c r="Q1740" i="3" s="1"/>
  <c r="Q1741" i="3" a="1"/>
  <c r="Q1741" i="3" s="1"/>
  <c r="Q1742" i="3" a="1"/>
  <c r="Q1742" i="3" s="1"/>
  <c r="Q1743" i="3" a="1"/>
  <c r="Q1743" i="3" s="1"/>
  <c r="Q1744" i="3" a="1"/>
  <c r="Q1744" i="3" s="1"/>
  <c r="Q1745" i="3" a="1"/>
  <c r="Q1745" i="3" s="1"/>
  <c r="Q1746" i="3" a="1"/>
  <c r="Q1746" i="3" s="1"/>
  <c r="Q1747" i="3" a="1"/>
  <c r="Q1747" i="3" s="1"/>
  <c r="Q1748" i="3" a="1"/>
  <c r="Q1748" i="3" s="1"/>
  <c r="Q1749" i="3" a="1"/>
  <c r="Q1749" i="3" s="1"/>
  <c r="Q1750" i="3" a="1"/>
  <c r="Q1750" i="3" s="1"/>
  <c r="Q1751" i="3" a="1"/>
  <c r="Q1751" i="3" s="1"/>
  <c r="Q1752" i="3" a="1"/>
  <c r="Q1752" i="3" s="1"/>
  <c r="Q1753" i="3" a="1"/>
  <c r="Q1753" i="3" s="1"/>
  <c r="Q1754" i="3" a="1"/>
  <c r="Q1754" i="3" s="1"/>
  <c r="Q1755" i="3" a="1"/>
  <c r="Q1755" i="3" s="1"/>
  <c r="Q1756" i="3" a="1"/>
  <c r="Q1756" i="3" s="1"/>
  <c r="Q1757" i="3" a="1"/>
  <c r="Q1757" i="3" s="1"/>
  <c r="Q1758" i="3" a="1"/>
  <c r="Q1758" i="3" s="1"/>
  <c r="Q1759" i="3" a="1"/>
  <c r="Q1759" i="3" s="1"/>
  <c r="Q1760" i="3" a="1"/>
  <c r="Q1760" i="3" s="1"/>
  <c r="Q1761" i="3" a="1"/>
  <c r="Q1761" i="3" s="1"/>
  <c r="Q1762" i="3" a="1"/>
  <c r="Q1762" i="3" s="1"/>
  <c r="Q1763" i="3" a="1"/>
  <c r="Q1763" i="3" s="1"/>
  <c r="Q1764" i="3" a="1"/>
  <c r="Q1764" i="3" s="1"/>
  <c r="Q1765" i="3" a="1"/>
  <c r="Q1765" i="3" s="1"/>
  <c r="Q1766" i="3" a="1"/>
  <c r="Q1766" i="3" s="1"/>
  <c r="Q1767" i="3" a="1"/>
  <c r="Q1767" i="3" s="1"/>
  <c r="Q1768" i="3" a="1"/>
  <c r="Q1768" i="3" s="1"/>
  <c r="Q1769" i="3" a="1"/>
  <c r="Q1769" i="3" s="1"/>
  <c r="Q1770" i="3" a="1"/>
  <c r="Q1770" i="3" s="1"/>
  <c r="Q1771" i="3" a="1"/>
  <c r="Q1771" i="3" s="1"/>
  <c r="Q1772" i="3" a="1"/>
  <c r="Q1772" i="3" s="1"/>
  <c r="Q1773" i="3" a="1"/>
  <c r="Q1773" i="3" s="1"/>
  <c r="Q1774" i="3" a="1"/>
  <c r="Q1774" i="3" s="1"/>
  <c r="Q1775" i="3" a="1"/>
  <c r="Q1775" i="3" s="1"/>
  <c r="Q1776" i="3" a="1"/>
  <c r="Q1776" i="3" s="1"/>
  <c r="Q1777" i="3" a="1"/>
  <c r="Q1777" i="3" s="1"/>
  <c r="Q1778" i="3" a="1"/>
  <c r="Q1778" i="3" s="1"/>
  <c r="Q1779" i="3" a="1"/>
  <c r="Q1779" i="3" s="1"/>
  <c r="Q1780" i="3" a="1"/>
  <c r="Q1780" i="3" s="1"/>
  <c r="Q1781" i="3" a="1"/>
  <c r="Q1781" i="3" s="1"/>
  <c r="Q1782" i="3" a="1"/>
  <c r="Q1782" i="3" s="1"/>
  <c r="Q1783" i="3" a="1"/>
  <c r="Q1783" i="3" s="1"/>
  <c r="Q1784" i="3" a="1"/>
  <c r="Q1784" i="3" s="1"/>
  <c r="Q1785" i="3" a="1"/>
  <c r="Q1785" i="3" s="1"/>
  <c r="Q1786" i="3" a="1"/>
  <c r="Q1786" i="3" s="1"/>
  <c r="Q1787" i="3" a="1"/>
  <c r="Q1787" i="3" s="1"/>
  <c r="Q1788" i="3" a="1"/>
  <c r="Q1788" i="3" s="1"/>
  <c r="Q1789" i="3" a="1"/>
  <c r="Q1789" i="3" s="1"/>
  <c r="Q1790" i="3" a="1"/>
  <c r="Q1790" i="3" s="1"/>
  <c r="Q1791" i="3" a="1"/>
  <c r="Q1791" i="3" s="1"/>
  <c r="Q1792" i="3" a="1"/>
  <c r="Q1792" i="3" s="1"/>
  <c r="Q1793" i="3" a="1"/>
  <c r="Q1793" i="3" s="1"/>
  <c r="Q1794" i="3" a="1"/>
  <c r="Q1794" i="3" s="1"/>
  <c r="Q1795" i="3" a="1"/>
  <c r="Q1795" i="3" s="1"/>
  <c r="Q1796" i="3" a="1"/>
  <c r="Q1796" i="3" s="1"/>
  <c r="Q1797" i="3" a="1"/>
  <c r="Q1797" i="3" s="1"/>
  <c r="Q1798" i="3" a="1"/>
  <c r="Q1798" i="3" s="1"/>
  <c r="Q1799" i="3" a="1"/>
  <c r="Q1799" i="3" s="1"/>
  <c r="Q1800" i="3" a="1"/>
  <c r="Q1800" i="3" s="1"/>
  <c r="Q1801" i="3" a="1"/>
  <c r="Q1801" i="3" s="1"/>
  <c r="Q1802" i="3" a="1"/>
  <c r="Q1802" i="3" s="1"/>
  <c r="Q1803" i="3" a="1"/>
  <c r="Q1803" i="3" s="1"/>
  <c r="Q1804" i="3" a="1"/>
  <c r="Q1804" i="3" s="1"/>
  <c r="Q1805" i="3" a="1"/>
  <c r="Q1805" i="3" s="1"/>
  <c r="Q1806" i="3" a="1"/>
  <c r="Q1806" i="3" s="1"/>
  <c r="Q1807" i="3" a="1"/>
  <c r="Q1807" i="3" s="1"/>
  <c r="Q1808" i="3" a="1"/>
  <c r="Q1808" i="3" s="1"/>
  <c r="Q1809" i="3" a="1"/>
  <c r="Q1809" i="3" s="1"/>
  <c r="Q1810" i="3" a="1"/>
  <c r="Q1810" i="3" s="1"/>
  <c r="Q1811" i="3" a="1"/>
  <c r="Q1811" i="3" s="1"/>
  <c r="Q1812" i="3" a="1"/>
  <c r="Q1812" i="3" s="1"/>
  <c r="Q1813" i="3" a="1"/>
  <c r="Q1813" i="3" s="1"/>
  <c r="Q1814" i="3" a="1"/>
  <c r="Q1814" i="3" s="1"/>
  <c r="Q1815" i="3" a="1"/>
  <c r="Q1815" i="3" s="1"/>
  <c r="Q1816" i="3" a="1"/>
  <c r="Q1816" i="3" s="1"/>
  <c r="Q1817" i="3" a="1"/>
  <c r="Q1817" i="3" s="1"/>
  <c r="Q1818" i="3" a="1"/>
  <c r="Q1818" i="3" s="1"/>
  <c r="Q1819" i="3" a="1"/>
  <c r="Q1819" i="3" s="1"/>
  <c r="Q1820" i="3" a="1"/>
  <c r="Q1820" i="3" s="1"/>
  <c r="Q1821" i="3" a="1"/>
  <c r="Q1821" i="3" s="1"/>
  <c r="Q1822" i="3" a="1"/>
  <c r="Q1822" i="3" s="1"/>
  <c r="Q1823" i="3" a="1"/>
  <c r="Q1823" i="3" s="1"/>
  <c r="Q1824" i="3" a="1"/>
  <c r="Q1824" i="3" s="1"/>
  <c r="Q1825" i="3" a="1"/>
  <c r="Q1825" i="3" s="1"/>
  <c r="Q1826" i="3" a="1"/>
  <c r="Q1826" i="3" s="1"/>
  <c r="Q1827" i="3" a="1"/>
  <c r="Q1827" i="3" s="1"/>
  <c r="Q1828" i="3" a="1"/>
  <c r="Q1828" i="3" s="1"/>
  <c r="Q1829" i="3" a="1"/>
  <c r="Q1829" i="3" s="1"/>
  <c r="Q1830" i="3" a="1"/>
  <c r="Q1830" i="3" s="1"/>
  <c r="Q1831" i="3" a="1"/>
  <c r="Q1831" i="3" s="1"/>
  <c r="Q1832" i="3" a="1"/>
  <c r="Q1832" i="3" s="1"/>
  <c r="Q1833" i="3" a="1"/>
  <c r="Q1833" i="3" s="1"/>
  <c r="Q1834" i="3" a="1"/>
  <c r="Q1834" i="3" s="1"/>
  <c r="Q1835" i="3" a="1"/>
  <c r="Q1835" i="3" s="1"/>
  <c r="Q1836" i="3" a="1"/>
  <c r="Q1836" i="3" s="1"/>
  <c r="Q1837" i="3" a="1"/>
  <c r="Q1837" i="3" s="1"/>
  <c r="Q1838" i="3" a="1"/>
  <c r="Q1838" i="3" s="1"/>
  <c r="Q1839" i="3" a="1"/>
  <c r="Q1839" i="3" s="1"/>
  <c r="Q1840" i="3" a="1"/>
  <c r="Q1840" i="3" s="1"/>
  <c r="Q1841" i="3" a="1"/>
  <c r="Q1841" i="3" s="1"/>
  <c r="Q1842" i="3" a="1"/>
  <c r="Q1842" i="3" s="1"/>
  <c r="Q1843" i="3" a="1"/>
  <c r="Q1843" i="3" s="1"/>
  <c r="Q1844" i="3" a="1"/>
  <c r="Q1844" i="3" s="1"/>
  <c r="Q1845" i="3" a="1"/>
  <c r="Q1845" i="3" s="1"/>
  <c r="Q1846" i="3" a="1"/>
  <c r="Q1846" i="3" s="1"/>
  <c r="Q1847" i="3" a="1"/>
  <c r="Q1847" i="3" s="1"/>
  <c r="Q1848" i="3" a="1"/>
  <c r="Q1848" i="3" s="1"/>
  <c r="Q1849" i="3" a="1"/>
  <c r="Q1849" i="3" s="1"/>
  <c r="Q1850" i="3" a="1"/>
  <c r="Q1850" i="3" s="1"/>
  <c r="Q1851" i="3" a="1"/>
  <c r="Q1851" i="3" s="1"/>
  <c r="Q1852" i="3" a="1"/>
  <c r="Q1852" i="3" s="1"/>
  <c r="Q1853" i="3" a="1"/>
  <c r="Q1853" i="3" s="1"/>
  <c r="Q1854" i="3" a="1"/>
  <c r="Q1854" i="3" s="1"/>
  <c r="Q1855" i="3" a="1"/>
  <c r="Q1855" i="3" s="1"/>
  <c r="Q1856" i="3" a="1"/>
  <c r="Q1856" i="3" s="1"/>
  <c r="Q1857" i="3" a="1"/>
  <c r="Q1857" i="3" s="1"/>
  <c r="Q1858" i="3" a="1"/>
  <c r="Q1858" i="3" s="1"/>
  <c r="Q1859" i="3" a="1"/>
  <c r="Q1859" i="3" s="1"/>
  <c r="Q1860" i="3" a="1"/>
  <c r="Q1860" i="3" s="1"/>
  <c r="Q1861" i="3" a="1"/>
  <c r="Q1861" i="3" s="1"/>
  <c r="Q1862" i="3" a="1"/>
  <c r="Q1862" i="3" s="1"/>
  <c r="Q1863" i="3" a="1"/>
  <c r="Q1863" i="3" s="1"/>
  <c r="Q1864" i="3" a="1"/>
  <c r="Q1864" i="3" s="1"/>
  <c r="Q1865" i="3" a="1"/>
  <c r="Q1865" i="3" s="1"/>
  <c r="Q1866" i="3" a="1"/>
  <c r="Q1866" i="3" s="1"/>
  <c r="Q1867" i="3" a="1"/>
  <c r="Q1867" i="3" s="1"/>
  <c r="Q1868" i="3" a="1"/>
  <c r="Q1868" i="3" s="1"/>
  <c r="Q1869" i="3" a="1"/>
  <c r="Q1869" i="3" s="1"/>
  <c r="Q1870" i="3" a="1"/>
  <c r="Q1870" i="3" s="1"/>
  <c r="Q1871" i="3" a="1"/>
  <c r="Q1871" i="3" s="1"/>
  <c r="Q1872" i="3" a="1"/>
  <c r="Q1872" i="3" s="1"/>
  <c r="Q1873" i="3" a="1"/>
  <c r="Q1873" i="3" s="1"/>
  <c r="Q1874" i="3" a="1"/>
  <c r="Q1874" i="3" s="1"/>
  <c r="Q1875" i="3" a="1"/>
  <c r="Q1875" i="3" s="1"/>
  <c r="Q1876" i="3" a="1"/>
  <c r="Q1876" i="3" s="1"/>
  <c r="Q1877" i="3" a="1"/>
  <c r="Q1877" i="3" s="1"/>
  <c r="Q1878" i="3" a="1"/>
  <c r="Q1878" i="3" s="1"/>
  <c r="Q1879" i="3" a="1"/>
  <c r="Q1879" i="3" s="1"/>
  <c r="Q1880" i="3" a="1"/>
  <c r="Q1880" i="3" s="1"/>
  <c r="Q1881" i="3" a="1"/>
  <c r="Q1881" i="3" s="1"/>
  <c r="Q1882" i="3" a="1"/>
  <c r="Q1882" i="3" s="1"/>
  <c r="Q1883" i="3" a="1"/>
  <c r="Q1883" i="3" s="1"/>
  <c r="Q1884" i="3" a="1"/>
  <c r="Q1884" i="3" s="1"/>
  <c r="Q1885" i="3" a="1"/>
  <c r="Q1885" i="3" s="1"/>
  <c r="Q1886" i="3" a="1"/>
  <c r="Q1886" i="3" s="1"/>
  <c r="Q1887" i="3" a="1"/>
  <c r="Q1887" i="3" s="1"/>
  <c r="Q1888" i="3" a="1"/>
  <c r="Q1888" i="3" s="1"/>
  <c r="Q1889" i="3" a="1"/>
  <c r="Q1889" i="3" s="1"/>
  <c r="Q1890" i="3" a="1"/>
  <c r="Q1890" i="3" s="1"/>
  <c r="Q1891" i="3" a="1"/>
  <c r="Q1891" i="3" s="1"/>
  <c r="Q1892" i="3" a="1"/>
  <c r="Q1892" i="3" s="1"/>
  <c r="Q1893" i="3" a="1"/>
  <c r="Q1893" i="3" s="1"/>
  <c r="Q1894" i="3" a="1"/>
  <c r="Q1894" i="3" s="1"/>
  <c r="Q1895" i="3" a="1"/>
  <c r="Q1895" i="3" s="1"/>
  <c r="Q1896" i="3" a="1"/>
  <c r="Q1896" i="3" s="1"/>
  <c r="Q1897" i="3" a="1"/>
  <c r="Q1897" i="3" s="1"/>
  <c r="Q1898" i="3" a="1"/>
  <c r="Q1898" i="3" s="1"/>
  <c r="Q1899" i="3" a="1"/>
  <c r="Q1899" i="3" s="1"/>
  <c r="Q1900" i="3" a="1"/>
  <c r="Q1900" i="3" s="1"/>
  <c r="Q1901" i="3" a="1"/>
  <c r="Q1901" i="3" s="1"/>
  <c r="Q1902" i="3" a="1"/>
  <c r="Q1902" i="3" s="1"/>
  <c r="Q1903" i="3" a="1"/>
  <c r="Q1903" i="3" s="1"/>
  <c r="Q1904" i="3" a="1"/>
  <c r="Q1904" i="3" s="1"/>
  <c r="Q1905" i="3" a="1"/>
  <c r="Q1905" i="3" s="1"/>
  <c r="Q1906" i="3" a="1"/>
  <c r="Q1906" i="3" s="1"/>
  <c r="Q1907" i="3" a="1"/>
  <c r="Q1907" i="3" s="1"/>
  <c r="Q1908" i="3" a="1"/>
  <c r="Q1908" i="3" s="1"/>
  <c r="Q1909" i="3" a="1"/>
  <c r="Q1909" i="3" s="1"/>
  <c r="Q1910" i="3" a="1"/>
  <c r="Q1910" i="3" s="1"/>
  <c r="Q1911" i="3" a="1"/>
  <c r="Q1911" i="3" s="1"/>
  <c r="Q1912" i="3" a="1"/>
  <c r="Q1912" i="3" s="1"/>
  <c r="Q1913" i="3" a="1"/>
  <c r="Q1913" i="3" s="1"/>
  <c r="Q1914" i="3" a="1"/>
  <c r="Q1914" i="3" s="1"/>
  <c r="Q1915" i="3" a="1"/>
  <c r="Q1915" i="3" s="1"/>
  <c r="Q1916" i="3" a="1"/>
  <c r="Q1916" i="3" s="1"/>
  <c r="Q1917" i="3" a="1"/>
  <c r="Q1917" i="3" s="1"/>
  <c r="Q1918" i="3" a="1"/>
  <c r="Q1918" i="3" s="1"/>
  <c r="Q1919" i="3" a="1"/>
  <c r="Q1919" i="3" s="1"/>
  <c r="Q1920" i="3" a="1"/>
  <c r="Q1920" i="3" s="1"/>
  <c r="Q1921" i="3" a="1"/>
  <c r="Q1921" i="3" s="1"/>
  <c r="Q1922" i="3" a="1"/>
  <c r="Q1922" i="3" s="1"/>
  <c r="Q1923" i="3" a="1"/>
  <c r="Q1923" i="3" s="1"/>
  <c r="Q1924" i="3" a="1"/>
  <c r="Q1924" i="3" s="1"/>
  <c r="Q1925" i="3" a="1"/>
  <c r="Q1925" i="3" s="1"/>
  <c r="Q1926" i="3" a="1"/>
  <c r="Q1926" i="3" s="1"/>
  <c r="Q1927" i="3" a="1"/>
  <c r="Q1927" i="3" s="1"/>
  <c r="Q1928" i="3" a="1"/>
  <c r="Q1928" i="3" s="1"/>
  <c r="Q1929" i="3" a="1"/>
  <c r="Q1929" i="3" s="1"/>
  <c r="Q1930" i="3" a="1"/>
  <c r="Q1930" i="3" s="1"/>
  <c r="Q1931" i="3" a="1"/>
  <c r="Q1931" i="3" s="1"/>
  <c r="Q1932" i="3" a="1"/>
  <c r="Q1932" i="3" s="1"/>
  <c r="Q1933" i="3" a="1"/>
  <c r="Q1933" i="3" s="1"/>
  <c r="Q1934" i="3" a="1"/>
  <c r="Q1934" i="3" s="1"/>
  <c r="Q1935" i="3" a="1"/>
  <c r="Q1935" i="3" s="1"/>
  <c r="Q1936" i="3" a="1"/>
  <c r="Q1936" i="3" s="1"/>
  <c r="Q1937" i="3" a="1"/>
  <c r="Q1937" i="3" s="1"/>
  <c r="Q1938" i="3" a="1"/>
  <c r="Q1938" i="3" s="1"/>
  <c r="Q1939" i="3" a="1"/>
  <c r="Q1939" i="3" s="1"/>
  <c r="Q1940" i="3" a="1"/>
  <c r="Q1940" i="3" s="1"/>
  <c r="Q1941" i="3" a="1"/>
  <c r="Q1941" i="3" s="1"/>
  <c r="Q1942" i="3" a="1"/>
  <c r="Q1942" i="3" s="1"/>
  <c r="Q1943" i="3" a="1"/>
  <c r="Q1943" i="3" s="1"/>
  <c r="Q1944" i="3" a="1"/>
  <c r="Q1944" i="3" s="1"/>
  <c r="Q1945" i="3" a="1"/>
  <c r="Q1945" i="3" s="1"/>
  <c r="Q1946" i="3" a="1"/>
  <c r="Q1946" i="3" s="1"/>
  <c r="Q1947" i="3" a="1"/>
  <c r="Q1947" i="3" s="1"/>
  <c r="Q1948" i="3" a="1"/>
  <c r="Q1948" i="3" s="1"/>
  <c r="Q1949" i="3" a="1"/>
  <c r="Q1949" i="3" s="1"/>
  <c r="Q1950" i="3" a="1"/>
  <c r="Q1950" i="3" s="1"/>
  <c r="Q1951" i="3" a="1"/>
  <c r="Q1951" i="3" s="1"/>
  <c r="Q1952" i="3" a="1"/>
  <c r="Q1952" i="3" s="1"/>
  <c r="Q1953" i="3" a="1"/>
  <c r="Q1953" i="3" s="1"/>
  <c r="Q1954" i="3" a="1"/>
  <c r="Q1954" i="3" s="1"/>
  <c r="Q1955" i="3" a="1"/>
  <c r="Q1955" i="3" s="1"/>
  <c r="Q1956" i="3" a="1"/>
  <c r="Q1956" i="3" s="1"/>
  <c r="Q1957" i="3" a="1"/>
  <c r="Q1957" i="3" s="1"/>
  <c r="Q1958" i="3" a="1"/>
  <c r="Q1958" i="3" s="1"/>
  <c r="Q1959" i="3" a="1"/>
  <c r="Q1959" i="3" s="1"/>
  <c r="Q1960" i="3" a="1"/>
  <c r="Q1960" i="3" s="1"/>
  <c r="Q1961" i="3" a="1"/>
  <c r="Q1961" i="3" s="1"/>
  <c r="Q1962" i="3" a="1"/>
  <c r="Q1962" i="3" s="1"/>
  <c r="Q1963" i="3" a="1"/>
  <c r="Q1963" i="3" s="1"/>
  <c r="Q1964" i="3" a="1"/>
  <c r="Q1964" i="3" s="1"/>
  <c r="Q1965" i="3" a="1"/>
  <c r="Q1965" i="3" s="1"/>
  <c r="Q1966" i="3" a="1"/>
  <c r="Q1966" i="3" s="1"/>
  <c r="Q1967" i="3" a="1"/>
  <c r="Q1967" i="3" s="1"/>
  <c r="Q1968" i="3" a="1"/>
  <c r="Q1968" i="3" s="1"/>
  <c r="Q1969" i="3" a="1"/>
  <c r="Q1969" i="3" s="1"/>
  <c r="Q1970" i="3" a="1"/>
  <c r="Q1970" i="3" s="1"/>
  <c r="Q1971" i="3" a="1"/>
  <c r="Q1971" i="3" s="1"/>
  <c r="Q1972" i="3" a="1"/>
  <c r="Q1972" i="3" s="1"/>
  <c r="Q1973" i="3" a="1"/>
  <c r="Q1973" i="3" s="1"/>
  <c r="Q1974" i="3" a="1"/>
  <c r="Q1974" i="3" s="1"/>
  <c r="Q1975" i="3" a="1"/>
  <c r="Q1975" i="3" s="1"/>
  <c r="Q1976" i="3" a="1"/>
  <c r="Q1976" i="3" s="1"/>
  <c r="Q1977" i="3" a="1"/>
  <c r="Q1977" i="3" s="1"/>
  <c r="Q1978" i="3" a="1"/>
  <c r="Q1978" i="3" s="1"/>
  <c r="Q1979" i="3" a="1"/>
  <c r="Q1979" i="3" s="1"/>
  <c r="Q1980" i="3" a="1"/>
  <c r="Q1980" i="3" s="1"/>
  <c r="Q1981" i="3" a="1"/>
  <c r="Q1981" i="3" s="1"/>
  <c r="Q1982" i="3" a="1"/>
  <c r="Q1982" i="3" s="1"/>
  <c r="Q1983" i="3" a="1"/>
  <c r="Q1983" i="3" s="1"/>
  <c r="Q1984" i="3" a="1"/>
  <c r="Q1984" i="3" s="1"/>
  <c r="Q1985" i="3" a="1"/>
  <c r="Q1985" i="3" s="1"/>
  <c r="Q1986" i="3" a="1"/>
  <c r="Q1986" i="3" s="1"/>
  <c r="Q1987" i="3" a="1"/>
  <c r="Q1987" i="3" s="1"/>
  <c r="Q1988" i="3" a="1"/>
  <c r="Q1988" i="3" s="1"/>
  <c r="Q1989" i="3" a="1"/>
  <c r="Q1989" i="3" s="1"/>
  <c r="Q1990" i="3" a="1"/>
  <c r="Q1990" i="3" s="1"/>
  <c r="Q1991" i="3" a="1"/>
  <c r="Q1991" i="3" s="1"/>
  <c r="Q1992" i="3" a="1"/>
  <c r="Q1992" i="3" s="1"/>
  <c r="Q1993" i="3" a="1"/>
  <c r="Q1993" i="3" s="1"/>
  <c r="Q1994" i="3" a="1"/>
  <c r="Q1994" i="3" s="1"/>
  <c r="Q1995" i="3" a="1"/>
  <c r="Q1995" i="3" s="1"/>
  <c r="Q1996" i="3" a="1"/>
  <c r="Q1996" i="3" s="1"/>
  <c r="Q1997" i="3" a="1"/>
  <c r="Q1997" i="3" s="1"/>
  <c r="Q1998" i="3" a="1"/>
  <c r="Q1998" i="3" s="1"/>
  <c r="Q1999" i="3" a="1"/>
  <c r="Q1999" i="3" s="1"/>
  <c r="Q2000" i="3" a="1"/>
  <c r="Q2000" i="3" s="1"/>
  <c r="Q2001" i="3" a="1"/>
  <c r="Q2001" i="3" s="1"/>
  <c r="Q2002" i="3" a="1"/>
  <c r="Q2002" i="3" s="1"/>
  <c r="Q2003" i="3" a="1"/>
  <c r="Q2003" i="3" s="1"/>
  <c r="Q2004" i="3" a="1"/>
  <c r="Q2004" i="3" s="1"/>
  <c r="Q2005" i="3" a="1"/>
  <c r="Q2005" i="3" s="1"/>
  <c r="Q2006" i="3" a="1"/>
  <c r="Q2006" i="3" s="1"/>
  <c r="Q2007" i="3" a="1"/>
  <c r="Q2007" i="3" s="1"/>
  <c r="Q2008" i="3" a="1"/>
  <c r="Q2008" i="3" s="1"/>
  <c r="Q2009" i="3" a="1"/>
  <c r="Q2009" i="3" s="1"/>
  <c r="Q2010" i="3" a="1"/>
  <c r="Q2010" i="3" s="1"/>
  <c r="Q2011" i="3" a="1"/>
  <c r="Q2011" i="3" s="1"/>
  <c r="Q2012" i="3" a="1"/>
  <c r="Q2012" i="3" s="1"/>
  <c r="Q2013" i="3" a="1"/>
  <c r="Q2013" i="3" s="1"/>
  <c r="Q2014" i="3" a="1"/>
  <c r="Q2014" i="3" s="1"/>
  <c r="Q2015" i="3" a="1"/>
  <c r="Q2015" i="3" s="1"/>
  <c r="Q2016" i="3" a="1"/>
  <c r="Q2016" i="3" s="1"/>
  <c r="Q2017" i="3" a="1"/>
  <c r="Q2017" i="3" s="1"/>
  <c r="Q2018" i="3" a="1"/>
  <c r="Q2018" i="3" s="1"/>
  <c r="Q2019" i="3" a="1"/>
  <c r="Q2019" i="3" s="1"/>
  <c r="Q2020" i="3" a="1"/>
  <c r="Q2020" i="3" s="1"/>
  <c r="Q2021" i="3" a="1"/>
  <c r="Q2021" i="3" s="1"/>
  <c r="Q2022" i="3" a="1"/>
  <c r="Q2022" i="3" s="1"/>
  <c r="Q2023" i="3" a="1"/>
  <c r="Q2023" i="3" s="1"/>
  <c r="Q2024" i="3" a="1"/>
  <c r="Q2024" i="3" s="1"/>
  <c r="Q2025" i="3" a="1"/>
  <c r="Q2025" i="3" s="1"/>
  <c r="Q2026" i="3" a="1"/>
  <c r="Q2026" i="3" s="1"/>
  <c r="Q2027" i="3" a="1"/>
  <c r="Q2027" i="3" s="1"/>
  <c r="Q2028" i="3" a="1"/>
  <c r="Q2028" i="3" s="1"/>
  <c r="Q2029" i="3" a="1"/>
  <c r="Q2029" i="3" s="1"/>
  <c r="Q2030" i="3" a="1"/>
  <c r="Q2030" i="3" s="1"/>
  <c r="Q2031" i="3" a="1"/>
  <c r="Q2031" i="3" s="1"/>
  <c r="Q2032" i="3" a="1"/>
  <c r="Q2032" i="3" s="1"/>
  <c r="Q2033" i="3" a="1"/>
  <c r="Q2033" i="3" s="1"/>
  <c r="Q2034" i="3" a="1"/>
  <c r="Q2034" i="3" s="1"/>
  <c r="Q2035" i="3" a="1"/>
  <c r="Q2035" i="3" s="1"/>
  <c r="Q2036" i="3" a="1"/>
  <c r="Q2036" i="3" s="1"/>
  <c r="Q2037" i="3" a="1"/>
  <c r="Q2037" i="3" s="1"/>
  <c r="Q2038" i="3" a="1"/>
  <c r="Q2038" i="3" s="1"/>
  <c r="Q2039" i="3" a="1"/>
  <c r="Q2039" i="3" s="1"/>
  <c r="Q2040" i="3" a="1"/>
  <c r="Q2040" i="3" s="1"/>
  <c r="Q2041" i="3" a="1"/>
  <c r="Q2041" i="3" s="1"/>
  <c r="Q2042" i="3" a="1"/>
  <c r="Q2042" i="3" s="1"/>
  <c r="Q2043" i="3" a="1"/>
  <c r="Q2043" i="3" s="1"/>
  <c r="Q2044" i="3" a="1"/>
  <c r="Q2044" i="3" s="1"/>
  <c r="Q2045" i="3" a="1"/>
  <c r="Q2045" i="3" s="1"/>
  <c r="Q2046" i="3" a="1"/>
  <c r="Q2046" i="3" s="1"/>
  <c r="Q2047" i="3" a="1"/>
  <c r="Q2047" i="3" s="1"/>
  <c r="Q2048" i="3" a="1"/>
  <c r="Q2048" i="3" s="1"/>
  <c r="Q2049" i="3" a="1"/>
  <c r="Q2049" i="3" s="1"/>
  <c r="Q2050" i="3" a="1"/>
  <c r="Q2050" i="3" s="1"/>
  <c r="Q2051" i="3" a="1"/>
  <c r="Q2051" i="3" s="1"/>
  <c r="Q2052" i="3" a="1"/>
  <c r="Q2052" i="3" s="1"/>
  <c r="Q2053" i="3" a="1"/>
  <c r="Q2053" i="3" s="1"/>
  <c r="Q2054" i="3" a="1"/>
  <c r="Q2054" i="3" s="1"/>
  <c r="Q2055" i="3" a="1"/>
  <c r="Q2055" i="3" s="1"/>
  <c r="Q2056" i="3" a="1"/>
  <c r="Q2056" i="3" s="1"/>
  <c r="Q2057" i="3" a="1"/>
  <c r="Q2057" i="3" s="1"/>
  <c r="Q2058" i="3" a="1"/>
  <c r="Q2058" i="3" s="1"/>
  <c r="Q2059" i="3" a="1"/>
  <c r="Q2059" i="3" s="1"/>
  <c r="Q2060" i="3" a="1"/>
  <c r="Q2060" i="3" s="1"/>
  <c r="Q2061" i="3" a="1"/>
  <c r="Q2061" i="3" s="1"/>
  <c r="Q2062" i="3" a="1"/>
  <c r="Q2062" i="3" s="1"/>
  <c r="Q2063" i="3" a="1"/>
  <c r="Q2063" i="3" s="1"/>
  <c r="Q2064" i="3" a="1"/>
  <c r="Q2064" i="3" s="1"/>
  <c r="Q2065" i="3" a="1"/>
  <c r="Q2065" i="3" s="1"/>
  <c r="Q2066" i="3" a="1"/>
  <c r="Q2066" i="3" s="1"/>
  <c r="Q2067" i="3" a="1"/>
  <c r="Q2067" i="3" s="1"/>
  <c r="Q2068" i="3" a="1"/>
  <c r="Q2068" i="3" s="1"/>
  <c r="Q2069" i="3" a="1"/>
  <c r="Q2069" i="3" s="1"/>
  <c r="Q2070" i="3" a="1"/>
  <c r="Q2070" i="3" s="1"/>
  <c r="Q2071" i="3" a="1"/>
  <c r="Q2071" i="3" s="1"/>
  <c r="Q2072" i="3" a="1"/>
  <c r="Q2072" i="3" s="1"/>
  <c r="Q2073" i="3" a="1"/>
  <c r="Q2073" i="3" s="1"/>
  <c r="Q2074" i="3" a="1"/>
  <c r="Q2074" i="3" s="1"/>
  <c r="Q2075" i="3" a="1"/>
  <c r="Q2075" i="3" s="1"/>
  <c r="Q2076" i="3" a="1"/>
  <c r="Q2076" i="3" s="1"/>
  <c r="Q2077" i="3" a="1"/>
  <c r="Q2077" i="3" s="1"/>
  <c r="Q2078" i="3" a="1"/>
  <c r="Q2078" i="3" s="1"/>
  <c r="Q2079" i="3" a="1"/>
  <c r="Q2079" i="3" s="1"/>
  <c r="Q2080" i="3" a="1"/>
  <c r="Q2080" i="3" s="1"/>
  <c r="Q2081" i="3" a="1"/>
  <c r="Q2081" i="3" s="1"/>
  <c r="Q2082" i="3" a="1"/>
  <c r="Q2082" i="3" s="1"/>
  <c r="Q2083" i="3" a="1"/>
  <c r="Q2083" i="3" s="1"/>
  <c r="Q2084" i="3" a="1"/>
  <c r="Q2084" i="3" s="1"/>
  <c r="Q2085" i="3" a="1"/>
  <c r="Q2085" i="3" s="1"/>
  <c r="Q2086" i="3" a="1"/>
  <c r="Q2086" i="3" s="1"/>
  <c r="Q2087" i="3" a="1"/>
  <c r="Q2087" i="3" s="1"/>
  <c r="Q2088" i="3" a="1"/>
  <c r="Q2088" i="3" s="1"/>
  <c r="Q2089" i="3" a="1"/>
  <c r="Q2089" i="3" s="1"/>
  <c r="Q2090" i="3" a="1"/>
  <c r="Q2090" i="3" s="1"/>
  <c r="Q2091" i="3" a="1"/>
  <c r="Q2091" i="3" s="1"/>
  <c r="Q2092" i="3" a="1"/>
  <c r="Q2092" i="3" s="1"/>
  <c r="Q2093" i="3" a="1"/>
  <c r="Q2093" i="3" s="1"/>
  <c r="Q2094" i="3" a="1"/>
  <c r="Q2094" i="3" s="1"/>
  <c r="Q2095" i="3" a="1"/>
  <c r="Q2095" i="3" s="1"/>
  <c r="Q2096" i="3" a="1"/>
  <c r="Q2096" i="3" s="1"/>
  <c r="Q2097" i="3" a="1"/>
  <c r="Q2097" i="3" s="1"/>
  <c r="Q2098" i="3" a="1"/>
  <c r="Q2098" i="3" s="1"/>
  <c r="Q2099" i="3" a="1"/>
  <c r="Q2099" i="3" s="1"/>
  <c r="Q2100" i="3" a="1"/>
  <c r="Q2100" i="3" s="1"/>
  <c r="Q2101" i="3" a="1"/>
  <c r="Q2101" i="3" s="1"/>
  <c r="Q2102" i="3" a="1"/>
  <c r="Q2102" i="3" s="1"/>
  <c r="Q2103" i="3" a="1"/>
  <c r="Q2103" i="3" s="1"/>
  <c r="Q2104" i="3" a="1"/>
  <c r="Q2104" i="3" s="1"/>
  <c r="Q2105" i="3" a="1"/>
  <c r="Q2105" i="3" s="1"/>
  <c r="Q2106" i="3" a="1"/>
  <c r="Q2106" i="3" s="1"/>
  <c r="Q2107" i="3" a="1"/>
  <c r="Q2107" i="3" s="1"/>
  <c r="Q2108" i="3" a="1"/>
  <c r="Q2108" i="3" s="1"/>
  <c r="Q2109" i="3" a="1"/>
  <c r="Q2109" i="3" s="1"/>
  <c r="Q2110" i="3" a="1"/>
  <c r="Q2110" i="3" s="1"/>
  <c r="Q2111" i="3" a="1"/>
  <c r="Q2111" i="3" s="1"/>
  <c r="Q2112" i="3" a="1"/>
  <c r="Q2112" i="3" s="1"/>
  <c r="Q2113" i="3" a="1"/>
  <c r="Q2113" i="3" s="1"/>
  <c r="Q2114" i="3" a="1"/>
  <c r="Q2114" i="3" s="1"/>
  <c r="Q2115" i="3" a="1"/>
  <c r="Q2115" i="3" s="1"/>
  <c r="Q2116" i="3" a="1"/>
  <c r="Q2116" i="3" s="1"/>
  <c r="Q2117" i="3" a="1"/>
  <c r="Q2117" i="3" s="1"/>
  <c r="Q2118" i="3" a="1"/>
  <c r="Q2118" i="3" s="1"/>
  <c r="Q2119" i="3" a="1"/>
  <c r="Q2119" i="3" s="1"/>
  <c r="Q2120" i="3" a="1"/>
  <c r="Q2120" i="3" s="1"/>
  <c r="Q2121" i="3" a="1"/>
  <c r="Q2121" i="3" s="1"/>
  <c r="Q2122" i="3" a="1"/>
  <c r="Q2122" i="3" s="1"/>
  <c r="Q2123" i="3" a="1"/>
  <c r="Q2123" i="3" s="1"/>
  <c r="Q2124" i="3" a="1"/>
  <c r="Q2124" i="3" s="1"/>
  <c r="Q2125" i="3" a="1"/>
  <c r="Q2125" i="3" s="1"/>
  <c r="Q2126" i="3" a="1"/>
  <c r="Q2126" i="3" s="1"/>
  <c r="Q2127" i="3" a="1"/>
  <c r="Q2127" i="3" s="1"/>
  <c r="Q2128" i="3" a="1"/>
  <c r="Q2128" i="3" s="1"/>
  <c r="Q2129" i="3" a="1"/>
  <c r="Q2129" i="3" s="1"/>
  <c r="Q2130" i="3" a="1"/>
  <c r="Q2130" i="3" s="1"/>
  <c r="Q2131" i="3" a="1"/>
  <c r="Q2131" i="3" s="1"/>
  <c r="Q2132" i="3" a="1"/>
  <c r="Q2132" i="3" s="1"/>
  <c r="Q2133" i="3" a="1"/>
  <c r="Q2133" i="3" s="1"/>
  <c r="Q2134" i="3" a="1"/>
  <c r="Q2134" i="3" s="1"/>
  <c r="Q2135" i="3" a="1"/>
  <c r="Q2135" i="3" s="1"/>
  <c r="Q2136" i="3" a="1"/>
  <c r="Q2136" i="3" s="1"/>
  <c r="Q2137" i="3" a="1"/>
  <c r="Q2137" i="3" s="1"/>
  <c r="Q2138" i="3" a="1"/>
  <c r="Q2138" i="3" s="1"/>
  <c r="Q2139" i="3" a="1"/>
  <c r="Q2139" i="3" s="1"/>
  <c r="Q2140" i="3" a="1"/>
  <c r="Q2140" i="3" s="1"/>
  <c r="Q2141" i="3" a="1"/>
  <c r="Q2141" i="3" s="1"/>
  <c r="Q2142" i="3" a="1"/>
  <c r="Q2142" i="3" s="1"/>
  <c r="Q2143" i="3" a="1"/>
  <c r="Q2143" i="3" s="1"/>
  <c r="Q2144" i="3" a="1"/>
  <c r="Q2144" i="3" s="1"/>
  <c r="Q2145" i="3" a="1"/>
  <c r="Q2145" i="3" s="1"/>
  <c r="Q2146" i="3" a="1"/>
  <c r="Q2146" i="3" s="1"/>
  <c r="Q2147" i="3" a="1"/>
  <c r="Q2147" i="3" s="1"/>
  <c r="Q2148" i="3" a="1"/>
  <c r="Q2148" i="3" s="1"/>
  <c r="Q2149" i="3" a="1"/>
  <c r="Q2149" i="3" s="1"/>
  <c r="Q2150" i="3" a="1"/>
  <c r="Q2150" i="3" s="1"/>
  <c r="Q2151" i="3" a="1"/>
  <c r="Q2151" i="3" s="1"/>
  <c r="Q2152" i="3" a="1"/>
  <c r="Q2152" i="3" s="1"/>
  <c r="Q2153" i="3" a="1"/>
  <c r="Q2153" i="3" s="1"/>
  <c r="Q2154" i="3" a="1"/>
  <c r="Q2154" i="3" s="1"/>
  <c r="Q2155" i="3" a="1"/>
  <c r="Q2155" i="3" s="1"/>
  <c r="Q2156" i="3" a="1"/>
  <c r="Q2156" i="3" s="1"/>
  <c r="Q2157" i="3" a="1"/>
  <c r="Q2157" i="3" s="1"/>
  <c r="Q2158" i="3" a="1"/>
  <c r="Q2158" i="3" s="1"/>
  <c r="Q2159" i="3" a="1"/>
  <c r="Q2159" i="3" s="1"/>
  <c r="Q2160" i="3" a="1"/>
  <c r="Q2160" i="3" s="1"/>
  <c r="Q2161" i="3" a="1"/>
  <c r="Q2161" i="3" s="1"/>
  <c r="Q2162" i="3" a="1"/>
  <c r="Q2162" i="3" s="1"/>
  <c r="Q2163" i="3" a="1"/>
  <c r="Q2163" i="3" s="1"/>
  <c r="Q2164" i="3" a="1"/>
  <c r="Q2164" i="3" s="1"/>
  <c r="Q2165" i="3" a="1"/>
  <c r="Q2165" i="3" s="1"/>
  <c r="Q2166" i="3" a="1"/>
  <c r="Q2166" i="3" s="1"/>
  <c r="Q2167" i="3" a="1"/>
  <c r="Q2167" i="3" s="1"/>
  <c r="Q2168" i="3" a="1"/>
  <c r="Q2168" i="3" s="1"/>
  <c r="Q2169" i="3" a="1"/>
  <c r="Q2169" i="3" s="1"/>
  <c r="Q2170" i="3" a="1"/>
  <c r="Q2170" i="3" s="1"/>
  <c r="Q2171" i="3" a="1"/>
  <c r="Q2171" i="3" s="1"/>
  <c r="Q2172" i="3" a="1"/>
  <c r="Q2172" i="3" s="1"/>
  <c r="Q2173" i="3" a="1"/>
  <c r="Q2173" i="3" s="1"/>
  <c r="Q2174" i="3" a="1"/>
  <c r="Q2174" i="3" s="1"/>
  <c r="Q2175" i="3" a="1"/>
  <c r="Q2175" i="3" s="1"/>
  <c r="Q2176" i="3" a="1"/>
  <c r="Q2176" i="3" s="1"/>
  <c r="Q2177" i="3" a="1"/>
  <c r="Q2177" i="3" s="1"/>
  <c r="Q2178" i="3" a="1"/>
  <c r="Q2178" i="3" s="1"/>
  <c r="Q2179" i="3" a="1"/>
  <c r="Q2179" i="3" s="1"/>
  <c r="Q2180" i="3" a="1"/>
  <c r="Q2180" i="3" s="1"/>
  <c r="Q2181" i="3" a="1"/>
  <c r="Q2181" i="3" s="1"/>
  <c r="Q2182" i="3" a="1"/>
  <c r="Q2182" i="3" s="1"/>
  <c r="Q2183" i="3" a="1"/>
  <c r="Q2183" i="3" s="1"/>
  <c r="Q2184" i="3" a="1"/>
  <c r="Q2184" i="3" s="1"/>
  <c r="Q2185" i="3" a="1"/>
  <c r="Q2185" i="3" s="1"/>
  <c r="Q2186" i="3" a="1"/>
  <c r="Q2186" i="3" s="1"/>
  <c r="Q2187" i="3" a="1"/>
  <c r="Q2187" i="3" s="1"/>
  <c r="Q2188" i="3" a="1"/>
  <c r="Q2188" i="3" s="1"/>
  <c r="Q2189" i="3" a="1"/>
  <c r="Q2189" i="3" s="1"/>
  <c r="Q2190" i="3" a="1"/>
  <c r="Q2190" i="3" s="1"/>
  <c r="Q2191" i="3" a="1"/>
  <c r="Q2191" i="3" s="1"/>
  <c r="Q2192" i="3" a="1"/>
  <c r="Q2192" i="3" s="1"/>
  <c r="Q2193" i="3" a="1"/>
  <c r="Q2193" i="3" s="1"/>
  <c r="Q2194" i="3" a="1"/>
  <c r="Q2194" i="3" s="1"/>
  <c r="Q2195" i="3" a="1"/>
  <c r="Q2195" i="3" s="1"/>
  <c r="Q2196" i="3" a="1"/>
  <c r="Q2196" i="3" s="1"/>
  <c r="Q2197" i="3" a="1"/>
  <c r="Q2197" i="3" s="1"/>
  <c r="Q2198" i="3" a="1"/>
  <c r="Q2198" i="3" s="1"/>
  <c r="Q2199" i="3" a="1"/>
  <c r="Q2199" i="3" s="1"/>
  <c r="Q2200" i="3" a="1"/>
  <c r="Q2200" i="3" s="1"/>
  <c r="Q2201" i="3" a="1"/>
  <c r="Q2201" i="3" s="1"/>
  <c r="Q2202" i="3" a="1"/>
  <c r="Q2202" i="3" s="1"/>
  <c r="Q2203" i="3" a="1"/>
  <c r="Q2203" i="3" s="1"/>
  <c r="Q2204" i="3" a="1"/>
  <c r="Q2204" i="3" s="1"/>
  <c r="Q2205" i="3" a="1"/>
  <c r="Q2205" i="3" s="1"/>
  <c r="Q2206" i="3" a="1"/>
  <c r="Q2206" i="3" s="1"/>
  <c r="Q2207" i="3" a="1"/>
  <c r="Q2207" i="3" s="1"/>
  <c r="Q2208" i="3" a="1"/>
  <c r="Q2208" i="3" s="1"/>
  <c r="Q2209" i="3" a="1"/>
  <c r="Q2209" i="3" s="1"/>
  <c r="Q2210" i="3" a="1"/>
  <c r="Q2210" i="3" s="1"/>
  <c r="Q2211" i="3" a="1"/>
  <c r="Q2211" i="3" s="1"/>
  <c r="Q2212" i="3" a="1"/>
  <c r="Q2212" i="3" s="1"/>
  <c r="Q2213" i="3" a="1"/>
  <c r="Q2213" i="3" s="1"/>
  <c r="Q2214" i="3" a="1"/>
  <c r="Q2214" i="3" s="1"/>
  <c r="Q2215" i="3" a="1"/>
  <c r="Q2215" i="3" s="1"/>
  <c r="Q2216" i="3" a="1"/>
  <c r="Q2216" i="3" s="1"/>
  <c r="Q2217" i="3" a="1"/>
  <c r="Q2217" i="3" s="1"/>
  <c r="Q2218" i="3" a="1"/>
  <c r="Q2218" i="3" s="1"/>
  <c r="Q2219" i="3" a="1"/>
  <c r="Q2219" i="3" s="1"/>
  <c r="Q2220" i="3" a="1"/>
  <c r="Q2220" i="3" s="1"/>
  <c r="Q2221" i="3" a="1"/>
  <c r="Q2221" i="3" s="1"/>
  <c r="Q2222" i="3" a="1"/>
  <c r="Q2222" i="3" s="1"/>
  <c r="Q2223" i="3" a="1"/>
  <c r="Q2223" i="3" s="1"/>
  <c r="Q2224" i="3" a="1"/>
  <c r="Q2224" i="3" s="1"/>
  <c r="Q2225" i="3" a="1"/>
  <c r="Q2225" i="3" s="1"/>
  <c r="Q2226" i="3" a="1"/>
  <c r="Q2226" i="3" s="1"/>
  <c r="Q2227" i="3" a="1"/>
  <c r="Q2227" i="3" s="1"/>
  <c r="Q2228" i="3" a="1"/>
  <c r="Q2228" i="3" s="1"/>
  <c r="Q2229" i="3" a="1"/>
  <c r="Q2229" i="3" s="1"/>
  <c r="Q2230" i="3" a="1"/>
  <c r="Q2230" i="3" s="1"/>
  <c r="Q2231" i="3" a="1"/>
  <c r="Q2231" i="3" s="1"/>
  <c r="Q2232" i="3" a="1"/>
  <c r="Q2232" i="3" s="1"/>
  <c r="Q2233" i="3" a="1"/>
  <c r="Q2233" i="3" s="1"/>
  <c r="Q2234" i="3" a="1"/>
  <c r="Q2234" i="3" s="1"/>
  <c r="Q2235" i="3" a="1"/>
  <c r="Q2235" i="3" s="1"/>
  <c r="Q2236" i="3" a="1"/>
  <c r="Q2236" i="3" s="1"/>
  <c r="Q2237" i="3" a="1"/>
  <c r="Q2237" i="3" s="1"/>
  <c r="Q2238" i="3" a="1"/>
  <c r="Q2238" i="3" s="1"/>
  <c r="Q2239" i="3" a="1"/>
  <c r="Q2239" i="3" s="1"/>
  <c r="Q2240" i="3" a="1"/>
  <c r="Q2240" i="3" s="1"/>
  <c r="Q2241" i="3" a="1"/>
  <c r="Q2241" i="3" s="1"/>
  <c r="Q2242" i="3" a="1"/>
  <c r="Q2242" i="3" s="1"/>
  <c r="Q2243" i="3" a="1"/>
  <c r="Q2243" i="3" s="1"/>
  <c r="Q2244" i="3" a="1"/>
  <c r="Q2244" i="3" s="1"/>
  <c r="Q2245" i="3" a="1"/>
  <c r="Q2245" i="3" s="1"/>
  <c r="Q2246" i="3" a="1"/>
  <c r="Q2246" i="3" s="1"/>
  <c r="Q2247" i="3" a="1"/>
  <c r="Q2247" i="3" s="1"/>
  <c r="Q2248" i="3" a="1"/>
  <c r="Q2248" i="3" s="1"/>
  <c r="Q2249" i="3" a="1"/>
  <c r="Q2249" i="3" s="1"/>
  <c r="Q2250" i="3" a="1"/>
  <c r="Q2250" i="3" s="1"/>
  <c r="Q2251" i="3" a="1"/>
  <c r="Q2251" i="3" s="1"/>
  <c r="Q2252" i="3" a="1"/>
  <c r="Q2252" i="3" s="1"/>
  <c r="Q2253" i="3" a="1"/>
  <c r="Q2253" i="3" s="1"/>
  <c r="Q2254" i="3" a="1"/>
  <c r="Q2254" i="3" s="1"/>
  <c r="Q2255" i="3" a="1"/>
  <c r="Q2255" i="3" s="1"/>
  <c r="Q2256" i="3" a="1"/>
  <c r="Q2256" i="3" s="1"/>
  <c r="Q2257" i="3" a="1"/>
  <c r="Q2257" i="3" s="1"/>
  <c r="Q2258" i="3" a="1"/>
  <c r="Q2258" i="3" s="1"/>
  <c r="Q2259" i="3" a="1"/>
  <c r="Q2259" i="3" s="1"/>
  <c r="Q2260" i="3" a="1"/>
  <c r="Q2260" i="3" s="1"/>
  <c r="Q2261" i="3" a="1"/>
  <c r="Q2261" i="3" s="1"/>
  <c r="Q2262" i="3" a="1"/>
  <c r="Q2262" i="3" s="1"/>
  <c r="Q2263" i="3" a="1"/>
  <c r="Q2263" i="3" s="1"/>
  <c r="Q2264" i="3" a="1"/>
  <c r="Q2264" i="3" s="1"/>
  <c r="Q2265" i="3" a="1"/>
  <c r="Q2265" i="3" s="1"/>
  <c r="Q2266" i="3" a="1"/>
  <c r="Q2266" i="3" s="1"/>
  <c r="Q2267" i="3" a="1"/>
  <c r="Q2267" i="3" s="1"/>
  <c r="Q2268" i="3" a="1"/>
  <c r="Q2268" i="3" s="1"/>
  <c r="Q2269" i="3" a="1"/>
  <c r="Q2269" i="3" s="1"/>
  <c r="Q2270" i="3" a="1"/>
  <c r="Q2270" i="3" s="1"/>
  <c r="Q2271" i="3" a="1"/>
  <c r="Q2271" i="3" s="1"/>
  <c r="Q2272" i="3" a="1"/>
  <c r="Q2272" i="3" s="1"/>
  <c r="Q2273" i="3" a="1"/>
  <c r="Q2273" i="3" s="1"/>
  <c r="Q2274" i="3" a="1"/>
  <c r="Q2274" i="3" s="1"/>
  <c r="Q2275" i="3" a="1"/>
  <c r="Q2275" i="3" s="1"/>
  <c r="Q2276" i="3" a="1"/>
  <c r="Q2276" i="3" s="1"/>
  <c r="Q2277" i="3" a="1"/>
  <c r="Q2277" i="3" s="1"/>
  <c r="Q2278" i="3" a="1"/>
  <c r="Q2278" i="3" s="1"/>
  <c r="Q2279" i="3" a="1"/>
  <c r="Q2279" i="3" s="1"/>
  <c r="Q2280" i="3" a="1"/>
  <c r="Q2280" i="3" s="1"/>
  <c r="Q2281" i="3" a="1"/>
  <c r="Q2281" i="3" s="1"/>
  <c r="Q2282" i="3" a="1"/>
  <c r="Q2282" i="3" s="1"/>
  <c r="Q2283" i="3" a="1"/>
  <c r="Q2283" i="3" s="1"/>
  <c r="Q2284" i="3" a="1"/>
  <c r="Q2284" i="3" s="1"/>
  <c r="Q2285" i="3" a="1"/>
  <c r="Q2285" i="3" s="1"/>
  <c r="Q2286" i="3" a="1"/>
  <c r="Q2286" i="3" s="1"/>
  <c r="Q2287" i="3" a="1"/>
  <c r="Q2287" i="3" s="1"/>
  <c r="Q2288" i="3" a="1"/>
  <c r="Q2288" i="3" s="1"/>
  <c r="Q2289" i="3" a="1"/>
  <c r="Q2289" i="3" s="1"/>
  <c r="Q2290" i="3" a="1"/>
  <c r="Q2290" i="3" s="1"/>
  <c r="Q2291" i="3" a="1"/>
  <c r="Q2291" i="3" s="1"/>
  <c r="Q2292" i="3" a="1"/>
  <c r="Q2292" i="3" s="1"/>
  <c r="Q2293" i="3" a="1"/>
  <c r="Q2293" i="3" s="1"/>
  <c r="Q2294" i="3" a="1"/>
  <c r="Q2294" i="3" s="1"/>
  <c r="Q2295" i="3" a="1"/>
  <c r="Q2295" i="3" s="1"/>
  <c r="Q2296" i="3" a="1"/>
  <c r="Q2296" i="3" s="1"/>
  <c r="Q2297" i="3" a="1"/>
  <c r="Q2297" i="3" s="1"/>
  <c r="Q2298" i="3" a="1"/>
  <c r="Q2298" i="3" s="1"/>
  <c r="Q2299" i="3" a="1"/>
  <c r="Q2299" i="3" s="1"/>
  <c r="Q2300" i="3" a="1"/>
  <c r="Q2300" i="3" s="1"/>
  <c r="Q2301" i="3" a="1"/>
  <c r="Q2301" i="3" s="1"/>
  <c r="Q2302" i="3" a="1"/>
  <c r="Q2302" i="3" s="1"/>
  <c r="Q2303" i="3" a="1"/>
  <c r="Q2303" i="3" s="1"/>
  <c r="Q2304" i="3" a="1"/>
  <c r="Q2304" i="3" s="1"/>
  <c r="Q2305" i="3" a="1"/>
  <c r="Q2305" i="3" s="1"/>
  <c r="Q2306" i="3" a="1"/>
  <c r="Q2306" i="3" s="1"/>
  <c r="Q2307" i="3" a="1"/>
  <c r="Q2307" i="3" s="1"/>
  <c r="Q2308" i="3" a="1"/>
  <c r="Q2308" i="3" s="1"/>
  <c r="Q2309" i="3" a="1"/>
  <c r="Q2309" i="3" s="1"/>
  <c r="Q2310" i="3" a="1"/>
  <c r="Q2310" i="3" s="1"/>
  <c r="Q2311" i="3" a="1"/>
  <c r="Q2311" i="3" s="1"/>
  <c r="Q2312" i="3" a="1"/>
  <c r="Q2312" i="3" s="1"/>
  <c r="Q2313" i="3" a="1"/>
  <c r="Q2313" i="3" s="1"/>
  <c r="Q2314" i="3" a="1"/>
  <c r="Q2314" i="3" s="1"/>
  <c r="Q2315" i="3" a="1"/>
  <c r="Q2315" i="3" s="1"/>
  <c r="Q2316" i="3" a="1"/>
  <c r="Q2316" i="3" s="1"/>
  <c r="Q2317" i="3" a="1"/>
  <c r="Q2317" i="3" s="1"/>
  <c r="Q2318" i="3" a="1"/>
  <c r="Q2318" i="3" s="1"/>
  <c r="Q2319" i="3" a="1"/>
  <c r="Q2319" i="3" s="1"/>
  <c r="Q2320" i="3" a="1"/>
  <c r="Q2320" i="3" s="1"/>
  <c r="Q2321" i="3" a="1"/>
  <c r="Q2321" i="3" s="1"/>
  <c r="Q2322" i="3" a="1"/>
  <c r="Q2322" i="3" s="1"/>
  <c r="Q2323" i="3" a="1"/>
  <c r="Q2323" i="3" s="1"/>
  <c r="Q2324" i="3" a="1"/>
  <c r="Q2324" i="3" s="1"/>
  <c r="Q2325" i="3" a="1"/>
  <c r="Q2325" i="3" s="1"/>
  <c r="Q2326" i="3" a="1"/>
  <c r="Q2326" i="3" s="1"/>
  <c r="Q2327" i="3" a="1"/>
  <c r="Q2327" i="3" s="1"/>
  <c r="Q2328" i="3" a="1"/>
  <c r="Q2328" i="3" s="1"/>
  <c r="Q2329" i="3" a="1"/>
  <c r="Q2329" i="3" s="1"/>
  <c r="Q2330" i="3" a="1"/>
  <c r="Q2330" i="3" s="1"/>
  <c r="Q2331" i="3" a="1"/>
  <c r="Q2331" i="3" s="1"/>
  <c r="Q2332" i="3" a="1"/>
  <c r="Q2332" i="3" s="1"/>
  <c r="Q2333" i="3" a="1"/>
  <c r="Q2333" i="3" s="1"/>
  <c r="Q2334" i="3" a="1"/>
  <c r="Q2334" i="3" s="1"/>
  <c r="Q2335" i="3" a="1"/>
  <c r="Q2335" i="3" s="1"/>
  <c r="Q2336" i="3" a="1"/>
  <c r="Q2336" i="3" s="1"/>
  <c r="Q2337" i="3" a="1"/>
  <c r="Q2337" i="3" s="1"/>
  <c r="Q2338" i="3" a="1"/>
  <c r="Q2338" i="3" s="1"/>
  <c r="Q2339" i="3" a="1"/>
  <c r="Q2339" i="3" s="1"/>
  <c r="Q2340" i="3" a="1"/>
  <c r="Q2340" i="3" s="1"/>
  <c r="Q2341" i="3" a="1"/>
  <c r="Q2341" i="3" s="1"/>
  <c r="Q2342" i="3" a="1"/>
  <c r="Q2342" i="3" s="1"/>
  <c r="Q2343" i="3" a="1"/>
  <c r="Q2343" i="3" s="1"/>
  <c r="Q2344" i="3" a="1"/>
  <c r="Q2344" i="3" s="1"/>
  <c r="Q2345" i="3" a="1"/>
  <c r="Q2345" i="3" s="1"/>
  <c r="Q2346" i="3" a="1"/>
  <c r="Q2346" i="3" s="1"/>
  <c r="Q2347" i="3" a="1"/>
  <c r="Q2347" i="3" s="1"/>
  <c r="Q2348" i="3" a="1"/>
  <c r="Q2348" i="3" s="1"/>
  <c r="Q2349" i="3" a="1"/>
  <c r="Q2349" i="3" s="1"/>
  <c r="Q2350" i="3" a="1"/>
  <c r="Q2350" i="3" s="1"/>
  <c r="Q2351" i="3" a="1"/>
  <c r="Q2351" i="3" s="1"/>
  <c r="Q2352" i="3" a="1"/>
  <c r="Q2352" i="3" s="1"/>
  <c r="Q2353" i="3" a="1"/>
  <c r="Q2353" i="3" s="1"/>
  <c r="Q2354" i="3" a="1"/>
  <c r="Q2354" i="3" s="1"/>
  <c r="Q2355" i="3" a="1"/>
  <c r="Q2355" i="3" s="1"/>
  <c r="Q2356" i="3" a="1"/>
  <c r="Q2356" i="3" s="1"/>
  <c r="Q2357" i="3" a="1"/>
  <c r="Q2357" i="3" s="1"/>
  <c r="Q2358" i="3" a="1"/>
  <c r="Q2358" i="3" s="1"/>
  <c r="Q2359" i="3" a="1"/>
  <c r="Q2359" i="3" s="1"/>
  <c r="Q2360" i="3" a="1"/>
  <c r="Q2360" i="3" s="1"/>
  <c r="Q2361" i="3" a="1"/>
  <c r="Q2361" i="3" s="1"/>
  <c r="Q2362" i="3" a="1"/>
  <c r="Q2362" i="3" s="1"/>
  <c r="Q2363" i="3" a="1"/>
  <c r="Q2363" i="3" s="1"/>
  <c r="Q2364" i="3" a="1"/>
  <c r="Q2364" i="3" s="1"/>
  <c r="Q2365" i="3" a="1"/>
  <c r="Q2365" i="3" s="1"/>
  <c r="Q2366" i="3" a="1"/>
  <c r="Q2366" i="3" s="1"/>
  <c r="Q2367" i="3" a="1"/>
  <c r="Q2367" i="3" s="1"/>
  <c r="Q2368" i="3" a="1"/>
  <c r="Q2368" i="3" s="1"/>
  <c r="Q2369" i="3" a="1"/>
  <c r="Q2369" i="3" s="1"/>
  <c r="Q2370" i="3" a="1"/>
  <c r="Q2370" i="3" s="1"/>
  <c r="Q2371" i="3" a="1"/>
  <c r="Q2371" i="3" s="1"/>
  <c r="Q2372" i="3" a="1"/>
  <c r="Q2372" i="3" s="1"/>
  <c r="Q2373" i="3" a="1"/>
  <c r="Q2373" i="3" s="1"/>
  <c r="Q2374" i="3" a="1"/>
  <c r="Q2374" i="3" s="1"/>
  <c r="Q2375" i="3" a="1"/>
  <c r="Q2375" i="3" s="1"/>
  <c r="Q2376" i="3" a="1"/>
  <c r="Q2376" i="3" s="1"/>
  <c r="Q2377" i="3" a="1"/>
  <c r="Q2377" i="3" s="1"/>
  <c r="Q2378" i="3" a="1"/>
  <c r="Q2378" i="3" s="1"/>
  <c r="Q2379" i="3" a="1"/>
  <c r="Q2379" i="3" s="1"/>
  <c r="Q2380" i="3" a="1"/>
  <c r="Q2380" i="3" s="1"/>
  <c r="Q2381" i="3" a="1"/>
  <c r="Q2381" i="3" s="1"/>
  <c r="Q2382" i="3" a="1"/>
  <c r="Q2382" i="3" s="1"/>
  <c r="Q2383" i="3" a="1"/>
  <c r="Q2383" i="3" s="1"/>
  <c r="Q2384" i="3" a="1"/>
  <c r="Q2384" i="3" s="1"/>
  <c r="Q2385" i="3" a="1"/>
  <c r="Q2385" i="3" s="1"/>
  <c r="Q2386" i="3" a="1"/>
  <c r="Q2386" i="3" s="1"/>
  <c r="Q2387" i="3" a="1"/>
  <c r="Q2387" i="3" s="1"/>
  <c r="Q2388" i="3" a="1"/>
  <c r="Q2388" i="3" s="1"/>
  <c r="Q2389" i="3" a="1"/>
  <c r="Q2389" i="3" s="1"/>
  <c r="Q2390" i="3" a="1"/>
  <c r="Q2390" i="3" s="1"/>
  <c r="Q2391" i="3" a="1"/>
  <c r="Q2391" i="3" s="1"/>
  <c r="Q2392" i="3" a="1"/>
  <c r="Q2392" i="3" s="1"/>
  <c r="Q2393" i="3" a="1"/>
  <c r="Q2393" i="3" s="1"/>
  <c r="Q2394" i="3" a="1"/>
  <c r="Q2394" i="3" s="1"/>
  <c r="Q2395" i="3" a="1"/>
  <c r="Q2395" i="3" s="1"/>
  <c r="Q2396" i="3" a="1"/>
  <c r="Q2396" i="3" s="1"/>
  <c r="Q2397" i="3" a="1"/>
  <c r="Q2397" i="3" s="1"/>
  <c r="Q2398" i="3" a="1"/>
  <c r="Q2398" i="3" s="1"/>
  <c r="Q2399" i="3" a="1"/>
  <c r="Q2399" i="3" s="1"/>
  <c r="Q2400" i="3" a="1"/>
  <c r="Q2400" i="3" s="1"/>
  <c r="Q2401" i="3" a="1"/>
  <c r="Q2401" i="3" s="1"/>
  <c r="Q2402" i="3" a="1"/>
  <c r="Q2402" i="3" s="1"/>
  <c r="Q2403" i="3" a="1"/>
  <c r="Q2403" i="3" s="1"/>
  <c r="Q2404" i="3" a="1"/>
  <c r="Q2404" i="3" s="1"/>
  <c r="Q2405" i="3" a="1"/>
  <c r="Q2405" i="3" s="1"/>
  <c r="Q2406" i="3" a="1"/>
  <c r="Q2406" i="3" s="1"/>
  <c r="Q2407" i="3" a="1"/>
  <c r="Q2407" i="3" s="1"/>
  <c r="Q2408" i="3" a="1"/>
  <c r="Q2408" i="3" s="1"/>
  <c r="Q2409" i="3" a="1"/>
  <c r="Q2409" i="3" s="1"/>
  <c r="Q2410" i="3" a="1"/>
  <c r="Q2410" i="3" s="1"/>
  <c r="Q2411" i="3" a="1"/>
  <c r="Q2411" i="3" s="1"/>
  <c r="Q2412" i="3" a="1"/>
  <c r="Q2412" i="3" s="1"/>
  <c r="Q2413" i="3" a="1"/>
  <c r="Q2413" i="3" s="1"/>
  <c r="Q2414" i="3" a="1"/>
  <c r="Q2414" i="3" s="1"/>
  <c r="Q2415" i="3" a="1"/>
  <c r="Q2415" i="3" s="1"/>
  <c r="Q2416" i="3" a="1"/>
  <c r="Q2416" i="3" s="1"/>
  <c r="Q2417" i="3" a="1"/>
  <c r="Q2417" i="3" s="1"/>
  <c r="Q2418" i="3" a="1"/>
  <c r="Q2418" i="3" s="1"/>
  <c r="Q2419" i="3" a="1"/>
  <c r="Q2419" i="3" s="1"/>
  <c r="Q2420" i="3" a="1"/>
  <c r="Q2420" i="3" s="1"/>
  <c r="Q2421" i="3" a="1"/>
  <c r="Q2421" i="3" s="1"/>
  <c r="Q2422" i="3" a="1"/>
  <c r="Q2422" i="3" s="1"/>
  <c r="Q2423" i="3" a="1"/>
  <c r="Q2423" i="3" s="1"/>
  <c r="Q2424" i="3" a="1"/>
  <c r="Q2424" i="3" s="1"/>
  <c r="Q2425" i="3" a="1"/>
  <c r="Q2425" i="3" s="1"/>
  <c r="Q2426" i="3" a="1"/>
  <c r="Q2426" i="3" s="1"/>
  <c r="Q2427" i="3" a="1"/>
  <c r="Q2427" i="3" s="1"/>
  <c r="Q2428" i="3" a="1"/>
  <c r="Q2428" i="3" s="1"/>
  <c r="Q2429" i="3" a="1"/>
  <c r="Q2429" i="3" s="1"/>
  <c r="Q2430" i="3" a="1"/>
  <c r="Q2430" i="3" s="1"/>
  <c r="Q2431" i="3" a="1"/>
  <c r="Q2431" i="3" s="1"/>
  <c r="Q2432" i="3" a="1"/>
  <c r="Q2432" i="3" s="1"/>
  <c r="Q2433" i="3" a="1"/>
  <c r="Q2433" i="3" s="1"/>
  <c r="Q2434" i="3" a="1"/>
  <c r="Q2434" i="3" s="1"/>
  <c r="Q2435" i="3" a="1"/>
  <c r="Q2435" i="3" s="1"/>
  <c r="Q2436" i="3" a="1"/>
  <c r="Q2436" i="3" s="1"/>
  <c r="Q2437" i="3" a="1"/>
  <c r="Q2437" i="3" s="1"/>
  <c r="Q2438" i="3" a="1"/>
  <c r="Q2438" i="3" s="1"/>
  <c r="Q2439" i="3" a="1"/>
  <c r="Q2439" i="3" s="1"/>
  <c r="Q2440" i="3" a="1"/>
  <c r="Q2440" i="3" s="1"/>
  <c r="Q2441" i="3" a="1"/>
  <c r="Q2441" i="3" s="1"/>
  <c r="Q2442" i="3" a="1"/>
  <c r="Q2442" i="3" s="1"/>
  <c r="Q2443" i="3" a="1"/>
  <c r="Q2443" i="3" s="1"/>
  <c r="Q2444" i="3" a="1"/>
  <c r="Q2444" i="3" s="1"/>
  <c r="Q2445" i="3" a="1"/>
  <c r="Q2445" i="3" s="1"/>
  <c r="Q2446" i="3" a="1"/>
  <c r="Q2446" i="3" s="1"/>
  <c r="Q2447" i="3" a="1"/>
  <c r="Q2447" i="3" s="1"/>
  <c r="Q2448" i="3" a="1"/>
  <c r="Q2448" i="3" s="1"/>
  <c r="Q2449" i="3" a="1"/>
  <c r="Q2449" i="3" s="1"/>
  <c r="Q2450" i="3" a="1"/>
  <c r="Q2450" i="3" s="1"/>
  <c r="Q2451" i="3" a="1"/>
  <c r="Q2451" i="3" s="1"/>
  <c r="Q2452" i="3" a="1"/>
  <c r="Q2452" i="3" s="1"/>
  <c r="Q2453" i="3" a="1"/>
  <c r="Q2453" i="3" s="1"/>
  <c r="Q2454" i="3" a="1"/>
  <c r="Q2454" i="3" s="1"/>
  <c r="Q2455" i="3" a="1"/>
  <c r="Q2455" i="3" s="1"/>
  <c r="Q2456" i="3" a="1"/>
  <c r="Q2456" i="3" s="1"/>
  <c r="Q2457" i="3" a="1"/>
  <c r="Q2457" i="3" s="1"/>
  <c r="Q2458" i="3" a="1"/>
  <c r="Q2458" i="3" s="1"/>
  <c r="Q2459" i="3" a="1"/>
  <c r="Q2459" i="3" s="1"/>
  <c r="Q2460" i="3" a="1"/>
  <c r="Q2460" i="3" s="1"/>
  <c r="Q2461" i="3" a="1"/>
  <c r="Q2461" i="3" s="1"/>
  <c r="Q2462" i="3" a="1"/>
  <c r="Q2462" i="3" s="1"/>
  <c r="Q2463" i="3" a="1"/>
  <c r="Q2463" i="3" s="1"/>
  <c r="Q2464" i="3" a="1"/>
  <c r="Q2464" i="3" s="1"/>
  <c r="Q2465" i="3" a="1"/>
  <c r="Q2465" i="3" s="1"/>
  <c r="Q2466" i="3" a="1"/>
  <c r="Q2466" i="3" s="1"/>
  <c r="Q2467" i="3" a="1"/>
  <c r="Q2467" i="3" s="1"/>
  <c r="Q2468" i="3" a="1"/>
  <c r="Q2468" i="3" s="1"/>
  <c r="Q2469" i="3" a="1"/>
  <c r="Q2469" i="3" s="1"/>
  <c r="Q2470" i="3" a="1"/>
  <c r="Q2470" i="3" s="1"/>
  <c r="Q2471" i="3" a="1"/>
  <c r="Q2471" i="3" s="1"/>
  <c r="Q2472" i="3" a="1"/>
  <c r="Q2472" i="3" s="1"/>
  <c r="Q2473" i="3" a="1"/>
  <c r="Q2473" i="3" s="1"/>
  <c r="Q2474" i="3" a="1"/>
  <c r="Q2474" i="3" s="1"/>
  <c r="Q2475" i="3" a="1"/>
  <c r="Q2475" i="3" s="1"/>
  <c r="Q2476" i="3" a="1"/>
  <c r="Q2476" i="3" s="1"/>
  <c r="Q2477" i="3" a="1"/>
  <c r="Q2477" i="3" s="1"/>
  <c r="Q2478" i="3" a="1"/>
  <c r="Q2478" i="3" s="1"/>
  <c r="Q2479" i="3" a="1"/>
  <c r="Q2479" i="3" s="1"/>
  <c r="Q2480" i="3" a="1"/>
  <c r="Q2480" i="3" s="1"/>
  <c r="Q2481" i="3" a="1"/>
  <c r="Q2481" i="3" s="1"/>
  <c r="Q2482" i="3" a="1"/>
  <c r="Q2482" i="3" s="1"/>
  <c r="Q2483" i="3" a="1"/>
  <c r="Q2483" i="3" s="1"/>
  <c r="Q2484" i="3" a="1"/>
  <c r="Q2484" i="3" s="1"/>
  <c r="Q2485" i="3" a="1"/>
  <c r="Q2485" i="3" s="1"/>
  <c r="Q2486" i="3" a="1"/>
  <c r="Q2486" i="3" s="1"/>
  <c r="Q2487" i="3" a="1"/>
  <c r="Q2487" i="3" s="1"/>
  <c r="Q2488" i="3" a="1"/>
  <c r="Q2488" i="3" s="1"/>
  <c r="Q2489" i="3" a="1"/>
  <c r="Q2489" i="3" s="1"/>
  <c r="Q2490" i="3" a="1"/>
  <c r="Q2490" i="3" s="1"/>
  <c r="Q2491" i="3" a="1"/>
  <c r="Q2491" i="3" s="1"/>
  <c r="Q2492" i="3" a="1"/>
  <c r="Q2492" i="3" s="1"/>
  <c r="Q2493" i="3" a="1"/>
  <c r="Q2493" i="3" s="1"/>
  <c r="Q2494" i="3" a="1"/>
  <c r="Q2494" i="3" s="1"/>
  <c r="Q2495" i="3" a="1"/>
  <c r="Q2495" i="3" s="1"/>
  <c r="Q2496" i="3" a="1"/>
  <c r="Q2496" i="3" s="1"/>
  <c r="Q2497" i="3" a="1"/>
  <c r="Q2497" i="3" s="1"/>
  <c r="Q2498" i="3" a="1"/>
  <c r="Q2498" i="3" s="1"/>
  <c r="Q2499" i="3" a="1"/>
  <c r="Q2499" i="3" s="1"/>
  <c r="Q2500" i="3" a="1"/>
  <c r="Q2500" i="3" s="1"/>
  <c r="Q2501" i="3" a="1"/>
  <c r="Q2501" i="3" s="1"/>
  <c r="Q2502" i="3" a="1"/>
  <c r="Q2502" i="3" s="1"/>
  <c r="Q2503" i="3" a="1"/>
  <c r="Q2503" i="3" s="1"/>
  <c r="Q2504" i="3" a="1"/>
  <c r="Q2504" i="3" s="1"/>
  <c r="Q2505" i="3" a="1"/>
  <c r="Q2505" i="3" s="1"/>
  <c r="Q2506" i="3" a="1"/>
  <c r="Q2506" i="3" s="1"/>
  <c r="Q2507" i="3" a="1"/>
  <c r="Q2507" i="3" s="1"/>
  <c r="Q2508" i="3" a="1"/>
  <c r="Q2508" i="3" s="1"/>
  <c r="Q2509" i="3" a="1"/>
  <c r="Q2509" i="3" s="1"/>
  <c r="Q2510" i="3" a="1"/>
  <c r="Q2510" i="3" s="1"/>
  <c r="Q2511" i="3" a="1"/>
  <c r="Q2511" i="3" s="1"/>
  <c r="Q2512" i="3" a="1"/>
  <c r="Q2512" i="3" s="1"/>
  <c r="Q2513" i="3" a="1"/>
  <c r="Q2513" i="3" s="1"/>
  <c r="Q2514" i="3" a="1"/>
  <c r="Q2514" i="3" s="1"/>
  <c r="Q2515" i="3" a="1"/>
  <c r="Q2515" i="3" s="1"/>
  <c r="Q2516" i="3" a="1"/>
  <c r="Q2516" i="3" s="1"/>
  <c r="Q2517" i="3" a="1"/>
  <c r="Q2517" i="3" s="1"/>
  <c r="Q2518" i="3" a="1"/>
  <c r="Q2518" i="3" s="1"/>
  <c r="Q2519" i="3" a="1"/>
  <c r="Q2519" i="3" s="1"/>
  <c r="Q2520" i="3" a="1"/>
  <c r="Q2520" i="3" s="1"/>
  <c r="Q2521" i="3" a="1"/>
  <c r="Q2521" i="3" s="1"/>
  <c r="Q2522" i="3" a="1"/>
  <c r="Q2522" i="3" s="1"/>
  <c r="Q2523" i="3" a="1"/>
  <c r="Q2523" i="3" s="1"/>
  <c r="Q2524" i="3" a="1"/>
  <c r="Q2524" i="3" s="1"/>
  <c r="Q2525" i="3" a="1"/>
  <c r="Q2525" i="3" s="1"/>
  <c r="Q2526" i="3" a="1"/>
  <c r="Q2526" i="3" s="1"/>
  <c r="Q2527" i="3" a="1"/>
  <c r="Q2527" i="3" s="1"/>
  <c r="Q2528" i="3" a="1"/>
  <c r="Q2528" i="3" s="1"/>
  <c r="Q2529" i="3" a="1"/>
  <c r="Q2529" i="3" s="1"/>
  <c r="Q2530" i="3" a="1"/>
  <c r="Q2530" i="3" s="1"/>
  <c r="Q2531" i="3" a="1"/>
  <c r="Q2531" i="3" s="1"/>
  <c r="Q2532" i="3" a="1"/>
  <c r="Q2532" i="3" s="1"/>
  <c r="Q2533" i="3" a="1"/>
  <c r="Q2533" i="3" s="1"/>
  <c r="Q2534" i="3" a="1"/>
  <c r="Q2534" i="3" s="1"/>
  <c r="Q2535" i="3" a="1"/>
  <c r="Q2535" i="3" s="1"/>
  <c r="Q2536" i="3" a="1"/>
  <c r="Q2536" i="3" s="1"/>
  <c r="Q2537" i="3" a="1"/>
  <c r="Q2537" i="3" s="1"/>
  <c r="Q2538" i="3" a="1"/>
  <c r="Q2538" i="3" s="1"/>
  <c r="Q2539" i="3" a="1"/>
  <c r="Q2539" i="3" s="1"/>
  <c r="Q2540" i="3" a="1"/>
  <c r="Q2540" i="3" s="1"/>
  <c r="Q2541" i="3" a="1"/>
  <c r="Q2541" i="3" s="1"/>
  <c r="Q2542" i="3" a="1"/>
  <c r="Q2542" i="3" s="1"/>
  <c r="Q2543" i="3" a="1"/>
  <c r="Q2543" i="3" s="1"/>
  <c r="Q2544" i="3" a="1"/>
  <c r="Q2544" i="3" s="1"/>
  <c r="Q2545" i="3" a="1"/>
  <c r="Q2545" i="3" s="1"/>
  <c r="Q2546" i="3" a="1"/>
  <c r="Q2546" i="3" s="1"/>
  <c r="Q2547" i="3" a="1"/>
  <c r="Q2547" i="3" s="1"/>
  <c r="Q2548" i="3" a="1"/>
  <c r="Q2548" i="3" s="1"/>
  <c r="Q2549" i="3" a="1"/>
  <c r="Q2549" i="3" s="1"/>
  <c r="Q2550" i="3" a="1"/>
  <c r="Q2550" i="3" s="1"/>
  <c r="Q2551" i="3" a="1"/>
  <c r="Q2551" i="3" s="1"/>
  <c r="Q2552" i="3" a="1"/>
  <c r="Q2552" i="3" s="1"/>
  <c r="Q2553" i="3" a="1"/>
  <c r="Q2553" i="3" s="1"/>
  <c r="Q2554" i="3" a="1"/>
  <c r="Q2554" i="3" s="1"/>
  <c r="Q2555" i="3" a="1"/>
  <c r="Q2555" i="3" s="1"/>
  <c r="Q2556" i="3" a="1"/>
  <c r="Q2556" i="3" s="1"/>
  <c r="Q2557" i="3" a="1"/>
  <c r="Q2557" i="3" s="1"/>
  <c r="Q2558" i="3" a="1"/>
  <c r="Q2558" i="3" s="1"/>
  <c r="Q2559" i="3" a="1"/>
  <c r="Q2559" i="3" s="1"/>
  <c r="Q2560" i="3" a="1"/>
  <c r="Q2560" i="3" s="1"/>
  <c r="Q2561" i="3" a="1"/>
  <c r="Q2561" i="3" s="1"/>
  <c r="Q2562" i="3" a="1"/>
  <c r="Q2562" i="3" s="1"/>
  <c r="Q2563" i="3" a="1"/>
  <c r="Q2563" i="3" s="1"/>
  <c r="Q2564" i="3" a="1"/>
  <c r="Q2564" i="3" s="1"/>
  <c r="Q2565" i="3" a="1"/>
  <c r="Q2565" i="3" s="1"/>
  <c r="Q2566" i="3" a="1"/>
  <c r="Q2566" i="3" s="1"/>
  <c r="Q2567" i="3" a="1"/>
  <c r="Q2567" i="3" s="1"/>
  <c r="Q2568" i="3" a="1"/>
  <c r="Q2568" i="3" s="1"/>
  <c r="Q2569" i="3" a="1"/>
  <c r="Q2569" i="3" s="1"/>
  <c r="Q2570" i="3" a="1"/>
  <c r="Q2570" i="3" s="1"/>
  <c r="Q2571" i="3" a="1"/>
  <c r="Q2571" i="3" s="1"/>
  <c r="Q2572" i="3" a="1"/>
  <c r="Q2572" i="3" s="1"/>
  <c r="Q2573" i="3" a="1"/>
  <c r="Q2573" i="3" s="1"/>
  <c r="Q2574" i="3" a="1"/>
  <c r="Q2574" i="3" s="1"/>
  <c r="Q2575" i="3" a="1"/>
  <c r="Q2575" i="3" s="1"/>
  <c r="Q2576" i="3" a="1"/>
  <c r="Q2576" i="3" s="1"/>
  <c r="Q2577" i="3" a="1"/>
  <c r="Q2577" i="3" s="1"/>
  <c r="Q2578" i="3" a="1"/>
  <c r="Q2578" i="3" s="1"/>
  <c r="Q2579" i="3" a="1"/>
  <c r="Q2579" i="3" s="1"/>
  <c r="Q2580" i="3" a="1"/>
  <c r="Q2580" i="3" s="1"/>
  <c r="Q2581" i="3" a="1"/>
  <c r="Q2581" i="3" s="1"/>
  <c r="Q2582" i="3" a="1"/>
  <c r="Q2582" i="3" s="1"/>
  <c r="Q2583" i="3" a="1"/>
  <c r="Q2583" i="3" s="1"/>
  <c r="Q2584" i="3" a="1"/>
  <c r="Q2584" i="3" s="1"/>
  <c r="Q2585" i="3" a="1"/>
  <c r="Q2585" i="3" s="1"/>
  <c r="Q2586" i="3" a="1"/>
  <c r="Q2586" i="3" s="1"/>
  <c r="Q2587" i="3" a="1"/>
  <c r="Q2587" i="3" s="1"/>
  <c r="Q2588" i="3" a="1"/>
  <c r="Q2588" i="3" s="1"/>
  <c r="Q2589" i="3" a="1"/>
  <c r="Q2589" i="3" s="1"/>
  <c r="Q2590" i="3" a="1"/>
  <c r="Q2590" i="3" s="1"/>
  <c r="Q2591" i="3" a="1"/>
  <c r="Q2591" i="3" s="1"/>
  <c r="Q2592" i="3" a="1"/>
  <c r="Q2592" i="3" s="1"/>
  <c r="Q2593" i="3" a="1"/>
  <c r="Q2593" i="3" s="1"/>
  <c r="Q2594" i="3" a="1"/>
  <c r="Q2594" i="3" s="1"/>
  <c r="Q2595" i="3" a="1"/>
  <c r="Q2595" i="3" s="1"/>
  <c r="Q2596" i="3" a="1"/>
  <c r="Q2596" i="3" s="1"/>
  <c r="Q2597" i="3" a="1"/>
  <c r="Q2597" i="3" s="1"/>
  <c r="Q2598" i="3" a="1"/>
  <c r="Q2598" i="3" s="1"/>
  <c r="Q2599" i="3" a="1"/>
  <c r="Q2599" i="3" s="1"/>
  <c r="Q2600" i="3" a="1"/>
  <c r="Q2600" i="3" s="1"/>
  <c r="Q2601" i="3" a="1"/>
  <c r="Q2601" i="3" s="1"/>
  <c r="Q2602" i="3" a="1"/>
  <c r="Q2602" i="3" s="1"/>
  <c r="Q2603" i="3" a="1"/>
  <c r="Q2603" i="3" s="1"/>
  <c r="Q2604" i="3" a="1"/>
  <c r="Q2604" i="3" s="1"/>
  <c r="Q2605" i="3" a="1"/>
  <c r="Q2605" i="3" s="1"/>
  <c r="Q2606" i="3" a="1"/>
  <c r="Q2606" i="3" s="1"/>
  <c r="Q2607" i="3" a="1"/>
  <c r="Q2607" i="3" s="1"/>
  <c r="Q2608" i="3" a="1"/>
  <c r="Q2608" i="3" s="1"/>
  <c r="Q2609" i="3" a="1"/>
  <c r="Q2609" i="3" s="1"/>
  <c r="Q2610" i="3" a="1"/>
  <c r="Q2610" i="3" s="1"/>
  <c r="Q2611" i="3" a="1"/>
  <c r="Q2611" i="3" s="1"/>
  <c r="Q2612" i="3" a="1"/>
  <c r="Q2612" i="3" s="1"/>
  <c r="Q2613" i="3" a="1"/>
  <c r="Q2613" i="3" s="1"/>
  <c r="Q2614" i="3" a="1"/>
  <c r="Q2614" i="3" s="1"/>
  <c r="Q2615" i="3" a="1"/>
  <c r="Q2615" i="3" s="1"/>
  <c r="Q2616" i="3" a="1"/>
  <c r="Q2616" i="3" s="1"/>
  <c r="Q2617" i="3" a="1"/>
  <c r="Q2617" i="3" s="1"/>
  <c r="Q2618" i="3" a="1"/>
  <c r="Q2618" i="3" s="1"/>
  <c r="Q2619" i="3" a="1"/>
  <c r="Q2619" i="3" s="1"/>
  <c r="Q2620" i="3" a="1"/>
  <c r="Q2620" i="3" s="1"/>
  <c r="Q2621" i="3" a="1"/>
  <c r="Q2621" i="3" s="1"/>
  <c r="Q2622" i="3" a="1"/>
  <c r="Q2622" i="3" s="1"/>
  <c r="Q2623" i="3" a="1"/>
  <c r="Q2623" i="3" s="1"/>
  <c r="Q2624" i="3" a="1"/>
  <c r="Q2624" i="3" s="1"/>
  <c r="Q3" i="3" a="1"/>
  <c r="Q3" i="3" s="1"/>
  <c r="L4" i="3"/>
  <c r="L5" i="3"/>
  <c r="L6" i="3"/>
  <c r="L7" i="3"/>
  <c r="L8" i="3"/>
  <c r="L9" i="3"/>
  <c r="L10" i="3"/>
  <c r="L11" i="3"/>
  <c r="L12" i="3"/>
  <c r="L13" i="3"/>
  <c r="L14" i="3"/>
  <c r="L15" i="3"/>
  <c r="L16" i="3"/>
  <c r="L17" i="3"/>
  <c r="L18" i="3"/>
  <c r="L19" i="3"/>
  <c r="L20" i="3"/>
  <c r="L21" i="3"/>
  <c r="L22" i="3"/>
  <c r="L23" i="3"/>
  <c r="L24" i="3"/>
  <c r="L25" i="3"/>
  <c r="L26" i="3"/>
  <c r="L27" i="3"/>
  <c r="L28" i="3"/>
  <c r="L29" i="3"/>
  <c r="L30" i="3"/>
  <c r="L31" i="3"/>
  <c r="L32" i="3"/>
  <c r="L33" i="3"/>
  <c r="L34" i="3"/>
  <c r="L35" i="3"/>
  <c r="L36" i="3"/>
  <c r="L37" i="3"/>
  <c r="L38" i="3"/>
  <c r="L39" i="3"/>
  <c r="L40" i="3"/>
  <c r="L41" i="3"/>
  <c r="L42" i="3"/>
  <c r="L43" i="3"/>
  <c r="L44" i="3"/>
  <c r="L45" i="3"/>
  <c r="L46" i="3"/>
  <c r="L47" i="3"/>
  <c r="L48" i="3"/>
  <c r="L49" i="3"/>
  <c r="L50" i="3"/>
  <c r="L51" i="3"/>
  <c r="L52" i="3"/>
  <c r="L53" i="3"/>
  <c r="L54" i="3"/>
  <c r="L55" i="3"/>
  <c r="L56" i="3"/>
  <c r="L57" i="3"/>
  <c r="L58" i="3"/>
  <c r="L59" i="3"/>
  <c r="L60" i="3"/>
  <c r="L61" i="3"/>
  <c r="L62" i="3"/>
  <c r="L63" i="3"/>
  <c r="L64" i="3"/>
  <c r="L65" i="3"/>
  <c r="L66" i="3"/>
  <c r="L67" i="3"/>
  <c r="L68" i="3"/>
  <c r="L69" i="3"/>
  <c r="L70" i="3"/>
  <c r="L71" i="3"/>
  <c r="L72" i="3"/>
  <c r="L73" i="3"/>
  <c r="L74" i="3"/>
  <c r="L75" i="3"/>
  <c r="L76" i="3"/>
  <c r="L77" i="3"/>
  <c r="L78" i="3"/>
  <c r="L79" i="3"/>
  <c r="L80" i="3"/>
  <c r="L81" i="3"/>
  <c r="L82" i="3"/>
  <c r="L83" i="3"/>
  <c r="L84" i="3"/>
  <c r="L85" i="3"/>
  <c r="L86" i="3"/>
  <c r="L87" i="3"/>
  <c r="L88" i="3"/>
  <c r="L89" i="3"/>
  <c r="L90" i="3"/>
  <c r="L91" i="3"/>
  <c r="L92" i="3"/>
  <c r="L93" i="3"/>
  <c r="L94" i="3"/>
  <c r="L95" i="3"/>
  <c r="L96" i="3"/>
  <c r="L97" i="3"/>
  <c r="L98" i="3"/>
  <c r="L99" i="3"/>
  <c r="L100" i="3"/>
  <c r="L101" i="3"/>
  <c r="L102" i="3"/>
  <c r="L103" i="3"/>
  <c r="L104" i="3"/>
  <c r="L105" i="3"/>
  <c r="L106" i="3"/>
  <c r="L107" i="3"/>
  <c r="L108" i="3"/>
  <c r="L109" i="3"/>
  <c r="L110" i="3"/>
  <c r="L111" i="3"/>
  <c r="L112" i="3"/>
  <c r="L113" i="3"/>
  <c r="L114" i="3"/>
  <c r="L115" i="3"/>
  <c r="L116" i="3"/>
  <c r="L117" i="3"/>
  <c r="L118" i="3"/>
  <c r="L119" i="3"/>
  <c r="L120" i="3"/>
  <c r="L121" i="3"/>
  <c r="L122" i="3"/>
  <c r="L123" i="3"/>
  <c r="L124" i="3"/>
  <c r="L125" i="3"/>
  <c r="L126" i="3"/>
  <c r="L127" i="3"/>
  <c r="L128" i="3"/>
  <c r="L129" i="3"/>
  <c r="L130" i="3"/>
  <c r="L131" i="3"/>
  <c r="L132" i="3"/>
  <c r="L133" i="3"/>
  <c r="L134" i="3"/>
  <c r="L135" i="3"/>
  <c r="L136" i="3"/>
  <c r="L137" i="3"/>
  <c r="L138" i="3"/>
  <c r="L139" i="3"/>
  <c r="L140" i="3"/>
  <c r="L141" i="3"/>
  <c r="L142" i="3"/>
  <c r="L143" i="3"/>
  <c r="L144" i="3"/>
  <c r="L145" i="3"/>
  <c r="L146" i="3"/>
  <c r="L147" i="3"/>
  <c r="L148" i="3"/>
  <c r="L149" i="3"/>
  <c r="L150" i="3"/>
  <c r="L151" i="3"/>
  <c r="L152" i="3"/>
  <c r="L153" i="3"/>
  <c r="L154" i="3"/>
  <c r="L155" i="3"/>
  <c r="L156" i="3"/>
  <c r="L157" i="3"/>
  <c r="L158" i="3"/>
  <c r="L159" i="3"/>
  <c r="L160" i="3"/>
  <c r="L161" i="3"/>
  <c r="L162" i="3"/>
  <c r="L163" i="3"/>
  <c r="L164" i="3"/>
  <c r="L165" i="3"/>
  <c r="L166" i="3"/>
  <c r="L167" i="3"/>
  <c r="L168" i="3"/>
  <c r="L169" i="3"/>
  <c r="L170" i="3"/>
  <c r="L171" i="3"/>
  <c r="L172" i="3"/>
  <c r="L173" i="3"/>
  <c r="L174" i="3"/>
  <c r="L175" i="3"/>
  <c r="L176" i="3"/>
  <c r="L177" i="3"/>
  <c r="L178" i="3"/>
  <c r="L179" i="3"/>
  <c r="L180" i="3"/>
  <c r="L181" i="3"/>
  <c r="L182" i="3"/>
  <c r="L183" i="3"/>
  <c r="L184" i="3"/>
  <c r="L185" i="3"/>
  <c r="L186" i="3"/>
  <c r="L187" i="3"/>
  <c r="L188" i="3"/>
  <c r="L189" i="3"/>
  <c r="L190" i="3"/>
  <c r="L191" i="3"/>
  <c r="L192" i="3"/>
  <c r="L193" i="3"/>
  <c r="L194" i="3"/>
  <c r="L195" i="3"/>
  <c r="L196" i="3"/>
  <c r="L197" i="3"/>
  <c r="L198" i="3"/>
  <c r="L199" i="3"/>
  <c r="L200" i="3"/>
  <c r="L201" i="3"/>
  <c r="L202" i="3"/>
  <c r="L203" i="3"/>
  <c r="L204" i="3"/>
  <c r="L205" i="3"/>
  <c r="L206" i="3"/>
  <c r="L207" i="3"/>
  <c r="L208" i="3"/>
  <c r="L209" i="3"/>
  <c r="L210" i="3"/>
  <c r="L211" i="3"/>
  <c r="L212" i="3"/>
  <c r="L213" i="3"/>
  <c r="L214" i="3"/>
  <c r="L215" i="3"/>
  <c r="L216" i="3"/>
  <c r="L217" i="3"/>
  <c r="L218" i="3"/>
  <c r="L219" i="3"/>
  <c r="L220" i="3"/>
  <c r="L221" i="3"/>
  <c r="L222" i="3"/>
  <c r="L223" i="3"/>
  <c r="L224" i="3"/>
  <c r="L225" i="3"/>
  <c r="L226" i="3"/>
  <c r="L227" i="3"/>
  <c r="L228" i="3"/>
  <c r="L229" i="3"/>
  <c r="L230" i="3"/>
  <c r="L231" i="3"/>
  <c r="L232" i="3"/>
  <c r="L233" i="3"/>
  <c r="L234" i="3"/>
  <c r="L235" i="3"/>
  <c r="L236" i="3"/>
  <c r="L237" i="3"/>
  <c r="L238" i="3"/>
  <c r="L239" i="3"/>
  <c r="L240" i="3"/>
  <c r="L241" i="3"/>
  <c r="L242" i="3"/>
  <c r="L243" i="3"/>
  <c r="L244" i="3"/>
  <c r="L245" i="3"/>
  <c r="L246" i="3"/>
  <c r="L247" i="3"/>
  <c r="L248" i="3"/>
  <c r="L249" i="3"/>
  <c r="L250" i="3"/>
  <c r="L251" i="3"/>
  <c r="L252" i="3"/>
  <c r="L253" i="3"/>
  <c r="L254" i="3"/>
  <c r="L255" i="3"/>
  <c r="L256" i="3"/>
  <c r="L257" i="3"/>
  <c r="L258" i="3"/>
  <c r="L259" i="3"/>
  <c r="L260" i="3"/>
  <c r="L261" i="3"/>
  <c r="L262" i="3"/>
  <c r="L263" i="3"/>
  <c r="L264" i="3"/>
  <c r="L265" i="3"/>
  <c r="L266" i="3"/>
  <c r="L267" i="3"/>
  <c r="L268" i="3"/>
  <c r="L269" i="3"/>
  <c r="L270" i="3"/>
  <c r="L271" i="3"/>
  <c r="L272" i="3"/>
  <c r="L273" i="3"/>
  <c r="L274" i="3"/>
  <c r="L275" i="3"/>
  <c r="L276" i="3"/>
  <c r="L277" i="3"/>
  <c r="L278" i="3"/>
  <c r="L279" i="3"/>
  <c r="L280" i="3"/>
  <c r="L281" i="3"/>
  <c r="L282" i="3"/>
  <c r="L283" i="3"/>
  <c r="L284" i="3"/>
  <c r="L285" i="3"/>
  <c r="L286" i="3"/>
  <c r="L287" i="3"/>
  <c r="L288" i="3"/>
  <c r="L289" i="3"/>
  <c r="L290" i="3"/>
  <c r="L291" i="3"/>
  <c r="L292" i="3"/>
  <c r="L293" i="3"/>
  <c r="L294" i="3"/>
  <c r="L295" i="3"/>
  <c r="L296" i="3"/>
  <c r="L297" i="3"/>
  <c r="L298" i="3"/>
  <c r="L299" i="3"/>
  <c r="L300" i="3"/>
  <c r="L301" i="3"/>
  <c r="L302" i="3"/>
  <c r="L303" i="3"/>
  <c r="L304" i="3"/>
  <c r="L305" i="3"/>
  <c r="L306" i="3"/>
  <c r="L307" i="3"/>
  <c r="L308" i="3"/>
  <c r="L309" i="3"/>
  <c r="L310" i="3"/>
  <c r="L311" i="3"/>
  <c r="L312" i="3"/>
  <c r="L313" i="3"/>
  <c r="L314" i="3"/>
  <c r="L315" i="3"/>
  <c r="L316" i="3"/>
  <c r="L317" i="3"/>
  <c r="L318" i="3"/>
  <c r="L319" i="3"/>
  <c r="L320" i="3"/>
  <c r="L321" i="3"/>
  <c r="L322" i="3"/>
  <c r="L323" i="3"/>
  <c r="L324" i="3"/>
  <c r="L325" i="3"/>
  <c r="L326" i="3"/>
  <c r="L327" i="3"/>
  <c r="L328" i="3"/>
  <c r="L329" i="3"/>
  <c r="L330" i="3"/>
  <c r="L331" i="3"/>
  <c r="L332" i="3"/>
  <c r="L333" i="3"/>
  <c r="L334" i="3"/>
  <c r="L335" i="3"/>
  <c r="L336" i="3"/>
  <c r="L337" i="3"/>
  <c r="L338" i="3"/>
  <c r="L339" i="3"/>
  <c r="L340" i="3"/>
  <c r="L341" i="3"/>
  <c r="L342" i="3"/>
  <c r="L343" i="3"/>
  <c r="L344" i="3"/>
  <c r="L345" i="3"/>
  <c r="L346" i="3"/>
  <c r="L347" i="3"/>
  <c r="L348" i="3"/>
  <c r="L349" i="3"/>
  <c r="L350" i="3"/>
  <c r="L351" i="3"/>
  <c r="L352" i="3"/>
  <c r="L353" i="3"/>
  <c r="L354" i="3"/>
  <c r="L355" i="3"/>
  <c r="L356" i="3"/>
  <c r="L357" i="3"/>
  <c r="L358" i="3"/>
  <c r="L359" i="3"/>
  <c r="L360" i="3"/>
  <c r="L361" i="3"/>
  <c r="L362" i="3"/>
  <c r="L363" i="3"/>
  <c r="L364" i="3"/>
  <c r="L365" i="3"/>
  <c r="L366" i="3"/>
  <c r="L367" i="3"/>
  <c r="L368" i="3"/>
  <c r="L369" i="3"/>
  <c r="L370" i="3"/>
  <c r="L371" i="3"/>
  <c r="L372" i="3"/>
  <c r="L373" i="3"/>
  <c r="L374" i="3"/>
  <c r="L375" i="3"/>
  <c r="L376" i="3"/>
  <c r="L377" i="3"/>
  <c r="L378" i="3"/>
  <c r="L379" i="3"/>
  <c r="L380" i="3"/>
  <c r="L381" i="3"/>
  <c r="L382" i="3"/>
  <c r="L383" i="3"/>
  <c r="L384" i="3"/>
  <c r="L385" i="3"/>
  <c r="L386" i="3"/>
  <c r="L387" i="3"/>
  <c r="L388" i="3"/>
  <c r="L389" i="3"/>
  <c r="L390" i="3"/>
  <c r="L391" i="3"/>
  <c r="L392" i="3"/>
  <c r="L393" i="3"/>
  <c r="L394" i="3"/>
  <c r="L395" i="3"/>
  <c r="L396" i="3"/>
  <c r="L397" i="3"/>
  <c r="L398" i="3"/>
  <c r="L399" i="3"/>
  <c r="L400" i="3"/>
  <c r="L401" i="3"/>
  <c r="L402" i="3"/>
  <c r="L403" i="3"/>
  <c r="L404" i="3"/>
  <c r="L405" i="3"/>
  <c r="L406" i="3"/>
  <c r="L407" i="3"/>
  <c r="L408" i="3"/>
  <c r="L409" i="3"/>
  <c r="L410" i="3"/>
  <c r="L411" i="3"/>
  <c r="L412" i="3"/>
  <c r="L413" i="3"/>
  <c r="L414" i="3"/>
  <c r="L415" i="3"/>
  <c r="L416" i="3"/>
  <c r="L417" i="3"/>
  <c r="L418" i="3"/>
  <c r="L419" i="3"/>
  <c r="L420" i="3"/>
  <c r="L421" i="3"/>
  <c r="L422" i="3"/>
  <c r="L423" i="3"/>
  <c r="L424" i="3"/>
  <c r="L425" i="3"/>
  <c r="L426" i="3"/>
  <c r="L427" i="3"/>
  <c r="L428" i="3"/>
  <c r="L429" i="3"/>
  <c r="L430" i="3"/>
  <c r="L431" i="3"/>
  <c r="L432" i="3"/>
  <c r="L433" i="3"/>
  <c r="L434" i="3"/>
  <c r="L435" i="3"/>
  <c r="L436" i="3"/>
  <c r="L437" i="3"/>
  <c r="L438" i="3"/>
  <c r="L439" i="3"/>
  <c r="L440" i="3"/>
  <c r="L441" i="3"/>
  <c r="L442" i="3"/>
  <c r="L443" i="3"/>
  <c r="L444" i="3"/>
  <c r="L445" i="3"/>
  <c r="L446" i="3"/>
  <c r="L447" i="3"/>
  <c r="L448" i="3"/>
  <c r="L449" i="3"/>
  <c r="L450" i="3"/>
  <c r="L451" i="3"/>
  <c r="L452" i="3"/>
  <c r="L453" i="3"/>
  <c r="L454" i="3"/>
  <c r="L455" i="3"/>
  <c r="L456" i="3"/>
  <c r="L457" i="3"/>
  <c r="L458" i="3"/>
  <c r="L459" i="3"/>
  <c r="L460" i="3"/>
  <c r="L461" i="3"/>
  <c r="L462" i="3"/>
  <c r="L463" i="3"/>
  <c r="L464" i="3"/>
  <c r="L465" i="3"/>
  <c r="L466" i="3"/>
  <c r="L467" i="3"/>
  <c r="L468" i="3"/>
  <c r="L469" i="3"/>
  <c r="L470" i="3"/>
  <c r="L471" i="3"/>
  <c r="L472" i="3"/>
  <c r="L473" i="3"/>
  <c r="L474" i="3"/>
  <c r="L475" i="3"/>
  <c r="L476" i="3"/>
  <c r="L477" i="3"/>
  <c r="L478" i="3"/>
  <c r="L479" i="3"/>
  <c r="L480" i="3"/>
  <c r="L481" i="3"/>
  <c r="L482" i="3"/>
  <c r="L483" i="3"/>
  <c r="L484" i="3"/>
  <c r="L485" i="3"/>
  <c r="L486" i="3"/>
  <c r="L487" i="3"/>
  <c r="L488" i="3"/>
  <c r="L489" i="3"/>
  <c r="L490" i="3"/>
  <c r="L491" i="3"/>
  <c r="L492" i="3"/>
  <c r="L493" i="3"/>
  <c r="L494" i="3"/>
  <c r="L495" i="3"/>
  <c r="L496" i="3"/>
  <c r="L497" i="3"/>
  <c r="L498" i="3"/>
  <c r="L499" i="3"/>
  <c r="L500" i="3"/>
  <c r="L501" i="3"/>
  <c r="L502" i="3"/>
  <c r="L503" i="3"/>
  <c r="L504" i="3"/>
  <c r="L505" i="3"/>
  <c r="L506" i="3"/>
  <c r="L507" i="3"/>
  <c r="L508" i="3"/>
  <c r="L509" i="3"/>
  <c r="L510" i="3"/>
  <c r="L511" i="3"/>
  <c r="L512" i="3"/>
  <c r="L513" i="3"/>
  <c r="L514" i="3"/>
  <c r="L515" i="3"/>
  <c r="L516" i="3"/>
  <c r="L517" i="3"/>
  <c r="L518" i="3"/>
  <c r="L519" i="3"/>
  <c r="L520" i="3"/>
  <c r="L521" i="3"/>
  <c r="L522" i="3"/>
  <c r="L523" i="3"/>
  <c r="L524" i="3"/>
  <c r="L525" i="3"/>
  <c r="L526" i="3"/>
  <c r="L527" i="3"/>
  <c r="L528" i="3"/>
  <c r="L529" i="3"/>
  <c r="L530" i="3"/>
  <c r="L531" i="3"/>
  <c r="L532" i="3"/>
  <c r="L533" i="3"/>
  <c r="L534" i="3"/>
  <c r="L535" i="3"/>
  <c r="L536" i="3"/>
  <c r="L537" i="3"/>
  <c r="L538" i="3"/>
  <c r="L539" i="3"/>
  <c r="L540" i="3"/>
  <c r="L541" i="3"/>
  <c r="L542" i="3"/>
  <c r="L543" i="3"/>
  <c r="L544" i="3"/>
  <c r="L545" i="3"/>
  <c r="L546" i="3"/>
  <c r="L547" i="3"/>
  <c r="L548" i="3"/>
  <c r="L549" i="3"/>
  <c r="L550" i="3"/>
  <c r="L551" i="3"/>
  <c r="L552" i="3"/>
  <c r="L553" i="3"/>
  <c r="L554" i="3"/>
  <c r="L555" i="3"/>
  <c r="L556" i="3"/>
  <c r="L557" i="3"/>
  <c r="L558" i="3"/>
  <c r="L559" i="3"/>
  <c r="L560" i="3"/>
  <c r="L561" i="3"/>
  <c r="L562" i="3"/>
  <c r="L563" i="3"/>
  <c r="L564" i="3"/>
  <c r="L565" i="3"/>
  <c r="L566" i="3"/>
  <c r="L567" i="3"/>
  <c r="L568" i="3"/>
  <c r="L569" i="3"/>
  <c r="L570" i="3"/>
  <c r="L571" i="3"/>
  <c r="L572" i="3"/>
  <c r="L573" i="3"/>
  <c r="L574" i="3"/>
  <c r="L575" i="3"/>
  <c r="L576" i="3"/>
  <c r="L577" i="3"/>
  <c r="L578" i="3"/>
  <c r="L579" i="3"/>
  <c r="L580" i="3"/>
  <c r="L581" i="3"/>
  <c r="L582" i="3"/>
  <c r="L583" i="3"/>
  <c r="L584" i="3"/>
  <c r="L585" i="3"/>
  <c r="L586" i="3"/>
  <c r="L587" i="3"/>
  <c r="L588" i="3"/>
  <c r="L589" i="3"/>
  <c r="L590" i="3"/>
  <c r="L591" i="3"/>
  <c r="L592" i="3"/>
  <c r="L593" i="3"/>
  <c r="L594" i="3"/>
  <c r="L595" i="3"/>
  <c r="L596" i="3"/>
  <c r="L597" i="3"/>
  <c r="L598" i="3"/>
  <c r="L599" i="3"/>
  <c r="L600" i="3"/>
  <c r="L601" i="3"/>
  <c r="L602" i="3"/>
  <c r="L603" i="3"/>
  <c r="L604" i="3"/>
  <c r="L605" i="3"/>
  <c r="L606" i="3"/>
  <c r="L607" i="3"/>
  <c r="L608" i="3"/>
  <c r="L609" i="3"/>
  <c r="L610" i="3"/>
  <c r="L611" i="3"/>
  <c r="L612" i="3"/>
  <c r="L613" i="3"/>
  <c r="L614" i="3"/>
  <c r="L615" i="3"/>
  <c r="L616" i="3"/>
  <c r="L617" i="3"/>
  <c r="L618" i="3"/>
  <c r="L619" i="3"/>
  <c r="L620" i="3"/>
  <c r="L621" i="3"/>
  <c r="L622" i="3"/>
  <c r="L623" i="3"/>
  <c r="L624" i="3"/>
  <c r="L625" i="3"/>
  <c r="L626" i="3"/>
  <c r="L627" i="3"/>
  <c r="L628" i="3"/>
  <c r="L629" i="3"/>
  <c r="L630" i="3"/>
  <c r="L631" i="3"/>
  <c r="L632" i="3"/>
  <c r="L633" i="3"/>
  <c r="L634" i="3"/>
  <c r="L635" i="3"/>
  <c r="L636" i="3"/>
  <c r="L637" i="3"/>
  <c r="L638" i="3"/>
  <c r="L639" i="3"/>
  <c r="L640" i="3"/>
  <c r="L641" i="3"/>
  <c r="L642" i="3"/>
  <c r="L643" i="3"/>
  <c r="L644" i="3"/>
  <c r="L645" i="3"/>
  <c r="L646" i="3"/>
  <c r="L647" i="3"/>
  <c r="L648" i="3"/>
  <c r="L649" i="3"/>
  <c r="L650" i="3"/>
  <c r="L651" i="3"/>
  <c r="L652" i="3"/>
  <c r="L653" i="3"/>
  <c r="L654" i="3"/>
  <c r="L655" i="3"/>
  <c r="L656" i="3"/>
  <c r="L657" i="3"/>
  <c r="L658" i="3"/>
  <c r="L659" i="3"/>
  <c r="L660" i="3"/>
  <c r="L661" i="3"/>
  <c r="L662" i="3"/>
  <c r="L663" i="3"/>
  <c r="L664" i="3"/>
  <c r="L665" i="3"/>
  <c r="L666" i="3"/>
  <c r="L667" i="3"/>
  <c r="L668" i="3"/>
  <c r="L669" i="3"/>
  <c r="L670" i="3"/>
  <c r="L671" i="3"/>
  <c r="L672" i="3"/>
  <c r="L673" i="3"/>
  <c r="L674" i="3"/>
  <c r="L675" i="3"/>
  <c r="L676" i="3"/>
  <c r="L677" i="3"/>
  <c r="L678" i="3"/>
  <c r="L679" i="3"/>
  <c r="L680" i="3"/>
  <c r="L681" i="3"/>
  <c r="L682" i="3"/>
  <c r="L683" i="3"/>
  <c r="L684" i="3"/>
  <c r="L685" i="3"/>
  <c r="L686" i="3"/>
  <c r="L687" i="3"/>
  <c r="L688" i="3"/>
  <c r="L689" i="3"/>
  <c r="L690" i="3"/>
  <c r="L691" i="3"/>
  <c r="L692" i="3"/>
  <c r="L693" i="3"/>
  <c r="L694" i="3"/>
  <c r="L695" i="3"/>
  <c r="L696" i="3"/>
  <c r="L697" i="3"/>
  <c r="L698" i="3"/>
  <c r="L699" i="3"/>
  <c r="L700" i="3"/>
  <c r="L701" i="3"/>
  <c r="L702" i="3"/>
  <c r="L703" i="3"/>
  <c r="L704" i="3"/>
  <c r="L705" i="3"/>
  <c r="L706" i="3"/>
  <c r="L707" i="3"/>
  <c r="L708" i="3"/>
  <c r="L709" i="3"/>
  <c r="L710" i="3"/>
  <c r="L711" i="3"/>
  <c r="L712" i="3"/>
  <c r="L713" i="3"/>
  <c r="L714" i="3"/>
  <c r="L715" i="3"/>
  <c r="L716" i="3"/>
  <c r="L717" i="3"/>
  <c r="L718" i="3"/>
  <c r="L719" i="3"/>
  <c r="L720" i="3"/>
  <c r="L721" i="3"/>
  <c r="L722" i="3"/>
  <c r="L723" i="3"/>
  <c r="L724" i="3"/>
  <c r="L725" i="3"/>
  <c r="L726" i="3"/>
  <c r="L727" i="3"/>
  <c r="L728" i="3"/>
  <c r="L729" i="3"/>
  <c r="L730" i="3"/>
  <c r="L731" i="3"/>
  <c r="L732" i="3"/>
  <c r="L733" i="3"/>
  <c r="L734" i="3"/>
  <c r="L735" i="3"/>
  <c r="L736" i="3"/>
  <c r="L737" i="3"/>
  <c r="L738" i="3"/>
  <c r="L739" i="3"/>
  <c r="L740" i="3"/>
  <c r="L741" i="3"/>
  <c r="L742" i="3"/>
  <c r="L743" i="3"/>
  <c r="L744" i="3"/>
  <c r="L745" i="3"/>
  <c r="L746" i="3"/>
  <c r="L747" i="3"/>
  <c r="L748" i="3"/>
  <c r="L749" i="3"/>
  <c r="L750" i="3"/>
  <c r="L751" i="3"/>
  <c r="L752" i="3"/>
  <c r="L753" i="3"/>
  <c r="L754" i="3"/>
  <c r="L755" i="3"/>
  <c r="L756" i="3"/>
  <c r="L757" i="3"/>
  <c r="L758" i="3"/>
  <c r="L759" i="3"/>
  <c r="L760" i="3"/>
  <c r="L761" i="3"/>
  <c r="L762" i="3"/>
  <c r="L763" i="3"/>
  <c r="L764" i="3"/>
  <c r="L765" i="3"/>
  <c r="L766" i="3"/>
  <c r="L767" i="3"/>
  <c r="L768" i="3"/>
  <c r="L769" i="3"/>
  <c r="L770" i="3"/>
  <c r="L771" i="3"/>
  <c r="L772" i="3"/>
  <c r="L773" i="3"/>
  <c r="L774" i="3"/>
  <c r="L775" i="3"/>
  <c r="L776" i="3"/>
  <c r="L777" i="3"/>
  <c r="L778" i="3"/>
  <c r="L779" i="3"/>
  <c r="L780" i="3"/>
  <c r="L781" i="3"/>
  <c r="L782" i="3"/>
  <c r="L783" i="3"/>
  <c r="L784" i="3"/>
  <c r="L785" i="3"/>
  <c r="L786" i="3"/>
  <c r="L787" i="3"/>
  <c r="L788" i="3"/>
  <c r="L789" i="3"/>
  <c r="L790" i="3"/>
  <c r="L791" i="3"/>
  <c r="L792" i="3"/>
  <c r="L793" i="3"/>
  <c r="L794" i="3"/>
  <c r="L795" i="3"/>
  <c r="L796" i="3"/>
  <c r="L797" i="3"/>
  <c r="L798" i="3"/>
  <c r="L799" i="3"/>
  <c r="L800" i="3"/>
  <c r="L801" i="3"/>
  <c r="L802" i="3"/>
  <c r="L803" i="3"/>
  <c r="L804" i="3"/>
  <c r="L805" i="3"/>
  <c r="L806" i="3"/>
  <c r="L807" i="3"/>
  <c r="L808" i="3"/>
  <c r="L809" i="3"/>
  <c r="L810" i="3"/>
  <c r="L811" i="3"/>
  <c r="L812" i="3"/>
  <c r="L813" i="3"/>
  <c r="L814" i="3"/>
  <c r="L815" i="3"/>
  <c r="L816" i="3"/>
  <c r="L817" i="3"/>
  <c r="L818" i="3"/>
  <c r="L819" i="3"/>
  <c r="L820" i="3"/>
  <c r="L821" i="3"/>
  <c r="L822" i="3"/>
  <c r="L823" i="3"/>
  <c r="L824" i="3"/>
  <c r="L825" i="3"/>
  <c r="L826" i="3"/>
  <c r="L827" i="3"/>
  <c r="L828" i="3"/>
  <c r="L829" i="3"/>
  <c r="L830" i="3"/>
  <c r="L831" i="3"/>
  <c r="L832" i="3"/>
  <c r="L833" i="3"/>
  <c r="L834" i="3"/>
  <c r="L835" i="3"/>
  <c r="L836" i="3"/>
  <c r="L837" i="3"/>
  <c r="L838" i="3"/>
  <c r="L839" i="3"/>
  <c r="L840" i="3"/>
  <c r="L841" i="3"/>
  <c r="L842" i="3"/>
  <c r="L843" i="3"/>
  <c r="L844" i="3"/>
  <c r="L845" i="3"/>
  <c r="L846" i="3"/>
  <c r="L847" i="3"/>
  <c r="L848" i="3"/>
  <c r="L849" i="3"/>
  <c r="L850" i="3"/>
  <c r="L851" i="3"/>
  <c r="L852" i="3"/>
  <c r="L853" i="3"/>
  <c r="L854" i="3"/>
  <c r="L855" i="3"/>
  <c r="L856" i="3"/>
  <c r="L857" i="3"/>
  <c r="L858" i="3"/>
  <c r="L859" i="3"/>
  <c r="L860" i="3"/>
  <c r="L861" i="3"/>
  <c r="L862" i="3"/>
  <c r="L863" i="3"/>
  <c r="L864" i="3"/>
  <c r="L865" i="3"/>
  <c r="L866" i="3"/>
  <c r="L867" i="3"/>
  <c r="L868" i="3"/>
  <c r="L869" i="3"/>
  <c r="L870" i="3"/>
  <c r="L871" i="3"/>
  <c r="L872" i="3"/>
  <c r="L873" i="3"/>
  <c r="L874" i="3"/>
  <c r="L875" i="3"/>
  <c r="L876" i="3"/>
  <c r="L877" i="3"/>
  <c r="L878" i="3"/>
  <c r="L879" i="3"/>
  <c r="L880" i="3"/>
  <c r="L881" i="3"/>
  <c r="L882" i="3"/>
  <c r="L883" i="3"/>
  <c r="L884" i="3"/>
  <c r="L885" i="3"/>
  <c r="L886" i="3"/>
  <c r="L887" i="3"/>
  <c r="L888" i="3"/>
  <c r="L889" i="3"/>
  <c r="L890" i="3"/>
  <c r="L891" i="3"/>
  <c r="L892" i="3"/>
  <c r="L893" i="3"/>
  <c r="L894" i="3"/>
  <c r="L895" i="3"/>
  <c r="L896" i="3"/>
  <c r="L897" i="3"/>
  <c r="L898" i="3"/>
  <c r="L899" i="3"/>
  <c r="L900" i="3"/>
  <c r="L901" i="3"/>
  <c r="L902" i="3"/>
  <c r="L903" i="3"/>
  <c r="L904" i="3"/>
  <c r="L905" i="3"/>
  <c r="L906" i="3"/>
  <c r="L907" i="3"/>
  <c r="L908" i="3"/>
  <c r="L909" i="3"/>
  <c r="L910" i="3"/>
  <c r="L911" i="3"/>
  <c r="L912" i="3"/>
  <c r="L913" i="3"/>
  <c r="L914" i="3"/>
  <c r="L915" i="3"/>
  <c r="L916" i="3"/>
  <c r="L917" i="3"/>
  <c r="L918" i="3"/>
  <c r="L919" i="3"/>
  <c r="L920" i="3"/>
  <c r="L921" i="3"/>
  <c r="L922" i="3"/>
  <c r="L923" i="3"/>
  <c r="L924" i="3"/>
  <c r="L925" i="3"/>
  <c r="L926" i="3"/>
  <c r="L927" i="3"/>
  <c r="L928" i="3"/>
  <c r="L929" i="3"/>
  <c r="L930" i="3"/>
  <c r="L931" i="3"/>
  <c r="L932" i="3"/>
  <c r="L933" i="3"/>
  <c r="L934" i="3"/>
  <c r="L935" i="3"/>
  <c r="L936" i="3"/>
  <c r="L937" i="3"/>
  <c r="L938" i="3"/>
  <c r="L939" i="3"/>
  <c r="L940" i="3"/>
  <c r="L941" i="3"/>
  <c r="L942" i="3"/>
  <c r="L943" i="3"/>
  <c r="L944" i="3"/>
  <c r="L945" i="3"/>
  <c r="L946" i="3"/>
  <c r="L947" i="3"/>
  <c r="L948" i="3"/>
  <c r="L949" i="3"/>
  <c r="L950" i="3"/>
  <c r="L951" i="3"/>
  <c r="L952" i="3"/>
  <c r="L953" i="3"/>
  <c r="L954" i="3"/>
  <c r="L955" i="3"/>
  <c r="L956" i="3"/>
  <c r="L957" i="3"/>
  <c r="L958" i="3"/>
  <c r="L959" i="3"/>
  <c r="L960" i="3"/>
  <c r="L961" i="3"/>
  <c r="L962" i="3"/>
  <c r="L963" i="3"/>
  <c r="L964" i="3"/>
  <c r="L965" i="3"/>
  <c r="L966" i="3"/>
  <c r="L967" i="3"/>
  <c r="L968" i="3"/>
  <c r="L969" i="3"/>
  <c r="L970" i="3"/>
  <c r="L971" i="3"/>
  <c r="L972" i="3"/>
  <c r="L973" i="3"/>
  <c r="L974" i="3"/>
  <c r="L975" i="3"/>
  <c r="L976" i="3"/>
  <c r="L977" i="3"/>
  <c r="L978" i="3"/>
  <c r="L979" i="3"/>
  <c r="L980" i="3"/>
  <c r="L981" i="3"/>
  <c r="L982" i="3"/>
  <c r="L983" i="3"/>
  <c r="L984" i="3"/>
  <c r="L985" i="3"/>
  <c r="L986" i="3"/>
  <c r="L987" i="3"/>
  <c r="L988" i="3"/>
  <c r="L989" i="3"/>
  <c r="L990" i="3"/>
  <c r="L991" i="3"/>
  <c r="L992" i="3"/>
  <c r="L993" i="3"/>
  <c r="L994" i="3"/>
  <c r="L995" i="3"/>
  <c r="L996" i="3"/>
  <c r="L997" i="3"/>
  <c r="L998" i="3"/>
  <c r="L999" i="3"/>
  <c r="L1000" i="3"/>
  <c r="L1001" i="3"/>
  <c r="L1002" i="3"/>
  <c r="L1003" i="3"/>
  <c r="L1004" i="3"/>
  <c r="L1005" i="3"/>
  <c r="L1006" i="3"/>
  <c r="L1007" i="3"/>
  <c r="L1008" i="3"/>
  <c r="L1009" i="3"/>
  <c r="L1010" i="3"/>
  <c r="L1011" i="3"/>
  <c r="L1012" i="3"/>
  <c r="L1013" i="3"/>
  <c r="L1014" i="3"/>
  <c r="L1015" i="3"/>
  <c r="L1016" i="3"/>
  <c r="L1017" i="3"/>
  <c r="L1018" i="3"/>
  <c r="L1019" i="3"/>
  <c r="L1020" i="3"/>
  <c r="L1021" i="3"/>
  <c r="L1022" i="3"/>
  <c r="L1023" i="3"/>
  <c r="L1024" i="3"/>
  <c r="L1025" i="3"/>
  <c r="L1026" i="3"/>
  <c r="L1027" i="3"/>
  <c r="L1028" i="3"/>
  <c r="L1029" i="3"/>
  <c r="L1030" i="3"/>
  <c r="L1031" i="3"/>
  <c r="L1032" i="3"/>
  <c r="L1033" i="3"/>
  <c r="L1034" i="3"/>
  <c r="L1035" i="3"/>
  <c r="L1036" i="3"/>
  <c r="L1037" i="3"/>
  <c r="L1038" i="3"/>
  <c r="L1039" i="3"/>
  <c r="L1040" i="3"/>
  <c r="L1041" i="3"/>
  <c r="L1042" i="3"/>
  <c r="L1043" i="3"/>
  <c r="L1044" i="3"/>
  <c r="L1045" i="3"/>
  <c r="L1046" i="3"/>
  <c r="L1047" i="3"/>
  <c r="L1048" i="3"/>
  <c r="L1049" i="3"/>
  <c r="L1050" i="3"/>
  <c r="L1051" i="3"/>
  <c r="L1052" i="3"/>
  <c r="L1053" i="3"/>
  <c r="L1054" i="3"/>
  <c r="L1055" i="3"/>
  <c r="L1056" i="3"/>
  <c r="L1057" i="3"/>
  <c r="L1058" i="3"/>
  <c r="L1059" i="3"/>
  <c r="L1060" i="3"/>
  <c r="L1061" i="3"/>
  <c r="L1062" i="3"/>
  <c r="L1063" i="3"/>
  <c r="L1064" i="3"/>
  <c r="L1065" i="3"/>
  <c r="L1066" i="3"/>
  <c r="L1067" i="3"/>
  <c r="L1068" i="3"/>
  <c r="L1069" i="3"/>
  <c r="L1070" i="3"/>
  <c r="L1071" i="3"/>
  <c r="L1072" i="3"/>
  <c r="L1073" i="3"/>
  <c r="L1074" i="3"/>
  <c r="L1075" i="3"/>
  <c r="L1076" i="3"/>
  <c r="L1077" i="3"/>
  <c r="L1078" i="3"/>
  <c r="L1079" i="3"/>
  <c r="L1080" i="3"/>
  <c r="L1081" i="3"/>
  <c r="L1082" i="3"/>
  <c r="L1083" i="3"/>
  <c r="L1084" i="3"/>
  <c r="L1085" i="3"/>
  <c r="L1086" i="3"/>
  <c r="L1087" i="3"/>
  <c r="L1088" i="3"/>
  <c r="L1089" i="3"/>
  <c r="L1090" i="3"/>
  <c r="L1091" i="3"/>
  <c r="L1092" i="3"/>
  <c r="L1093" i="3"/>
  <c r="L1094" i="3"/>
  <c r="L1095" i="3"/>
  <c r="L1096" i="3"/>
  <c r="L1097" i="3"/>
  <c r="L1098" i="3"/>
  <c r="L1099" i="3"/>
  <c r="L1100" i="3"/>
  <c r="L1101" i="3"/>
  <c r="L1102" i="3"/>
  <c r="L1103" i="3"/>
  <c r="L1104" i="3"/>
  <c r="L1105" i="3"/>
  <c r="L1106" i="3"/>
  <c r="L1107" i="3"/>
  <c r="L1108" i="3"/>
  <c r="L1109" i="3"/>
  <c r="L1110" i="3"/>
  <c r="L1111" i="3"/>
  <c r="L1112" i="3"/>
  <c r="L1113" i="3"/>
  <c r="L1114" i="3"/>
  <c r="L1115" i="3"/>
  <c r="L1116" i="3"/>
  <c r="L1117" i="3"/>
  <c r="L1118" i="3"/>
  <c r="L1119" i="3"/>
  <c r="L1120" i="3"/>
  <c r="L1121" i="3"/>
  <c r="L1122" i="3"/>
  <c r="L1123" i="3"/>
  <c r="L1124" i="3"/>
  <c r="L1125" i="3"/>
  <c r="L1126" i="3"/>
  <c r="L1127" i="3"/>
  <c r="L1128" i="3"/>
  <c r="L1129" i="3"/>
  <c r="L1130" i="3"/>
  <c r="L1131" i="3"/>
  <c r="L1132" i="3"/>
  <c r="L1133" i="3"/>
  <c r="L1134" i="3"/>
  <c r="L1135" i="3"/>
  <c r="L1136" i="3"/>
  <c r="L1137" i="3"/>
  <c r="L1138" i="3"/>
  <c r="L1139" i="3"/>
  <c r="L1140" i="3"/>
  <c r="L1141" i="3"/>
  <c r="L1142" i="3"/>
  <c r="L1143" i="3"/>
  <c r="L1144" i="3"/>
  <c r="L1145" i="3"/>
  <c r="L1146" i="3"/>
  <c r="L1147" i="3"/>
  <c r="L1148" i="3"/>
  <c r="L1149" i="3"/>
  <c r="L1150" i="3"/>
  <c r="L1151" i="3"/>
  <c r="L1152" i="3"/>
  <c r="L1153" i="3"/>
  <c r="L1154" i="3"/>
  <c r="L1155" i="3"/>
  <c r="L1156" i="3"/>
  <c r="L1157" i="3"/>
  <c r="L1158" i="3"/>
  <c r="L1159" i="3"/>
  <c r="L1160" i="3"/>
  <c r="L1161" i="3"/>
  <c r="L1162" i="3"/>
  <c r="L1163" i="3"/>
  <c r="L1164" i="3"/>
  <c r="L1165" i="3"/>
  <c r="L1166" i="3"/>
  <c r="L1167" i="3"/>
  <c r="L1168" i="3"/>
  <c r="L1169" i="3"/>
  <c r="L1170" i="3"/>
  <c r="L1171" i="3"/>
  <c r="L1172" i="3"/>
  <c r="L1173" i="3"/>
  <c r="L1174" i="3"/>
  <c r="L1175" i="3"/>
  <c r="L1176" i="3"/>
  <c r="L1177" i="3"/>
  <c r="L1178" i="3"/>
  <c r="L1179" i="3"/>
  <c r="L1180" i="3"/>
  <c r="L1181" i="3"/>
  <c r="L1182" i="3"/>
  <c r="L1183" i="3"/>
  <c r="L1184" i="3"/>
  <c r="L1185" i="3"/>
  <c r="L1186" i="3"/>
  <c r="L1187" i="3"/>
  <c r="L1188" i="3"/>
  <c r="L1189" i="3"/>
  <c r="L1190" i="3"/>
  <c r="L1191" i="3"/>
  <c r="L1192" i="3"/>
  <c r="L1193" i="3"/>
  <c r="L1194" i="3"/>
  <c r="L1195" i="3"/>
  <c r="L1196" i="3"/>
  <c r="L1197" i="3"/>
  <c r="L1198" i="3"/>
  <c r="L1199" i="3"/>
  <c r="L1200" i="3"/>
  <c r="L1201" i="3"/>
  <c r="L1202" i="3"/>
  <c r="L1203" i="3"/>
  <c r="L1204" i="3"/>
  <c r="L1205" i="3"/>
  <c r="L1206" i="3"/>
  <c r="L1207" i="3"/>
  <c r="L1208" i="3"/>
  <c r="L1209" i="3"/>
  <c r="L1210" i="3"/>
  <c r="L1211" i="3"/>
  <c r="L1212" i="3"/>
  <c r="L1213" i="3"/>
  <c r="L1214" i="3"/>
  <c r="L1215" i="3"/>
  <c r="L1216" i="3"/>
  <c r="L1217" i="3"/>
  <c r="L1218" i="3"/>
  <c r="L1219" i="3"/>
  <c r="L1220" i="3"/>
  <c r="L1221" i="3"/>
  <c r="L1222" i="3"/>
  <c r="L1223" i="3"/>
  <c r="L1224" i="3"/>
  <c r="L1225" i="3"/>
  <c r="L1226" i="3"/>
  <c r="L1227" i="3"/>
  <c r="L1228" i="3"/>
  <c r="L1229" i="3"/>
  <c r="L1230" i="3"/>
  <c r="L1231" i="3"/>
  <c r="L1232" i="3"/>
  <c r="L1233" i="3"/>
  <c r="L1234" i="3"/>
  <c r="L1235" i="3"/>
  <c r="L1236" i="3"/>
  <c r="L1237" i="3"/>
  <c r="L1238" i="3"/>
  <c r="L1239" i="3"/>
  <c r="L1240" i="3"/>
  <c r="L1241" i="3"/>
  <c r="L1242" i="3"/>
  <c r="L1243" i="3"/>
  <c r="L1244" i="3"/>
  <c r="L1245" i="3"/>
  <c r="L1246" i="3"/>
  <c r="L1247" i="3"/>
  <c r="L1248" i="3"/>
  <c r="L1249" i="3"/>
  <c r="L1250" i="3"/>
  <c r="L1251" i="3"/>
  <c r="L1252" i="3"/>
  <c r="L1253" i="3"/>
  <c r="L1254" i="3"/>
  <c r="L1255" i="3"/>
  <c r="L1256" i="3"/>
  <c r="L1257" i="3"/>
  <c r="L1258" i="3"/>
  <c r="L1259" i="3"/>
  <c r="L1260" i="3"/>
  <c r="L1261" i="3"/>
  <c r="L1262" i="3"/>
  <c r="L1263" i="3"/>
  <c r="L1264" i="3"/>
  <c r="L1265" i="3"/>
  <c r="L1266" i="3"/>
  <c r="L1267" i="3"/>
  <c r="L1268" i="3"/>
  <c r="L1269" i="3"/>
  <c r="L1270" i="3"/>
  <c r="L1271" i="3"/>
  <c r="L1272" i="3"/>
  <c r="L1273" i="3"/>
  <c r="L1274" i="3"/>
  <c r="L1275" i="3"/>
  <c r="L1276" i="3"/>
  <c r="L1277" i="3"/>
  <c r="L1278" i="3"/>
  <c r="L1279" i="3"/>
  <c r="L1280" i="3"/>
  <c r="L1281" i="3"/>
  <c r="L1282" i="3"/>
  <c r="L1283" i="3"/>
  <c r="L1284" i="3"/>
  <c r="L1285" i="3"/>
  <c r="L1286" i="3"/>
  <c r="L1287" i="3"/>
  <c r="L1288" i="3"/>
  <c r="L1289" i="3"/>
  <c r="L1290" i="3"/>
  <c r="L1291" i="3"/>
  <c r="L1292" i="3"/>
  <c r="L1293" i="3"/>
  <c r="L1294" i="3"/>
  <c r="L1295" i="3"/>
  <c r="L1296" i="3"/>
  <c r="L1297" i="3"/>
  <c r="L1298" i="3"/>
  <c r="L1299" i="3"/>
  <c r="L1300" i="3"/>
  <c r="L1301" i="3"/>
  <c r="L1302" i="3"/>
  <c r="L1303" i="3"/>
  <c r="L1304" i="3"/>
  <c r="L1305" i="3"/>
  <c r="L1306" i="3"/>
  <c r="L1307" i="3"/>
  <c r="L1308" i="3"/>
  <c r="L1309" i="3"/>
  <c r="L1310" i="3"/>
  <c r="L1311" i="3"/>
  <c r="L1312" i="3"/>
  <c r="L1313" i="3"/>
  <c r="L1314" i="3"/>
  <c r="L1315" i="3"/>
  <c r="L1316" i="3"/>
  <c r="L1317" i="3"/>
  <c r="L1318" i="3"/>
  <c r="L1319" i="3"/>
  <c r="L1320" i="3"/>
  <c r="L1321" i="3"/>
  <c r="L1322" i="3"/>
  <c r="L1323" i="3"/>
  <c r="L1324" i="3"/>
  <c r="L1325" i="3"/>
  <c r="L1326" i="3"/>
  <c r="L1327" i="3"/>
  <c r="L1328" i="3"/>
  <c r="L1329" i="3"/>
  <c r="L1330" i="3"/>
  <c r="L1331" i="3"/>
  <c r="L1332" i="3"/>
  <c r="L1333" i="3"/>
  <c r="L1334" i="3"/>
  <c r="L1335" i="3"/>
  <c r="L1336" i="3"/>
  <c r="L1337" i="3"/>
  <c r="L1338" i="3"/>
  <c r="L1339" i="3"/>
  <c r="L1340" i="3"/>
  <c r="L1341" i="3"/>
  <c r="L1342" i="3"/>
  <c r="L1343" i="3"/>
  <c r="L1344" i="3"/>
  <c r="L1345" i="3"/>
  <c r="L1346" i="3"/>
  <c r="L1347" i="3"/>
  <c r="L1348" i="3"/>
  <c r="L1349" i="3"/>
  <c r="L1350" i="3"/>
  <c r="L1351" i="3"/>
  <c r="L1352" i="3"/>
  <c r="L1353" i="3"/>
  <c r="L1354" i="3"/>
  <c r="L1355" i="3"/>
  <c r="L1356" i="3"/>
  <c r="L1357" i="3"/>
  <c r="L1358" i="3"/>
  <c r="L1359" i="3"/>
  <c r="L1360" i="3"/>
  <c r="L1361" i="3"/>
  <c r="L1362" i="3"/>
  <c r="L1363" i="3"/>
  <c r="L1364" i="3"/>
  <c r="L1365" i="3"/>
  <c r="L1366" i="3"/>
  <c r="L1367" i="3"/>
  <c r="L1368" i="3"/>
  <c r="L1369" i="3"/>
  <c r="L1370" i="3"/>
  <c r="L1371" i="3"/>
  <c r="L1372" i="3"/>
  <c r="L1373" i="3"/>
  <c r="L1374" i="3"/>
  <c r="L1375" i="3"/>
  <c r="L1376" i="3"/>
  <c r="L1377" i="3"/>
  <c r="L1378" i="3"/>
  <c r="L1379" i="3"/>
  <c r="L1380" i="3"/>
  <c r="L1381" i="3"/>
  <c r="L1382" i="3"/>
  <c r="L1383" i="3"/>
  <c r="L1384" i="3"/>
  <c r="L1385" i="3"/>
  <c r="L1386" i="3"/>
  <c r="L1387" i="3"/>
  <c r="L1388" i="3"/>
  <c r="L1389" i="3"/>
  <c r="L1390" i="3"/>
  <c r="L1391" i="3"/>
  <c r="L1392" i="3"/>
  <c r="L1393" i="3"/>
  <c r="L1394" i="3"/>
  <c r="L1395" i="3"/>
  <c r="L1396" i="3"/>
  <c r="L1397" i="3"/>
  <c r="L1398" i="3"/>
  <c r="L1399" i="3"/>
  <c r="L1400" i="3"/>
  <c r="L1401" i="3"/>
  <c r="L1402" i="3"/>
  <c r="L1403" i="3"/>
  <c r="L1404" i="3"/>
  <c r="L1405" i="3"/>
  <c r="L1406" i="3"/>
  <c r="L1407" i="3"/>
  <c r="L1408" i="3"/>
  <c r="L1409" i="3"/>
  <c r="L1410" i="3"/>
  <c r="L1411" i="3"/>
  <c r="L1412" i="3"/>
  <c r="L1413" i="3"/>
  <c r="L1414" i="3"/>
  <c r="L1415" i="3"/>
  <c r="L1416" i="3"/>
  <c r="L1417" i="3"/>
  <c r="L1418" i="3"/>
  <c r="L1419" i="3"/>
  <c r="L1420" i="3"/>
  <c r="L1421" i="3"/>
  <c r="L1422" i="3"/>
  <c r="L1423" i="3"/>
  <c r="L1424" i="3"/>
  <c r="L1425" i="3"/>
  <c r="L1426" i="3"/>
  <c r="L1427" i="3"/>
  <c r="L1428" i="3"/>
  <c r="L1429" i="3"/>
  <c r="L1430" i="3"/>
  <c r="L1431" i="3"/>
  <c r="L1432" i="3"/>
  <c r="L1433" i="3"/>
  <c r="L1434" i="3"/>
  <c r="L1435" i="3"/>
  <c r="L1436" i="3"/>
  <c r="L1437" i="3"/>
  <c r="L1438" i="3"/>
  <c r="L1439" i="3"/>
  <c r="L1440" i="3"/>
  <c r="L1441" i="3"/>
  <c r="L1442" i="3"/>
  <c r="L1443" i="3"/>
  <c r="L1444" i="3"/>
  <c r="L1445" i="3"/>
  <c r="L1446" i="3"/>
  <c r="L1447" i="3"/>
  <c r="L1448" i="3"/>
  <c r="L1449" i="3"/>
  <c r="L1450" i="3"/>
  <c r="L1451" i="3"/>
  <c r="L1452" i="3"/>
  <c r="L1453" i="3"/>
  <c r="L1454" i="3"/>
  <c r="L1455" i="3"/>
  <c r="L1456" i="3"/>
  <c r="L1457" i="3"/>
  <c r="L1458" i="3"/>
  <c r="L1459" i="3"/>
  <c r="L1460" i="3"/>
  <c r="L1461" i="3"/>
  <c r="L1462" i="3"/>
  <c r="L1463" i="3"/>
  <c r="L1464" i="3"/>
  <c r="L1465" i="3"/>
  <c r="L1466" i="3"/>
  <c r="L1467" i="3"/>
  <c r="L1468" i="3"/>
  <c r="L1469" i="3"/>
  <c r="L1470" i="3"/>
  <c r="L1471" i="3"/>
  <c r="L1472" i="3"/>
  <c r="L1473" i="3"/>
  <c r="L1474" i="3"/>
  <c r="L1475" i="3"/>
  <c r="L1476" i="3"/>
  <c r="L1477" i="3"/>
  <c r="L1478" i="3"/>
  <c r="L1479" i="3"/>
  <c r="L1480" i="3"/>
  <c r="L1481" i="3"/>
  <c r="L1482" i="3"/>
  <c r="L1483" i="3"/>
  <c r="L1484" i="3"/>
  <c r="L1485" i="3"/>
  <c r="L1486" i="3"/>
  <c r="L1487" i="3"/>
  <c r="L1488" i="3"/>
  <c r="L1489" i="3"/>
  <c r="L1490" i="3"/>
  <c r="L1491" i="3"/>
  <c r="L1492" i="3"/>
  <c r="L1493" i="3"/>
  <c r="L1494" i="3"/>
  <c r="L1495" i="3"/>
  <c r="L1496" i="3"/>
  <c r="L1497" i="3"/>
  <c r="L1498" i="3"/>
  <c r="L1499" i="3"/>
  <c r="L1500" i="3"/>
  <c r="L1501" i="3"/>
  <c r="L1502" i="3"/>
  <c r="L1503" i="3"/>
  <c r="L1504" i="3"/>
  <c r="L1505" i="3"/>
  <c r="L1506" i="3"/>
  <c r="L1507" i="3"/>
  <c r="L1508" i="3"/>
  <c r="L1509" i="3"/>
  <c r="L1510" i="3"/>
  <c r="L1511" i="3"/>
  <c r="L1512" i="3"/>
  <c r="L1513" i="3"/>
  <c r="L1514" i="3"/>
  <c r="L1515" i="3"/>
  <c r="L1516" i="3"/>
  <c r="L1517" i="3"/>
  <c r="L1518" i="3"/>
  <c r="L1519" i="3"/>
  <c r="L1520" i="3"/>
  <c r="L1521" i="3"/>
  <c r="L1522" i="3"/>
  <c r="L1523" i="3"/>
  <c r="L1524" i="3"/>
  <c r="L1525" i="3"/>
  <c r="L1526" i="3"/>
  <c r="L1527" i="3"/>
  <c r="L1528" i="3"/>
  <c r="L1529" i="3"/>
  <c r="L1530" i="3"/>
  <c r="L1531" i="3"/>
  <c r="L1532" i="3"/>
  <c r="L1533" i="3"/>
  <c r="L1534" i="3"/>
  <c r="L1535" i="3"/>
  <c r="L1536" i="3"/>
  <c r="L1537" i="3"/>
  <c r="L1538" i="3"/>
  <c r="L1539" i="3"/>
  <c r="L1540" i="3"/>
  <c r="L1541" i="3"/>
  <c r="L1542" i="3"/>
  <c r="L1543" i="3"/>
  <c r="L1544" i="3"/>
  <c r="L1545" i="3"/>
  <c r="L1546" i="3"/>
  <c r="L1547" i="3"/>
  <c r="L1548" i="3"/>
  <c r="L1549" i="3"/>
  <c r="L1550" i="3"/>
  <c r="L1551" i="3"/>
  <c r="L1552" i="3"/>
  <c r="L1553" i="3"/>
  <c r="L1554" i="3"/>
  <c r="L1555" i="3"/>
  <c r="L1556" i="3"/>
  <c r="L1557" i="3"/>
  <c r="L1558" i="3"/>
  <c r="L1559" i="3"/>
  <c r="L1560" i="3"/>
  <c r="L1561" i="3"/>
  <c r="L1562" i="3"/>
  <c r="L1563" i="3"/>
  <c r="L1564" i="3"/>
  <c r="L1565" i="3"/>
  <c r="L1566" i="3"/>
  <c r="L1567" i="3"/>
  <c r="L1568" i="3"/>
  <c r="L1569" i="3"/>
  <c r="L1570" i="3"/>
  <c r="L1571" i="3"/>
  <c r="L1572" i="3"/>
  <c r="L1573" i="3"/>
  <c r="L1574" i="3"/>
  <c r="L1575" i="3"/>
  <c r="L1576" i="3"/>
  <c r="L1577" i="3"/>
  <c r="L1578" i="3"/>
  <c r="L1579" i="3"/>
  <c r="L1580" i="3"/>
  <c r="L1581" i="3"/>
  <c r="L1582" i="3"/>
  <c r="L1583" i="3"/>
  <c r="L1584" i="3"/>
  <c r="L1585" i="3"/>
  <c r="L1586" i="3"/>
  <c r="L1587" i="3"/>
  <c r="L1588" i="3"/>
  <c r="L1589" i="3"/>
  <c r="L1590" i="3"/>
  <c r="L1591" i="3"/>
  <c r="L1592" i="3"/>
  <c r="L1593" i="3"/>
  <c r="L1594" i="3"/>
  <c r="L1595" i="3"/>
  <c r="L1596" i="3"/>
  <c r="L1597" i="3"/>
  <c r="L1598" i="3"/>
  <c r="L1599" i="3"/>
  <c r="L1600" i="3"/>
  <c r="L1601" i="3"/>
  <c r="L1602" i="3"/>
  <c r="L1603" i="3"/>
  <c r="L1604" i="3"/>
  <c r="L1605" i="3"/>
  <c r="L1606" i="3"/>
  <c r="L1607" i="3"/>
  <c r="L1608" i="3"/>
  <c r="L1609" i="3"/>
  <c r="L1610" i="3"/>
  <c r="L1611" i="3"/>
  <c r="L1612" i="3"/>
  <c r="L1613" i="3"/>
  <c r="L1614" i="3"/>
  <c r="L1615" i="3"/>
  <c r="L1616" i="3"/>
  <c r="L1617" i="3"/>
  <c r="L1618" i="3"/>
  <c r="L1619" i="3"/>
  <c r="L1620" i="3"/>
  <c r="L1621" i="3"/>
  <c r="L1622" i="3"/>
  <c r="L1623" i="3"/>
  <c r="L1624" i="3"/>
  <c r="L1625" i="3"/>
  <c r="L1626" i="3"/>
  <c r="L1627" i="3"/>
  <c r="L1628" i="3"/>
  <c r="L1629" i="3"/>
  <c r="L1630" i="3"/>
  <c r="L1631" i="3"/>
  <c r="L1632" i="3"/>
  <c r="L1633" i="3"/>
  <c r="L1634" i="3"/>
  <c r="L1635" i="3"/>
  <c r="L1636" i="3"/>
  <c r="L1637" i="3"/>
  <c r="L1638" i="3"/>
  <c r="L1639" i="3"/>
  <c r="L1640" i="3"/>
  <c r="L1641" i="3"/>
  <c r="L1642" i="3"/>
  <c r="L1643" i="3"/>
  <c r="L1644" i="3"/>
  <c r="L1645" i="3"/>
  <c r="L1646" i="3"/>
  <c r="L1647" i="3"/>
  <c r="L1648" i="3"/>
  <c r="L1649" i="3"/>
  <c r="L1650" i="3"/>
  <c r="L1651" i="3"/>
  <c r="L1652" i="3"/>
  <c r="L1653" i="3"/>
  <c r="L1654" i="3"/>
  <c r="L1655" i="3"/>
  <c r="L1656" i="3"/>
  <c r="L1657" i="3"/>
  <c r="L1658" i="3"/>
  <c r="L1659" i="3"/>
  <c r="L1660" i="3"/>
  <c r="L1661" i="3"/>
  <c r="L1662" i="3"/>
  <c r="L1663" i="3"/>
  <c r="L1664" i="3"/>
  <c r="L1665" i="3"/>
  <c r="L1666" i="3"/>
  <c r="L1667" i="3"/>
  <c r="L1668" i="3"/>
  <c r="L1669" i="3"/>
  <c r="L1670" i="3"/>
  <c r="L1671" i="3"/>
  <c r="L1672" i="3"/>
  <c r="L1673" i="3"/>
  <c r="L1674" i="3"/>
  <c r="L1675" i="3"/>
  <c r="L1676" i="3"/>
  <c r="L1677" i="3"/>
  <c r="L1678" i="3"/>
  <c r="L1679" i="3"/>
  <c r="L1680" i="3"/>
  <c r="L1681" i="3"/>
  <c r="L1682" i="3"/>
  <c r="L1683" i="3"/>
  <c r="L1684" i="3"/>
  <c r="L1685" i="3"/>
  <c r="L1686" i="3"/>
  <c r="L1687" i="3"/>
  <c r="L1688" i="3"/>
  <c r="L1689" i="3"/>
  <c r="L1690" i="3"/>
  <c r="L1691" i="3"/>
  <c r="L1692" i="3"/>
  <c r="L1693" i="3"/>
  <c r="L1694" i="3"/>
  <c r="L1695" i="3"/>
  <c r="L1696" i="3"/>
  <c r="L1697" i="3"/>
  <c r="L1698" i="3"/>
  <c r="L1699" i="3"/>
  <c r="L1700" i="3"/>
  <c r="L1701" i="3"/>
  <c r="L1702" i="3"/>
  <c r="L1703" i="3"/>
  <c r="L1704" i="3"/>
  <c r="L1705" i="3"/>
  <c r="L1706" i="3"/>
  <c r="L1707" i="3"/>
  <c r="L1708" i="3"/>
  <c r="L1709" i="3"/>
  <c r="L1710" i="3"/>
  <c r="L1711" i="3"/>
  <c r="L1712" i="3"/>
  <c r="L1713" i="3"/>
  <c r="L1714" i="3"/>
  <c r="L1715" i="3"/>
  <c r="L1716" i="3"/>
  <c r="L1717" i="3"/>
  <c r="L1718" i="3"/>
  <c r="L1719" i="3"/>
  <c r="L1720" i="3"/>
  <c r="L1721" i="3"/>
  <c r="L1722" i="3"/>
  <c r="L1723" i="3"/>
  <c r="L1724" i="3"/>
  <c r="L1725" i="3"/>
  <c r="L1726" i="3"/>
  <c r="L1727" i="3"/>
  <c r="L1728" i="3"/>
  <c r="L1729" i="3"/>
  <c r="L1730" i="3"/>
  <c r="L1731" i="3"/>
  <c r="L1732" i="3"/>
  <c r="L1733" i="3"/>
  <c r="L1734" i="3"/>
  <c r="L1735" i="3"/>
  <c r="L1736" i="3"/>
  <c r="L1737" i="3"/>
  <c r="L1738" i="3"/>
  <c r="L1739" i="3"/>
  <c r="L1740" i="3"/>
  <c r="L1741" i="3"/>
  <c r="L1742" i="3"/>
  <c r="L1743" i="3"/>
  <c r="L1744" i="3"/>
  <c r="L1745" i="3"/>
  <c r="L1746" i="3"/>
  <c r="L1747" i="3"/>
  <c r="L1748" i="3"/>
  <c r="L1749" i="3"/>
  <c r="L1750" i="3"/>
  <c r="L1751" i="3"/>
  <c r="L1752" i="3"/>
  <c r="L1753" i="3"/>
  <c r="L1754" i="3"/>
  <c r="L1755" i="3"/>
  <c r="L1756" i="3"/>
  <c r="L1757" i="3"/>
  <c r="L1758" i="3"/>
  <c r="L1759" i="3"/>
  <c r="L1760" i="3"/>
  <c r="L1761" i="3"/>
  <c r="L1762" i="3"/>
  <c r="L1763" i="3"/>
  <c r="L1764" i="3"/>
  <c r="L1765" i="3"/>
  <c r="L1766" i="3"/>
  <c r="L1767" i="3"/>
  <c r="L1768" i="3"/>
  <c r="L1769" i="3"/>
  <c r="L1770" i="3"/>
  <c r="L1771" i="3"/>
  <c r="L1772" i="3"/>
  <c r="L1773" i="3"/>
  <c r="L1774" i="3"/>
  <c r="L1775" i="3"/>
  <c r="L1776" i="3"/>
  <c r="L1777" i="3"/>
  <c r="L1778" i="3"/>
  <c r="L1779" i="3"/>
  <c r="L1780" i="3"/>
  <c r="L1781" i="3"/>
  <c r="L1782" i="3"/>
  <c r="L1783" i="3"/>
  <c r="L1784" i="3"/>
  <c r="L1785" i="3"/>
  <c r="L1786" i="3"/>
  <c r="L1787" i="3"/>
  <c r="L1788" i="3"/>
  <c r="L1789" i="3"/>
  <c r="L1790" i="3"/>
  <c r="L1791" i="3"/>
  <c r="L1792" i="3"/>
  <c r="L1793" i="3"/>
  <c r="L1794" i="3"/>
  <c r="L1795" i="3"/>
  <c r="L1796" i="3"/>
  <c r="L1797" i="3"/>
  <c r="L1798" i="3"/>
  <c r="L1799" i="3"/>
  <c r="L1800" i="3"/>
  <c r="L1801" i="3"/>
  <c r="L1802" i="3"/>
  <c r="L1803" i="3"/>
  <c r="L1804" i="3"/>
  <c r="L1805" i="3"/>
  <c r="L1806" i="3"/>
  <c r="L1807" i="3"/>
  <c r="L1808" i="3"/>
  <c r="L1809" i="3"/>
  <c r="L1810" i="3"/>
  <c r="L1811" i="3"/>
  <c r="L1812" i="3"/>
  <c r="L1813" i="3"/>
  <c r="L1814" i="3"/>
  <c r="L1815" i="3"/>
  <c r="L1816" i="3"/>
  <c r="L1817" i="3"/>
  <c r="L1818" i="3"/>
  <c r="L1819" i="3"/>
  <c r="L1820" i="3"/>
  <c r="L1821" i="3"/>
  <c r="L1822" i="3"/>
  <c r="L1823" i="3"/>
  <c r="L1824" i="3"/>
  <c r="L1825" i="3"/>
  <c r="L1826" i="3"/>
  <c r="L1827" i="3"/>
  <c r="L1828" i="3"/>
  <c r="L1829" i="3"/>
  <c r="L1830" i="3"/>
  <c r="L1831" i="3"/>
  <c r="L1832" i="3"/>
  <c r="L1833" i="3"/>
  <c r="L1834" i="3"/>
  <c r="L1835" i="3"/>
  <c r="L1836" i="3"/>
  <c r="L1837" i="3"/>
  <c r="L1838" i="3"/>
  <c r="L1839" i="3"/>
  <c r="L1840" i="3"/>
  <c r="L1841" i="3"/>
  <c r="L1842" i="3"/>
  <c r="L1843" i="3"/>
  <c r="L1844" i="3"/>
  <c r="L1845" i="3"/>
  <c r="L1846" i="3"/>
  <c r="L1847" i="3"/>
  <c r="L1848" i="3"/>
  <c r="L1849" i="3"/>
  <c r="L1850" i="3"/>
  <c r="L1851" i="3"/>
  <c r="L1852" i="3"/>
  <c r="L1853" i="3"/>
  <c r="L1854" i="3"/>
  <c r="L1855" i="3"/>
  <c r="L1856" i="3"/>
  <c r="L1857" i="3"/>
  <c r="L1858" i="3"/>
  <c r="L1859" i="3"/>
  <c r="L1860" i="3"/>
  <c r="L1861" i="3"/>
  <c r="L1862" i="3"/>
  <c r="L1863" i="3"/>
  <c r="L1864" i="3"/>
  <c r="L1865" i="3"/>
  <c r="L1866" i="3"/>
  <c r="L1867" i="3"/>
  <c r="L1868" i="3"/>
  <c r="L1869" i="3"/>
  <c r="L1870" i="3"/>
  <c r="L1871" i="3"/>
  <c r="L1872" i="3"/>
  <c r="L1873" i="3"/>
  <c r="L1874" i="3"/>
  <c r="L1875" i="3"/>
  <c r="L1876" i="3"/>
  <c r="L1877" i="3"/>
  <c r="L1878" i="3"/>
  <c r="L1879" i="3"/>
  <c r="L1880" i="3"/>
  <c r="L1881" i="3"/>
  <c r="L1882" i="3"/>
  <c r="L1883" i="3"/>
  <c r="L1884" i="3"/>
  <c r="L1885" i="3"/>
  <c r="L1886" i="3"/>
  <c r="L1887" i="3"/>
  <c r="L1888" i="3"/>
  <c r="L1889" i="3"/>
  <c r="L1890" i="3"/>
  <c r="L1891" i="3"/>
  <c r="L1892" i="3"/>
  <c r="L1893" i="3"/>
  <c r="L1894" i="3"/>
  <c r="L1895" i="3"/>
  <c r="L1896" i="3"/>
  <c r="L1897" i="3"/>
  <c r="L1898" i="3"/>
  <c r="L1899" i="3"/>
  <c r="L1900" i="3"/>
  <c r="L1901" i="3"/>
  <c r="L1902" i="3"/>
  <c r="L1903" i="3"/>
  <c r="L1904" i="3"/>
  <c r="L1905" i="3"/>
  <c r="L1906" i="3"/>
  <c r="L1907" i="3"/>
  <c r="L1908" i="3"/>
  <c r="L1909" i="3"/>
  <c r="L1910" i="3"/>
  <c r="L1911" i="3"/>
  <c r="L1912" i="3"/>
  <c r="L1913" i="3"/>
  <c r="L1914" i="3"/>
  <c r="L1915" i="3"/>
  <c r="L1916" i="3"/>
  <c r="L1917" i="3"/>
  <c r="L1918" i="3"/>
  <c r="L1919" i="3"/>
  <c r="L1920" i="3"/>
  <c r="L1921" i="3"/>
  <c r="L1922" i="3"/>
  <c r="L1923" i="3"/>
  <c r="L1924" i="3"/>
  <c r="L1925" i="3"/>
  <c r="L1926" i="3"/>
  <c r="L1927" i="3"/>
  <c r="L1928" i="3"/>
  <c r="L1929" i="3"/>
  <c r="L1930" i="3"/>
  <c r="L1931" i="3"/>
  <c r="L1932" i="3"/>
  <c r="L1933" i="3"/>
  <c r="L1934" i="3"/>
  <c r="L1935" i="3"/>
  <c r="L1936" i="3"/>
  <c r="L1937" i="3"/>
  <c r="L1938" i="3"/>
  <c r="L1939" i="3"/>
  <c r="L1940" i="3"/>
  <c r="L1941" i="3"/>
  <c r="L1942" i="3"/>
  <c r="L1943" i="3"/>
  <c r="L1944" i="3"/>
  <c r="L1945" i="3"/>
  <c r="L1946" i="3"/>
  <c r="L1947" i="3"/>
  <c r="L1948" i="3"/>
  <c r="L1949" i="3"/>
  <c r="L1950" i="3"/>
  <c r="L1951" i="3"/>
  <c r="L1952" i="3"/>
  <c r="L1953" i="3"/>
  <c r="L1954" i="3"/>
  <c r="L1955" i="3"/>
  <c r="L1956" i="3"/>
  <c r="L1957" i="3"/>
  <c r="L1958" i="3"/>
  <c r="L1959" i="3"/>
  <c r="L1960" i="3"/>
  <c r="L1961" i="3"/>
  <c r="L1962" i="3"/>
  <c r="L1963" i="3"/>
  <c r="L1964" i="3"/>
  <c r="L1965" i="3"/>
  <c r="L1966" i="3"/>
  <c r="L1967" i="3"/>
  <c r="L1968" i="3"/>
  <c r="L1969" i="3"/>
  <c r="L1970" i="3"/>
  <c r="L1971" i="3"/>
  <c r="L1972" i="3"/>
  <c r="L1973" i="3"/>
  <c r="L1974" i="3"/>
  <c r="L1975" i="3"/>
  <c r="L1976" i="3"/>
  <c r="L1977" i="3"/>
  <c r="L1978" i="3"/>
  <c r="L1979" i="3"/>
  <c r="L1980" i="3"/>
  <c r="L1981" i="3"/>
  <c r="L1982" i="3"/>
  <c r="L1983" i="3"/>
  <c r="L1984" i="3"/>
  <c r="L1985" i="3"/>
  <c r="L1986" i="3"/>
  <c r="L1987" i="3"/>
  <c r="L1988" i="3"/>
  <c r="L1989" i="3"/>
  <c r="L1990" i="3"/>
  <c r="L1991" i="3"/>
  <c r="L1992" i="3"/>
  <c r="L1993" i="3"/>
  <c r="L1994" i="3"/>
  <c r="L1995" i="3"/>
  <c r="L1996" i="3"/>
  <c r="L1997" i="3"/>
  <c r="L1998" i="3"/>
  <c r="L1999" i="3"/>
  <c r="L2000" i="3"/>
  <c r="L2001" i="3"/>
  <c r="L2002" i="3"/>
  <c r="L2003" i="3"/>
  <c r="L2004" i="3"/>
  <c r="L2005" i="3"/>
  <c r="L2006" i="3"/>
  <c r="L2007" i="3"/>
  <c r="L2008" i="3"/>
  <c r="L2009" i="3"/>
  <c r="L2010" i="3"/>
  <c r="L2011" i="3"/>
  <c r="L2012" i="3"/>
  <c r="L2013" i="3"/>
  <c r="L2014" i="3"/>
  <c r="L2015" i="3"/>
  <c r="L2016" i="3"/>
  <c r="L2017" i="3"/>
  <c r="L2018" i="3"/>
  <c r="L2019" i="3"/>
  <c r="L2020" i="3"/>
  <c r="L2021" i="3"/>
  <c r="L2022" i="3"/>
  <c r="L2023" i="3"/>
  <c r="L2024" i="3"/>
  <c r="L2025" i="3"/>
  <c r="L2026" i="3"/>
  <c r="L2027" i="3"/>
  <c r="L2028" i="3"/>
  <c r="L2029" i="3"/>
  <c r="L2030" i="3"/>
  <c r="L2031" i="3"/>
  <c r="L2032" i="3"/>
  <c r="L2033" i="3"/>
  <c r="L2034" i="3"/>
  <c r="L2035" i="3"/>
  <c r="L2036" i="3"/>
  <c r="L2037" i="3"/>
  <c r="L2038" i="3"/>
  <c r="L2039" i="3"/>
  <c r="L2040" i="3"/>
  <c r="L2041" i="3"/>
  <c r="L2042" i="3"/>
  <c r="L2043" i="3"/>
  <c r="L2044" i="3"/>
  <c r="L2045" i="3"/>
  <c r="L2046" i="3"/>
  <c r="L2047" i="3"/>
  <c r="L2048" i="3"/>
  <c r="L2049" i="3"/>
  <c r="L2050" i="3"/>
  <c r="L2051" i="3"/>
  <c r="L2052" i="3"/>
  <c r="L2053" i="3"/>
  <c r="L2054" i="3"/>
  <c r="L2055" i="3"/>
  <c r="L2056" i="3"/>
  <c r="L2057" i="3"/>
  <c r="L2058" i="3"/>
  <c r="L2059" i="3"/>
  <c r="L2060" i="3"/>
  <c r="L2061" i="3"/>
  <c r="L2062" i="3"/>
  <c r="L2063" i="3"/>
  <c r="L2064" i="3"/>
  <c r="L2065" i="3"/>
  <c r="L2066" i="3"/>
  <c r="L2067" i="3"/>
  <c r="L2068" i="3"/>
  <c r="L2069" i="3"/>
  <c r="L2070" i="3"/>
  <c r="L2071" i="3"/>
  <c r="L2072" i="3"/>
  <c r="L2073" i="3"/>
  <c r="L2074" i="3"/>
  <c r="L2075" i="3"/>
  <c r="L2076" i="3"/>
  <c r="L2077" i="3"/>
  <c r="L2078" i="3"/>
  <c r="L2079" i="3"/>
  <c r="L2080" i="3"/>
  <c r="L2081" i="3"/>
  <c r="L2082" i="3"/>
  <c r="L2083" i="3"/>
  <c r="L2084" i="3"/>
  <c r="L2085" i="3"/>
  <c r="L2086" i="3"/>
  <c r="L2087" i="3"/>
  <c r="L2088" i="3"/>
  <c r="L2089" i="3"/>
  <c r="L2090" i="3"/>
  <c r="L2091" i="3"/>
  <c r="L2092" i="3"/>
  <c r="L2093" i="3"/>
  <c r="L2094" i="3"/>
  <c r="L2095" i="3"/>
  <c r="L2096" i="3"/>
  <c r="L2097" i="3"/>
  <c r="L2098" i="3"/>
  <c r="L2099" i="3"/>
  <c r="L2100" i="3"/>
  <c r="L2101" i="3"/>
  <c r="L2102" i="3"/>
  <c r="L2103" i="3"/>
  <c r="L2104" i="3"/>
  <c r="L2105" i="3"/>
  <c r="L2106" i="3"/>
  <c r="L2107" i="3"/>
  <c r="L2108" i="3"/>
  <c r="L2109" i="3"/>
  <c r="L2110" i="3"/>
  <c r="L2111" i="3"/>
  <c r="L2112" i="3"/>
  <c r="L2113" i="3"/>
  <c r="L2114" i="3"/>
  <c r="L2115" i="3"/>
  <c r="L2116" i="3"/>
  <c r="L2117" i="3"/>
  <c r="L2118" i="3"/>
  <c r="L2119" i="3"/>
  <c r="L2120" i="3"/>
  <c r="L2121" i="3"/>
  <c r="L2122" i="3"/>
  <c r="L2123" i="3"/>
  <c r="L2124" i="3"/>
  <c r="L2125" i="3"/>
  <c r="L2126" i="3"/>
  <c r="L2127" i="3"/>
  <c r="L2128" i="3"/>
  <c r="L2129" i="3"/>
  <c r="L2130" i="3"/>
  <c r="L2131" i="3"/>
  <c r="L2132" i="3"/>
  <c r="L2133" i="3"/>
  <c r="L2134" i="3"/>
  <c r="L2135" i="3"/>
  <c r="L2136" i="3"/>
  <c r="L2137" i="3"/>
  <c r="L2138" i="3"/>
  <c r="L2139" i="3"/>
  <c r="L2140" i="3"/>
  <c r="L2141" i="3"/>
  <c r="L2142" i="3"/>
  <c r="L2143" i="3"/>
  <c r="L2144" i="3"/>
  <c r="L2145" i="3"/>
  <c r="L2146" i="3"/>
  <c r="L2147" i="3"/>
  <c r="L2148" i="3"/>
  <c r="L2149" i="3"/>
  <c r="L2150" i="3"/>
  <c r="L2151" i="3"/>
  <c r="L2152" i="3"/>
  <c r="L2153" i="3"/>
  <c r="L2154" i="3"/>
  <c r="L2155" i="3"/>
  <c r="L2156" i="3"/>
  <c r="L2157" i="3"/>
  <c r="L2158" i="3"/>
  <c r="L2159" i="3"/>
  <c r="L2160" i="3"/>
  <c r="L2161" i="3"/>
  <c r="L2162" i="3"/>
  <c r="L2163" i="3"/>
  <c r="L2164" i="3"/>
  <c r="L2165" i="3"/>
  <c r="L2166" i="3"/>
  <c r="L2167" i="3"/>
  <c r="L2168" i="3"/>
  <c r="L2169" i="3"/>
  <c r="L2170" i="3"/>
  <c r="L2171" i="3"/>
  <c r="L2172" i="3"/>
  <c r="L2173" i="3"/>
  <c r="L2174" i="3"/>
  <c r="L2175" i="3"/>
  <c r="L2176" i="3"/>
  <c r="L2177" i="3"/>
  <c r="L2178" i="3"/>
  <c r="L2179" i="3"/>
  <c r="L2180" i="3"/>
  <c r="L2181" i="3"/>
  <c r="L2182" i="3"/>
  <c r="L2183" i="3"/>
  <c r="L2184" i="3"/>
  <c r="L2185" i="3"/>
  <c r="L2186" i="3"/>
  <c r="L2187" i="3"/>
  <c r="L2188" i="3"/>
  <c r="L2189" i="3"/>
  <c r="L2190" i="3"/>
  <c r="L2191" i="3"/>
  <c r="L2192" i="3"/>
  <c r="L2193" i="3"/>
  <c r="L2194" i="3"/>
  <c r="L2195" i="3"/>
  <c r="L2196" i="3"/>
  <c r="L2197" i="3"/>
  <c r="L2198" i="3"/>
  <c r="L2199" i="3"/>
  <c r="L2200" i="3"/>
  <c r="L2201" i="3"/>
  <c r="L2202" i="3"/>
  <c r="L2203" i="3"/>
  <c r="L2204" i="3"/>
  <c r="L2205" i="3"/>
  <c r="L2206" i="3"/>
  <c r="L2207" i="3"/>
  <c r="L2208" i="3"/>
  <c r="L2209" i="3"/>
  <c r="L2210" i="3"/>
  <c r="L2211" i="3"/>
  <c r="L2212" i="3"/>
  <c r="L2213" i="3"/>
  <c r="L2214" i="3"/>
  <c r="L2215" i="3"/>
  <c r="L2216" i="3"/>
  <c r="L2217" i="3"/>
  <c r="L2218" i="3"/>
  <c r="L2219" i="3"/>
  <c r="L2220" i="3"/>
  <c r="L2221" i="3"/>
  <c r="L2222" i="3"/>
  <c r="L2223" i="3"/>
  <c r="L2224" i="3"/>
  <c r="L2225" i="3"/>
  <c r="L2226" i="3"/>
  <c r="L2227" i="3"/>
  <c r="L2228" i="3"/>
  <c r="L2229" i="3"/>
  <c r="L2230" i="3"/>
  <c r="L2231" i="3"/>
  <c r="L2232" i="3"/>
  <c r="L2233" i="3"/>
  <c r="L2234" i="3"/>
  <c r="L2235" i="3"/>
  <c r="L2236" i="3"/>
  <c r="L2237" i="3"/>
  <c r="L2238" i="3"/>
  <c r="L2239" i="3"/>
  <c r="L2240" i="3"/>
  <c r="L2241" i="3"/>
  <c r="L2242" i="3"/>
  <c r="L2243" i="3"/>
  <c r="L2244" i="3"/>
  <c r="L2245" i="3"/>
  <c r="L2246" i="3"/>
  <c r="L2247" i="3"/>
  <c r="L2248" i="3"/>
  <c r="L2249" i="3"/>
  <c r="L2250" i="3"/>
  <c r="L2251" i="3"/>
  <c r="L2252" i="3"/>
  <c r="L2253" i="3"/>
  <c r="L2254" i="3"/>
  <c r="L2255" i="3"/>
  <c r="L2256" i="3"/>
  <c r="L2257" i="3"/>
  <c r="L2258" i="3"/>
  <c r="L2259" i="3"/>
  <c r="L2260" i="3"/>
  <c r="L2261" i="3"/>
  <c r="L2262" i="3"/>
  <c r="L2263" i="3"/>
  <c r="L2264" i="3"/>
  <c r="L2265" i="3"/>
  <c r="L2266" i="3"/>
  <c r="L2267" i="3"/>
  <c r="L2268" i="3"/>
  <c r="L2269" i="3"/>
  <c r="L2270" i="3"/>
  <c r="L2271" i="3"/>
  <c r="L2272" i="3"/>
  <c r="L2273" i="3"/>
  <c r="L2274" i="3"/>
  <c r="L2275" i="3"/>
  <c r="L2276" i="3"/>
  <c r="L2277" i="3"/>
  <c r="L2278" i="3"/>
  <c r="L2279" i="3"/>
  <c r="L2280" i="3"/>
  <c r="L2281" i="3"/>
  <c r="L2282" i="3"/>
  <c r="L2283" i="3"/>
  <c r="L2284" i="3"/>
  <c r="L2285" i="3"/>
  <c r="L2286" i="3"/>
  <c r="L2287" i="3"/>
  <c r="L2288" i="3"/>
  <c r="L2289" i="3"/>
  <c r="L2290" i="3"/>
  <c r="L2291" i="3"/>
  <c r="L2292" i="3"/>
  <c r="L2293" i="3"/>
  <c r="L2294" i="3"/>
  <c r="L2295" i="3"/>
  <c r="L2296" i="3"/>
  <c r="L2297" i="3"/>
  <c r="L2298" i="3"/>
  <c r="L2299" i="3"/>
  <c r="L2300" i="3"/>
  <c r="L2301" i="3"/>
  <c r="L2302" i="3"/>
  <c r="L2303" i="3"/>
  <c r="L2304" i="3"/>
  <c r="L2305" i="3"/>
  <c r="L2306" i="3"/>
  <c r="L2307" i="3"/>
  <c r="L2308" i="3"/>
  <c r="L2309" i="3"/>
  <c r="L2310" i="3"/>
  <c r="L2311" i="3"/>
  <c r="L2312" i="3"/>
  <c r="L2313" i="3"/>
  <c r="L2314" i="3"/>
  <c r="L2315" i="3"/>
  <c r="L2316" i="3"/>
  <c r="L2317" i="3"/>
  <c r="L2318" i="3"/>
  <c r="L2319" i="3"/>
  <c r="L2320" i="3"/>
  <c r="L2321" i="3"/>
  <c r="L2322" i="3"/>
  <c r="L2323" i="3"/>
  <c r="L2324" i="3"/>
  <c r="L2325" i="3"/>
  <c r="L2326" i="3"/>
  <c r="L2327" i="3"/>
  <c r="L2328" i="3"/>
  <c r="L2329" i="3"/>
  <c r="L2330" i="3"/>
  <c r="L2331" i="3"/>
  <c r="L2332" i="3"/>
  <c r="L2333" i="3"/>
  <c r="L2334" i="3"/>
  <c r="L2335" i="3"/>
  <c r="L2336" i="3"/>
  <c r="L2337" i="3"/>
  <c r="L2338" i="3"/>
  <c r="L2339" i="3"/>
  <c r="L2340" i="3"/>
  <c r="L2341" i="3"/>
  <c r="L2342" i="3"/>
  <c r="L2343" i="3"/>
  <c r="L2344" i="3"/>
  <c r="L2345" i="3"/>
  <c r="L2346" i="3"/>
  <c r="L2347" i="3"/>
  <c r="L2348" i="3"/>
  <c r="L2349" i="3"/>
  <c r="L2350" i="3"/>
  <c r="L2351" i="3"/>
  <c r="L2352" i="3"/>
  <c r="L2353" i="3"/>
  <c r="L2354" i="3"/>
  <c r="L2355" i="3"/>
  <c r="L2356" i="3"/>
  <c r="L2357" i="3"/>
  <c r="L2358" i="3"/>
  <c r="L2359" i="3"/>
  <c r="L2360" i="3"/>
  <c r="L2361" i="3"/>
  <c r="L2362" i="3"/>
  <c r="L2363" i="3"/>
  <c r="L2364" i="3"/>
  <c r="L2365" i="3"/>
  <c r="L2366" i="3"/>
  <c r="L2367" i="3"/>
  <c r="L2368" i="3"/>
  <c r="L2369" i="3"/>
  <c r="L2370" i="3"/>
  <c r="L2371" i="3"/>
  <c r="L2372" i="3"/>
  <c r="L2373" i="3"/>
  <c r="L2374" i="3"/>
  <c r="L2375" i="3"/>
  <c r="L2376" i="3"/>
  <c r="L2377" i="3"/>
  <c r="L2378" i="3"/>
  <c r="L2379" i="3"/>
  <c r="L2380" i="3"/>
  <c r="L2381" i="3"/>
  <c r="L2382" i="3"/>
  <c r="L2383" i="3"/>
  <c r="L2384" i="3"/>
  <c r="L2385" i="3"/>
  <c r="L2386" i="3"/>
  <c r="L2387" i="3"/>
  <c r="L2388" i="3"/>
  <c r="L2389" i="3"/>
  <c r="L2390" i="3"/>
  <c r="L2391" i="3"/>
  <c r="L2392" i="3"/>
  <c r="L2393" i="3"/>
  <c r="L2394" i="3"/>
  <c r="L2395" i="3"/>
  <c r="L2396" i="3"/>
  <c r="L2397" i="3"/>
  <c r="L2398" i="3"/>
  <c r="L2399" i="3"/>
  <c r="L2400" i="3"/>
  <c r="L2401" i="3"/>
  <c r="L2402" i="3"/>
  <c r="L2403" i="3"/>
  <c r="L2404" i="3"/>
  <c r="L2405" i="3"/>
  <c r="L2406" i="3"/>
  <c r="L2407" i="3"/>
  <c r="L2408" i="3"/>
  <c r="L2409" i="3"/>
  <c r="L2410" i="3"/>
  <c r="L2411" i="3"/>
  <c r="L2412" i="3"/>
  <c r="L2413" i="3"/>
  <c r="L2414" i="3"/>
  <c r="L2415" i="3"/>
  <c r="L2416" i="3"/>
  <c r="L2417" i="3"/>
  <c r="L2418" i="3"/>
  <c r="L2419" i="3"/>
  <c r="L2420" i="3"/>
  <c r="L2421" i="3"/>
  <c r="L2422" i="3"/>
  <c r="L2423" i="3"/>
  <c r="L2424" i="3"/>
  <c r="L2425" i="3"/>
  <c r="L2426" i="3"/>
  <c r="L2427" i="3"/>
  <c r="L2428" i="3"/>
  <c r="L2429" i="3"/>
  <c r="L2430" i="3"/>
  <c r="L2431" i="3"/>
  <c r="L2432" i="3"/>
  <c r="L2433" i="3"/>
  <c r="L2434" i="3"/>
  <c r="L2435" i="3"/>
  <c r="L2436" i="3"/>
  <c r="L2437" i="3"/>
  <c r="L2438" i="3"/>
  <c r="L2439" i="3"/>
  <c r="L2440" i="3"/>
  <c r="L2441" i="3"/>
  <c r="L2442" i="3"/>
  <c r="L2443" i="3"/>
  <c r="L2444" i="3"/>
  <c r="L2445" i="3"/>
  <c r="L2446" i="3"/>
  <c r="L2447" i="3"/>
  <c r="L2448" i="3"/>
  <c r="L2449" i="3"/>
  <c r="L2450" i="3"/>
  <c r="L2451" i="3"/>
  <c r="L2452" i="3"/>
  <c r="L2453" i="3"/>
  <c r="L2454" i="3"/>
  <c r="L2455" i="3"/>
  <c r="L2456" i="3"/>
  <c r="L2457" i="3"/>
  <c r="L2458" i="3"/>
  <c r="L2459" i="3"/>
  <c r="L2460" i="3"/>
  <c r="L2461" i="3"/>
  <c r="L2462" i="3"/>
  <c r="L2463" i="3"/>
  <c r="L2464" i="3"/>
  <c r="L2465" i="3"/>
  <c r="L2466" i="3"/>
  <c r="L2467" i="3"/>
  <c r="L2468" i="3"/>
  <c r="L2469" i="3"/>
  <c r="L2470" i="3"/>
  <c r="L2471" i="3"/>
  <c r="L2472" i="3"/>
  <c r="L2473" i="3"/>
  <c r="L2474" i="3"/>
  <c r="L2475" i="3"/>
  <c r="L2476" i="3"/>
  <c r="L2477" i="3"/>
  <c r="L2478" i="3"/>
  <c r="L2479" i="3"/>
  <c r="L2480" i="3"/>
  <c r="L2481" i="3"/>
  <c r="L2482" i="3"/>
  <c r="L2483" i="3"/>
  <c r="L2484" i="3"/>
  <c r="L2485" i="3"/>
  <c r="L2486" i="3"/>
  <c r="L2487" i="3"/>
  <c r="L2488" i="3"/>
  <c r="L2489" i="3"/>
  <c r="L2490" i="3"/>
  <c r="L2491" i="3"/>
  <c r="L2492" i="3"/>
  <c r="L2493" i="3"/>
  <c r="L2494" i="3"/>
  <c r="L2495" i="3"/>
  <c r="L2496" i="3"/>
  <c r="L2497" i="3"/>
  <c r="L2498" i="3"/>
  <c r="L2499" i="3"/>
  <c r="L2500" i="3"/>
  <c r="L2501" i="3"/>
  <c r="L2502" i="3"/>
  <c r="L2503" i="3"/>
  <c r="L2504" i="3"/>
  <c r="L2505" i="3"/>
  <c r="L2506" i="3"/>
  <c r="L2507" i="3"/>
  <c r="L2508" i="3"/>
  <c r="L2509" i="3"/>
  <c r="L2510" i="3"/>
  <c r="L2511" i="3"/>
  <c r="L2512" i="3"/>
  <c r="L2513" i="3"/>
  <c r="L2514" i="3"/>
  <c r="L2515" i="3"/>
  <c r="L2516" i="3"/>
  <c r="L2517" i="3"/>
  <c r="L2518" i="3"/>
  <c r="L2519" i="3"/>
  <c r="L2520" i="3"/>
  <c r="L2521" i="3"/>
  <c r="L2522" i="3"/>
  <c r="L2523" i="3"/>
  <c r="L2524" i="3"/>
  <c r="L2525" i="3"/>
  <c r="L2526" i="3"/>
  <c r="L2527" i="3"/>
  <c r="L2528" i="3"/>
  <c r="L2529" i="3"/>
  <c r="L2530" i="3"/>
  <c r="L2531" i="3"/>
  <c r="L2532" i="3"/>
  <c r="L2533" i="3"/>
  <c r="L2534" i="3"/>
  <c r="L2535" i="3"/>
  <c r="L2536" i="3"/>
  <c r="L2537" i="3"/>
  <c r="L2538" i="3"/>
  <c r="L2539" i="3"/>
  <c r="L2540" i="3"/>
  <c r="L2541" i="3"/>
  <c r="L2542" i="3"/>
  <c r="L2543" i="3"/>
  <c r="L2544" i="3"/>
  <c r="L2545" i="3"/>
  <c r="L2546" i="3"/>
  <c r="L2547" i="3"/>
  <c r="L2548" i="3"/>
  <c r="L2549" i="3"/>
  <c r="L2550" i="3"/>
  <c r="L2551" i="3"/>
  <c r="L2552" i="3"/>
  <c r="L2553" i="3"/>
  <c r="L2554" i="3"/>
  <c r="L2555" i="3"/>
  <c r="L2556" i="3"/>
  <c r="L2557" i="3"/>
  <c r="L2558" i="3"/>
  <c r="L2559" i="3"/>
  <c r="L2560" i="3"/>
  <c r="L2561" i="3"/>
  <c r="L2562" i="3"/>
  <c r="L2563" i="3"/>
  <c r="L2564" i="3"/>
  <c r="L2565" i="3"/>
  <c r="L2566" i="3"/>
  <c r="L2567" i="3"/>
  <c r="L2568" i="3"/>
  <c r="L2569" i="3"/>
  <c r="L2570" i="3"/>
  <c r="L2571" i="3"/>
  <c r="L2572" i="3"/>
  <c r="L2573" i="3"/>
  <c r="L2574" i="3"/>
  <c r="L2575" i="3"/>
  <c r="L2576" i="3"/>
  <c r="L2577" i="3"/>
  <c r="L2578" i="3"/>
  <c r="L2579" i="3"/>
  <c r="L2580" i="3"/>
  <c r="L2581" i="3"/>
  <c r="L2582" i="3"/>
  <c r="L2583" i="3"/>
  <c r="L2584" i="3"/>
  <c r="L2585" i="3"/>
  <c r="L2586" i="3"/>
  <c r="L2587" i="3"/>
  <c r="L2588" i="3"/>
  <c r="L2589" i="3"/>
  <c r="L2590" i="3"/>
  <c r="L2591" i="3"/>
  <c r="L2592" i="3"/>
  <c r="L2593" i="3"/>
  <c r="L2594" i="3"/>
  <c r="L2595" i="3"/>
  <c r="L2596" i="3"/>
  <c r="L2597" i="3"/>
  <c r="L2598" i="3"/>
  <c r="L2599" i="3"/>
  <c r="L2600" i="3"/>
  <c r="L2601" i="3"/>
  <c r="L2602" i="3"/>
  <c r="L2603" i="3"/>
  <c r="L2604" i="3"/>
  <c r="L2605" i="3"/>
  <c r="L2606" i="3"/>
  <c r="L2607" i="3"/>
  <c r="L2608" i="3"/>
  <c r="L2609" i="3"/>
  <c r="L2610" i="3"/>
  <c r="L2611" i="3"/>
  <c r="L2612" i="3"/>
  <c r="L2613" i="3"/>
  <c r="L2614" i="3"/>
  <c r="L2615" i="3"/>
  <c r="L2616" i="3"/>
  <c r="L2617" i="3"/>
  <c r="L2618" i="3"/>
  <c r="L2619" i="3"/>
  <c r="L2620" i="3"/>
  <c r="L2621" i="3"/>
  <c r="L2622" i="3"/>
  <c r="L2623" i="3"/>
  <c r="L2624" i="3"/>
  <c r="L3" i="3"/>
  <c r="I7" i="3" a="1"/>
  <c r="I7" i="3" s="1"/>
  <c r="I8" i="3" a="1"/>
  <c r="I8" i="3" s="1"/>
  <c r="I9" i="3" a="1"/>
  <c r="I9" i="3" s="1"/>
  <c r="I10" i="3" a="1"/>
  <c r="I10" i="3" s="1"/>
  <c r="I11" i="3" a="1"/>
  <c r="I11" i="3" s="1"/>
  <c r="I12" i="3" a="1"/>
  <c r="I12" i="3" s="1"/>
  <c r="I13" i="3" a="1"/>
  <c r="I13" i="3" s="1"/>
  <c r="I14" i="3" a="1"/>
  <c r="I14" i="3" s="1"/>
  <c r="I15" i="3" a="1"/>
  <c r="I15" i="3" s="1"/>
  <c r="I16" i="3" a="1"/>
  <c r="I16" i="3" s="1"/>
  <c r="I17" i="3" a="1"/>
  <c r="I17" i="3" s="1"/>
  <c r="I18" i="3" a="1"/>
  <c r="I18" i="3" s="1"/>
  <c r="I19" i="3" a="1"/>
  <c r="I19" i="3" s="1"/>
  <c r="I20" i="3" a="1"/>
  <c r="I20" i="3" s="1"/>
  <c r="I21" i="3" a="1"/>
  <c r="I21" i="3" s="1"/>
  <c r="I22" i="3" a="1"/>
  <c r="I22" i="3" s="1"/>
  <c r="I23" i="3" a="1"/>
  <c r="I23" i="3" s="1"/>
  <c r="I24" i="3" a="1"/>
  <c r="I24" i="3" s="1"/>
  <c r="I25" i="3" a="1"/>
  <c r="I25" i="3" s="1"/>
  <c r="I26" i="3" a="1"/>
  <c r="I26" i="3" s="1"/>
  <c r="I27" i="3" a="1"/>
  <c r="I27" i="3" s="1"/>
  <c r="I28" i="3" a="1"/>
  <c r="I28" i="3" s="1"/>
  <c r="I29" i="3" a="1"/>
  <c r="I29" i="3" s="1"/>
  <c r="I30" i="3" a="1"/>
  <c r="I30" i="3" s="1"/>
  <c r="I31" i="3" a="1"/>
  <c r="I31" i="3" s="1"/>
  <c r="I32" i="3" a="1"/>
  <c r="I32" i="3" s="1"/>
  <c r="I33" i="3" a="1"/>
  <c r="I33" i="3" s="1"/>
  <c r="I34" i="3" a="1"/>
  <c r="I34" i="3" s="1"/>
  <c r="I35" i="3" a="1"/>
  <c r="I35" i="3" s="1"/>
  <c r="I36" i="3" a="1"/>
  <c r="I36" i="3" s="1"/>
  <c r="I37" i="3" a="1"/>
  <c r="I37" i="3" s="1"/>
  <c r="I38" i="3" a="1"/>
  <c r="I38" i="3" s="1"/>
  <c r="I39" i="3" a="1"/>
  <c r="I39" i="3" s="1"/>
  <c r="I40" i="3" a="1"/>
  <c r="I40" i="3" s="1"/>
  <c r="I41" i="3" a="1"/>
  <c r="I41" i="3" s="1"/>
  <c r="I42" i="3" a="1"/>
  <c r="I42" i="3" s="1"/>
  <c r="I43" i="3" a="1"/>
  <c r="I43" i="3" s="1"/>
  <c r="I44" i="3" a="1"/>
  <c r="I44" i="3" s="1"/>
  <c r="I45" i="3" a="1"/>
  <c r="I45" i="3" s="1"/>
  <c r="I46" i="3" a="1"/>
  <c r="I46" i="3" s="1"/>
  <c r="I47" i="3" a="1"/>
  <c r="I47" i="3" s="1"/>
  <c r="I48" i="3" a="1"/>
  <c r="I48" i="3" s="1"/>
  <c r="I49" i="3" a="1"/>
  <c r="I49" i="3" s="1"/>
  <c r="I50" i="3" a="1"/>
  <c r="I50" i="3" s="1"/>
  <c r="I51" i="3" a="1"/>
  <c r="I51" i="3" s="1"/>
  <c r="I52" i="3" a="1"/>
  <c r="I52" i="3" s="1"/>
  <c r="I53" i="3" a="1"/>
  <c r="I53" i="3" s="1"/>
  <c r="I54" i="3" a="1"/>
  <c r="I54" i="3" s="1"/>
  <c r="I55" i="3" a="1"/>
  <c r="I55" i="3" s="1"/>
  <c r="I56" i="3" a="1"/>
  <c r="I56" i="3" s="1"/>
  <c r="I57" i="3" a="1"/>
  <c r="I57" i="3" s="1"/>
  <c r="I58" i="3" a="1"/>
  <c r="I58" i="3" s="1"/>
  <c r="I59" i="3" a="1"/>
  <c r="I59" i="3" s="1"/>
  <c r="I60" i="3" a="1"/>
  <c r="I60" i="3" s="1"/>
  <c r="I61" i="3" a="1"/>
  <c r="I61" i="3" s="1"/>
  <c r="I62" i="3" a="1"/>
  <c r="I62" i="3" s="1"/>
  <c r="I63" i="3" a="1"/>
  <c r="I63" i="3" s="1"/>
  <c r="I64" i="3" a="1"/>
  <c r="I64" i="3" s="1"/>
  <c r="I65" i="3" a="1"/>
  <c r="I65" i="3" s="1"/>
  <c r="I66" i="3" a="1"/>
  <c r="I66" i="3" s="1"/>
  <c r="I67" i="3" a="1"/>
  <c r="I67" i="3" s="1"/>
  <c r="I68" i="3" a="1"/>
  <c r="I68" i="3" s="1"/>
  <c r="I69" i="3" a="1"/>
  <c r="I69" i="3" s="1"/>
  <c r="I70" i="3" a="1"/>
  <c r="I70" i="3" s="1"/>
  <c r="I71" i="3" a="1"/>
  <c r="I71" i="3" s="1"/>
  <c r="I72" i="3" a="1"/>
  <c r="I72" i="3" s="1"/>
  <c r="I73" i="3" a="1"/>
  <c r="I73" i="3" s="1"/>
  <c r="I74" i="3" a="1"/>
  <c r="I74" i="3" s="1"/>
  <c r="I75" i="3" a="1"/>
  <c r="I75" i="3" s="1"/>
  <c r="I76" i="3" a="1"/>
  <c r="I76" i="3" s="1"/>
  <c r="I77" i="3" a="1"/>
  <c r="I77" i="3" s="1"/>
  <c r="I78" i="3" a="1"/>
  <c r="I78" i="3" s="1"/>
  <c r="I79" i="3" a="1"/>
  <c r="I79" i="3" s="1"/>
  <c r="I80" i="3" a="1"/>
  <c r="I80" i="3" s="1"/>
  <c r="I81" i="3" a="1"/>
  <c r="I81" i="3" s="1"/>
  <c r="I82" i="3" a="1"/>
  <c r="I82" i="3" s="1"/>
  <c r="I83" i="3" a="1"/>
  <c r="I83" i="3" s="1"/>
  <c r="I84" i="3" a="1"/>
  <c r="I84" i="3" s="1"/>
  <c r="I85" i="3" a="1"/>
  <c r="I85" i="3" s="1"/>
  <c r="I86" i="3" a="1"/>
  <c r="I86" i="3" s="1"/>
  <c r="I87" i="3" a="1"/>
  <c r="I87" i="3" s="1"/>
  <c r="I88" i="3" a="1"/>
  <c r="I88" i="3" s="1"/>
  <c r="I89" i="3" a="1"/>
  <c r="I89" i="3" s="1"/>
  <c r="I90" i="3" a="1"/>
  <c r="I90" i="3" s="1"/>
  <c r="I91" i="3" a="1"/>
  <c r="I91" i="3" s="1"/>
  <c r="I92" i="3" a="1"/>
  <c r="I92" i="3" s="1"/>
  <c r="I93" i="3" a="1"/>
  <c r="I93" i="3" s="1"/>
  <c r="I94" i="3" a="1"/>
  <c r="I94" i="3" s="1"/>
  <c r="I95" i="3" a="1"/>
  <c r="I95" i="3" s="1"/>
  <c r="I96" i="3" a="1"/>
  <c r="I96" i="3" s="1"/>
  <c r="I97" i="3" a="1"/>
  <c r="I97" i="3" s="1"/>
  <c r="I98" i="3" a="1"/>
  <c r="I98" i="3" s="1"/>
  <c r="I99" i="3" a="1"/>
  <c r="I99" i="3" s="1"/>
  <c r="I100" i="3" a="1"/>
  <c r="I100" i="3" s="1"/>
  <c r="I101" i="3" a="1"/>
  <c r="I101" i="3" s="1"/>
  <c r="I102" i="3" a="1"/>
  <c r="I102" i="3" s="1"/>
  <c r="I103" i="3" a="1"/>
  <c r="I103" i="3" s="1"/>
  <c r="I104" i="3" a="1"/>
  <c r="I104" i="3" s="1"/>
  <c r="I105" i="3" a="1"/>
  <c r="I105" i="3" s="1"/>
  <c r="I106" i="3" a="1"/>
  <c r="I106" i="3" s="1"/>
  <c r="I107" i="3" a="1"/>
  <c r="I107" i="3" s="1"/>
  <c r="I108" i="3" a="1"/>
  <c r="I108" i="3" s="1"/>
  <c r="I109" i="3" a="1"/>
  <c r="I109" i="3" s="1"/>
  <c r="I110" i="3" a="1"/>
  <c r="I110" i="3" s="1"/>
  <c r="I111" i="3" a="1"/>
  <c r="I111" i="3" s="1"/>
  <c r="I112" i="3" a="1"/>
  <c r="I112" i="3" s="1"/>
  <c r="I113" i="3" a="1"/>
  <c r="I113" i="3" s="1"/>
  <c r="I114" i="3" a="1"/>
  <c r="I114" i="3" s="1"/>
  <c r="I115" i="3" a="1"/>
  <c r="I115" i="3" s="1"/>
  <c r="I116" i="3" a="1"/>
  <c r="I116" i="3" s="1"/>
  <c r="I117" i="3" a="1"/>
  <c r="I117" i="3" s="1"/>
  <c r="I118" i="3" a="1"/>
  <c r="I118" i="3" s="1"/>
  <c r="I119" i="3" a="1"/>
  <c r="I119" i="3" s="1"/>
  <c r="I120" i="3" a="1"/>
  <c r="I120" i="3" s="1"/>
  <c r="I121" i="3" a="1"/>
  <c r="I121" i="3" s="1"/>
  <c r="I122" i="3" a="1"/>
  <c r="I122" i="3" s="1"/>
  <c r="I123" i="3" a="1"/>
  <c r="I123" i="3" s="1"/>
  <c r="I124" i="3" a="1"/>
  <c r="I124" i="3" s="1"/>
  <c r="I125" i="3" a="1"/>
  <c r="I125" i="3" s="1"/>
  <c r="I126" i="3" a="1"/>
  <c r="I126" i="3" s="1"/>
  <c r="I127" i="3" a="1"/>
  <c r="I127" i="3" s="1"/>
  <c r="I128" i="3" a="1"/>
  <c r="I128" i="3" s="1"/>
  <c r="I129" i="3" a="1"/>
  <c r="I129" i="3" s="1"/>
  <c r="I130" i="3" a="1"/>
  <c r="I130" i="3" s="1"/>
  <c r="I131" i="3" a="1"/>
  <c r="I131" i="3" s="1"/>
  <c r="I132" i="3" a="1"/>
  <c r="I132" i="3" s="1"/>
  <c r="I133" i="3" a="1"/>
  <c r="I133" i="3" s="1"/>
  <c r="I134" i="3" a="1"/>
  <c r="I134" i="3" s="1"/>
  <c r="I135" i="3" a="1"/>
  <c r="I135" i="3" s="1"/>
  <c r="I136" i="3" a="1"/>
  <c r="I136" i="3" s="1"/>
  <c r="I137" i="3" a="1"/>
  <c r="I137" i="3" s="1"/>
  <c r="I138" i="3" a="1"/>
  <c r="I138" i="3" s="1"/>
  <c r="I139" i="3" a="1"/>
  <c r="I139" i="3" s="1"/>
  <c r="I140" i="3" a="1"/>
  <c r="I140" i="3" s="1"/>
  <c r="I141" i="3" a="1"/>
  <c r="I141" i="3" s="1"/>
  <c r="I142" i="3" a="1"/>
  <c r="I142" i="3" s="1"/>
  <c r="I143" i="3" a="1"/>
  <c r="I143" i="3" s="1"/>
  <c r="I144" i="3" a="1"/>
  <c r="I144" i="3" s="1"/>
  <c r="I145" i="3" a="1"/>
  <c r="I145" i="3" s="1"/>
  <c r="I146" i="3" a="1"/>
  <c r="I146" i="3" s="1"/>
  <c r="I147" i="3" a="1"/>
  <c r="I147" i="3" s="1"/>
  <c r="I148" i="3" a="1"/>
  <c r="I148" i="3" s="1"/>
  <c r="I149" i="3" a="1"/>
  <c r="I149" i="3" s="1"/>
  <c r="I150" i="3" a="1"/>
  <c r="I150" i="3" s="1"/>
  <c r="I151" i="3" a="1"/>
  <c r="I151" i="3" s="1"/>
  <c r="I152" i="3" a="1"/>
  <c r="I152" i="3" s="1"/>
  <c r="I153" i="3" a="1"/>
  <c r="I153" i="3" s="1"/>
  <c r="I154" i="3" a="1"/>
  <c r="I154" i="3" s="1"/>
  <c r="I155" i="3" a="1"/>
  <c r="I155" i="3" s="1"/>
  <c r="I156" i="3" a="1"/>
  <c r="I156" i="3" s="1"/>
  <c r="I157" i="3" a="1"/>
  <c r="I157" i="3" s="1"/>
  <c r="I158" i="3" a="1"/>
  <c r="I158" i="3" s="1"/>
  <c r="I159" i="3" a="1"/>
  <c r="I159" i="3" s="1"/>
  <c r="I160" i="3" a="1"/>
  <c r="I160" i="3" s="1"/>
  <c r="I161" i="3" a="1"/>
  <c r="I161" i="3" s="1"/>
  <c r="I162" i="3" a="1"/>
  <c r="I162" i="3" s="1"/>
  <c r="I163" i="3" a="1"/>
  <c r="I163" i="3" s="1"/>
  <c r="I164" i="3" a="1"/>
  <c r="I164" i="3" s="1"/>
  <c r="I165" i="3" a="1"/>
  <c r="I165" i="3" s="1"/>
  <c r="I166" i="3" a="1"/>
  <c r="I166" i="3" s="1"/>
  <c r="I167" i="3" a="1"/>
  <c r="I167" i="3" s="1"/>
  <c r="I168" i="3" a="1"/>
  <c r="I168" i="3" s="1"/>
  <c r="I169" i="3" a="1"/>
  <c r="I169" i="3" s="1"/>
  <c r="I170" i="3" a="1"/>
  <c r="I170" i="3" s="1"/>
  <c r="I171" i="3" a="1"/>
  <c r="I171" i="3" s="1"/>
  <c r="I172" i="3" a="1"/>
  <c r="I172" i="3" s="1"/>
  <c r="I173" i="3" a="1"/>
  <c r="I173" i="3" s="1"/>
  <c r="I174" i="3" a="1"/>
  <c r="I174" i="3" s="1"/>
  <c r="I175" i="3" a="1"/>
  <c r="I175" i="3" s="1"/>
  <c r="I176" i="3" a="1"/>
  <c r="I176" i="3" s="1"/>
  <c r="I177" i="3" a="1"/>
  <c r="I177" i="3" s="1"/>
  <c r="I178" i="3" a="1"/>
  <c r="I178" i="3" s="1"/>
  <c r="I179" i="3" a="1"/>
  <c r="I179" i="3" s="1"/>
  <c r="I180" i="3" a="1"/>
  <c r="I180" i="3" s="1"/>
  <c r="I181" i="3" a="1"/>
  <c r="I181" i="3" s="1"/>
  <c r="I182" i="3" a="1"/>
  <c r="I182" i="3" s="1"/>
  <c r="I183" i="3" a="1"/>
  <c r="I183" i="3" s="1"/>
  <c r="I184" i="3" a="1"/>
  <c r="I184" i="3" s="1"/>
  <c r="I185" i="3" a="1"/>
  <c r="I185" i="3" s="1"/>
  <c r="I186" i="3" a="1"/>
  <c r="I186" i="3" s="1"/>
  <c r="I187" i="3" a="1"/>
  <c r="I187" i="3" s="1"/>
  <c r="I188" i="3" a="1"/>
  <c r="I188" i="3" s="1"/>
  <c r="I189" i="3" a="1"/>
  <c r="I189" i="3" s="1"/>
  <c r="I190" i="3" a="1"/>
  <c r="I190" i="3" s="1"/>
  <c r="I191" i="3" a="1"/>
  <c r="I191" i="3" s="1"/>
  <c r="I192" i="3" a="1"/>
  <c r="I192" i="3" s="1"/>
  <c r="I193" i="3" a="1"/>
  <c r="I193" i="3" s="1"/>
  <c r="I194" i="3" a="1"/>
  <c r="I194" i="3" s="1"/>
  <c r="I195" i="3" a="1"/>
  <c r="I195" i="3" s="1"/>
  <c r="I196" i="3" a="1"/>
  <c r="I196" i="3" s="1"/>
  <c r="I197" i="3" a="1"/>
  <c r="I197" i="3" s="1"/>
  <c r="I198" i="3" a="1"/>
  <c r="I198" i="3" s="1"/>
  <c r="I199" i="3" a="1"/>
  <c r="I199" i="3" s="1"/>
  <c r="I200" i="3" a="1"/>
  <c r="I200" i="3" s="1"/>
  <c r="I201" i="3" a="1"/>
  <c r="I201" i="3" s="1"/>
  <c r="I202" i="3" a="1"/>
  <c r="I202" i="3" s="1"/>
  <c r="I203" i="3" a="1"/>
  <c r="I203" i="3" s="1"/>
  <c r="I204" i="3" a="1"/>
  <c r="I204" i="3" s="1"/>
  <c r="I205" i="3" a="1"/>
  <c r="I205" i="3" s="1"/>
  <c r="I206" i="3" a="1"/>
  <c r="I206" i="3" s="1"/>
  <c r="I207" i="3" a="1"/>
  <c r="I207" i="3" s="1"/>
  <c r="I208" i="3" a="1"/>
  <c r="I208" i="3" s="1"/>
  <c r="I209" i="3" a="1"/>
  <c r="I209" i="3" s="1"/>
  <c r="I210" i="3" a="1"/>
  <c r="I210" i="3" s="1"/>
  <c r="I211" i="3" a="1"/>
  <c r="I211" i="3" s="1"/>
  <c r="I212" i="3" a="1"/>
  <c r="I212" i="3" s="1"/>
  <c r="I213" i="3" a="1"/>
  <c r="I213" i="3" s="1"/>
  <c r="I214" i="3" a="1"/>
  <c r="I214" i="3" s="1"/>
  <c r="I215" i="3" a="1"/>
  <c r="I215" i="3" s="1"/>
  <c r="I216" i="3" a="1"/>
  <c r="I216" i="3" s="1"/>
  <c r="I217" i="3" a="1"/>
  <c r="I217" i="3" s="1"/>
  <c r="I218" i="3" a="1"/>
  <c r="I218" i="3" s="1"/>
  <c r="I219" i="3" a="1"/>
  <c r="I219" i="3" s="1"/>
  <c r="I220" i="3" a="1"/>
  <c r="I220" i="3" s="1"/>
  <c r="I221" i="3" a="1"/>
  <c r="I221" i="3" s="1"/>
  <c r="I222" i="3" a="1"/>
  <c r="I222" i="3" s="1"/>
  <c r="I223" i="3" a="1"/>
  <c r="I223" i="3" s="1"/>
  <c r="I224" i="3" a="1"/>
  <c r="I224" i="3" s="1"/>
  <c r="I225" i="3" a="1"/>
  <c r="I225" i="3" s="1"/>
  <c r="I226" i="3" a="1"/>
  <c r="I226" i="3" s="1"/>
  <c r="I227" i="3" a="1"/>
  <c r="I227" i="3" s="1"/>
  <c r="I228" i="3" a="1"/>
  <c r="I228" i="3" s="1"/>
  <c r="I229" i="3" a="1"/>
  <c r="I229" i="3" s="1"/>
  <c r="I230" i="3" a="1"/>
  <c r="I230" i="3" s="1"/>
  <c r="I231" i="3" a="1"/>
  <c r="I231" i="3" s="1"/>
  <c r="I232" i="3" a="1"/>
  <c r="I232" i="3" s="1"/>
  <c r="I233" i="3" a="1"/>
  <c r="I233" i="3" s="1"/>
  <c r="I234" i="3" a="1"/>
  <c r="I234" i="3" s="1"/>
  <c r="I235" i="3" a="1"/>
  <c r="I235" i="3" s="1"/>
  <c r="I236" i="3" a="1"/>
  <c r="I236" i="3" s="1"/>
  <c r="I237" i="3" a="1"/>
  <c r="I237" i="3" s="1"/>
  <c r="I238" i="3" a="1"/>
  <c r="I238" i="3" s="1"/>
  <c r="I239" i="3" a="1"/>
  <c r="I239" i="3" s="1"/>
  <c r="I240" i="3" a="1"/>
  <c r="I240" i="3" s="1"/>
  <c r="I241" i="3" a="1"/>
  <c r="I241" i="3" s="1"/>
  <c r="I242" i="3" a="1"/>
  <c r="I242" i="3" s="1"/>
  <c r="I243" i="3" a="1"/>
  <c r="I243" i="3" s="1"/>
  <c r="I244" i="3" a="1"/>
  <c r="I244" i="3" s="1"/>
  <c r="I245" i="3" a="1"/>
  <c r="I245" i="3" s="1"/>
  <c r="I246" i="3" a="1"/>
  <c r="I246" i="3" s="1"/>
  <c r="I247" i="3" a="1"/>
  <c r="I247" i="3" s="1"/>
  <c r="I248" i="3" a="1"/>
  <c r="I248" i="3" s="1"/>
  <c r="I249" i="3" a="1"/>
  <c r="I249" i="3" s="1"/>
  <c r="I250" i="3" a="1"/>
  <c r="I250" i="3" s="1"/>
  <c r="I251" i="3" a="1"/>
  <c r="I251" i="3" s="1"/>
  <c r="I252" i="3" a="1"/>
  <c r="I252" i="3" s="1"/>
  <c r="I253" i="3" a="1"/>
  <c r="I253" i="3" s="1"/>
  <c r="I254" i="3" a="1"/>
  <c r="I254" i="3" s="1"/>
  <c r="I255" i="3" a="1"/>
  <c r="I255" i="3" s="1"/>
  <c r="I256" i="3" a="1"/>
  <c r="I256" i="3" s="1"/>
  <c r="I257" i="3" a="1"/>
  <c r="I257" i="3" s="1"/>
  <c r="I258" i="3" a="1"/>
  <c r="I258" i="3" s="1"/>
  <c r="I259" i="3" a="1"/>
  <c r="I259" i="3" s="1"/>
  <c r="I260" i="3" a="1"/>
  <c r="I260" i="3" s="1"/>
  <c r="I261" i="3" a="1"/>
  <c r="I261" i="3" s="1"/>
  <c r="I262" i="3" a="1"/>
  <c r="I262" i="3" s="1"/>
  <c r="I263" i="3" a="1"/>
  <c r="I263" i="3" s="1"/>
  <c r="I264" i="3" a="1"/>
  <c r="I264" i="3" s="1"/>
  <c r="I265" i="3" a="1"/>
  <c r="I265" i="3" s="1"/>
  <c r="I266" i="3" a="1"/>
  <c r="I266" i="3" s="1"/>
  <c r="I267" i="3" a="1"/>
  <c r="I267" i="3" s="1"/>
  <c r="I268" i="3" a="1"/>
  <c r="I268" i="3" s="1"/>
  <c r="I269" i="3" a="1"/>
  <c r="I269" i="3" s="1"/>
  <c r="I270" i="3" a="1"/>
  <c r="I270" i="3" s="1"/>
  <c r="I271" i="3" a="1"/>
  <c r="I271" i="3" s="1"/>
  <c r="I272" i="3" a="1"/>
  <c r="I272" i="3" s="1"/>
  <c r="I273" i="3" a="1"/>
  <c r="I273" i="3" s="1"/>
  <c r="I274" i="3" a="1"/>
  <c r="I274" i="3" s="1"/>
  <c r="I275" i="3" a="1"/>
  <c r="I275" i="3" s="1"/>
  <c r="I276" i="3" a="1"/>
  <c r="I276" i="3" s="1"/>
  <c r="I277" i="3" a="1"/>
  <c r="I277" i="3" s="1"/>
  <c r="I278" i="3" a="1"/>
  <c r="I278" i="3" s="1"/>
  <c r="I279" i="3" a="1"/>
  <c r="I279" i="3" s="1"/>
  <c r="I280" i="3" a="1"/>
  <c r="I280" i="3" s="1"/>
  <c r="I281" i="3" a="1"/>
  <c r="I281" i="3" s="1"/>
  <c r="I282" i="3" a="1"/>
  <c r="I282" i="3" s="1"/>
  <c r="I283" i="3" a="1"/>
  <c r="I283" i="3" s="1"/>
  <c r="I284" i="3" a="1"/>
  <c r="I284" i="3" s="1"/>
  <c r="I285" i="3" a="1"/>
  <c r="I285" i="3" s="1"/>
  <c r="I286" i="3" a="1"/>
  <c r="I286" i="3" s="1"/>
  <c r="I287" i="3" a="1"/>
  <c r="I287" i="3" s="1"/>
  <c r="I288" i="3" a="1"/>
  <c r="I288" i="3" s="1"/>
  <c r="I289" i="3" a="1"/>
  <c r="I289" i="3" s="1"/>
  <c r="I290" i="3" a="1"/>
  <c r="I290" i="3" s="1"/>
  <c r="I291" i="3" a="1"/>
  <c r="I291" i="3" s="1"/>
  <c r="I292" i="3" a="1"/>
  <c r="I292" i="3" s="1"/>
  <c r="I293" i="3" a="1"/>
  <c r="I293" i="3" s="1"/>
  <c r="I294" i="3" a="1"/>
  <c r="I294" i="3" s="1"/>
  <c r="I295" i="3" a="1"/>
  <c r="I295" i="3" s="1"/>
  <c r="I296" i="3" a="1"/>
  <c r="I296" i="3" s="1"/>
  <c r="I297" i="3" a="1"/>
  <c r="I297" i="3" s="1"/>
  <c r="I298" i="3" a="1"/>
  <c r="I298" i="3" s="1"/>
  <c r="I299" i="3" a="1"/>
  <c r="I299" i="3" s="1"/>
  <c r="I300" i="3" a="1"/>
  <c r="I300" i="3" s="1"/>
  <c r="I301" i="3" a="1"/>
  <c r="I301" i="3" s="1"/>
  <c r="I302" i="3" a="1"/>
  <c r="I302" i="3" s="1"/>
  <c r="I303" i="3" a="1"/>
  <c r="I303" i="3" s="1"/>
  <c r="I304" i="3" a="1"/>
  <c r="I304" i="3" s="1"/>
  <c r="I305" i="3" a="1"/>
  <c r="I305" i="3" s="1"/>
  <c r="I306" i="3" a="1"/>
  <c r="I306" i="3" s="1"/>
  <c r="I307" i="3" a="1"/>
  <c r="I307" i="3" s="1"/>
  <c r="I308" i="3" a="1"/>
  <c r="I308" i="3" s="1"/>
  <c r="I309" i="3" a="1"/>
  <c r="I309" i="3" s="1"/>
  <c r="I310" i="3" a="1"/>
  <c r="I310" i="3" s="1"/>
  <c r="I311" i="3" a="1"/>
  <c r="I311" i="3" s="1"/>
  <c r="I312" i="3" a="1"/>
  <c r="I312" i="3" s="1"/>
  <c r="I313" i="3" a="1"/>
  <c r="I313" i="3" s="1"/>
  <c r="I314" i="3" a="1"/>
  <c r="I314" i="3" s="1"/>
  <c r="I315" i="3" a="1"/>
  <c r="I315" i="3" s="1"/>
  <c r="I316" i="3" a="1"/>
  <c r="I316" i="3" s="1"/>
  <c r="I317" i="3" a="1"/>
  <c r="I317" i="3" s="1"/>
  <c r="I318" i="3" a="1"/>
  <c r="I318" i="3" s="1"/>
  <c r="I319" i="3" a="1"/>
  <c r="I319" i="3" s="1"/>
  <c r="I320" i="3" a="1"/>
  <c r="I320" i="3" s="1"/>
  <c r="I321" i="3" a="1"/>
  <c r="I321" i="3" s="1"/>
  <c r="I322" i="3" a="1"/>
  <c r="I322" i="3" s="1"/>
  <c r="I323" i="3" a="1"/>
  <c r="I323" i="3" s="1"/>
  <c r="I324" i="3" a="1"/>
  <c r="I324" i="3" s="1"/>
  <c r="I325" i="3" a="1"/>
  <c r="I325" i="3" s="1"/>
  <c r="I326" i="3" a="1"/>
  <c r="I326" i="3" s="1"/>
  <c r="I327" i="3" a="1"/>
  <c r="I327" i="3" s="1"/>
  <c r="I328" i="3" a="1"/>
  <c r="I328" i="3" s="1"/>
  <c r="I329" i="3" a="1"/>
  <c r="I329" i="3" s="1"/>
  <c r="I330" i="3" a="1"/>
  <c r="I330" i="3" s="1"/>
  <c r="I331" i="3" a="1"/>
  <c r="I331" i="3" s="1"/>
  <c r="I332" i="3" a="1"/>
  <c r="I332" i="3" s="1"/>
  <c r="I333" i="3" a="1"/>
  <c r="I333" i="3" s="1"/>
  <c r="I334" i="3" a="1"/>
  <c r="I334" i="3" s="1"/>
  <c r="I335" i="3" a="1"/>
  <c r="I335" i="3" s="1"/>
  <c r="I336" i="3" a="1"/>
  <c r="I336" i="3" s="1"/>
  <c r="I337" i="3" a="1"/>
  <c r="I337" i="3" s="1"/>
  <c r="I338" i="3" a="1"/>
  <c r="I338" i="3" s="1"/>
  <c r="I339" i="3" a="1"/>
  <c r="I339" i="3" s="1"/>
  <c r="I340" i="3" a="1"/>
  <c r="I340" i="3" s="1"/>
  <c r="I341" i="3" a="1"/>
  <c r="I341" i="3" s="1"/>
  <c r="I342" i="3" a="1"/>
  <c r="I342" i="3" s="1"/>
  <c r="I343" i="3" a="1"/>
  <c r="I343" i="3" s="1"/>
  <c r="I344" i="3" a="1"/>
  <c r="I344" i="3" s="1"/>
  <c r="I345" i="3" a="1"/>
  <c r="I345" i="3" s="1"/>
  <c r="I346" i="3" a="1"/>
  <c r="I346" i="3" s="1"/>
  <c r="I347" i="3" a="1"/>
  <c r="I347" i="3" s="1"/>
  <c r="I348" i="3" a="1"/>
  <c r="I348" i="3" s="1"/>
  <c r="I349" i="3" a="1"/>
  <c r="I349" i="3" s="1"/>
  <c r="I350" i="3" a="1"/>
  <c r="I350" i="3" s="1"/>
  <c r="I351" i="3" a="1"/>
  <c r="I351" i="3" s="1"/>
  <c r="I352" i="3" a="1"/>
  <c r="I352" i="3" s="1"/>
  <c r="I353" i="3" a="1"/>
  <c r="I353" i="3" s="1"/>
  <c r="I354" i="3" a="1"/>
  <c r="I354" i="3" s="1"/>
  <c r="I355" i="3" a="1"/>
  <c r="I355" i="3" s="1"/>
  <c r="I356" i="3" a="1"/>
  <c r="I356" i="3" s="1"/>
  <c r="I357" i="3" a="1"/>
  <c r="I357" i="3" s="1"/>
  <c r="I358" i="3" a="1"/>
  <c r="I358" i="3" s="1"/>
  <c r="I359" i="3" a="1"/>
  <c r="I359" i="3" s="1"/>
  <c r="I360" i="3" a="1"/>
  <c r="I360" i="3" s="1"/>
  <c r="I361" i="3" a="1"/>
  <c r="I361" i="3" s="1"/>
  <c r="I362" i="3" a="1"/>
  <c r="I362" i="3" s="1"/>
  <c r="I363" i="3" a="1"/>
  <c r="I363" i="3" s="1"/>
  <c r="I364" i="3" a="1"/>
  <c r="I364" i="3" s="1"/>
  <c r="I365" i="3" a="1"/>
  <c r="I365" i="3" s="1"/>
  <c r="I366" i="3" a="1"/>
  <c r="I366" i="3" s="1"/>
  <c r="I367" i="3" a="1"/>
  <c r="I367" i="3" s="1"/>
  <c r="I368" i="3" a="1"/>
  <c r="I368" i="3" s="1"/>
  <c r="I369" i="3" a="1"/>
  <c r="I369" i="3" s="1"/>
  <c r="I370" i="3" a="1"/>
  <c r="I370" i="3" s="1"/>
  <c r="I371" i="3" a="1"/>
  <c r="I371" i="3" s="1"/>
  <c r="I372" i="3" a="1"/>
  <c r="I372" i="3" s="1"/>
  <c r="I373" i="3" a="1"/>
  <c r="I373" i="3" s="1"/>
  <c r="I374" i="3" a="1"/>
  <c r="I374" i="3" s="1"/>
  <c r="I375" i="3" a="1"/>
  <c r="I375" i="3" s="1"/>
  <c r="I376" i="3" a="1"/>
  <c r="I376" i="3" s="1"/>
  <c r="I377" i="3" a="1"/>
  <c r="I377" i="3" s="1"/>
  <c r="I378" i="3" a="1"/>
  <c r="I378" i="3" s="1"/>
  <c r="I379" i="3" a="1"/>
  <c r="I379" i="3" s="1"/>
  <c r="I380" i="3" a="1"/>
  <c r="I380" i="3" s="1"/>
  <c r="I381" i="3" a="1"/>
  <c r="I381" i="3" s="1"/>
  <c r="I382" i="3" a="1"/>
  <c r="I382" i="3" s="1"/>
  <c r="I383" i="3" a="1"/>
  <c r="I383" i="3" s="1"/>
  <c r="I384" i="3" a="1"/>
  <c r="I384" i="3" s="1"/>
  <c r="I385" i="3" a="1"/>
  <c r="I385" i="3" s="1"/>
  <c r="I386" i="3" a="1"/>
  <c r="I386" i="3" s="1"/>
  <c r="I387" i="3" a="1"/>
  <c r="I387" i="3" s="1"/>
  <c r="I388" i="3" a="1"/>
  <c r="I388" i="3" s="1"/>
  <c r="I389" i="3" a="1"/>
  <c r="I389" i="3" s="1"/>
  <c r="I390" i="3" a="1"/>
  <c r="I390" i="3" s="1"/>
  <c r="I391" i="3" a="1"/>
  <c r="I391" i="3" s="1"/>
  <c r="I392" i="3" a="1"/>
  <c r="I392" i="3" s="1"/>
  <c r="I393" i="3" a="1"/>
  <c r="I393" i="3" s="1"/>
  <c r="I394" i="3" a="1"/>
  <c r="I394" i="3" s="1"/>
  <c r="I395" i="3" a="1"/>
  <c r="I395" i="3" s="1"/>
  <c r="I396" i="3" a="1"/>
  <c r="I396" i="3" s="1"/>
  <c r="I397" i="3" a="1"/>
  <c r="I397" i="3" s="1"/>
  <c r="I398" i="3" a="1"/>
  <c r="I398" i="3" s="1"/>
  <c r="I399" i="3" a="1"/>
  <c r="I399" i="3" s="1"/>
  <c r="I400" i="3" a="1"/>
  <c r="I400" i="3" s="1"/>
  <c r="I401" i="3" a="1"/>
  <c r="I401" i="3" s="1"/>
  <c r="I402" i="3" a="1"/>
  <c r="I402" i="3" s="1"/>
  <c r="I403" i="3" a="1"/>
  <c r="I403" i="3" s="1"/>
  <c r="I404" i="3" a="1"/>
  <c r="I404" i="3" s="1"/>
  <c r="I405" i="3" a="1"/>
  <c r="I405" i="3" s="1"/>
  <c r="I406" i="3" a="1"/>
  <c r="I406" i="3" s="1"/>
  <c r="I407" i="3" a="1"/>
  <c r="I407" i="3" s="1"/>
  <c r="I408" i="3" a="1"/>
  <c r="I408" i="3" s="1"/>
  <c r="I409" i="3" a="1"/>
  <c r="I409" i="3" s="1"/>
  <c r="I410" i="3" a="1"/>
  <c r="I410" i="3" s="1"/>
  <c r="I411" i="3" a="1"/>
  <c r="I411" i="3" s="1"/>
  <c r="I412" i="3" a="1"/>
  <c r="I412" i="3" s="1"/>
  <c r="I413" i="3" a="1"/>
  <c r="I413" i="3" s="1"/>
  <c r="I414" i="3" a="1"/>
  <c r="I414" i="3" s="1"/>
  <c r="I415" i="3" a="1"/>
  <c r="I415" i="3" s="1"/>
  <c r="I416" i="3" a="1"/>
  <c r="I416" i="3" s="1"/>
  <c r="I417" i="3" a="1"/>
  <c r="I417" i="3" s="1"/>
  <c r="I418" i="3" a="1"/>
  <c r="I418" i="3" s="1"/>
  <c r="I419" i="3" a="1"/>
  <c r="I419" i="3" s="1"/>
  <c r="I420" i="3" a="1"/>
  <c r="I420" i="3" s="1"/>
  <c r="I421" i="3" a="1"/>
  <c r="I421" i="3" s="1"/>
  <c r="I422" i="3" a="1"/>
  <c r="I422" i="3" s="1"/>
  <c r="I423" i="3" a="1"/>
  <c r="I423" i="3" s="1"/>
  <c r="I424" i="3" a="1"/>
  <c r="I424" i="3" s="1"/>
  <c r="I425" i="3" a="1"/>
  <c r="I425" i="3" s="1"/>
  <c r="I426" i="3" a="1"/>
  <c r="I426" i="3" s="1"/>
  <c r="I427" i="3" a="1"/>
  <c r="I427" i="3" s="1"/>
  <c r="I428" i="3" a="1"/>
  <c r="I428" i="3" s="1"/>
  <c r="I429" i="3" a="1"/>
  <c r="I429" i="3" s="1"/>
  <c r="I430" i="3" a="1"/>
  <c r="I430" i="3" s="1"/>
  <c r="I431" i="3" a="1"/>
  <c r="I431" i="3" s="1"/>
  <c r="I432" i="3" a="1"/>
  <c r="I432" i="3" s="1"/>
  <c r="I433" i="3" a="1"/>
  <c r="I433" i="3" s="1"/>
  <c r="I434" i="3" a="1"/>
  <c r="I434" i="3" s="1"/>
  <c r="I435" i="3" a="1"/>
  <c r="I435" i="3" s="1"/>
  <c r="I436" i="3" a="1"/>
  <c r="I436" i="3" s="1"/>
  <c r="I437" i="3" a="1"/>
  <c r="I437" i="3" s="1"/>
  <c r="I438" i="3" a="1"/>
  <c r="I438" i="3" s="1"/>
  <c r="I439" i="3" a="1"/>
  <c r="I439" i="3" s="1"/>
  <c r="I440" i="3" a="1"/>
  <c r="I440" i="3" s="1"/>
  <c r="I441" i="3" a="1"/>
  <c r="I441" i="3" s="1"/>
  <c r="I442" i="3" a="1"/>
  <c r="I442" i="3" s="1"/>
  <c r="I443" i="3" a="1"/>
  <c r="I443" i="3" s="1"/>
  <c r="I444" i="3" a="1"/>
  <c r="I444" i="3" s="1"/>
  <c r="I445" i="3" a="1"/>
  <c r="I445" i="3" s="1"/>
  <c r="I446" i="3" a="1"/>
  <c r="I446" i="3" s="1"/>
  <c r="I447" i="3" a="1"/>
  <c r="I447" i="3" s="1"/>
  <c r="I448" i="3" a="1"/>
  <c r="I448" i="3" s="1"/>
  <c r="I449" i="3" a="1"/>
  <c r="I449" i="3" s="1"/>
  <c r="I450" i="3" a="1"/>
  <c r="I450" i="3" s="1"/>
  <c r="I451" i="3" a="1"/>
  <c r="I451" i="3" s="1"/>
  <c r="I452" i="3" a="1"/>
  <c r="I452" i="3" s="1"/>
  <c r="I453" i="3" a="1"/>
  <c r="I453" i="3" s="1"/>
  <c r="I454" i="3" a="1"/>
  <c r="I454" i="3" s="1"/>
  <c r="I455" i="3" a="1"/>
  <c r="I455" i="3" s="1"/>
  <c r="I456" i="3" a="1"/>
  <c r="I456" i="3" s="1"/>
  <c r="I457" i="3" a="1"/>
  <c r="I457" i="3" s="1"/>
  <c r="I458" i="3" a="1"/>
  <c r="I458" i="3" s="1"/>
  <c r="I459" i="3" a="1"/>
  <c r="I459" i="3" s="1"/>
  <c r="I460" i="3" a="1"/>
  <c r="I460" i="3" s="1"/>
  <c r="I461" i="3" a="1"/>
  <c r="I461" i="3" s="1"/>
  <c r="I462" i="3" a="1"/>
  <c r="I462" i="3" s="1"/>
  <c r="I463" i="3" a="1"/>
  <c r="I463" i="3" s="1"/>
  <c r="I464" i="3" a="1"/>
  <c r="I464" i="3" s="1"/>
  <c r="I465" i="3" a="1"/>
  <c r="I465" i="3" s="1"/>
  <c r="I466" i="3" a="1"/>
  <c r="I466" i="3" s="1"/>
  <c r="I467" i="3" a="1"/>
  <c r="I467" i="3" s="1"/>
  <c r="I468" i="3" a="1"/>
  <c r="I468" i="3" s="1"/>
  <c r="I469" i="3" a="1"/>
  <c r="I469" i="3" s="1"/>
  <c r="I470" i="3" a="1"/>
  <c r="I470" i="3" s="1"/>
  <c r="I471" i="3" a="1"/>
  <c r="I471" i="3" s="1"/>
  <c r="I472" i="3" a="1"/>
  <c r="I472" i="3" s="1"/>
  <c r="I473" i="3" a="1"/>
  <c r="I473" i="3" s="1"/>
  <c r="I474" i="3" a="1"/>
  <c r="I474" i="3" s="1"/>
  <c r="I475" i="3" a="1"/>
  <c r="I475" i="3" s="1"/>
  <c r="I476" i="3" a="1"/>
  <c r="I476" i="3" s="1"/>
  <c r="I477" i="3" a="1"/>
  <c r="I477" i="3" s="1"/>
  <c r="I478" i="3" a="1"/>
  <c r="I478" i="3" s="1"/>
  <c r="I479" i="3" a="1"/>
  <c r="I479" i="3" s="1"/>
  <c r="I480" i="3" a="1"/>
  <c r="I480" i="3" s="1"/>
  <c r="I481" i="3" a="1"/>
  <c r="I481" i="3" s="1"/>
  <c r="I482" i="3" a="1"/>
  <c r="I482" i="3" s="1"/>
  <c r="I483" i="3" a="1"/>
  <c r="I483" i="3" s="1"/>
  <c r="I484" i="3" a="1"/>
  <c r="I484" i="3" s="1"/>
  <c r="I485" i="3" a="1"/>
  <c r="I485" i="3" s="1"/>
  <c r="I486" i="3" a="1"/>
  <c r="I486" i="3" s="1"/>
  <c r="I487" i="3" a="1"/>
  <c r="I487" i="3" s="1"/>
  <c r="I488" i="3" a="1"/>
  <c r="I488" i="3" s="1"/>
  <c r="I489" i="3" a="1"/>
  <c r="I489" i="3" s="1"/>
  <c r="I490" i="3" a="1"/>
  <c r="I490" i="3" s="1"/>
  <c r="I491" i="3" a="1"/>
  <c r="I491" i="3" s="1"/>
  <c r="I492" i="3" a="1"/>
  <c r="I492" i="3" s="1"/>
  <c r="I493" i="3" a="1"/>
  <c r="I493" i="3" s="1"/>
  <c r="I494" i="3" a="1"/>
  <c r="I494" i="3" s="1"/>
  <c r="I495" i="3" a="1"/>
  <c r="I495" i="3" s="1"/>
  <c r="I496" i="3" a="1"/>
  <c r="I496" i="3" s="1"/>
  <c r="I497" i="3" a="1"/>
  <c r="I497" i="3" s="1"/>
  <c r="I498" i="3" a="1"/>
  <c r="I498" i="3" s="1"/>
  <c r="I499" i="3" a="1"/>
  <c r="I499" i="3" s="1"/>
  <c r="I500" i="3" a="1"/>
  <c r="I500" i="3" s="1"/>
  <c r="I501" i="3" a="1"/>
  <c r="I501" i="3" s="1"/>
  <c r="I502" i="3" a="1"/>
  <c r="I502" i="3" s="1"/>
  <c r="I503" i="3" a="1"/>
  <c r="I503" i="3" s="1"/>
  <c r="I504" i="3" a="1"/>
  <c r="I504" i="3" s="1"/>
  <c r="I505" i="3" a="1"/>
  <c r="I505" i="3" s="1"/>
  <c r="I506" i="3" a="1"/>
  <c r="I506" i="3" s="1"/>
  <c r="I507" i="3" a="1"/>
  <c r="I507" i="3" s="1"/>
  <c r="I508" i="3" a="1"/>
  <c r="I508" i="3" s="1"/>
  <c r="I509" i="3" a="1"/>
  <c r="I509" i="3" s="1"/>
  <c r="I510" i="3" a="1"/>
  <c r="I510" i="3" s="1"/>
  <c r="I511" i="3" a="1"/>
  <c r="I511" i="3" s="1"/>
  <c r="I512" i="3" a="1"/>
  <c r="I512" i="3" s="1"/>
  <c r="I513" i="3" a="1"/>
  <c r="I513" i="3" s="1"/>
  <c r="I514" i="3" a="1"/>
  <c r="I514" i="3" s="1"/>
  <c r="I515" i="3" a="1"/>
  <c r="I515" i="3" s="1"/>
  <c r="I516" i="3" a="1"/>
  <c r="I516" i="3" s="1"/>
  <c r="I517" i="3" a="1"/>
  <c r="I517" i="3" s="1"/>
  <c r="I518" i="3" a="1"/>
  <c r="I518" i="3" s="1"/>
  <c r="I519" i="3" a="1"/>
  <c r="I519" i="3" s="1"/>
  <c r="I520" i="3" a="1"/>
  <c r="I520" i="3" s="1"/>
  <c r="I521" i="3" a="1"/>
  <c r="I521" i="3" s="1"/>
  <c r="I522" i="3" a="1"/>
  <c r="I522" i="3" s="1"/>
  <c r="I523" i="3" a="1"/>
  <c r="I523" i="3" s="1"/>
  <c r="I524" i="3" a="1"/>
  <c r="I524" i="3" s="1"/>
  <c r="I525" i="3" a="1"/>
  <c r="I525" i="3" s="1"/>
  <c r="I526" i="3" a="1"/>
  <c r="I526" i="3" s="1"/>
  <c r="I527" i="3" a="1"/>
  <c r="I527" i="3" s="1"/>
  <c r="I528" i="3" a="1"/>
  <c r="I528" i="3" s="1"/>
  <c r="I529" i="3" a="1"/>
  <c r="I529" i="3" s="1"/>
  <c r="I530" i="3" a="1"/>
  <c r="I530" i="3" s="1"/>
  <c r="I531" i="3" a="1"/>
  <c r="I531" i="3" s="1"/>
  <c r="I532" i="3" a="1"/>
  <c r="I532" i="3" s="1"/>
  <c r="I533" i="3" a="1"/>
  <c r="I533" i="3" s="1"/>
  <c r="I534" i="3" a="1"/>
  <c r="I534" i="3" s="1"/>
  <c r="I535" i="3" a="1"/>
  <c r="I535" i="3" s="1"/>
  <c r="I536" i="3" a="1"/>
  <c r="I536" i="3" s="1"/>
  <c r="I537" i="3" a="1"/>
  <c r="I537" i="3" s="1"/>
  <c r="I538" i="3" a="1"/>
  <c r="I538" i="3" s="1"/>
  <c r="I539" i="3" a="1"/>
  <c r="I539" i="3" s="1"/>
  <c r="I540" i="3" a="1"/>
  <c r="I540" i="3" s="1"/>
  <c r="I541" i="3" a="1"/>
  <c r="I541" i="3" s="1"/>
  <c r="I542" i="3" a="1"/>
  <c r="I542" i="3" s="1"/>
  <c r="I543" i="3" a="1"/>
  <c r="I543" i="3" s="1"/>
  <c r="I544" i="3" a="1"/>
  <c r="I544" i="3" s="1"/>
  <c r="I545" i="3" a="1"/>
  <c r="I545" i="3" s="1"/>
  <c r="I546" i="3" a="1"/>
  <c r="I546" i="3" s="1"/>
  <c r="I547" i="3" a="1"/>
  <c r="I547" i="3" s="1"/>
  <c r="I548" i="3" a="1"/>
  <c r="I548" i="3" s="1"/>
  <c r="I549" i="3" a="1"/>
  <c r="I549" i="3" s="1"/>
  <c r="I550" i="3" a="1"/>
  <c r="I550" i="3" s="1"/>
  <c r="I551" i="3" a="1"/>
  <c r="I551" i="3" s="1"/>
  <c r="I552" i="3" a="1"/>
  <c r="I552" i="3" s="1"/>
  <c r="I553" i="3" a="1"/>
  <c r="I553" i="3" s="1"/>
  <c r="I554" i="3" a="1"/>
  <c r="I554" i="3" s="1"/>
  <c r="I555" i="3" a="1"/>
  <c r="I555" i="3" s="1"/>
  <c r="I556" i="3" a="1"/>
  <c r="I556" i="3" s="1"/>
  <c r="I557" i="3" a="1"/>
  <c r="I557" i="3" s="1"/>
  <c r="I558" i="3" a="1"/>
  <c r="I558" i="3" s="1"/>
  <c r="I559" i="3" a="1"/>
  <c r="I559" i="3" s="1"/>
  <c r="I560" i="3" a="1"/>
  <c r="I560" i="3" s="1"/>
  <c r="I561" i="3" a="1"/>
  <c r="I561" i="3" s="1"/>
  <c r="I562" i="3" a="1"/>
  <c r="I562" i="3" s="1"/>
  <c r="I563" i="3" a="1"/>
  <c r="I563" i="3" s="1"/>
  <c r="I564" i="3" a="1"/>
  <c r="I564" i="3" s="1"/>
  <c r="I565" i="3" a="1"/>
  <c r="I565" i="3" s="1"/>
  <c r="I566" i="3" a="1"/>
  <c r="I566" i="3" s="1"/>
  <c r="I567" i="3" a="1"/>
  <c r="I567" i="3" s="1"/>
  <c r="I568" i="3" a="1"/>
  <c r="I568" i="3" s="1"/>
  <c r="I569" i="3" a="1"/>
  <c r="I569" i="3" s="1"/>
  <c r="I570" i="3" a="1"/>
  <c r="I570" i="3" s="1"/>
  <c r="I571" i="3" a="1"/>
  <c r="I571" i="3" s="1"/>
  <c r="I572" i="3" a="1"/>
  <c r="I572" i="3" s="1"/>
  <c r="I573" i="3" a="1"/>
  <c r="I573" i="3" s="1"/>
  <c r="I574" i="3" a="1"/>
  <c r="I574" i="3" s="1"/>
  <c r="I575" i="3" a="1"/>
  <c r="I575" i="3" s="1"/>
  <c r="I576" i="3" a="1"/>
  <c r="I576" i="3" s="1"/>
  <c r="I577" i="3" a="1"/>
  <c r="I577" i="3" s="1"/>
  <c r="I578" i="3" a="1"/>
  <c r="I578" i="3" s="1"/>
  <c r="I579" i="3" a="1"/>
  <c r="I579" i="3" s="1"/>
  <c r="I580" i="3" a="1"/>
  <c r="I580" i="3" s="1"/>
  <c r="I581" i="3" a="1"/>
  <c r="I581" i="3" s="1"/>
  <c r="I582" i="3" a="1"/>
  <c r="I582" i="3" s="1"/>
  <c r="I583" i="3" a="1"/>
  <c r="I583" i="3" s="1"/>
  <c r="I584" i="3" a="1"/>
  <c r="I584" i="3" s="1"/>
  <c r="I585" i="3" a="1"/>
  <c r="I585" i="3" s="1"/>
  <c r="I586" i="3" a="1"/>
  <c r="I586" i="3" s="1"/>
  <c r="I587" i="3" a="1"/>
  <c r="I587" i="3" s="1"/>
  <c r="I588" i="3" a="1"/>
  <c r="I588" i="3" s="1"/>
  <c r="I589" i="3" a="1"/>
  <c r="I589" i="3" s="1"/>
  <c r="I590" i="3" a="1"/>
  <c r="I590" i="3" s="1"/>
  <c r="I591" i="3" a="1"/>
  <c r="I591" i="3" s="1"/>
  <c r="I592" i="3" a="1"/>
  <c r="I592" i="3" s="1"/>
  <c r="I593" i="3" a="1"/>
  <c r="I593" i="3" s="1"/>
  <c r="I594" i="3" a="1"/>
  <c r="I594" i="3" s="1"/>
  <c r="I595" i="3" a="1"/>
  <c r="I595" i="3" s="1"/>
  <c r="I596" i="3" a="1"/>
  <c r="I596" i="3" s="1"/>
  <c r="I597" i="3" a="1"/>
  <c r="I597" i="3" s="1"/>
  <c r="I598" i="3" a="1"/>
  <c r="I598" i="3" s="1"/>
  <c r="I599" i="3" a="1"/>
  <c r="I599" i="3" s="1"/>
  <c r="I600" i="3" a="1"/>
  <c r="I600" i="3" s="1"/>
  <c r="I601" i="3" a="1"/>
  <c r="I601" i="3" s="1"/>
  <c r="I602" i="3" a="1"/>
  <c r="I602" i="3" s="1"/>
  <c r="I603" i="3" a="1"/>
  <c r="I603" i="3" s="1"/>
  <c r="I604" i="3" a="1"/>
  <c r="I604" i="3" s="1"/>
  <c r="I605" i="3" a="1"/>
  <c r="I605" i="3" s="1"/>
  <c r="I606" i="3" a="1"/>
  <c r="I606" i="3" s="1"/>
  <c r="I607" i="3" a="1"/>
  <c r="I607" i="3" s="1"/>
  <c r="I608" i="3" a="1"/>
  <c r="I608" i="3" s="1"/>
  <c r="I609" i="3" a="1"/>
  <c r="I609" i="3" s="1"/>
  <c r="I610" i="3" a="1"/>
  <c r="I610" i="3" s="1"/>
  <c r="I611" i="3" a="1"/>
  <c r="I611" i="3" s="1"/>
  <c r="I612" i="3" a="1"/>
  <c r="I612" i="3" s="1"/>
  <c r="I613" i="3" a="1"/>
  <c r="I613" i="3" s="1"/>
  <c r="I614" i="3" a="1"/>
  <c r="I614" i="3" s="1"/>
  <c r="I615" i="3" a="1"/>
  <c r="I615" i="3" s="1"/>
  <c r="I616" i="3" a="1"/>
  <c r="I616" i="3" s="1"/>
  <c r="I617" i="3" a="1"/>
  <c r="I617" i="3" s="1"/>
  <c r="I618" i="3" a="1"/>
  <c r="I618" i="3" s="1"/>
  <c r="I619" i="3" a="1"/>
  <c r="I619" i="3" s="1"/>
  <c r="I620" i="3" a="1"/>
  <c r="I620" i="3" s="1"/>
  <c r="I621" i="3" a="1"/>
  <c r="I621" i="3" s="1"/>
  <c r="I622" i="3" a="1"/>
  <c r="I622" i="3" s="1"/>
  <c r="I623" i="3" a="1"/>
  <c r="I623" i="3" s="1"/>
  <c r="I624" i="3" a="1"/>
  <c r="I624" i="3" s="1"/>
  <c r="I625" i="3" a="1"/>
  <c r="I625" i="3" s="1"/>
  <c r="I626" i="3" a="1"/>
  <c r="I626" i="3" s="1"/>
  <c r="I627" i="3" a="1"/>
  <c r="I627" i="3" s="1"/>
  <c r="I628" i="3" a="1"/>
  <c r="I628" i="3" s="1"/>
  <c r="I629" i="3" a="1"/>
  <c r="I629" i="3" s="1"/>
  <c r="I630" i="3" a="1"/>
  <c r="I630" i="3" s="1"/>
  <c r="I631" i="3" a="1"/>
  <c r="I631" i="3" s="1"/>
  <c r="I632" i="3" a="1"/>
  <c r="I632" i="3" s="1"/>
  <c r="I633" i="3" a="1"/>
  <c r="I633" i="3" s="1"/>
  <c r="I634" i="3" a="1"/>
  <c r="I634" i="3" s="1"/>
  <c r="I635" i="3" a="1"/>
  <c r="I635" i="3" s="1"/>
  <c r="I636" i="3" a="1"/>
  <c r="I636" i="3" s="1"/>
  <c r="I637" i="3" a="1"/>
  <c r="I637" i="3" s="1"/>
  <c r="I638" i="3" a="1"/>
  <c r="I638" i="3" s="1"/>
  <c r="I639" i="3" a="1"/>
  <c r="I639" i="3" s="1"/>
  <c r="I640" i="3" a="1"/>
  <c r="I640" i="3" s="1"/>
  <c r="I641" i="3" a="1"/>
  <c r="I641" i="3" s="1"/>
  <c r="I642" i="3" a="1"/>
  <c r="I642" i="3" s="1"/>
  <c r="I643" i="3" a="1"/>
  <c r="I643" i="3" s="1"/>
  <c r="I644" i="3" a="1"/>
  <c r="I644" i="3" s="1"/>
  <c r="I645" i="3" a="1"/>
  <c r="I645" i="3" s="1"/>
  <c r="I646" i="3" a="1"/>
  <c r="I646" i="3" s="1"/>
  <c r="I647" i="3" a="1"/>
  <c r="I647" i="3" s="1"/>
  <c r="I648" i="3" a="1"/>
  <c r="I648" i="3" s="1"/>
  <c r="I649" i="3" a="1"/>
  <c r="I649" i="3" s="1"/>
  <c r="I650" i="3" a="1"/>
  <c r="I650" i="3" s="1"/>
  <c r="I651" i="3" a="1"/>
  <c r="I651" i="3" s="1"/>
  <c r="I652" i="3" a="1"/>
  <c r="I652" i="3" s="1"/>
  <c r="I653" i="3" a="1"/>
  <c r="I653" i="3" s="1"/>
  <c r="I654" i="3" a="1"/>
  <c r="I654" i="3" s="1"/>
  <c r="I655" i="3" a="1"/>
  <c r="I655" i="3" s="1"/>
  <c r="I656" i="3" a="1"/>
  <c r="I656" i="3" s="1"/>
  <c r="I657" i="3" a="1"/>
  <c r="I657" i="3" s="1"/>
  <c r="I658" i="3" a="1"/>
  <c r="I658" i="3" s="1"/>
  <c r="I659" i="3" a="1"/>
  <c r="I659" i="3" s="1"/>
  <c r="I660" i="3" a="1"/>
  <c r="I660" i="3" s="1"/>
  <c r="I661" i="3" a="1"/>
  <c r="I661" i="3" s="1"/>
  <c r="I662" i="3" a="1"/>
  <c r="I662" i="3" s="1"/>
  <c r="I663" i="3" a="1"/>
  <c r="I663" i="3" s="1"/>
  <c r="I664" i="3" a="1"/>
  <c r="I664" i="3" s="1"/>
  <c r="I665" i="3" a="1"/>
  <c r="I665" i="3" s="1"/>
  <c r="I666" i="3" a="1"/>
  <c r="I666" i="3" s="1"/>
  <c r="I667" i="3" a="1"/>
  <c r="I667" i="3" s="1"/>
  <c r="I668" i="3" a="1"/>
  <c r="I668" i="3" s="1"/>
  <c r="I669" i="3" a="1"/>
  <c r="I669" i="3" s="1"/>
  <c r="I670" i="3" a="1"/>
  <c r="I670" i="3" s="1"/>
  <c r="I671" i="3" a="1"/>
  <c r="I671" i="3" s="1"/>
  <c r="I672" i="3" a="1"/>
  <c r="I672" i="3" s="1"/>
  <c r="I673" i="3" a="1"/>
  <c r="I673" i="3" s="1"/>
  <c r="I674" i="3" a="1"/>
  <c r="I674" i="3" s="1"/>
  <c r="I675" i="3" a="1"/>
  <c r="I675" i="3" s="1"/>
  <c r="I676" i="3" a="1"/>
  <c r="I676" i="3" s="1"/>
  <c r="I677" i="3" a="1"/>
  <c r="I677" i="3" s="1"/>
  <c r="I678" i="3" a="1"/>
  <c r="I678" i="3" s="1"/>
  <c r="I679" i="3" a="1"/>
  <c r="I679" i="3" s="1"/>
  <c r="I680" i="3" a="1"/>
  <c r="I680" i="3" s="1"/>
  <c r="I681" i="3" a="1"/>
  <c r="I681" i="3" s="1"/>
  <c r="I682" i="3" a="1"/>
  <c r="I682" i="3" s="1"/>
  <c r="I683" i="3" a="1"/>
  <c r="I683" i="3" s="1"/>
  <c r="I684" i="3" a="1"/>
  <c r="I684" i="3" s="1"/>
  <c r="I685" i="3" a="1"/>
  <c r="I685" i="3" s="1"/>
  <c r="I686" i="3" a="1"/>
  <c r="I686" i="3" s="1"/>
  <c r="I687" i="3" a="1"/>
  <c r="I687" i="3" s="1"/>
  <c r="I688" i="3" a="1"/>
  <c r="I688" i="3" s="1"/>
  <c r="I689" i="3" a="1"/>
  <c r="I689" i="3" s="1"/>
  <c r="I690" i="3" a="1"/>
  <c r="I690" i="3" s="1"/>
  <c r="I691" i="3" a="1"/>
  <c r="I691" i="3" s="1"/>
  <c r="I692" i="3" a="1"/>
  <c r="I692" i="3" s="1"/>
  <c r="I693" i="3" a="1"/>
  <c r="I693" i="3" s="1"/>
  <c r="I694" i="3" a="1"/>
  <c r="I694" i="3" s="1"/>
  <c r="I695" i="3" a="1"/>
  <c r="I695" i="3" s="1"/>
  <c r="I696" i="3" a="1"/>
  <c r="I696" i="3" s="1"/>
  <c r="I697" i="3" a="1"/>
  <c r="I697" i="3" s="1"/>
  <c r="I698" i="3" a="1"/>
  <c r="I698" i="3" s="1"/>
  <c r="I699" i="3" a="1"/>
  <c r="I699" i="3" s="1"/>
  <c r="I700" i="3" a="1"/>
  <c r="I700" i="3" s="1"/>
  <c r="I701" i="3" a="1"/>
  <c r="I701" i="3" s="1"/>
  <c r="I702" i="3" a="1"/>
  <c r="I702" i="3" s="1"/>
  <c r="I703" i="3" a="1"/>
  <c r="I703" i="3" s="1"/>
  <c r="I704" i="3" a="1"/>
  <c r="I704" i="3" s="1"/>
  <c r="I705" i="3" a="1"/>
  <c r="I705" i="3" s="1"/>
  <c r="I706" i="3" a="1"/>
  <c r="I706" i="3" s="1"/>
  <c r="I707" i="3" a="1"/>
  <c r="I707" i="3" s="1"/>
  <c r="I708" i="3" a="1"/>
  <c r="I708" i="3" s="1"/>
  <c r="I709" i="3" a="1"/>
  <c r="I709" i="3" s="1"/>
  <c r="I710" i="3" a="1"/>
  <c r="I710" i="3" s="1"/>
  <c r="I711" i="3" a="1"/>
  <c r="I711" i="3" s="1"/>
  <c r="I712" i="3" a="1"/>
  <c r="I712" i="3" s="1"/>
  <c r="I713" i="3" a="1"/>
  <c r="I713" i="3" s="1"/>
  <c r="I714" i="3" a="1"/>
  <c r="I714" i="3" s="1"/>
  <c r="I715" i="3" a="1"/>
  <c r="I715" i="3" s="1"/>
  <c r="I716" i="3" a="1"/>
  <c r="I716" i="3" s="1"/>
  <c r="I717" i="3" a="1"/>
  <c r="I717" i="3" s="1"/>
  <c r="I718" i="3" a="1"/>
  <c r="I718" i="3" s="1"/>
  <c r="I719" i="3" a="1"/>
  <c r="I719" i="3" s="1"/>
  <c r="I720" i="3" a="1"/>
  <c r="I720" i="3" s="1"/>
  <c r="I721" i="3" a="1"/>
  <c r="I721" i="3" s="1"/>
  <c r="I722" i="3" a="1"/>
  <c r="I722" i="3" s="1"/>
  <c r="I723" i="3" a="1"/>
  <c r="I723" i="3" s="1"/>
  <c r="I724" i="3" a="1"/>
  <c r="I724" i="3" s="1"/>
  <c r="I725" i="3" a="1"/>
  <c r="I725" i="3" s="1"/>
  <c r="I726" i="3" a="1"/>
  <c r="I726" i="3" s="1"/>
  <c r="I727" i="3" a="1"/>
  <c r="I727" i="3" s="1"/>
  <c r="I728" i="3" a="1"/>
  <c r="I728" i="3" s="1"/>
  <c r="I729" i="3" a="1"/>
  <c r="I729" i="3" s="1"/>
  <c r="I730" i="3" a="1"/>
  <c r="I730" i="3" s="1"/>
  <c r="I731" i="3" a="1"/>
  <c r="I731" i="3" s="1"/>
  <c r="I732" i="3" a="1"/>
  <c r="I732" i="3" s="1"/>
  <c r="I733" i="3" a="1"/>
  <c r="I733" i="3" s="1"/>
  <c r="I734" i="3" a="1"/>
  <c r="I734" i="3" s="1"/>
  <c r="I735" i="3" a="1"/>
  <c r="I735" i="3" s="1"/>
  <c r="I736" i="3" a="1"/>
  <c r="I736" i="3" s="1"/>
  <c r="I737" i="3" a="1"/>
  <c r="I737" i="3" s="1"/>
  <c r="I738" i="3" a="1"/>
  <c r="I738" i="3" s="1"/>
  <c r="I739" i="3" a="1"/>
  <c r="I739" i="3" s="1"/>
  <c r="I740" i="3" a="1"/>
  <c r="I740" i="3" s="1"/>
  <c r="I741" i="3" a="1"/>
  <c r="I741" i="3" s="1"/>
  <c r="I742" i="3" a="1"/>
  <c r="I742" i="3" s="1"/>
  <c r="I743" i="3" a="1"/>
  <c r="I743" i="3" s="1"/>
  <c r="I744" i="3" a="1"/>
  <c r="I744" i="3" s="1"/>
  <c r="I745" i="3" a="1"/>
  <c r="I745" i="3" s="1"/>
  <c r="I746" i="3" a="1"/>
  <c r="I746" i="3" s="1"/>
  <c r="I747" i="3" a="1"/>
  <c r="I747" i="3" s="1"/>
  <c r="I748" i="3" a="1"/>
  <c r="I748" i="3" s="1"/>
  <c r="I749" i="3" a="1"/>
  <c r="I749" i="3" s="1"/>
  <c r="I750" i="3" a="1"/>
  <c r="I750" i="3" s="1"/>
  <c r="I751" i="3" a="1"/>
  <c r="I751" i="3" s="1"/>
  <c r="I752" i="3" a="1"/>
  <c r="I752" i="3" s="1"/>
  <c r="I753" i="3" a="1"/>
  <c r="I753" i="3" s="1"/>
  <c r="I754" i="3" a="1"/>
  <c r="I754" i="3" s="1"/>
  <c r="I755" i="3" a="1"/>
  <c r="I755" i="3" s="1"/>
  <c r="I756" i="3" a="1"/>
  <c r="I756" i="3" s="1"/>
  <c r="I757" i="3" a="1"/>
  <c r="I757" i="3" s="1"/>
  <c r="I758" i="3" a="1"/>
  <c r="I758" i="3" s="1"/>
  <c r="I759" i="3" a="1"/>
  <c r="I759" i="3" s="1"/>
  <c r="I760" i="3" a="1"/>
  <c r="I760" i="3" s="1"/>
  <c r="I761" i="3" a="1"/>
  <c r="I761" i="3" s="1"/>
  <c r="I762" i="3" a="1"/>
  <c r="I762" i="3" s="1"/>
  <c r="I763" i="3" a="1"/>
  <c r="I763" i="3" s="1"/>
  <c r="I764" i="3" a="1"/>
  <c r="I764" i="3" s="1"/>
  <c r="I765" i="3" a="1"/>
  <c r="I765" i="3" s="1"/>
  <c r="I766" i="3" a="1"/>
  <c r="I766" i="3" s="1"/>
  <c r="I767" i="3" a="1"/>
  <c r="I767" i="3" s="1"/>
  <c r="I768" i="3" a="1"/>
  <c r="I768" i="3" s="1"/>
  <c r="I769" i="3" a="1"/>
  <c r="I769" i="3" s="1"/>
  <c r="I770" i="3" a="1"/>
  <c r="I770" i="3" s="1"/>
  <c r="I771" i="3" a="1"/>
  <c r="I771" i="3" s="1"/>
  <c r="I772" i="3" a="1"/>
  <c r="I772" i="3" s="1"/>
  <c r="I773" i="3" a="1"/>
  <c r="I773" i="3" s="1"/>
  <c r="I774" i="3" a="1"/>
  <c r="I774" i="3" s="1"/>
  <c r="I775" i="3" a="1"/>
  <c r="I775" i="3" s="1"/>
  <c r="I776" i="3" a="1"/>
  <c r="I776" i="3" s="1"/>
  <c r="I777" i="3" a="1"/>
  <c r="I777" i="3" s="1"/>
  <c r="I778" i="3" a="1"/>
  <c r="I778" i="3" s="1"/>
  <c r="I779" i="3" a="1"/>
  <c r="I779" i="3" s="1"/>
  <c r="I780" i="3" a="1"/>
  <c r="I780" i="3" s="1"/>
  <c r="I781" i="3" a="1"/>
  <c r="I781" i="3" s="1"/>
  <c r="I782" i="3" a="1"/>
  <c r="I782" i="3" s="1"/>
  <c r="I783" i="3" a="1"/>
  <c r="I783" i="3" s="1"/>
  <c r="I784" i="3" a="1"/>
  <c r="I784" i="3" s="1"/>
  <c r="I785" i="3" a="1"/>
  <c r="I785" i="3" s="1"/>
  <c r="I786" i="3" a="1"/>
  <c r="I786" i="3" s="1"/>
  <c r="I787" i="3" a="1"/>
  <c r="I787" i="3" s="1"/>
  <c r="I788" i="3" a="1"/>
  <c r="I788" i="3" s="1"/>
  <c r="I789" i="3" a="1"/>
  <c r="I789" i="3" s="1"/>
  <c r="I790" i="3" a="1"/>
  <c r="I790" i="3" s="1"/>
  <c r="I791" i="3" a="1"/>
  <c r="I791" i="3" s="1"/>
  <c r="I792" i="3" a="1"/>
  <c r="I792" i="3" s="1"/>
  <c r="I793" i="3" a="1"/>
  <c r="I793" i="3" s="1"/>
  <c r="I794" i="3" a="1"/>
  <c r="I794" i="3" s="1"/>
  <c r="I795" i="3" a="1"/>
  <c r="I795" i="3" s="1"/>
  <c r="I796" i="3" a="1"/>
  <c r="I796" i="3" s="1"/>
  <c r="I797" i="3" a="1"/>
  <c r="I797" i="3" s="1"/>
  <c r="I798" i="3" a="1"/>
  <c r="I798" i="3" s="1"/>
  <c r="I799" i="3" a="1"/>
  <c r="I799" i="3" s="1"/>
  <c r="I800" i="3" a="1"/>
  <c r="I800" i="3" s="1"/>
  <c r="I801" i="3" a="1"/>
  <c r="I801" i="3" s="1"/>
  <c r="I802" i="3" a="1"/>
  <c r="I802" i="3" s="1"/>
  <c r="I803" i="3" a="1"/>
  <c r="I803" i="3" s="1"/>
  <c r="I804" i="3" a="1"/>
  <c r="I804" i="3" s="1"/>
  <c r="I805" i="3" a="1"/>
  <c r="I805" i="3" s="1"/>
  <c r="I806" i="3" a="1"/>
  <c r="I806" i="3" s="1"/>
  <c r="I807" i="3" a="1"/>
  <c r="I807" i="3" s="1"/>
  <c r="I808" i="3" a="1"/>
  <c r="I808" i="3" s="1"/>
  <c r="I809" i="3" a="1"/>
  <c r="I809" i="3" s="1"/>
  <c r="I810" i="3" a="1"/>
  <c r="I810" i="3" s="1"/>
  <c r="I811" i="3" a="1"/>
  <c r="I811" i="3" s="1"/>
  <c r="I812" i="3" a="1"/>
  <c r="I812" i="3" s="1"/>
  <c r="I813" i="3" a="1"/>
  <c r="I813" i="3" s="1"/>
  <c r="I814" i="3" a="1"/>
  <c r="I814" i="3" s="1"/>
  <c r="I815" i="3" a="1"/>
  <c r="I815" i="3" s="1"/>
  <c r="I816" i="3" a="1"/>
  <c r="I816" i="3" s="1"/>
  <c r="I817" i="3" a="1"/>
  <c r="I817" i="3" s="1"/>
  <c r="I818" i="3" a="1"/>
  <c r="I818" i="3" s="1"/>
  <c r="I819" i="3" a="1"/>
  <c r="I819" i="3" s="1"/>
  <c r="I820" i="3" a="1"/>
  <c r="I820" i="3" s="1"/>
  <c r="I821" i="3" a="1"/>
  <c r="I821" i="3" s="1"/>
  <c r="I822" i="3" a="1"/>
  <c r="I822" i="3" s="1"/>
  <c r="I823" i="3" a="1"/>
  <c r="I823" i="3" s="1"/>
  <c r="I824" i="3" a="1"/>
  <c r="I824" i="3" s="1"/>
  <c r="I825" i="3" a="1"/>
  <c r="I825" i="3" s="1"/>
  <c r="I826" i="3" a="1"/>
  <c r="I826" i="3" s="1"/>
  <c r="I827" i="3" a="1"/>
  <c r="I827" i="3" s="1"/>
  <c r="I828" i="3" a="1"/>
  <c r="I828" i="3" s="1"/>
  <c r="I829" i="3" a="1"/>
  <c r="I829" i="3" s="1"/>
  <c r="I830" i="3" a="1"/>
  <c r="I830" i="3" s="1"/>
  <c r="I831" i="3" a="1"/>
  <c r="I831" i="3" s="1"/>
  <c r="I832" i="3" a="1"/>
  <c r="I832" i="3" s="1"/>
  <c r="I833" i="3" a="1"/>
  <c r="I833" i="3" s="1"/>
  <c r="I834" i="3" a="1"/>
  <c r="I834" i="3" s="1"/>
  <c r="I835" i="3" a="1"/>
  <c r="I835" i="3" s="1"/>
  <c r="I836" i="3" a="1"/>
  <c r="I836" i="3" s="1"/>
  <c r="I837" i="3" a="1"/>
  <c r="I837" i="3" s="1"/>
  <c r="I838" i="3" a="1"/>
  <c r="I838" i="3" s="1"/>
  <c r="I839" i="3" a="1"/>
  <c r="I839" i="3" s="1"/>
  <c r="I840" i="3" a="1"/>
  <c r="I840" i="3" s="1"/>
  <c r="I841" i="3" a="1"/>
  <c r="I841" i="3" s="1"/>
  <c r="I842" i="3" a="1"/>
  <c r="I842" i="3" s="1"/>
  <c r="I843" i="3" a="1"/>
  <c r="I843" i="3" s="1"/>
  <c r="I844" i="3" a="1"/>
  <c r="I844" i="3" s="1"/>
  <c r="I845" i="3" a="1"/>
  <c r="I845" i="3" s="1"/>
  <c r="I846" i="3" a="1"/>
  <c r="I846" i="3" s="1"/>
  <c r="I847" i="3" a="1"/>
  <c r="I847" i="3" s="1"/>
  <c r="I848" i="3" a="1"/>
  <c r="I848" i="3" s="1"/>
  <c r="I849" i="3" a="1"/>
  <c r="I849" i="3" s="1"/>
  <c r="I850" i="3" a="1"/>
  <c r="I850" i="3" s="1"/>
  <c r="I851" i="3" a="1"/>
  <c r="I851" i="3" s="1"/>
  <c r="I852" i="3" a="1"/>
  <c r="I852" i="3" s="1"/>
  <c r="I853" i="3" a="1"/>
  <c r="I853" i="3" s="1"/>
  <c r="I854" i="3" a="1"/>
  <c r="I854" i="3" s="1"/>
  <c r="I855" i="3" a="1"/>
  <c r="I855" i="3" s="1"/>
  <c r="I856" i="3" a="1"/>
  <c r="I856" i="3" s="1"/>
  <c r="I857" i="3" a="1"/>
  <c r="I857" i="3" s="1"/>
  <c r="I858" i="3" a="1"/>
  <c r="I858" i="3" s="1"/>
  <c r="I859" i="3" a="1"/>
  <c r="I859" i="3" s="1"/>
  <c r="I860" i="3" a="1"/>
  <c r="I860" i="3" s="1"/>
  <c r="I861" i="3" a="1"/>
  <c r="I861" i="3" s="1"/>
  <c r="I862" i="3" a="1"/>
  <c r="I862" i="3" s="1"/>
  <c r="I863" i="3" a="1"/>
  <c r="I863" i="3" s="1"/>
  <c r="I864" i="3" a="1"/>
  <c r="I864" i="3" s="1"/>
  <c r="I865" i="3" a="1"/>
  <c r="I865" i="3" s="1"/>
  <c r="I866" i="3" a="1"/>
  <c r="I866" i="3" s="1"/>
  <c r="I867" i="3" a="1"/>
  <c r="I867" i="3" s="1"/>
  <c r="I868" i="3" a="1"/>
  <c r="I868" i="3" s="1"/>
  <c r="I869" i="3" a="1"/>
  <c r="I869" i="3" s="1"/>
  <c r="I870" i="3" a="1"/>
  <c r="I870" i="3" s="1"/>
  <c r="I871" i="3" a="1"/>
  <c r="I871" i="3" s="1"/>
  <c r="I872" i="3" a="1"/>
  <c r="I872" i="3" s="1"/>
  <c r="I873" i="3" a="1"/>
  <c r="I873" i="3" s="1"/>
  <c r="I874" i="3" a="1"/>
  <c r="I874" i="3" s="1"/>
  <c r="I875" i="3" a="1"/>
  <c r="I875" i="3" s="1"/>
  <c r="I876" i="3" a="1"/>
  <c r="I876" i="3" s="1"/>
  <c r="I877" i="3" a="1"/>
  <c r="I877" i="3" s="1"/>
  <c r="I878" i="3" a="1"/>
  <c r="I878" i="3" s="1"/>
  <c r="I879" i="3" a="1"/>
  <c r="I879" i="3" s="1"/>
  <c r="I880" i="3" a="1"/>
  <c r="I880" i="3" s="1"/>
  <c r="I881" i="3" a="1"/>
  <c r="I881" i="3" s="1"/>
  <c r="I882" i="3" a="1"/>
  <c r="I882" i="3" s="1"/>
  <c r="I883" i="3" a="1"/>
  <c r="I883" i="3" s="1"/>
  <c r="I884" i="3" a="1"/>
  <c r="I884" i="3" s="1"/>
  <c r="I885" i="3" a="1"/>
  <c r="I885" i="3" s="1"/>
  <c r="I886" i="3" a="1"/>
  <c r="I886" i="3" s="1"/>
  <c r="I887" i="3" a="1"/>
  <c r="I887" i="3" s="1"/>
  <c r="I888" i="3" a="1"/>
  <c r="I888" i="3" s="1"/>
  <c r="I889" i="3" a="1"/>
  <c r="I889" i="3" s="1"/>
  <c r="I890" i="3" a="1"/>
  <c r="I890" i="3" s="1"/>
  <c r="I891" i="3" a="1"/>
  <c r="I891" i="3" s="1"/>
  <c r="I892" i="3" a="1"/>
  <c r="I892" i="3" s="1"/>
  <c r="I893" i="3" a="1"/>
  <c r="I893" i="3" s="1"/>
  <c r="I894" i="3" a="1"/>
  <c r="I894" i="3" s="1"/>
  <c r="I895" i="3" a="1"/>
  <c r="I895" i="3" s="1"/>
  <c r="I896" i="3" a="1"/>
  <c r="I896" i="3" s="1"/>
  <c r="I897" i="3" a="1"/>
  <c r="I897" i="3" s="1"/>
  <c r="I898" i="3" a="1"/>
  <c r="I898" i="3" s="1"/>
  <c r="I899" i="3" a="1"/>
  <c r="I899" i="3" s="1"/>
  <c r="I900" i="3" a="1"/>
  <c r="I900" i="3" s="1"/>
  <c r="I901" i="3" a="1"/>
  <c r="I901" i="3" s="1"/>
  <c r="I902" i="3" a="1"/>
  <c r="I902" i="3" s="1"/>
  <c r="I903" i="3" a="1"/>
  <c r="I903" i="3" s="1"/>
  <c r="I904" i="3" a="1"/>
  <c r="I904" i="3" s="1"/>
  <c r="I905" i="3" a="1"/>
  <c r="I905" i="3" s="1"/>
  <c r="I906" i="3" a="1"/>
  <c r="I906" i="3" s="1"/>
  <c r="I907" i="3" a="1"/>
  <c r="I907" i="3" s="1"/>
  <c r="I908" i="3" a="1"/>
  <c r="I908" i="3" s="1"/>
  <c r="I909" i="3" a="1"/>
  <c r="I909" i="3" s="1"/>
  <c r="I910" i="3" a="1"/>
  <c r="I910" i="3" s="1"/>
  <c r="I911" i="3" a="1"/>
  <c r="I911" i="3" s="1"/>
  <c r="I912" i="3" a="1"/>
  <c r="I912" i="3" s="1"/>
  <c r="I913" i="3" a="1"/>
  <c r="I913" i="3" s="1"/>
  <c r="I914" i="3" a="1"/>
  <c r="I914" i="3" s="1"/>
  <c r="I915" i="3" a="1"/>
  <c r="I915" i="3" s="1"/>
  <c r="I916" i="3" a="1"/>
  <c r="I916" i="3" s="1"/>
  <c r="I917" i="3" a="1"/>
  <c r="I917" i="3" s="1"/>
  <c r="I918" i="3" a="1"/>
  <c r="I918" i="3" s="1"/>
  <c r="I919" i="3" a="1"/>
  <c r="I919" i="3" s="1"/>
  <c r="I920" i="3" a="1"/>
  <c r="I920" i="3" s="1"/>
  <c r="I921" i="3" a="1"/>
  <c r="I921" i="3" s="1"/>
  <c r="I922" i="3" a="1"/>
  <c r="I922" i="3" s="1"/>
  <c r="I923" i="3" a="1"/>
  <c r="I923" i="3" s="1"/>
  <c r="I924" i="3" a="1"/>
  <c r="I924" i="3" s="1"/>
  <c r="I925" i="3" a="1"/>
  <c r="I925" i="3" s="1"/>
  <c r="I926" i="3" a="1"/>
  <c r="I926" i="3" s="1"/>
  <c r="I927" i="3" a="1"/>
  <c r="I927" i="3" s="1"/>
  <c r="I928" i="3" a="1"/>
  <c r="I928" i="3" s="1"/>
  <c r="I929" i="3" a="1"/>
  <c r="I929" i="3" s="1"/>
  <c r="I930" i="3" a="1"/>
  <c r="I930" i="3" s="1"/>
  <c r="I931" i="3" a="1"/>
  <c r="I931" i="3" s="1"/>
  <c r="I932" i="3" a="1"/>
  <c r="I932" i="3" s="1"/>
  <c r="I933" i="3" a="1"/>
  <c r="I933" i="3" s="1"/>
  <c r="I934" i="3" a="1"/>
  <c r="I934" i="3" s="1"/>
  <c r="I935" i="3" a="1"/>
  <c r="I935" i="3" s="1"/>
  <c r="I936" i="3" a="1"/>
  <c r="I936" i="3" s="1"/>
  <c r="I937" i="3" a="1"/>
  <c r="I937" i="3" s="1"/>
  <c r="I938" i="3" a="1"/>
  <c r="I938" i="3" s="1"/>
  <c r="I939" i="3" a="1"/>
  <c r="I939" i="3" s="1"/>
  <c r="I940" i="3" a="1"/>
  <c r="I940" i="3" s="1"/>
  <c r="I941" i="3" a="1"/>
  <c r="I941" i="3" s="1"/>
  <c r="I942" i="3" a="1"/>
  <c r="I942" i="3" s="1"/>
  <c r="I943" i="3" a="1"/>
  <c r="I943" i="3" s="1"/>
  <c r="I944" i="3" a="1"/>
  <c r="I944" i="3" s="1"/>
  <c r="I945" i="3" a="1"/>
  <c r="I945" i="3" s="1"/>
  <c r="I946" i="3" a="1"/>
  <c r="I946" i="3" s="1"/>
  <c r="I947" i="3" a="1"/>
  <c r="I947" i="3" s="1"/>
  <c r="I948" i="3" a="1"/>
  <c r="I948" i="3" s="1"/>
  <c r="I949" i="3" a="1"/>
  <c r="I949" i="3" s="1"/>
  <c r="I950" i="3" a="1"/>
  <c r="I950" i="3" s="1"/>
  <c r="I951" i="3" a="1"/>
  <c r="I951" i="3" s="1"/>
  <c r="I952" i="3" a="1"/>
  <c r="I952" i="3" s="1"/>
  <c r="I953" i="3" a="1"/>
  <c r="I953" i="3" s="1"/>
  <c r="I954" i="3" a="1"/>
  <c r="I954" i="3" s="1"/>
  <c r="I955" i="3" a="1"/>
  <c r="I955" i="3" s="1"/>
  <c r="I956" i="3" a="1"/>
  <c r="I956" i="3" s="1"/>
  <c r="I957" i="3" a="1"/>
  <c r="I957" i="3" s="1"/>
  <c r="I958" i="3" a="1"/>
  <c r="I958" i="3" s="1"/>
  <c r="I959" i="3" a="1"/>
  <c r="I959" i="3" s="1"/>
  <c r="I960" i="3" a="1"/>
  <c r="I960" i="3" s="1"/>
  <c r="I961" i="3" a="1"/>
  <c r="I961" i="3" s="1"/>
  <c r="I962" i="3" a="1"/>
  <c r="I962" i="3" s="1"/>
  <c r="I963" i="3" a="1"/>
  <c r="I963" i="3" s="1"/>
  <c r="I964" i="3" a="1"/>
  <c r="I964" i="3" s="1"/>
  <c r="I965" i="3" a="1"/>
  <c r="I965" i="3" s="1"/>
  <c r="I966" i="3" a="1"/>
  <c r="I966" i="3" s="1"/>
  <c r="I967" i="3" a="1"/>
  <c r="I967" i="3" s="1"/>
  <c r="I968" i="3" a="1"/>
  <c r="I968" i="3" s="1"/>
  <c r="I969" i="3" a="1"/>
  <c r="I969" i="3" s="1"/>
  <c r="I970" i="3" a="1"/>
  <c r="I970" i="3" s="1"/>
  <c r="I971" i="3" a="1"/>
  <c r="I971" i="3" s="1"/>
  <c r="I972" i="3" a="1"/>
  <c r="I972" i="3" s="1"/>
  <c r="I973" i="3" a="1"/>
  <c r="I973" i="3" s="1"/>
  <c r="I974" i="3" a="1"/>
  <c r="I974" i="3" s="1"/>
  <c r="I975" i="3" a="1"/>
  <c r="I975" i="3" s="1"/>
  <c r="I976" i="3" a="1"/>
  <c r="I976" i="3" s="1"/>
  <c r="I977" i="3" a="1"/>
  <c r="I977" i="3" s="1"/>
  <c r="I978" i="3" a="1"/>
  <c r="I978" i="3" s="1"/>
  <c r="I979" i="3" a="1"/>
  <c r="I979" i="3" s="1"/>
  <c r="I980" i="3" a="1"/>
  <c r="I980" i="3" s="1"/>
  <c r="I981" i="3" a="1"/>
  <c r="I981" i="3" s="1"/>
  <c r="I982" i="3" a="1"/>
  <c r="I982" i="3" s="1"/>
  <c r="I983" i="3" a="1"/>
  <c r="I983" i="3" s="1"/>
  <c r="I984" i="3" a="1"/>
  <c r="I984" i="3" s="1"/>
  <c r="I985" i="3" a="1"/>
  <c r="I985" i="3" s="1"/>
  <c r="I986" i="3" a="1"/>
  <c r="I986" i="3" s="1"/>
  <c r="I987" i="3" a="1"/>
  <c r="I987" i="3" s="1"/>
  <c r="I988" i="3" a="1"/>
  <c r="I988" i="3" s="1"/>
  <c r="I989" i="3" a="1"/>
  <c r="I989" i="3" s="1"/>
  <c r="I990" i="3" a="1"/>
  <c r="I990" i="3" s="1"/>
  <c r="I991" i="3" a="1"/>
  <c r="I991" i="3" s="1"/>
  <c r="I992" i="3" a="1"/>
  <c r="I992" i="3" s="1"/>
  <c r="I993" i="3" a="1"/>
  <c r="I993" i="3" s="1"/>
  <c r="I994" i="3" a="1"/>
  <c r="I994" i="3" s="1"/>
  <c r="I995" i="3" a="1"/>
  <c r="I995" i="3" s="1"/>
  <c r="I996" i="3" a="1"/>
  <c r="I996" i="3" s="1"/>
  <c r="I997" i="3" a="1"/>
  <c r="I997" i="3" s="1"/>
  <c r="I998" i="3" a="1"/>
  <c r="I998" i="3" s="1"/>
  <c r="I999" i="3" a="1"/>
  <c r="I999" i="3" s="1"/>
  <c r="I1000" i="3" a="1"/>
  <c r="I1000" i="3" s="1"/>
  <c r="I1001" i="3" a="1"/>
  <c r="I1001" i="3" s="1"/>
  <c r="I1002" i="3" a="1"/>
  <c r="I1002" i="3" s="1"/>
  <c r="I1003" i="3" a="1"/>
  <c r="I1003" i="3" s="1"/>
  <c r="I1004" i="3" a="1"/>
  <c r="I1004" i="3" s="1"/>
  <c r="I1005" i="3" a="1"/>
  <c r="I1005" i="3" s="1"/>
  <c r="I1006" i="3" a="1"/>
  <c r="I1006" i="3" s="1"/>
  <c r="I1007" i="3" a="1"/>
  <c r="I1007" i="3" s="1"/>
  <c r="I1008" i="3" a="1"/>
  <c r="I1008" i="3" s="1"/>
  <c r="I1009" i="3" a="1"/>
  <c r="I1009" i="3" s="1"/>
  <c r="I1010" i="3" a="1"/>
  <c r="I1010" i="3" s="1"/>
  <c r="I1011" i="3" a="1"/>
  <c r="I1011" i="3" s="1"/>
  <c r="I1012" i="3" a="1"/>
  <c r="I1012" i="3" s="1"/>
  <c r="I1013" i="3" a="1"/>
  <c r="I1013" i="3" s="1"/>
  <c r="I1014" i="3" a="1"/>
  <c r="I1014" i="3" s="1"/>
  <c r="I1015" i="3" a="1"/>
  <c r="I1015" i="3" s="1"/>
  <c r="I1016" i="3" a="1"/>
  <c r="I1016" i="3" s="1"/>
  <c r="I1017" i="3" a="1"/>
  <c r="I1017" i="3" s="1"/>
  <c r="I1018" i="3" a="1"/>
  <c r="I1018" i="3" s="1"/>
  <c r="I1019" i="3" a="1"/>
  <c r="I1019" i="3" s="1"/>
  <c r="I1020" i="3" a="1"/>
  <c r="I1020" i="3" s="1"/>
  <c r="I1021" i="3" a="1"/>
  <c r="I1021" i="3" s="1"/>
  <c r="I1022" i="3" a="1"/>
  <c r="I1022" i="3" s="1"/>
  <c r="I1023" i="3" a="1"/>
  <c r="I1023" i="3" s="1"/>
  <c r="I1024" i="3" a="1"/>
  <c r="I1024" i="3" s="1"/>
  <c r="I1025" i="3" a="1"/>
  <c r="I1025" i="3" s="1"/>
  <c r="I1026" i="3" a="1"/>
  <c r="I1026" i="3" s="1"/>
  <c r="I1027" i="3" a="1"/>
  <c r="I1027" i="3" s="1"/>
  <c r="I1028" i="3" a="1"/>
  <c r="I1028" i="3" s="1"/>
  <c r="I1029" i="3" a="1"/>
  <c r="I1029" i="3" s="1"/>
  <c r="I1030" i="3" a="1"/>
  <c r="I1030" i="3" s="1"/>
  <c r="I1031" i="3" a="1"/>
  <c r="I1031" i="3" s="1"/>
  <c r="I1032" i="3" a="1"/>
  <c r="I1032" i="3" s="1"/>
  <c r="I1033" i="3" a="1"/>
  <c r="I1033" i="3" s="1"/>
  <c r="I1034" i="3" a="1"/>
  <c r="I1034" i="3" s="1"/>
  <c r="I1035" i="3" a="1"/>
  <c r="I1035" i="3" s="1"/>
  <c r="I1036" i="3" a="1"/>
  <c r="I1036" i="3" s="1"/>
  <c r="I1037" i="3" a="1"/>
  <c r="I1037" i="3" s="1"/>
  <c r="I1038" i="3" a="1"/>
  <c r="I1038" i="3" s="1"/>
  <c r="I1039" i="3" a="1"/>
  <c r="I1039" i="3" s="1"/>
  <c r="I1040" i="3" a="1"/>
  <c r="I1040" i="3" s="1"/>
  <c r="I1041" i="3" a="1"/>
  <c r="I1041" i="3" s="1"/>
  <c r="I1042" i="3" a="1"/>
  <c r="I1042" i="3" s="1"/>
  <c r="I1043" i="3" a="1"/>
  <c r="I1043" i="3" s="1"/>
  <c r="I1044" i="3" a="1"/>
  <c r="I1044" i="3" s="1"/>
  <c r="I1045" i="3" a="1"/>
  <c r="I1045" i="3" s="1"/>
  <c r="I1046" i="3" a="1"/>
  <c r="I1046" i="3" s="1"/>
  <c r="I1047" i="3" a="1"/>
  <c r="I1047" i="3" s="1"/>
  <c r="I1048" i="3" a="1"/>
  <c r="I1048" i="3" s="1"/>
  <c r="I1049" i="3" a="1"/>
  <c r="I1049" i="3" s="1"/>
  <c r="I1050" i="3" a="1"/>
  <c r="I1050" i="3" s="1"/>
  <c r="I1051" i="3" a="1"/>
  <c r="I1051" i="3" s="1"/>
  <c r="I1052" i="3" a="1"/>
  <c r="I1052" i="3" s="1"/>
  <c r="I1053" i="3" a="1"/>
  <c r="I1053" i="3" s="1"/>
  <c r="I1054" i="3" a="1"/>
  <c r="I1054" i="3" s="1"/>
  <c r="I1055" i="3" a="1"/>
  <c r="I1055" i="3" s="1"/>
  <c r="I1056" i="3" a="1"/>
  <c r="I1056" i="3" s="1"/>
  <c r="I1057" i="3" a="1"/>
  <c r="I1057" i="3" s="1"/>
  <c r="I1058" i="3" a="1"/>
  <c r="I1058" i="3" s="1"/>
  <c r="I1059" i="3" a="1"/>
  <c r="I1059" i="3" s="1"/>
  <c r="I1060" i="3" a="1"/>
  <c r="I1060" i="3" s="1"/>
  <c r="I1061" i="3" a="1"/>
  <c r="I1061" i="3" s="1"/>
  <c r="I1062" i="3" a="1"/>
  <c r="I1062" i="3" s="1"/>
  <c r="I1063" i="3" a="1"/>
  <c r="I1063" i="3" s="1"/>
  <c r="I1064" i="3" a="1"/>
  <c r="I1064" i="3" s="1"/>
  <c r="I1065" i="3" a="1"/>
  <c r="I1065" i="3" s="1"/>
  <c r="I1066" i="3" a="1"/>
  <c r="I1066" i="3" s="1"/>
  <c r="I1067" i="3" a="1"/>
  <c r="I1067" i="3" s="1"/>
  <c r="I1068" i="3" a="1"/>
  <c r="I1068" i="3" s="1"/>
  <c r="I1069" i="3" a="1"/>
  <c r="I1069" i="3" s="1"/>
  <c r="I1070" i="3" a="1"/>
  <c r="I1070" i="3" s="1"/>
  <c r="I1071" i="3" a="1"/>
  <c r="I1071" i="3" s="1"/>
  <c r="I1072" i="3" a="1"/>
  <c r="I1072" i="3" s="1"/>
  <c r="I1073" i="3" a="1"/>
  <c r="I1073" i="3" s="1"/>
  <c r="I1074" i="3" a="1"/>
  <c r="I1074" i="3" s="1"/>
  <c r="I1075" i="3" a="1"/>
  <c r="I1075" i="3" s="1"/>
  <c r="I1076" i="3" a="1"/>
  <c r="I1076" i="3" s="1"/>
  <c r="I1077" i="3" a="1"/>
  <c r="I1077" i="3" s="1"/>
  <c r="I1078" i="3" a="1"/>
  <c r="I1078" i="3" s="1"/>
  <c r="I1079" i="3" a="1"/>
  <c r="I1079" i="3" s="1"/>
  <c r="I1080" i="3" a="1"/>
  <c r="I1080" i="3" s="1"/>
  <c r="I1081" i="3" a="1"/>
  <c r="I1081" i="3" s="1"/>
  <c r="I1082" i="3" a="1"/>
  <c r="I1082" i="3" s="1"/>
  <c r="I1083" i="3" a="1"/>
  <c r="I1083" i="3" s="1"/>
  <c r="I1084" i="3" a="1"/>
  <c r="I1084" i="3" s="1"/>
  <c r="I1085" i="3" a="1"/>
  <c r="I1085" i="3" s="1"/>
  <c r="I1086" i="3" a="1"/>
  <c r="I1086" i="3" s="1"/>
  <c r="I1087" i="3" a="1"/>
  <c r="I1087" i="3" s="1"/>
  <c r="I1088" i="3" a="1"/>
  <c r="I1088" i="3" s="1"/>
  <c r="I1089" i="3" a="1"/>
  <c r="I1089" i="3" s="1"/>
  <c r="I1090" i="3" a="1"/>
  <c r="I1090" i="3" s="1"/>
  <c r="I1091" i="3" a="1"/>
  <c r="I1091" i="3" s="1"/>
  <c r="I1092" i="3" a="1"/>
  <c r="I1092" i="3" s="1"/>
  <c r="I1093" i="3" a="1"/>
  <c r="I1093" i="3" s="1"/>
  <c r="I1094" i="3" a="1"/>
  <c r="I1094" i="3" s="1"/>
  <c r="I1095" i="3" a="1"/>
  <c r="I1095" i="3" s="1"/>
  <c r="I1096" i="3" a="1"/>
  <c r="I1096" i="3" s="1"/>
  <c r="I1097" i="3" a="1"/>
  <c r="I1097" i="3" s="1"/>
  <c r="I1098" i="3" a="1"/>
  <c r="I1098" i="3" s="1"/>
  <c r="I1099" i="3" a="1"/>
  <c r="I1099" i="3" s="1"/>
  <c r="I1100" i="3" a="1"/>
  <c r="I1100" i="3" s="1"/>
  <c r="I1101" i="3" a="1"/>
  <c r="I1101" i="3" s="1"/>
  <c r="I1102" i="3" a="1"/>
  <c r="I1102" i="3" s="1"/>
  <c r="I1103" i="3" a="1"/>
  <c r="I1103" i="3" s="1"/>
  <c r="I1104" i="3" a="1"/>
  <c r="I1104" i="3" s="1"/>
  <c r="I1105" i="3" a="1"/>
  <c r="I1105" i="3" s="1"/>
  <c r="I1106" i="3" a="1"/>
  <c r="I1106" i="3" s="1"/>
  <c r="I1107" i="3" a="1"/>
  <c r="I1107" i="3" s="1"/>
  <c r="I1108" i="3" a="1"/>
  <c r="I1108" i="3" s="1"/>
  <c r="I1109" i="3" a="1"/>
  <c r="I1109" i="3" s="1"/>
  <c r="I1110" i="3" a="1"/>
  <c r="I1110" i="3" s="1"/>
  <c r="I1111" i="3" a="1"/>
  <c r="I1111" i="3" s="1"/>
  <c r="I1112" i="3" a="1"/>
  <c r="I1112" i="3" s="1"/>
  <c r="I1113" i="3" a="1"/>
  <c r="I1113" i="3" s="1"/>
  <c r="I1114" i="3" a="1"/>
  <c r="I1114" i="3" s="1"/>
  <c r="I1115" i="3" a="1"/>
  <c r="I1115" i="3" s="1"/>
  <c r="I1116" i="3" a="1"/>
  <c r="I1116" i="3" s="1"/>
  <c r="I1117" i="3" a="1"/>
  <c r="I1117" i="3" s="1"/>
  <c r="I1118" i="3" a="1"/>
  <c r="I1118" i="3" s="1"/>
  <c r="I1119" i="3" a="1"/>
  <c r="I1119" i="3" s="1"/>
  <c r="I1120" i="3" a="1"/>
  <c r="I1120" i="3" s="1"/>
  <c r="I1121" i="3" a="1"/>
  <c r="I1121" i="3" s="1"/>
  <c r="I1122" i="3" a="1"/>
  <c r="I1122" i="3" s="1"/>
  <c r="I1123" i="3" a="1"/>
  <c r="I1123" i="3" s="1"/>
  <c r="I1124" i="3" a="1"/>
  <c r="I1124" i="3" s="1"/>
  <c r="I1125" i="3" a="1"/>
  <c r="I1125" i="3" s="1"/>
  <c r="I1126" i="3" a="1"/>
  <c r="I1126" i="3" s="1"/>
  <c r="I1127" i="3" a="1"/>
  <c r="I1127" i="3" s="1"/>
  <c r="I1128" i="3" a="1"/>
  <c r="I1128" i="3" s="1"/>
  <c r="I1129" i="3" a="1"/>
  <c r="I1129" i="3" s="1"/>
  <c r="I1130" i="3" a="1"/>
  <c r="I1130" i="3" s="1"/>
  <c r="I1131" i="3" a="1"/>
  <c r="I1131" i="3" s="1"/>
  <c r="I1132" i="3" a="1"/>
  <c r="I1132" i="3" s="1"/>
  <c r="I1133" i="3" a="1"/>
  <c r="I1133" i="3" s="1"/>
  <c r="I1134" i="3" a="1"/>
  <c r="I1134" i="3" s="1"/>
  <c r="I1135" i="3" a="1"/>
  <c r="I1135" i="3" s="1"/>
  <c r="I1136" i="3" a="1"/>
  <c r="I1136" i="3" s="1"/>
  <c r="I1137" i="3" a="1"/>
  <c r="I1137" i="3" s="1"/>
  <c r="I1138" i="3" a="1"/>
  <c r="I1138" i="3" s="1"/>
  <c r="I1139" i="3" a="1"/>
  <c r="I1139" i="3" s="1"/>
  <c r="I1140" i="3" a="1"/>
  <c r="I1140" i="3" s="1"/>
  <c r="I1141" i="3" a="1"/>
  <c r="I1141" i="3" s="1"/>
  <c r="I1142" i="3" a="1"/>
  <c r="I1142" i="3" s="1"/>
  <c r="I1143" i="3" a="1"/>
  <c r="I1143" i="3" s="1"/>
  <c r="I1144" i="3" a="1"/>
  <c r="I1144" i="3" s="1"/>
  <c r="I1145" i="3" a="1"/>
  <c r="I1145" i="3" s="1"/>
  <c r="I1146" i="3" a="1"/>
  <c r="I1146" i="3" s="1"/>
  <c r="I1147" i="3" a="1"/>
  <c r="I1147" i="3" s="1"/>
  <c r="I1148" i="3" a="1"/>
  <c r="I1148" i="3" s="1"/>
  <c r="I1149" i="3" a="1"/>
  <c r="I1149" i="3" s="1"/>
  <c r="I1150" i="3" a="1"/>
  <c r="I1150" i="3" s="1"/>
  <c r="I1151" i="3" a="1"/>
  <c r="I1151" i="3" s="1"/>
  <c r="I1152" i="3" a="1"/>
  <c r="I1152" i="3" s="1"/>
  <c r="I1153" i="3" a="1"/>
  <c r="I1153" i="3" s="1"/>
  <c r="I1154" i="3" a="1"/>
  <c r="I1154" i="3" s="1"/>
  <c r="I1155" i="3" a="1"/>
  <c r="I1155" i="3" s="1"/>
  <c r="I1156" i="3" a="1"/>
  <c r="I1156" i="3" s="1"/>
  <c r="I1157" i="3" a="1"/>
  <c r="I1157" i="3" s="1"/>
  <c r="I1158" i="3" a="1"/>
  <c r="I1158" i="3" s="1"/>
  <c r="I1159" i="3" a="1"/>
  <c r="I1159" i="3" s="1"/>
  <c r="I1160" i="3" a="1"/>
  <c r="I1160" i="3" s="1"/>
  <c r="I1161" i="3" a="1"/>
  <c r="I1161" i="3" s="1"/>
  <c r="I1162" i="3" a="1"/>
  <c r="I1162" i="3" s="1"/>
  <c r="I1163" i="3" a="1"/>
  <c r="I1163" i="3" s="1"/>
  <c r="I1164" i="3" a="1"/>
  <c r="I1164" i="3" s="1"/>
  <c r="I1165" i="3" a="1"/>
  <c r="I1165" i="3" s="1"/>
  <c r="I1166" i="3" a="1"/>
  <c r="I1166" i="3" s="1"/>
  <c r="I1167" i="3" a="1"/>
  <c r="I1167" i="3" s="1"/>
  <c r="I1168" i="3" a="1"/>
  <c r="I1168" i="3" s="1"/>
  <c r="I1169" i="3" a="1"/>
  <c r="I1169" i="3" s="1"/>
  <c r="I1170" i="3" a="1"/>
  <c r="I1170" i="3" s="1"/>
  <c r="I1171" i="3" a="1"/>
  <c r="I1171" i="3" s="1"/>
  <c r="I1172" i="3" a="1"/>
  <c r="I1172" i="3" s="1"/>
  <c r="I1173" i="3" a="1"/>
  <c r="I1173" i="3" s="1"/>
  <c r="I1174" i="3" a="1"/>
  <c r="I1174" i="3" s="1"/>
  <c r="I1175" i="3" a="1"/>
  <c r="I1175" i="3" s="1"/>
  <c r="I1176" i="3" a="1"/>
  <c r="I1176" i="3" s="1"/>
  <c r="I1177" i="3" a="1"/>
  <c r="I1177" i="3" s="1"/>
  <c r="I1178" i="3" a="1"/>
  <c r="I1178" i="3" s="1"/>
  <c r="I1179" i="3" a="1"/>
  <c r="I1179" i="3" s="1"/>
  <c r="I1180" i="3" a="1"/>
  <c r="I1180" i="3" s="1"/>
  <c r="I1181" i="3" a="1"/>
  <c r="I1181" i="3" s="1"/>
  <c r="I1182" i="3" a="1"/>
  <c r="I1182" i="3" s="1"/>
  <c r="I1183" i="3" a="1"/>
  <c r="I1183" i="3" s="1"/>
  <c r="I1184" i="3" a="1"/>
  <c r="I1184" i="3" s="1"/>
  <c r="I1185" i="3" a="1"/>
  <c r="I1185" i="3" s="1"/>
  <c r="I1186" i="3" a="1"/>
  <c r="I1186" i="3" s="1"/>
  <c r="I1187" i="3" a="1"/>
  <c r="I1187" i="3" s="1"/>
  <c r="I1188" i="3" a="1"/>
  <c r="I1188" i="3" s="1"/>
  <c r="I1189" i="3" a="1"/>
  <c r="I1189" i="3" s="1"/>
  <c r="I1190" i="3" a="1"/>
  <c r="I1190" i="3" s="1"/>
  <c r="I1191" i="3" a="1"/>
  <c r="I1191" i="3" s="1"/>
  <c r="I1192" i="3" a="1"/>
  <c r="I1192" i="3" s="1"/>
  <c r="I1193" i="3" a="1"/>
  <c r="I1193" i="3" s="1"/>
  <c r="I1194" i="3" a="1"/>
  <c r="I1194" i="3" s="1"/>
  <c r="I1195" i="3" a="1"/>
  <c r="I1195" i="3" s="1"/>
  <c r="I1196" i="3" a="1"/>
  <c r="I1196" i="3" s="1"/>
  <c r="I1197" i="3" a="1"/>
  <c r="I1197" i="3" s="1"/>
  <c r="I1198" i="3" a="1"/>
  <c r="I1198" i="3" s="1"/>
  <c r="I1199" i="3" a="1"/>
  <c r="I1199" i="3" s="1"/>
  <c r="I1200" i="3" a="1"/>
  <c r="I1200" i="3" s="1"/>
  <c r="I1201" i="3" a="1"/>
  <c r="I1201" i="3" s="1"/>
  <c r="I1202" i="3" a="1"/>
  <c r="I1202" i="3" s="1"/>
  <c r="I1203" i="3" a="1"/>
  <c r="I1203" i="3" s="1"/>
  <c r="I1204" i="3" a="1"/>
  <c r="I1204" i="3" s="1"/>
  <c r="I1205" i="3" a="1"/>
  <c r="I1205" i="3" s="1"/>
  <c r="I1206" i="3" a="1"/>
  <c r="I1206" i="3" s="1"/>
  <c r="I1207" i="3" a="1"/>
  <c r="I1207" i="3" s="1"/>
  <c r="I1208" i="3" a="1"/>
  <c r="I1208" i="3" s="1"/>
  <c r="I1209" i="3" a="1"/>
  <c r="I1209" i="3" s="1"/>
  <c r="I1210" i="3" a="1"/>
  <c r="I1210" i="3" s="1"/>
  <c r="I1211" i="3" a="1"/>
  <c r="I1211" i="3" s="1"/>
  <c r="I1212" i="3" a="1"/>
  <c r="I1212" i="3" s="1"/>
  <c r="I1213" i="3" a="1"/>
  <c r="I1213" i="3" s="1"/>
  <c r="I1214" i="3" a="1"/>
  <c r="I1214" i="3" s="1"/>
  <c r="I1215" i="3" a="1"/>
  <c r="I1215" i="3" s="1"/>
  <c r="I1216" i="3" a="1"/>
  <c r="I1216" i="3" s="1"/>
  <c r="I1217" i="3" a="1"/>
  <c r="I1217" i="3" s="1"/>
  <c r="I1218" i="3" a="1"/>
  <c r="I1218" i="3" s="1"/>
  <c r="I1219" i="3" a="1"/>
  <c r="I1219" i="3" s="1"/>
  <c r="I1220" i="3" a="1"/>
  <c r="I1220" i="3" s="1"/>
  <c r="I1221" i="3" a="1"/>
  <c r="I1221" i="3" s="1"/>
  <c r="I1222" i="3" a="1"/>
  <c r="I1222" i="3" s="1"/>
  <c r="I1223" i="3" a="1"/>
  <c r="I1223" i="3" s="1"/>
  <c r="I1224" i="3" a="1"/>
  <c r="I1224" i="3" s="1"/>
  <c r="I1225" i="3" a="1"/>
  <c r="I1225" i="3" s="1"/>
  <c r="I1226" i="3" a="1"/>
  <c r="I1226" i="3" s="1"/>
  <c r="I1227" i="3" a="1"/>
  <c r="I1227" i="3" s="1"/>
  <c r="I1228" i="3" a="1"/>
  <c r="I1228" i="3" s="1"/>
  <c r="I1229" i="3" a="1"/>
  <c r="I1229" i="3" s="1"/>
  <c r="I1230" i="3" a="1"/>
  <c r="I1230" i="3" s="1"/>
  <c r="I1231" i="3" a="1"/>
  <c r="I1231" i="3" s="1"/>
  <c r="I1232" i="3" a="1"/>
  <c r="I1232" i="3" s="1"/>
  <c r="I1233" i="3" a="1"/>
  <c r="I1233" i="3" s="1"/>
  <c r="I1234" i="3" a="1"/>
  <c r="I1234" i="3" s="1"/>
  <c r="I1235" i="3" a="1"/>
  <c r="I1235" i="3" s="1"/>
  <c r="I1236" i="3" a="1"/>
  <c r="I1236" i="3" s="1"/>
  <c r="I1237" i="3" a="1"/>
  <c r="I1237" i="3" s="1"/>
  <c r="I1238" i="3" a="1"/>
  <c r="I1238" i="3" s="1"/>
  <c r="I1239" i="3" a="1"/>
  <c r="I1239" i="3" s="1"/>
  <c r="I1240" i="3" a="1"/>
  <c r="I1240" i="3" s="1"/>
  <c r="I1241" i="3" a="1"/>
  <c r="I1241" i="3" s="1"/>
  <c r="I1242" i="3" a="1"/>
  <c r="I1242" i="3" s="1"/>
  <c r="I1243" i="3" a="1"/>
  <c r="I1243" i="3" s="1"/>
  <c r="I1244" i="3" a="1"/>
  <c r="I1244" i="3" s="1"/>
  <c r="I1245" i="3" a="1"/>
  <c r="I1245" i="3" s="1"/>
  <c r="I1246" i="3" a="1"/>
  <c r="I1246" i="3" s="1"/>
  <c r="I1247" i="3" a="1"/>
  <c r="I1247" i="3" s="1"/>
  <c r="I1248" i="3" a="1"/>
  <c r="I1248" i="3" s="1"/>
  <c r="I1249" i="3" a="1"/>
  <c r="I1249" i="3" s="1"/>
  <c r="I1250" i="3" a="1"/>
  <c r="I1250" i="3" s="1"/>
  <c r="I1251" i="3" a="1"/>
  <c r="I1251" i="3" s="1"/>
  <c r="I1252" i="3" a="1"/>
  <c r="I1252" i="3" s="1"/>
  <c r="I1253" i="3" a="1"/>
  <c r="I1253" i="3" s="1"/>
  <c r="I1254" i="3" a="1"/>
  <c r="I1254" i="3" s="1"/>
  <c r="I1255" i="3" a="1"/>
  <c r="I1255" i="3" s="1"/>
  <c r="I1256" i="3" a="1"/>
  <c r="I1256" i="3" s="1"/>
  <c r="I1257" i="3" a="1"/>
  <c r="I1257" i="3" s="1"/>
  <c r="I1258" i="3" a="1"/>
  <c r="I1258" i="3" s="1"/>
  <c r="I1259" i="3" a="1"/>
  <c r="I1259" i="3" s="1"/>
  <c r="I1260" i="3" a="1"/>
  <c r="I1260" i="3" s="1"/>
  <c r="I1261" i="3" a="1"/>
  <c r="I1261" i="3" s="1"/>
  <c r="I1262" i="3" a="1"/>
  <c r="I1262" i="3" s="1"/>
  <c r="I1263" i="3" a="1"/>
  <c r="I1263" i="3" s="1"/>
  <c r="I1264" i="3" a="1"/>
  <c r="I1264" i="3" s="1"/>
  <c r="I1265" i="3" a="1"/>
  <c r="I1265" i="3" s="1"/>
  <c r="I1266" i="3" a="1"/>
  <c r="I1266" i="3" s="1"/>
  <c r="I1267" i="3" a="1"/>
  <c r="I1267" i="3" s="1"/>
  <c r="I1268" i="3" a="1"/>
  <c r="I1268" i="3" s="1"/>
  <c r="I1269" i="3" a="1"/>
  <c r="I1269" i="3" s="1"/>
  <c r="I1270" i="3" a="1"/>
  <c r="I1270" i="3" s="1"/>
  <c r="I1271" i="3" a="1"/>
  <c r="I1271" i="3" s="1"/>
  <c r="I1272" i="3" a="1"/>
  <c r="I1272" i="3" s="1"/>
  <c r="I1273" i="3" a="1"/>
  <c r="I1273" i="3" s="1"/>
  <c r="I1274" i="3" a="1"/>
  <c r="I1274" i="3" s="1"/>
  <c r="I1275" i="3" a="1"/>
  <c r="I1275" i="3" s="1"/>
  <c r="I1276" i="3" a="1"/>
  <c r="I1276" i="3" s="1"/>
  <c r="I1277" i="3" a="1"/>
  <c r="I1277" i="3" s="1"/>
  <c r="I1278" i="3" a="1"/>
  <c r="I1278" i="3" s="1"/>
  <c r="I1279" i="3" a="1"/>
  <c r="I1279" i="3" s="1"/>
  <c r="I1280" i="3" a="1"/>
  <c r="I1280" i="3" s="1"/>
  <c r="I1281" i="3" a="1"/>
  <c r="I1281" i="3" s="1"/>
  <c r="I1282" i="3" a="1"/>
  <c r="I1282" i="3" s="1"/>
  <c r="I1283" i="3" a="1"/>
  <c r="I1283" i="3" s="1"/>
  <c r="I1284" i="3" a="1"/>
  <c r="I1284" i="3" s="1"/>
  <c r="I1285" i="3" a="1"/>
  <c r="I1285" i="3" s="1"/>
  <c r="I1286" i="3" a="1"/>
  <c r="I1286" i="3" s="1"/>
  <c r="I1287" i="3" a="1"/>
  <c r="I1287" i="3" s="1"/>
  <c r="I1288" i="3" a="1"/>
  <c r="I1288" i="3" s="1"/>
  <c r="I1289" i="3" a="1"/>
  <c r="I1289" i="3" s="1"/>
  <c r="I1290" i="3" a="1"/>
  <c r="I1290" i="3" s="1"/>
  <c r="I1291" i="3" a="1"/>
  <c r="I1291" i="3" s="1"/>
  <c r="I1292" i="3" a="1"/>
  <c r="I1292" i="3" s="1"/>
  <c r="I1293" i="3" a="1"/>
  <c r="I1293" i="3" s="1"/>
  <c r="I1294" i="3" a="1"/>
  <c r="I1294" i="3" s="1"/>
  <c r="I1295" i="3" a="1"/>
  <c r="I1295" i="3" s="1"/>
  <c r="I1296" i="3" a="1"/>
  <c r="I1296" i="3" s="1"/>
  <c r="I1297" i="3" a="1"/>
  <c r="I1297" i="3" s="1"/>
  <c r="I1298" i="3" a="1"/>
  <c r="I1298" i="3" s="1"/>
  <c r="I1299" i="3" a="1"/>
  <c r="I1299" i="3" s="1"/>
  <c r="I1300" i="3" a="1"/>
  <c r="I1300" i="3" s="1"/>
  <c r="I1301" i="3" a="1"/>
  <c r="I1301" i="3" s="1"/>
  <c r="I1302" i="3" a="1"/>
  <c r="I1302" i="3" s="1"/>
  <c r="I1303" i="3" a="1"/>
  <c r="I1303" i="3" s="1"/>
  <c r="I1304" i="3" a="1"/>
  <c r="I1304" i="3" s="1"/>
  <c r="I1305" i="3" a="1"/>
  <c r="I1305" i="3" s="1"/>
  <c r="I1306" i="3" a="1"/>
  <c r="I1306" i="3" s="1"/>
  <c r="I1307" i="3" a="1"/>
  <c r="I1307" i="3" s="1"/>
  <c r="I1308" i="3" a="1"/>
  <c r="I1308" i="3" s="1"/>
  <c r="I1309" i="3" a="1"/>
  <c r="I1309" i="3" s="1"/>
  <c r="I1310" i="3" a="1"/>
  <c r="I1310" i="3" s="1"/>
  <c r="I1311" i="3" a="1"/>
  <c r="I1311" i="3" s="1"/>
  <c r="I1312" i="3" a="1"/>
  <c r="I1312" i="3" s="1"/>
  <c r="I1313" i="3" a="1"/>
  <c r="I1313" i="3" s="1"/>
  <c r="I1314" i="3" a="1"/>
  <c r="I1314" i="3" s="1"/>
  <c r="I1315" i="3" a="1"/>
  <c r="I1315" i="3" s="1"/>
  <c r="I1316" i="3" a="1"/>
  <c r="I1316" i="3" s="1"/>
  <c r="I1317" i="3" a="1"/>
  <c r="I1317" i="3" s="1"/>
  <c r="I1318" i="3" a="1"/>
  <c r="I1318" i="3" s="1"/>
  <c r="I1319" i="3" a="1"/>
  <c r="I1319" i="3" s="1"/>
  <c r="I1320" i="3" a="1"/>
  <c r="I1320" i="3" s="1"/>
  <c r="I1321" i="3" a="1"/>
  <c r="I1321" i="3" s="1"/>
  <c r="I1322" i="3" a="1"/>
  <c r="I1322" i="3" s="1"/>
  <c r="I1323" i="3" a="1"/>
  <c r="I1323" i="3" s="1"/>
  <c r="I1324" i="3" a="1"/>
  <c r="I1324" i="3" s="1"/>
  <c r="I1325" i="3" a="1"/>
  <c r="I1325" i="3" s="1"/>
  <c r="I1326" i="3" a="1"/>
  <c r="I1326" i="3" s="1"/>
  <c r="I1327" i="3" a="1"/>
  <c r="I1327" i="3" s="1"/>
  <c r="I1328" i="3" a="1"/>
  <c r="I1328" i="3" s="1"/>
  <c r="I1329" i="3" a="1"/>
  <c r="I1329" i="3" s="1"/>
  <c r="I1330" i="3" a="1"/>
  <c r="I1330" i="3" s="1"/>
  <c r="I1331" i="3" a="1"/>
  <c r="I1331" i="3" s="1"/>
  <c r="I1332" i="3" a="1"/>
  <c r="I1332" i="3" s="1"/>
  <c r="I1333" i="3" a="1"/>
  <c r="I1333" i="3" s="1"/>
  <c r="I1334" i="3" a="1"/>
  <c r="I1334" i="3" s="1"/>
  <c r="I1335" i="3" a="1"/>
  <c r="I1335" i="3" s="1"/>
  <c r="I1336" i="3" a="1"/>
  <c r="I1336" i="3" s="1"/>
  <c r="I1337" i="3" a="1"/>
  <c r="I1337" i="3" s="1"/>
  <c r="I1338" i="3" a="1"/>
  <c r="I1338" i="3" s="1"/>
  <c r="I1339" i="3" a="1"/>
  <c r="I1339" i="3" s="1"/>
  <c r="I1340" i="3" a="1"/>
  <c r="I1340" i="3" s="1"/>
  <c r="I1341" i="3" a="1"/>
  <c r="I1341" i="3" s="1"/>
  <c r="I1342" i="3" a="1"/>
  <c r="I1342" i="3" s="1"/>
  <c r="I1343" i="3" a="1"/>
  <c r="I1343" i="3" s="1"/>
  <c r="I1344" i="3" a="1"/>
  <c r="I1344" i="3" s="1"/>
  <c r="I1345" i="3" a="1"/>
  <c r="I1345" i="3" s="1"/>
  <c r="I1346" i="3" a="1"/>
  <c r="I1346" i="3" s="1"/>
  <c r="I1347" i="3" a="1"/>
  <c r="I1347" i="3" s="1"/>
  <c r="I1348" i="3" a="1"/>
  <c r="I1348" i="3" s="1"/>
  <c r="I1349" i="3" a="1"/>
  <c r="I1349" i="3" s="1"/>
  <c r="I1350" i="3" a="1"/>
  <c r="I1350" i="3" s="1"/>
  <c r="I1351" i="3" a="1"/>
  <c r="I1351" i="3" s="1"/>
  <c r="I1352" i="3" a="1"/>
  <c r="I1352" i="3" s="1"/>
  <c r="I1353" i="3" a="1"/>
  <c r="I1353" i="3" s="1"/>
  <c r="I1354" i="3" a="1"/>
  <c r="I1354" i="3" s="1"/>
  <c r="I1355" i="3" a="1"/>
  <c r="I1355" i="3" s="1"/>
  <c r="I1356" i="3" a="1"/>
  <c r="I1356" i="3" s="1"/>
  <c r="I1357" i="3" a="1"/>
  <c r="I1357" i="3" s="1"/>
  <c r="I1358" i="3" a="1"/>
  <c r="I1358" i="3" s="1"/>
  <c r="I1359" i="3" a="1"/>
  <c r="I1359" i="3" s="1"/>
  <c r="I1360" i="3" a="1"/>
  <c r="I1360" i="3" s="1"/>
  <c r="I1361" i="3" a="1"/>
  <c r="I1361" i="3" s="1"/>
  <c r="I1362" i="3" a="1"/>
  <c r="I1362" i="3" s="1"/>
  <c r="I1363" i="3" a="1"/>
  <c r="I1363" i="3" s="1"/>
  <c r="I1364" i="3" a="1"/>
  <c r="I1364" i="3" s="1"/>
  <c r="I1365" i="3" a="1"/>
  <c r="I1365" i="3" s="1"/>
  <c r="I1366" i="3" a="1"/>
  <c r="I1366" i="3" s="1"/>
  <c r="I1367" i="3" a="1"/>
  <c r="I1367" i="3" s="1"/>
  <c r="I1368" i="3" a="1"/>
  <c r="I1368" i="3" s="1"/>
  <c r="I1369" i="3" a="1"/>
  <c r="I1369" i="3" s="1"/>
  <c r="I1370" i="3" a="1"/>
  <c r="I1370" i="3" s="1"/>
  <c r="I1371" i="3" a="1"/>
  <c r="I1371" i="3" s="1"/>
  <c r="I1372" i="3" a="1"/>
  <c r="I1372" i="3" s="1"/>
  <c r="I1373" i="3" a="1"/>
  <c r="I1373" i="3" s="1"/>
  <c r="I1374" i="3" a="1"/>
  <c r="I1374" i="3" s="1"/>
  <c r="I1375" i="3" a="1"/>
  <c r="I1375" i="3" s="1"/>
  <c r="I1376" i="3" a="1"/>
  <c r="I1376" i="3" s="1"/>
  <c r="I1377" i="3" a="1"/>
  <c r="I1377" i="3" s="1"/>
  <c r="I1378" i="3" a="1"/>
  <c r="I1378" i="3" s="1"/>
  <c r="I1379" i="3" a="1"/>
  <c r="I1379" i="3" s="1"/>
  <c r="I1380" i="3" a="1"/>
  <c r="I1380" i="3" s="1"/>
  <c r="I1381" i="3" a="1"/>
  <c r="I1381" i="3" s="1"/>
  <c r="I1382" i="3" a="1"/>
  <c r="I1382" i="3" s="1"/>
  <c r="I1383" i="3" a="1"/>
  <c r="I1383" i="3" s="1"/>
  <c r="I1384" i="3" a="1"/>
  <c r="I1384" i="3" s="1"/>
  <c r="I1385" i="3" a="1"/>
  <c r="I1385" i="3" s="1"/>
  <c r="I1386" i="3" a="1"/>
  <c r="I1386" i="3" s="1"/>
  <c r="I1387" i="3" a="1"/>
  <c r="I1387" i="3" s="1"/>
  <c r="I1388" i="3" a="1"/>
  <c r="I1388" i="3" s="1"/>
  <c r="I1389" i="3" a="1"/>
  <c r="I1389" i="3" s="1"/>
  <c r="I1390" i="3" a="1"/>
  <c r="I1390" i="3" s="1"/>
  <c r="I1391" i="3" a="1"/>
  <c r="I1391" i="3" s="1"/>
  <c r="I1392" i="3" a="1"/>
  <c r="I1392" i="3" s="1"/>
  <c r="I1393" i="3" a="1"/>
  <c r="I1393" i="3" s="1"/>
  <c r="I1394" i="3" a="1"/>
  <c r="I1394" i="3" s="1"/>
  <c r="I1395" i="3" a="1"/>
  <c r="I1395" i="3" s="1"/>
  <c r="I1396" i="3" a="1"/>
  <c r="I1396" i="3" s="1"/>
  <c r="I1397" i="3" a="1"/>
  <c r="I1397" i="3" s="1"/>
  <c r="I1398" i="3" a="1"/>
  <c r="I1398" i="3" s="1"/>
  <c r="I1399" i="3" a="1"/>
  <c r="I1399" i="3" s="1"/>
  <c r="I1400" i="3" a="1"/>
  <c r="I1400" i="3" s="1"/>
  <c r="I1401" i="3" a="1"/>
  <c r="I1401" i="3" s="1"/>
  <c r="I1402" i="3" a="1"/>
  <c r="I1402" i="3" s="1"/>
  <c r="I1403" i="3" a="1"/>
  <c r="I1403" i="3" s="1"/>
  <c r="I1404" i="3" a="1"/>
  <c r="I1404" i="3" s="1"/>
  <c r="I1405" i="3" a="1"/>
  <c r="I1405" i="3" s="1"/>
  <c r="I1406" i="3" a="1"/>
  <c r="I1406" i="3" s="1"/>
  <c r="I1407" i="3" a="1"/>
  <c r="I1407" i="3" s="1"/>
  <c r="I1408" i="3" a="1"/>
  <c r="I1408" i="3" s="1"/>
  <c r="I1409" i="3" a="1"/>
  <c r="I1409" i="3" s="1"/>
  <c r="I1410" i="3" a="1"/>
  <c r="I1410" i="3" s="1"/>
  <c r="I1411" i="3" a="1"/>
  <c r="I1411" i="3" s="1"/>
  <c r="I1412" i="3" a="1"/>
  <c r="I1412" i="3" s="1"/>
  <c r="I1413" i="3" a="1"/>
  <c r="I1413" i="3" s="1"/>
  <c r="I1414" i="3" a="1"/>
  <c r="I1414" i="3" s="1"/>
  <c r="I1415" i="3" a="1"/>
  <c r="I1415" i="3" s="1"/>
  <c r="I1416" i="3" a="1"/>
  <c r="I1416" i="3" s="1"/>
  <c r="I1417" i="3" a="1"/>
  <c r="I1417" i="3" s="1"/>
  <c r="I1418" i="3" a="1"/>
  <c r="I1418" i="3" s="1"/>
  <c r="I1419" i="3" a="1"/>
  <c r="I1419" i="3" s="1"/>
  <c r="I1420" i="3" a="1"/>
  <c r="I1420" i="3" s="1"/>
  <c r="I1421" i="3" a="1"/>
  <c r="I1421" i="3" s="1"/>
  <c r="I1422" i="3" a="1"/>
  <c r="I1422" i="3" s="1"/>
  <c r="I1423" i="3" a="1"/>
  <c r="I1423" i="3" s="1"/>
  <c r="I1424" i="3" a="1"/>
  <c r="I1424" i="3" s="1"/>
  <c r="I1425" i="3" a="1"/>
  <c r="I1425" i="3" s="1"/>
  <c r="I1426" i="3" a="1"/>
  <c r="I1426" i="3" s="1"/>
  <c r="I1427" i="3" a="1"/>
  <c r="I1427" i="3" s="1"/>
  <c r="I1428" i="3" a="1"/>
  <c r="I1428" i="3" s="1"/>
  <c r="I1429" i="3" a="1"/>
  <c r="I1429" i="3" s="1"/>
  <c r="I1430" i="3" a="1"/>
  <c r="I1430" i="3" s="1"/>
  <c r="I1431" i="3" a="1"/>
  <c r="I1431" i="3" s="1"/>
  <c r="I1432" i="3" a="1"/>
  <c r="I1432" i="3" s="1"/>
  <c r="I1433" i="3" a="1"/>
  <c r="I1433" i="3" s="1"/>
  <c r="I1434" i="3" a="1"/>
  <c r="I1434" i="3" s="1"/>
  <c r="I1435" i="3" a="1"/>
  <c r="I1435" i="3" s="1"/>
  <c r="I1436" i="3" a="1"/>
  <c r="I1436" i="3" s="1"/>
  <c r="I1437" i="3" a="1"/>
  <c r="I1437" i="3" s="1"/>
  <c r="I1438" i="3" a="1"/>
  <c r="I1438" i="3" s="1"/>
  <c r="I1439" i="3" a="1"/>
  <c r="I1439" i="3" s="1"/>
  <c r="I1440" i="3" a="1"/>
  <c r="I1440" i="3" s="1"/>
  <c r="I1441" i="3" a="1"/>
  <c r="I1441" i="3" s="1"/>
  <c r="I1442" i="3" a="1"/>
  <c r="I1442" i="3" s="1"/>
  <c r="I1443" i="3" a="1"/>
  <c r="I1443" i="3" s="1"/>
  <c r="I1444" i="3" a="1"/>
  <c r="I1444" i="3" s="1"/>
  <c r="I1445" i="3" a="1"/>
  <c r="I1445" i="3" s="1"/>
  <c r="I1446" i="3" a="1"/>
  <c r="I1446" i="3" s="1"/>
  <c r="I1447" i="3" a="1"/>
  <c r="I1447" i="3" s="1"/>
  <c r="I1448" i="3" a="1"/>
  <c r="I1448" i="3" s="1"/>
  <c r="I1449" i="3" a="1"/>
  <c r="I1449" i="3" s="1"/>
  <c r="I1450" i="3" a="1"/>
  <c r="I1450" i="3" s="1"/>
  <c r="I1451" i="3" a="1"/>
  <c r="I1451" i="3" s="1"/>
  <c r="I1452" i="3" a="1"/>
  <c r="I1452" i="3" s="1"/>
  <c r="I1453" i="3" a="1"/>
  <c r="I1453" i="3" s="1"/>
  <c r="I1454" i="3" a="1"/>
  <c r="I1454" i="3" s="1"/>
  <c r="I1455" i="3" a="1"/>
  <c r="I1455" i="3" s="1"/>
  <c r="I1456" i="3" a="1"/>
  <c r="I1456" i="3" s="1"/>
  <c r="I1457" i="3" a="1"/>
  <c r="I1457" i="3" s="1"/>
  <c r="I1458" i="3" a="1"/>
  <c r="I1458" i="3" s="1"/>
  <c r="I1459" i="3" a="1"/>
  <c r="I1459" i="3" s="1"/>
  <c r="I1460" i="3" a="1"/>
  <c r="I1460" i="3" s="1"/>
  <c r="I1461" i="3" a="1"/>
  <c r="I1461" i="3" s="1"/>
  <c r="I1462" i="3" a="1"/>
  <c r="I1462" i="3" s="1"/>
  <c r="I1463" i="3" a="1"/>
  <c r="I1463" i="3" s="1"/>
  <c r="I1464" i="3" a="1"/>
  <c r="I1464" i="3" s="1"/>
  <c r="I1465" i="3" a="1"/>
  <c r="I1465" i="3" s="1"/>
  <c r="I1466" i="3" a="1"/>
  <c r="I1466" i="3" s="1"/>
  <c r="I1467" i="3" a="1"/>
  <c r="I1467" i="3" s="1"/>
  <c r="I1468" i="3" a="1"/>
  <c r="I1468" i="3" s="1"/>
  <c r="I1469" i="3" a="1"/>
  <c r="I1469" i="3" s="1"/>
  <c r="I1470" i="3" a="1"/>
  <c r="I1470" i="3" s="1"/>
  <c r="I1471" i="3" a="1"/>
  <c r="I1471" i="3" s="1"/>
  <c r="I1472" i="3" a="1"/>
  <c r="I1472" i="3" s="1"/>
  <c r="I1473" i="3" a="1"/>
  <c r="I1473" i="3" s="1"/>
  <c r="I1474" i="3" a="1"/>
  <c r="I1474" i="3" s="1"/>
  <c r="I1475" i="3" a="1"/>
  <c r="I1475" i="3" s="1"/>
  <c r="I1476" i="3" a="1"/>
  <c r="I1476" i="3" s="1"/>
  <c r="I1477" i="3" a="1"/>
  <c r="I1477" i="3" s="1"/>
  <c r="I1478" i="3" a="1"/>
  <c r="I1478" i="3" s="1"/>
  <c r="I1479" i="3" a="1"/>
  <c r="I1479" i="3" s="1"/>
  <c r="I1480" i="3" a="1"/>
  <c r="I1480" i="3" s="1"/>
  <c r="I1481" i="3" a="1"/>
  <c r="I1481" i="3" s="1"/>
  <c r="I1482" i="3" a="1"/>
  <c r="I1482" i="3" s="1"/>
  <c r="I1483" i="3" a="1"/>
  <c r="I1483" i="3" s="1"/>
  <c r="I1484" i="3" a="1"/>
  <c r="I1484" i="3" s="1"/>
  <c r="I1485" i="3" a="1"/>
  <c r="I1485" i="3" s="1"/>
  <c r="I1486" i="3" a="1"/>
  <c r="I1486" i="3" s="1"/>
  <c r="I1487" i="3" a="1"/>
  <c r="I1487" i="3" s="1"/>
  <c r="I1488" i="3" a="1"/>
  <c r="I1488" i="3" s="1"/>
  <c r="I1489" i="3" a="1"/>
  <c r="I1489" i="3" s="1"/>
  <c r="I1490" i="3" a="1"/>
  <c r="I1490" i="3" s="1"/>
  <c r="I1491" i="3" a="1"/>
  <c r="I1491" i="3" s="1"/>
  <c r="I1492" i="3" a="1"/>
  <c r="I1492" i="3" s="1"/>
  <c r="I1493" i="3" a="1"/>
  <c r="I1493" i="3" s="1"/>
  <c r="I1494" i="3" a="1"/>
  <c r="I1494" i="3" s="1"/>
  <c r="I1495" i="3" a="1"/>
  <c r="I1495" i="3" s="1"/>
  <c r="I1496" i="3" a="1"/>
  <c r="I1496" i="3" s="1"/>
  <c r="I1497" i="3" a="1"/>
  <c r="I1497" i="3" s="1"/>
  <c r="I1498" i="3" a="1"/>
  <c r="I1498" i="3" s="1"/>
  <c r="I1499" i="3" a="1"/>
  <c r="I1499" i="3" s="1"/>
  <c r="I1500" i="3" a="1"/>
  <c r="I1500" i="3" s="1"/>
  <c r="I1501" i="3" a="1"/>
  <c r="I1501" i="3" s="1"/>
  <c r="I1502" i="3" a="1"/>
  <c r="I1502" i="3" s="1"/>
  <c r="I1503" i="3" a="1"/>
  <c r="I1503" i="3" s="1"/>
  <c r="I1504" i="3" a="1"/>
  <c r="I1504" i="3" s="1"/>
  <c r="I1505" i="3" a="1"/>
  <c r="I1505" i="3" s="1"/>
  <c r="I1506" i="3" a="1"/>
  <c r="I1506" i="3" s="1"/>
  <c r="I1507" i="3" a="1"/>
  <c r="I1507" i="3" s="1"/>
  <c r="I1508" i="3" a="1"/>
  <c r="I1508" i="3" s="1"/>
  <c r="I1509" i="3" a="1"/>
  <c r="I1509" i="3" s="1"/>
  <c r="I1510" i="3" a="1"/>
  <c r="I1510" i="3" s="1"/>
  <c r="I1511" i="3" a="1"/>
  <c r="I1511" i="3" s="1"/>
  <c r="I1512" i="3" a="1"/>
  <c r="I1512" i="3" s="1"/>
  <c r="I1513" i="3" a="1"/>
  <c r="I1513" i="3" s="1"/>
  <c r="I1514" i="3" a="1"/>
  <c r="I1514" i="3" s="1"/>
  <c r="I1515" i="3" a="1"/>
  <c r="I1515" i="3" s="1"/>
  <c r="I1516" i="3" a="1"/>
  <c r="I1516" i="3" s="1"/>
  <c r="I1517" i="3" a="1"/>
  <c r="I1517" i="3" s="1"/>
  <c r="I1518" i="3" a="1"/>
  <c r="I1518" i="3" s="1"/>
  <c r="I1519" i="3" a="1"/>
  <c r="I1519" i="3" s="1"/>
  <c r="I1520" i="3" a="1"/>
  <c r="I1520" i="3" s="1"/>
  <c r="I1521" i="3" a="1"/>
  <c r="I1521" i="3" s="1"/>
  <c r="I1522" i="3" a="1"/>
  <c r="I1522" i="3" s="1"/>
  <c r="I1523" i="3" a="1"/>
  <c r="I1523" i="3" s="1"/>
  <c r="I1524" i="3" a="1"/>
  <c r="I1524" i="3" s="1"/>
  <c r="I1525" i="3" a="1"/>
  <c r="I1525" i="3" s="1"/>
  <c r="I1526" i="3" a="1"/>
  <c r="I1526" i="3" s="1"/>
  <c r="I1527" i="3" a="1"/>
  <c r="I1527" i="3" s="1"/>
  <c r="I1528" i="3" a="1"/>
  <c r="I1528" i="3" s="1"/>
  <c r="I1529" i="3" a="1"/>
  <c r="I1529" i="3" s="1"/>
  <c r="I1530" i="3" a="1"/>
  <c r="I1530" i="3" s="1"/>
  <c r="I1531" i="3" a="1"/>
  <c r="I1531" i="3" s="1"/>
  <c r="I1532" i="3" a="1"/>
  <c r="I1532" i="3" s="1"/>
  <c r="I1533" i="3" a="1"/>
  <c r="I1533" i="3" s="1"/>
  <c r="I1534" i="3" a="1"/>
  <c r="I1534" i="3" s="1"/>
  <c r="I1535" i="3" a="1"/>
  <c r="I1535" i="3" s="1"/>
  <c r="I1536" i="3" a="1"/>
  <c r="I1536" i="3" s="1"/>
  <c r="I1537" i="3" a="1"/>
  <c r="I1537" i="3" s="1"/>
  <c r="I1538" i="3" a="1"/>
  <c r="I1538" i="3" s="1"/>
  <c r="I1539" i="3" a="1"/>
  <c r="I1539" i="3" s="1"/>
  <c r="I1540" i="3" a="1"/>
  <c r="I1540" i="3" s="1"/>
  <c r="I1541" i="3" a="1"/>
  <c r="I1541" i="3" s="1"/>
  <c r="I1542" i="3" a="1"/>
  <c r="I1542" i="3" s="1"/>
  <c r="I1543" i="3" a="1"/>
  <c r="I1543" i="3" s="1"/>
  <c r="I1544" i="3" a="1"/>
  <c r="I1544" i="3" s="1"/>
  <c r="I1545" i="3" a="1"/>
  <c r="I1545" i="3" s="1"/>
  <c r="I1546" i="3" a="1"/>
  <c r="I1546" i="3" s="1"/>
  <c r="I1547" i="3" a="1"/>
  <c r="I1547" i="3" s="1"/>
  <c r="I1548" i="3" a="1"/>
  <c r="I1548" i="3" s="1"/>
  <c r="I1549" i="3" a="1"/>
  <c r="I1549" i="3" s="1"/>
  <c r="I1550" i="3" a="1"/>
  <c r="I1550" i="3" s="1"/>
  <c r="I1551" i="3" a="1"/>
  <c r="I1551" i="3" s="1"/>
  <c r="I1552" i="3" a="1"/>
  <c r="I1552" i="3" s="1"/>
  <c r="I1553" i="3" a="1"/>
  <c r="I1553" i="3" s="1"/>
  <c r="I1554" i="3" a="1"/>
  <c r="I1554" i="3" s="1"/>
  <c r="I1555" i="3" a="1"/>
  <c r="I1555" i="3" s="1"/>
  <c r="I1556" i="3" a="1"/>
  <c r="I1556" i="3" s="1"/>
  <c r="I1557" i="3" a="1"/>
  <c r="I1557" i="3" s="1"/>
  <c r="I1558" i="3" a="1"/>
  <c r="I1558" i="3" s="1"/>
  <c r="I1559" i="3" a="1"/>
  <c r="I1559" i="3" s="1"/>
  <c r="I1560" i="3" a="1"/>
  <c r="I1560" i="3" s="1"/>
  <c r="I1561" i="3" a="1"/>
  <c r="I1561" i="3" s="1"/>
  <c r="I1562" i="3" a="1"/>
  <c r="I1562" i="3" s="1"/>
  <c r="I1563" i="3" a="1"/>
  <c r="I1563" i="3" s="1"/>
  <c r="I1564" i="3" a="1"/>
  <c r="I1564" i="3" s="1"/>
  <c r="I1565" i="3" a="1"/>
  <c r="I1565" i="3" s="1"/>
  <c r="I1566" i="3" a="1"/>
  <c r="I1566" i="3" s="1"/>
  <c r="I1567" i="3" a="1"/>
  <c r="I1567" i="3" s="1"/>
  <c r="I1568" i="3" a="1"/>
  <c r="I1568" i="3" s="1"/>
  <c r="I1569" i="3" a="1"/>
  <c r="I1569" i="3" s="1"/>
  <c r="I1570" i="3" a="1"/>
  <c r="I1570" i="3" s="1"/>
  <c r="I1571" i="3" a="1"/>
  <c r="I1571" i="3" s="1"/>
  <c r="I1572" i="3" a="1"/>
  <c r="I1572" i="3" s="1"/>
  <c r="I1573" i="3" a="1"/>
  <c r="I1573" i="3" s="1"/>
  <c r="I1574" i="3" a="1"/>
  <c r="I1574" i="3" s="1"/>
  <c r="I1575" i="3" a="1"/>
  <c r="I1575" i="3" s="1"/>
  <c r="I1576" i="3" a="1"/>
  <c r="I1576" i="3" s="1"/>
  <c r="I1577" i="3" a="1"/>
  <c r="I1577" i="3" s="1"/>
  <c r="I1578" i="3" a="1"/>
  <c r="I1578" i="3" s="1"/>
  <c r="I1579" i="3" a="1"/>
  <c r="I1579" i="3" s="1"/>
  <c r="I1580" i="3" a="1"/>
  <c r="I1580" i="3" s="1"/>
  <c r="I1581" i="3" a="1"/>
  <c r="I1581" i="3" s="1"/>
  <c r="I1582" i="3" a="1"/>
  <c r="I1582" i="3" s="1"/>
  <c r="I1583" i="3" a="1"/>
  <c r="I1583" i="3" s="1"/>
  <c r="I1584" i="3" a="1"/>
  <c r="I1584" i="3" s="1"/>
  <c r="I1585" i="3" a="1"/>
  <c r="I1585" i="3" s="1"/>
  <c r="I1586" i="3" a="1"/>
  <c r="I1586" i="3" s="1"/>
  <c r="I1587" i="3" a="1"/>
  <c r="I1587" i="3" s="1"/>
  <c r="I1588" i="3" a="1"/>
  <c r="I1588" i="3" s="1"/>
  <c r="I1589" i="3" a="1"/>
  <c r="I1589" i="3" s="1"/>
  <c r="I1590" i="3" a="1"/>
  <c r="I1590" i="3" s="1"/>
  <c r="I1591" i="3" a="1"/>
  <c r="I1591" i="3" s="1"/>
  <c r="I1592" i="3" a="1"/>
  <c r="I1592" i="3" s="1"/>
  <c r="I1593" i="3" a="1"/>
  <c r="I1593" i="3" s="1"/>
  <c r="I1594" i="3" a="1"/>
  <c r="I1594" i="3" s="1"/>
  <c r="I1595" i="3" a="1"/>
  <c r="I1595" i="3" s="1"/>
  <c r="I1596" i="3" a="1"/>
  <c r="I1596" i="3" s="1"/>
  <c r="I1597" i="3" a="1"/>
  <c r="I1597" i="3" s="1"/>
  <c r="I1598" i="3" a="1"/>
  <c r="I1598" i="3" s="1"/>
  <c r="I1599" i="3" a="1"/>
  <c r="I1599" i="3" s="1"/>
  <c r="I1600" i="3" a="1"/>
  <c r="I1600" i="3" s="1"/>
  <c r="I1601" i="3" a="1"/>
  <c r="I1601" i="3" s="1"/>
  <c r="I1602" i="3" a="1"/>
  <c r="I1602" i="3" s="1"/>
  <c r="I1603" i="3" a="1"/>
  <c r="I1603" i="3" s="1"/>
  <c r="I1604" i="3" a="1"/>
  <c r="I1604" i="3" s="1"/>
  <c r="I1605" i="3" a="1"/>
  <c r="I1605" i="3" s="1"/>
  <c r="I1606" i="3" a="1"/>
  <c r="I1606" i="3" s="1"/>
  <c r="I1607" i="3" a="1"/>
  <c r="I1607" i="3" s="1"/>
  <c r="I1608" i="3" a="1"/>
  <c r="I1608" i="3" s="1"/>
  <c r="I1609" i="3" a="1"/>
  <c r="I1609" i="3" s="1"/>
  <c r="I1610" i="3" a="1"/>
  <c r="I1610" i="3" s="1"/>
  <c r="I1611" i="3" a="1"/>
  <c r="I1611" i="3" s="1"/>
  <c r="I1612" i="3" a="1"/>
  <c r="I1612" i="3" s="1"/>
  <c r="I1613" i="3" a="1"/>
  <c r="I1613" i="3" s="1"/>
  <c r="I1614" i="3" a="1"/>
  <c r="I1614" i="3" s="1"/>
  <c r="I1615" i="3" a="1"/>
  <c r="I1615" i="3" s="1"/>
  <c r="I1616" i="3" a="1"/>
  <c r="I1616" i="3" s="1"/>
  <c r="I1617" i="3" a="1"/>
  <c r="I1617" i="3" s="1"/>
  <c r="I1618" i="3" a="1"/>
  <c r="I1618" i="3" s="1"/>
  <c r="I1619" i="3" a="1"/>
  <c r="I1619" i="3" s="1"/>
  <c r="I1620" i="3" a="1"/>
  <c r="I1620" i="3" s="1"/>
  <c r="I1621" i="3" a="1"/>
  <c r="I1621" i="3" s="1"/>
  <c r="I1622" i="3" a="1"/>
  <c r="I1622" i="3" s="1"/>
  <c r="I1623" i="3" a="1"/>
  <c r="I1623" i="3" s="1"/>
  <c r="I1624" i="3" a="1"/>
  <c r="I1624" i="3" s="1"/>
  <c r="I1625" i="3" a="1"/>
  <c r="I1625" i="3" s="1"/>
  <c r="I1626" i="3" a="1"/>
  <c r="I1626" i="3" s="1"/>
  <c r="I1627" i="3" a="1"/>
  <c r="I1627" i="3" s="1"/>
  <c r="I1628" i="3" a="1"/>
  <c r="I1628" i="3" s="1"/>
  <c r="I1629" i="3" a="1"/>
  <c r="I1629" i="3" s="1"/>
  <c r="I1630" i="3" a="1"/>
  <c r="I1630" i="3" s="1"/>
  <c r="I1631" i="3" a="1"/>
  <c r="I1631" i="3" s="1"/>
  <c r="I1632" i="3" a="1"/>
  <c r="I1632" i="3" s="1"/>
  <c r="I1633" i="3" a="1"/>
  <c r="I1633" i="3" s="1"/>
  <c r="I1634" i="3" a="1"/>
  <c r="I1634" i="3" s="1"/>
  <c r="I1635" i="3" a="1"/>
  <c r="I1635" i="3" s="1"/>
  <c r="I1636" i="3" a="1"/>
  <c r="I1636" i="3" s="1"/>
  <c r="I1637" i="3" a="1"/>
  <c r="I1637" i="3" s="1"/>
  <c r="I1638" i="3" a="1"/>
  <c r="I1638" i="3" s="1"/>
  <c r="I1639" i="3" a="1"/>
  <c r="I1639" i="3" s="1"/>
  <c r="I1640" i="3" a="1"/>
  <c r="I1640" i="3" s="1"/>
  <c r="I1641" i="3" a="1"/>
  <c r="I1641" i="3" s="1"/>
  <c r="I1642" i="3" a="1"/>
  <c r="I1642" i="3" s="1"/>
  <c r="I1643" i="3" a="1"/>
  <c r="I1643" i="3" s="1"/>
  <c r="I1644" i="3" a="1"/>
  <c r="I1644" i="3" s="1"/>
  <c r="I1645" i="3" a="1"/>
  <c r="I1645" i="3" s="1"/>
  <c r="I1646" i="3" a="1"/>
  <c r="I1646" i="3" s="1"/>
  <c r="I1647" i="3" a="1"/>
  <c r="I1647" i="3" s="1"/>
  <c r="I1648" i="3" a="1"/>
  <c r="I1648" i="3" s="1"/>
  <c r="I1649" i="3" a="1"/>
  <c r="I1649" i="3" s="1"/>
  <c r="I1650" i="3" a="1"/>
  <c r="I1650" i="3" s="1"/>
  <c r="I1651" i="3" a="1"/>
  <c r="I1651" i="3" s="1"/>
  <c r="I1652" i="3" a="1"/>
  <c r="I1652" i="3" s="1"/>
  <c r="I1653" i="3" a="1"/>
  <c r="I1653" i="3" s="1"/>
  <c r="I1654" i="3" a="1"/>
  <c r="I1654" i="3" s="1"/>
  <c r="I1655" i="3" a="1"/>
  <c r="I1655" i="3" s="1"/>
  <c r="I1656" i="3" a="1"/>
  <c r="I1656" i="3" s="1"/>
  <c r="I1657" i="3" a="1"/>
  <c r="I1657" i="3" s="1"/>
  <c r="I1658" i="3" a="1"/>
  <c r="I1658" i="3" s="1"/>
  <c r="I1659" i="3" a="1"/>
  <c r="I1659" i="3" s="1"/>
  <c r="I1660" i="3" a="1"/>
  <c r="I1660" i="3" s="1"/>
  <c r="I1661" i="3" a="1"/>
  <c r="I1661" i="3" s="1"/>
  <c r="I1662" i="3" a="1"/>
  <c r="I1662" i="3" s="1"/>
  <c r="I1663" i="3" a="1"/>
  <c r="I1663" i="3" s="1"/>
  <c r="I1664" i="3" a="1"/>
  <c r="I1664" i="3" s="1"/>
  <c r="I1665" i="3" a="1"/>
  <c r="I1665" i="3" s="1"/>
  <c r="I1666" i="3" a="1"/>
  <c r="I1666" i="3" s="1"/>
  <c r="I1667" i="3" a="1"/>
  <c r="I1667" i="3" s="1"/>
  <c r="I1668" i="3" a="1"/>
  <c r="I1668" i="3" s="1"/>
  <c r="I1669" i="3" a="1"/>
  <c r="I1669" i="3" s="1"/>
  <c r="I1670" i="3" a="1"/>
  <c r="I1670" i="3" s="1"/>
  <c r="I1671" i="3" a="1"/>
  <c r="I1671" i="3" s="1"/>
  <c r="I1672" i="3" a="1"/>
  <c r="I1672" i="3" s="1"/>
  <c r="I1673" i="3" a="1"/>
  <c r="I1673" i="3" s="1"/>
  <c r="I1674" i="3" a="1"/>
  <c r="I1674" i="3" s="1"/>
  <c r="I1675" i="3" a="1"/>
  <c r="I1675" i="3" s="1"/>
  <c r="I1676" i="3" a="1"/>
  <c r="I1676" i="3" s="1"/>
  <c r="I1677" i="3" a="1"/>
  <c r="I1677" i="3" s="1"/>
  <c r="I1678" i="3" a="1"/>
  <c r="I1678" i="3" s="1"/>
  <c r="I1679" i="3" a="1"/>
  <c r="I1679" i="3" s="1"/>
  <c r="I1680" i="3" a="1"/>
  <c r="I1680" i="3" s="1"/>
  <c r="I1681" i="3" a="1"/>
  <c r="I1681" i="3" s="1"/>
  <c r="I1682" i="3" a="1"/>
  <c r="I1682" i="3" s="1"/>
  <c r="I1683" i="3" a="1"/>
  <c r="I1683" i="3" s="1"/>
  <c r="I1684" i="3" a="1"/>
  <c r="I1684" i="3" s="1"/>
  <c r="I1685" i="3" a="1"/>
  <c r="I1685" i="3" s="1"/>
  <c r="I1686" i="3" a="1"/>
  <c r="I1686" i="3" s="1"/>
  <c r="I1687" i="3" a="1"/>
  <c r="I1687" i="3" s="1"/>
  <c r="I1688" i="3" a="1"/>
  <c r="I1688" i="3" s="1"/>
  <c r="I1689" i="3" a="1"/>
  <c r="I1689" i="3" s="1"/>
  <c r="I1690" i="3" a="1"/>
  <c r="I1690" i="3" s="1"/>
  <c r="I1691" i="3" a="1"/>
  <c r="I1691" i="3" s="1"/>
  <c r="I1692" i="3" a="1"/>
  <c r="I1692" i="3" s="1"/>
  <c r="I1693" i="3" a="1"/>
  <c r="I1693" i="3" s="1"/>
  <c r="I1694" i="3" a="1"/>
  <c r="I1694" i="3" s="1"/>
  <c r="I1695" i="3" a="1"/>
  <c r="I1695" i="3" s="1"/>
  <c r="I1696" i="3" a="1"/>
  <c r="I1696" i="3" s="1"/>
  <c r="I1697" i="3" a="1"/>
  <c r="I1697" i="3" s="1"/>
  <c r="I1698" i="3" a="1"/>
  <c r="I1698" i="3" s="1"/>
  <c r="I1699" i="3" a="1"/>
  <c r="I1699" i="3" s="1"/>
  <c r="I1700" i="3" a="1"/>
  <c r="I1700" i="3" s="1"/>
  <c r="I1701" i="3" a="1"/>
  <c r="I1701" i="3" s="1"/>
  <c r="I1702" i="3" a="1"/>
  <c r="I1702" i="3" s="1"/>
  <c r="I1703" i="3" a="1"/>
  <c r="I1703" i="3" s="1"/>
  <c r="I1704" i="3" a="1"/>
  <c r="I1704" i="3" s="1"/>
  <c r="I1705" i="3" a="1"/>
  <c r="I1705" i="3" s="1"/>
  <c r="I1706" i="3" a="1"/>
  <c r="I1706" i="3" s="1"/>
  <c r="I1707" i="3" a="1"/>
  <c r="I1707" i="3" s="1"/>
  <c r="I1708" i="3" a="1"/>
  <c r="I1708" i="3" s="1"/>
  <c r="I1709" i="3" a="1"/>
  <c r="I1709" i="3" s="1"/>
  <c r="I1710" i="3" a="1"/>
  <c r="I1710" i="3" s="1"/>
  <c r="I1711" i="3" a="1"/>
  <c r="I1711" i="3" s="1"/>
  <c r="I1712" i="3" a="1"/>
  <c r="I1712" i="3" s="1"/>
  <c r="I1713" i="3" a="1"/>
  <c r="I1713" i="3" s="1"/>
  <c r="I1714" i="3" a="1"/>
  <c r="I1714" i="3" s="1"/>
  <c r="I1715" i="3" a="1"/>
  <c r="I1715" i="3" s="1"/>
  <c r="I1716" i="3" a="1"/>
  <c r="I1716" i="3" s="1"/>
  <c r="I1717" i="3" a="1"/>
  <c r="I1717" i="3" s="1"/>
  <c r="I1718" i="3" a="1"/>
  <c r="I1718" i="3" s="1"/>
  <c r="I1719" i="3" a="1"/>
  <c r="I1719" i="3" s="1"/>
  <c r="I1720" i="3" a="1"/>
  <c r="I1720" i="3" s="1"/>
  <c r="I1721" i="3" a="1"/>
  <c r="I1721" i="3" s="1"/>
  <c r="I1722" i="3" a="1"/>
  <c r="I1722" i="3" s="1"/>
  <c r="I1723" i="3" a="1"/>
  <c r="I1723" i="3" s="1"/>
  <c r="I1724" i="3" a="1"/>
  <c r="I1724" i="3" s="1"/>
  <c r="I1725" i="3" a="1"/>
  <c r="I1725" i="3" s="1"/>
  <c r="I1726" i="3" a="1"/>
  <c r="I1726" i="3" s="1"/>
  <c r="I1727" i="3" a="1"/>
  <c r="I1727" i="3" s="1"/>
  <c r="I1728" i="3" a="1"/>
  <c r="I1728" i="3" s="1"/>
  <c r="I1729" i="3" a="1"/>
  <c r="I1729" i="3" s="1"/>
  <c r="I1730" i="3" a="1"/>
  <c r="I1730" i="3" s="1"/>
  <c r="I1731" i="3" a="1"/>
  <c r="I1731" i="3" s="1"/>
  <c r="I1732" i="3" a="1"/>
  <c r="I1732" i="3" s="1"/>
  <c r="I1733" i="3" a="1"/>
  <c r="I1733" i="3" s="1"/>
  <c r="I1734" i="3" a="1"/>
  <c r="I1734" i="3" s="1"/>
  <c r="I1735" i="3" a="1"/>
  <c r="I1735" i="3" s="1"/>
  <c r="I1736" i="3" a="1"/>
  <c r="I1736" i="3" s="1"/>
  <c r="I1737" i="3" a="1"/>
  <c r="I1737" i="3" s="1"/>
  <c r="I1738" i="3" a="1"/>
  <c r="I1738" i="3" s="1"/>
  <c r="I1739" i="3" a="1"/>
  <c r="I1739" i="3" s="1"/>
  <c r="I1740" i="3" a="1"/>
  <c r="I1740" i="3" s="1"/>
  <c r="I1741" i="3" a="1"/>
  <c r="I1741" i="3" s="1"/>
  <c r="I1742" i="3" a="1"/>
  <c r="I1742" i="3" s="1"/>
  <c r="I1743" i="3" a="1"/>
  <c r="I1743" i="3" s="1"/>
  <c r="I1744" i="3" a="1"/>
  <c r="I1744" i="3" s="1"/>
  <c r="I1745" i="3" a="1"/>
  <c r="I1745" i="3" s="1"/>
  <c r="I1746" i="3" a="1"/>
  <c r="I1746" i="3" s="1"/>
  <c r="I1747" i="3" a="1"/>
  <c r="I1747" i="3" s="1"/>
  <c r="I1748" i="3" a="1"/>
  <c r="I1748" i="3" s="1"/>
  <c r="I1749" i="3" a="1"/>
  <c r="I1749" i="3" s="1"/>
  <c r="I1750" i="3" a="1"/>
  <c r="I1750" i="3" s="1"/>
  <c r="I1751" i="3" a="1"/>
  <c r="I1751" i="3" s="1"/>
  <c r="I1752" i="3" a="1"/>
  <c r="I1752" i="3" s="1"/>
  <c r="I1753" i="3" a="1"/>
  <c r="I1753" i="3" s="1"/>
  <c r="I1754" i="3" a="1"/>
  <c r="I1754" i="3" s="1"/>
  <c r="I1755" i="3" a="1"/>
  <c r="I1755" i="3" s="1"/>
  <c r="I1756" i="3" a="1"/>
  <c r="I1756" i="3" s="1"/>
  <c r="I1757" i="3" a="1"/>
  <c r="I1757" i="3" s="1"/>
  <c r="I1758" i="3" a="1"/>
  <c r="I1758" i="3" s="1"/>
  <c r="I1759" i="3" a="1"/>
  <c r="I1759" i="3" s="1"/>
  <c r="I1760" i="3" a="1"/>
  <c r="I1760" i="3" s="1"/>
  <c r="I1761" i="3" a="1"/>
  <c r="I1761" i="3" s="1"/>
  <c r="I1762" i="3" a="1"/>
  <c r="I1762" i="3" s="1"/>
  <c r="I1763" i="3" a="1"/>
  <c r="I1763" i="3" s="1"/>
  <c r="I1764" i="3" a="1"/>
  <c r="I1764" i="3" s="1"/>
  <c r="I1765" i="3" a="1"/>
  <c r="I1765" i="3" s="1"/>
  <c r="I1766" i="3" a="1"/>
  <c r="I1766" i="3" s="1"/>
  <c r="I1767" i="3" a="1"/>
  <c r="I1767" i="3" s="1"/>
  <c r="I1768" i="3" a="1"/>
  <c r="I1768" i="3" s="1"/>
  <c r="I1769" i="3" a="1"/>
  <c r="I1769" i="3" s="1"/>
  <c r="I1770" i="3" a="1"/>
  <c r="I1770" i="3" s="1"/>
  <c r="I1771" i="3" a="1"/>
  <c r="I1771" i="3" s="1"/>
  <c r="I1772" i="3" a="1"/>
  <c r="I1772" i="3" s="1"/>
  <c r="I1773" i="3" a="1"/>
  <c r="I1773" i="3" s="1"/>
  <c r="I1774" i="3" a="1"/>
  <c r="I1774" i="3" s="1"/>
  <c r="I1775" i="3" a="1"/>
  <c r="I1775" i="3" s="1"/>
  <c r="I1776" i="3" a="1"/>
  <c r="I1776" i="3" s="1"/>
  <c r="I1777" i="3" a="1"/>
  <c r="I1777" i="3" s="1"/>
  <c r="I1778" i="3" a="1"/>
  <c r="I1778" i="3" s="1"/>
  <c r="I1779" i="3" a="1"/>
  <c r="I1779" i="3" s="1"/>
  <c r="I1780" i="3" a="1"/>
  <c r="I1780" i="3" s="1"/>
  <c r="I1781" i="3" a="1"/>
  <c r="I1781" i="3" s="1"/>
  <c r="I1782" i="3" a="1"/>
  <c r="I1782" i="3" s="1"/>
  <c r="I1783" i="3" a="1"/>
  <c r="I1783" i="3" s="1"/>
  <c r="I1784" i="3" a="1"/>
  <c r="I1784" i="3" s="1"/>
  <c r="I1785" i="3" a="1"/>
  <c r="I1785" i="3" s="1"/>
  <c r="I1786" i="3" a="1"/>
  <c r="I1786" i="3" s="1"/>
  <c r="I1787" i="3" a="1"/>
  <c r="I1787" i="3" s="1"/>
  <c r="I1788" i="3" a="1"/>
  <c r="I1788" i="3" s="1"/>
  <c r="I1789" i="3" a="1"/>
  <c r="I1789" i="3" s="1"/>
  <c r="I1790" i="3" a="1"/>
  <c r="I1790" i="3" s="1"/>
  <c r="I1791" i="3" a="1"/>
  <c r="I1791" i="3" s="1"/>
  <c r="I1792" i="3" a="1"/>
  <c r="I1792" i="3" s="1"/>
  <c r="I1793" i="3" a="1"/>
  <c r="I1793" i="3" s="1"/>
  <c r="I1794" i="3" a="1"/>
  <c r="I1794" i="3" s="1"/>
  <c r="I1795" i="3" a="1"/>
  <c r="I1795" i="3" s="1"/>
  <c r="I1796" i="3" a="1"/>
  <c r="I1796" i="3" s="1"/>
  <c r="I1797" i="3" a="1"/>
  <c r="I1797" i="3" s="1"/>
  <c r="I1798" i="3" a="1"/>
  <c r="I1798" i="3" s="1"/>
  <c r="I1799" i="3" a="1"/>
  <c r="I1799" i="3" s="1"/>
  <c r="I1800" i="3" a="1"/>
  <c r="I1800" i="3" s="1"/>
  <c r="I1801" i="3" a="1"/>
  <c r="I1801" i="3" s="1"/>
  <c r="I1802" i="3" a="1"/>
  <c r="I1802" i="3" s="1"/>
  <c r="I1803" i="3" a="1"/>
  <c r="I1803" i="3" s="1"/>
  <c r="I1804" i="3" a="1"/>
  <c r="I1804" i="3" s="1"/>
  <c r="I1805" i="3" a="1"/>
  <c r="I1805" i="3" s="1"/>
  <c r="I1806" i="3" a="1"/>
  <c r="I1806" i="3" s="1"/>
  <c r="I1807" i="3" a="1"/>
  <c r="I1807" i="3" s="1"/>
  <c r="I1808" i="3" a="1"/>
  <c r="I1808" i="3" s="1"/>
  <c r="I1809" i="3" a="1"/>
  <c r="I1809" i="3" s="1"/>
  <c r="I1810" i="3" a="1"/>
  <c r="I1810" i="3" s="1"/>
  <c r="I1811" i="3" a="1"/>
  <c r="I1811" i="3" s="1"/>
  <c r="I1812" i="3" a="1"/>
  <c r="I1812" i="3" s="1"/>
  <c r="I1813" i="3" a="1"/>
  <c r="I1813" i="3" s="1"/>
  <c r="I1814" i="3" a="1"/>
  <c r="I1814" i="3" s="1"/>
  <c r="I1815" i="3" a="1"/>
  <c r="I1815" i="3" s="1"/>
  <c r="I1816" i="3" a="1"/>
  <c r="I1816" i="3" s="1"/>
  <c r="I1817" i="3" a="1"/>
  <c r="I1817" i="3" s="1"/>
  <c r="I1818" i="3" a="1"/>
  <c r="I1818" i="3" s="1"/>
  <c r="I1819" i="3" a="1"/>
  <c r="I1819" i="3" s="1"/>
  <c r="I1820" i="3" a="1"/>
  <c r="I1820" i="3" s="1"/>
  <c r="I1821" i="3" a="1"/>
  <c r="I1821" i="3" s="1"/>
  <c r="I1822" i="3" a="1"/>
  <c r="I1822" i="3" s="1"/>
  <c r="I1823" i="3" a="1"/>
  <c r="I1823" i="3" s="1"/>
  <c r="I1824" i="3" a="1"/>
  <c r="I1824" i="3" s="1"/>
  <c r="I1825" i="3" a="1"/>
  <c r="I1825" i="3" s="1"/>
  <c r="I1826" i="3" a="1"/>
  <c r="I1826" i="3" s="1"/>
  <c r="I1827" i="3" a="1"/>
  <c r="I1827" i="3" s="1"/>
  <c r="I1828" i="3" a="1"/>
  <c r="I1828" i="3" s="1"/>
  <c r="I1829" i="3" a="1"/>
  <c r="I1829" i="3" s="1"/>
  <c r="I1830" i="3" a="1"/>
  <c r="I1830" i="3" s="1"/>
  <c r="I1831" i="3" a="1"/>
  <c r="I1831" i="3" s="1"/>
  <c r="I1832" i="3" a="1"/>
  <c r="I1832" i="3" s="1"/>
  <c r="I1833" i="3" a="1"/>
  <c r="I1833" i="3" s="1"/>
  <c r="I1834" i="3" a="1"/>
  <c r="I1834" i="3" s="1"/>
  <c r="I1835" i="3" a="1"/>
  <c r="I1835" i="3" s="1"/>
  <c r="I1836" i="3" a="1"/>
  <c r="I1836" i="3" s="1"/>
  <c r="I1837" i="3" a="1"/>
  <c r="I1837" i="3" s="1"/>
  <c r="I1838" i="3" a="1"/>
  <c r="I1838" i="3" s="1"/>
  <c r="I1839" i="3" a="1"/>
  <c r="I1839" i="3" s="1"/>
  <c r="I1840" i="3" a="1"/>
  <c r="I1840" i="3" s="1"/>
  <c r="I1841" i="3" a="1"/>
  <c r="I1841" i="3" s="1"/>
  <c r="I1842" i="3" a="1"/>
  <c r="I1842" i="3" s="1"/>
  <c r="I1843" i="3" a="1"/>
  <c r="I1843" i="3" s="1"/>
  <c r="I1844" i="3" a="1"/>
  <c r="I1844" i="3" s="1"/>
  <c r="I1845" i="3" a="1"/>
  <c r="I1845" i="3" s="1"/>
  <c r="I1846" i="3" a="1"/>
  <c r="I1846" i="3" s="1"/>
  <c r="I1847" i="3" a="1"/>
  <c r="I1847" i="3" s="1"/>
  <c r="I1848" i="3" a="1"/>
  <c r="I1848" i="3" s="1"/>
  <c r="I1849" i="3" a="1"/>
  <c r="I1849" i="3" s="1"/>
  <c r="I1850" i="3" a="1"/>
  <c r="I1850" i="3" s="1"/>
  <c r="I1851" i="3" a="1"/>
  <c r="I1851" i="3" s="1"/>
  <c r="I1852" i="3" a="1"/>
  <c r="I1852" i="3" s="1"/>
  <c r="I1853" i="3" a="1"/>
  <c r="I1853" i="3" s="1"/>
  <c r="I1854" i="3" a="1"/>
  <c r="I1854" i="3" s="1"/>
  <c r="I1855" i="3" a="1"/>
  <c r="I1855" i="3" s="1"/>
  <c r="I1856" i="3" a="1"/>
  <c r="I1856" i="3" s="1"/>
  <c r="I1857" i="3" a="1"/>
  <c r="I1857" i="3" s="1"/>
  <c r="I1858" i="3" a="1"/>
  <c r="I1858" i="3" s="1"/>
  <c r="I1859" i="3" a="1"/>
  <c r="I1859" i="3" s="1"/>
  <c r="I1860" i="3" a="1"/>
  <c r="I1860" i="3" s="1"/>
  <c r="I1861" i="3" a="1"/>
  <c r="I1861" i="3" s="1"/>
  <c r="I1862" i="3" a="1"/>
  <c r="I1862" i="3" s="1"/>
  <c r="I1863" i="3" a="1"/>
  <c r="I1863" i="3" s="1"/>
  <c r="I1864" i="3" a="1"/>
  <c r="I1864" i="3" s="1"/>
  <c r="I1865" i="3" a="1"/>
  <c r="I1865" i="3" s="1"/>
  <c r="I1866" i="3" a="1"/>
  <c r="I1866" i="3" s="1"/>
  <c r="I1867" i="3" a="1"/>
  <c r="I1867" i="3" s="1"/>
  <c r="I1868" i="3" a="1"/>
  <c r="I1868" i="3" s="1"/>
  <c r="I1869" i="3" a="1"/>
  <c r="I1869" i="3" s="1"/>
  <c r="I1870" i="3" a="1"/>
  <c r="I1870" i="3" s="1"/>
  <c r="I1871" i="3" a="1"/>
  <c r="I1871" i="3" s="1"/>
  <c r="I1872" i="3" a="1"/>
  <c r="I1872" i="3" s="1"/>
  <c r="I1873" i="3" a="1"/>
  <c r="I1873" i="3" s="1"/>
  <c r="I1874" i="3" a="1"/>
  <c r="I1874" i="3" s="1"/>
  <c r="I1875" i="3" a="1"/>
  <c r="I1875" i="3" s="1"/>
  <c r="I1876" i="3" a="1"/>
  <c r="I1876" i="3" s="1"/>
  <c r="I1877" i="3" a="1"/>
  <c r="I1877" i="3" s="1"/>
  <c r="I1878" i="3" a="1"/>
  <c r="I1878" i="3" s="1"/>
  <c r="I1879" i="3" a="1"/>
  <c r="I1879" i="3" s="1"/>
  <c r="I1880" i="3" a="1"/>
  <c r="I1880" i="3" s="1"/>
  <c r="I1881" i="3" a="1"/>
  <c r="I1881" i="3" s="1"/>
  <c r="I1882" i="3" a="1"/>
  <c r="I1882" i="3" s="1"/>
  <c r="I1883" i="3" a="1"/>
  <c r="I1883" i="3" s="1"/>
  <c r="I1884" i="3" a="1"/>
  <c r="I1884" i="3" s="1"/>
  <c r="I1885" i="3" a="1"/>
  <c r="I1885" i="3" s="1"/>
  <c r="I1886" i="3" a="1"/>
  <c r="I1886" i="3" s="1"/>
  <c r="I1887" i="3" a="1"/>
  <c r="I1887" i="3" s="1"/>
  <c r="I1888" i="3" a="1"/>
  <c r="I1888" i="3" s="1"/>
  <c r="I1889" i="3" a="1"/>
  <c r="I1889" i="3" s="1"/>
  <c r="I1890" i="3" a="1"/>
  <c r="I1890" i="3" s="1"/>
  <c r="I1891" i="3" a="1"/>
  <c r="I1891" i="3" s="1"/>
  <c r="I1892" i="3" a="1"/>
  <c r="I1892" i="3" s="1"/>
  <c r="I1893" i="3" a="1"/>
  <c r="I1893" i="3" s="1"/>
  <c r="I1894" i="3" a="1"/>
  <c r="I1894" i="3" s="1"/>
  <c r="I1895" i="3" a="1"/>
  <c r="I1895" i="3" s="1"/>
  <c r="I1896" i="3" a="1"/>
  <c r="I1896" i="3" s="1"/>
  <c r="I1897" i="3" a="1"/>
  <c r="I1897" i="3" s="1"/>
  <c r="I1898" i="3" a="1"/>
  <c r="I1898" i="3" s="1"/>
  <c r="I1899" i="3" a="1"/>
  <c r="I1899" i="3" s="1"/>
  <c r="I1900" i="3" a="1"/>
  <c r="I1900" i="3" s="1"/>
  <c r="I1901" i="3" a="1"/>
  <c r="I1901" i="3" s="1"/>
  <c r="I1902" i="3" a="1"/>
  <c r="I1902" i="3" s="1"/>
  <c r="I1903" i="3" a="1"/>
  <c r="I1903" i="3" s="1"/>
  <c r="I1904" i="3" a="1"/>
  <c r="I1904" i="3" s="1"/>
  <c r="I1905" i="3" a="1"/>
  <c r="I1905" i="3" s="1"/>
  <c r="I1906" i="3" a="1"/>
  <c r="I1906" i="3" s="1"/>
  <c r="I1907" i="3" a="1"/>
  <c r="I1907" i="3" s="1"/>
  <c r="I1908" i="3" a="1"/>
  <c r="I1908" i="3" s="1"/>
  <c r="I1909" i="3" a="1"/>
  <c r="I1909" i="3" s="1"/>
  <c r="I1910" i="3" a="1"/>
  <c r="I1910" i="3" s="1"/>
  <c r="I1911" i="3" a="1"/>
  <c r="I1911" i="3" s="1"/>
  <c r="I1912" i="3" a="1"/>
  <c r="I1912" i="3" s="1"/>
  <c r="I1913" i="3" a="1"/>
  <c r="I1913" i="3" s="1"/>
  <c r="I1914" i="3" a="1"/>
  <c r="I1914" i="3" s="1"/>
  <c r="I1915" i="3" a="1"/>
  <c r="I1915" i="3" s="1"/>
  <c r="I1916" i="3" a="1"/>
  <c r="I1916" i="3" s="1"/>
  <c r="I1917" i="3" a="1"/>
  <c r="I1917" i="3" s="1"/>
  <c r="I1918" i="3" a="1"/>
  <c r="I1918" i="3" s="1"/>
  <c r="I1919" i="3" a="1"/>
  <c r="I1919" i="3" s="1"/>
  <c r="I1920" i="3" a="1"/>
  <c r="I1920" i="3" s="1"/>
  <c r="I1921" i="3" a="1"/>
  <c r="I1921" i="3" s="1"/>
  <c r="I1922" i="3" a="1"/>
  <c r="I1922" i="3" s="1"/>
  <c r="I1923" i="3" a="1"/>
  <c r="I1923" i="3" s="1"/>
  <c r="I1924" i="3" a="1"/>
  <c r="I1924" i="3" s="1"/>
  <c r="I1925" i="3" a="1"/>
  <c r="I1925" i="3" s="1"/>
  <c r="I1926" i="3" a="1"/>
  <c r="I1926" i="3" s="1"/>
  <c r="I1927" i="3" a="1"/>
  <c r="I1927" i="3" s="1"/>
  <c r="I1928" i="3" a="1"/>
  <c r="I1928" i="3" s="1"/>
  <c r="I1929" i="3" a="1"/>
  <c r="I1929" i="3" s="1"/>
  <c r="I1930" i="3" a="1"/>
  <c r="I1930" i="3" s="1"/>
  <c r="I1931" i="3" a="1"/>
  <c r="I1931" i="3" s="1"/>
  <c r="I1932" i="3" a="1"/>
  <c r="I1932" i="3" s="1"/>
  <c r="I1933" i="3" a="1"/>
  <c r="I1933" i="3" s="1"/>
  <c r="I1934" i="3" a="1"/>
  <c r="I1934" i="3" s="1"/>
  <c r="I1935" i="3" a="1"/>
  <c r="I1935" i="3" s="1"/>
  <c r="I1936" i="3" a="1"/>
  <c r="I1936" i="3" s="1"/>
  <c r="I1937" i="3" a="1"/>
  <c r="I1937" i="3" s="1"/>
  <c r="I1938" i="3" a="1"/>
  <c r="I1938" i="3" s="1"/>
  <c r="I1939" i="3" a="1"/>
  <c r="I1939" i="3" s="1"/>
  <c r="I1940" i="3" a="1"/>
  <c r="I1940" i="3" s="1"/>
  <c r="I1941" i="3" a="1"/>
  <c r="I1941" i="3" s="1"/>
  <c r="I1942" i="3" a="1"/>
  <c r="I1942" i="3" s="1"/>
  <c r="I1943" i="3" a="1"/>
  <c r="I1943" i="3" s="1"/>
  <c r="I1944" i="3" a="1"/>
  <c r="I1944" i="3" s="1"/>
  <c r="I1945" i="3" a="1"/>
  <c r="I1945" i="3" s="1"/>
  <c r="I1946" i="3" a="1"/>
  <c r="I1946" i="3" s="1"/>
  <c r="I1947" i="3" a="1"/>
  <c r="I1947" i="3" s="1"/>
  <c r="I1948" i="3" a="1"/>
  <c r="I1948" i="3" s="1"/>
  <c r="I1949" i="3" a="1"/>
  <c r="I1949" i="3" s="1"/>
  <c r="I1950" i="3" a="1"/>
  <c r="I1950" i="3" s="1"/>
  <c r="I1951" i="3" a="1"/>
  <c r="I1951" i="3" s="1"/>
  <c r="I1952" i="3" a="1"/>
  <c r="I1952" i="3" s="1"/>
  <c r="I1953" i="3" a="1"/>
  <c r="I1953" i="3" s="1"/>
  <c r="I1954" i="3" a="1"/>
  <c r="I1954" i="3" s="1"/>
  <c r="I1955" i="3" a="1"/>
  <c r="I1955" i="3" s="1"/>
  <c r="I1956" i="3" a="1"/>
  <c r="I1956" i="3" s="1"/>
  <c r="I1957" i="3" a="1"/>
  <c r="I1957" i="3" s="1"/>
  <c r="I1958" i="3" a="1"/>
  <c r="I1958" i="3" s="1"/>
  <c r="I1959" i="3" a="1"/>
  <c r="I1959" i="3" s="1"/>
  <c r="I1960" i="3" a="1"/>
  <c r="I1960" i="3" s="1"/>
  <c r="I1961" i="3" a="1"/>
  <c r="I1961" i="3" s="1"/>
  <c r="I1962" i="3" a="1"/>
  <c r="I1962" i="3" s="1"/>
  <c r="I1963" i="3" a="1"/>
  <c r="I1963" i="3" s="1"/>
  <c r="I1964" i="3" a="1"/>
  <c r="I1964" i="3" s="1"/>
  <c r="I1965" i="3" a="1"/>
  <c r="I1965" i="3" s="1"/>
  <c r="I1966" i="3" a="1"/>
  <c r="I1966" i="3" s="1"/>
  <c r="I1967" i="3" a="1"/>
  <c r="I1967" i="3" s="1"/>
  <c r="I1968" i="3" a="1"/>
  <c r="I1968" i="3" s="1"/>
  <c r="I1969" i="3" a="1"/>
  <c r="I1969" i="3" s="1"/>
  <c r="I1970" i="3" a="1"/>
  <c r="I1970" i="3" s="1"/>
  <c r="I1971" i="3" a="1"/>
  <c r="I1971" i="3" s="1"/>
  <c r="I1972" i="3" a="1"/>
  <c r="I1972" i="3" s="1"/>
  <c r="I1973" i="3" a="1"/>
  <c r="I1973" i="3" s="1"/>
  <c r="I1974" i="3" a="1"/>
  <c r="I1974" i="3" s="1"/>
  <c r="I1975" i="3" a="1"/>
  <c r="I1975" i="3" s="1"/>
  <c r="I1976" i="3" a="1"/>
  <c r="I1976" i="3" s="1"/>
  <c r="I1977" i="3" a="1"/>
  <c r="I1977" i="3" s="1"/>
  <c r="I1978" i="3" a="1"/>
  <c r="I1978" i="3" s="1"/>
  <c r="I1979" i="3" a="1"/>
  <c r="I1979" i="3" s="1"/>
  <c r="I1980" i="3" a="1"/>
  <c r="I1980" i="3" s="1"/>
  <c r="I1981" i="3" a="1"/>
  <c r="I1981" i="3" s="1"/>
  <c r="I1982" i="3" a="1"/>
  <c r="I1982" i="3" s="1"/>
  <c r="I1983" i="3" a="1"/>
  <c r="I1983" i="3" s="1"/>
  <c r="I1984" i="3" a="1"/>
  <c r="I1984" i="3" s="1"/>
  <c r="I1985" i="3" a="1"/>
  <c r="I1985" i="3" s="1"/>
  <c r="I1986" i="3" a="1"/>
  <c r="I1986" i="3" s="1"/>
  <c r="I1987" i="3" a="1"/>
  <c r="I1987" i="3" s="1"/>
  <c r="I1988" i="3" a="1"/>
  <c r="I1988" i="3" s="1"/>
  <c r="I1989" i="3" a="1"/>
  <c r="I1989" i="3" s="1"/>
  <c r="I1990" i="3" a="1"/>
  <c r="I1990" i="3" s="1"/>
  <c r="I1991" i="3" a="1"/>
  <c r="I1991" i="3" s="1"/>
  <c r="I1992" i="3" a="1"/>
  <c r="I1992" i="3" s="1"/>
  <c r="I1993" i="3" a="1"/>
  <c r="I1993" i="3" s="1"/>
  <c r="I1994" i="3" a="1"/>
  <c r="I1994" i="3" s="1"/>
  <c r="I1995" i="3" a="1"/>
  <c r="I1995" i="3" s="1"/>
  <c r="I1996" i="3" a="1"/>
  <c r="I1996" i="3" s="1"/>
  <c r="I1997" i="3" a="1"/>
  <c r="I1997" i="3" s="1"/>
  <c r="I1998" i="3" a="1"/>
  <c r="I1998" i="3" s="1"/>
  <c r="I1999" i="3" a="1"/>
  <c r="I1999" i="3" s="1"/>
  <c r="I2000" i="3" a="1"/>
  <c r="I2000" i="3" s="1"/>
  <c r="I2001" i="3" a="1"/>
  <c r="I2001" i="3" s="1"/>
  <c r="I2002" i="3" a="1"/>
  <c r="I2002" i="3" s="1"/>
  <c r="I2003" i="3" a="1"/>
  <c r="I2003" i="3" s="1"/>
  <c r="I2004" i="3" a="1"/>
  <c r="I2004" i="3" s="1"/>
  <c r="I2005" i="3" a="1"/>
  <c r="I2005" i="3" s="1"/>
  <c r="I2006" i="3" a="1"/>
  <c r="I2006" i="3" s="1"/>
  <c r="I2007" i="3" a="1"/>
  <c r="I2007" i="3" s="1"/>
  <c r="I2008" i="3" a="1"/>
  <c r="I2008" i="3" s="1"/>
  <c r="I2009" i="3" a="1"/>
  <c r="I2009" i="3" s="1"/>
  <c r="I2010" i="3" a="1"/>
  <c r="I2010" i="3" s="1"/>
  <c r="I2011" i="3" a="1"/>
  <c r="I2011" i="3" s="1"/>
  <c r="I2012" i="3" a="1"/>
  <c r="I2012" i="3" s="1"/>
  <c r="I2013" i="3" a="1"/>
  <c r="I2013" i="3" s="1"/>
  <c r="I2014" i="3" a="1"/>
  <c r="I2014" i="3" s="1"/>
  <c r="I2015" i="3" a="1"/>
  <c r="I2015" i="3" s="1"/>
  <c r="I2016" i="3" a="1"/>
  <c r="I2016" i="3" s="1"/>
  <c r="I2017" i="3" a="1"/>
  <c r="I2017" i="3" s="1"/>
  <c r="I2018" i="3" a="1"/>
  <c r="I2018" i="3" s="1"/>
  <c r="I2019" i="3" a="1"/>
  <c r="I2019" i="3" s="1"/>
  <c r="I2020" i="3" a="1"/>
  <c r="I2020" i="3" s="1"/>
  <c r="I2021" i="3" a="1"/>
  <c r="I2021" i="3" s="1"/>
  <c r="I2022" i="3" a="1"/>
  <c r="I2022" i="3" s="1"/>
  <c r="I2023" i="3" a="1"/>
  <c r="I2023" i="3" s="1"/>
  <c r="I2024" i="3" a="1"/>
  <c r="I2024" i="3" s="1"/>
  <c r="I2025" i="3" a="1"/>
  <c r="I2025" i="3" s="1"/>
  <c r="I2026" i="3" a="1"/>
  <c r="I2026" i="3" s="1"/>
  <c r="I2027" i="3" a="1"/>
  <c r="I2027" i="3" s="1"/>
  <c r="I2028" i="3" a="1"/>
  <c r="I2028" i="3" s="1"/>
  <c r="I2029" i="3" a="1"/>
  <c r="I2029" i="3" s="1"/>
  <c r="I2030" i="3" a="1"/>
  <c r="I2030" i="3" s="1"/>
  <c r="I2031" i="3" a="1"/>
  <c r="I2031" i="3" s="1"/>
  <c r="I2032" i="3" a="1"/>
  <c r="I2032" i="3" s="1"/>
  <c r="I2033" i="3" a="1"/>
  <c r="I2033" i="3" s="1"/>
  <c r="I2034" i="3" a="1"/>
  <c r="I2034" i="3" s="1"/>
  <c r="I2035" i="3" a="1"/>
  <c r="I2035" i="3" s="1"/>
  <c r="I2036" i="3" a="1"/>
  <c r="I2036" i="3" s="1"/>
  <c r="I2037" i="3" a="1"/>
  <c r="I2037" i="3" s="1"/>
  <c r="I2038" i="3" a="1"/>
  <c r="I2038" i="3" s="1"/>
  <c r="I2039" i="3" a="1"/>
  <c r="I2039" i="3" s="1"/>
  <c r="I2040" i="3" a="1"/>
  <c r="I2040" i="3" s="1"/>
  <c r="I2041" i="3" a="1"/>
  <c r="I2041" i="3" s="1"/>
  <c r="I2042" i="3" a="1"/>
  <c r="I2042" i="3" s="1"/>
  <c r="I2043" i="3" a="1"/>
  <c r="I2043" i="3" s="1"/>
  <c r="I2044" i="3" a="1"/>
  <c r="I2044" i="3" s="1"/>
  <c r="I2045" i="3" a="1"/>
  <c r="I2045" i="3" s="1"/>
  <c r="I2046" i="3" a="1"/>
  <c r="I2046" i="3" s="1"/>
  <c r="I2047" i="3" a="1"/>
  <c r="I2047" i="3" s="1"/>
  <c r="I2048" i="3" a="1"/>
  <c r="I2048" i="3" s="1"/>
  <c r="I2049" i="3" a="1"/>
  <c r="I2049" i="3" s="1"/>
  <c r="I2050" i="3" a="1"/>
  <c r="I2050" i="3" s="1"/>
  <c r="I2051" i="3" a="1"/>
  <c r="I2051" i="3" s="1"/>
  <c r="I2052" i="3" a="1"/>
  <c r="I2052" i="3" s="1"/>
  <c r="I2053" i="3" a="1"/>
  <c r="I2053" i="3" s="1"/>
  <c r="I2054" i="3" a="1"/>
  <c r="I2054" i="3" s="1"/>
  <c r="I2055" i="3" a="1"/>
  <c r="I2055" i="3" s="1"/>
  <c r="I2056" i="3" a="1"/>
  <c r="I2056" i="3" s="1"/>
  <c r="I2057" i="3" a="1"/>
  <c r="I2057" i="3" s="1"/>
  <c r="I2058" i="3" a="1"/>
  <c r="I2058" i="3" s="1"/>
  <c r="I2059" i="3" a="1"/>
  <c r="I2059" i="3" s="1"/>
  <c r="I2060" i="3" a="1"/>
  <c r="I2060" i="3" s="1"/>
  <c r="I2061" i="3" a="1"/>
  <c r="I2061" i="3" s="1"/>
  <c r="I2062" i="3" a="1"/>
  <c r="I2062" i="3" s="1"/>
  <c r="I2063" i="3" a="1"/>
  <c r="I2063" i="3" s="1"/>
  <c r="I2064" i="3" a="1"/>
  <c r="I2064" i="3" s="1"/>
  <c r="I2065" i="3" a="1"/>
  <c r="I2065" i="3" s="1"/>
  <c r="I2066" i="3" a="1"/>
  <c r="I2066" i="3" s="1"/>
  <c r="I2067" i="3" a="1"/>
  <c r="I2067" i="3" s="1"/>
  <c r="I2068" i="3" a="1"/>
  <c r="I2068" i="3" s="1"/>
  <c r="I2069" i="3" a="1"/>
  <c r="I2069" i="3" s="1"/>
  <c r="I2070" i="3" a="1"/>
  <c r="I2070" i="3" s="1"/>
  <c r="I2071" i="3" a="1"/>
  <c r="I2071" i="3" s="1"/>
  <c r="I2072" i="3" a="1"/>
  <c r="I2072" i="3" s="1"/>
  <c r="I2073" i="3" a="1"/>
  <c r="I2073" i="3" s="1"/>
  <c r="I2074" i="3" a="1"/>
  <c r="I2074" i="3" s="1"/>
  <c r="I2075" i="3" a="1"/>
  <c r="I2075" i="3" s="1"/>
  <c r="I2076" i="3" a="1"/>
  <c r="I2076" i="3" s="1"/>
  <c r="I2077" i="3" a="1"/>
  <c r="I2077" i="3" s="1"/>
  <c r="I2078" i="3" a="1"/>
  <c r="I2078" i="3" s="1"/>
  <c r="I2079" i="3" a="1"/>
  <c r="I2079" i="3" s="1"/>
  <c r="I2080" i="3" a="1"/>
  <c r="I2080" i="3" s="1"/>
  <c r="I2081" i="3" a="1"/>
  <c r="I2081" i="3" s="1"/>
  <c r="I2082" i="3" a="1"/>
  <c r="I2082" i="3" s="1"/>
  <c r="I2083" i="3" a="1"/>
  <c r="I2083" i="3" s="1"/>
  <c r="I2084" i="3" a="1"/>
  <c r="I2084" i="3" s="1"/>
  <c r="I2085" i="3" a="1"/>
  <c r="I2085" i="3" s="1"/>
  <c r="I2086" i="3" a="1"/>
  <c r="I2086" i="3" s="1"/>
  <c r="I2087" i="3" a="1"/>
  <c r="I2087" i="3" s="1"/>
  <c r="I2088" i="3" a="1"/>
  <c r="I2088" i="3" s="1"/>
  <c r="I2089" i="3" a="1"/>
  <c r="I2089" i="3" s="1"/>
  <c r="I2090" i="3" a="1"/>
  <c r="I2090" i="3" s="1"/>
  <c r="I2091" i="3" a="1"/>
  <c r="I2091" i="3" s="1"/>
  <c r="I2092" i="3" a="1"/>
  <c r="I2092" i="3" s="1"/>
  <c r="I2093" i="3" a="1"/>
  <c r="I2093" i="3" s="1"/>
  <c r="I2094" i="3" a="1"/>
  <c r="I2094" i="3" s="1"/>
  <c r="I2095" i="3" a="1"/>
  <c r="I2095" i="3" s="1"/>
  <c r="I2096" i="3" a="1"/>
  <c r="I2096" i="3" s="1"/>
  <c r="I2097" i="3" a="1"/>
  <c r="I2097" i="3" s="1"/>
  <c r="I2098" i="3" a="1"/>
  <c r="I2098" i="3" s="1"/>
  <c r="I2099" i="3" a="1"/>
  <c r="I2099" i="3" s="1"/>
  <c r="I2100" i="3" a="1"/>
  <c r="I2100" i="3" s="1"/>
  <c r="I2101" i="3" a="1"/>
  <c r="I2101" i="3" s="1"/>
  <c r="I2102" i="3" a="1"/>
  <c r="I2102" i="3" s="1"/>
  <c r="I2103" i="3" a="1"/>
  <c r="I2103" i="3" s="1"/>
  <c r="I2104" i="3" a="1"/>
  <c r="I2104" i="3" s="1"/>
  <c r="I2105" i="3" a="1"/>
  <c r="I2105" i="3" s="1"/>
  <c r="I2106" i="3" a="1"/>
  <c r="I2106" i="3" s="1"/>
  <c r="I2107" i="3" a="1"/>
  <c r="I2107" i="3" s="1"/>
  <c r="I2108" i="3" a="1"/>
  <c r="I2108" i="3" s="1"/>
  <c r="I2109" i="3" a="1"/>
  <c r="I2109" i="3" s="1"/>
  <c r="I2110" i="3" a="1"/>
  <c r="I2110" i="3" s="1"/>
  <c r="I2111" i="3" a="1"/>
  <c r="I2111" i="3" s="1"/>
  <c r="I2112" i="3" a="1"/>
  <c r="I2112" i="3" s="1"/>
  <c r="I2113" i="3" a="1"/>
  <c r="I2113" i="3" s="1"/>
  <c r="I2114" i="3" a="1"/>
  <c r="I2114" i="3" s="1"/>
  <c r="I2115" i="3" a="1"/>
  <c r="I2115" i="3" s="1"/>
  <c r="I2116" i="3" a="1"/>
  <c r="I2116" i="3" s="1"/>
  <c r="I2117" i="3" a="1"/>
  <c r="I2117" i="3" s="1"/>
  <c r="I2118" i="3" a="1"/>
  <c r="I2118" i="3" s="1"/>
  <c r="I2119" i="3" a="1"/>
  <c r="I2119" i="3" s="1"/>
  <c r="I2120" i="3" a="1"/>
  <c r="I2120" i="3" s="1"/>
  <c r="I2121" i="3" a="1"/>
  <c r="I2121" i="3" s="1"/>
  <c r="I2122" i="3" a="1"/>
  <c r="I2122" i="3" s="1"/>
  <c r="I2123" i="3" a="1"/>
  <c r="I2123" i="3" s="1"/>
  <c r="I2124" i="3" a="1"/>
  <c r="I2124" i="3" s="1"/>
  <c r="I2125" i="3" a="1"/>
  <c r="I2125" i="3" s="1"/>
  <c r="I2126" i="3" a="1"/>
  <c r="I2126" i="3" s="1"/>
  <c r="I2127" i="3" a="1"/>
  <c r="I2127" i="3" s="1"/>
  <c r="I2128" i="3" a="1"/>
  <c r="I2128" i="3" s="1"/>
  <c r="I2129" i="3" a="1"/>
  <c r="I2129" i="3" s="1"/>
  <c r="I2130" i="3" a="1"/>
  <c r="I2130" i="3" s="1"/>
  <c r="I2131" i="3" a="1"/>
  <c r="I2131" i="3" s="1"/>
  <c r="I2132" i="3" a="1"/>
  <c r="I2132" i="3" s="1"/>
  <c r="I2133" i="3" a="1"/>
  <c r="I2133" i="3" s="1"/>
  <c r="I2134" i="3" a="1"/>
  <c r="I2134" i="3" s="1"/>
  <c r="I2135" i="3" a="1"/>
  <c r="I2135" i="3" s="1"/>
  <c r="I2136" i="3" a="1"/>
  <c r="I2136" i="3" s="1"/>
  <c r="I2137" i="3" a="1"/>
  <c r="I2137" i="3" s="1"/>
  <c r="I2138" i="3" a="1"/>
  <c r="I2138" i="3" s="1"/>
  <c r="I2139" i="3" a="1"/>
  <c r="I2139" i="3" s="1"/>
  <c r="I2140" i="3" a="1"/>
  <c r="I2140" i="3" s="1"/>
  <c r="I2141" i="3" a="1"/>
  <c r="I2141" i="3" s="1"/>
  <c r="I2142" i="3" a="1"/>
  <c r="I2142" i="3" s="1"/>
  <c r="I2143" i="3" a="1"/>
  <c r="I2143" i="3" s="1"/>
  <c r="I2144" i="3" a="1"/>
  <c r="I2144" i="3" s="1"/>
  <c r="I2145" i="3" a="1"/>
  <c r="I2145" i="3" s="1"/>
  <c r="I2146" i="3" a="1"/>
  <c r="I2146" i="3" s="1"/>
  <c r="I2147" i="3" a="1"/>
  <c r="I2147" i="3" s="1"/>
  <c r="I2148" i="3" a="1"/>
  <c r="I2148" i="3" s="1"/>
  <c r="I2149" i="3" a="1"/>
  <c r="I2149" i="3" s="1"/>
  <c r="I2150" i="3" a="1"/>
  <c r="I2150" i="3" s="1"/>
  <c r="I2151" i="3" a="1"/>
  <c r="I2151" i="3" s="1"/>
  <c r="I2152" i="3" a="1"/>
  <c r="I2152" i="3" s="1"/>
  <c r="I2153" i="3" a="1"/>
  <c r="I2153" i="3" s="1"/>
  <c r="I2154" i="3" a="1"/>
  <c r="I2154" i="3" s="1"/>
  <c r="I2155" i="3" a="1"/>
  <c r="I2155" i="3" s="1"/>
  <c r="I2156" i="3" a="1"/>
  <c r="I2156" i="3" s="1"/>
  <c r="I2157" i="3" a="1"/>
  <c r="I2157" i="3" s="1"/>
  <c r="I2158" i="3" a="1"/>
  <c r="I2158" i="3" s="1"/>
  <c r="I2159" i="3" a="1"/>
  <c r="I2159" i="3" s="1"/>
  <c r="I2160" i="3" a="1"/>
  <c r="I2160" i="3" s="1"/>
  <c r="I2161" i="3" a="1"/>
  <c r="I2161" i="3" s="1"/>
  <c r="I2162" i="3" a="1"/>
  <c r="I2162" i="3" s="1"/>
  <c r="I2163" i="3" a="1"/>
  <c r="I2163" i="3" s="1"/>
  <c r="I2164" i="3" a="1"/>
  <c r="I2164" i="3" s="1"/>
  <c r="I2165" i="3" a="1"/>
  <c r="I2165" i="3" s="1"/>
  <c r="I2166" i="3" a="1"/>
  <c r="I2166" i="3" s="1"/>
  <c r="I2167" i="3" a="1"/>
  <c r="I2167" i="3" s="1"/>
  <c r="I2168" i="3" a="1"/>
  <c r="I2168" i="3" s="1"/>
  <c r="I2169" i="3" a="1"/>
  <c r="I2169" i="3" s="1"/>
  <c r="I2170" i="3" a="1"/>
  <c r="I2170" i="3" s="1"/>
  <c r="I2171" i="3" a="1"/>
  <c r="I2171" i="3" s="1"/>
  <c r="I2172" i="3" a="1"/>
  <c r="I2172" i="3" s="1"/>
  <c r="I2173" i="3" a="1"/>
  <c r="I2173" i="3" s="1"/>
  <c r="I2174" i="3" a="1"/>
  <c r="I2174" i="3" s="1"/>
  <c r="I2175" i="3" a="1"/>
  <c r="I2175" i="3" s="1"/>
  <c r="I2176" i="3" a="1"/>
  <c r="I2176" i="3" s="1"/>
  <c r="I2177" i="3" a="1"/>
  <c r="I2177" i="3" s="1"/>
  <c r="I2178" i="3" a="1"/>
  <c r="I2178" i="3" s="1"/>
  <c r="I2179" i="3" a="1"/>
  <c r="I2179" i="3" s="1"/>
  <c r="I2180" i="3" a="1"/>
  <c r="I2180" i="3" s="1"/>
  <c r="I2181" i="3" a="1"/>
  <c r="I2181" i="3" s="1"/>
  <c r="I2182" i="3" a="1"/>
  <c r="I2182" i="3" s="1"/>
  <c r="I2183" i="3" a="1"/>
  <c r="I2183" i="3" s="1"/>
  <c r="I2184" i="3" a="1"/>
  <c r="I2184" i="3" s="1"/>
  <c r="I2185" i="3" a="1"/>
  <c r="I2185" i="3" s="1"/>
  <c r="I2186" i="3" a="1"/>
  <c r="I2186" i="3" s="1"/>
  <c r="I2187" i="3" a="1"/>
  <c r="I2187" i="3" s="1"/>
  <c r="I2188" i="3" a="1"/>
  <c r="I2188" i="3" s="1"/>
  <c r="I2189" i="3" a="1"/>
  <c r="I2189" i="3" s="1"/>
  <c r="I2190" i="3" a="1"/>
  <c r="I2190" i="3" s="1"/>
  <c r="I2191" i="3" a="1"/>
  <c r="I2191" i="3" s="1"/>
  <c r="I2192" i="3" a="1"/>
  <c r="I2192" i="3" s="1"/>
  <c r="I2193" i="3" a="1"/>
  <c r="I2193" i="3" s="1"/>
  <c r="I2194" i="3" a="1"/>
  <c r="I2194" i="3" s="1"/>
  <c r="I2195" i="3" a="1"/>
  <c r="I2195" i="3" s="1"/>
  <c r="I2196" i="3" a="1"/>
  <c r="I2196" i="3" s="1"/>
  <c r="I2197" i="3" a="1"/>
  <c r="I2197" i="3" s="1"/>
  <c r="I2198" i="3" a="1"/>
  <c r="I2198" i="3" s="1"/>
  <c r="I2199" i="3" a="1"/>
  <c r="I2199" i="3" s="1"/>
  <c r="I2200" i="3" a="1"/>
  <c r="I2200" i="3" s="1"/>
  <c r="I2201" i="3" a="1"/>
  <c r="I2201" i="3" s="1"/>
  <c r="I2202" i="3" a="1"/>
  <c r="I2202" i="3" s="1"/>
  <c r="I2203" i="3" a="1"/>
  <c r="I2203" i="3" s="1"/>
  <c r="I2204" i="3" a="1"/>
  <c r="I2204" i="3" s="1"/>
  <c r="I2205" i="3" a="1"/>
  <c r="I2205" i="3" s="1"/>
  <c r="I2206" i="3" a="1"/>
  <c r="I2206" i="3" s="1"/>
  <c r="I2207" i="3" a="1"/>
  <c r="I2207" i="3" s="1"/>
  <c r="I2208" i="3" a="1"/>
  <c r="I2208" i="3" s="1"/>
  <c r="I2209" i="3" a="1"/>
  <c r="I2209" i="3" s="1"/>
  <c r="I2210" i="3" a="1"/>
  <c r="I2210" i="3" s="1"/>
  <c r="I2211" i="3" a="1"/>
  <c r="I2211" i="3" s="1"/>
  <c r="I2212" i="3" a="1"/>
  <c r="I2212" i="3" s="1"/>
  <c r="I2213" i="3" a="1"/>
  <c r="I2213" i="3" s="1"/>
  <c r="I2214" i="3" a="1"/>
  <c r="I2214" i="3" s="1"/>
  <c r="I2215" i="3" a="1"/>
  <c r="I2215" i="3" s="1"/>
  <c r="I2216" i="3" a="1"/>
  <c r="I2216" i="3" s="1"/>
  <c r="I2217" i="3" a="1"/>
  <c r="I2217" i="3" s="1"/>
  <c r="I2218" i="3" a="1"/>
  <c r="I2218" i="3" s="1"/>
  <c r="I2219" i="3" a="1"/>
  <c r="I2219" i="3" s="1"/>
  <c r="I2220" i="3" a="1"/>
  <c r="I2220" i="3" s="1"/>
  <c r="I2221" i="3" a="1"/>
  <c r="I2221" i="3" s="1"/>
  <c r="I2222" i="3" a="1"/>
  <c r="I2222" i="3" s="1"/>
  <c r="I2223" i="3" a="1"/>
  <c r="I2223" i="3" s="1"/>
  <c r="I2224" i="3" a="1"/>
  <c r="I2224" i="3" s="1"/>
  <c r="I2225" i="3" a="1"/>
  <c r="I2225" i="3" s="1"/>
  <c r="I2226" i="3" a="1"/>
  <c r="I2226" i="3" s="1"/>
  <c r="I2227" i="3" a="1"/>
  <c r="I2227" i="3" s="1"/>
  <c r="I2228" i="3" a="1"/>
  <c r="I2228" i="3" s="1"/>
  <c r="I2229" i="3" a="1"/>
  <c r="I2229" i="3" s="1"/>
  <c r="I2230" i="3" a="1"/>
  <c r="I2230" i="3" s="1"/>
  <c r="I2231" i="3" a="1"/>
  <c r="I2231" i="3" s="1"/>
  <c r="I2232" i="3" a="1"/>
  <c r="I2232" i="3" s="1"/>
  <c r="I2233" i="3" a="1"/>
  <c r="I2233" i="3" s="1"/>
  <c r="I2234" i="3" a="1"/>
  <c r="I2234" i="3" s="1"/>
  <c r="I2235" i="3" a="1"/>
  <c r="I2235" i="3" s="1"/>
  <c r="I2236" i="3" a="1"/>
  <c r="I2236" i="3" s="1"/>
  <c r="I2237" i="3" a="1"/>
  <c r="I2237" i="3" s="1"/>
  <c r="I2238" i="3" a="1"/>
  <c r="I2238" i="3" s="1"/>
  <c r="I2239" i="3" a="1"/>
  <c r="I2239" i="3" s="1"/>
  <c r="I2240" i="3" a="1"/>
  <c r="I2240" i="3" s="1"/>
  <c r="I2241" i="3" a="1"/>
  <c r="I2241" i="3" s="1"/>
  <c r="I2242" i="3" a="1"/>
  <c r="I2242" i="3" s="1"/>
  <c r="I2243" i="3" a="1"/>
  <c r="I2243" i="3" s="1"/>
  <c r="I2244" i="3" a="1"/>
  <c r="I2244" i="3" s="1"/>
  <c r="I2245" i="3" a="1"/>
  <c r="I2245" i="3" s="1"/>
  <c r="I2246" i="3" a="1"/>
  <c r="I2246" i="3" s="1"/>
  <c r="I2247" i="3" a="1"/>
  <c r="I2247" i="3" s="1"/>
  <c r="I2248" i="3" a="1"/>
  <c r="I2248" i="3" s="1"/>
  <c r="I2249" i="3" a="1"/>
  <c r="I2249" i="3" s="1"/>
  <c r="I2250" i="3" a="1"/>
  <c r="I2250" i="3" s="1"/>
  <c r="I2251" i="3" a="1"/>
  <c r="I2251" i="3" s="1"/>
  <c r="I2252" i="3" a="1"/>
  <c r="I2252" i="3" s="1"/>
  <c r="I2253" i="3" a="1"/>
  <c r="I2253" i="3" s="1"/>
  <c r="I2254" i="3" a="1"/>
  <c r="I2254" i="3" s="1"/>
  <c r="I2255" i="3" a="1"/>
  <c r="I2255" i="3" s="1"/>
  <c r="I2256" i="3" a="1"/>
  <c r="I2256" i="3" s="1"/>
  <c r="I2257" i="3" a="1"/>
  <c r="I2257" i="3" s="1"/>
  <c r="I2258" i="3" a="1"/>
  <c r="I2258" i="3" s="1"/>
  <c r="I2259" i="3" a="1"/>
  <c r="I2259" i="3" s="1"/>
  <c r="I2260" i="3" a="1"/>
  <c r="I2260" i="3" s="1"/>
  <c r="I2261" i="3" a="1"/>
  <c r="I2261" i="3" s="1"/>
  <c r="I2262" i="3" a="1"/>
  <c r="I2262" i="3" s="1"/>
  <c r="I2263" i="3" a="1"/>
  <c r="I2263" i="3" s="1"/>
  <c r="I2264" i="3" a="1"/>
  <c r="I2264" i="3" s="1"/>
  <c r="I2265" i="3" a="1"/>
  <c r="I2265" i="3" s="1"/>
  <c r="I2266" i="3" a="1"/>
  <c r="I2266" i="3" s="1"/>
  <c r="I2267" i="3" a="1"/>
  <c r="I2267" i="3" s="1"/>
  <c r="I2268" i="3" a="1"/>
  <c r="I2268" i="3" s="1"/>
  <c r="I2269" i="3" a="1"/>
  <c r="I2269" i="3" s="1"/>
  <c r="I2270" i="3" a="1"/>
  <c r="I2270" i="3" s="1"/>
  <c r="I2271" i="3" a="1"/>
  <c r="I2271" i="3" s="1"/>
  <c r="I2272" i="3" a="1"/>
  <c r="I2272" i="3" s="1"/>
  <c r="I2273" i="3" a="1"/>
  <c r="I2273" i="3" s="1"/>
  <c r="I2274" i="3" a="1"/>
  <c r="I2274" i="3" s="1"/>
  <c r="I2275" i="3" a="1"/>
  <c r="I2275" i="3" s="1"/>
  <c r="I2276" i="3" a="1"/>
  <c r="I2276" i="3" s="1"/>
  <c r="I2277" i="3" a="1"/>
  <c r="I2277" i="3" s="1"/>
  <c r="I2278" i="3" a="1"/>
  <c r="I2278" i="3" s="1"/>
  <c r="I2279" i="3" a="1"/>
  <c r="I2279" i="3" s="1"/>
  <c r="I2280" i="3" a="1"/>
  <c r="I2280" i="3" s="1"/>
  <c r="I2281" i="3" a="1"/>
  <c r="I2281" i="3" s="1"/>
  <c r="I2282" i="3" a="1"/>
  <c r="I2282" i="3" s="1"/>
  <c r="I2283" i="3" a="1"/>
  <c r="I2283" i="3" s="1"/>
  <c r="I2284" i="3" a="1"/>
  <c r="I2284" i="3" s="1"/>
  <c r="I2285" i="3" a="1"/>
  <c r="I2285" i="3" s="1"/>
  <c r="I2286" i="3" a="1"/>
  <c r="I2286" i="3" s="1"/>
  <c r="I2287" i="3" a="1"/>
  <c r="I2287" i="3" s="1"/>
  <c r="I2288" i="3" a="1"/>
  <c r="I2288" i="3" s="1"/>
  <c r="I2289" i="3" a="1"/>
  <c r="I2289" i="3" s="1"/>
  <c r="I2290" i="3" a="1"/>
  <c r="I2290" i="3" s="1"/>
  <c r="I2291" i="3" a="1"/>
  <c r="I2291" i="3" s="1"/>
  <c r="I2292" i="3" a="1"/>
  <c r="I2292" i="3" s="1"/>
  <c r="I2293" i="3" a="1"/>
  <c r="I2293" i="3" s="1"/>
  <c r="I2294" i="3" a="1"/>
  <c r="I2294" i="3" s="1"/>
  <c r="I2295" i="3" a="1"/>
  <c r="I2295" i="3" s="1"/>
  <c r="I2296" i="3" a="1"/>
  <c r="I2296" i="3" s="1"/>
  <c r="I2297" i="3" a="1"/>
  <c r="I2297" i="3" s="1"/>
  <c r="I2298" i="3" a="1"/>
  <c r="I2298" i="3" s="1"/>
  <c r="I2299" i="3" a="1"/>
  <c r="I2299" i="3" s="1"/>
  <c r="I2300" i="3" a="1"/>
  <c r="I2300" i="3" s="1"/>
  <c r="I2301" i="3" a="1"/>
  <c r="I2301" i="3" s="1"/>
  <c r="I2302" i="3" a="1"/>
  <c r="I2302" i="3" s="1"/>
  <c r="I2303" i="3" a="1"/>
  <c r="I2303" i="3" s="1"/>
  <c r="I2304" i="3" a="1"/>
  <c r="I2304" i="3" s="1"/>
  <c r="I2305" i="3" a="1"/>
  <c r="I2305" i="3" s="1"/>
  <c r="I2306" i="3" a="1"/>
  <c r="I2306" i="3" s="1"/>
  <c r="I2307" i="3" a="1"/>
  <c r="I2307" i="3" s="1"/>
  <c r="I2308" i="3" a="1"/>
  <c r="I2308" i="3" s="1"/>
  <c r="I2309" i="3" a="1"/>
  <c r="I2309" i="3" s="1"/>
  <c r="I2310" i="3" a="1"/>
  <c r="I2310" i="3" s="1"/>
  <c r="I2311" i="3" a="1"/>
  <c r="I2311" i="3" s="1"/>
  <c r="I2312" i="3" a="1"/>
  <c r="I2312" i="3" s="1"/>
  <c r="I2313" i="3" a="1"/>
  <c r="I2313" i="3" s="1"/>
  <c r="I2314" i="3" a="1"/>
  <c r="I2314" i="3" s="1"/>
  <c r="I2315" i="3" a="1"/>
  <c r="I2315" i="3" s="1"/>
  <c r="I2316" i="3" a="1"/>
  <c r="I2316" i="3" s="1"/>
  <c r="I2317" i="3" a="1"/>
  <c r="I2317" i="3" s="1"/>
  <c r="I2318" i="3" a="1"/>
  <c r="I2318" i="3" s="1"/>
  <c r="I2319" i="3" a="1"/>
  <c r="I2319" i="3" s="1"/>
  <c r="I2320" i="3" a="1"/>
  <c r="I2320" i="3" s="1"/>
  <c r="I2321" i="3" a="1"/>
  <c r="I2321" i="3" s="1"/>
  <c r="I2322" i="3" a="1"/>
  <c r="I2322" i="3" s="1"/>
  <c r="I2323" i="3" a="1"/>
  <c r="I2323" i="3" s="1"/>
  <c r="I2324" i="3" a="1"/>
  <c r="I2324" i="3" s="1"/>
  <c r="I2325" i="3" a="1"/>
  <c r="I2325" i="3" s="1"/>
  <c r="I2326" i="3" a="1"/>
  <c r="I2326" i="3" s="1"/>
  <c r="I2327" i="3" a="1"/>
  <c r="I2327" i="3" s="1"/>
  <c r="I2328" i="3" a="1"/>
  <c r="I2328" i="3" s="1"/>
  <c r="I2329" i="3" a="1"/>
  <c r="I2329" i="3" s="1"/>
  <c r="I2330" i="3" a="1"/>
  <c r="I2330" i="3" s="1"/>
  <c r="I2331" i="3" a="1"/>
  <c r="I2331" i="3" s="1"/>
  <c r="I2332" i="3" a="1"/>
  <c r="I2332" i="3" s="1"/>
  <c r="I2333" i="3" a="1"/>
  <c r="I2333" i="3" s="1"/>
  <c r="I2334" i="3" a="1"/>
  <c r="I2334" i="3" s="1"/>
  <c r="I2335" i="3" a="1"/>
  <c r="I2335" i="3" s="1"/>
  <c r="I2336" i="3" a="1"/>
  <c r="I2336" i="3" s="1"/>
  <c r="I2337" i="3" a="1"/>
  <c r="I2337" i="3" s="1"/>
  <c r="I2338" i="3" a="1"/>
  <c r="I2338" i="3" s="1"/>
  <c r="I2339" i="3" a="1"/>
  <c r="I2339" i="3" s="1"/>
  <c r="I2340" i="3" a="1"/>
  <c r="I2340" i="3" s="1"/>
  <c r="I2341" i="3" a="1"/>
  <c r="I2341" i="3" s="1"/>
  <c r="I2342" i="3" a="1"/>
  <c r="I2342" i="3" s="1"/>
  <c r="I2343" i="3" a="1"/>
  <c r="I2343" i="3" s="1"/>
  <c r="I2344" i="3" a="1"/>
  <c r="I2344" i="3" s="1"/>
  <c r="I2345" i="3" a="1"/>
  <c r="I2345" i="3" s="1"/>
  <c r="I2346" i="3" a="1"/>
  <c r="I2346" i="3" s="1"/>
  <c r="I2347" i="3" a="1"/>
  <c r="I2347" i="3" s="1"/>
  <c r="I2348" i="3" a="1"/>
  <c r="I2348" i="3" s="1"/>
  <c r="I2349" i="3" a="1"/>
  <c r="I2349" i="3" s="1"/>
  <c r="I2350" i="3" a="1"/>
  <c r="I2350" i="3" s="1"/>
  <c r="I2351" i="3" a="1"/>
  <c r="I2351" i="3" s="1"/>
  <c r="I2352" i="3" a="1"/>
  <c r="I2352" i="3" s="1"/>
  <c r="I2353" i="3" a="1"/>
  <c r="I2353" i="3" s="1"/>
  <c r="I2354" i="3" a="1"/>
  <c r="I2354" i="3" s="1"/>
  <c r="I2355" i="3" a="1"/>
  <c r="I2355" i="3" s="1"/>
  <c r="I2356" i="3" a="1"/>
  <c r="I2356" i="3" s="1"/>
  <c r="I2357" i="3" a="1"/>
  <c r="I2357" i="3" s="1"/>
  <c r="I2358" i="3" a="1"/>
  <c r="I2358" i="3" s="1"/>
  <c r="I2359" i="3" a="1"/>
  <c r="I2359" i="3" s="1"/>
  <c r="I2360" i="3" a="1"/>
  <c r="I2360" i="3" s="1"/>
  <c r="I2361" i="3" a="1"/>
  <c r="I2361" i="3" s="1"/>
  <c r="I2362" i="3" a="1"/>
  <c r="I2362" i="3" s="1"/>
  <c r="I2363" i="3" a="1"/>
  <c r="I2363" i="3" s="1"/>
  <c r="I2364" i="3" a="1"/>
  <c r="I2364" i="3" s="1"/>
  <c r="I2365" i="3" a="1"/>
  <c r="I2365" i="3" s="1"/>
  <c r="I2366" i="3" a="1"/>
  <c r="I2366" i="3" s="1"/>
  <c r="I2367" i="3" a="1"/>
  <c r="I2367" i="3" s="1"/>
  <c r="I2368" i="3" a="1"/>
  <c r="I2368" i="3" s="1"/>
  <c r="I2369" i="3" a="1"/>
  <c r="I2369" i="3" s="1"/>
  <c r="I2370" i="3" a="1"/>
  <c r="I2370" i="3" s="1"/>
  <c r="I2371" i="3" a="1"/>
  <c r="I2371" i="3" s="1"/>
  <c r="I2372" i="3" a="1"/>
  <c r="I2372" i="3" s="1"/>
  <c r="I2373" i="3" a="1"/>
  <c r="I2373" i="3" s="1"/>
  <c r="I2374" i="3" a="1"/>
  <c r="I2374" i="3" s="1"/>
  <c r="I2375" i="3" a="1"/>
  <c r="I2375" i="3" s="1"/>
  <c r="I2376" i="3" a="1"/>
  <c r="I2376" i="3" s="1"/>
  <c r="I2377" i="3" a="1"/>
  <c r="I2377" i="3" s="1"/>
  <c r="I2378" i="3" a="1"/>
  <c r="I2378" i="3" s="1"/>
  <c r="I2379" i="3" a="1"/>
  <c r="I2379" i="3" s="1"/>
  <c r="I2380" i="3" a="1"/>
  <c r="I2380" i="3" s="1"/>
  <c r="I2381" i="3" a="1"/>
  <c r="I2381" i="3" s="1"/>
  <c r="I2382" i="3" a="1"/>
  <c r="I2382" i="3" s="1"/>
  <c r="I2383" i="3" a="1"/>
  <c r="I2383" i="3" s="1"/>
  <c r="I2384" i="3" a="1"/>
  <c r="I2384" i="3" s="1"/>
  <c r="I2385" i="3" a="1"/>
  <c r="I2385" i="3" s="1"/>
  <c r="I2386" i="3" a="1"/>
  <c r="I2386" i="3" s="1"/>
  <c r="I2387" i="3" a="1"/>
  <c r="I2387" i="3" s="1"/>
  <c r="I2388" i="3" a="1"/>
  <c r="I2388" i="3" s="1"/>
  <c r="I2389" i="3" a="1"/>
  <c r="I2389" i="3" s="1"/>
  <c r="I2390" i="3" a="1"/>
  <c r="I2390" i="3" s="1"/>
  <c r="I2391" i="3" a="1"/>
  <c r="I2391" i="3" s="1"/>
  <c r="I2392" i="3" a="1"/>
  <c r="I2392" i="3" s="1"/>
  <c r="I2393" i="3" a="1"/>
  <c r="I2393" i="3" s="1"/>
  <c r="I2394" i="3" a="1"/>
  <c r="I2394" i="3" s="1"/>
  <c r="I2395" i="3" a="1"/>
  <c r="I2395" i="3" s="1"/>
  <c r="I2396" i="3" a="1"/>
  <c r="I2396" i="3" s="1"/>
  <c r="I2397" i="3" a="1"/>
  <c r="I2397" i="3" s="1"/>
  <c r="I2398" i="3" a="1"/>
  <c r="I2398" i="3" s="1"/>
  <c r="I2399" i="3" a="1"/>
  <c r="I2399" i="3" s="1"/>
  <c r="I2400" i="3" a="1"/>
  <c r="I2400" i="3" s="1"/>
  <c r="I2401" i="3" a="1"/>
  <c r="I2401" i="3" s="1"/>
  <c r="I2402" i="3" a="1"/>
  <c r="I2402" i="3" s="1"/>
  <c r="I2403" i="3" a="1"/>
  <c r="I2403" i="3" s="1"/>
  <c r="I2404" i="3" a="1"/>
  <c r="I2404" i="3" s="1"/>
  <c r="I2405" i="3" a="1"/>
  <c r="I2405" i="3" s="1"/>
  <c r="I2406" i="3" a="1"/>
  <c r="I2406" i="3" s="1"/>
  <c r="I2407" i="3" a="1"/>
  <c r="I2407" i="3" s="1"/>
  <c r="I2408" i="3" a="1"/>
  <c r="I2408" i="3" s="1"/>
  <c r="I2409" i="3" a="1"/>
  <c r="I2409" i="3" s="1"/>
  <c r="I2410" i="3" a="1"/>
  <c r="I2410" i="3" s="1"/>
  <c r="I2411" i="3" a="1"/>
  <c r="I2411" i="3" s="1"/>
  <c r="I2412" i="3" a="1"/>
  <c r="I2412" i="3" s="1"/>
  <c r="I2413" i="3" a="1"/>
  <c r="I2413" i="3" s="1"/>
  <c r="I2414" i="3" a="1"/>
  <c r="I2414" i="3" s="1"/>
  <c r="I2415" i="3" a="1"/>
  <c r="I2415" i="3" s="1"/>
  <c r="I2416" i="3" a="1"/>
  <c r="I2416" i="3" s="1"/>
  <c r="I2417" i="3" a="1"/>
  <c r="I2417" i="3" s="1"/>
  <c r="I2418" i="3" a="1"/>
  <c r="I2418" i="3" s="1"/>
  <c r="I2419" i="3" a="1"/>
  <c r="I2419" i="3" s="1"/>
  <c r="I2420" i="3" a="1"/>
  <c r="I2420" i="3" s="1"/>
  <c r="I2421" i="3" a="1"/>
  <c r="I2421" i="3" s="1"/>
  <c r="I2422" i="3" a="1"/>
  <c r="I2422" i="3" s="1"/>
  <c r="I2423" i="3" a="1"/>
  <c r="I2423" i="3" s="1"/>
  <c r="I2424" i="3" a="1"/>
  <c r="I2424" i="3" s="1"/>
  <c r="I2425" i="3" a="1"/>
  <c r="I2425" i="3" s="1"/>
  <c r="I2426" i="3" a="1"/>
  <c r="I2426" i="3" s="1"/>
  <c r="I2427" i="3" a="1"/>
  <c r="I2427" i="3" s="1"/>
  <c r="I2428" i="3" a="1"/>
  <c r="I2428" i="3" s="1"/>
  <c r="I2429" i="3" a="1"/>
  <c r="I2429" i="3" s="1"/>
  <c r="I2430" i="3" a="1"/>
  <c r="I2430" i="3" s="1"/>
  <c r="I2431" i="3" a="1"/>
  <c r="I2431" i="3" s="1"/>
  <c r="I2432" i="3" a="1"/>
  <c r="I2432" i="3" s="1"/>
  <c r="I2433" i="3" a="1"/>
  <c r="I2433" i="3" s="1"/>
  <c r="I2434" i="3" a="1"/>
  <c r="I2434" i="3" s="1"/>
  <c r="I2435" i="3" a="1"/>
  <c r="I2435" i="3" s="1"/>
  <c r="I2436" i="3" a="1"/>
  <c r="I2436" i="3" s="1"/>
  <c r="I2437" i="3" a="1"/>
  <c r="I2437" i="3" s="1"/>
  <c r="I2438" i="3" a="1"/>
  <c r="I2438" i="3" s="1"/>
  <c r="I2439" i="3" a="1"/>
  <c r="I2439" i="3" s="1"/>
  <c r="I2440" i="3" a="1"/>
  <c r="I2440" i="3" s="1"/>
  <c r="I2441" i="3" a="1"/>
  <c r="I2441" i="3" s="1"/>
  <c r="I2442" i="3" a="1"/>
  <c r="I2442" i="3" s="1"/>
  <c r="I2443" i="3" a="1"/>
  <c r="I2443" i="3" s="1"/>
  <c r="I2444" i="3" a="1"/>
  <c r="I2444" i="3" s="1"/>
  <c r="I2445" i="3" a="1"/>
  <c r="I2445" i="3" s="1"/>
  <c r="I2446" i="3" a="1"/>
  <c r="I2446" i="3" s="1"/>
  <c r="I2447" i="3" a="1"/>
  <c r="I2447" i="3" s="1"/>
  <c r="I2448" i="3" a="1"/>
  <c r="I2448" i="3" s="1"/>
  <c r="I2449" i="3" a="1"/>
  <c r="I2449" i="3" s="1"/>
  <c r="I2450" i="3" a="1"/>
  <c r="I2450" i="3" s="1"/>
  <c r="I2451" i="3" a="1"/>
  <c r="I2451" i="3" s="1"/>
  <c r="I2452" i="3" a="1"/>
  <c r="I2452" i="3" s="1"/>
  <c r="I2453" i="3" a="1"/>
  <c r="I2453" i="3" s="1"/>
  <c r="I2454" i="3" a="1"/>
  <c r="I2454" i="3" s="1"/>
  <c r="I2455" i="3" a="1"/>
  <c r="I2455" i="3" s="1"/>
  <c r="I2456" i="3" a="1"/>
  <c r="I2456" i="3" s="1"/>
  <c r="I2457" i="3" a="1"/>
  <c r="I2457" i="3" s="1"/>
  <c r="I2458" i="3" a="1"/>
  <c r="I2458" i="3" s="1"/>
  <c r="I2459" i="3" a="1"/>
  <c r="I2459" i="3" s="1"/>
  <c r="I2460" i="3" a="1"/>
  <c r="I2460" i="3" s="1"/>
  <c r="I2461" i="3" a="1"/>
  <c r="I2461" i="3" s="1"/>
  <c r="I2462" i="3" a="1"/>
  <c r="I2462" i="3" s="1"/>
  <c r="I2463" i="3" a="1"/>
  <c r="I2463" i="3" s="1"/>
  <c r="I2464" i="3" a="1"/>
  <c r="I2464" i="3" s="1"/>
  <c r="I2465" i="3" a="1"/>
  <c r="I2465" i="3" s="1"/>
  <c r="I2466" i="3" a="1"/>
  <c r="I2466" i="3" s="1"/>
  <c r="I2467" i="3" a="1"/>
  <c r="I2467" i="3" s="1"/>
  <c r="I2468" i="3" a="1"/>
  <c r="I2468" i="3" s="1"/>
  <c r="I2469" i="3" a="1"/>
  <c r="I2469" i="3" s="1"/>
  <c r="I2470" i="3" a="1"/>
  <c r="I2470" i="3" s="1"/>
  <c r="I2471" i="3" a="1"/>
  <c r="I2471" i="3" s="1"/>
  <c r="I2472" i="3" a="1"/>
  <c r="I2472" i="3" s="1"/>
  <c r="I2473" i="3" a="1"/>
  <c r="I2473" i="3" s="1"/>
  <c r="I2474" i="3" a="1"/>
  <c r="I2474" i="3" s="1"/>
  <c r="I2475" i="3" a="1"/>
  <c r="I2475" i="3" s="1"/>
  <c r="I2476" i="3" a="1"/>
  <c r="I2476" i="3" s="1"/>
  <c r="I2477" i="3" a="1"/>
  <c r="I2477" i="3" s="1"/>
  <c r="I2478" i="3" a="1"/>
  <c r="I2478" i="3" s="1"/>
  <c r="I2479" i="3" a="1"/>
  <c r="I2479" i="3" s="1"/>
  <c r="I2480" i="3" a="1"/>
  <c r="I2480" i="3" s="1"/>
  <c r="I2481" i="3" a="1"/>
  <c r="I2481" i="3" s="1"/>
  <c r="I2482" i="3" a="1"/>
  <c r="I2482" i="3" s="1"/>
  <c r="I2483" i="3" a="1"/>
  <c r="I2483" i="3" s="1"/>
  <c r="I2484" i="3" a="1"/>
  <c r="I2484" i="3" s="1"/>
  <c r="I2485" i="3" a="1"/>
  <c r="I2485" i="3" s="1"/>
  <c r="I2486" i="3" a="1"/>
  <c r="I2486" i="3" s="1"/>
  <c r="I2487" i="3" a="1"/>
  <c r="I2487" i="3" s="1"/>
  <c r="I2488" i="3" a="1"/>
  <c r="I2488" i="3" s="1"/>
  <c r="I2489" i="3" a="1"/>
  <c r="I2489" i="3" s="1"/>
  <c r="I2490" i="3" a="1"/>
  <c r="I2490" i="3" s="1"/>
  <c r="I2491" i="3" a="1"/>
  <c r="I2491" i="3" s="1"/>
  <c r="I2492" i="3" a="1"/>
  <c r="I2492" i="3" s="1"/>
  <c r="I2493" i="3" a="1"/>
  <c r="I2493" i="3" s="1"/>
  <c r="I2494" i="3" a="1"/>
  <c r="I2494" i="3" s="1"/>
  <c r="I2495" i="3" a="1"/>
  <c r="I2495" i="3" s="1"/>
  <c r="I2496" i="3" a="1"/>
  <c r="I2496" i="3" s="1"/>
  <c r="I2497" i="3" a="1"/>
  <c r="I2497" i="3" s="1"/>
  <c r="I2498" i="3" a="1"/>
  <c r="I2498" i="3" s="1"/>
  <c r="I2499" i="3" a="1"/>
  <c r="I2499" i="3" s="1"/>
  <c r="I2500" i="3" a="1"/>
  <c r="I2500" i="3" s="1"/>
  <c r="I2501" i="3" a="1"/>
  <c r="I2501" i="3" s="1"/>
  <c r="I2502" i="3" a="1"/>
  <c r="I2502" i="3" s="1"/>
  <c r="I2503" i="3" a="1"/>
  <c r="I2503" i="3" s="1"/>
  <c r="I2504" i="3" a="1"/>
  <c r="I2504" i="3" s="1"/>
  <c r="I2505" i="3" a="1"/>
  <c r="I2505" i="3" s="1"/>
  <c r="I2506" i="3" a="1"/>
  <c r="I2506" i="3" s="1"/>
  <c r="I2507" i="3" a="1"/>
  <c r="I2507" i="3" s="1"/>
  <c r="I2508" i="3" a="1"/>
  <c r="I2508" i="3" s="1"/>
  <c r="I2509" i="3" a="1"/>
  <c r="I2509" i="3" s="1"/>
  <c r="I2510" i="3" a="1"/>
  <c r="I2510" i="3" s="1"/>
  <c r="I2511" i="3" a="1"/>
  <c r="I2511" i="3" s="1"/>
  <c r="I2512" i="3" a="1"/>
  <c r="I2512" i="3" s="1"/>
  <c r="I2513" i="3" a="1"/>
  <c r="I2513" i="3" s="1"/>
  <c r="I2514" i="3" a="1"/>
  <c r="I2514" i="3" s="1"/>
  <c r="I2515" i="3" a="1"/>
  <c r="I2515" i="3" s="1"/>
  <c r="I2516" i="3" a="1"/>
  <c r="I2516" i="3" s="1"/>
  <c r="I2517" i="3" a="1"/>
  <c r="I2517" i="3" s="1"/>
  <c r="I2518" i="3" a="1"/>
  <c r="I2518" i="3" s="1"/>
  <c r="I2519" i="3" a="1"/>
  <c r="I2519" i="3" s="1"/>
  <c r="I2520" i="3" a="1"/>
  <c r="I2520" i="3" s="1"/>
  <c r="I2521" i="3" a="1"/>
  <c r="I2521" i="3" s="1"/>
  <c r="I2522" i="3" a="1"/>
  <c r="I2522" i="3" s="1"/>
  <c r="I2523" i="3" a="1"/>
  <c r="I2523" i="3" s="1"/>
  <c r="I2524" i="3" a="1"/>
  <c r="I2524" i="3" s="1"/>
  <c r="I2525" i="3" a="1"/>
  <c r="I2525" i="3" s="1"/>
  <c r="I2526" i="3" a="1"/>
  <c r="I2526" i="3" s="1"/>
  <c r="I2527" i="3" a="1"/>
  <c r="I2527" i="3" s="1"/>
  <c r="I2528" i="3" a="1"/>
  <c r="I2528" i="3" s="1"/>
  <c r="I2529" i="3" a="1"/>
  <c r="I2529" i="3" s="1"/>
  <c r="I2530" i="3" a="1"/>
  <c r="I2530" i="3" s="1"/>
  <c r="I2531" i="3" a="1"/>
  <c r="I2531" i="3" s="1"/>
  <c r="I2532" i="3" a="1"/>
  <c r="I2532" i="3" s="1"/>
  <c r="I2533" i="3" a="1"/>
  <c r="I2533" i="3" s="1"/>
  <c r="I2534" i="3" a="1"/>
  <c r="I2534" i="3" s="1"/>
  <c r="I2535" i="3" a="1"/>
  <c r="I2535" i="3" s="1"/>
  <c r="I2536" i="3" a="1"/>
  <c r="I2536" i="3" s="1"/>
  <c r="I2537" i="3" a="1"/>
  <c r="I2537" i="3" s="1"/>
  <c r="I2538" i="3" a="1"/>
  <c r="I2538" i="3" s="1"/>
  <c r="I2539" i="3" a="1"/>
  <c r="I2539" i="3" s="1"/>
  <c r="I2540" i="3" a="1"/>
  <c r="I2540" i="3" s="1"/>
  <c r="I2541" i="3" a="1"/>
  <c r="I2541" i="3" s="1"/>
  <c r="I2542" i="3" a="1"/>
  <c r="I2542" i="3" s="1"/>
  <c r="I2543" i="3" a="1"/>
  <c r="I2543" i="3" s="1"/>
  <c r="I2544" i="3" a="1"/>
  <c r="I2544" i="3" s="1"/>
  <c r="I2545" i="3" a="1"/>
  <c r="I2545" i="3" s="1"/>
  <c r="I2546" i="3" a="1"/>
  <c r="I2546" i="3" s="1"/>
  <c r="I2547" i="3" a="1"/>
  <c r="I2547" i="3" s="1"/>
  <c r="I2548" i="3" a="1"/>
  <c r="I2548" i="3" s="1"/>
  <c r="I2549" i="3" a="1"/>
  <c r="I2549" i="3" s="1"/>
  <c r="I2550" i="3" a="1"/>
  <c r="I2550" i="3" s="1"/>
  <c r="I2551" i="3" a="1"/>
  <c r="I2551" i="3" s="1"/>
  <c r="I2552" i="3" a="1"/>
  <c r="I2552" i="3" s="1"/>
  <c r="I2553" i="3" a="1"/>
  <c r="I2553" i="3" s="1"/>
  <c r="I2554" i="3" a="1"/>
  <c r="I2554" i="3" s="1"/>
  <c r="I2555" i="3" a="1"/>
  <c r="I2555" i="3" s="1"/>
  <c r="I2556" i="3" a="1"/>
  <c r="I2556" i="3" s="1"/>
  <c r="I2557" i="3" a="1"/>
  <c r="I2557" i="3" s="1"/>
  <c r="I2558" i="3" a="1"/>
  <c r="I2558" i="3" s="1"/>
  <c r="I2559" i="3" a="1"/>
  <c r="I2559" i="3" s="1"/>
  <c r="I2560" i="3" a="1"/>
  <c r="I2560" i="3" s="1"/>
  <c r="I2561" i="3" a="1"/>
  <c r="I2561" i="3" s="1"/>
  <c r="I2562" i="3" a="1"/>
  <c r="I2562" i="3" s="1"/>
  <c r="I2563" i="3" a="1"/>
  <c r="I2563" i="3" s="1"/>
  <c r="I2564" i="3" a="1"/>
  <c r="I2564" i="3" s="1"/>
  <c r="I2565" i="3" a="1"/>
  <c r="I2565" i="3" s="1"/>
  <c r="I2566" i="3" a="1"/>
  <c r="I2566" i="3" s="1"/>
  <c r="I2567" i="3" a="1"/>
  <c r="I2567" i="3" s="1"/>
  <c r="I2568" i="3" a="1"/>
  <c r="I2568" i="3" s="1"/>
  <c r="I2569" i="3" a="1"/>
  <c r="I2569" i="3" s="1"/>
  <c r="I2570" i="3" a="1"/>
  <c r="I2570" i="3" s="1"/>
  <c r="I2571" i="3" a="1"/>
  <c r="I2571" i="3" s="1"/>
  <c r="I2572" i="3" a="1"/>
  <c r="I2572" i="3" s="1"/>
  <c r="I2573" i="3" a="1"/>
  <c r="I2573" i="3" s="1"/>
  <c r="I2574" i="3" a="1"/>
  <c r="I2574" i="3" s="1"/>
  <c r="I2575" i="3" a="1"/>
  <c r="I2575" i="3" s="1"/>
  <c r="I2576" i="3" a="1"/>
  <c r="I2576" i="3" s="1"/>
  <c r="I2577" i="3" a="1"/>
  <c r="I2577" i="3" s="1"/>
  <c r="I2578" i="3" a="1"/>
  <c r="I2578" i="3" s="1"/>
  <c r="I2579" i="3" a="1"/>
  <c r="I2579" i="3" s="1"/>
  <c r="I2580" i="3" a="1"/>
  <c r="I2580" i="3" s="1"/>
  <c r="I2581" i="3" a="1"/>
  <c r="I2581" i="3" s="1"/>
  <c r="I2582" i="3" a="1"/>
  <c r="I2582" i="3" s="1"/>
  <c r="I2583" i="3" a="1"/>
  <c r="I2583" i="3" s="1"/>
  <c r="I2584" i="3" a="1"/>
  <c r="I2584" i="3" s="1"/>
  <c r="I2585" i="3" a="1"/>
  <c r="I2585" i="3" s="1"/>
  <c r="I2586" i="3" a="1"/>
  <c r="I2586" i="3" s="1"/>
  <c r="I2587" i="3" a="1"/>
  <c r="I2587" i="3" s="1"/>
  <c r="I2588" i="3" a="1"/>
  <c r="I2588" i="3" s="1"/>
  <c r="I2589" i="3" a="1"/>
  <c r="I2589" i="3" s="1"/>
  <c r="I2590" i="3" a="1"/>
  <c r="I2590" i="3" s="1"/>
  <c r="I2591" i="3" a="1"/>
  <c r="I2591" i="3" s="1"/>
  <c r="I2592" i="3" a="1"/>
  <c r="I2592" i="3" s="1"/>
  <c r="I2593" i="3" a="1"/>
  <c r="I2593" i="3" s="1"/>
  <c r="I2594" i="3" a="1"/>
  <c r="I2594" i="3" s="1"/>
  <c r="I2595" i="3" a="1"/>
  <c r="I2595" i="3" s="1"/>
  <c r="I2596" i="3" a="1"/>
  <c r="I2596" i="3" s="1"/>
  <c r="I2597" i="3" a="1"/>
  <c r="I2597" i="3" s="1"/>
  <c r="I2598" i="3" a="1"/>
  <c r="I2598" i="3" s="1"/>
  <c r="I2599" i="3" a="1"/>
  <c r="I2599" i="3" s="1"/>
  <c r="I2600" i="3" a="1"/>
  <c r="I2600" i="3" s="1"/>
  <c r="I2601" i="3" a="1"/>
  <c r="I2601" i="3" s="1"/>
  <c r="I2602" i="3" a="1"/>
  <c r="I2602" i="3" s="1"/>
  <c r="I2603" i="3" a="1"/>
  <c r="I2603" i="3" s="1"/>
  <c r="I2604" i="3" a="1"/>
  <c r="I2604" i="3" s="1"/>
  <c r="I2605" i="3" a="1"/>
  <c r="I2605" i="3" s="1"/>
  <c r="I2606" i="3" a="1"/>
  <c r="I2606" i="3" s="1"/>
  <c r="I2607" i="3" a="1"/>
  <c r="I2607" i="3" s="1"/>
  <c r="I2608" i="3" a="1"/>
  <c r="I2608" i="3" s="1"/>
  <c r="I2609" i="3" a="1"/>
  <c r="I2609" i="3" s="1"/>
  <c r="I2610" i="3" a="1"/>
  <c r="I2610" i="3" s="1"/>
  <c r="I2611" i="3" a="1"/>
  <c r="I2611" i="3" s="1"/>
  <c r="I2612" i="3" a="1"/>
  <c r="I2612" i="3" s="1"/>
  <c r="I2613" i="3" a="1"/>
  <c r="I2613" i="3" s="1"/>
  <c r="I2614" i="3" a="1"/>
  <c r="I2614" i="3" s="1"/>
  <c r="I2615" i="3" a="1"/>
  <c r="I2615" i="3" s="1"/>
  <c r="I2616" i="3" a="1"/>
  <c r="I2616" i="3" s="1"/>
  <c r="I2617" i="3" a="1"/>
  <c r="I2617" i="3" s="1"/>
  <c r="I2618" i="3" a="1"/>
  <c r="I2618" i="3" s="1"/>
  <c r="I2619" i="3" a="1"/>
  <c r="I2619" i="3" s="1"/>
  <c r="I2620" i="3" a="1"/>
  <c r="I2620" i="3" s="1"/>
  <c r="I2621" i="3" a="1"/>
  <c r="I2621" i="3" s="1"/>
  <c r="I2622" i="3" a="1"/>
  <c r="I2622" i="3" s="1"/>
  <c r="I2623" i="3" a="1"/>
  <c r="I2623" i="3" s="1"/>
  <c r="I2624" i="3" a="1"/>
  <c r="I2624" i="3" s="1"/>
  <c r="I4" i="3" a="1"/>
  <c r="I4" i="3" s="1"/>
  <c r="I5" i="3" a="1"/>
  <c r="I5" i="3" s="1"/>
  <c r="I6" i="3" a="1"/>
  <c r="I6" i="3" s="1"/>
  <c r="I3" i="3" a="1"/>
  <c r="I3" i="3" s="1"/>
  <c r="D26" i="2"/>
  <c r="E26" i="2" s="1"/>
  <c r="BZ26" i="2" s="1"/>
  <c r="D25" i="2"/>
  <c r="E25" i="2" s="1"/>
  <c r="BZ25" i="2" s="1"/>
  <c r="D24" i="2"/>
  <c r="E24" i="2" s="1"/>
  <c r="BZ24" i="2" s="1"/>
  <c r="D23" i="2"/>
  <c r="E23" i="2" s="1"/>
  <c r="BZ23" i="2" s="1"/>
  <c r="D22" i="2"/>
  <c r="E22" i="2" s="1"/>
  <c r="BZ22" i="2" s="1"/>
  <c r="D21" i="2"/>
  <c r="E21" i="2" s="1"/>
  <c r="BZ21" i="2" s="1"/>
  <c r="D19" i="2"/>
  <c r="E19" i="2" s="1"/>
  <c r="BZ19" i="2" s="1"/>
  <c r="D20" i="2"/>
  <c r="E20" i="2" s="1"/>
  <c r="BZ20" i="2" s="1"/>
  <c r="AG7" i="10"/>
  <c r="AV7" i="10" s="1"/>
  <c r="W7" i="10"/>
  <c r="AG5" i="10"/>
  <c r="AV5" i="10" s="1"/>
  <c r="W5" i="10"/>
  <c r="F11" i="11"/>
  <c r="P11" i="11" s="1"/>
  <c r="Q11" i="11" s="1"/>
  <c r="F10" i="11"/>
  <c r="P10" i="11" s="1"/>
  <c r="Q10" i="11" s="1"/>
  <c r="F9" i="11"/>
  <c r="P9" i="11" s="1"/>
  <c r="Q9" i="11" s="1"/>
  <c r="F8" i="11"/>
  <c r="P8" i="11" s="1"/>
  <c r="Q8" i="11" s="1"/>
  <c r="I6" i="10"/>
  <c r="J6" i="10"/>
  <c r="L6" i="10"/>
  <c r="AN7" i="10"/>
  <c r="R5" i="10"/>
  <c r="V7" i="10"/>
  <c r="U7" i="10"/>
  <c r="M18" i="15" l="1"/>
  <c r="R17" i="15"/>
  <c r="J18" i="15"/>
  <c r="P17" i="15"/>
  <c r="U1331" i="13"/>
  <c r="S1332" i="13"/>
  <c r="AR1356" i="13"/>
  <c r="AP1357" i="13"/>
  <c r="AP17" i="13"/>
  <c r="AR16" i="13"/>
  <c r="S18" i="13"/>
  <c r="U17" i="13"/>
  <c r="K6" i="10"/>
  <c r="AT6" i="10" s="1"/>
  <c r="M6" i="10"/>
  <c r="Z13" i="3"/>
  <c r="AA13" i="3"/>
  <c r="K4" i="3"/>
  <c r="K5" i="3" s="1"/>
  <c r="K6" i="3" s="1"/>
  <c r="K7" i="3" s="1"/>
  <c r="K8" i="3" s="1"/>
  <c r="K9" i="3" s="1"/>
  <c r="K10" i="3" s="1"/>
  <c r="K11" i="3" s="1"/>
  <c r="K12" i="3" s="1"/>
  <c r="K13" i="3" s="1"/>
  <c r="K14" i="3" s="1"/>
  <c r="K15" i="3" s="1"/>
  <c r="K16" i="3" s="1"/>
  <c r="K17" i="3" s="1"/>
  <c r="K18" i="3" s="1"/>
  <c r="K19" i="3" s="1"/>
  <c r="K20" i="3" s="1"/>
  <c r="K21" i="3" s="1"/>
  <c r="K22" i="3" s="1"/>
  <c r="K23" i="3" s="1"/>
  <c r="K24" i="3" s="1"/>
  <c r="K25" i="3" s="1"/>
  <c r="K26" i="3" s="1"/>
  <c r="K27" i="3" s="1"/>
  <c r="K28" i="3" s="1"/>
  <c r="K29" i="3" s="1"/>
  <c r="K30" i="3" s="1"/>
  <c r="K31" i="3" s="1"/>
  <c r="K32" i="3" s="1"/>
  <c r="K33" i="3" s="1"/>
  <c r="K34" i="3" s="1"/>
  <c r="K35" i="3" s="1"/>
  <c r="K36" i="3" s="1"/>
  <c r="K37" i="3" s="1"/>
  <c r="K38" i="3" s="1"/>
  <c r="K39" i="3" s="1"/>
  <c r="K40" i="3" s="1"/>
  <c r="K41" i="3" s="1"/>
  <c r="K42" i="3" s="1"/>
  <c r="K43" i="3" s="1"/>
  <c r="K44" i="3" s="1"/>
  <c r="K45" i="3" s="1"/>
  <c r="K46" i="3" s="1"/>
  <c r="K47" i="3" s="1"/>
  <c r="K48" i="3" s="1"/>
  <c r="K49" i="3" s="1"/>
  <c r="K50" i="3" s="1"/>
  <c r="K51" i="3" s="1"/>
  <c r="K52" i="3" s="1"/>
  <c r="K53" i="3" s="1"/>
  <c r="K54" i="3" s="1"/>
  <c r="K55" i="3" s="1"/>
  <c r="K56" i="3" s="1"/>
  <c r="K57" i="3" s="1"/>
  <c r="K58" i="3" s="1"/>
  <c r="K59" i="3" s="1"/>
  <c r="K60" i="3" s="1"/>
  <c r="K61" i="3" s="1"/>
  <c r="K62" i="3" s="1"/>
  <c r="K63" i="3" s="1"/>
  <c r="K64" i="3" s="1"/>
  <c r="K65" i="3" s="1"/>
  <c r="K66" i="3" s="1"/>
  <c r="K67" i="3" s="1"/>
  <c r="K68" i="3" s="1"/>
  <c r="K69" i="3" s="1"/>
  <c r="K70" i="3" s="1"/>
  <c r="K71" i="3" s="1"/>
  <c r="K72" i="3" s="1"/>
  <c r="K73" i="3" s="1"/>
  <c r="K74" i="3" s="1"/>
  <c r="K75" i="3" s="1"/>
  <c r="K76" i="3" s="1"/>
  <c r="K77" i="3" s="1"/>
  <c r="K78" i="3" s="1"/>
  <c r="K79" i="3" s="1"/>
  <c r="K80" i="3" s="1"/>
  <c r="K81" i="3" s="1"/>
  <c r="K82" i="3" s="1"/>
  <c r="K83" i="3" s="1"/>
  <c r="K84" i="3" s="1"/>
  <c r="K85" i="3" s="1"/>
  <c r="K86" i="3" s="1"/>
  <c r="K87" i="3" s="1"/>
  <c r="K88" i="3" s="1"/>
  <c r="K89" i="3" s="1"/>
  <c r="K90" i="3" s="1"/>
  <c r="K91" i="3" s="1"/>
  <c r="K92" i="3" s="1"/>
  <c r="K93" i="3" s="1"/>
  <c r="K94" i="3" s="1"/>
  <c r="K95" i="3" s="1"/>
  <c r="K96" i="3" s="1"/>
  <c r="K97" i="3" s="1"/>
  <c r="K98" i="3" s="1"/>
  <c r="K99" i="3" s="1"/>
  <c r="K100" i="3" s="1"/>
  <c r="K101" i="3" s="1"/>
  <c r="K102" i="3" s="1"/>
  <c r="K103" i="3" s="1"/>
  <c r="K104" i="3" s="1"/>
  <c r="K105" i="3" s="1"/>
  <c r="K106" i="3" s="1"/>
  <c r="K107" i="3" s="1"/>
  <c r="K108" i="3" s="1"/>
  <c r="K109" i="3" s="1"/>
  <c r="K110" i="3" s="1"/>
  <c r="K111" i="3" s="1"/>
  <c r="K112" i="3" s="1"/>
  <c r="K113" i="3" s="1"/>
  <c r="K114" i="3" s="1"/>
  <c r="K115" i="3" s="1"/>
  <c r="K116" i="3" s="1"/>
  <c r="K117" i="3" s="1"/>
  <c r="K118" i="3" s="1"/>
  <c r="K119" i="3" s="1"/>
  <c r="K120" i="3" s="1"/>
  <c r="K121" i="3" s="1"/>
  <c r="K122" i="3" s="1"/>
  <c r="K123" i="3" s="1"/>
  <c r="K124" i="3" s="1"/>
  <c r="K125" i="3" s="1"/>
  <c r="K126" i="3" s="1"/>
  <c r="K127" i="3" s="1"/>
  <c r="K128" i="3" s="1"/>
  <c r="K129" i="3" s="1"/>
  <c r="K130" i="3" s="1"/>
  <c r="K131" i="3" s="1"/>
  <c r="K132" i="3" s="1"/>
  <c r="K133" i="3" s="1"/>
  <c r="K134" i="3" s="1"/>
  <c r="K135" i="3" s="1"/>
  <c r="K136" i="3" s="1"/>
  <c r="K137" i="3" s="1"/>
  <c r="K138" i="3" s="1"/>
  <c r="K139" i="3" s="1"/>
  <c r="K140" i="3" s="1"/>
  <c r="K141" i="3" s="1"/>
  <c r="K142" i="3" s="1"/>
  <c r="K143" i="3" s="1"/>
  <c r="K144" i="3" s="1"/>
  <c r="K145" i="3" s="1"/>
  <c r="K146" i="3" s="1"/>
  <c r="K147" i="3" s="1"/>
  <c r="K148" i="3" s="1"/>
  <c r="K149" i="3" s="1"/>
  <c r="K150" i="3" s="1"/>
  <c r="K151" i="3" s="1"/>
  <c r="K152" i="3" s="1"/>
  <c r="K153" i="3" s="1"/>
  <c r="K154" i="3" s="1"/>
  <c r="K155" i="3" s="1"/>
  <c r="K156" i="3" s="1"/>
  <c r="K157" i="3" s="1"/>
  <c r="K158" i="3" s="1"/>
  <c r="K159" i="3" s="1"/>
  <c r="K160" i="3" s="1"/>
  <c r="K161" i="3" s="1"/>
  <c r="K162" i="3" s="1"/>
  <c r="K163" i="3" s="1"/>
  <c r="K164" i="3" s="1"/>
  <c r="K165" i="3" s="1"/>
  <c r="K166" i="3" s="1"/>
  <c r="K167" i="3" s="1"/>
  <c r="K168" i="3" s="1"/>
  <c r="K169" i="3" s="1"/>
  <c r="K170" i="3" s="1"/>
  <c r="K171" i="3" s="1"/>
  <c r="K172" i="3" s="1"/>
  <c r="K173" i="3" s="1"/>
  <c r="K174" i="3" s="1"/>
  <c r="K175" i="3" s="1"/>
  <c r="K176" i="3" s="1"/>
  <c r="K177" i="3" s="1"/>
  <c r="K178" i="3" s="1"/>
  <c r="K179" i="3" s="1"/>
  <c r="K180" i="3" s="1"/>
  <c r="K181" i="3" s="1"/>
  <c r="K182" i="3" s="1"/>
  <c r="K183" i="3" s="1"/>
  <c r="K184" i="3" s="1"/>
  <c r="K185" i="3" s="1"/>
  <c r="K186" i="3" s="1"/>
  <c r="K187" i="3" s="1"/>
  <c r="K188" i="3" s="1"/>
  <c r="K189" i="3" s="1"/>
  <c r="K190" i="3" s="1"/>
  <c r="K191" i="3" s="1"/>
  <c r="K192" i="3" s="1"/>
  <c r="K193" i="3" s="1"/>
  <c r="K194" i="3" s="1"/>
  <c r="K195" i="3" s="1"/>
  <c r="K196" i="3" s="1"/>
  <c r="K197" i="3" s="1"/>
  <c r="K198" i="3" s="1"/>
  <c r="K199" i="3" s="1"/>
  <c r="K200" i="3" s="1"/>
  <c r="K201" i="3" s="1"/>
  <c r="K202" i="3" s="1"/>
  <c r="K203" i="3" s="1"/>
  <c r="K204" i="3" s="1"/>
  <c r="K205" i="3" s="1"/>
  <c r="K206" i="3" s="1"/>
  <c r="K207" i="3" s="1"/>
  <c r="K208" i="3" s="1"/>
  <c r="K209" i="3" s="1"/>
  <c r="K210" i="3" s="1"/>
  <c r="K211" i="3" s="1"/>
  <c r="K212" i="3" s="1"/>
  <c r="K213" i="3" s="1"/>
  <c r="K214" i="3" s="1"/>
  <c r="K215" i="3" s="1"/>
  <c r="K216" i="3" s="1"/>
  <c r="K217" i="3" s="1"/>
  <c r="K218" i="3" s="1"/>
  <c r="K219" i="3" s="1"/>
  <c r="K220" i="3" s="1"/>
  <c r="K221" i="3" s="1"/>
  <c r="K222" i="3" s="1"/>
  <c r="K223" i="3" s="1"/>
  <c r="K224" i="3" s="1"/>
  <c r="K225" i="3" s="1"/>
  <c r="K226" i="3" s="1"/>
  <c r="K227" i="3" s="1"/>
  <c r="K228" i="3" s="1"/>
  <c r="K229" i="3" s="1"/>
  <c r="K230" i="3" s="1"/>
  <c r="K231" i="3" s="1"/>
  <c r="K232" i="3" s="1"/>
  <c r="K233" i="3" s="1"/>
  <c r="K234" i="3" s="1"/>
  <c r="K235" i="3" s="1"/>
  <c r="K236" i="3" s="1"/>
  <c r="K237" i="3" s="1"/>
  <c r="K238" i="3" s="1"/>
  <c r="K239" i="3" s="1"/>
  <c r="K240" i="3" s="1"/>
  <c r="K241" i="3" s="1"/>
  <c r="K242" i="3" s="1"/>
  <c r="K243" i="3" s="1"/>
  <c r="K244" i="3" s="1"/>
  <c r="K245" i="3" s="1"/>
  <c r="K246" i="3" s="1"/>
  <c r="K247" i="3" s="1"/>
  <c r="K248" i="3" s="1"/>
  <c r="K249" i="3" s="1"/>
  <c r="K250" i="3" s="1"/>
  <c r="K251" i="3" s="1"/>
  <c r="K252" i="3" s="1"/>
  <c r="K253" i="3" s="1"/>
  <c r="K254" i="3" s="1"/>
  <c r="K255" i="3" s="1"/>
  <c r="K256" i="3" s="1"/>
  <c r="K257" i="3" s="1"/>
  <c r="K258" i="3" s="1"/>
  <c r="K259" i="3" s="1"/>
  <c r="K260" i="3" s="1"/>
  <c r="K261" i="3" s="1"/>
  <c r="K262" i="3" s="1"/>
  <c r="K263" i="3" s="1"/>
  <c r="K264" i="3" s="1"/>
  <c r="K265" i="3" s="1"/>
  <c r="K266" i="3" s="1"/>
  <c r="K267" i="3" s="1"/>
  <c r="K268" i="3" s="1"/>
  <c r="K269" i="3" s="1"/>
  <c r="K270" i="3" s="1"/>
  <c r="K271" i="3" s="1"/>
  <c r="K272" i="3" s="1"/>
  <c r="K273" i="3" s="1"/>
  <c r="K274" i="3" s="1"/>
  <c r="K275" i="3" s="1"/>
  <c r="K276" i="3" s="1"/>
  <c r="K277" i="3" s="1"/>
  <c r="K278" i="3" s="1"/>
  <c r="K279" i="3" s="1"/>
  <c r="K280" i="3" s="1"/>
  <c r="K281" i="3" s="1"/>
  <c r="K282" i="3" s="1"/>
  <c r="K283" i="3" s="1"/>
  <c r="K284" i="3" s="1"/>
  <c r="K285" i="3" s="1"/>
  <c r="K286" i="3" s="1"/>
  <c r="K287" i="3" s="1"/>
  <c r="K288" i="3" s="1"/>
  <c r="K289" i="3" s="1"/>
  <c r="K290" i="3" s="1"/>
  <c r="K291" i="3" s="1"/>
  <c r="K292" i="3" s="1"/>
  <c r="K293" i="3" s="1"/>
  <c r="K294" i="3" s="1"/>
  <c r="K295" i="3" s="1"/>
  <c r="K296" i="3" s="1"/>
  <c r="K297" i="3" s="1"/>
  <c r="K298" i="3" s="1"/>
  <c r="K299" i="3" s="1"/>
  <c r="K300" i="3" s="1"/>
  <c r="K301" i="3" s="1"/>
  <c r="K302" i="3" s="1"/>
  <c r="K303" i="3" s="1"/>
  <c r="K304" i="3" s="1"/>
  <c r="K305" i="3" s="1"/>
  <c r="K306" i="3" s="1"/>
  <c r="K307" i="3" s="1"/>
  <c r="K308" i="3" s="1"/>
  <c r="K309" i="3" s="1"/>
  <c r="K310" i="3" s="1"/>
  <c r="K311" i="3" s="1"/>
  <c r="K312" i="3" s="1"/>
  <c r="K313" i="3" s="1"/>
  <c r="K314" i="3" s="1"/>
  <c r="K315" i="3" s="1"/>
  <c r="K316" i="3" s="1"/>
  <c r="K317" i="3" s="1"/>
  <c r="K318" i="3" s="1"/>
  <c r="K319" i="3" s="1"/>
  <c r="K320" i="3" s="1"/>
  <c r="K321" i="3" s="1"/>
  <c r="K322" i="3" s="1"/>
  <c r="K323" i="3" s="1"/>
  <c r="K324" i="3" s="1"/>
  <c r="K325" i="3" s="1"/>
  <c r="K326" i="3" s="1"/>
  <c r="K327" i="3" s="1"/>
  <c r="K328" i="3" s="1"/>
  <c r="K329" i="3" s="1"/>
  <c r="K330" i="3" s="1"/>
  <c r="K331" i="3" s="1"/>
  <c r="K332" i="3" s="1"/>
  <c r="K333" i="3" s="1"/>
  <c r="K334" i="3" s="1"/>
  <c r="K335" i="3" s="1"/>
  <c r="K336" i="3" s="1"/>
  <c r="K337" i="3" s="1"/>
  <c r="K338" i="3" s="1"/>
  <c r="K339" i="3" s="1"/>
  <c r="K340" i="3" s="1"/>
  <c r="K341" i="3" s="1"/>
  <c r="K342" i="3" s="1"/>
  <c r="K343" i="3" s="1"/>
  <c r="K344" i="3" s="1"/>
  <c r="K345" i="3" s="1"/>
  <c r="K346" i="3" s="1"/>
  <c r="K347" i="3" s="1"/>
  <c r="K348" i="3" s="1"/>
  <c r="K349" i="3" s="1"/>
  <c r="K350" i="3" s="1"/>
  <c r="K351" i="3" s="1"/>
  <c r="K352" i="3" s="1"/>
  <c r="K353" i="3" s="1"/>
  <c r="K354" i="3" s="1"/>
  <c r="K355" i="3" s="1"/>
  <c r="K356" i="3" s="1"/>
  <c r="K357" i="3" s="1"/>
  <c r="K358" i="3" s="1"/>
  <c r="K359" i="3" s="1"/>
  <c r="K360" i="3" s="1"/>
  <c r="K361" i="3" s="1"/>
  <c r="K362" i="3" s="1"/>
  <c r="K363" i="3" s="1"/>
  <c r="K364" i="3" s="1"/>
  <c r="K365" i="3" s="1"/>
  <c r="K366" i="3" s="1"/>
  <c r="K367" i="3" s="1"/>
  <c r="K368" i="3" s="1"/>
  <c r="K369" i="3" s="1"/>
  <c r="K370" i="3" s="1"/>
  <c r="K371" i="3" s="1"/>
  <c r="K372" i="3" s="1"/>
  <c r="K373" i="3" s="1"/>
  <c r="K374" i="3" s="1"/>
  <c r="K375" i="3" s="1"/>
  <c r="K376" i="3" s="1"/>
  <c r="K377" i="3" s="1"/>
  <c r="K378" i="3" s="1"/>
  <c r="K379" i="3" s="1"/>
  <c r="K380" i="3" s="1"/>
  <c r="K381" i="3" s="1"/>
  <c r="K382" i="3" s="1"/>
  <c r="K383" i="3" s="1"/>
  <c r="K384" i="3" s="1"/>
  <c r="K385" i="3" s="1"/>
  <c r="K386" i="3" s="1"/>
  <c r="K387" i="3" s="1"/>
  <c r="K388" i="3" s="1"/>
  <c r="K389" i="3" s="1"/>
  <c r="K390" i="3" s="1"/>
  <c r="K391" i="3" s="1"/>
  <c r="K392" i="3" s="1"/>
  <c r="K393" i="3" s="1"/>
  <c r="K394" i="3" s="1"/>
  <c r="K395" i="3" s="1"/>
  <c r="K396" i="3" s="1"/>
  <c r="K397" i="3" s="1"/>
  <c r="K398" i="3" s="1"/>
  <c r="K399" i="3" s="1"/>
  <c r="K400" i="3" s="1"/>
  <c r="K401" i="3" s="1"/>
  <c r="K402" i="3" s="1"/>
  <c r="K403" i="3" s="1"/>
  <c r="K404" i="3" s="1"/>
  <c r="K405" i="3" s="1"/>
  <c r="K406" i="3" s="1"/>
  <c r="K407" i="3" s="1"/>
  <c r="K408" i="3" s="1"/>
  <c r="K409" i="3" s="1"/>
  <c r="K410" i="3" s="1"/>
  <c r="K411" i="3" s="1"/>
  <c r="K412" i="3" s="1"/>
  <c r="K413" i="3" s="1"/>
  <c r="K414" i="3" s="1"/>
  <c r="K415" i="3" s="1"/>
  <c r="K416" i="3" s="1"/>
  <c r="K417" i="3" s="1"/>
  <c r="K418" i="3" s="1"/>
  <c r="K419" i="3" s="1"/>
  <c r="K420" i="3" s="1"/>
  <c r="K421" i="3" s="1"/>
  <c r="K422" i="3" s="1"/>
  <c r="K423" i="3" s="1"/>
  <c r="K424" i="3" s="1"/>
  <c r="K425" i="3" s="1"/>
  <c r="K426" i="3" s="1"/>
  <c r="K427" i="3" s="1"/>
  <c r="K428" i="3" s="1"/>
  <c r="K429" i="3" s="1"/>
  <c r="K430" i="3" s="1"/>
  <c r="K431" i="3" s="1"/>
  <c r="K432" i="3" s="1"/>
  <c r="K433" i="3" s="1"/>
  <c r="K434" i="3" s="1"/>
  <c r="K435" i="3" s="1"/>
  <c r="K436" i="3" s="1"/>
  <c r="K437" i="3" s="1"/>
  <c r="K438" i="3" s="1"/>
  <c r="K439" i="3" s="1"/>
  <c r="K440" i="3" s="1"/>
  <c r="K441" i="3" s="1"/>
  <c r="K442" i="3" s="1"/>
  <c r="K443" i="3" s="1"/>
  <c r="K444" i="3" s="1"/>
  <c r="K445" i="3" s="1"/>
  <c r="K446" i="3" s="1"/>
  <c r="K447" i="3" s="1"/>
  <c r="K448" i="3" s="1"/>
  <c r="K449" i="3" s="1"/>
  <c r="K450" i="3" s="1"/>
  <c r="K451" i="3" s="1"/>
  <c r="K452" i="3" s="1"/>
  <c r="K453" i="3" s="1"/>
  <c r="K454" i="3" s="1"/>
  <c r="K455" i="3" s="1"/>
  <c r="K456" i="3" s="1"/>
  <c r="K457" i="3" s="1"/>
  <c r="K458" i="3" s="1"/>
  <c r="K459" i="3" s="1"/>
  <c r="K460" i="3" s="1"/>
  <c r="K461" i="3" s="1"/>
  <c r="K462" i="3" s="1"/>
  <c r="K463" i="3" s="1"/>
  <c r="K464" i="3" s="1"/>
  <c r="K465" i="3" s="1"/>
  <c r="K466" i="3" s="1"/>
  <c r="K467" i="3" s="1"/>
  <c r="K468" i="3" s="1"/>
  <c r="K469" i="3" s="1"/>
  <c r="K470" i="3" s="1"/>
  <c r="K471" i="3" s="1"/>
  <c r="K472" i="3" s="1"/>
  <c r="K473" i="3" s="1"/>
  <c r="K474" i="3" s="1"/>
  <c r="K475" i="3" s="1"/>
  <c r="K476" i="3" s="1"/>
  <c r="K477" i="3" s="1"/>
  <c r="K478" i="3" s="1"/>
  <c r="K479" i="3" s="1"/>
  <c r="K480" i="3" s="1"/>
  <c r="K481" i="3" s="1"/>
  <c r="K482" i="3" s="1"/>
  <c r="K483" i="3" s="1"/>
  <c r="K484" i="3" s="1"/>
  <c r="K485" i="3" s="1"/>
  <c r="K486" i="3" s="1"/>
  <c r="K487" i="3" s="1"/>
  <c r="K488" i="3" s="1"/>
  <c r="K489" i="3" s="1"/>
  <c r="K490" i="3" s="1"/>
  <c r="K491" i="3" s="1"/>
  <c r="K492" i="3" s="1"/>
  <c r="K493" i="3" s="1"/>
  <c r="K494" i="3" s="1"/>
  <c r="K495" i="3" s="1"/>
  <c r="K496" i="3" s="1"/>
  <c r="K497" i="3" s="1"/>
  <c r="K498" i="3" s="1"/>
  <c r="K499" i="3" s="1"/>
  <c r="K500" i="3" s="1"/>
  <c r="K501" i="3" s="1"/>
  <c r="K502" i="3" s="1"/>
  <c r="K503" i="3" s="1"/>
  <c r="K504" i="3" s="1"/>
  <c r="K505" i="3" s="1"/>
  <c r="K506" i="3" s="1"/>
  <c r="K507" i="3" s="1"/>
  <c r="K508" i="3" s="1"/>
  <c r="K509" i="3" s="1"/>
  <c r="K510" i="3" s="1"/>
  <c r="K511" i="3" s="1"/>
  <c r="K512" i="3" s="1"/>
  <c r="K513" i="3" s="1"/>
  <c r="K514" i="3" s="1"/>
  <c r="K515" i="3" s="1"/>
  <c r="K516" i="3" s="1"/>
  <c r="K517" i="3" s="1"/>
  <c r="K518" i="3" s="1"/>
  <c r="K519" i="3" s="1"/>
  <c r="K520" i="3" s="1"/>
  <c r="K521" i="3" s="1"/>
  <c r="K522" i="3" s="1"/>
  <c r="K523" i="3" s="1"/>
  <c r="K524" i="3" s="1"/>
  <c r="K525" i="3" s="1"/>
  <c r="K526" i="3" s="1"/>
  <c r="K527" i="3" s="1"/>
  <c r="K528" i="3" s="1"/>
  <c r="K529" i="3" s="1"/>
  <c r="K530" i="3" s="1"/>
  <c r="K531" i="3" s="1"/>
  <c r="K532" i="3" s="1"/>
  <c r="K533" i="3" s="1"/>
  <c r="K534" i="3" s="1"/>
  <c r="K535" i="3" s="1"/>
  <c r="K536" i="3" s="1"/>
  <c r="K537" i="3" s="1"/>
  <c r="K538" i="3" s="1"/>
  <c r="K539" i="3" s="1"/>
  <c r="K540" i="3" s="1"/>
  <c r="K541" i="3" s="1"/>
  <c r="K542" i="3" s="1"/>
  <c r="K543" i="3" s="1"/>
  <c r="K544" i="3" s="1"/>
  <c r="K545" i="3" s="1"/>
  <c r="K546" i="3" s="1"/>
  <c r="K547" i="3" s="1"/>
  <c r="K548" i="3" s="1"/>
  <c r="K549" i="3" s="1"/>
  <c r="K550" i="3" s="1"/>
  <c r="K551" i="3" s="1"/>
  <c r="K552" i="3" s="1"/>
  <c r="K553" i="3" s="1"/>
  <c r="K554" i="3" s="1"/>
  <c r="K555" i="3" s="1"/>
  <c r="K556" i="3" s="1"/>
  <c r="K557" i="3" s="1"/>
  <c r="K558" i="3" s="1"/>
  <c r="K559" i="3" s="1"/>
  <c r="K560" i="3" s="1"/>
  <c r="K561" i="3" s="1"/>
  <c r="K562" i="3" s="1"/>
  <c r="K563" i="3" s="1"/>
  <c r="K564" i="3" s="1"/>
  <c r="K565" i="3" s="1"/>
  <c r="K566" i="3" s="1"/>
  <c r="K567" i="3" s="1"/>
  <c r="K568" i="3" s="1"/>
  <c r="K569" i="3" s="1"/>
  <c r="K570" i="3" s="1"/>
  <c r="K571" i="3" s="1"/>
  <c r="K572" i="3" s="1"/>
  <c r="K573" i="3" s="1"/>
  <c r="K574" i="3" s="1"/>
  <c r="K575" i="3" s="1"/>
  <c r="K576" i="3" s="1"/>
  <c r="K577" i="3" s="1"/>
  <c r="K578" i="3" s="1"/>
  <c r="K579" i="3" s="1"/>
  <c r="K580" i="3" s="1"/>
  <c r="K581" i="3" s="1"/>
  <c r="K582" i="3" s="1"/>
  <c r="K583" i="3" s="1"/>
  <c r="K584" i="3" s="1"/>
  <c r="K585" i="3" s="1"/>
  <c r="K586" i="3" s="1"/>
  <c r="K587" i="3" s="1"/>
  <c r="K588" i="3" s="1"/>
  <c r="K589" i="3" s="1"/>
  <c r="K590" i="3" s="1"/>
  <c r="K591" i="3" s="1"/>
  <c r="K592" i="3" s="1"/>
  <c r="K593" i="3" s="1"/>
  <c r="K594" i="3" s="1"/>
  <c r="K595" i="3" s="1"/>
  <c r="K596" i="3" s="1"/>
  <c r="K597" i="3" s="1"/>
  <c r="K598" i="3" s="1"/>
  <c r="K599" i="3" s="1"/>
  <c r="K600" i="3" s="1"/>
  <c r="K601" i="3" s="1"/>
  <c r="K602" i="3" s="1"/>
  <c r="K603" i="3" s="1"/>
  <c r="K604" i="3" s="1"/>
  <c r="K605" i="3" s="1"/>
  <c r="K606" i="3" s="1"/>
  <c r="K607" i="3" s="1"/>
  <c r="K608" i="3" s="1"/>
  <c r="K609" i="3" s="1"/>
  <c r="K610" i="3" s="1"/>
  <c r="K611" i="3" s="1"/>
  <c r="K612" i="3" s="1"/>
  <c r="K613" i="3" s="1"/>
  <c r="K614" i="3" s="1"/>
  <c r="K615" i="3" s="1"/>
  <c r="K616" i="3" s="1"/>
  <c r="K617" i="3" s="1"/>
  <c r="K618" i="3" s="1"/>
  <c r="K619" i="3" s="1"/>
  <c r="K620" i="3" s="1"/>
  <c r="K621" i="3" s="1"/>
  <c r="K622" i="3" s="1"/>
  <c r="K623" i="3" s="1"/>
  <c r="K624" i="3" s="1"/>
  <c r="K625" i="3" s="1"/>
  <c r="K626" i="3" s="1"/>
  <c r="K627" i="3" s="1"/>
  <c r="K628" i="3" s="1"/>
  <c r="K629" i="3" s="1"/>
  <c r="K630" i="3" s="1"/>
  <c r="K631" i="3" s="1"/>
  <c r="K632" i="3" s="1"/>
  <c r="K633" i="3" s="1"/>
  <c r="K634" i="3" s="1"/>
  <c r="K635" i="3" s="1"/>
  <c r="K636" i="3" s="1"/>
  <c r="K637" i="3" s="1"/>
  <c r="K638" i="3" s="1"/>
  <c r="K639" i="3" s="1"/>
  <c r="K640" i="3" s="1"/>
  <c r="K641" i="3" s="1"/>
  <c r="K642" i="3" s="1"/>
  <c r="K643" i="3" s="1"/>
  <c r="K644" i="3" s="1"/>
  <c r="K645" i="3" s="1"/>
  <c r="K646" i="3" s="1"/>
  <c r="K647" i="3" s="1"/>
  <c r="K648" i="3" s="1"/>
  <c r="K649" i="3" s="1"/>
  <c r="K650" i="3" s="1"/>
  <c r="K651" i="3" s="1"/>
  <c r="K652" i="3" s="1"/>
  <c r="K653" i="3" s="1"/>
  <c r="K654" i="3" s="1"/>
  <c r="K655" i="3" s="1"/>
  <c r="K656" i="3" s="1"/>
  <c r="K657" i="3" s="1"/>
  <c r="K658" i="3" s="1"/>
  <c r="K659" i="3" s="1"/>
  <c r="K660" i="3" s="1"/>
  <c r="K661" i="3" s="1"/>
  <c r="K662" i="3" s="1"/>
  <c r="K663" i="3" s="1"/>
  <c r="K664" i="3" s="1"/>
  <c r="K665" i="3" s="1"/>
  <c r="K666" i="3" s="1"/>
  <c r="K667" i="3" s="1"/>
  <c r="K668" i="3" s="1"/>
  <c r="K669" i="3" s="1"/>
  <c r="K670" i="3" s="1"/>
  <c r="K671" i="3" s="1"/>
  <c r="K672" i="3" s="1"/>
  <c r="K673" i="3" s="1"/>
  <c r="K674" i="3" s="1"/>
  <c r="K675" i="3" s="1"/>
  <c r="K676" i="3" s="1"/>
  <c r="K677" i="3" s="1"/>
  <c r="K678" i="3" s="1"/>
  <c r="K679" i="3" s="1"/>
  <c r="K680" i="3" s="1"/>
  <c r="K681" i="3" s="1"/>
  <c r="K682" i="3" s="1"/>
  <c r="K683" i="3" s="1"/>
  <c r="K684" i="3" s="1"/>
  <c r="K685" i="3" s="1"/>
  <c r="K686" i="3" s="1"/>
  <c r="K687" i="3" s="1"/>
  <c r="K688" i="3" s="1"/>
  <c r="K689" i="3" s="1"/>
  <c r="K690" i="3" s="1"/>
  <c r="K691" i="3" s="1"/>
  <c r="K692" i="3" s="1"/>
  <c r="K693" i="3" s="1"/>
  <c r="K694" i="3" s="1"/>
  <c r="K695" i="3" s="1"/>
  <c r="K696" i="3" s="1"/>
  <c r="K697" i="3" s="1"/>
  <c r="K698" i="3" s="1"/>
  <c r="K699" i="3" s="1"/>
  <c r="K700" i="3" s="1"/>
  <c r="K701" i="3" s="1"/>
  <c r="K702" i="3" s="1"/>
  <c r="K703" i="3" s="1"/>
  <c r="K704" i="3" s="1"/>
  <c r="K705" i="3" s="1"/>
  <c r="K706" i="3" s="1"/>
  <c r="K707" i="3" s="1"/>
  <c r="K708" i="3" s="1"/>
  <c r="K709" i="3" s="1"/>
  <c r="K710" i="3" s="1"/>
  <c r="K711" i="3" s="1"/>
  <c r="K712" i="3" s="1"/>
  <c r="K713" i="3" s="1"/>
  <c r="K714" i="3" s="1"/>
  <c r="K715" i="3" s="1"/>
  <c r="K716" i="3" s="1"/>
  <c r="K717" i="3" s="1"/>
  <c r="K718" i="3" s="1"/>
  <c r="K719" i="3" s="1"/>
  <c r="K720" i="3" s="1"/>
  <c r="K721" i="3" s="1"/>
  <c r="K722" i="3" s="1"/>
  <c r="K723" i="3" s="1"/>
  <c r="K724" i="3" s="1"/>
  <c r="K725" i="3" s="1"/>
  <c r="K726" i="3" s="1"/>
  <c r="K727" i="3" s="1"/>
  <c r="K728" i="3" s="1"/>
  <c r="K729" i="3" s="1"/>
  <c r="K730" i="3" s="1"/>
  <c r="K731" i="3" s="1"/>
  <c r="K732" i="3" s="1"/>
  <c r="K733" i="3" s="1"/>
  <c r="K734" i="3" s="1"/>
  <c r="K735" i="3" s="1"/>
  <c r="K736" i="3" s="1"/>
  <c r="K737" i="3" s="1"/>
  <c r="K738" i="3" s="1"/>
  <c r="K739" i="3" s="1"/>
  <c r="K740" i="3" s="1"/>
  <c r="K741" i="3" s="1"/>
  <c r="K742" i="3" s="1"/>
  <c r="K743" i="3" s="1"/>
  <c r="K744" i="3" s="1"/>
  <c r="K745" i="3" s="1"/>
  <c r="K746" i="3" s="1"/>
  <c r="K747" i="3" s="1"/>
  <c r="K748" i="3" s="1"/>
  <c r="K749" i="3" s="1"/>
  <c r="K750" i="3" s="1"/>
  <c r="K751" i="3" s="1"/>
  <c r="K752" i="3" s="1"/>
  <c r="K753" i="3" s="1"/>
  <c r="K754" i="3" s="1"/>
  <c r="K755" i="3" s="1"/>
  <c r="K756" i="3" s="1"/>
  <c r="K757" i="3" s="1"/>
  <c r="K758" i="3" s="1"/>
  <c r="K759" i="3" s="1"/>
  <c r="K760" i="3" s="1"/>
  <c r="K761" i="3" s="1"/>
  <c r="K762" i="3" s="1"/>
  <c r="K763" i="3" s="1"/>
  <c r="K764" i="3" s="1"/>
  <c r="K765" i="3" s="1"/>
  <c r="K766" i="3" s="1"/>
  <c r="K767" i="3" s="1"/>
  <c r="K768" i="3" s="1"/>
  <c r="K769" i="3" s="1"/>
  <c r="K770" i="3" s="1"/>
  <c r="K771" i="3" s="1"/>
  <c r="K772" i="3" s="1"/>
  <c r="K773" i="3" s="1"/>
  <c r="K774" i="3" s="1"/>
  <c r="K775" i="3" s="1"/>
  <c r="K776" i="3" s="1"/>
  <c r="K777" i="3" s="1"/>
  <c r="K778" i="3" s="1"/>
  <c r="K779" i="3" s="1"/>
  <c r="K780" i="3" s="1"/>
  <c r="K781" i="3" s="1"/>
  <c r="K782" i="3" s="1"/>
  <c r="K783" i="3" s="1"/>
  <c r="K784" i="3" s="1"/>
  <c r="K785" i="3" s="1"/>
  <c r="K786" i="3" s="1"/>
  <c r="K787" i="3" s="1"/>
  <c r="K788" i="3" s="1"/>
  <c r="K789" i="3" s="1"/>
  <c r="K790" i="3" s="1"/>
  <c r="K791" i="3" s="1"/>
  <c r="K792" i="3" s="1"/>
  <c r="K793" i="3" s="1"/>
  <c r="K794" i="3" s="1"/>
  <c r="K795" i="3" s="1"/>
  <c r="K796" i="3" s="1"/>
  <c r="K797" i="3" s="1"/>
  <c r="K798" i="3" s="1"/>
  <c r="K799" i="3" s="1"/>
  <c r="K800" i="3" s="1"/>
  <c r="K801" i="3" s="1"/>
  <c r="K802" i="3" s="1"/>
  <c r="K803" i="3" s="1"/>
  <c r="K804" i="3" s="1"/>
  <c r="K805" i="3" s="1"/>
  <c r="K806" i="3" s="1"/>
  <c r="K807" i="3" s="1"/>
  <c r="K808" i="3" s="1"/>
  <c r="K809" i="3" s="1"/>
  <c r="K810" i="3" s="1"/>
  <c r="K811" i="3" s="1"/>
  <c r="K812" i="3" s="1"/>
  <c r="K813" i="3" s="1"/>
  <c r="K814" i="3" s="1"/>
  <c r="K815" i="3" s="1"/>
  <c r="K816" i="3" s="1"/>
  <c r="K817" i="3" s="1"/>
  <c r="K818" i="3" s="1"/>
  <c r="K819" i="3" s="1"/>
  <c r="K820" i="3" s="1"/>
  <c r="K821" i="3" s="1"/>
  <c r="K822" i="3" s="1"/>
  <c r="K823" i="3" s="1"/>
  <c r="K824" i="3" s="1"/>
  <c r="K825" i="3" s="1"/>
  <c r="K826" i="3" s="1"/>
  <c r="K827" i="3" s="1"/>
  <c r="K828" i="3" s="1"/>
  <c r="K829" i="3" s="1"/>
  <c r="K830" i="3" s="1"/>
  <c r="K831" i="3" s="1"/>
  <c r="K832" i="3" s="1"/>
  <c r="K833" i="3" s="1"/>
  <c r="K834" i="3" s="1"/>
  <c r="K835" i="3" s="1"/>
  <c r="K836" i="3" s="1"/>
  <c r="K837" i="3" s="1"/>
  <c r="K838" i="3" s="1"/>
  <c r="K839" i="3" s="1"/>
  <c r="K840" i="3" s="1"/>
  <c r="K841" i="3" s="1"/>
  <c r="K842" i="3" s="1"/>
  <c r="K843" i="3" s="1"/>
  <c r="K844" i="3" s="1"/>
  <c r="K845" i="3" s="1"/>
  <c r="K846" i="3" s="1"/>
  <c r="K847" i="3" s="1"/>
  <c r="K848" i="3" s="1"/>
  <c r="K849" i="3" s="1"/>
  <c r="K850" i="3" s="1"/>
  <c r="K851" i="3" s="1"/>
  <c r="K852" i="3" s="1"/>
  <c r="K853" i="3" s="1"/>
  <c r="K854" i="3" s="1"/>
  <c r="K855" i="3" s="1"/>
  <c r="K856" i="3" s="1"/>
  <c r="K857" i="3" s="1"/>
  <c r="K858" i="3" s="1"/>
  <c r="K859" i="3" s="1"/>
  <c r="K860" i="3" s="1"/>
  <c r="K861" i="3" s="1"/>
  <c r="K862" i="3" s="1"/>
  <c r="K863" i="3" s="1"/>
  <c r="K864" i="3" s="1"/>
  <c r="K865" i="3" s="1"/>
  <c r="K866" i="3" s="1"/>
  <c r="K867" i="3" s="1"/>
  <c r="K868" i="3" s="1"/>
  <c r="K869" i="3" s="1"/>
  <c r="K870" i="3" s="1"/>
  <c r="K871" i="3" s="1"/>
  <c r="K872" i="3" s="1"/>
  <c r="K873" i="3" s="1"/>
  <c r="K874" i="3" s="1"/>
  <c r="K875" i="3" s="1"/>
  <c r="K876" i="3" s="1"/>
  <c r="K877" i="3" s="1"/>
  <c r="K878" i="3" s="1"/>
  <c r="K879" i="3" s="1"/>
  <c r="K880" i="3" s="1"/>
  <c r="K881" i="3" s="1"/>
  <c r="K882" i="3" s="1"/>
  <c r="K883" i="3" s="1"/>
  <c r="K884" i="3" s="1"/>
  <c r="K885" i="3" s="1"/>
  <c r="K886" i="3" s="1"/>
  <c r="K887" i="3" s="1"/>
  <c r="K888" i="3" s="1"/>
  <c r="K889" i="3" s="1"/>
  <c r="K890" i="3" s="1"/>
  <c r="K891" i="3" s="1"/>
  <c r="K892" i="3" s="1"/>
  <c r="K893" i="3" s="1"/>
  <c r="K894" i="3" s="1"/>
  <c r="K895" i="3" s="1"/>
  <c r="K896" i="3" s="1"/>
  <c r="K897" i="3" s="1"/>
  <c r="K898" i="3" s="1"/>
  <c r="K899" i="3" s="1"/>
  <c r="K900" i="3" s="1"/>
  <c r="K901" i="3" s="1"/>
  <c r="K902" i="3" s="1"/>
  <c r="K903" i="3" s="1"/>
  <c r="K904" i="3" s="1"/>
  <c r="K905" i="3" s="1"/>
  <c r="K906" i="3" s="1"/>
  <c r="K907" i="3" s="1"/>
  <c r="K908" i="3" s="1"/>
  <c r="K909" i="3" s="1"/>
  <c r="K910" i="3" s="1"/>
  <c r="K911" i="3" s="1"/>
  <c r="K912" i="3" s="1"/>
  <c r="K913" i="3" s="1"/>
  <c r="K914" i="3" s="1"/>
  <c r="K915" i="3" s="1"/>
  <c r="K916" i="3" s="1"/>
  <c r="K917" i="3" s="1"/>
  <c r="K918" i="3" s="1"/>
  <c r="K919" i="3" s="1"/>
  <c r="K920" i="3" s="1"/>
  <c r="K921" i="3" s="1"/>
  <c r="K922" i="3" s="1"/>
  <c r="K923" i="3" s="1"/>
  <c r="K924" i="3" s="1"/>
  <c r="K925" i="3" s="1"/>
  <c r="K926" i="3" s="1"/>
  <c r="K927" i="3" s="1"/>
  <c r="K928" i="3" s="1"/>
  <c r="K929" i="3" s="1"/>
  <c r="K930" i="3" s="1"/>
  <c r="K931" i="3" s="1"/>
  <c r="K932" i="3" s="1"/>
  <c r="K933" i="3" s="1"/>
  <c r="K934" i="3" s="1"/>
  <c r="K935" i="3" s="1"/>
  <c r="K936" i="3" s="1"/>
  <c r="K937" i="3" s="1"/>
  <c r="K938" i="3" s="1"/>
  <c r="K939" i="3" s="1"/>
  <c r="K940" i="3" s="1"/>
  <c r="K941" i="3" s="1"/>
  <c r="K942" i="3" s="1"/>
  <c r="K943" i="3" s="1"/>
  <c r="K944" i="3" s="1"/>
  <c r="K945" i="3" s="1"/>
  <c r="K946" i="3" s="1"/>
  <c r="K947" i="3" s="1"/>
  <c r="K948" i="3" s="1"/>
  <c r="K949" i="3" s="1"/>
  <c r="K950" i="3" s="1"/>
  <c r="K951" i="3" s="1"/>
  <c r="K952" i="3" s="1"/>
  <c r="K953" i="3" s="1"/>
  <c r="K954" i="3" s="1"/>
  <c r="K955" i="3" s="1"/>
  <c r="K956" i="3" s="1"/>
  <c r="K957" i="3" s="1"/>
  <c r="K958" i="3" s="1"/>
  <c r="K959" i="3" s="1"/>
  <c r="K960" i="3" s="1"/>
  <c r="K961" i="3" s="1"/>
  <c r="K962" i="3" s="1"/>
  <c r="K963" i="3" s="1"/>
  <c r="K964" i="3" s="1"/>
  <c r="K965" i="3" s="1"/>
  <c r="K966" i="3" s="1"/>
  <c r="K967" i="3" s="1"/>
  <c r="K968" i="3" s="1"/>
  <c r="K969" i="3" s="1"/>
  <c r="K970" i="3" s="1"/>
  <c r="K971" i="3" s="1"/>
  <c r="K972" i="3" s="1"/>
  <c r="K973" i="3" s="1"/>
  <c r="K974" i="3" s="1"/>
  <c r="K975" i="3" s="1"/>
  <c r="K976" i="3" s="1"/>
  <c r="K977" i="3" s="1"/>
  <c r="K978" i="3" s="1"/>
  <c r="K979" i="3" s="1"/>
  <c r="K980" i="3" s="1"/>
  <c r="K981" i="3" s="1"/>
  <c r="K982" i="3" s="1"/>
  <c r="K983" i="3" s="1"/>
  <c r="K984" i="3" s="1"/>
  <c r="K985" i="3" s="1"/>
  <c r="K986" i="3" s="1"/>
  <c r="K987" i="3" s="1"/>
  <c r="K988" i="3" s="1"/>
  <c r="K989" i="3" s="1"/>
  <c r="K990" i="3" s="1"/>
  <c r="K991" i="3" s="1"/>
  <c r="K992" i="3" s="1"/>
  <c r="K993" i="3" s="1"/>
  <c r="K994" i="3" s="1"/>
  <c r="K995" i="3" s="1"/>
  <c r="K996" i="3" s="1"/>
  <c r="K997" i="3" s="1"/>
  <c r="K998" i="3" s="1"/>
  <c r="K999" i="3" s="1"/>
  <c r="K1000" i="3" s="1"/>
  <c r="K1001" i="3" s="1"/>
  <c r="K1002" i="3" s="1"/>
  <c r="K1003" i="3" s="1"/>
  <c r="K1004" i="3" s="1"/>
  <c r="K1005" i="3" s="1"/>
  <c r="K1006" i="3" s="1"/>
  <c r="K1007" i="3" s="1"/>
  <c r="K1008" i="3" s="1"/>
  <c r="K1009" i="3" s="1"/>
  <c r="K1010" i="3" s="1"/>
  <c r="K1011" i="3" s="1"/>
  <c r="K1012" i="3" s="1"/>
  <c r="K1013" i="3" s="1"/>
  <c r="K1014" i="3" s="1"/>
  <c r="K1015" i="3" s="1"/>
  <c r="K1016" i="3" s="1"/>
  <c r="K1017" i="3" s="1"/>
  <c r="K1018" i="3" s="1"/>
  <c r="K1019" i="3" s="1"/>
  <c r="K1020" i="3" s="1"/>
  <c r="K1021" i="3" s="1"/>
  <c r="K1022" i="3" s="1"/>
  <c r="K1023" i="3" s="1"/>
  <c r="K1024" i="3" s="1"/>
  <c r="K1025" i="3" s="1"/>
  <c r="K1026" i="3" s="1"/>
  <c r="K1027" i="3" s="1"/>
  <c r="K1028" i="3" s="1"/>
  <c r="K1029" i="3" s="1"/>
  <c r="K1030" i="3" s="1"/>
  <c r="K1031" i="3" s="1"/>
  <c r="K1032" i="3" s="1"/>
  <c r="K1033" i="3" s="1"/>
  <c r="K1034" i="3" s="1"/>
  <c r="K1035" i="3" s="1"/>
  <c r="K1036" i="3" s="1"/>
  <c r="K1037" i="3" s="1"/>
  <c r="K1038" i="3" s="1"/>
  <c r="K1039" i="3" s="1"/>
  <c r="K1040" i="3" s="1"/>
  <c r="K1041" i="3" s="1"/>
  <c r="K1042" i="3" s="1"/>
  <c r="K1043" i="3" s="1"/>
  <c r="K1044" i="3" s="1"/>
  <c r="K1045" i="3" s="1"/>
  <c r="K1046" i="3" s="1"/>
  <c r="K1047" i="3" s="1"/>
  <c r="K1048" i="3" s="1"/>
  <c r="K1049" i="3" s="1"/>
  <c r="K1050" i="3" s="1"/>
  <c r="K1051" i="3" s="1"/>
  <c r="K1052" i="3" s="1"/>
  <c r="K1053" i="3" s="1"/>
  <c r="K1054" i="3" s="1"/>
  <c r="K1055" i="3" s="1"/>
  <c r="K1056" i="3" s="1"/>
  <c r="K1057" i="3" s="1"/>
  <c r="K1058" i="3" s="1"/>
  <c r="K1059" i="3" s="1"/>
  <c r="K1060" i="3" s="1"/>
  <c r="K1061" i="3" s="1"/>
  <c r="K1062" i="3" s="1"/>
  <c r="K1063" i="3" s="1"/>
  <c r="K1064" i="3" s="1"/>
  <c r="K1065" i="3" s="1"/>
  <c r="K1066" i="3" s="1"/>
  <c r="K1067" i="3" s="1"/>
  <c r="K1068" i="3" s="1"/>
  <c r="K1069" i="3" s="1"/>
  <c r="K1070" i="3" s="1"/>
  <c r="K1071" i="3" s="1"/>
  <c r="K1072" i="3" s="1"/>
  <c r="K1073" i="3" s="1"/>
  <c r="K1074" i="3" s="1"/>
  <c r="K1075" i="3" s="1"/>
  <c r="K1076" i="3" s="1"/>
  <c r="K1077" i="3" s="1"/>
  <c r="K1078" i="3" s="1"/>
  <c r="K1079" i="3" s="1"/>
  <c r="K1080" i="3" s="1"/>
  <c r="K1081" i="3" s="1"/>
  <c r="K1082" i="3" s="1"/>
  <c r="K1083" i="3" s="1"/>
  <c r="K1084" i="3" s="1"/>
  <c r="K1085" i="3" s="1"/>
  <c r="K1086" i="3" s="1"/>
  <c r="K1087" i="3" s="1"/>
  <c r="K1088" i="3" s="1"/>
  <c r="K1089" i="3" s="1"/>
  <c r="K1090" i="3" s="1"/>
  <c r="K1091" i="3" s="1"/>
  <c r="K1092" i="3" s="1"/>
  <c r="K1093" i="3" s="1"/>
  <c r="K1094" i="3" s="1"/>
  <c r="K1095" i="3" s="1"/>
  <c r="K1096" i="3" s="1"/>
  <c r="K1097" i="3" s="1"/>
  <c r="K1098" i="3" s="1"/>
  <c r="K1099" i="3" s="1"/>
  <c r="K1100" i="3" s="1"/>
  <c r="K1101" i="3" s="1"/>
  <c r="K1102" i="3" s="1"/>
  <c r="K1103" i="3" s="1"/>
  <c r="K1104" i="3" s="1"/>
  <c r="K1105" i="3" s="1"/>
  <c r="K1106" i="3" s="1"/>
  <c r="K1107" i="3" s="1"/>
  <c r="K1108" i="3" s="1"/>
  <c r="K1109" i="3" s="1"/>
  <c r="K1110" i="3" s="1"/>
  <c r="K1111" i="3" s="1"/>
  <c r="K1112" i="3" s="1"/>
  <c r="K1113" i="3" s="1"/>
  <c r="K1114" i="3" s="1"/>
  <c r="K1115" i="3" s="1"/>
  <c r="K1116" i="3" s="1"/>
  <c r="K1117" i="3" s="1"/>
  <c r="K1118" i="3" s="1"/>
  <c r="K1119" i="3" s="1"/>
  <c r="K1120" i="3" s="1"/>
  <c r="K1121" i="3" s="1"/>
  <c r="K1122" i="3" s="1"/>
  <c r="K1123" i="3" s="1"/>
  <c r="K1124" i="3" s="1"/>
  <c r="K1125" i="3" s="1"/>
  <c r="K1126" i="3" s="1"/>
  <c r="K1127" i="3" s="1"/>
  <c r="K1128" i="3" s="1"/>
  <c r="K1129" i="3" s="1"/>
  <c r="K1130" i="3" s="1"/>
  <c r="K1131" i="3" s="1"/>
  <c r="K1132" i="3" s="1"/>
  <c r="K1133" i="3" s="1"/>
  <c r="K1134" i="3" s="1"/>
  <c r="K1135" i="3" s="1"/>
  <c r="K1136" i="3" s="1"/>
  <c r="K1137" i="3" s="1"/>
  <c r="K1138" i="3" s="1"/>
  <c r="K1139" i="3" s="1"/>
  <c r="K1140" i="3" s="1"/>
  <c r="K1141" i="3" s="1"/>
  <c r="K1142" i="3" s="1"/>
  <c r="K1143" i="3" s="1"/>
  <c r="K1144" i="3" s="1"/>
  <c r="K1145" i="3" s="1"/>
  <c r="K1146" i="3" s="1"/>
  <c r="K1147" i="3" s="1"/>
  <c r="K1148" i="3" s="1"/>
  <c r="K1149" i="3" s="1"/>
  <c r="K1150" i="3" s="1"/>
  <c r="K1151" i="3" s="1"/>
  <c r="K1152" i="3" s="1"/>
  <c r="K1153" i="3" s="1"/>
  <c r="K1154" i="3" s="1"/>
  <c r="K1155" i="3" s="1"/>
  <c r="K1156" i="3" s="1"/>
  <c r="K1157" i="3" s="1"/>
  <c r="K1158" i="3" s="1"/>
  <c r="K1159" i="3" s="1"/>
  <c r="K1160" i="3" s="1"/>
  <c r="K1161" i="3" s="1"/>
  <c r="K1162" i="3" s="1"/>
  <c r="K1163" i="3" s="1"/>
  <c r="K1164" i="3" s="1"/>
  <c r="K1165" i="3" s="1"/>
  <c r="K1166" i="3" s="1"/>
  <c r="K1167" i="3" s="1"/>
  <c r="K1168" i="3" s="1"/>
  <c r="K1169" i="3" s="1"/>
  <c r="K1170" i="3" s="1"/>
  <c r="K1171" i="3" s="1"/>
  <c r="K1172" i="3" s="1"/>
  <c r="K1173" i="3" s="1"/>
  <c r="K1174" i="3" s="1"/>
  <c r="K1175" i="3" s="1"/>
  <c r="K1176" i="3" s="1"/>
  <c r="K1177" i="3" s="1"/>
  <c r="K1178" i="3" s="1"/>
  <c r="K1179" i="3" s="1"/>
  <c r="K1180" i="3" s="1"/>
  <c r="K1181" i="3" s="1"/>
  <c r="K1182" i="3" s="1"/>
  <c r="K1183" i="3" s="1"/>
  <c r="K1184" i="3" s="1"/>
  <c r="K1185" i="3" s="1"/>
  <c r="K1186" i="3" s="1"/>
  <c r="K1187" i="3" s="1"/>
  <c r="K1188" i="3" s="1"/>
  <c r="K1189" i="3" s="1"/>
  <c r="K1190" i="3" s="1"/>
  <c r="K1191" i="3" s="1"/>
  <c r="K1192" i="3" s="1"/>
  <c r="K1193" i="3" s="1"/>
  <c r="K1194" i="3" s="1"/>
  <c r="K1195" i="3" s="1"/>
  <c r="K1196" i="3" s="1"/>
  <c r="K1197" i="3" s="1"/>
  <c r="K1198" i="3" s="1"/>
  <c r="K1199" i="3" s="1"/>
  <c r="K1200" i="3" s="1"/>
  <c r="K1201" i="3" s="1"/>
  <c r="K1202" i="3" s="1"/>
  <c r="K1203" i="3" s="1"/>
  <c r="K1204" i="3" s="1"/>
  <c r="K1205" i="3" s="1"/>
  <c r="K1206" i="3" s="1"/>
  <c r="K1207" i="3" s="1"/>
  <c r="K1208" i="3" s="1"/>
  <c r="K1209" i="3" s="1"/>
  <c r="K1210" i="3" s="1"/>
  <c r="K1211" i="3" s="1"/>
  <c r="K1212" i="3" s="1"/>
  <c r="K1213" i="3" s="1"/>
  <c r="K1214" i="3" s="1"/>
  <c r="K1215" i="3" s="1"/>
  <c r="K1216" i="3" s="1"/>
  <c r="K1217" i="3" s="1"/>
  <c r="K1218" i="3" s="1"/>
  <c r="K1219" i="3" s="1"/>
  <c r="K1220" i="3" s="1"/>
  <c r="K1221" i="3" s="1"/>
  <c r="K1222" i="3" s="1"/>
  <c r="K1223" i="3" s="1"/>
  <c r="K1224" i="3" s="1"/>
  <c r="K1225" i="3" s="1"/>
  <c r="K1226" i="3" s="1"/>
  <c r="K1227" i="3" s="1"/>
  <c r="K1228" i="3" s="1"/>
  <c r="K1229" i="3" s="1"/>
  <c r="K1230" i="3" s="1"/>
  <c r="K1231" i="3" s="1"/>
  <c r="K1232" i="3" s="1"/>
  <c r="K1233" i="3" s="1"/>
  <c r="K1234" i="3" s="1"/>
  <c r="K1235" i="3" s="1"/>
  <c r="K1236" i="3" s="1"/>
  <c r="K1237" i="3" s="1"/>
  <c r="K1238" i="3" s="1"/>
  <c r="K1239" i="3" s="1"/>
  <c r="K1240" i="3" s="1"/>
  <c r="K1241" i="3" s="1"/>
  <c r="K1242" i="3" s="1"/>
  <c r="K1243" i="3" s="1"/>
  <c r="K1244" i="3" s="1"/>
  <c r="K1245" i="3" s="1"/>
  <c r="K1246" i="3" s="1"/>
  <c r="K1247" i="3" s="1"/>
  <c r="K1248" i="3" s="1"/>
  <c r="K1249" i="3" s="1"/>
  <c r="K1250" i="3" s="1"/>
  <c r="K1251" i="3" s="1"/>
  <c r="K1252" i="3" s="1"/>
  <c r="K1253" i="3" s="1"/>
  <c r="K1254" i="3" s="1"/>
  <c r="K1255" i="3" s="1"/>
  <c r="K1256" i="3" s="1"/>
  <c r="K1257" i="3" s="1"/>
  <c r="K1258" i="3" s="1"/>
  <c r="K1259" i="3" s="1"/>
  <c r="K1260" i="3" s="1"/>
  <c r="K1261" i="3" s="1"/>
  <c r="K1262" i="3" s="1"/>
  <c r="K1263" i="3" s="1"/>
  <c r="K1264" i="3" s="1"/>
  <c r="K1265" i="3" s="1"/>
  <c r="K1266" i="3" s="1"/>
  <c r="K1267" i="3" s="1"/>
  <c r="K1268" i="3" s="1"/>
  <c r="K1269" i="3" s="1"/>
  <c r="K1270" i="3" s="1"/>
  <c r="K1271" i="3" s="1"/>
  <c r="K1272" i="3" s="1"/>
  <c r="K1273" i="3" s="1"/>
  <c r="K1274" i="3" s="1"/>
  <c r="K1275" i="3" s="1"/>
  <c r="K1276" i="3" s="1"/>
  <c r="K1277" i="3" s="1"/>
  <c r="K1278" i="3" s="1"/>
  <c r="K1279" i="3" s="1"/>
  <c r="K1280" i="3" s="1"/>
  <c r="K1281" i="3" s="1"/>
  <c r="K1282" i="3" s="1"/>
  <c r="K1283" i="3" s="1"/>
  <c r="K1284" i="3" s="1"/>
  <c r="K1285" i="3" s="1"/>
  <c r="K1286" i="3" s="1"/>
  <c r="K1287" i="3" s="1"/>
  <c r="K1288" i="3" s="1"/>
  <c r="K1289" i="3" s="1"/>
  <c r="K1290" i="3" s="1"/>
  <c r="K1291" i="3" s="1"/>
  <c r="K1292" i="3" s="1"/>
  <c r="K1293" i="3" s="1"/>
  <c r="K1294" i="3" s="1"/>
  <c r="K1295" i="3" s="1"/>
  <c r="K1296" i="3" s="1"/>
  <c r="K1297" i="3" s="1"/>
  <c r="K1298" i="3" s="1"/>
  <c r="K1299" i="3" s="1"/>
  <c r="K1300" i="3" s="1"/>
  <c r="K1301" i="3" s="1"/>
  <c r="K1302" i="3" s="1"/>
  <c r="K1303" i="3" s="1"/>
  <c r="K1304" i="3" s="1"/>
  <c r="K1305" i="3" s="1"/>
  <c r="K1306" i="3" s="1"/>
  <c r="K1307" i="3" s="1"/>
  <c r="K1308" i="3" s="1"/>
  <c r="K1309" i="3" s="1"/>
  <c r="K1310" i="3" s="1"/>
  <c r="K1311" i="3" s="1"/>
  <c r="K1312" i="3" s="1"/>
  <c r="K1313" i="3" s="1"/>
  <c r="K1314" i="3" s="1"/>
  <c r="K1315" i="3" s="1"/>
  <c r="K1316" i="3" s="1"/>
  <c r="K1317" i="3" s="1"/>
  <c r="K1318" i="3" s="1"/>
  <c r="K1319" i="3" s="1"/>
  <c r="K1320" i="3" s="1"/>
  <c r="K1321" i="3" s="1"/>
  <c r="K1322" i="3" s="1"/>
  <c r="K1323" i="3" s="1"/>
  <c r="K1324" i="3" s="1"/>
  <c r="K1325" i="3" s="1"/>
  <c r="K1326" i="3" s="1"/>
  <c r="K1327" i="3" s="1"/>
  <c r="K1328" i="3" s="1"/>
  <c r="K1329" i="3" s="1"/>
  <c r="K1330" i="3" s="1"/>
  <c r="K1331" i="3" s="1"/>
  <c r="K1332" i="3" s="1"/>
  <c r="K1333" i="3" s="1"/>
  <c r="K1334" i="3" s="1"/>
  <c r="K1335" i="3" s="1"/>
  <c r="K1336" i="3" s="1"/>
  <c r="K1337" i="3" s="1"/>
  <c r="K1338" i="3" s="1"/>
  <c r="K1339" i="3" s="1"/>
  <c r="K1340" i="3" s="1"/>
  <c r="K1341" i="3" s="1"/>
  <c r="K1342" i="3" s="1"/>
  <c r="K1343" i="3" s="1"/>
  <c r="K1344" i="3" s="1"/>
  <c r="K1345" i="3" s="1"/>
  <c r="K1346" i="3" s="1"/>
  <c r="K1347" i="3" s="1"/>
  <c r="K1348" i="3" s="1"/>
  <c r="K1349" i="3" s="1"/>
  <c r="K1350" i="3" s="1"/>
  <c r="K1351" i="3" s="1"/>
  <c r="K1352" i="3" s="1"/>
  <c r="K1353" i="3" s="1"/>
  <c r="K1354" i="3" s="1"/>
  <c r="K1355" i="3" s="1"/>
  <c r="K1356" i="3" s="1"/>
  <c r="K1357" i="3" s="1"/>
  <c r="K1358" i="3" s="1"/>
  <c r="K1359" i="3" s="1"/>
  <c r="K1360" i="3" s="1"/>
  <c r="K1361" i="3" s="1"/>
  <c r="K1362" i="3" s="1"/>
  <c r="K1363" i="3" s="1"/>
  <c r="K1364" i="3" s="1"/>
  <c r="K1365" i="3" s="1"/>
  <c r="K1366" i="3" s="1"/>
  <c r="K1367" i="3" s="1"/>
  <c r="K1368" i="3" s="1"/>
  <c r="K1369" i="3" s="1"/>
  <c r="K1370" i="3" s="1"/>
  <c r="K1371" i="3" s="1"/>
  <c r="K1372" i="3" s="1"/>
  <c r="K1373" i="3" s="1"/>
  <c r="K1374" i="3" s="1"/>
  <c r="K1375" i="3" s="1"/>
  <c r="K1376" i="3" s="1"/>
  <c r="K1377" i="3" s="1"/>
  <c r="K1378" i="3" s="1"/>
  <c r="K1379" i="3" s="1"/>
  <c r="K1380" i="3" s="1"/>
  <c r="K1381" i="3" s="1"/>
  <c r="K1382" i="3" s="1"/>
  <c r="K1383" i="3" s="1"/>
  <c r="K1384" i="3" s="1"/>
  <c r="K1385" i="3" s="1"/>
  <c r="K1386" i="3" s="1"/>
  <c r="K1387" i="3" s="1"/>
  <c r="K1388" i="3" s="1"/>
  <c r="K1389" i="3" s="1"/>
  <c r="K1390" i="3" s="1"/>
  <c r="K1391" i="3" s="1"/>
  <c r="K1392" i="3" s="1"/>
  <c r="K1393" i="3" s="1"/>
  <c r="K1394" i="3" s="1"/>
  <c r="K1395" i="3" s="1"/>
  <c r="K1396" i="3" s="1"/>
  <c r="K1397" i="3" s="1"/>
  <c r="K1398" i="3" s="1"/>
  <c r="K1399" i="3" s="1"/>
  <c r="K1400" i="3" s="1"/>
  <c r="K1401" i="3" s="1"/>
  <c r="K1402" i="3" s="1"/>
  <c r="K1403" i="3" s="1"/>
  <c r="K1404" i="3" s="1"/>
  <c r="K1405" i="3" s="1"/>
  <c r="K1406" i="3" s="1"/>
  <c r="K1407" i="3" s="1"/>
  <c r="K1408" i="3" s="1"/>
  <c r="K1409" i="3" s="1"/>
  <c r="K1410" i="3" s="1"/>
  <c r="K1411" i="3" s="1"/>
  <c r="K1412" i="3" s="1"/>
  <c r="K1413" i="3" s="1"/>
  <c r="K1414" i="3" s="1"/>
  <c r="K1415" i="3" s="1"/>
  <c r="K1416" i="3" s="1"/>
  <c r="K1417" i="3" s="1"/>
  <c r="K1418" i="3" s="1"/>
  <c r="K1419" i="3" s="1"/>
  <c r="K1420" i="3" s="1"/>
  <c r="K1421" i="3" s="1"/>
  <c r="K1422" i="3" s="1"/>
  <c r="K1423" i="3" s="1"/>
  <c r="K1424" i="3" s="1"/>
  <c r="K1425" i="3" s="1"/>
  <c r="K1426" i="3" s="1"/>
  <c r="K1427" i="3" s="1"/>
  <c r="K1428" i="3" s="1"/>
  <c r="K1429" i="3" s="1"/>
  <c r="K1430" i="3" s="1"/>
  <c r="K1431" i="3" s="1"/>
  <c r="K1432" i="3" s="1"/>
  <c r="K1433" i="3" s="1"/>
  <c r="K1434" i="3" s="1"/>
  <c r="K1435" i="3" s="1"/>
  <c r="K1436" i="3" s="1"/>
  <c r="K1437" i="3" s="1"/>
  <c r="K1438" i="3" s="1"/>
  <c r="K1439" i="3" s="1"/>
  <c r="K1440" i="3" s="1"/>
  <c r="K1441" i="3" s="1"/>
  <c r="K1442" i="3" s="1"/>
  <c r="K1443" i="3" s="1"/>
  <c r="K1444" i="3" s="1"/>
  <c r="K1445" i="3" s="1"/>
  <c r="K1446" i="3" s="1"/>
  <c r="K1447" i="3" s="1"/>
  <c r="K1448" i="3" s="1"/>
  <c r="K1449" i="3" s="1"/>
  <c r="K1450" i="3" s="1"/>
  <c r="K1451" i="3" s="1"/>
  <c r="K1452" i="3" s="1"/>
  <c r="K1453" i="3" s="1"/>
  <c r="K1454" i="3" s="1"/>
  <c r="K1455" i="3" s="1"/>
  <c r="K1456" i="3" s="1"/>
  <c r="K1457" i="3" s="1"/>
  <c r="K1458" i="3" s="1"/>
  <c r="K1459" i="3" s="1"/>
  <c r="K1460" i="3" s="1"/>
  <c r="K1461" i="3" s="1"/>
  <c r="K1462" i="3" s="1"/>
  <c r="K1463" i="3" s="1"/>
  <c r="K1464" i="3" s="1"/>
  <c r="K1465" i="3" s="1"/>
  <c r="K1466" i="3" s="1"/>
  <c r="K1467" i="3" s="1"/>
  <c r="K1468" i="3" s="1"/>
  <c r="K1469" i="3" s="1"/>
  <c r="K1470" i="3" s="1"/>
  <c r="K1471" i="3" s="1"/>
  <c r="K1472" i="3" s="1"/>
  <c r="K1473" i="3" s="1"/>
  <c r="K1474" i="3" s="1"/>
  <c r="K1475" i="3" s="1"/>
  <c r="K1476" i="3" s="1"/>
  <c r="K1477" i="3" s="1"/>
  <c r="K1478" i="3" s="1"/>
  <c r="K1479" i="3" s="1"/>
  <c r="K1480" i="3" s="1"/>
  <c r="K1481" i="3" s="1"/>
  <c r="K1482" i="3" s="1"/>
  <c r="K1483" i="3" s="1"/>
  <c r="K1484" i="3" s="1"/>
  <c r="K1485" i="3" s="1"/>
  <c r="K1486" i="3" s="1"/>
  <c r="K1487" i="3" s="1"/>
  <c r="K1488" i="3" s="1"/>
  <c r="K1489" i="3" s="1"/>
  <c r="K1490" i="3" s="1"/>
  <c r="K1491" i="3" s="1"/>
  <c r="K1492" i="3" s="1"/>
  <c r="K1493" i="3" s="1"/>
  <c r="K1494" i="3" s="1"/>
  <c r="K1495" i="3" s="1"/>
  <c r="K1496" i="3" s="1"/>
  <c r="K1497" i="3" s="1"/>
  <c r="K1498" i="3" s="1"/>
  <c r="K1499" i="3" s="1"/>
  <c r="K1500" i="3" s="1"/>
  <c r="K1501" i="3" s="1"/>
  <c r="K1502" i="3" s="1"/>
  <c r="K1503" i="3" s="1"/>
  <c r="K1504" i="3" s="1"/>
  <c r="K1505" i="3" s="1"/>
  <c r="K1506" i="3" s="1"/>
  <c r="K1507" i="3" s="1"/>
  <c r="K1508" i="3" s="1"/>
  <c r="K1509" i="3" s="1"/>
  <c r="K1510" i="3" s="1"/>
  <c r="K1511" i="3" s="1"/>
  <c r="K1512" i="3" s="1"/>
  <c r="K1513" i="3" s="1"/>
  <c r="K1514" i="3" s="1"/>
  <c r="K1515" i="3" s="1"/>
  <c r="K1516" i="3" s="1"/>
  <c r="K1517" i="3" s="1"/>
  <c r="K1518" i="3" s="1"/>
  <c r="K1519" i="3" s="1"/>
  <c r="K1520" i="3" s="1"/>
  <c r="K1521" i="3" s="1"/>
  <c r="K1522" i="3" s="1"/>
  <c r="K1523" i="3" s="1"/>
  <c r="K1524" i="3" s="1"/>
  <c r="K1525" i="3" s="1"/>
  <c r="K1526" i="3" s="1"/>
  <c r="K1527" i="3" s="1"/>
  <c r="K1528" i="3" s="1"/>
  <c r="K1529" i="3" s="1"/>
  <c r="K1530" i="3" s="1"/>
  <c r="K1531" i="3" s="1"/>
  <c r="K1532" i="3" s="1"/>
  <c r="K1533" i="3" s="1"/>
  <c r="K1534" i="3" s="1"/>
  <c r="K1535" i="3" s="1"/>
  <c r="K1536" i="3" s="1"/>
  <c r="K1537" i="3" s="1"/>
  <c r="K1538" i="3" s="1"/>
  <c r="K1539" i="3" s="1"/>
  <c r="K1540" i="3" s="1"/>
  <c r="K1541" i="3" s="1"/>
  <c r="K1542" i="3" s="1"/>
  <c r="K1543" i="3" s="1"/>
  <c r="K1544" i="3" s="1"/>
  <c r="K1545" i="3" s="1"/>
  <c r="K1546" i="3" s="1"/>
  <c r="K1547" i="3" s="1"/>
  <c r="K1548" i="3" s="1"/>
  <c r="K1549" i="3" s="1"/>
  <c r="K1550" i="3" s="1"/>
  <c r="K1551" i="3" s="1"/>
  <c r="K1552" i="3" s="1"/>
  <c r="K1553" i="3" s="1"/>
  <c r="K1554" i="3" s="1"/>
  <c r="K1555" i="3" s="1"/>
  <c r="K1556" i="3" s="1"/>
  <c r="K1557" i="3" s="1"/>
  <c r="K1558" i="3" s="1"/>
  <c r="K1559" i="3" s="1"/>
  <c r="K1560" i="3" s="1"/>
  <c r="K1561" i="3" s="1"/>
  <c r="K1562" i="3" s="1"/>
  <c r="K1563" i="3" s="1"/>
  <c r="K1564" i="3" s="1"/>
  <c r="K1565" i="3" s="1"/>
  <c r="K1566" i="3" s="1"/>
  <c r="K1567" i="3" s="1"/>
  <c r="K1568" i="3" s="1"/>
  <c r="K1569" i="3" s="1"/>
  <c r="K1570" i="3" s="1"/>
  <c r="K1571" i="3" s="1"/>
  <c r="K1572" i="3" s="1"/>
  <c r="K1573" i="3" s="1"/>
  <c r="K1574" i="3" s="1"/>
  <c r="K1575" i="3" s="1"/>
  <c r="K1576" i="3" s="1"/>
  <c r="K1577" i="3" s="1"/>
  <c r="K1578" i="3" s="1"/>
  <c r="K1579" i="3" s="1"/>
  <c r="K1580" i="3" s="1"/>
  <c r="K1581" i="3" s="1"/>
  <c r="K1582" i="3" s="1"/>
  <c r="K1583" i="3" s="1"/>
  <c r="K1584" i="3" s="1"/>
  <c r="K1585" i="3" s="1"/>
  <c r="K1586" i="3" s="1"/>
  <c r="K1587" i="3" s="1"/>
  <c r="K1588" i="3" s="1"/>
  <c r="K1589" i="3" s="1"/>
  <c r="K1590" i="3" s="1"/>
  <c r="K1591" i="3" s="1"/>
  <c r="K1592" i="3" s="1"/>
  <c r="K1593" i="3" s="1"/>
  <c r="K1594" i="3" s="1"/>
  <c r="K1595" i="3" s="1"/>
  <c r="K1596" i="3" s="1"/>
  <c r="K1597" i="3" s="1"/>
  <c r="K1598" i="3" s="1"/>
  <c r="K1599" i="3" s="1"/>
  <c r="K1600" i="3" s="1"/>
  <c r="K1601" i="3" s="1"/>
  <c r="K1602" i="3" s="1"/>
  <c r="K1603" i="3" s="1"/>
  <c r="K1604" i="3" s="1"/>
  <c r="K1605" i="3" s="1"/>
  <c r="K1606" i="3" s="1"/>
  <c r="K1607" i="3" s="1"/>
  <c r="K1608" i="3" s="1"/>
  <c r="K1609" i="3" s="1"/>
  <c r="K1610" i="3" s="1"/>
  <c r="K1611" i="3" s="1"/>
  <c r="K1612" i="3" s="1"/>
  <c r="K1613" i="3" s="1"/>
  <c r="K1614" i="3" s="1"/>
  <c r="K1615" i="3" s="1"/>
  <c r="K1616" i="3" s="1"/>
  <c r="K1617" i="3" s="1"/>
  <c r="K1618" i="3" s="1"/>
  <c r="K1619" i="3" s="1"/>
  <c r="K1620" i="3" s="1"/>
  <c r="K1621" i="3" s="1"/>
  <c r="K1622" i="3" s="1"/>
  <c r="K1623" i="3" s="1"/>
  <c r="K1624" i="3" s="1"/>
  <c r="K1625" i="3" s="1"/>
  <c r="K1626" i="3" s="1"/>
  <c r="K1627" i="3" s="1"/>
  <c r="K1628" i="3" s="1"/>
  <c r="K1629" i="3" s="1"/>
  <c r="K1630" i="3" s="1"/>
  <c r="K1631" i="3" s="1"/>
  <c r="K1632" i="3" s="1"/>
  <c r="K1633" i="3" s="1"/>
  <c r="K1634" i="3" s="1"/>
  <c r="K1635" i="3" s="1"/>
  <c r="K1636" i="3" s="1"/>
  <c r="K1637" i="3" s="1"/>
  <c r="K1638" i="3" s="1"/>
  <c r="K1639" i="3" s="1"/>
  <c r="K1640" i="3" s="1"/>
  <c r="K1641" i="3" s="1"/>
  <c r="K1642" i="3" s="1"/>
  <c r="K1643" i="3" s="1"/>
  <c r="K1644" i="3" s="1"/>
  <c r="K1645" i="3" s="1"/>
  <c r="K1646" i="3" s="1"/>
  <c r="K1647" i="3" s="1"/>
  <c r="K1648" i="3" s="1"/>
  <c r="K1649" i="3" s="1"/>
  <c r="K1650" i="3" s="1"/>
  <c r="K1651" i="3" s="1"/>
  <c r="K1652" i="3" s="1"/>
  <c r="K1653" i="3" s="1"/>
  <c r="K1654" i="3" s="1"/>
  <c r="K1655" i="3" s="1"/>
  <c r="K1656" i="3" s="1"/>
  <c r="K1657" i="3" s="1"/>
  <c r="K1658" i="3" s="1"/>
  <c r="K1659" i="3" s="1"/>
  <c r="K1660" i="3" s="1"/>
  <c r="K1661" i="3" s="1"/>
  <c r="K1662" i="3" s="1"/>
  <c r="K1663" i="3" s="1"/>
  <c r="K1664" i="3" s="1"/>
  <c r="K1665" i="3" s="1"/>
  <c r="K1666" i="3" s="1"/>
  <c r="K1667" i="3" s="1"/>
  <c r="K1668" i="3" s="1"/>
  <c r="K1669" i="3" s="1"/>
  <c r="K1670" i="3" s="1"/>
  <c r="K1671" i="3" s="1"/>
  <c r="K1672" i="3" s="1"/>
  <c r="K1673" i="3" s="1"/>
  <c r="K1674" i="3" s="1"/>
  <c r="K1675" i="3" s="1"/>
  <c r="K1676" i="3" s="1"/>
  <c r="K1677" i="3" s="1"/>
  <c r="K1678" i="3" s="1"/>
  <c r="K1679" i="3" s="1"/>
  <c r="K1680" i="3" s="1"/>
  <c r="K1681" i="3" s="1"/>
  <c r="K1682" i="3" s="1"/>
  <c r="K1683" i="3" s="1"/>
  <c r="K1684" i="3" s="1"/>
  <c r="K1685" i="3" s="1"/>
  <c r="K1686" i="3" s="1"/>
  <c r="K1687" i="3" s="1"/>
  <c r="K1688" i="3" s="1"/>
  <c r="K1689" i="3" s="1"/>
  <c r="K1690" i="3" s="1"/>
  <c r="K1691" i="3" s="1"/>
  <c r="K1692" i="3" s="1"/>
  <c r="K1693" i="3" s="1"/>
  <c r="K1694" i="3" s="1"/>
  <c r="K1695" i="3" s="1"/>
  <c r="K1696" i="3" s="1"/>
  <c r="K1697" i="3" s="1"/>
  <c r="K1698" i="3" s="1"/>
  <c r="K1699" i="3" s="1"/>
  <c r="K1700" i="3" s="1"/>
  <c r="K1701" i="3" s="1"/>
  <c r="K1702" i="3" s="1"/>
  <c r="K1703" i="3" s="1"/>
  <c r="K1704" i="3" s="1"/>
  <c r="K1705" i="3" s="1"/>
  <c r="K1706" i="3" s="1"/>
  <c r="K1707" i="3" s="1"/>
  <c r="K1708" i="3" s="1"/>
  <c r="K1709" i="3" s="1"/>
  <c r="K1710" i="3" s="1"/>
  <c r="K1711" i="3" s="1"/>
  <c r="K1712" i="3" s="1"/>
  <c r="K1713" i="3" s="1"/>
  <c r="K1714" i="3" s="1"/>
  <c r="K1715" i="3" s="1"/>
  <c r="K1716" i="3" s="1"/>
  <c r="K1717" i="3" s="1"/>
  <c r="K1718" i="3" s="1"/>
  <c r="K1719" i="3" s="1"/>
  <c r="K1720" i="3" s="1"/>
  <c r="K1721" i="3" s="1"/>
  <c r="K1722" i="3" s="1"/>
  <c r="K1723" i="3" s="1"/>
  <c r="K1724" i="3" s="1"/>
  <c r="K1725" i="3" s="1"/>
  <c r="K1726" i="3" s="1"/>
  <c r="K1727" i="3" s="1"/>
  <c r="K1728" i="3" s="1"/>
  <c r="K1729" i="3" s="1"/>
  <c r="K1730" i="3" s="1"/>
  <c r="K1731" i="3" s="1"/>
  <c r="K1732" i="3" s="1"/>
  <c r="K1733" i="3" s="1"/>
  <c r="K1734" i="3" s="1"/>
  <c r="K1735" i="3" s="1"/>
  <c r="K1736" i="3" s="1"/>
  <c r="K1737" i="3" s="1"/>
  <c r="K1738" i="3" s="1"/>
  <c r="K1739" i="3" s="1"/>
  <c r="K1740" i="3" s="1"/>
  <c r="K1741" i="3" s="1"/>
  <c r="K1742" i="3" s="1"/>
  <c r="K1743" i="3" s="1"/>
  <c r="K1744" i="3" s="1"/>
  <c r="K1745" i="3" s="1"/>
  <c r="K1746" i="3" s="1"/>
  <c r="K1747" i="3" s="1"/>
  <c r="K1748" i="3" s="1"/>
  <c r="K1749" i="3" s="1"/>
  <c r="K1750" i="3" s="1"/>
  <c r="K1751" i="3" s="1"/>
  <c r="K1752" i="3" s="1"/>
  <c r="K1753" i="3" s="1"/>
  <c r="K1754" i="3" s="1"/>
  <c r="K1755" i="3" s="1"/>
  <c r="K1756" i="3" s="1"/>
  <c r="K1757" i="3" s="1"/>
  <c r="K1758" i="3" s="1"/>
  <c r="K1759" i="3" s="1"/>
  <c r="K1760" i="3" s="1"/>
  <c r="K1761" i="3" s="1"/>
  <c r="K1762" i="3" s="1"/>
  <c r="K1763" i="3" s="1"/>
  <c r="K1764" i="3" s="1"/>
  <c r="K1765" i="3" s="1"/>
  <c r="K1766" i="3" s="1"/>
  <c r="K1767" i="3" s="1"/>
  <c r="K1768" i="3" s="1"/>
  <c r="K1769" i="3" s="1"/>
  <c r="K1770" i="3" s="1"/>
  <c r="K1771" i="3" s="1"/>
  <c r="K1772" i="3" s="1"/>
  <c r="K1773" i="3" s="1"/>
  <c r="K1774" i="3" s="1"/>
  <c r="K1775" i="3" s="1"/>
  <c r="K1776" i="3" s="1"/>
  <c r="K1777" i="3" s="1"/>
  <c r="K1778" i="3" s="1"/>
  <c r="K1779" i="3" s="1"/>
  <c r="K1780" i="3" s="1"/>
  <c r="K1781" i="3" s="1"/>
  <c r="K1782" i="3" s="1"/>
  <c r="K1783" i="3" s="1"/>
  <c r="K1784" i="3" s="1"/>
  <c r="K1785" i="3" s="1"/>
  <c r="K1786" i="3" s="1"/>
  <c r="K1787" i="3" s="1"/>
  <c r="K1788" i="3" s="1"/>
  <c r="K1789" i="3" s="1"/>
  <c r="K1790" i="3" s="1"/>
  <c r="K1791" i="3" s="1"/>
  <c r="K1792" i="3" s="1"/>
  <c r="K1793" i="3" s="1"/>
  <c r="K1794" i="3" s="1"/>
  <c r="K1795" i="3" s="1"/>
  <c r="K1796" i="3" s="1"/>
  <c r="K1797" i="3" s="1"/>
  <c r="K1798" i="3" s="1"/>
  <c r="K1799" i="3" s="1"/>
  <c r="K1800" i="3" s="1"/>
  <c r="K1801" i="3" s="1"/>
  <c r="K1802" i="3" s="1"/>
  <c r="K1803" i="3" s="1"/>
  <c r="K1804" i="3" s="1"/>
  <c r="K1805" i="3" s="1"/>
  <c r="K1806" i="3" s="1"/>
  <c r="K1807" i="3" s="1"/>
  <c r="K1808" i="3" s="1"/>
  <c r="K1809" i="3" s="1"/>
  <c r="K1810" i="3" s="1"/>
  <c r="K1811" i="3" s="1"/>
  <c r="K1812" i="3" s="1"/>
  <c r="K1813" i="3" s="1"/>
  <c r="K1814" i="3" s="1"/>
  <c r="K1815" i="3" s="1"/>
  <c r="K1816" i="3" s="1"/>
  <c r="K1817" i="3" s="1"/>
  <c r="K1818" i="3" s="1"/>
  <c r="K1819" i="3" s="1"/>
  <c r="K1820" i="3" s="1"/>
  <c r="K1821" i="3" s="1"/>
  <c r="K1822" i="3" s="1"/>
  <c r="K1823" i="3" s="1"/>
  <c r="K1824" i="3" s="1"/>
  <c r="K1825" i="3" s="1"/>
  <c r="K1826" i="3" s="1"/>
  <c r="K1827" i="3" s="1"/>
  <c r="K1828" i="3" s="1"/>
  <c r="K1829" i="3" s="1"/>
  <c r="K1830" i="3" s="1"/>
  <c r="K1831" i="3" s="1"/>
  <c r="K1832" i="3" s="1"/>
  <c r="K1833" i="3" s="1"/>
  <c r="K1834" i="3" s="1"/>
  <c r="K1835" i="3" s="1"/>
  <c r="K1836" i="3" s="1"/>
  <c r="K1837" i="3" s="1"/>
  <c r="K1838" i="3" s="1"/>
  <c r="K1839" i="3" s="1"/>
  <c r="K1840" i="3" s="1"/>
  <c r="K1841" i="3" s="1"/>
  <c r="K1842" i="3" s="1"/>
  <c r="K1843" i="3" s="1"/>
  <c r="K1844" i="3" s="1"/>
  <c r="K1845" i="3" s="1"/>
  <c r="K1846" i="3" s="1"/>
  <c r="K1847" i="3" s="1"/>
  <c r="K1848" i="3" s="1"/>
  <c r="K1849" i="3" s="1"/>
  <c r="K1850" i="3" s="1"/>
  <c r="K1851" i="3" s="1"/>
  <c r="K1852" i="3" s="1"/>
  <c r="K1853" i="3" s="1"/>
  <c r="K1854" i="3" s="1"/>
  <c r="K1855" i="3" s="1"/>
  <c r="K1856" i="3" s="1"/>
  <c r="K1857" i="3" s="1"/>
  <c r="K1858" i="3" s="1"/>
  <c r="K1859" i="3" s="1"/>
  <c r="K1860" i="3" s="1"/>
  <c r="K1861" i="3" s="1"/>
  <c r="K1862" i="3" s="1"/>
  <c r="K1863" i="3" s="1"/>
  <c r="K1864" i="3" s="1"/>
  <c r="K1865" i="3" s="1"/>
  <c r="K1866" i="3" s="1"/>
  <c r="K1867" i="3" s="1"/>
  <c r="K1868" i="3" s="1"/>
  <c r="K1869" i="3" s="1"/>
  <c r="K1870" i="3" s="1"/>
  <c r="K1871" i="3" s="1"/>
  <c r="K1872" i="3" s="1"/>
  <c r="K1873" i="3" s="1"/>
  <c r="K1874" i="3" s="1"/>
  <c r="K1875" i="3" s="1"/>
  <c r="K1876" i="3" s="1"/>
  <c r="K1877" i="3" s="1"/>
  <c r="K1878" i="3" s="1"/>
  <c r="K1879" i="3" s="1"/>
  <c r="K1880" i="3" s="1"/>
  <c r="K1881" i="3" s="1"/>
  <c r="K1882" i="3" s="1"/>
  <c r="K1883" i="3" s="1"/>
  <c r="K1884" i="3" s="1"/>
  <c r="K1885" i="3" s="1"/>
  <c r="K1886" i="3" s="1"/>
  <c r="K1887" i="3" s="1"/>
  <c r="K1888" i="3" s="1"/>
  <c r="K1889" i="3" s="1"/>
  <c r="K1890" i="3" s="1"/>
  <c r="K1891" i="3" s="1"/>
  <c r="K1892" i="3" s="1"/>
  <c r="K1893" i="3" s="1"/>
  <c r="K1894" i="3" s="1"/>
  <c r="K1895" i="3" s="1"/>
  <c r="K1896" i="3" s="1"/>
  <c r="K1897" i="3" s="1"/>
  <c r="K1898" i="3" s="1"/>
  <c r="K1899" i="3" s="1"/>
  <c r="K1900" i="3" s="1"/>
  <c r="K1901" i="3" s="1"/>
  <c r="K1902" i="3" s="1"/>
  <c r="K1903" i="3" s="1"/>
  <c r="K1904" i="3" s="1"/>
  <c r="K1905" i="3" s="1"/>
  <c r="K1906" i="3" s="1"/>
  <c r="K1907" i="3" s="1"/>
  <c r="K1908" i="3" s="1"/>
  <c r="K1909" i="3" s="1"/>
  <c r="K1910" i="3" s="1"/>
  <c r="K1911" i="3" s="1"/>
  <c r="K1912" i="3" s="1"/>
  <c r="K1913" i="3" s="1"/>
  <c r="K1914" i="3" s="1"/>
  <c r="K1915" i="3" s="1"/>
  <c r="K1916" i="3" s="1"/>
  <c r="K1917" i="3" s="1"/>
  <c r="K1918" i="3" s="1"/>
  <c r="K1919" i="3" s="1"/>
  <c r="K1920" i="3" s="1"/>
  <c r="K1921" i="3" s="1"/>
  <c r="K1922" i="3" s="1"/>
  <c r="K1923" i="3" s="1"/>
  <c r="K1924" i="3" s="1"/>
  <c r="K1925" i="3" s="1"/>
  <c r="K1926" i="3" s="1"/>
  <c r="K1927" i="3" s="1"/>
  <c r="K1928" i="3" s="1"/>
  <c r="K1929" i="3" s="1"/>
  <c r="K1930" i="3" s="1"/>
  <c r="K1931" i="3" s="1"/>
  <c r="K1932" i="3" s="1"/>
  <c r="K1933" i="3" s="1"/>
  <c r="K1934" i="3" s="1"/>
  <c r="K1935" i="3" s="1"/>
  <c r="K1936" i="3" s="1"/>
  <c r="K1937" i="3" s="1"/>
  <c r="K1938" i="3" s="1"/>
  <c r="K1939" i="3" s="1"/>
  <c r="K1940" i="3" s="1"/>
  <c r="K1941" i="3" s="1"/>
  <c r="K1942" i="3" s="1"/>
  <c r="K1943" i="3" s="1"/>
  <c r="K1944" i="3" s="1"/>
  <c r="K1945" i="3" s="1"/>
  <c r="K1946" i="3" s="1"/>
  <c r="K1947" i="3" s="1"/>
  <c r="K1948" i="3" s="1"/>
  <c r="K1949" i="3" s="1"/>
  <c r="K1950" i="3" s="1"/>
  <c r="K1951" i="3" s="1"/>
  <c r="K1952" i="3" s="1"/>
  <c r="K1953" i="3" s="1"/>
  <c r="K1954" i="3" s="1"/>
  <c r="K1955" i="3" s="1"/>
  <c r="K1956" i="3" s="1"/>
  <c r="K1957" i="3" s="1"/>
  <c r="K1958" i="3" s="1"/>
  <c r="K1959" i="3" s="1"/>
  <c r="K1960" i="3" s="1"/>
  <c r="K1961" i="3" s="1"/>
  <c r="K1962" i="3" s="1"/>
  <c r="K1963" i="3" s="1"/>
  <c r="K1964" i="3" s="1"/>
  <c r="K1965" i="3" s="1"/>
  <c r="K1966" i="3" s="1"/>
  <c r="K1967" i="3" s="1"/>
  <c r="K1968" i="3" s="1"/>
  <c r="K1969" i="3" s="1"/>
  <c r="K1970" i="3" s="1"/>
  <c r="K1971" i="3" s="1"/>
  <c r="K1972" i="3" s="1"/>
  <c r="K1973" i="3" s="1"/>
  <c r="K1974" i="3" s="1"/>
  <c r="K1975" i="3" s="1"/>
  <c r="K1976" i="3" s="1"/>
  <c r="K1977" i="3" s="1"/>
  <c r="K1978" i="3" s="1"/>
  <c r="K1979" i="3" s="1"/>
  <c r="K1980" i="3" s="1"/>
  <c r="K1981" i="3" s="1"/>
  <c r="K1982" i="3" s="1"/>
  <c r="K1983" i="3" s="1"/>
  <c r="K1984" i="3" s="1"/>
  <c r="K1985" i="3" s="1"/>
  <c r="K1986" i="3" s="1"/>
  <c r="K1987" i="3" s="1"/>
  <c r="K1988" i="3" s="1"/>
  <c r="K1989" i="3" s="1"/>
  <c r="K1990" i="3" s="1"/>
  <c r="K1991" i="3" s="1"/>
  <c r="K1992" i="3" s="1"/>
  <c r="K1993" i="3" s="1"/>
  <c r="K1994" i="3" s="1"/>
  <c r="K1995" i="3" s="1"/>
  <c r="K1996" i="3" s="1"/>
  <c r="K1997" i="3" s="1"/>
  <c r="K1998" i="3" s="1"/>
  <c r="K1999" i="3" s="1"/>
  <c r="K2000" i="3" s="1"/>
  <c r="K2001" i="3" s="1"/>
  <c r="K2002" i="3" s="1"/>
  <c r="K2003" i="3" s="1"/>
  <c r="K2004" i="3" s="1"/>
  <c r="K2005" i="3" s="1"/>
  <c r="K2006" i="3" s="1"/>
  <c r="K2007" i="3" s="1"/>
  <c r="K2008" i="3" s="1"/>
  <c r="K2009" i="3" s="1"/>
  <c r="K2010" i="3" s="1"/>
  <c r="K2011" i="3" s="1"/>
  <c r="K2012" i="3" s="1"/>
  <c r="K2013" i="3" s="1"/>
  <c r="K2014" i="3" s="1"/>
  <c r="K2015" i="3" s="1"/>
  <c r="K2016" i="3" s="1"/>
  <c r="K2017" i="3" s="1"/>
  <c r="K2018" i="3" s="1"/>
  <c r="K2019" i="3" s="1"/>
  <c r="K2020" i="3" s="1"/>
  <c r="K2021" i="3" s="1"/>
  <c r="K2022" i="3" s="1"/>
  <c r="K2023" i="3" s="1"/>
  <c r="K2024" i="3" s="1"/>
  <c r="K2025" i="3" s="1"/>
  <c r="K2026" i="3" s="1"/>
  <c r="K2027" i="3" s="1"/>
  <c r="K2028" i="3" s="1"/>
  <c r="K2029" i="3" s="1"/>
  <c r="K2030" i="3" s="1"/>
  <c r="K2031" i="3" s="1"/>
  <c r="K2032" i="3" s="1"/>
  <c r="K2033" i="3" s="1"/>
  <c r="K2034" i="3" s="1"/>
  <c r="K2035" i="3" s="1"/>
  <c r="K2036" i="3" s="1"/>
  <c r="K2037" i="3" s="1"/>
  <c r="K2038" i="3" s="1"/>
  <c r="K2039" i="3" s="1"/>
  <c r="K2040" i="3" s="1"/>
  <c r="K2041" i="3" s="1"/>
  <c r="K2042" i="3" s="1"/>
  <c r="K2043" i="3" s="1"/>
  <c r="K2044" i="3" s="1"/>
  <c r="K2045" i="3" s="1"/>
  <c r="K2046" i="3" s="1"/>
  <c r="K2047" i="3" s="1"/>
  <c r="K2048" i="3" s="1"/>
  <c r="K2049" i="3" s="1"/>
  <c r="K2050" i="3" s="1"/>
  <c r="K2051" i="3" s="1"/>
  <c r="K2052" i="3" s="1"/>
  <c r="K2053" i="3" s="1"/>
  <c r="K2054" i="3" s="1"/>
  <c r="K2055" i="3" s="1"/>
  <c r="K2056" i="3" s="1"/>
  <c r="K2057" i="3" s="1"/>
  <c r="K2058" i="3" s="1"/>
  <c r="K2059" i="3" s="1"/>
  <c r="K2060" i="3" s="1"/>
  <c r="K2061" i="3" s="1"/>
  <c r="K2062" i="3" s="1"/>
  <c r="K2063" i="3" s="1"/>
  <c r="K2064" i="3" s="1"/>
  <c r="K2065" i="3" s="1"/>
  <c r="K2066" i="3" s="1"/>
  <c r="K2067" i="3" s="1"/>
  <c r="K2068" i="3" s="1"/>
  <c r="K2069" i="3" s="1"/>
  <c r="K2070" i="3" s="1"/>
  <c r="K2071" i="3" s="1"/>
  <c r="K2072" i="3" s="1"/>
  <c r="K2073" i="3" s="1"/>
  <c r="K2074" i="3" s="1"/>
  <c r="K2075" i="3" s="1"/>
  <c r="K2076" i="3" s="1"/>
  <c r="K2077" i="3" s="1"/>
  <c r="K2078" i="3" s="1"/>
  <c r="K2079" i="3" s="1"/>
  <c r="K2080" i="3" s="1"/>
  <c r="K2081" i="3" s="1"/>
  <c r="K2082" i="3" s="1"/>
  <c r="K2083" i="3" s="1"/>
  <c r="K2084" i="3" s="1"/>
  <c r="K2085" i="3" s="1"/>
  <c r="K2086" i="3" s="1"/>
  <c r="K2087" i="3" s="1"/>
  <c r="K2088" i="3" s="1"/>
  <c r="K2089" i="3" s="1"/>
  <c r="K2090" i="3" s="1"/>
  <c r="K2091" i="3" s="1"/>
  <c r="K2092" i="3" s="1"/>
  <c r="K2093" i="3" s="1"/>
  <c r="K2094" i="3" s="1"/>
  <c r="K2095" i="3" s="1"/>
  <c r="K2096" i="3" s="1"/>
  <c r="K2097" i="3" s="1"/>
  <c r="K2098" i="3" s="1"/>
  <c r="K2099" i="3" s="1"/>
  <c r="K2100" i="3" s="1"/>
  <c r="K2101" i="3" s="1"/>
  <c r="K2102" i="3" s="1"/>
  <c r="K2103" i="3" s="1"/>
  <c r="K2104" i="3" s="1"/>
  <c r="K2105" i="3" s="1"/>
  <c r="K2106" i="3" s="1"/>
  <c r="K2107" i="3" s="1"/>
  <c r="K2108" i="3" s="1"/>
  <c r="K2109" i="3" s="1"/>
  <c r="K2110" i="3" s="1"/>
  <c r="K2111" i="3" s="1"/>
  <c r="K2112" i="3" s="1"/>
  <c r="K2113" i="3" s="1"/>
  <c r="K2114" i="3" s="1"/>
  <c r="K2115" i="3" s="1"/>
  <c r="K2116" i="3" s="1"/>
  <c r="K2117" i="3" s="1"/>
  <c r="K2118" i="3" s="1"/>
  <c r="K2119" i="3" s="1"/>
  <c r="K2120" i="3" s="1"/>
  <c r="K2121" i="3" s="1"/>
  <c r="K2122" i="3" s="1"/>
  <c r="K2123" i="3" s="1"/>
  <c r="K2124" i="3" s="1"/>
  <c r="K2125" i="3" s="1"/>
  <c r="K2126" i="3" s="1"/>
  <c r="K2127" i="3" s="1"/>
  <c r="K2128" i="3" s="1"/>
  <c r="K2129" i="3" s="1"/>
  <c r="K2130" i="3" s="1"/>
  <c r="K2131" i="3" s="1"/>
  <c r="K2132" i="3" s="1"/>
  <c r="K2133" i="3" s="1"/>
  <c r="K2134" i="3" s="1"/>
  <c r="K2135" i="3" s="1"/>
  <c r="K2136" i="3" s="1"/>
  <c r="K2137" i="3" s="1"/>
  <c r="K2138" i="3" s="1"/>
  <c r="K2139" i="3" s="1"/>
  <c r="K2140" i="3" s="1"/>
  <c r="K2141" i="3" s="1"/>
  <c r="K2142" i="3" s="1"/>
  <c r="K2143" i="3" s="1"/>
  <c r="K2144" i="3" s="1"/>
  <c r="K2145" i="3" s="1"/>
  <c r="K2146" i="3" s="1"/>
  <c r="K2147" i="3" s="1"/>
  <c r="K2148" i="3" s="1"/>
  <c r="K2149" i="3" s="1"/>
  <c r="K2150" i="3" s="1"/>
  <c r="K2151" i="3" s="1"/>
  <c r="K2152" i="3" s="1"/>
  <c r="K2153" i="3" s="1"/>
  <c r="K2154" i="3" s="1"/>
  <c r="K2155" i="3" s="1"/>
  <c r="K2156" i="3" s="1"/>
  <c r="K2157" i="3" s="1"/>
  <c r="K2158" i="3" s="1"/>
  <c r="K2159" i="3" s="1"/>
  <c r="K2160" i="3" s="1"/>
  <c r="K2161" i="3" s="1"/>
  <c r="K2162" i="3" s="1"/>
  <c r="K2163" i="3" s="1"/>
  <c r="K2164" i="3" s="1"/>
  <c r="K2165" i="3" s="1"/>
  <c r="K2166" i="3" s="1"/>
  <c r="K2167" i="3" s="1"/>
  <c r="K2168" i="3" s="1"/>
  <c r="K2169" i="3" s="1"/>
  <c r="K2170" i="3" s="1"/>
  <c r="K2171" i="3" s="1"/>
  <c r="K2172" i="3" s="1"/>
  <c r="K2173" i="3" s="1"/>
  <c r="K2174" i="3" s="1"/>
  <c r="K2175" i="3" s="1"/>
  <c r="K2176" i="3" s="1"/>
  <c r="K2177" i="3" s="1"/>
  <c r="K2178" i="3" s="1"/>
  <c r="K2179" i="3" s="1"/>
  <c r="K2180" i="3" s="1"/>
  <c r="K2181" i="3" s="1"/>
  <c r="K2182" i="3" s="1"/>
  <c r="K2183" i="3" s="1"/>
  <c r="K2184" i="3" s="1"/>
  <c r="K2185" i="3" s="1"/>
  <c r="K2186" i="3" s="1"/>
  <c r="K2187" i="3" s="1"/>
  <c r="K2188" i="3" s="1"/>
  <c r="K2189" i="3" s="1"/>
  <c r="K2190" i="3" s="1"/>
  <c r="K2191" i="3" s="1"/>
  <c r="K2192" i="3" s="1"/>
  <c r="K2193" i="3" s="1"/>
  <c r="K2194" i="3" s="1"/>
  <c r="K2195" i="3" s="1"/>
  <c r="K2196" i="3" s="1"/>
  <c r="K2197" i="3" s="1"/>
  <c r="K2198" i="3" s="1"/>
  <c r="K2199" i="3" s="1"/>
  <c r="K2200" i="3" s="1"/>
  <c r="K2201" i="3" s="1"/>
  <c r="K2202" i="3" s="1"/>
  <c r="K2203" i="3" s="1"/>
  <c r="K2204" i="3" s="1"/>
  <c r="K2205" i="3" s="1"/>
  <c r="K2206" i="3" s="1"/>
  <c r="K2207" i="3" s="1"/>
  <c r="K2208" i="3" s="1"/>
  <c r="K2209" i="3" s="1"/>
  <c r="K2210" i="3" s="1"/>
  <c r="K2211" i="3" s="1"/>
  <c r="K2212" i="3" s="1"/>
  <c r="K2213" i="3" s="1"/>
  <c r="K2214" i="3" s="1"/>
  <c r="K2215" i="3" s="1"/>
  <c r="K2216" i="3" s="1"/>
  <c r="K2217" i="3" s="1"/>
  <c r="K2218" i="3" s="1"/>
  <c r="K2219" i="3" s="1"/>
  <c r="K2220" i="3" s="1"/>
  <c r="K2221" i="3" s="1"/>
  <c r="K2222" i="3" s="1"/>
  <c r="K2223" i="3" s="1"/>
  <c r="K2224" i="3" s="1"/>
  <c r="K2225" i="3" s="1"/>
  <c r="K2226" i="3" s="1"/>
  <c r="K2227" i="3" s="1"/>
  <c r="K2228" i="3" s="1"/>
  <c r="K2229" i="3" s="1"/>
  <c r="K2230" i="3" s="1"/>
  <c r="K2231" i="3" s="1"/>
  <c r="K2232" i="3" s="1"/>
  <c r="K2233" i="3" s="1"/>
  <c r="K2234" i="3" s="1"/>
  <c r="K2235" i="3" s="1"/>
  <c r="K2236" i="3" s="1"/>
  <c r="K2237" i="3" s="1"/>
  <c r="K2238" i="3" s="1"/>
  <c r="K2239" i="3" s="1"/>
  <c r="K2240" i="3" s="1"/>
  <c r="K2241" i="3" s="1"/>
  <c r="K2242" i="3" s="1"/>
  <c r="K2243" i="3" s="1"/>
  <c r="K2244" i="3" s="1"/>
  <c r="K2245" i="3" s="1"/>
  <c r="K2246" i="3" s="1"/>
  <c r="K2247" i="3" s="1"/>
  <c r="K2248" i="3" s="1"/>
  <c r="K2249" i="3" s="1"/>
  <c r="K2250" i="3" s="1"/>
  <c r="K2251" i="3" s="1"/>
  <c r="K2252" i="3" s="1"/>
  <c r="K2253" i="3" s="1"/>
  <c r="K2254" i="3" s="1"/>
  <c r="K2255" i="3" s="1"/>
  <c r="K2256" i="3" s="1"/>
  <c r="K2257" i="3" s="1"/>
  <c r="K2258" i="3" s="1"/>
  <c r="K2259" i="3" s="1"/>
  <c r="K2260" i="3" s="1"/>
  <c r="K2261" i="3" s="1"/>
  <c r="K2262" i="3" s="1"/>
  <c r="K2263" i="3" s="1"/>
  <c r="K2264" i="3" s="1"/>
  <c r="K2265" i="3" s="1"/>
  <c r="K2266" i="3" s="1"/>
  <c r="K2267" i="3" s="1"/>
  <c r="K2268" i="3" s="1"/>
  <c r="K2269" i="3" s="1"/>
  <c r="K2270" i="3" s="1"/>
  <c r="K2271" i="3" s="1"/>
  <c r="K2272" i="3" s="1"/>
  <c r="K2273" i="3" s="1"/>
  <c r="K2274" i="3" s="1"/>
  <c r="K2275" i="3" s="1"/>
  <c r="K2276" i="3" s="1"/>
  <c r="K2277" i="3" s="1"/>
  <c r="K2278" i="3" s="1"/>
  <c r="K2279" i="3" s="1"/>
  <c r="K2280" i="3" s="1"/>
  <c r="K2281" i="3" s="1"/>
  <c r="K2282" i="3" s="1"/>
  <c r="K2283" i="3" s="1"/>
  <c r="K2284" i="3" s="1"/>
  <c r="K2285" i="3" s="1"/>
  <c r="K2286" i="3" s="1"/>
  <c r="K2287" i="3" s="1"/>
  <c r="K2288" i="3" s="1"/>
  <c r="K2289" i="3" s="1"/>
  <c r="K2290" i="3" s="1"/>
  <c r="K2291" i="3" s="1"/>
  <c r="K2292" i="3" s="1"/>
  <c r="K2293" i="3" s="1"/>
  <c r="K2294" i="3" s="1"/>
  <c r="K2295" i="3" s="1"/>
  <c r="K2296" i="3" s="1"/>
  <c r="K2297" i="3" s="1"/>
  <c r="K2298" i="3" s="1"/>
  <c r="K2299" i="3" s="1"/>
  <c r="K2300" i="3" s="1"/>
  <c r="K2301" i="3" s="1"/>
  <c r="K2302" i="3" s="1"/>
  <c r="K2303" i="3" s="1"/>
  <c r="K2304" i="3" s="1"/>
  <c r="K2305" i="3" s="1"/>
  <c r="K2306" i="3" s="1"/>
  <c r="K2307" i="3" s="1"/>
  <c r="K2308" i="3" s="1"/>
  <c r="K2309" i="3" s="1"/>
  <c r="K2310" i="3" s="1"/>
  <c r="K2311" i="3" s="1"/>
  <c r="K2312" i="3" s="1"/>
  <c r="K2313" i="3" s="1"/>
  <c r="K2314" i="3" s="1"/>
  <c r="K2315" i="3" s="1"/>
  <c r="K2316" i="3" s="1"/>
  <c r="K2317" i="3" s="1"/>
  <c r="K2318" i="3" s="1"/>
  <c r="K2319" i="3" s="1"/>
  <c r="K2320" i="3" s="1"/>
  <c r="K2321" i="3" s="1"/>
  <c r="K2322" i="3" s="1"/>
  <c r="K2323" i="3" s="1"/>
  <c r="K2324" i="3" s="1"/>
  <c r="K2325" i="3" s="1"/>
  <c r="K2326" i="3" s="1"/>
  <c r="K2327" i="3" s="1"/>
  <c r="K2328" i="3" s="1"/>
  <c r="K2329" i="3" s="1"/>
  <c r="K2330" i="3" s="1"/>
  <c r="K2331" i="3" s="1"/>
  <c r="K2332" i="3" s="1"/>
  <c r="K2333" i="3" s="1"/>
  <c r="K2334" i="3" s="1"/>
  <c r="K2335" i="3" s="1"/>
  <c r="K2336" i="3" s="1"/>
  <c r="K2337" i="3" s="1"/>
  <c r="K2338" i="3" s="1"/>
  <c r="K2339" i="3" s="1"/>
  <c r="K2340" i="3" s="1"/>
  <c r="K2341" i="3" s="1"/>
  <c r="K2342" i="3" s="1"/>
  <c r="K2343" i="3" s="1"/>
  <c r="K2344" i="3" s="1"/>
  <c r="K2345" i="3" s="1"/>
  <c r="K2346" i="3" s="1"/>
  <c r="K2347" i="3" s="1"/>
  <c r="K2348" i="3" s="1"/>
  <c r="K2349" i="3" s="1"/>
  <c r="K2350" i="3" s="1"/>
  <c r="K2351" i="3" s="1"/>
  <c r="K2352" i="3" s="1"/>
  <c r="K2353" i="3" s="1"/>
  <c r="K2354" i="3" s="1"/>
  <c r="K2355" i="3" s="1"/>
  <c r="K2356" i="3" s="1"/>
  <c r="K2357" i="3" s="1"/>
  <c r="K2358" i="3" s="1"/>
  <c r="K2359" i="3" s="1"/>
  <c r="K2360" i="3" s="1"/>
  <c r="K2361" i="3" s="1"/>
  <c r="K2362" i="3" s="1"/>
  <c r="K2363" i="3" s="1"/>
  <c r="K2364" i="3" s="1"/>
  <c r="K2365" i="3" s="1"/>
  <c r="K2366" i="3" s="1"/>
  <c r="K2367" i="3" s="1"/>
  <c r="K2368" i="3" s="1"/>
  <c r="K2369" i="3" s="1"/>
  <c r="K2370" i="3" s="1"/>
  <c r="K2371" i="3" s="1"/>
  <c r="K2372" i="3" s="1"/>
  <c r="K2373" i="3" s="1"/>
  <c r="K2374" i="3" s="1"/>
  <c r="K2375" i="3" s="1"/>
  <c r="K2376" i="3" s="1"/>
  <c r="K2377" i="3" s="1"/>
  <c r="K2378" i="3" s="1"/>
  <c r="K2379" i="3" s="1"/>
  <c r="K2380" i="3" s="1"/>
  <c r="K2381" i="3" s="1"/>
  <c r="K2382" i="3" s="1"/>
  <c r="K2383" i="3" s="1"/>
  <c r="K2384" i="3" s="1"/>
  <c r="K2385" i="3" s="1"/>
  <c r="K2386" i="3" s="1"/>
  <c r="K2387" i="3" s="1"/>
  <c r="K2388" i="3" s="1"/>
  <c r="K2389" i="3" s="1"/>
  <c r="K2390" i="3" s="1"/>
  <c r="K2391" i="3" s="1"/>
  <c r="K2392" i="3" s="1"/>
  <c r="K2393" i="3" s="1"/>
  <c r="K2394" i="3" s="1"/>
  <c r="K2395" i="3" s="1"/>
  <c r="K2396" i="3" s="1"/>
  <c r="K2397" i="3" s="1"/>
  <c r="K2398" i="3" s="1"/>
  <c r="K2399" i="3" s="1"/>
  <c r="K2400" i="3" s="1"/>
  <c r="K2401" i="3" s="1"/>
  <c r="K2402" i="3" s="1"/>
  <c r="K2403" i="3" s="1"/>
  <c r="K2404" i="3" s="1"/>
  <c r="K2405" i="3" s="1"/>
  <c r="K2406" i="3" s="1"/>
  <c r="K2407" i="3" s="1"/>
  <c r="K2408" i="3" s="1"/>
  <c r="K2409" i="3" s="1"/>
  <c r="K2410" i="3" s="1"/>
  <c r="K2411" i="3" s="1"/>
  <c r="K2412" i="3" s="1"/>
  <c r="K2413" i="3" s="1"/>
  <c r="K2414" i="3" s="1"/>
  <c r="K2415" i="3" s="1"/>
  <c r="K2416" i="3" s="1"/>
  <c r="K2417" i="3" s="1"/>
  <c r="K2418" i="3" s="1"/>
  <c r="K2419" i="3" s="1"/>
  <c r="K2420" i="3" s="1"/>
  <c r="K2421" i="3" s="1"/>
  <c r="K2422" i="3" s="1"/>
  <c r="K2423" i="3" s="1"/>
  <c r="K2424" i="3" s="1"/>
  <c r="K2425" i="3" s="1"/>
  <c r="K2426" i="3" s="1"/>
  <c r="K2427" i="3" s="1"/>
  <c r="K2428" i="3" s="1"/>
  <c r="K2429" i="3" s="1"/>
  <c r="K2430" i="3" s="1"/>
  <c r="K2431" i="3" s="1"/>
  <c r="K2432" i="3" s="1"/>
  <c r="K2433" i="3" s="1"/>
  <c r="K2434" i="3" s="1"/>
  <c r="K2435" i="3" s="1"/>
  <c r="K2436" i="3" s="1"/>
  <c r="K2437" i="3" s="1"/>
  <c r="K2438" i="3" s="1"/>
  <c r="K2439" i="3" s="1"/>
  <c r="K2440" i="3" s="1"/>
  <c r="K2441" i="3" s="1"/>
  <c r="K2442" i="3" s="1"/>
  <c r="K2443" i="3" s="1"/>
  <c r="K2444" i="3" s="1"/>
  <c r="K2445" i="3" s="1"/>
  <c r="K2446" i="3" s="1"/>
  <c r="K2447" i="3" s="1"/>
  <c r="K2448" i="3" s="1"/>
  <c r="K2449" i="3" s="1"/>
  <c r="K2450" i="3" s="1"/>
  <c r="K2451" i="3" s="1"/>
  <c r="K2452" i="3" s="1"/>
  <c r="K2453" i="3" s="1"/>
  <c r="K2454" i="3" s="1"/>
  <c r="K2455" i="3" s="1"/>
  <c r="K2456" i="3" s="1"/>
  <c r="K2457" i="3" s="1"/>
  <c r="K2458" i="3" s="1"/>
  <c r="K2459" i="3" s="1"/>
  <c r="K2460" i="3" s="1"/>
  <c r="K2461" i="3" s="1"/>
  <c r="K2462" i="3" s="1"/>
  <c r="K2463" i="3" s="1"/>
  <c r="K2464" i="3" s="1"/>
  <c r="K2465" i="3" s="1"/>
  <c r="K2466" i="3" s="1"/>
  <c r="K2467" i="3" s="1"/>
  <c r="K2468" i="3" s="1"/>
  <c r="K2469" i="3" s="1"/>
  <c r="K2470" i="3" s="1"/>
  <c r="K2471" i="3" s="1"/>
  <c r="K2472" i="3" s="1"/>
  <c r="K2473" i="3" s="1"/>
  <c r="K2474" i="3" s="1"/>
  <c r="K2475" i="3" s="1"/>
  <c r="K2476" i="3" s="1"/>
  <c r="K2477" i="3" s="1"/>
  <c r="K2478" i="3" s="1"/>
  <c r="K2479" i="3" s="1"/>
  <c r="K2480" i="3" s="1"/>
  <c r="K2481" i="3" s="1"/>
  <c r="K2482" i="3" s="1"/>
  <c r="K2483" i="3" s="1"/>
  <c r="K2484" i="3" s="1"/>
  <c r="K2485" i="3" s="1"/>
  <c r="K2486" i="3" s="1"/>
  <c r="K2487" i="3" s="1"/>
  <c r="K2488" i="3" s="1"/>
  <c r="K2489" i="3" s="1"/>
  <c r="K2490" i="3" s="1"/>
  <c r="K2491" i="3" s="1"/>
  <c r="K2492" i="3" s="1"/>
  <c r="K2493" i="3" s="1"/>
  <c r="K2494" i="3" s="1"/>
  <c r="K2495" i="3" s="1"/>
  <c r="K2496" i="3" s="1"/>
  <c r="K2497" i="3" s="1"/>
  <c r="K2498" i="3" s="1"/>
  <c r="K2499" i="3" s="1"/>
  <c r="K2500" i="3" s="1"/>
  <c r="K2501" i="3" s="1"/>
  <c r="K2502" i="3" s="1"/>
  <c r="K2503" i="3" s="1"/>
  <c r="K2504" i="3" s="1"/>
  <c r="K2505" i="3" s="1"/>
  <c r="K2506" i="3" s="1"/>
  <c r="K2507" i="3" s="1"/>
  <c r="K2508" i="3" s="1"/>
  <c r="K2509" i="3" s="1"/>
  <c r="K2510" i="3" s="1"/>
  <c r="K2511" i="3" s="1"/>
  <c r="K2512" i="3" s="1"/>
  <c r="K2513" i="3" s="1"/>
  <c r="K2514" i="3" s="1"/>
  <c r="K2515" i="3" s="1"/>
  <c r="K2516" i="3" s="1"/>
  <c r="K2517" i="3" s="1"/>
  <c r="K2518" i="3" s="1"/>
  <c r="K2519" i="3" s="1"/>
  <c r="K2520" i="3" s="1"/>
  <c r="K2521" i="3" s="1"/>
  <c r="K2522" i="3" s="1"/>
  <c r="K2523" i="3" s="1"/>
  <c r="K2524" i="3" s="1"/>
  <c r="K2525" i="3" s="1"/>
  <c r="K2526" i="3" s="1"/>
  <c r="K2527" i="3" s="1"/>
  <c r="K2528" i="3" s="1"/>
  <c r="K2529" i="3" s="1"/>
  <c r="K2530" i="3" s="1"/>
  <c r="K2531" i="3" s="1"/>
  <c r="K2532" i="3" s="1"/>
  <c r="K2533" i="3" s="1"/>
  <c r="K2534" i="3" s="1"/>
  <c r="K2535" i="3" s="1"/>
  <c r="K2536" i="3" s="1"/>
  <c r="K2537" i="3" s="1"/>
  <c r="K2538" i="3" s="1"/>
  <c r="K2539" i="3" s="1"/>
  <c r="K2540" i="3" s="1"/>
  <c r="K2541" i="3" s="1"/>
  <c r="K2542" i="3" s="1"/>
  <c r="K2543" i="3" s="1"/>
  <c r="K2544" i="3" s="1"/>
  <c r="K2545" i="3" s="1"/>
  <c r="K2546" i="3" s="1"/>
  <c r="K2547" i="3" s="1"/>
  <c r="K2548" i="3" s="1"/>
  <c r="K2549" i="3" s="1"/>
  <c r="K2550" i="3" s="1"/>
  <c r="K2551" i="3" s="1"/>
  <c r="K2552" i="3" s="1"/>
  <c r="K2553" i="3" s="1"/>
  <c r="K2554" i="3" s="1"/>
  <c r="K2555" i="3" s="1"/>
  <c r="K2556" i="3" s="1"/>
  <c r="K2557" i="3" s="1"/>
  <c r="K2558" i="3" s="1"/>
  <c r="K2559" i="3" s="1"/>
  <c r="K2560" i="3" s="1"/>
  <c r="K2561" i="3" s="1"/>
  <c r="K2562" i="3" s="1"/>
  <c r="K2563" i="3" s="1"/>
  <c r="K2564" i="3" s="1"/>
  <c r="K2565" i="3" s="1"/>
  <c r="K2566" i="3" s="1"/>
  <c r="K2567" i="3" s="1"/>
  <c r="K2568" i="3" s="1"/>
  <c r="K2569" i="3" s="1"/>
  <c r="K2570" i="3" s="1"/>
  <c r="K2571" i="3" s="1"/>
  <c r="K2572" i="3" s="1"/>
  <c r="K2573" i="3" s="1"/>
  <c r="K2574" i="3" s="1"/>
  <c r="K2575" i="3" s="1"/>
  <c r="K2576" i="3" s="1"/>
  <c r="K2577" i="3" s="1"/>
  <c r="K2578" i="3" s="1"/>
  <c r="K2579" i="3" s="1"/>
  <c r="K2580" i="3" s="1"/>
  <c r="K2581" i="3" s="1"/>
  <c r="K2582" i="3" s="1"/>
  <c r="K2583" i="3" s="1"/>
  <c r="K2584" i="3" s="1"/>
  <c r="K2585" i="3" s="1"/>
  <c r="K2586" i="3" s="1"/>
  <c r="K2587" i="3" s="1"/>
  <c r="K2588" i="3" s="1"/>
  <c r="K2589" i="3" s="1"/>
  <c r="K2590" i="3" s="1"/>
  <c r="K2591" i="3" s="1"/>
  <c r="K2592" i="3" s="1"/>
  <c r="K2593" i="3" s="1"/>
  <c r="K2594" i="3" s="1"/>
  <c r="K2595" i="3" s="1"/>
  <c r="K2596" i="3" s="1"/>
  <c r="K2597" i="3" s="1"/>
  <c r="K2598" i="3" s="1"/>
  <c r="K2599" i="3" s="1"/>
  <c r="K2600" i="3" s="1"/>
  <c r="K2601" i="3" s="1"/>
  <c r="K2602" i="3" s="1"/>
  <c r="K2603" i="3" s="1"/>
  <c r="K2604" i="3" s="1"/>
  <c r="K2605" i="3" s="1"/>
  <c r="K2606" i="3" s="1"/>
  <c r="K2607" i="3" s="1"/>
  <c r="K2608" i="3" s="1"/>
  <c r="K2609" i="3" s="1"/>
  <c r="K2610" i="3" s="1"/>
  <c r="K2611" i="3" s="1"/>
  <c r="K2612" i="3" s="1"/>
  <c r="K2613" i="3" s="1"/>
  <c r="K2614" i="3" s="1"/>
  <c r="K2615" i="3" s="1"/>
  <c r="K2616" i="3" s="1"/>
  <c r="K2617" i="3" s="1"/>
  <c r="K2618" i="3" s="1"/>
  <c r="K2619" i="3" s="1"/>
  <c r="K2620" i="3" s="1"/>
  <c r="K2621" i="3" s="1"/>
  <c r="K2622" i="3" s="1"/>
  <c r="K2623" i="3" s="1"/>
  <c r="K2624" i="3" s="1"/>
  <c r="S4" i="3"/>
  <c r="S5" i="3" s="1"/>
  <c r="S6" i="3" s="1"/>
  <c r="S7" i="3" s="1"/>
  <c r="S8" i="3" s="1"/>
  <c r="S9" i="3" s="1"/>
  <c r="S10" i="3" s="1"/>
  <c r="S11" i="3" s="1"/>
  <c r="S12" i="3" s="1"/>
  <c r="N6" i="10"/>
  <c r="O6" i="10" s="1"/>
  <c r="AS6" i="10" s="1"/>
  <c r="F6" i="12"/>
  <c r="F7" i="11"/>
  <c r="P7" i="11" s="1"/>
  <c r="Q7" i="11" s="1"/>
  <c r="E4" i="12"/>
  <c r="O4" i="12" s="1"/>
  <c r="D4" i="12"/>
  <c r="N4" i="12" s="1"/>
  <c r="Q4" i="12" s="1"/>
  <c r="E3" i="12"/>
  <c r="O3" i="12" s="1"/>
  <c r="D3" i="12"/>
  <c r="N3" i="12" s="1"/>
  <c r="Q3" i="12" s="1"/>
  <c r="E5" i="11"/>
  <c r="D5" i="11"/>
  <c r="M6" i="5"/>
  <c r="K6" i="5"/>
  <c r="J6" i="5"/>
  <c r="AI135" i="8"/>
  <c r="AE135" i="8"/>
  <c r="AE136" i="8" s="1"/>
  <c r="AD135" i="8"/>
  <c r="AC135" i="8"/>
  <c r="AG135" i="8" s="1"/>
  <c r="I136" i="8"/>
  <c r="H136" i="8"/>
  <c r="I135" i="8"/>
  <c r="H135" i="8"/>
  <c r="C132" i="8"/>
  <c r="D132" i="8" s="1"/>
  <c r="E132" i="8" s="1"/>
  <c r="F132" i="8" s="1"/>
  <c r="G132" i="8" s="1"/>
  <c r="H132" i="8" s="1"/>
  <c r="I132" i="8" s="1"/>
  <c r="J132" i="8" s="1"/>
  <c r="K132" i="8" s="1"/>
  <c r="L132" i="8" s="1"/>
  <c r="M132" i="8" s="1"/>
  <c r="N132" i="8" s="1"/>
  <c r="O132" i="8" s="1"/>
  <c r="P132" i="8" s="1"/>
  <c r="Q132" i="8" s="1"/>
  <c r="R132" i="8" s="1"/>
  <c r="S132" i="8" s="1"/>
  <c r="T132" i="8" s="1"/>
  <c r="U132" i="8" s="1"/>
  <c r="V132" i="8" s="1"/>
  <c r="W132" i="8" s="1"/>
  <c r="X132" i="8" s="1"/>
  <c r="Y132" i="8" s="1"/>
  <c r="Z132" i="8" s="1"/>
  <c r="AA132" i="8" s="1"/>
  <c r="B131" i="8"/>
  <c r="C131" i="8" s="1"/>
  <c r="D131" i="8" s="1"/>
  <c r="E131" i="8" s="1"/>
  <c r="F131" i="8" s="1"/>
  <c r="G131" i="8" s="1"/>
  <c r="H131" i="8" s="1"/>
  <c r="I131" i="8" s="1"/>
  <c r="J131" i="8" s="1"/>
  <c r="K131" i="8" s="1"/>
  <c r="L131" i="8" s="1"/>
  <c r="M131" i="8" s="1"/>
  <c r="N131" i="8" s="1"/>
  <c r="O131" i="8" s="1"/>
  <c r="P131" i="8" s="1"/>
  <c r="Q131" i="8" s="1"/>
  <c r="R131" i="8" s="1"/>
  <c r="S131" i="8" s="1"/>
  <c r="T131" i="8" s="1"/>
  <c r="U131" i="8" s="1"/>
  <c r="V131" i="8" s="1"/>
  <c r="W131" i="8" s="1"/>
  <c r="X131" i="8" s="1"/>
  <c r="Y131" i="8" s="1"/>
  <c r="Z131" i="8" s="1"/>
  <c r="AA131" i="8" s="1"/>
  <c r="AH17" i="2"/>
  <c r="AD17" i="2"/>
  <c r="F17" i="2"/>
  <c r="J17" i="2" s="1"/>
  <c r="AA17" i="2"/>
  <c r="J19" i="15" l="1"/>
  <c r="P18" i="15"/>
  <c r="R18" i="15"/>
  <c r="M19" i="15"/>
  <c r="S1333" i="13"/>
  <c r="U1332" i="13"/>
  <c r="AP1358" i="13"/>
  <c r="AR1357" i="13"/>
  <c r="AR17" i="13"/>
  <c r="AP18" i="13"/>
  <c r="S19" i="13"/>
  <c r="U18" i="13"/>
  <c r="F7" i="12"/>
  <c r="P7" i="12" s="1"/>
  <c r="Q7" i="12" s="1"/>
  <c r="P6" i="12"/>
  <c r="Q6" i="12" s="1"/>
  <c r="Y5" i="11"/>
  <c r="O5" i="11"/>
  <c r="Z5" i="11"/>
  <c r="N5" i="11"/>
  <c r="W17" i="2"/>
  <c r="S17" i="2"/>
  <c r="Q17" i="2"/>
  <c r="P17" i="2"/>
  <c r="AI17" i="2"/>
  <c r="AK17" i="2" s="1"/>
  <c r="U17" i="2"/>
  <c r="R17" i="2"/>
  <c r="T17" i="2"/>
  <c r="V17" i="2"/>
  <c r="P6" i="10"/>
  <c r="AU6" i="10" s="1"/>
  <c r="O6" i="5"/>
  <c r="P6" i="5" s="1"/>
  <c r="AO6" i="5" s="1"/>
  <c r="N6" i="5"/>
  <c r="Z5" i="3"/>
  <c r="Z6" i="3"/>
  <c r="S13" i="3"/>
  <c r="L6" i="5"/>
  <c r="AP6" i="5" s="1"/>
  <c r="AQ6" i="5" s="1"/>
  <c r="AF135" i="8"/>
  <c r="AH135" i="8" s="1"/>
  <c r="U5" i="10"/>
  <c r="AN5" i="10"/>
  <c r="V5" i="10"/>
  <c r="M5" i="5"/>
  <c r="K5" i="5"/>
  <c r="J5" i="5"/>
  <c r="M4" i="5"/>
  <c r="K4" i="5"/>
  <c r="J4" i="5"/>
  <c r="AO4" i="5" s="1"/>
  <c r="I4" i="10"/>
  <c r="J4" i="10"/>
  <c r="L4" i="10"/>
  <c r="I5" i="10"/>
  <c r="J5" i="10"/>
  <c r="L5" i="10"/>
  <c r="I7" i="10"/>
  <c r="J7" i="10"/>
  <c r="L7" i="10"/>
  <c r="I8" i="10"/>
  <c r="J8" i="10"/>
  <c r="L8" i="10"/>
  <c r="I9" i="10"/>
  <c r="J9" i="10"/>
  <c r="L9" i="10"/>
  <c r="I11" i="10"/>
  <c r="J11" i="10"/>
  <c r="L11" i="10"/>
  <c r="I13" i="10"/>
  <c r="J13" i="10"/>
  <c r="L13" i="10"/>
  <c r="E3" i="11"/>
  <c r="D3" i="11"/>
  <c r="AK13" i="7"/>
  <c r="AK14" i="7"/>
  <c r="AK15" i="7"/>
  <c r="AK16" i="7"/>
  <c r="AK17" i="7"/>
  <c r="AK18" i="7"/>
  <c r="AK19" i="7"/>
  <c r="AK20" i="7"/>
  <c r="AK21" i="7"/>
  <c r="AK22" i="7"/>
  <c r="AK23" i="7"/>
  <c r="AK24" i="7"/>
  <c r="AK25" i="7"/>
  <c r="AK26" i="7"/>
  <c r="AK27" i="7"/>
  <c r="AK28" i="7"/>
  <c r="AK29" i="7"/>
  <c r="AK30" i="7"/>
  <c r="AK31" i="7"/>
  <c r="AK32" i="7"/>
  <c r="AK33" i="7"/>
  <c r="AK34" i="7"/>
  <c r="AK35" i="7"/>
  <c r="AK36" i="7"/>
  <c r="AK37" i="7"/>
  <c r="AK38" i="7"/>
  <c r="AK39" i="7"/>
  <c r="AK40" i="7"/>
  <c r="AK41" i="7"/>
  <c r="AK42" i="7"/>
  <c r="AK43" i="7"/>
  <c r="AK44" i="7"/>
  <c r="AK45" i="7"/>
  <c r="AK46" i="7"/>
  <c r="AK47" i="7"/>
  <c r="AI43" i="7"/>
  <c r="AI44" i="7"/>
  <c r="AI45" i="7"/>
  <c r="AI46" i="7"/>
  <c r="AI47" i="7"/>
  <c r="AI48" i="7"/>
  <c r="AI49" i="7"/>
  <c r="AI50" i="7"/>
  <c r="AI51" i="7"/>
  <c r="AI52" i="7"/>
  <c r="AI53" i="7"/>
  <c r="AI54" i="7"/>
  <c r="AI55" i="7"/>
  <c r="AI42" i="7"/>
  <c r="AI41" i="7"/>
  <c r="AI40" i="7"/>
  <c r="AI39" i="7"/>
  <c r="AI14" i="7"/>
  <c r="AI15" i="7"/>
  <c r="AI16" i="7"/>
  <c r="AI17" i="7"/>
  <c r="AI18" i="7"/>
  <c r="AI19" i="7"/>
  <c r="AI20" i="7"/>
  <c r="AI21" i="7"/>
  <c r="AI22" i="7"/>
  <c r="AI23" i="7"/>
  <c r="AI24" i="7"/>
  <c r="AI25" i="7"/>
  <c r="AI26" i="7"/>
  <c r="AI27" i="7"/>
  <c r="AI28" i="7"/>
  <c r="AI29" i="7"/>
  <c r="AI30" i="7"/>
  <c r="AI31" i="7"/>
  <c r="AI32" i="7"/>
  <c r="AI33" i="7"/>
  <c r="AI34" i="7"/>
  <c r="AI35" i="7"/>
  <c r="AI36" i="7"/>
  <c r="AI37" i="7"/>
  <c r="AI38" i="7"/>
  <c r="AI13" i="7"/>
  <c r="I3" i="10"/>
  <c r="J3" i="10"/>
  <c r="L3" i="10"/>
  <c r="R19" i="15" l="1"/>
  <c r="M20" i="15"/>
  <c r="J20" i="15"/>
  <c r="P19" i="15"/>
  <c r="U1333" i="13"/>
  <c r="S1334" i="13"/>
  <c r="AR1358" i="13"/>
  <c r="AP1359" i="13"/>
  <c r="AR18" i="13"/>
  <c r="AP19" i="13"/>
  <c r="S20" i="13"/>
  <c r="U19" i="13"/>
  <c r="Y3" i="11"/>
  <c r="O3" i="11"/>
  <c r="Z3" i="11"/>
  <c r="N3" i="11"/>
  <c r="X17" i="2"/>
  <c r="Z17" i="2" s="1"/>
  <c r="L4" i="5"/>
  <c r="AP4" i="5" s="1"/>
  <c r="AQ4" i="5" s="1"/>
  <c r="K8" i="10"/>
  <c r="AT8" i="10" s="1"/>
  <c r="Q6" i="5"/>
  <c r="K9" i="10"/>
  <c r="AT9" i="10" s="1"/>
  <c r="L5" i="5"/>
  <c r="AP5" i="5" s="1"/>
  <c r="AQ5" i="5" s="1"/>
  <c r="O5" i="5"/>
  <c r="P5" i="5" s="1"/>
  <c r="AO5" i="5" s="1"/>
  <c r="Z14" i="3"/>
  <c r="Z15" i="3" s="1"/>
  <c r="S14" i="3"/>
  <c r="Z7" i="3"/>
  <c r="M7" i="10"/>
  <c r="K7" i="10"/>
  <c r="AT7" i="10" s="1"/>
  <c r="K13" i="10"/>
  <c r="AT13" i="10" s="1"/>
  <c r="M11" i="10"/>
  <c r="K5" i="10"/>
  <c r="AT5" i="10" s="1"/>
  <c r="N5" i="5"/>
  <c r="O4" i="5"/>
  <c r="P4" i="5" s="1"/>
  <c r="N4" i="5"/>
  <c r="K4" i="10"/>
  <c r="AT4" i="10" s="1"/>
  <c r="M4" i="10"/>
  <c r="N4" i="10"/>
  <c r="O4" i="10" s="1"/>
  <c r="AS4" i="10" s="1"/>
  <c r="M9" i="10"/>
  <c r="M13" i="10"/>
  <c r="M5" i="10"/>
  <c r="M8" i="10"/>
  <c r="K11" i="10"/>
  <c r="AT11" i="10" s="1"/>
  <c r="N13" i="10"/>
  <c r="O13" i="10" s="1"/>
  <c r="AS13" i="10" s="1"/>
  <c r="N9" i="10"/>
  <c r="O9" i="10" s="1"/>
  <c r="AS9" i="10" s="1"/>
  <c r="N7" i="10"/>
  <c r="O7" i="10" s="1"/>
  <c r="AS7" i="10" s="1"/>
  <c r="N11" i="10"/>
  <c r="O11" i="10" s="1"/>
  <c r="AS11" i="10" s="1"/>
  <c r="N8" i="10"/>
  <c r="O8" i="10" s="1"/>
  <c r="AS8" i="10" s="1"/>
  <c r="N5" i="10"/>
  <c r="O5" i="10" s="1"/>
  <c r="AS5" i="10" s="1"/>
  <c r="N3" i="10"/>
  <c r="O3" i="10" s="1"/>
  <c r="AS3" i="10" s="1"/>
  <c r="K3" i="10"/>
  <c r="AT3" i="10" s="1"/>
  <c r="M3" i="10"/>
  <c r="M3" i="5"/>
  <c r="K3" i="5"/>
  <c r="J3" i="5"/>
  <c r="AO3" i="5" s="1"/>
  <c r="J21" i="15" l="1"/>
  <c r="P21" i="15" s="1"/>
  <c r="P20" i="15"/>
  <c r="R20" i="15"/>
  <c r="M21" i="15"/>
  <c r="R21" i="15" s="1"/>
  <c r="S1335" i="13"/>
  <c r="U1334" i="13"/>
  <c r="AP1360" i="13"/>
  <c r="AR1359" i="13"/>
  <c r="AR19" i="13"/>
  <c r="AP20" i="13"/>
  <c r="S21" i="13"/>
  <c r="U20" i="13"/>
  <c r="P5" i="10"/>
  <c r="AU5" i="10" s="1"/>
  <c r="P8" i="10"/>
  <c r="AU8" i="10" s="1"/>
  <c r="Q5" i="5"/>
  <c r="Q4" i="5"/>
  <c r="P13" i="10"/>
  <c r="AU13" i="10" s="1"/>
  <c r="P9" i="10"/>
  <c r="AU9" i="10" s="1"/>
  <c r="Z8" i="3"/>
  <c r="Z18" i="3" s="1"/>
  <c r="Z17" i="3"/>
  <c r="Z20" i="3" s="1"/>
  <c r="S15" i="3"/>
  <c r="S16" i="3" s="1"/>
  <c r="S17" i="3" s="1"/>
  <c r="S18" i="3" s="1"/>
  <c r="S19" i="3" s="1"/>
  <c r="S20" i="3" s="1"/>
  <c r="S21" i="3" s="1"/>
  <c r="S22" i="3" s="1"/>
  <c r="S23" i="3" s="1"/>
  <c r="S24" i="3" s="1"/>
  <c r="S25" i="3" s="1"/>
  <c r="S26" i="3" s="1"/>
  <c r="S27" i="3" s="1"/>
  <c r="S28" i="3" s="1"/>
  <c r="S29" i="3" s="1"/>
  <c r="S30" i="3" s="1"/>
  <c r="S31" i="3" s="1"/>
  <c r="S32" i="3" s="1"/>
  <c r="S33" i="3" s="1"/>
  <c r="S34" i="3" s="1"/>
  <c r="S35" i="3" s="1"/>
  <c r="S36" i="3" s="1"/>
  <c r="S37" i="3" s="1"/>
  <c r="S38" i="3" s="1"/>
  <c r="S39" i="3" s="1"/>
  <c r="S40" i="3" s="1"/>
  <c r="S41" i="3" s="1"/>
  <c r="S42" i="3" s="1"/>
  <c r="S43" i="3" s="1"/>
  <c r="S44" i="3" s="1"/>
  <c r="S45" i="3" s="1"/>
  <c r="S46" i="3" s="1"/>
  <c r="S47" i="3" s="1"/>
  <c r="S48" i="3" s="1"/>
  <c r="S49" i="3" s="1"/>
  <c r="S50" i="3" s="1"/>
  <c r="S51" i="3" s="1"/>
  <c r="S52" i="3" s="1"/>
  <c r="S53" i="3" s="1"/>
  <c r="S54" i="3" s="1"/>
  <c r="S55" i="3" s="1"/>
  <c r="S56" i="3" s="1"/>
  <c r="S57" i="3" s="1"/>
  <c r="S58" i="3" s="1"/>
  <c r="S59" i="3" s="1"/>
  <c r="S60" i="3" s="1"/>
  <c r="S61" i="3" s="1"/>
  <c r="S62" i="3" s="1"/>
  <c r="S63" i="3" s="1"/>
  <c r="S64" i="3" s="1"/>
  <c r="S65" i="3" s="1"/>
  <c r="S66" i="3" s="1"/>
  <c r="S67" i="3" s="1"/>
  <c r="S68" i="3" s="1"/>
  <c r="S69" i="3" s="1"/>
  <c r="S70" i="3" s="1"/>
  <c r="S71" i="3" s="1"/>
  <c r="S72" i="3" s="1"/>
  <c r="S73" i="3" s="1"/>
  <c r="S74" i="3" s="1"/>
  <c r="S75" i="3" s="1"/>
  <c r="S76" i="3" s="1"/>
  <c r="S77" i="3" s="1"/>
  <c r="S78" i="3" s="1"/>
  <c r="S79" i="3" s="1"/>
  <c r="S80" i="3" s="1"/>
  <c r="S81" i="3" s="1"/>
  <c r="S82" i="3" s="1"/>
  <c r="S83" i="3" s="1"/>
  <c r="S84" i="3" s="1"/>
  <c r="S85" i="3" s="1"/>
  <c r="S86" i="3" s="1"/>
  <c r="S87" i="3" s="1"/>
  <c r="S88" i="3" s="1"/>
  <c r="S89" i="3" s="1"/>
  <c r="S90" i="3" s="1"/>
  <c r="S91" i="3" s="1"/>
  <c r="S92" i="3" s="1"/>
  <c r="S93" i="3" s="1"/>
  <c r="S94" i="3" s="1"/>
  <c r="S95" i="3" s="1"/>
  <c r="S96" i="3" s="1"/>
  <c r="S97" i="3" s="1"/>
  <c r="S98" i="3" s="1"/>
  <c r="S99" i="3" s="1"/>
  <c r="S100" i="3" s="1"/>
  <c r="S101" i="3" s="1"/>
  <c r="S102" i="3" s="1"/>
  <c r="S103" i="3" s="1"/>
  <c r="S104" i="3" s="1"/>
  <c r="S105" i="3" s="1"/>
  <c r="S106" i="3" s="1"/>
  <c r="S107" i="3" s="1"/>
  <c r="S108" i="3" s="1"/>
  <c r="S109" i="3" s="1"/>
  <c r="S110" i="3" s="1"/>
  <c r="S111" i="3" s="1"/>
  <c r="S112" i="3" s="1"/>
  <c r="S113" i="3" s="1"/>
  <c r="S114" i="3" s="1"/>
  <c r="S115" i="3" s="1"/>
  <c r="S116" i="3" s="1"/>
  <c r="S117" i="3" s="1"/>
  <c r="S118" i="3" s="1"/>
  <c r="S119" i="3" s="1"/>
  <c r="S120" i="3" s="1"/>
  <c r="S121" i="3" s="1"/>
  <c r="S122" i="3" s="1"/>
  <c r="S123" i="3" s="1"/>
  <c r="S124" i="3" s="1"/>
  <c r="S125" i="3" s="1"/>
  <c r="S126" i="3" s="1"/>
  <c r="S127" i="3" s="1"/>
  <c r="S128" i="3" s="1"/>
  <c r="S129" i="3" s="1"/>
  <c r="S130" i="3" s="1"/>
  <c r="S131" i="3" s="1"/>
  <c r="S132" i="3" s="1"/>
  <c r="S133" i="3" s="1"/>
  <c r="S134" i="3" s="1"/>
  <c r="S135" i="3" s="1"/>
  <c r="S136" i="3" s="1"/>
  <c r="S137" i="3" s="1"/>
  <c r="S138" i="3" s="1"/>
  <c r="S139" i="3" s="1"/>
  <c r="S140" i="3" s="1"/>
  <c r="S141" i="3" s="1"/>
  <c r="S142" i="3" s="1"/>
  <c r="S143" i="3" s="1"/>
  <c r="S144" i="3" s="1"/>
  <c r="S145" i="3" s="1"/>
  <c r="S146" i="3" s="1"/>
  <c r="S147" i="3" s="1"/>
  <c r="S148" i="3" s="1"/>
  <c r="S149" i="3" s="1"/>
  <c r="S150" i="3" s="1"/>
  <c r="S151" i="3" s="1"/>
  <c r="S152" i="3" s="1"/>
  <c r="S153" i="3" s="1"/>
  <c r="S154" i="3" s="1"/>
  <c r="S155" i="3" s="1"/>
  <c r="S156" i="3" s="1"/>
  <c r="S157" i="3" s="1"/>
  <c r="S158" i="3" s="1"/>
  <c r="S159" i="3" s="1"/>
  <c r="S160" i="3" s="1"/>
  <c r="S161" i="3" s="1"/>
  <c r="S162" i="3" s="1"/>
  <c r="S163" i="3" s="1"/>
  <c r="S164" i="3" s="1"/>
  <c r="S165" i="3" s="1"/>
  <c r="S166" i="3" s="1"/>
  <c r="S167" i="3" s="1"/>
  <c r="S168" i="3" s="1"/>
  <c r="S169" i="3" s="1"/>
  <c r="S170" i="3" s="1"/>
  <c r="S171" i="3" s="1"/>
  <c r="S172" i="3" s="1"/>
  <c r="S173" i="3" s="1"/>
  <c r="S174" i="3" s="1"/>
  <c r="S175" i="3" s="1"/>
  <c r="S176" i="3" s="1"/>
  <c r="S177" i="3" s="1"/>
  <c r="S178" i="3" s="1"/>
  <c r="S179" i="3" s="1"/>
  <c r="S180" i="3" s="1"/>
  <c r="S181" i="3" s="1"/>
  <c r="S182" i="3" s="1"/>
  <c r="S183" i="3" s="1"/>
  <c r="S184" i="3" s="1"/>
  <c r="S185" i="3" s="1"/>
  <c r="S186" i="3" s="1"/>
  <c r="S187" i="3" s="1"/>
  <c r="S188" i="3" s="1"/>
  <c r="S189" i="3" s="1"/>
  <c r="S190" i="3" s="1"/>
  <c r="S191" i="3" s="1"/>
  <c r="S192" i="3" s="1"/>
  <c r="S193" i="3" s="1"/>
  <c r="S194" i="3" s="1"/>
  <c r="S195" i="3" s="1"/>
  <c r="S196" i="3" s="1"/>
  <c r="S197" i="3" s="1"/>
  <c r="S198" i="3" s="1"/>
  <c r="S199" i="3" s="1"/>
  <c r="S200" i="3" s="1"/>
  <c r="S201" i="3" s="1"/>
  <c r="S202" i="3" s="1"/>
  <c r="S203" i="3" s="1"/>
  <c r="S204" i="3" s="1"/>
  <c r="S205" i="3" s="1"/>
  <c r="S206" i="3" s="1"/>
  <c r="S207" i="3" s="1"/>
  <c r="S208" i="3" s="1"/>
  <c r="S209" i="3" s="1"/>
  <c r="S210" i="3" s="1"/>
  <c r="S211" i="3" s="1"/>
  <c r="S212" i="3" s="1"/>
  <c r="S213" i="3" s="1"/>
  <c r="S214" i="3" s="1"/>
  <c r="S215" i="3" s="1"/>
  <c r="S216" i="3" s="1"/>
  <c r="S217" i="3" s="1"/>
  <c r="S218" i="3" s="1"/>
  <c r="S219" i="3" s="1"/>
  <c r="S220" i="3" s="1"/>
  <c r="S221" i="3" s="1"/>
  <c r="S222" i="3" s="1"/>
  <c r="S223" i="3" s="1"/>
  <c r="S224" i="3" s="1"/>
  <c r="S225" i="3" s="1"/>
  <c r="S226" i="3" s="1"/>
  <c r="S227" i="3" s="1"/>
  <c r="S228" i="3" s="1"/>
  <c r="S229" i="3" s="1"/>
  <c r="S230" i="3" s="1"/>
  <c r="S231" i="3" s="1"/>
  <c r="S232" i="3" s="1"/>
  <c r="S233" i="3" s="1"/>
  <c r="S234" i="3" s="1"/>
  <c r="S235" i="3" s="1"/>
  <c r="S236" i="3" s="1"/>
  <c r="S237" i="3" s="1"/>
  <c r="S238" i="3" s="1"/>
  <c r="S239" i="3" s="1"/>
  <c r="S240" i="3" s="1"/>
  <c r="S241" i="3" s="1"/>
  <c r="S242" i="3" s="1"/>
  <c r="S243" i="3" s="1"/>
  <c r="S244" i="3" s="1"/>
  <c r="S245" i="3" s="1"/>
  <c r="S246" i="3" s="1"/>
  <c r="S247" i="3" s="1"/>
  <c r="S248" i="3" s="1"/>
  <c r="S249" i="3" s="1"/>
  <c r="S250" i="3" s="1"/>
  <c r="S251" i="3" s="1"/>
  <c r="S252" i="3" s="1"/>
  <c r="S253" i="3" s="1"/>
  <c r="S254" i="3" s="1"/>
  <c r="S255" i="3" s="1"/>
  <c r="S256" i="3" s="1"/>
  <c r="S257" i="3" s="1"/>
  <c r="S258" i="3" s="1"/>
  <c r="S259" i="3" s="1"/>
  <c r="S260" i="3" s="1"/>
  <c r="S261" i="3" s="1"/>
  <c r="S262" i="3" s="1"/>
  <c r="S263" i="3" s="1"/>
  <c r="S264" i="3" s="1"/>
  <c r="S265" i="3" s="1"/>
  <c r="S266" i="3" s="1"/>
  <c r="S267" i="3" s="1"/>
  <c r="S268" i="3" s="1"/>
  <c r="S269" i="3" s="1"/>
  <c r="S270" i="3" s="1"/>
  <c r="S271" i="3" s="1"/>
  <c r="S272" i="3" s="1"/>
  <c r="S273" i="3" s="1"/>
  <c r="S274" i="3" s="1"/>
  <c r="S275" i="3" s="1"/>
  <c r="S276" i="3" s="1"/>
  <c r="S277" i="3" s="1"/>
  <c r="S278" i="3" s="1"/>
  <c r="S279" i="3" s="1"/>
  <c r="S280" i="3" s="1"/>
  <c r="S281" i="3" s="1"/>
  <c r="S282" i="3" s="1"/>
  <c r="S283" i="3" s="1"/>
  <c r="S284" i="3" s="1"/>
  <c r="S285" i="3" s="1"/>
  <c r="S286" i="3" s="1"/>
  <c r="S287" i="3" s="1"/>
  <c r="S288" i="3" s="1"/>
  <c r="S289" i="3" s="1"/>
  <c r="S290" i="3" s="1"/>
  <c r="S291" i="3" s="1"/>
  <c r="S292" i="3" s="1"/>
  <c r="S293" i="3" s="1"/>
  <c r="S294" i="3" s="1"/>
  <c r="S295" i="3" s="1"/>
  <c r="S296" i="3" s="1"/>
  <c r="S297" i="3" s="1"/>
  <c r="S298" i="3" s="1"/>
  <c r="S299" i="3" s="1"/>
  <c r="S300" i="3" s="1"/>
  <c r="S301" i="3" s="1"/>
  <c r="S302" i="3" s="1"/>
  <c r="S303" i="3" s="1"/>
  <c r="S304" i="3" s="1"/>
  <c r="S305" i="3" s="1"/>
  <c r="S306" i="3" s="1"/>
  <c r="S307" i="3" s="1"/>
  <c r="S308" i="3" s="1"/>
  <c r="S309" i="3" s="1"/>
  <c r="S310" i="3" s="1"/>
  <c r="S311" i="3" s="1"/>
  <c r="S312" i="3" s="1"/>
  <c r="S313" i="3" s="1"/>
  <c r="S314" i="3" s="1"/>
  <c r="S315" i="3" s="1"/>
  <c r="S316" i="3" s="1"/>
  <c r="S317" i="3" s="1"/>
  <c r="S318" i="3" s="1"/>
  <c r="S319" i="3" s="1"/>
  <c r="S320" i="3" s="1"/>
  <c r="S321" i="3" s="1"/>
  <c r="S322" i="3" s="1"/>
  <c r="S323" i="3" s="1"/>
  <c r="S324" i="3" s="1"/>
  <c r="S325" i="3" s="1"/>
  <c r="S326" i="3" s="1"/>
  <c r="S327" i="3" s="1"/>
  <c r="S328" i="3" s="1"/>
  <c r="S329" i="3" s="1"/>
  <c r="S330" i="3" s="1"/>
  <c r="S331" i="3" s="1"/>
  <c r="S332" i="3" s="1"/>
  <c r="S333" i="3" s="1"/>
  <c r="S334" i="3" s="1"/>
  <c r="S335" i="3" s="1"/>
  <c r="S336" i="3" s="1"/>
  <c r="S337" i="3" s="1"/>
  <c r="S338" i="3" s="1"/>
  <c r="S339" i="3" s="1"/>
  <c r="S340" i="3" s="1"/>
  <c r="S341" i="3" s="1"/>
  <c r="S342" i="3" s="1"/>
  <c r="S343" i="3" s="1"/>
  <c r="S344" i="3" s="1"/>
  <c r="S345" i="3" s="1"/>
  <c r="S346" i="3" s="1"/>
  <c r="S347" i="3" s="1"/>
  <c r="S348" i="3" s="1"/>
  <c r="S349" i="3" s="1"/>
  <c r="S350" i="3" s="1"/>
  <c r="S351" i="3" s="1"/>
  <c r="S352" i="3" s="1"/>
  <c r="S353" i="3" s="1"/>
  <c r="S354" i="3" s="1"/>
  <c r="S355" i="3" s="1"/>
  <c r="S356" i="3" s="1"/>
  <c r="S357" i="3" s="1"/>
  <c r="S358" i="3" s="1"/>
  <c r="S359" i="3" s="1"/>
  <c r="S360" i="3" s="1"/>
  <c r="S361" i="3" s="1"/>
  <c r="S362" i="3" s="1"/>
  <c r="S363" i="3" s="1"/>
  <c r="S364" i="3" s="1"/>
  <c r="S365" i="3" s="1"/>
  <c r="S366" i="3" s="1"/>
  <c r="S367" i="3" s="1"/>
  <c r="S368" i="3" s="1"/>
  <c r="S369" i="3" s="1"/>
  <c r="S370" i="3" s="1"/>
  <c r="S371" i="3" s="1"/>
  <c r="S372" i="3" s="1"/>
  <c r="S373" i="3" s="1"/>
  <c r="S374" i="3" s="1"/>
  <c r="S375" i="3" s="1"/>
  <c r="S376" i="3" s="1"/>
  <c r="S377" i="3" s="1"/>
  <c r="S378" i="3" s="1"/>
  <c r="S379" i="3" s="1"/>
  <c r="S380" i="3" s="1"/>
  <c r="S381" i="3" s="1"/>
  <c r="S382" i="3" s="1"/>
  <c r="S383" i="3" s="1"/>
  <c r="S384" i="3" s="1"/>
  <c r="S385" i="3" s="1"/>
  <c r="S386" i="3" s="1"/>
  <c r="S387" i="3" s="1"/>
  <c r="S388" i="3" s="1"/>
  <c r="S389" i="3" s="1"/>
  <c r="S390" i="3" s="1"/>
  <c r="S391" i="3" s="1"/>
  <c r="S392" i="3" s="1"/>
  <c r="S393" i="3" s="1"/>
  <c r="S394" i="3" s="1"/>
  <c r="S395" i="3" s="1"/>
  <c r="S396" i="3" s="1"/>
  <c r="S397" i="3" s="1"/>
  <c r="S398" i="3" s="1"/>
  <c r="S399" i="3" s="1"/>
  <c r="S400" i="3" s="1"/>
  <c r="S401" i="3" s="1"/>
  <c r="S402" i="3" s="1"/>
  <c r="S403" i="3" s="1"/>
  <c r="S404" i="3" s="1"/>
  <c r="S405" i="3" s="1"/>
  <c r="S406" i="3" s="1"/>
  <c r="S407" i="3" s="1"/>
  <c r="S408" i="3" s="1"/>
  <c r="S409" i="3" s="1"/>
  <c r="S410" i="3" s="1"/>
  <c r="S411" i="3" s="1"/>
  <c r="S412" i="3" s="1"/>
  <c r="S413" i="3" s="1"/>
  <c r="S414" i="3" s="1"/>
  <c r="S415" i="3" s="1"/>
  <c r="S416" i="3" s="1"/>
  <c r="S417" i="3" s="1"/>
  <c r="S418" i="3" s="1"/>
  <c r="S419" i="3" s="1"/>
  <c r="S420" i="3" s="1"/>
  <c r="S421" i="3" s="1"/>
  <c r="S422" i="3" s="1"/>
  <c r="S423" i="3" s="1"/>
  <c r="S424" i="3" s="1"/>
  <c r="S425" i="3" s="1"/>
  <c r="S426" i="3" s="1"/>
  <c r="S427" i="3" s="1"/>
  <c r="S428" i="3" s="1"/>
  <c r="S429" i="3" s="1"/>
  <c r="S430" i="3" s="1"/>
  <c r="S431" i="3" s="1"/>
  <c r="S432" i="3" s="1"/>
  <c r="S433" i="3" s="1"/>
  <c r="S434" i="3" s="1"/>
  <c r="S435" i="3" s="1"/>
  <c r="S436" i="3" s="1"/>
  <c r="S437" i="3" s="1"/>
  <c r="S438" i="3" s="1"/>
  <c r="S439" i="3" s="1"/>
  <c r="S440" i="3" s="1"/>
  <c r="S441" i="3" s="1"/>
  <c r="S442" i="3" s="1"/>
  <c r="S443" i="3" s="1"/>
  <c r="S444" i="3" s="1"/>
  <c r="S445" i="3" s="1"/>
  <c r="S446" i="3" s="1"/>
  <c r="S447" i="3" s="1"/>
  <c r="S448" i="3" s="1"/>
  <c r="S449" i="3" s="1"/>
  <c r="S450" i="3" s="1"/>
  <c r="S451" i="3" s="1"/>
  <c r="S452" i="3" s="1"/>
  <c r="S453" i="3" s="1"/>
  <c r="S454" i="3" s="1"/>
  <c r="S455" i="3" s="1"/>
  <c r="S456" i="3" s="1"/>
  <c r="S457" i="3" s="1"/>
  <c r="S458" i="3" s="1"/>
  <c r="S459" i="3" s="1"/>
  <c r="S460" i="3" s="1"/>
  <c r="S461" i="3" s="1"/>
  <c r="S462" i="3" s="1"/>
  <c r="S463" i="3" s="1"/>
  <c r="S464" i="3" s="1"/>
  <c r="S465" i="3" s="1"/>
  <c r="S466" i="3" s="1"/>
  <c r="S467" i="3" s="1"/>
  <c r="S468" i="3" s="1"/>
  <c r="S469" i="3" s="1"/>
  <c r="S470" i="3" s="1"/>
  <c r="S471" i="3" s="1"/>
  <c r="S472" i="3" s="1"/>
  <c r="S473" i="3" s="1"/>
  <c r="S474" i="3" s="1"/>
  <c r="S475" i="3" s="1"/>
  <c r="S476" i="3" s="1"/>
  <c r="S477" i="3" s="1"/>
  <c r="S478" i="3" s="1"/>
  <c r="S479" i="3" s="1"/>
  <c r="S480" i="3" s="1"/>
  <c r="S481" i="3" s="1"/>
  <c r="S482" i="3" s="1"/>
  <c r="S483" i="3" s="1"/>
  <c r="S484" i="3" s="1"/>
  <c r="S485" i="3" s="1"/>
  <c r="S486" i="3" s="1"/>
  <c r="S487" i="3" s="1"/>
  <c r="S488" i="3" s="1"/>
  <c r="S489" i="3" s="1"/>
  <c r="S490" i="3" s="1"/>
  <c r="S491" i="3" s="1"/>
  <c r="S492" i="3" s="1"/>
  <c r="S493" i="3" s="1"/>
  <c r="S494" i="3" s="1"/>
  <c r="S495" i="3" s="1"/>
  <c r="S496" i="3" s="1"/>
  <c r="S497" i="3" s="1"/>
  <c r="S498" i="3" s="1"/>
  <c r="S499" i="3" s="1"/>
  <c r="S500" i="3" s="1"/>
  <c r="S501" i="3" s="1"/>
  <c r="S502" i="3" s="1"/>
  <c r="S503" i="3" s="1"/>
  <c r="S504" i="3" s="1"/>
  <c r="S505" i="3" s="1"/>
  <c r="S506" i="3" s="1"/>
  <c r="S507" i="3" s="1"/>
  <c r="S508" i="3" s="1"/>
  <c r="S509" i="3" s="1"/>
  <c r="S510" i="3" s="1"/>
  <c r="S511" i="3" s="1"/>
  <c r="S512" i="3" s="1"/>
  <c r="S513" i="3" s="1"/>
  <c r="S514" i="3" s="1"/>
  <c r="S515" i="3" s="1"/>
  <c r="S516" i="3" s="1"/>
  <c r="S517" i="3" s="1"/>
  <c r="S518" i="3" s="1"/>
  <c r="S519" i="3" s="1"/>
  <c r="S520" i="3" s="1"/>
  <c r="S521" i="3" s="1"/>
  <c r="S522" i="3" s="1"/>
  <c r="S523" i="3" s="1"/>
  <c r="S524" i="3" s="1"/>
  <c r="S525" i="3" s="1"/>
  <c r="S526" i="3" s="1"/>
  <c r="S527" i="3" s="1"/>
  <c r="S528" i="3" s="1"/>
  <c r="S529" i="3" s="1"/>
  <c r="S530" i="3" s="1"/>
  <c r="S531" i="3" s="1"/>
  <c r="S532" i="3" s="1"/>
  <c r="S533" i="3" s="1"/>
  <c r="S534" i="3" s="1"/>
  <c r="S535" i="3" s="1"/>
  <c r="S536" i="3" s="1"/>
  <c r="S537" i="3" s="1"/>
  <c r="S538" i="3" s="1"/>
  <c r="S539" i="3" s="1"/>
  <c r="S540" i="3" s="1"/>
  <c r="S541" i="3" s="1"/>
  <c r="S542" i="3" s="1"/>
  <c r="S543" i="3" s="1"/>
  <c r="S544" i="3" s="1"/>
  <c r="S545" i="3" s="1"/>
  <c r="S546" i="3" s="1"/>
  <c r="S547" i="3" s="1"/>
  <c r="S548" i="3" s="1"/>
  <c r="S549" i="3" s="1"/>
  <c r="S550" i="3" s="1"/>
  <c r="S551" i="3" s="1"/>
  <c r="S552" i="3" s="1"/>
  <c r="S553" i="3" s="1"/>
  <c r="S554" i="3" s="1"/>
  <c r="S555" i="3" s="1"/>
  <c r="S556" i="3" s="1"/>
  <c r="S557" i="3" s="1"/>
  <c r="S558" i="3" s="1"/>
  <c r="S559" i="3" s="1"/>
  <c r="S560" i="3" s="1"/>
  <c r="S561" i="3" s="1"/>
  <c r="S562" i="3" s="1"/>
  <c r="S563" i="3" s="1"/>
  <c r="S564" i="3" s="1"/>
  <c r="S565" i="3" s="1"/>
  <c r="S566" i="3" s="1"/>
  <c r="S567" i="3" s="1"/>
  <c r="S568" i="3" s="1"/>
  <c r="S569" i="3" s="1"/>
  <c r="S570" i="3" s="1"/>
  <c r="S571" i="3" s="1"/>
  <c r="S572" i="3" s="1"/>
  <c r="S573" i="3" s="1"/>
  <c r="S574" i="3" s="1"/>
  <c r="S575" i="3" s="1"/>
  <c r="S576" i="3" s="1"/>
  <c r="S577" i="3" s="1"/>
  <c r="S578" i="3" s="1"/>
  <c r="S579" i="3" s="1"/>
  <c r="S580" i="3" s="1"/>
  <c r="S581" i="3" s="1"/>
  <c r="S582" i="3" s="1"/>
  <c r="S583" i="3" s="1"/>
  <c r="S584" i="3" s="1"/>
  <c r="S585" i="3" s="1"/>
  <c r="S586" i="3" s="1"/>
  <c r="S587" i="3" s="1"/>
  <c r="S588" i="3" s="1"/>
  <c r="S589" i="3" s="1"/>
  <c r="S590" i="3" s="1"/>
  <c r="S591" i="3" s="1"/>
  <c r="S592" i="3" s="1"/>
  <c r="S593" i="3" s="1"/>
  <c r="S594" i="3" s="1"/>
  <c r="S595" i="3" s="1"/>
  <c r="S596" i="3" s="1"/>
  <c r="S597" i="3" s="1"/>
  <c r="S598" i="3" s="1"/>
  <c r="S599" i="3" s="1"/>
  <c r="S600" i="3" s="1"/>
  <c r="S601" i="3" s="1"/>
  <c r="S602" i="3" s="1"/>
  <c r="S603" i="3" s="1"/>
  <c r="S604" i="3" s="1"/>
  <c r="S605" i="3" s="1"/>
  <c r="S606" i="3" s="1"/>
  <c r="S607" i="3" s="1"/>
  <c r="S608" i="3" s="1"/>
  <c r="S609" i="3" s="1"/>
  <c r="S610" i="3" s="1"/>
  <c r="S611" i="3" s="1"/>
  <c r="S612" i="3" s="1"/>
  <c r="S613" i="3" s="1"/>
  <c r="S614" i="3" s="1"/>
  <c r="S615" i="3" s="1"/>
  <c r="S616" i="3" s="1"/>
  <c r="S617" i="3" s="1"/>
  <c r="S618" i="3" s="1"/>
  <c r="S619" i="3" s="1"/>
  <c r="S620" i="3" s="1"/>
  <c r="S621" i="3" s="1"/>
  <c r="S622" i="3" s="1"/>
  <c r="S623" i="3" s="1"/>
  <c r="S624" i="3" s="1"/>
  <c r="S625" i="3" s="1"/>
  <c r="S626" i="3" s="1"/>
  <c r="S627" i="3" s="1"/>
  <c r="S628" i="3" s="1"/>
  <c r="S629" i="3" s="1"/>
  <c r="S630" i="3" s="1"/>
  <c r="S631" i="3" s="1"/>
  <c r="S632" i="3" s="1"/>
  <c r="S633" i="3" s="1"/>
  <c r="S634" i="3" s="1"/>
  <c r="S635" i="3" s="1"/>
  <c r="S636" i="3" s="1"/>
  <c r="S637" i="3" s="1"/>
  <c r="S638" i="3" s="1"/>
  <c r="S639" i="3" s="1"/>
  <c r="S640" i="3" s="1"/>
  <c r="S641" i="3" s="1"/>
  <c r="S642" i="3" s="1"/>
  <c r="S643" i="3" s="1"/>
  <c r="S644" i="3" s="1"/>
  <c r="S645" i="3" s="1"/>
  <c r="S646" i="3" s="1"/>
  <c r="S647" i="3" s="1"/>
  <c r="S648" i="3" s="1"/>
  <c r="S649" i="3" s="1"/>
  <c r="S650" i="3" s="1"/>
  <c r="S651" i="3" s="1"/>
  <c r="S652" i="3" s="1"/>
  <c r="S653" i="3" s="1"/>
  <c r="S654" i="3" s="1"/>
  <c r="S655" i="3" s="1"/>
  <c r="S656" i="3" s="1"/>
  <c r="S657" i="3" s="1"/>
  <c r="S658" i="3" s="1"/>
  <c r="S659" i="3" s="1"/>
  <c r="S660" i="3" s="1"/>
  <c r="S661" i="3" s="1"/>
  <c r="S662" i="3" s="1"/>
  <c r="S663" i="3" s="1"/>
  <c r="S664" i="3" s="1"/>
  <c r="S665" i="3" s="1"/>
  <c r="S666" i="3" s="1"/>
  <c r="S667" i="3" s="1"/>
  <c r="S668" i="3" s="1"/>
  <c r="S669" i="3" s="1"/>
  <c r="S670" i="3" s="1"/>
  <c r="S671" i="3" s="1"/>
  <c r="S672" i="3" s="1"/>
  <c r="S673" i="3" s="1"/>
  <c r="S674" i="3" s="1"/>
  <c r="S675" i="3" s="1"/>
  <c r="S676" i="3" s="1"/>
  <c r="S677" i="3" s="1"/>
  <c r="S678" i="3" s="1"/>
  <c r="S679" i="3" s="1"/>
  <c r="S680" i="3" s="1"/>
  <c r="S681" i="3" s="1"/>
  <c r="S682" i="3" s="1"/>
  <c r="S683" i="3" s="1"/>
  <c r="S684" i="3" s="1"/>
  <c r="S685" i="3" s="1"/>
  <c r="S686" i="3" s="1"/>
  <c r="S687" i="3" s="1"/>
  <c r="S688" i="3" s="1"/>
  <c r="S689" i="3" s="1"/>
  <c r="S690" i="3" s="1"/>
  <c r="S691" i="3" s="1"/>
  <c r="S692" i="3" s="1"/>
  <c r="S693" i="3" s="1"/>
  <c r="S694" i="3" s="1"/>
  <c r="S695" i="3" s="1"/>
  <c r="S696" i="3" s="1"/>
  <c r="S697" i="3" s="1"/>
  <c r="S698" i="3" s="1"/>
  <c r="S699" i="3" s="1"/>
  <c r="S700" i="3" s="1"/>
  <c r="S701" i="3" s="1"/>
  <c r="S702" i="3" s="1"/>
  <c r="S703" i="3" s="1"/>
  <c r="S704" i="3" s="1"/>
  <c r="S705" i="3" s="1"/>
  <c r="S706" i="3" s="1"/>
  <c r="S707" i="3" s="1"/>
  <c r="S708" i="3" s="1"/>
  <c r="S709" i="3" s="1"/>
  <c r="S710" i="3" s="1"/>
  <c r="S711" i="3" s="1"/>
  <c r="S712" i="3" s="1"/>
  <c r="S713" i="3" s="1"/>
  <c r="S714" i="3" s="1"/>
  <c r="S715" i="3" s="1"/>
  <c r="S716" i="3" s="1"/>
  <c r="S717" i="3" s="1"/>
  <c r="S718" i="3" s="1"/>
  <c r="S719" i="3" s="1"/>
  <c r="S720" i="3" s="1"/>
  <c r="S721" i="3" s="1"/>
  <c r="S722" i="3" s="1"/>
  <c r="S723" i="3" s="1"/>
  <c r="S724" i="3" s="1"/>
  <c r="S725" i="3" s="1"/>
  <c r="S726" i="3" s="1"/>
  <c r="S727" i="3" s="1"/>
  <c r="S728" i="3" s="1"/>
  <c r="S729" i="3" s="1"/>
  <c r="S730" i="3" s="1"/>
  <c r="S731" i="3" s="1"/>
  <c r="S732" i="3" s="1"/>
  <c r="S733" i="3" s="1"/>
  <c r="S734" i="3" s="1"/>
  <c r="S735" i="3" s="1"/>
  <c r="S736" i="3" s="1"/>
  <c r="S737" i="3" s="1"/>
  <c r="S738" i="3" s="1"/>
  <c r="S739" i="3" s="1"/>
  <c r="S740" i="3" s="1"/>
  <c r="S741" i="3" s="1"/>
  <c r="S742" i="3" s="1"/>
  <c r="S743" i="3" s="1"/>
  <c r="S744" i="3" s="1"/>
  <c r="S745" i="3" s="1"/>
  <c r="S746" i="3" s="1"/>
  <c r="S747" i="3" s="1"/>
  <c r="S748" i="3" s="1"/>
  <c r="S749" i="3" s="1"/>
  <c r="S750" i="3" s="1"/>
  <c r="S751" i="3" s="1"/>
  <c r="S752" i="3" s="1"/>
  <c r="S753" i="3" s="1"/>
  <c r="S754" i="3" s="1"/>
  <c r="S755" i="3" s="1"/>
  <c r="S756" i="3" s="1"/>
  <c r="S757" i="3" s="1"/>
  <c r="S758" i="3" s="1"/>
  <c r="S759" i="3" s="1"/>
  <c r="S760" i="3" s="1"/>
  <c r="S761" i="3" s="1"/>
  <c r="S762" i="3" s="1"/>
  <c r="S763" i="3" s="1"/>
  <c r="S764" i="3" s="1"/>
  <c r="S765" i="3" s="1"/>
  <c r="S766" i="3" s="1"/>
  <c r="S767" i="3" s="1"/>
  <c r="S768" i="3" s="1"/>
  <c r="S769" i="3" s="1"/>
  <c r="S770" i="3" s="1"/>
  <c r="S771" i="3" s="1"/>
  <c r="S772" i="3" s="1"/>
  <c r="S773" i="3" s="1"/>
  <c r="S774" i="3" s="1"/>
  <c r="S775" i="3" s="1"/>
  <c r="S776" i="3" s="1"/>
  <c r="S777" i="3" s="1"/>
  <c r="S778" i="3" s="1"/>
  <c r="S779" i="3" s="1"/>
  <c r="S780" i="3" s="1"/>
  <c r="S781" i="3" s="1"/>
  <c r="S782" i="3" s="1"/>
  <c r="S783" i="3" s="1"/>
  <c r="S784" i="3" s="1"/>
  <c r="S785" i="3" s="1"/>
  <c r="S786" i="3" s="1"/>
  <c r="S787" i="3" s="1"/>
  <c r="S788" i="3" s="1"/>
  <c r="S789" i="3" s="1"/>
  <c r="S790" i="3" s="1"/>
  <c r="S791" i="3" s="1"/>
  <c r="S792" i="3" s="1"/>
  <c r="S793" i="3" s="1"/>
  <c r="S794" i="3" s="1"/>
  <c r="S795" i="3" s="1"/>
  <c r="S796" i="3" s="1"/>
  <c r="S797" i="3" s="1"/>
  <c r="S798" i="3" s="1"/>
  <c r="S799" i="3" s="1"/>
  <c r="S800" i="3" s="1"/>
  <c r="S801" i="3" s="1"/>
  <c r="S802" i="3" s="1"/>
  <c r="S803" i="3" s="1"/>
  <c r="S804" i="3" s="1"/>
  <c r="S805" i="3" s="1"/>
  <c r="S806" i="3" s="1"/>
  <c r="S807" i="3" s="1"/>
  <c r="S808" i="3" s="1"/>
  <c r="S809" i="3" s="1"/>
  <c r="S810" i="3" s="1"/>
  <c r="S811" i="3" s="1"/>
  <c r="S812" i="3" s="1"/>
  <c r="S813" i="3" s="1"/>
  <c r="S814" i="3" s="1"/>
  <c r="S815" i="3" s="1"/>
  <c r="S816" i="3" s="1"/>
  <c r="S817" i="3" s="1"/>
  <c r="S818" i="3" s="1"/>
  <c r="S819" i="3" s="1"/>
  <c r="S820" i="3" s="1"/>
  <c r="S821" i="3" s="1"/>
  <c r="S822" i="3" s="1"/>
  <c r="S823" i="3" s="1"/>
  <c r="S824" i="3" s="1"/>
  <c r="S825" i="3" s="1"/>
  <c r="S826" i="3" s="1"/>
  <c r="S827" i="3" s="1"/>
  <c r="S828" i="3" s="1"/>
  <c r="S829" i="3" s="1"/>
  <c r="S830" i="3" s="1"/>
  <c r="S831" i="3" s="1"/>
  <c r="S832" i="3" s="1"/>
  <c r="S833" i="3" s="1"/>
  <c r="S834" i="3" s="1"/>
  <c r="S835" i="3" s="1"/>
  <c r="S836" i="3" s="1"/>
  <c r="S837" i="3" s="1"/>
  <c r="S838" i="3" s="1"/>
  <c r="S839" i="3" s="1"/>
  <c r="S840" i="3" s="1"/>
  <c r="S841" i="3" s="1"/>
  <c r="S842" i="3" s="1"/>
  <c r="S843" i="3" s="1"/>
  <c r="S844" i="3" s="1"/>
  <c r="S845" i="3" s="1"/>
  <c r="S846" i="3" s="1"/>
  <c r="S847" i="3" s="1"/>
  <c r="S848" i="3" s="1"/>
  <c r="S849" i="3" s="1"/>
  <c r="S850" i="3" s="1"/>
  <c r="S851" i="3" s="1"/>
  <c r="S852" i="3" s="1"/>
  <c r="S853" i="3" s="1"/>
  <c r="S854" i="3" s="1"/>
  <c r="S855" i="3" s="1"/>
  <c r="S856" i="3" s="1"/>
  <c r="S857" i="3" s="1"/>
  <c r="S858" i="3" s="1"/>
  <c r="S859" i="3" s="1"/>
  <c r="S860" i="3" s="1"/>
  <c r="S861" i="3" s="1"/>
  <c r="S862" i="3" s="1"/>
  <c r="S863" i="3" s="1"/>
  <c r="S864" i="3" s="1"/>
  <c r="S865" i="3" s="1"/>
  <c r="S866" i="3" s="1"/>
  <c r="S867" i="3" s="1"/>
  <c r="S868" i="3" s="1"/>
  <c r="S869" i="3" s="1"/>
  <c r="S870" i="3" s="1"/>
  <c r="S871" i="3" s="1"/>
  <c r="S872" i="3" s="1"/>
  <c r="S873" i="3" s="1"/>
  <c r="S874" i="3" s="1"/>
  <c r="S875" i="3" s="1"/>
  <c r="S876" i="3" s="1"/>
  <c r="S877" i="3" s="1"/>
  <c r="S878" i="3" s="1"/>
  <c r="S879" i="3" s="1"/>
  <c r="S880" i="3" s="1"/>
  <c r="S881" i="3" s="1"/>
  <c r="S882" i="3" s="1"/>
  <c r="S883" i="3" s="1"/>
  <c r="S884" i="3" s="1"/>
  <c r="S885" i="3" s="1"/>
  <c r="S886" i="3" s="1"/>
  <c r="S887" i="3" s="1"/>
  <c r="S888" i="3" s="1"/>
  <c r="S889" i="3" s="1"/>
  <c r="S890" i="3" s="1"/>
  <c r="S891" i="3" s="1"/>
  <c r="S892" i="3" s="1"/>
  <c r="S893" i="3" s="1"/>
  <c r="S894" i="3" s="1"/>
  <c r="S895" i="3" s="1"/>
  <c r="S896" i="3" s="1"/>
  <c r="S897" i="3" s="1"/>
  <c r="S898" i="3" s="1"/>
  <c r="S899" i="3" s="1"/>
  <c r="S900" i="3" s="1"/>
  <c r="S901" i="3" s="1"/>
  <c r="S902" i="3" s="1"/>
  <c r="S903" i="3" s="1"/>
  <c r="S904" i="3" s="1"/>
  <c r="S905" i="3" s="1"/>
  <c r="S906" i="3" s="1"/>
  <c r="S907" i="3" s="1"/>
  <c r="S908" i="3" s="1"/>
  <c r="S909" i="3" s="1"/>
  <c r="S910" i="3" s="1"/>
  <c r="S911" i="3" s="1"/>
  <c r="S912" i="3" s="1"/>
  <c r="S913" i="3" s="1"/>
  <c r="S914" i="3" s="1"/>
  <c r="S915" i="3" s="1"/>
  <c r="S916" i="3" s="1"/>
  <c r="S917" i="3" s="1"/>
  <c r="S918" i="3" s="1"/>
  <c r="S919" i="3" s="1"/>
  <c r="S920" i="3" s="1"/>
  <c r="S921" i="3" s="1"/>
  <c r="S922" i="3" s="1"/>
  <c r="S923" i="3" s="1"/>
  <c r="S924" i="3" s="1"/>
  <c r="S925" i="3" s="1"/>
  <c r="S926" i="3" s="1"/>
  <c r="S927" i="3" s="1"/>
  <c r="S928" i="3" s="1"/>
  <c r="S929" i="3" s="1"/>
  <c r="S930" i="3" s="1"/>
  <c r="S931" i="3" s="1"/>
  <c r="S932" i="3" s="1"/>
  <c r="S933" i="3" s="1"/>
  <c r="S934" i="3" s="1"/>
  <c r="S935" i="3" s="1"/>
  <c r="S936" i="3" s="1"/>
  <c r="S937" i="3" s="1"/>
  <c r="S938" i="3" s="1"/>
  <c r="S939" i="3" s="1"/>
  <c r="S940" i="3" s="1"/>
  <c r="S941" i="3" s="1"/>
  <c r="S942" i="3" s="1"/>
  <c r="S943" i="3" s="1"/>
  <c r="S944" i="3" s="1"/>
  <c r="S945" i="3" s="1"/>
  <c r="S946" i="3" s="1"/>
  <c r="S947" i="3" s="1"/>
  <c r="S948" i="3" s="1"/>
  <c r="S949" i="3" s="1"/>
  <c r="S950" i="3" s="1"/>
  <c r="S951" i="3" s="1"/>
  <c r="S952" i="3" s="1"/>
  <c r="S953" i="3" s="1"/>
  <c r="S954" i="3" s="1"/>
  <c r="S955" i="3" s="1"/>
  <c r="S956" i="3" s="1"/>
  <c r="S957" i="3" s="1"/>
  <c r="S958" i="3" s="1"/>
  <c r="S959" i="3" s="1"/>
  <c r="S960" i="3" s="1"/>
  <c r="S961" i="3" s="1"/>
  <c r="S962" i="3" s="1"/>
  <c r="S963" i="3" s="1"/>
  <c r="S964" i="3" s="1"/>
  <c r="S965" i="3" s="1"/>
  <c r="S966" i="3" s="1"/>
  <c r="S967" i="3" s="1"/>
  <c r="S968" i="3" s="1"/>
  <c r="S969" i="3" s="1"/>
  <c r="S970" i="3" s="1"/>
  <c r="S971" i="3" s="1"/>
  <c r="S972" i="3" s="1"/>
  <c r="S973" i="3" s="1"/>
  <c r="S974" i="3" s="1"/>
  <c r="S975" i="3" s="1"/>
  <c r="S976" i="3" s="1"/>
  <c r="S977" i="3" s="1"/>
  <c r="S978" i="3" s="1"/>
  <c r="S979" i="3" s="1"/>
  <c r="S980" i="3" s="1"/>
  <c r="S981" i="3" s="1"/>
  <c r="S982" i="3" s="1"/>
  <c r="S983" i="3" s="1"/>
  <c r="S984" i="3" s="1"/>
  <c r="S985" i="3" s="1"/>
  <c r="S986" i="3" s="1"/>
  <c r="S987" i="3" s="1"/>
  <c r="S988" i="3" s="1"/>
  <c r="S989" i="3" s="1"/>
  <c r="S990" i="3" s="1"/>
  <c r="S991" i="3" s="1"/>
  <c r="S992" i="3" s="1"/>
  <c r="S993" i="3" s="1"/>
  <c r="S994" i="3" s="1"/>
  <c r="S995" i="3" s="1"/>
  <c r="S996" i="3" s="1"/>
  <c r="S997" i="3" s="1"/>
  <c r="S998" i="3" s="1"/>
  <c r="S999" i="3" s="1"/>
  <c r="S1000" i="3" s="1"/>
  <c r="S1001" i="3" s="1"/>
  <c r="S1002" i="3" s="1"/>
  <c r="S1003" i="3" s="1"/>
  <c r="S1004" i="3" s="1"/>
  <c r="S1005" i="3" s="1"/>
  <c r="S1006" i="3" s="1"/>
  <c r="S1007" i="3" s="1"/>
  <c r="S1008" i="3" s="1"/>
  <c r="S1009" i="3" s="1"/>
  <c r="S1010" i="3" s="1"/>
  <c r="S1011" i="3" s="1"/>
  <c r="S1012" i="3" s="1"/>
  <c r="S1013" i="3" s="1"/>
  <c r="S1014" i="3" s="1"/>
  <c r="S1015" i="3" s="1"/>
  <c r="S1016" i="3" s="1"/>
  <c r="S1017" i="3" s="1"/>
  <c r="S1018" i="3" s="1"/>
  <c r="S1019" i="3" s="1"/>
  <c r="S1020" i="3" s="1"/>
  <c r="S1021" i="3" s="1"/>
  <c r="S1022" i="3" s="1"/>
  <c r="S1023" i="3" s="1"/>
  <c r="S1024" i="3" s="1"/>
  <c r="S1025" i="3" s="1"/>
  <c r="S1026" i="3" s="1"/>
  <c r="S1027" i="3" s="1"/>
  <c r="S1028" i="3" s="1"/>
  <c r="S1029" i="3" s="1"/>
  <c r="S1030" i="3" s="1"/>
  <c r="S1031" i="3" s="1"/>
  <c r="S1032" i="3" s="1"/>
  <c r="S1033" i="3" s="1"/>
  <c r="S1034" i="3" s="1"/>
  <c r="S1035" i="3" s="1"/>
  <c r="S1036" i="3" s="1"/>
  <c r="S1037" i="3" s="1"/>
  <c r="S1038" i="3" s="1"/>
  <c r="S1039" i="3" s="1"/>
  <c r="S1040" i="3" s="1"/>
  <c r="S1041" i="3" s="1"/>
  <c r="S1042" i="3" s="1"/>
  <c r="S1043" i="3" s="1"/>
  <c r="S1044" i="3" s="1"/>
  <c r="S1045" i="3" s="1"/>
  <c r="S1046" i="3" s="1"/>
  <c r="S1047" i="3" s="1"/>
  <c r="S1048" i="3" s="1"/>
  <c r="S1049" i="3" s="1"/>
  <c r="S1050" i="3" s="1"/>
  <c r="S1051" i="3" s="1"/>
  <c r="S1052" i="3" s="1"/>
  <c r="S1053" i="3" s="1"/>
  <c r="S1054" i="3" s="1"/>
  <c r="S1055" i="3" s="1"/>
  <c r="S1056" i="3" s="1"/>
  <c r="S1057" i="3" s="1"/>
  <c r="S1058" i="3" s="1"/>
  <c r="S1059" i="3" s="1"/>
  <c r="S1060" i="3" s="1"/>
  <c r="S1061" i="3" s="1"/>
  <c r="S1062" i="3" s="1"/>
  <c r="S1063" i="3" s="1"/>
  <c r="S1064" i="3" s="1"/>
  <c r="S1065" i="3" s="1"/>
  <c r="S1066" i="3" s="1"/>
  <c r="S1067" i="3" s="1"/>
  <c r="S1068" i="3" s="1"/>
  <c r="S1069" i="3" s="1"/>
  <c r="S1070" i="3" s="1"/>
  <c r="S1071" i="3" s="1"/>
  <c r="S1072" i="3" s="1"/>
  <c r="S1073" i="3" s="1"/>
  <c r="S1074" i="3" s="1"/>
  <c r="S1075" i="3" s="1"/>
  <c r="S1076" i="3" s="1"/>
  <c r="S1077" i="3" s="1"/>
  <c r="S1078" i="3" s="1"/>
  <c r="S1079" i="3" s="1"/>
  <c r="S1080" i="3" s="1"/>
  <c r="S1081" i="3" s="1"/>
  <c r="S1082" i="3" s="1"/>
  <c r="S1083" i="3" s="1"/>
  <c r="S1084" i="3" s="1"/>
  <c r="S1085" i="3" s="1"/>
  <c r="S1086" i="3" s="1"/>
  <c r="S1087" i="3" s="1"/>
  <c r="S1088" i="3" s="1"/>
  <c r="S1089" i="3" s="1"/>
  <c r="S1090" i="3" s="1"/>
  <c r="S1091" i="3" s="1"/>
  <c r="S1092" i="3" s="1"/>
  <c r="S1093" i="3" s="1"/>
  <c r="S1094" i="3" s="1"/>
  <c r="S1095" i="3" s="1"/>
  <c r="S1096" i="3" s="1"/>
  <c r="S1097" i="3" s="1"/>
  <c r="S1098" i="3" s="1"/>
  <c r="S1099" i="3" s="1"/>
  <c r="S1100" i="3" s="1"/>
  <c r="S1101" i="3" s="1"/>
  <c r="S1102" i="3" s="1"/>
  <c r="S1103" i="3" s="1"/>
  <c r="S1104" i="3" s="1"/>
  <c r="S1105" i="3" s="1"/>
  <c r="S1106" i="3" s="1"/>
  <c r="S1107" i="3" s="1"/>
  <c r="S1108" i="3" s="1"/>
  <c r="S1109" i="3" s="1"/>
  <c r="S1110" i="3" s="1"/>
  <c r="S1111" i="3" s="1"/>
  <c r="S1112" i="3" s="1"/>
  <c r="S1113" i="3" s="1"/>
  <c r="S1114" i="3" s="1"/>
  <c r="S1115" i="3" s="1"/>
  <c r="S1116" i="3" s="1"/>
  <c r="S1117" i="3" s="1"/>
  <c r="S1118" i="3" s="1"/>
  <c r="S1119" i="3" s="1"/>
  <c r="S1120" i="3" s="1"/>
  <c r="S1121" i="3" s="1"/>
  <c r="S1122" i="3" s="1"/>
  <c r="S1123" i="3" s="1"/>
  <c r="S1124" i="3" s="1"/>
  <c r="S1125" i="3" s="1"/>
  <c r="S1126" i="3" s="1"/>
  <c r="S1127" i="3" s="1"/>
  <c r="S1128" i="3" s="1"/>
  <c r="S1129" i="3" s="1"/>
  <c r="S1130" i="3" s="1"/>
  <c r="S1131" i="3" s="1"/>
  <c r="S1132" i="3" s="1"/>
  <c r="S1133" i="3" s="1"/>
  <c r="S1134" i="3" s="1"/>
  <c r="S1135" i="3" s="1"/>
  <c r="S1136" i="3" s="1"/>
  <c r="S1137" i="3" s="1"/>
  <c r="S1138" i="3" s="1"/>
  <c r="S1139" i="3" s="1"/>
  <c r="S1140" i="3" s="1"/>
  <c r="S1141" i="3" s="1"/>
  <c r="S1142" i="3" s="1"/>
  <c r="S1143" i="3" s="1"/>
  <c r="S1144" i="3" s="1"/>
  <c r="S1145" i="3" s="1"/>
  <c r="S1146" i="3" s="1"/>
  <c r="S1147" i="3" s="1"/>
  <c r="S1148" i="3" s="1"/>
  <c r="S1149" i="3" s="1"/>
  <c r="S1150" i="3" s="1"/>
  <c r="S1151" i="3" s="1"/>
  <c r="S1152" i="3" s="1"/>
  <c r="S1153" i="3" s="1"/>
  <c r="S1154" i="3" s="1"/>
  <c r="S1155" i="3" s="1"/>
  <c r="S1156" i="3" s="1"/>
  <c r="S1157" i="3" s="1"/>
  <c r="S1158" i="3" s="1"/>
  <c r="S1159" i="3" s="1"/>
  <c r="S1160" i="3" s="1"/>
  <c r="S1161" i="3" s="1"/>
  <c r="S1162" i="3" s="1"/>
  <c r="S1163" i="3" s="1"/>
  <c r="S1164" i="3" s="1"/>
  <c r="S1165" i="3" s="1"/>
  <c r="S1166" i="3" s="1"/>
  <c r="S1167" i="3" s="1"/>
  <c r="S1168" i="3" s="1"/>
  <c r="S1169" i="3" s="1"/>
  <c r="S1170" i="3" s="1"/>
  <c r="S1171" i="3" s="1"/>
  <c r="S1172" i="3" s="1"/>
  <c r="S1173" i="3" s="1"/>
  <c r="S1174" i="3" s="1"/>
  <c r="S1175" i="3" s="1"/>
  <c r="S1176" i="3" s="1"/>
  <c r="S1177" i="3" s="1"/>
  <c r="S1178" i="3" s="1"/>
  <c r="S1179" i="3" s="1"/>
  <c r="S1180" i="3" s="1"/>
  <c r="S1181" i="3" s="1"/>
  <c r="S1182" i="3" s="1"/>
  <c r="S1183" i="3" s="1"/>
  <c r="S1184" i="3" s="1"/>
  <c r="S1185" i="3" s="1"/>
  <c r="S1186" i="3" s="1"/>
  <c r="S1187" i="3" s="1"/>
  <c r="S1188" i="3" s="1"/>
  <c r="S1189" i="3" s="1"/>
  <c r="S1190" i="3" s="1"/>
  <c r="S1191" i="3" s="1"/>
  <c r="S1192" i="3" s="1"/>
  <c r="S1193" i="3" s="1"/>
  <c r="S1194" i="3" s="1"/>
  <c r="S1195" i="3" s="1"/>
  <c r="S1196" i="3" s="1"/>
  <c r="S1197" i="3" s="1"/>
  <c r="S1198" i="3" s="1"/>
  <c r="S1199" i="3" s="1"/>
  <c r="S1200" i="3" s="1"/>
  <c r="S1201" i="3" s="1"/>
  <c r="S1202" i="3" s="1"/>
  <c r="S1203" i="3" s="1"/>
  <c r="S1204" i="3" s="1"/>
  <c r="S1205" i="3" s="1"/>
  <c r="S1206" i="3" s="1"/>
  <c r="S1207" i="3" s="1"/>
  <c r="S1208" i="3" s="1"/>
  <c r="S1209" i="3" s="1"/>
  <c r="S1210" i="3" s="1"/>
  <c r="S1211" i="3" s="1"/>
  <c r="S1212" i="3" s="1"/>
  <c r="S1213" i="3" s="1"/>
  <c r="S1214" i="3" s="1"/>
  <c r="S1215" i="3" s="1"/>
  <c r="S1216" i="3" s="1"/>
  <c r="S1217" i="3" s="1"/>
  <c r="S1218" i="3" s="1"/>
  <c r="S1219" i="3" s="1"/>
  <c r="S1220" i="3" s="1"/>
  <c r="S1221" i="3" s="1"/>
  <c r="S1222" i="3" s="1"/>
  <c r="S1223" i="3" s="1"/>
  <c r="S1224" i="3" s="1"/>
  <c r="S1225" i="3" s="1"/>
  <c r="S1226" i="3" s="1"/>
  <c r="S1227" i="3" s="1"/>
  <c r="S1228" i="3" s="1"/>
  <c r="S1229" i="3" s="1"/>
  <c r="S1230" i="3" s="1"/>
  <c r="S1231" i="3" s="1"/>
  <c r="S1232" i="3" s="1"/>
  <c r="S1233" i="3" s="1"/>
  <c r="S1234" i="3" s="1"/>
  <c r="S1235" i="3" s="1"/>
  <c r="S1236" i="3" s="1"/>
  <c r="S1237" i="3" s="1"/>
  <c r="S1238" i="3" s="1"/>
  <c r="S1239" i="3" s="1"/>
  <c r="S1240" i="3" s="1"/>
  <c r="S1241" i="3" s="1"/>
  <c r="S1242" i="3" s="1"/>
  <c r="S1243" i="3" s="1"/>
  <c r="S1244" i="3" s="1"/>
  <c r="S1245" i="3" s="1"/>
  <c r="S1246" i="3" s="1"/>
  <c r="S1247" i="3" s="1"/>
  <c r="S1248" i="3" s="1"/>
  <c r="S1249" i="3" s="1"/>
  <c r="S1250" i="3" s="1"/>
  <c r="S1251" i="3" s="1"/>
  <c r="S1252" i="3" s="1"/>
  <c r="S1253" i="3" s="1"/>
  <c r="S1254" i="3" s="1"/>
  <c r="S1255" i="3" s="1"/>
  <c r="S1256" i="3" s="1"/>
  <c r="S1257" i="3" s="1"/>
  <c r="S1258" i="3" s="1"/>
  <c r="S1259" i="3" s="1"/>
  <c r="S1260" i="3" s="1"/>
  <c r="S1261" i="3" s="1"/>
  <c r="S1262" i="3" s="1"/>
  <c r="S1263" i="3" s="1"/>
  <c r="S1264" i="3" s="1"/>
  <c r="S1265" i="3" s="1"/>
  <c r="S1266" i="3" s="1"/>
  <c r="S1267" i="3" s="1"/>
  <c r="S1268" i="3" s="1"/>
  <c r="S1269" i="3" s="1"/>
  <c r="S1270" i="3" s="1"/>
  <c r="S1271" i="3" s="1"/>
  <c r="S1272" i="3" s="1"/>
  <c r="S1273" i="3" s="1"/>
  <c r="S1274" i="3" s="1"/>
  <c r="S1275" i="3" s="1"/>
  <c r="S1276" i="3" s="1"/>
  <c r="S1277" i="3" s="1"/>
  <c r="S1278" i="3" s="1"/>
  <c r="S1279" i="3" s="1"/>
  <c r="S1280" i="3" s="1"/>
  <c r="S1281" i="3" s="1"/>
  <c r="S1282" i="3" s="1"/>
  <c r="S1283" i="3" s="1"/>
  <c r="S1284" i="3" s="1"/>
  <c r="S1285" i="3" s="1"/>
  <c r="S1286" i="3" s="1"/>
  <c r="S1287" i="3" s="1"/>
  <c r="S1288" i="3" s="1"/>
  <c r="S1289" i="3" s="1"/>
  <c r="S1290" i="3" s="1"/>
  <c r="S1291" i="3" s="1"/>
  <c r="S1292" i="3" s="1"/>
  <c r="S1293" i="3" s="1"/>
  <c r="S1294" i="3" s="1"/>
  <c r="S1295" i="3" s="1"/>
  <c r="S1296" i="3" s="1"/>
  <c r="S1297" i="3" s="1"/>
  <c r="S1298" i="3" s="1"/>
  <c r="S1299" i="3" s="1"/>
  <c r="S1300" i="3" s="1"/>
  <c r="S1301" i="3" s="1"/>
  <c r="S1302" i="3" s="1"/>
  <c r="S1303" i="3" s="1"/>
  <c r="S1304" i="3" s="1"/>
  <c r="S1305" i="3" s="1"/>
  <c r="S1306" i="3" s="1"/>
  <c r="S1307" i="3" s="1"/>
  <c r="S1308" i="3" s="1"/>
  <c r="S1309" i="3" s="1"/>
  <c r="S1310" i="3" s="1"/>
  <c r="S1311" i="3" s="1"/>
  <c r="S1312" i="3" s="1"/>
  <c r="S1313" i="3" s="1"/>
  <c r="S1314" i="3" s="1"/>
  <c r="S1315" i="3" s="1"/>
  <c r="S1316" i="3" s="1"/>
  <c r="S1317" i="3" s="1"/>
  <c r="S1318" i="3" s="1"/>
  <c r="S1319" i="3" s="1"/>
  <c r="S1320" i="3" s="1"/>
  <c r="S1321" i="3" s="1"/>
  <c r="S1322" i="3" s="1"/>
  <c r="P7" i="10"/>
  <c r="AU7" i="10" s="1"/>
  <c r="P4" i="10"/>
  <c r="AU4" i="10" s="1"/>
  <c r="P11" i="10"/>
  <c r="AU11" i="10" s="1"/>
  <c r="P3" i="10"/>
  <c r="AU3" i="10" s="1"/>
  <c r="O3" i="5"/>
  <c r="P3" i="5" s="1"/>
  <c r="N3" i="5"/>
  <c r="L3" i="5"/>
  <c r="AP3" i="5" s="1"/>
  <c r="AQ3" i="5" s="1"/>
  <c r="U1335" i="13" l="1"/>
  <c r="S1336" i="13"/>
  <c r="AR1360" i="13"/>
  <c r="AP1361" i="13"/>
  <c r="AR20" i="13"/>
  <c r="AP21" i="13"/>
  <c r="S22" i="13"/>
  <c r="U21" i="13"/>
  <c r="AA5" i="3"/>
  <c r="AA14" i="3" s="1"/>
  <c r="S1323" i="3"/>
  <c r="S1324" i="3" s="1"/>
  <c r="S1325" i="3" s="1"/>
  <c r="S1326" i="3" s="1"/>
  <c r="S1327" i="3" s="1"/>
  <c r="S1328" i="3" s="1"/>
  <c r="S1329" i="3" s="1"/>
  <c r="S1330" i="3" s="1"/>
  <c r="S1331" i="3" s="1"/>
  <c r="S1332" i="3" s="1"/>
  <c r="S1333" i="3" s="1"/>
  <c r="S1334" i="3" s="1"/>
  <c r="S1335" i="3" s="1"/>
  <c r="S1336" i="3" s="1"/>
  <c r="S1337" i="3" s="1"/>
  <c r="S1338" i="3" s="1"/>
  <c r="S1339" i="3" s="1"/>
  <c r="S1340" i="3" s="1"/>
  <c r="S1341" i="3" s="1"/>
  <c r="S1342" i="3" s="1"/>
  <c r="S1343" i="3" s="1"/>
  <c r="S1344" i="3" s="1"/>
  <c r="S1345" i="3" s="1"/>
  <c r="S1346" i="3" s="1"/>
  <c r="S1347" i="3" s="1"/>
  <c r="S1348" i="3" s="1"/>
  <c r="S1349" i="3" s="1"/>
  <c r="S1350" i="3" s="1"/>
  <c r="S1351" i="3" s="1"/>
  <c r="S1352" i="3" s="1"/>
  <c r="S1353" i="3" s="1"/>
  <c r="S1354" i="3" s="1"/>
  <c r="S1355" i="3" s="1"/>
  <c r="S1356" i="3" s="1"/>
  <c r="S1357" i="3" s="1"/>
  <c r="S1358" i="3" s="1"/>
  <c r="S1359" i="3" s="1"/>
  <c r="S1360" i="3" s="1"/>
  <c r="S1361" i="3" s="1"/>
  <c r="S1362" i="3" s="1"/>
  <c r="S1363" i="3" s="1"/>
  <c r="S1364" i="3" s="1"/>
  <c r="S1365" i="3" s="1"/>
  <c r="S1366" i="3" s="1"/>
  <c r="S1367" i="3" s="1"/>
  <c r="S1368" i="3" s="1"/>
  <c r="S1369" i="3" s="1"/>
  <c r="S1370" i="3" s="1"/>
  <c r="S1371" i="3" s="1"/>
  <c r="S1372" i="3" s="1"/>
  <c r="S1373" i="3" s="1"/>
  <c r="S1374" i="3" s="1"/>
  <c r="S1375" i="3" s="1"/>
  <c r="S1376" i="3" s="1"/>
  <c r="S1377" i="3" s="1"/>
  <c r="S1378" i="3" s="1"/>
  <c r="S1379" i="3" s="1"/>
  <c r="S1380" i="3" s="1"/>
  <c r="S1381" i="3" s="1"/>
  <c r="S1382" i="3" s="1"/>
  <c r="S1383" i="3" s="1"/>
  <c r="S1384" i="3" s="1"/>
  <c r="S1385" i="3" s="1"/>
  <c r="S1386" i="3" s="1"/>
  <c r="S1387" i="3" s="1"/>
  <c r="S1388" i="3" s="1"/>
  <c r="S1389" i="3" s="1"/>
  <c r="S1390" i="3" s="1"/>
  <c r="S1391" i="3" s="1"/>
  <c r="S1392" i="3" s="1"/>
  <c r="S1393" i="3" s="1"/>
  <c r="S1394" i="3" s="1"/>
  <c r="S1395" i="3" s="1"/>
  <c r="S1396" i="3" s="1"/>
  <c r="S1397" i="3" s="1"/>
  <c r="S1398" i="3" s="1"/>
  <c r="S1399" i="3" s="1"/>
  <c r="S1400" i="3" s="1"/>
  <c r="S1401" i="3" s="1"/>
  <c r="S1402" i="3" s="1"/>
  <c r="S1403" i="3" s="1"/>
  <c r="S1404" i="3" s="1"/>
  <c r="S1405" i="3" s="1"/>
  <c r="S1406" i="3" s="1"/>
  <c r="S1407" i="3" s="1"/>
  <c r="S1408" i="3" s="1"/>
  <c r="S1409" i="3" s="1"/>
  <c r="S1410" i="3" s="1"/>
  <c r="S1411" i="3" s="1"/>
  <c r="S1412" i="3" s="1"/>
  <c r="S1413" i="3" s="1"/>
  <c r="S1414" i="3" s="1"/>
  <c r="S1415" i="3" s="1"/>
  <c r="S1416" i="3" s="1"/>
  <c r="S1417" i="3" s="1"/>
  <c r="S1418" i="3" s="1"/>
  <c r="S1419" i="3" s="1"/>
  <c r="S1420" i="3" s="1"/>
  <c r="S1421" i="3" s="1"/>
  <c r="S1422" i="3" s="1"/>
  <c r="S1423" i="3" s="1"/>
  <c r="S1424" i="3" s="1"/>
  <c r="S1425" i="3" s="1"/>
  <c r="S1426" i="3" s="1"/>
  <c r="S1427" i="3" s="1"/>
  <c r="S1428" i="3" s="1"/>
  <c r="S1429" i="3" s="1"/>
  <c r="S1430" i="3" s="1"/>
  <c r="S1431" i="3" s="1"/>
  <c r="S1432" i="3" s="1"/>
  <c r="S1433" i="3" s="1"/>
  <c r="S1434" i="3" s="1"/>
  <c r="S1435" i="3" s="1"/>
  <c r="S1436" i="3" s="1"/>
  <c r="S1437" i="3" s="1"/>
  <c r="S1438" i="3" s="1"/>
  <c r="S1439" i="3" s="1"/>
  <c r="S1440" i="3" s="1"/>
  <c r="S1441" i="3" s="1"/>
  <c r="S1442" i="3" s="1"/>
  <c r="S1443" i="3" s="1"/>
  <c r="S1444" i="3" s="1"/>
  <c r="S1445" i="3" s="1"/>
  <c r="S1446" i="3" s="1"/>
  <c r="S1447" i="3" s="1"/>
  <c r="S1448" i="3" s="1"/>
  <c r="S1449" i="3" s="1"/>
  <c r="S1450" i="3" s="1"/>
  <c r="S1451" i="3" s="1"/>
  <c r="S1452" i="3" s="1"/>
  <c r="S1453" i="3" s="1"/>
  <c r="S1454" i="3" s="1"/>
  <c r="S1455" i="3" s="1"/>
  <c r="S1456" i="3" s="1"/>
  <c r="S1457" i="3" s="1"/>
  <c r="S1458" i="3" s="1"/>
  <c r="S1459" i="3" s="1"/>
  <c r="S1460" i="3" s="1"/>
  <c r="S1461" i="3" s="1"/>
  <c r="S1462" i="3" s="1"/>
  <c r="S1463" i="3" s="1"/>
  <c r="S1464" i="3" s="1"/>
  <c r="S1465" i="3" s="1"/>
  <c r="S1466" i="3" s="1"/>
  <c r="S1467" i="3" s="1"/>
  <c r="S1468" i="3" s="1"/>
  <c r="S1469" i="3" s="1"/>
  <c r="S1470" i="3" s="1"/>
  <c r="S1471" i="3" s="1"/>
  <c r="S1472" i="3" s="1"/>
  <c r="S1473" i="3" s="1"/>
  <c r="S1474" i="3" s="1"/>
  <c r="S1475" i="3" s="1"/>
  <c r="S1476" i="3" s="1"/>
  <c r="S1477" i="3" s="1"/>
  <c r="S1478" i="3" s="1"/>
  <c r="S1479" i="3" s="1"/>
  <c r="S1480" i="3" s="1"/>
  <c r="S1481" i="3" s="1"/>
  <c r="S1482" i="3" s="1"/>
  <c r="S1483" i="3" s="1"/>
  <c r="S1484" i="3" s="1"/>
  <c r="S1485" i="3" s="1"/>
  <c r="S1486" i="3" s="1"/>
  <c r="S1487" i="3" s="1"/>
  <c r="S1488" i="3" s="1"/>
  <c r="S1489" i="3" s="1"/>
  <c r="S1490" i="3" s="1"/>
  <c r="S1491" i="3" s="1"/>
  <c r="S1492" i="3" s="1"/>
  <c r="S1493" i="3" s="1"/>
  <c r="S1494" i="3" s="1"/>
  <c r="S1495" i="3" s="1"/>
  <c r="S1496" i="3" s="1"/>
  <c r="S1497" i="3" s="1"/>
  <c r="S1498" i="3" s="1"/>
  <c r="S1499" i="3" s="1"/>
  <c r="S1500" i="3" s="1"/>
  <c r="S1501" i="3" s="1"/>
  <c r="S1502" i="3" s="1"/>
  <c r="S1503" i="3" s="1"/>
  <c r="S1504" i="3" s="1"/>
  <c r="S1505" i="3" s="1"/>
  <c r="S1506" i="3" s="1"/>
  <c r="S1507" i="3" s="1"/>
  <c r="S1508" i="3" s="1"/>
  <c r="S1509" i="3" s="1"/>
  <c r="S1510" i="3" s="1"/>
  <c r="S1511" i="3" s="1"/>
  <c r="S1512" i="3" s="1"/>
  <c r="S1513" i="3" s="1"/>
  <c r="S1514" i="3" s="1"/>
  <c r="S1515" i="3" s="1"/>
  <c r="S1516" i="3" s="1"/>
  <c r="S1517" i="3" s="1"/>
  <c r="S1518" i="3" s="1"/>
  <c r="S1519" i="3" s="1"/>
  <c r="S1520" i="3" s="1"/>
  <c r="S1521" i="3" s="1"/>
  <c r="S1522" i="3" s="1"/>
  <c r="S1523" i="3" s="1"/>
  <c r="S1524" i="3" s="1"/>
  <c r="S1525" i="3" s="1"/>
  <c r="S1526" i="3" s="1"/>
  <c r="S1527" i="3" s="1"/>
  <c r="S1528" i="3" s="1"/>
  <c r="S1529" i="3" s="1"/>
  <c r="S1530" i="3" s="1"/>
  <c r="S1531" i="3" s="1"/>
  <c r="S1532" i="3" s="1"/>
  <c r="S1533" i="3" s="1"/>
  <c r="S1534" i="3" s="1"/>
  <c r="S1535" i="3" s="1"/>
  <c r="S1536" i="3" s="1"/>
  <c r="S1537" i="3" s="1"/>
  <c r="S1538" i="3" s="1"/>
  <c r="S1539" i="3" s="1"/>
  <c r="S1540" i="3" s="1"/>
  <c r="S1541" i="3" s="1"/>
  <c r="S1542" i="3" s="1"/>
  <c r="S1543" i="3" s="1"/>
  <c r="S1544" i="3" s="1"/>
  <c r="S1545" i="3" s="1"/>
  <c r="S1546" i="3" s="1"/>
  <c r="S1547" i="3" s="1"/>
  <c r="S1548" i="3" s="1"/>
  <c r="S1549" i="3" s="1"/>
  <c r="S1550" i="3" s="1"/>
  <c r="S1551" i="3" s="1"/>
  <c r="S1552" i="3" s="1"/>
  <c r="S1553" i="3" s="1"/>
  <c r="S1554" i="3" s="1"/>
  <c r="S1555" i="3" s="1"/>
  <c r="S1556" i="3" s="1"/>
  <c r="S1557" i="3" s="1"/>
  <c r="S1558" i="3" s="1"/>
  <c r="S1559" i="3" s="1"/>
  <c r="S1560" i="3" s="1"/>
  <c r="S1561" i="3" s="1"/>
  <c r="S1562" i="3" s="1"/>
  <c r="S1563" i="3" s="1"/>
  <c r="S1564" i="3" s="1"/>
  <c r="S1565" i="3" s="1"/>
  <c r="S1566" i="3" s="1"/>
  <c r="S1567" i="3" s="1"/>
  <c r="S1568" i="3" s="1"/>
  <c r="S1569" i="3" s="1"/>
  <c r="S1570" i="3" s="1"/>
  <c r="S1571" i="3" s="1"/>
  <c r="S1572" i="3" s="1"/>
  <c r="S1573" i="3" s="1"/>
  <c r="S1574" i="3" s="1"/>
  <c r="S1575" i="3" s="1"/>
  <c r="S1576" i="3" s="1"/>
  <c r="S1577" i="3" s="1"/>
  <c r="S1578" i="3" s="1"/>
  <c r="S1579" i="3" s="1"/>
  <c r="S1580" i="3" s="1"/>
  <c r="S1581" i="3" s="1"/>
  <c r="S1582" i="3" s="1"/>
  <c r="S1583" i="3" s="1"/>
  <c r="S1584" i="3" s="1"/>
  <c r="S1585" i="3" s="1"/>
  <c r="S1586" i="3" s="1"/>
  <c r="S1587" i="3" s="1"/>
  <c r="S1588" i="3" s="1"/>
  <c r="S1589" i="3" s="1"/>
  <c r="S1590" i="3" s="1"/>
  <c r="S1591" i="3" s="1"/>
  <c r="S1592" i="3" s="1"/>
  <c r="S1593" i="3" s="1"/>
  <c r="S1594" i="3" s="1"/>
  <c r="S1595" i="3" s="1"/>
  <c r="S1596" i="3" s="1"/>
  <c r="S1597" i="3" s="1"/>
  <c r="S1598" i="3" s="1"/>
  <c r="S1599" i="3" s="1"/>
  <c r="S1600" i="3" s="1"/>
  <c r="S1601" i="3" s="1"/>
  <c r="S1602" i="3" s="1"/>
  <c r="S1603" i="3" s="1"/>
  <c r="S1604" i="3" s="1"/>
  <c r="S1605" i="3" s="1"/>
  <c r="S1606" i="3" s="1"/>
  <c r="S1607" i="3" s="1"/>
  <c r="S1608" i="3" s="1"/>
  <c r="S1609" i="3" s="1"/>
  <c r="S1610" i="3" s="1"/>
  <c r="S1611" i="3" s="1"/>
  <c r="S1612" i="3" s="1"/>
  <c r="S1613" i="3" s="1"/>
  <c r="S1614" i="3" s="1"/>
  <c r="S1615" i="3" s="1"/>
  <c r="S1616" i="3" s="1"/>
  <c r="S1617" i="3" s="1"/>
  <c r="S1618" i="3" s="1"/>
  <c r="S1619" i="3" s="1"/>
  <c r="S1620" i="3" s="1"/>
  <c r="S1621" i="3" s="1"/>
  <c r="S1622" i="3" s="1"/>
  <c r="S1623" i="3" s="1"/>
  <c r="S1624" i="3" s="1"/>
  <c r="S1625" i="3" s="1"/>
  <c r="S1626" i="3" s="1"/>
  <c r="S1627" i="3" s="1"/>
  <c r="S1628" i="3" s="1"/>
  <c r="S1629" i="3" s="1"/>
  <c r="S1630" i="3" s="1"/>
  <c r="S1631" i="3" s="1"/>
  <c r="S1632" i="3" s="1"/>
  <c r="S1633" i="3" s="1"/>
  <c r="S1634" i="3" s="1"/>
  <c r="S1635" i="3" s="1"/>
  <c r="S1636" i="3" s="1"/>
  <c r="S1637" i="3" s="1"/>
  <c r="S1638" i="3" s="1"/>
  <c r="S1639" i="3" s="1"/>
  <c r="S1640" i="3" s="1"/>
  <c r="S1641" i="3" s="1"/>
  <c r="S1642" i="3" s="1"/>
  <c r="S1643" i="3" s="1"/>
  <c r="S1644" i="3" s="1"/>
  <c r="S1645" i="3" s="1"/>
  <c r="S1646" i="3" s="1"/>
  <c r="S1647" i="3" s="1"/>
  <c r="S1648" i="3" s="1"/>
  <c r="S1649" i="3" s="1"/>
  <c r="S1650" i="3" s="1"/>
  <c r="S1651" i="3" s="1"/>
  <c r="S1652" i="3" s="1"/>
  <c r="S1653" i="3" s="1"/>
  <c r="S1654" i="3" s="1"/>
  <c r="S1655" i="3" s="1"/>
  <c r="S1656" i="3" s="1"/>
  <c r="S1657" i="3" s="1"/>
  <c r="S1658" i="3" s="1"/>
  <c r="S1659" i="3" s="1"/>
  <c r="S1660" i="3" s="1"/>
  <c r="S1661" i="3" s="1"/>
  <c r="S1662" i="3" s="1"/>
  <c r="S1663" i="3" s="1"/>
  <c r="S1664" i="3" s="1"/>
  <c r="S1665" i="3" s="1"/>
  <c r="S1666" i="3" s="1"/>
  <c r="S1667" i="3" s="1"/>
  <c r="S1668" i="3" s="1"/>
  <c r="S1669" i="3" s="1"/>
  <c r="S1670" i="3" s="1"/>
  <c r="S1671" i="3" s="1"/>
  <c r="S1672" i="3" s="1"/>
  <c r="S1673" i="3" s="1"/>
  <c r="S1674" i="3" s="1"/>
  <c r="S1675" i="3" s="1"/>
  <c r="S1676" i="3" s="1"/>
  <c r="S1677" i="3" s="1"/>
  <c r="S1678" i="3" s="1"/>
  <c r="S1679" i="3" s="1"/>
  <c r="S1680" i="3" s="1"/>
  <c r="S1681" i="3" s="1"/>
  <c r="S1682" i="3" s="1"/>
  <c r="S1683" i="3" s="1"/>
  <c r="S1684" i="3" s="1"/>
  <c r="S1685" i="3" s="1"/>
  <c r="S1686" i="3" s="1"/>
  <c r="S1687" i="3" s="1"/>
  <c r="S1688" i="3" s="1"/>
  <c r="S1689" i="3" s="1"/>
  <c r="S1690" i="3" s="1"/>
  <c r="S1691" i="3" s="1"/>
  <c r="S1692" i="3" s="1"/>
  <c r="S1693" i="3" s="1"/>
  <c r="S1694" i="3" s="1"/>
  <c r="S1695" i="3" s="1"/>
  <c r="S1696" i="3" s="1"/>
  <c r="S1697" i="3" s="1"/>
  <c r="S1698" i="3" s="1"/>
  <c r="S1699" i="3" s="1"/>
  <c r="S1700" i="3" s="1"/>
  <c r="S1701" i="3" s="1"/>
  <c r="S1702" i="3" s="1"/>
  <c r="S1703" i="3" s="1"/>
  <c r="S1704" i="3" s="1"/>
  <c r="S1705" i="3" s="1"/>
  <c r="S1706" i="3" s="1"/>
  <c r="S1707" i="3" s="1"/>
  <c r="S1708" i="3" s="1"/>
  <c r="S1709" i="3" s="1"/>
  <c r="S1710" i="3" s="1"/>
  <c r="S1711" i="3" s="1"/>
  <c r="S1712" i="3" s="1"/>
  <c r="S1713" i="3" s="1"/>
  <c r="S1714" i="3" s="1"/>
  <c r="S1715" i="3" s="1"/>
  <c r="S1716" i="3" s="1"/>
  <c r="S1717" i="3" s="1"/>
  <c r="S1718" i="3" s="1"/>
  <c r="S1719" i="3" s="1"/>
  <c r="S1720" i="3" s="1"/>
  <c r="S1721" i="3" s="1"/>
  <c r="S1722" i="3" s="1"/>
  <c r="S1723" i="3" s="1"/>
  <c r="S1724" i="3" s="1"/>
  <c r="S1725" i="3" s="1"/>
  <c r="S1726" i="3" s="1"/>
  <c r="S1727" i="3" s="1"/>
  <c r="S1728" i="3" s="1"/>
  <c r="S1729" i="3" s="1"/>
  <c r="S1730" i="3" s="1"/>
  <c r="S1731" i="3" s="1"/>
  <c r="S1732" i="3" s="1"/>
  <c r="S1733" i="3" s="1"/>
  <c r="S1734" i="3" s="1"/>
  <c r="S1735" i="3" s="1"/>
  <c r="S1736" i="3" s="1"/>
  <c r="S1737" i="3" s="1"/>
  <c r="S1738" i="3" s="1"/>
  <c r="S1739" i="3" s="1"/>
  <c r="S1740" i="3" s="1"/>
  <c r="S1741" i="3" s="1"/>
  <c r="S1742" i="3" s="1"/>
  <c r="S1743" i="3" s="1"/>
  <c r="S1744" i="3" s="1"/>
  <c r="S1745" i="3" s="1"/>
  <c r="S1746" i="3" s="1"/>
  <c r="S1747" i="3" s="1"/>
  <c r="S1748" i="3" s="1"/>
  <c r="S1749" i="3" s="1"/>
  <c r="S1750" i="3" s="1"/>
  <c r="S1751" i="3" s="1"/>
  <c r="S1752" i="3" s="1"/>
  <c r="S1753" i="3" s="1"/>
  <c r="S1754" i="3" s="1"/>
  <c r="S1755" i="3" s="1"/>
  <c r="S1756" i="3" s="1"/>
  <c r="S1757" i="3" s="1"/>
  <c r="S1758" i="3" s="1"/>
  <c r="S1759" i="3" s="1"/>
  <c r="S1760" i="3" s="1"/>
  <c r="S1761" i="3" s="1"/>
  <c r="S1762" i="3" s="1"/>
  <c r="S1763" i="3" s="1"/>
  <c r="S1764" i="3" s="1"/>
  <c r="S1765" i="3" s="1"/>
  <c r="S1766" i="3" s="1"/>
  <c r="S1767" i="3" s="1"/>
  <c r="S1768" i="3" s="1"/>
  <c r="S1769" i="3" s="1"/>
  <c r="S1770" i="3" s="1"/>
  <c r="S1771" i="3" s="1"/>
  <c r="S1772" i="3" s="1"/>
  <c r="S1773" i="3" s="1"/>
  <c r="S1774" i="3" s="1"/>
  <c r="S1775" i="3" s="1"/>
  <c r="S1776" i="3" s="1"/>
  <c r="S1777" i="3" s="1"/>
  <c r="S1778" i="3" s="1"/>
  <c r="S1779" i="3" s="1"/>
  <c r="S1780" i="3" s="1"/>
  <c r="S1781" i="3" s="1"/>
  <c r="S1782" i="3" s="1"/>
  <c r="S1783" i="3" s="1"/>
  <c r="S1784" i="3" s="1"/>
  <c r="S1785" i="3" s="1"/>
  <c r="S1786" i="3" s="1"/>
  <c r="S1787" i="3" s="1"/>
  <c r="S1788" i="3" s="1"/>
  <c r="S1789" i="3" s="1"/>
  <c r="S1790" i="3" s="1"/>
  <c r="S1791" i="3" s="1"/>
  <c r="S1792" i="3" s="1"/>
  <c r="S1793" i="3" s="1"/>
  <c r="S1794" i="3" s="1"/>
  <c r="S1795" i="3" s="1"/>
  <c r="S1796" i="3" s="1"/>
  <c r="S1797" i="3" s="1"/>
  <c r="S1798" i="3" s="1"/>
  <c r="S1799" i="3" s="1"/>
  <c r="S1800" i="3" s="1"/>
  <c r="S1801" i="3" s="1"/>
  <c r="S1802" i="3" s="1"/>
  <c r="S1803" i="3" s="1"/>
  <c r="S1804" i="3" s="1"/>
  <c r="S1805" i="3" s="1"/>
  <c r="S1806" i="3" s="1"/>
  <c r="S1807" i="3" s="1"/>
  <c r="S1808" i="3" s="1"/>
  <c r="S1809" i="3" s="1"/>
  <c r="S1810" i="3" s="1"/>
  <c r="S1811" i="3" s="1"/>
  <c r="S1812" i="3" s="1"/>
  <c r="S1813" i="3" s="1"/>
  <c r="S1814" i="3" s="1"/>
  <c r="S1815" i="3" s="1"/>
  <c r="S1816" i="3" s="1"/>
  <c r="S1817" i="3" s="1"/>
  <c r="S1818" i="3" s="1"/>
  <c r="S1819" i="3" s="1"/>
  <c r="S1820" i="3" s="1"/>
  <c r="S1821" i="3" s="1"/>
  <c r="S1822" i="3" s="1"/>
  <c r="S1823" i="3" s="1"/>
  <c r="S1824" i="3" s="1"/>
  <c r="S1825" i="3" s="1"/>
  <c r="S1826" i="3" s="1"/>
  <c r="S1827" i="3" s="1"/>
  <c r="S1828" i="3" s="1"/>
  <c r="S1829" i="3" s="1"/>
  <c r="S1830" i="3" s="1"/>
  <c r="S1831" i="3" s="1"/>
  <c r="S1832" i="3" s="1"/>
  <c r="S1833" i="3" s="1"/>
  <c r="S1834" i="3" s="1"/>
  <c r="S1835" i="3" s="1"/>
  <c r="S1836" i="3" s="1"/>
  <c r="S1837" i="3" s="1"/>
  <c r="S1838" i="3" s="1"/>
  <c r="S1839" i="3" s="1"/>
  <c r="S1840" i="3" s="1"/>
  <c r="S1841" i="3" s="1"/>
  <c r="S1842" i="3" s="1"/>
  <c r="S1843" i="3" s="1"/>
  <c r="S1844" i="3" s="1"/>
  <c r="S1845" i="3" s="1"/>
  <c r="S1846" i="3" s="1"/>
  <c r="S1847" i="3" s="1"/>
  <c r="S1848" i="3" s="1"/>
  <c r="S1849" i="3" s="1"/>
  <c r="S1850" i="3" s="1"/>
  <c r="S1851" i="3" s="1"/>
  <c r="S1852" i="3" s="1"/>
  <c r="S1853" i="3" s="1"/>
  <c r="S1854" i="3" s="1"/>
  <c r="S1855" i="3" s="1"/>
  <c r="S1856" i="3" s="1"/>
  <c r="S1857" i="3" s="1"/>
  <c r="S1858" i="3" s="1"/>
  <c r="S1859" i="3" s="1"/>
  <c r="S1860" i="3" s="1"/>
  <c r="S1861" i="3" s="1"/>
  <c r="S1862" i="3" s="1"/>
  <c r="S1863" i="3" s="1"/>
  <c r="S1864" i="3" s="1"/>
  <c r="S1865" i="3" s="1"/>
  <c r="S1866" i="3" s="1"/>
  <c r="S1867" i="3" s="1"/>
  <c r="S1868" i="3" s="1"/>
  <c r="S1869" i="3" s="1"/>
  <c r="S1870" i="3" s="1"/>
  <c r="S1871" i="3" s="1"/>
  <c r="S1872" i="3" s="1"/>
  <c r="S1873" i="3" s="1"/>
  <c r="S1874" i="3" s="1"/>
  <c r="S1875" i="3" s="1"/>
  <c r="S1876" i="3" s="1"/>
  <c r="S1877" i="3" s="1"/>
  <c r="S1878" i="3" s="1"/>
  <c r="S1879" i="3" s="1"/>
  <c r="S1880" i="3" s="1"/>
  <c r="S1881" i="3" s="1"/>
  <c r="S1882" i="3" s="1"/>
  <c r="S1883" i="3" s="1"/>
  <c r="S1884" i="3" s="1"/>
  <c r="S1885" i="3" s="1"/>
  <c r="S1886" i="3" s="1"/>
  <c r="S1887" i="3" s="1"/>
  <c r="S1888" i="3" s="1"/>
  <c r="S1889" i="3" s="1"/>
  <c r="S1890" i="3" s="1"/>
  <c r="S1891" i="3" s="1"/>
  <c r="S1892" i="3" s="1"/>
  <c r="S1893" i="3" s="1"/>
  <c r="S1894" i="3" s="1"/>
  <c r="S1895" i="3" s="1"/>
  <c r="S1896" i="3" s="1"/>
  <c r="S1897" i="3" s="1"/>
  <c r="S1898" i="3" s="1"/>
  <c r="S1899" i="3" s="1"/>
  <c r="S1900" i="3" s="1"/>
  <c r="S1901" i="3" s="1"/>
  <c r="S1902" i="3" s="1"/>
  <c r="S1903" i="3" s="1"/>
  <c r="S1904" i="3" s="1"/>
  <c r="S1905" i="3" s="1"/>
  <c r="S1906" i="3" s="1"/>
  <c r="S1907" i="3" s="1"/>
  <c r="S1908" i="3" s="1"/>
  <c r="S1909" i="3" s="1"/>
  <c r="S1910" i="3" s="1"/>
  <c r="S1911" i="3" s="1"/>
  <c r="S1912" i="3" s="1"/>
  <c r="S1913" i="3" s="1"/>
  <c r="S1914" i="3" s="1"/>
  <c r="S1915" i="3" s="1"/>
  <c r="S1916" i="3" s="1"/>
  <c r="S1917" i="3" s="1"/>
  <c r="S1918" i="3" s="1"/>
  <c r="S1919" i="3" s="1"/>
  <c r="S1920" i="3" s="1"/>
  <c r="S1921" i="3" s="1"/>
  <c r="S1922" i="3" s="1"/>
  <c r="S1923" i="3" s="1"/>
  <c r="S1924" i="3" s="1"/>
  <c r="S1925" i="3" s="1"/>
  <c r="S1926" i="3" s="1"/>
  <c r="S1927" i="3" s="1"/>
  <c r="S1928" i="3" s="1"/>
  <c r="S1929" i="3" s="1"/>
  <c r="S1930" i="3" s="1"/>
  <c r="S1931" i="3" s="1"/>
  <c r="S1932" i="3" s="1"/>
  <c r="S1933" i="3" s="1"/>
  <c r="S1934" i="3" s="1"/>
  <c r="S1935" i="3" s="1"/>
  <c r="S1936" i="3" s="1"/>
  <c r="S1937" i="3" s="1"/>
  <c r="S1938" i="3" s="1"/>
  <c r="S1939" i="3" s="1"/>
  <c r="S1940" i="3" s="1"/>
  <c r="S1941" i="3" s="1"/>
  <c r="S1942" i="3" s="1"/>
  <c r="S1943" i="3" s="1"/>
  <c r="S1944" i="3" s="1"/>
  <c r="S1945" i="3" s="1"/>
  <c r="S1946" i="3" s="1"/>
  <c r="S1947" i="3" s="1"/>
  <c r="S1948" i="3" s="1"/>
  <c r="S1949" i="3" s="1"/>
  <c r="S1950" i="3" s="1"/>
  <c r="S1951" i="3" s="1"/>
  <c r="S1952" i="3" s="1"/>
  <c r="S1953" i="3" s="1"/>
  <c r="S1954" i="3" s="1"/>
  <c r="S1955" i="3" s="1"/>
  <c r="S1956" i="3" s="1"/>
  <c r="S1957" i="3" s="1"/>
  <c r="S1958" i="3" s="1"/>
  <c r="S1959" i="3" s="1"/>
  <c r="S1960" i="3" s="1"/>
  <c r="S1961" i="3" s="1"/>
  <c r="S1962" i="3" s="1"/>
  <c r="S1963" i="3" s="1"/>
  <c r="S1964" i="3" s="1"/>
  <c r="S1965" i="3" s="1"/>
  <c r="S1966" i="3" s="1"/>
  <c r="S1967" i="3" s="1"/>
  <c r="S1968" i="3" s="1"/>
  <c r="S1969" i="3" s="1"/>
  <c r="Q3" i="5"/>
  <c r="P4" i="4"/>
  <c r="P5" i="4"/>
  <c r="P3" i="4"/>
  <c r="S1337" i="13" l="1"/>
  <c r="U1336" i="13"/>
  <c r="AP1362" i="13"/>
  <c r="AR1361" i="13"/>
  <c r="AR21" i="13"/>
  <c r="AP22" i="13"/>
  <c r="S23" i="13"/>
  <c r="U22" i="13"/>
  <c r="AA15" i="3"/>
  <c r="S1970" i="3"/>
  <c r="S1971" i="3" s="1"/>
  <c r="S1972" i="3" s="1"/>
  <c r="S1973" i="3" s="1"/>
  <c r="S1974" i="3" s="1"/>
  <c r="S1975" i="3" s="1"/>
  <c r="S1976" i="3" s="1"/>
  <c r="S1977" i="3" s="1"/>
  <c r="S1978" i="3" s="1"/>
  <c r="AI127" i="8"/>
  <c r="AE127" i="8"/>
  <c r="AE128" i="8" s="1"/>
  <c r="AD127" i="8"/>
  <c r="AC127" i="8"/>
  <c r="C124" i="8"/>
  <c r="D124" i="8" s="1"/>
  <c r="E124" i="8" s="1"/>
  <c r="F124" i="8" s="1"/>
  <c r="G124" i="8" s="1"/>
  <c r="H124" i="8" s="1"/>
  <c r="I124" i="8" s="1"/>
  <c r="J124" i="8" s="1"/>
  <c r="K124" i="8" s="1"/>
  <c r="L124" i="8" s="1"/>
  <c r="M124" i="8" s="1"/>
  <c r="N124" i="8" s="1"/>
  <c r="O124" i="8" s="1"/>
  <c r="P124" i="8" s="1"/>
  <c r="Q124" i="8" s="1"/>
  <c r="R124" i="8" s="1"/>
  <c r="S124" i="8" s="1"/>
  <c r="T124" i="8" s="1"/>
  <c r="U124" i="8" s="1"/>
  <c r="V124" i="8" s="1"/>
  <c r="W124" i="8" s="1"/>
  <c r="X124" i="8" s="1"/>
  <c r="Y124" i="8" s="1"/>
  <c r="Z124" i="8" s="1"/>
  <c r="AA124" i="8" s="1"/>
  <c r="B123" i="8"/>
  <c r="C123" i="8" s="1"/>
  <c r="D123" i="8" s="1"/>
  <c r="E123" i="8" s="1"/>
  <c r="F123" i="8" s="1"/>
  <c r="G123" i="8" s="1"/>
  <c r="H123" i="8" s="1"/>
  <c r="I123" i="8" s="1"/>
  <c r="J123" i="8" s="1"/>
  <c r="K123" i="8" s="1"/>
  <c r="L123" i="8" s="1"/>
  <c r="M123" i="8" s="1"/>
  <c r="N123" i="8" s="1"/>
  <c r="O123" i="8" s="1"/>
  <c r="P123" i="8" s="1"/>
  <c r="Q123" i="8" s="1"/>
  <c r="R123" i="8" s="1"/>
  <c r="S123" i="8" s="1"/>
  <c r="T123" i="8" s="1"/>
  <c r="U123" i="8" s="1"/>
  <c r="V123" i="8" s="1"/>
  <c r="W123" i="8" s="1"/>
  <c r="X123" i="8" s="1"/>
  <c r="Y123" i="8" s="1"/>
  <c r="Z123" i="8" s="1"/>
  <c r="AA123" i="8" s="1"/>
  <c r="I120" i="8"/>
  <c r="H120" i="8"/>
  <c r="AI119" i="8"/>
  <c r="AE119" i="8"/>
  <c r="AE120" i="8" s="1"/>
  <c r="AD119" i="8"/>
  <c r="AC119" i="8"/>
  <c r="AG119" i="8" s="1"/>
  <c r="I119" i="8"/>
  <c r="H119" i="8"/>
  <c r="C116" i="8"/>
  <c r="D116" i="8" s="1"/>
  <c r="E116" i="8" s="1"/>
  <c r="F116" i="8" s="1"/>
  <c r="G116" i="8" s="1"/>
  <c r="H116" i="8" s="1"/>
  <c r="I116" i="8" s="1"/>
  <c r="J116" i="8" s="1"/>
  <c r="K116" i="8" s="1"/>
  <c r="L116" i="8" s="1"/>
  <c r="M116" i="8" s="1"/>
  <c r="N116" i="8" s="1"/>
  <c r="O116" i="8" s="1"/>
  <c r="P116" i="8" s="1"/>
  <c r="Q116" i="8" s="1"/>
  <c r="R116" i="8" s="1"/>
  <c r="S116" i="8" s="1"/>
  <c r="T116" i="8" s="1"/>
  <c r="U116" i="8" s="1"/>
  <c r="V116" i="8" s="1"/>
  <c r="W116" i="8" s="1"/>
  <c r="X116" i="8" s="1"/>
  <c r="Y116" i="8" s="1"/>
  <c r="Z116" i="8" s="1"/>
  <c r="AA116" i="8" s="1"/>
  <c r="B115" i="8"/>
  <c r="C115" i="8" s="1"/>
  <c r="D115" i="8" s="1"/>
  <c r="E115" i="8" s="1"/>
  <c r="F115" i="8" s="1"/>
  <c r="G115" i="8" s="1"/>
  <c r="H115" i="8" s="1"/>
  <c r="I115" i="8" s="1"/>
  <c r="J115" i="8" s="1"/>
  <c r="K115" i="8" s="1"/>
  <c r="L115" i="8" s="1"/>
  <c r="M115" i="8" s="1"/>
  <c r="N115" i="8" s="1"/>
  <c r="O115" i="8" s="1"/>
  <c r="P115" i="8" s="1"/>
  <c r="Q115" i="8" s="1"/>
  <c r="R115" i="8" s="1"/>
  <c r="S115" i="8" s="1"/>
  <c r="T115" i="8" s="1"/>
  <c r="U115" i="8" s="1"/>
  <c r="V115" i="8" s="1"/>
  <c r="W115" i="8" s="1"/>
  <c r="X115" i="8" s="1"/>
  <c r="Y115" i="8" s="1"/>
  <c r="Z115" i="8" s="1"/>
  <c r="AA115" i="8" s="1"/>
  <c r="B99" i="8"/>
  <c r="C99" i="8" s="1"/>
  <c r="D99" i="8" s="1"/>
  <c r="E99" i="8" s="1"/>
  <c r="F99" i="8" s="1"/>
  <c r="G99" i="8" s="1"/>
  <c r="H99" i="8" s="1"/>
  <c r="I99" i="8" s="1"/>
  <c r="J99" i="8" s="1"/>
  <c r="K99" i="8" s="1"/>
  <c r="L99" i="8" s="1"/>
  <c r="M99" i="8" s="1"/>
  <c r="N99" i="8" s="1"/>
  <c r="O99" i="8" s="1"/>
  <c r="P99" i="8" s="1"/>
  <c r="Q99" i="8" s="1"/>
  <c r="R99" i="8" s="1"/>
  <c r="S99" i="8" s="1"/>
  <c r="T99" i="8" s="1"/>
  <c r="U99" i="8" s="1"/>
  <c r="V99" i="8" s="1"/>
  <c r="W99" i="8" s="1"/>
  <c r="X99" i="8" s="1"/>
  <c r="Y99" i="8" s="1"/>
  <c r="Z99" i="8" s="1"/>
  <c r="AA99" i="8" s="1"/>
  <c r="AD103" i="8"/>
  <c r="AD104" i="8" s="1"/>
  <c r="C100" i="8"/>
  <c r="D100" i="8" s="1"/>
  <c r="E100" i="8" s="1"/>
  <c r="F100" i="8" s="1"/>
  <c r="G100" i="8" s="1"/>
  <c r="H100" i="8" s="1"/>
  <c r="I100" i="8" s="1"/>
  <c r="J100" i="8" s="1"/>
  <c r="K100" i="8" s="1"/>
  <c r="L100" i="8" s="1"/>
  <c r="M100" i="8" s="1"/>
  <c r="N100" i="8" s="1"/>
  <c r="O100" i="8" s="1"/>
  <c r="P100" i="8" s="1"/>
  <c r="Q100" i="8" s="1"/>
  <c r="R100" i="8" s="1"/>
  <c r="S100" i="8" s="1"/>
  <c r="T100" i="8" s="1"/>
  <c r="U100" i="8" s="1"/>
  <c r="V100" i="8" s="1"/>
  <c r="W100" i="8" s="1"/>
  <c r="X100" i="8" s="1"/>
  <c r="Y100" i="8" s="1"/>
  <c r="Z100" i="8" s="1"/>
  <c r="AA100" i="8" s="1"/>
  <c r="J96" i="8"/>
  <c r="J95" i="8"/>
  <c r="AD95" i="8" s="1"/>
  <c r="Q10" i="2"/>
  <c r="R10" i="2"/>
  <c r="S10" i="2"/>
  <c r="T10" i="2"/>
  <c r="U10" i="2"/>
  <c r="V10" i="2"/>
  <c r="W10" i="2"/>
  <c r="P10" i="2"/>
  <c r="Q12" i="2"/>
  <c r="R12" i="2"/>
  <c r="S12" i="2"/>
  <c r="T12" i="2"/>
  <c r="U12" i="2"/>
  <c r="V12" i="2"/>
  <c r="W12" i="2"/>
  <c r="P12" i="2"/>
  <c r="Q13" i="2"/>
  <c r="R13" i="2"/>
  <c r="S13" i="2"/>
  <c r="T13" i="2"/>
  <c r="V13" i="2"/>
  <c r="W13" i="2"/>
  <c r="P13" i="2"/>
  <c r="Q14" i="2"/>
  <c r="R14" i="2"/>
  <c r="S14" i="2"/>
  <c r="T14" i="2"/>
  <c r="U14" i="2"/>
  <c r="V14" i="2"/>
  <c r="W14" i="2"/>
  <c r="P14" i="2"/>
  <c r="Z8" i="2"/>
  <c r="Z9" i="2"/>
  <c r="Z11" i="2"/>
  <c r="Z15" i="2"/>
  <c r="R16" i="2"/>
  <c r="S16" i="2"/>
  <c r="T16" i="2"/>
  <c r="U16" i="2"/>
  <c r="V16" i="2"/>
  <c r="I96" i="8"/>
  <c r="H96" i="8"/>
  <c r="AI95" i="8"/>
  <c r="AE95" i="8"/>
  <c r="AE96" i="8" s="1"/>
  <c r="I95" i="8"/>
  <c r="H95" i="8"/>
  <c r="C92" i="8"/>
  <c r="D92" i="8" s="1"/>
  <c r="E92" i="8" s="1"/>
  <c r="F92" i="8" s="1"/>
  <c r="G92" i="8" s="1"/>
  <c r="H92" i="8" s="1"/>
  <c r="I92" i="8" s="1"/>
  <c r="J92" i="8" s="1"/>
  <c r="K92" i="8" s="1"/>
  <c r="L92" i="8" s="1"/>
  <c r="M92" i="8" s="1"/>
  <c r="N92" i="8" s="1"/>
  <c r="O92" i="8" s="1"/>
  <c r="P92" i="8" s="1"/>
  <c r="Q92" i="8" s="1"/>
  <c r="R92" i="8" s="1"/>
  <c r="S92" i="8" s="1"/>
  <c r="T92" i="8" s="1"/>
  <c r="U92" i="8" s="1"/>
  <c r="V92" i="8" s="1"/>
  <c r="W92" i="8" s="1"/>
  <c r="X92" i="8" s="1"/>
  <c r="Y92" i="8" s="1"/>
  <c r="Z92" i="8" s="1"/>
  <c r="AA92" i="8" s="1"/>
  <c r="B91" i="8"/>
  <c r="C91" i="8" s="1"/>
  <c r="D91" i="8" s="1"/>
  <c r="E91" i="8" s="1"/>
  <c r="F91" i="8" s="1"/>
  <c r="G91" i="8" s="1"/>
  <c r="H91" i="8" s="1"/>
  <c r="I91" i="8" s="1"/>
  <c r="J91" i="8" s="1"/>
  <c r="K91" i="8" s="1"/>
  <c r="L91" i="8" s="1"/>
  <c r="M91" i="8" s="1"/>
  <c r="N91" i="8" s="1"/>
  <c r="O91" i="8" s="1"/>
  <c r="P91" i="8" s="1"/>
  <c r="Q91" i="8" s="1"/>
  <c r="R91" i="8" s="1"/>
  <c r="S91" i="8" s="1"/>
  <c r="T91" i="8" s="1"/>
  <c r="U91" i="8" s="1"/>
  <c r="V91" i="8" s="1"/>
  <c r="W91" i="8" s="1"/>
  <c r="X91" i="8" s="1"/>
  <c r="Y91" i="8" s="1"/>
  <c r="Z91" i="8" s="1"/>
  <c r="AA91" i="8" s="1"/>
  <c r="AI87" i="8"/>
  <c r="AG87" i="8"/>
  <c r="C84" i="8"/>
  <c r="D84" i="8" s="1"/>
  <c r="E84" i="8" s="1"/>
  <c r="F84" i="8" s="1"/>
  <c r="G84" i="8" s="1"/>
  <c r="H84" i="8" s="1"/>
  <c r="I84" i="8" s="1"/>
  <c r="J84" i="8" s="1"/>
  <c r="K84" i="8" s="1"/>
  <c r="L84" i="8" s="1"/>
  <c r="M84" i="8" s="1"/>
  <c r="N84" i="8" s="1"/>
  <c r="O84" i="8" s="1"/>
  <c r="P84" i="8" s="1"/>
  <c r="Q84" i="8" s="1"/>
  <c r="R84" i="8" s="1"/>
  <c r="S84" i="8" s="1"/>
  <c r="T84" i="8" s="1"/>
  <c r="U84" i="8" s="1"/>
  <c r="V84" i="8" s="1"/>
  <c r="W84" i="8" s="1"/>
  <c r="X84" i="8" s="1"/>
  <c r="Y84" i="8" s="1"/>
  <c r="Z84" i="8" s="1"/>
  <c r="AA84" i="8" s="1"/>
  <c r="B83" i="8"/>
  <c r="C83" i="8" s="1"/>
  <c r="D83" i="8" s="1"/>
  <c r="E83" i="8" s="1"/>
  <c r="F83" i="8" s="1"/>
  <c r="G83" i="8" s="1"/>
  <c r="H83" i="8" s="1"/>
  <c r="I83" i="8" s="1"/>
  <c r="J83" i="8" s="1"/>
  <c r="K83" i="8" s="1"/>
  <c r="L83" i="8" s="1"/>
  <c r="M83" i="8" s="1"/>
  <c r="N83" i="8" s="1"/>
  <c r="O83" i="8" s="1"/>
  <c r="P83" i="8" s="1"/>
  <c r="Q83" i="8" s="1"/>
  <c r="R83" i="8" s="1"/>
  <c r="S83" i="8" s="1"/>
  <c r="T83" i="8" s="1"/>
  <c r="U83" i="8" s="1"/>
  <c r="V83" i="8" s="1"/>
  <c r="W83" i="8" s="1"/>
  <c r="X83" i="8" s="1"/>
  <c r="Y83" i="8" s="1"/>
  <c r="Z83" i="8" s="1"/>
  <c r="AA83" i="8" s="1"/>
  <c r="U1337" i="13" l="1"/>
  <c r="S1338" i="13"/>
  <c r="AR1362" i="13"/>
  <c r="AP1363" i="13"/>
  <c r="AR22" i="13"/>
  <c r="AP23" i="13"/>
  <c r="S24" i="13"/>
  <c r="U23" i="13"/>
  <c r="S1979" i="3"/>
  <c r="S1980" i="3" s="1"/>
  <c r="S1981" i="3" s="1"/>
  <c r="S1982" i="3" s="1"/>
  <c r="S1983" i="3" s="1"/>
  <c r="S1984" i="3" s="1"/>
  <c r="S1985" i="3" s="1"/>
  <c r="S1986" i="3" s="1"/>
  <c r="S1987" i="3" s="1"/>
  <c r="S1988" i="3" s="1"/>
  <c r="S1989" i="3" s="1"/>
  <c r="S1990" i="3" s="1"/>
  <c r="S1991" i="3" s="1"/>
  <c r="S1992" i="3" s="1"/>
  <c r="S1993" i="3" s="1"/>
  <c r="S1994" i="3" s="1"/>
  <c r="S1995" i="3" s="1"/>
  <c r="S1996" i="3" s="1"/>
  <c r="S1997" i="3" s="1"/>
  <c r="S1998" i="3" s="1"/>
  <c r="S1999" i="3" s="1"/>
  <c r="S2000" i="3" s="1"/>
  <c r="S2001" i="3" s="1"/>
  <c r="S2002" i="3" s="1"/>
  <c r="S2003" i="3" s="1"/>
  <c r="S2004" i="3" s="1"/>
  <c r="S2005" i="3" s="1"/>
  <c r="S2006" i="3" s="1"/>
  <c r="S2007" i="3" s="1"/>
  <c r="S2008" i="3" s="1"/>
  <c r="S2009" i="3" s="1"/>
  <c r="S2010" i="3" s="1"/>
  <c r="S2011" i="3" s="1"/>
  <c r="S2012" i="3" s="1"/>
  <c r="S2013" i="3" s="1"/>
  <c r="S2014" i="3" s="1"/>
  <c r="S2015" i="3" s="1"/>
  <c r="S2016" i="3" s="1"/>
  <c r="S2017" i="3" s="1"/>
  <c r="S2018" i="3" s="1"/>
  <c r="S2019" i="3" s="1"/>
  <c r="S2020" i="3" s="1"/>
  <c r="S2021" i="3" s="1"/>
  <c r="S2022" i="3" s="1"/>
  <c r="S2023" i="3" s="1"/>
  <c r="S2024" i="3" s="1"/>
  <c r="S2025" i="3" s="1"/>
  <c r="S2026" i="3" s="1"/>
  <c r="S2027" i="3" s="1"/>
  <c r="S2028" i="3" s="1"/>
  <c r="S2029" i="3" s="1"/>
  <c r="S2030" i="3" s="1"/>
  <c r="S2031" i="3" s="1"/>
  <c r="S2032" i="3" s="1"/>
  <c r="S2033" i="3" s="1"/>
  <c r="S2034" i="3" s="1"/>
  <c r="S2035" i="3" s="1"/>
  <c r="S2036" i="3" s="1"/>
  <c r="S2037" i="3" s="1"/>
  <c r="S2038" i="3" s="1"/>
  <c r="S2039" i="3" s="1"/>
  <c r="S2040" i="3" s="1"/>
  <c r="S2041" i="3" s="1"/>
  <c r="S2042" i="3" s="1"/>
  <c r="S2043" i="3" s="1"/>
  <c r="S2044" i="3" s="1"/>
  <c r="S2045" i="3" s="1"/>
  <c r="S2046" i="3" s="1"/>
  <c r="S2047" i="3" s="1"/>
  <c r="S2048" i="3" s="1"/>
  <c r="S2049" i="3" s="1"/>
  <c r="S2050" i="3" s="1"/>
  <c r="S2051" i="3" s="1"/>
  <c r="S2052" i="3" s="1"/>
  <c r="S2053" i="3" s="1"/>
  <c r="S2054" i="3" s="1"/>
  <c r="S2055" i="3" s="1"/>
  <c r="S2056" i="3" s="1"/>
  <c r="S2057" i="3" s="1"/>
  <c r="S2058" i="3" s="1"/>
  <c r="S2059" i="3" s="1"/>
  <c r="S2060" i="3" s="1"/>
  <c r="S2061" i="3" s="1"/>
  <c r="S2062" i="3" s="1"/>
  <c r="S2063" i="3" s="1"/>
  <c r="S2064" i="3" s="1"/>
  <c r="S2065" i="3" s="1"/>
  <c r="S2066" i="3" s="1"/>
  <c r="S2067" i="3" s="1"/>
  <c r="S2068" i="3" s="1"/>
  <c r="S2069" i="3" s="1"/>
  <c r="S2070" i="3" s="1"/>
  <c r="S2071" i="3" s="1"/>
  <c r="S2072" i="3" s="1"/>
  <c r="S2073" i="3" s="1"/>
  <c r="S2074" i="3" s="1"/>
  <c r="S2075" i="3" s="1"/>
  <c r="S2076" i="3" s="1"/>
  <c r="S2077" i="3" s="1"/>
  <c r="S2078" i="3" s="1"/>
  <c r="S2079" i="3" s="1"/>
  <c r="S2080" i="3" s="1"/>
  <c r="S2081" i="3" s="1"/>
  <c r="S2082" i="3" s="1"/>
  <c r="S2083" i="3" s="1"/>
  <c r="S2084" i="3" s="1"/>
  <c r="S2085" i="3" s="1"/>
  <c r="S2086" i="3" s="1"/>
  <c r="S2087" i="3" s="1"/>
  <c r="S2088" i="3" s="1"/>
  <c r="S2089" i="3" s="1"/>
  <c r="S2090" i="3" s="1"/>
  <c r="S2091" i="3" s="1"/>
  <c r="S2092" i="3" s="1"/>
  <c r="S2093" i="3" s="1"/>
  <c r="S2094" i="3" s="1"/>
  <c r="S2095" i="3" s="1"/>
  <c r="S2096" i="3" s="1"/>
  <c r="S2097" i="3" s="1"/>
  <c r="S2098" i="3" s="1"/>
  <c r="S2099" i="3" s="1"/>
  <c r="S2100" i="3" s="1"/>
  <c r="S2101" i="3" s="1"/>
  <c r="S2102" i="3" s="1"/>
  <c r="S2103" i="3" s="1"/>
  <c r="S2104" i="3" s="1"/>
  <c r="S2105" i="3" s="1"/>
  <c r="S2106" i="3" s="1"/>
  <c r="S2107" i="3" s="1"/>
  <c r="S2108" i="3" s="1"/>
  <c r="S2109" i="3" s="1"/>
  <c r="S2110" i="3" s="1"/>
  <c r="S2111" i="3" s="1"/>
  <c r="S2112" i="3" s="1"/>
  <c r="S2113" i="3" s="1"/>
  <c r="S2114" i="3" s="1"/>
  <c r="S2115" i="3" s="1"/>
  <c r="S2116" i="3" s="1"/>
  <c r="S2117" i="3" s="1"/>
  <c r="S2118" i="3" s="1"/>
  <c r="S2119" i="3" s="1"/>
  <c r="S2120" i="3" s="1"/>
  <c r="S2121" i="3" s="1"/>
  <c r="S2122" i="3" s="1"/>
  <c r="S2123" i="3" s="1"/>
  <c r="S2124" i="3" s="1"/>
  <c r="S2125" i="3" s="1"/>
  <c r="S2126" i="3" s="1"/>
  <c r="S2127" i="3" s="1"/>
  <c r="S2128" i="3" s="1"/>
  <c r="S2129" i="3" s="1"/>
  <c r="S2130" i="3" s="1"/>
  <c r="S2131" i="3" s="1"/>
  <c r="S2132" i="3" s="1"/>
  <c r="S2133" i="3" s="1"/>
  <c r="S2134" i="3" s="1"/>
  <c r="S2135" i="3" s="1"/>
  <c r="S2136" i="3" s="1"/>
  <c r="S2137" i="3" s="1"/>
  <c r="S2138" i="3" s="1"/>
  <c r="S2139" i="3" s="1"/>
  <c r="S2140" i="3" s="1"/>
  <c r="S2141" i="3" s="1"/>
  <c r="S2142" i="3" s="1"/>
  <c r="S2143" i="3" s="1"/>
  <c r="S2144" i="3" s="1"/>
  <c r="S2145" i="3" s="1"/>
  <c r="S2146" i="3" s="1"/>
  <c r="S2147" i="3" s="1"/>
  <c r="S2148" i="3" s="1"/>
  <c r="S2149" i="3" s="1"/>
  <c r="S2150" i="3" s="1"/>
  <c r="S2151" i="3" s="1"/>
  <c r="S2152" i="3" s="1"/>
  <c r="S2153" i="3" s="1"/>
  <c r="S2154" i="3" s="1"/>
  <c r="S2155" i="3" s="1"/>
  <c r="S2156" i="3" s="1"/>
  <c r="S2157" i="3" s="1"/>
  <c r="S2158" i="3" s="1"/>
  <c r="S2159" i="3" s="1"/>
  <c r="S2160" i="3" s="1"/>
  <c r="S2161" i="3" s="1"/>
  <c r="S2162" i="3" s="1"/>
  <c r="S2163" i="3" s="1"/>
  <c r="S2164" i="3" s="1"/>
  <c r="S2165" i="3" s="1"/>
  <c r="S2166" i="3" s="1"/>
  <c r="S2167" i="3" s="1"/>
  <c r="S2168" i="3" s="1"/>
  <c r="S2169" i="3" s="1"/>
  <c r="S2170" i="3" s="1"/>
  <c r="S2171" i="3" s="1"/>
  <c r="S2172" i="3" s="1"/>
  <c r="S2173" i="3" s="1"/>
  <c r="S2174" i="3" s="1"/>
  <c r="S2175" i="3" s="1"/>
  <c r="S2176" i="3" s="1"/>
  <c r="S2177" i="3" s="1"/>
  <c r="S2178" i="3" s="1"/>
  <c r="S2179" i="3" s="1"/>
  <c r="S2180" i="3" s="1"/>
  <c r="S2181" i="3" s="1"/>
  <c r="S2182" i="3" s="1"/>
  <c r="S2183" i="3" s="1"/>
  <c r="S2184" i="3" s="1"/>
  <c r="S2185" i="3" s="1"/>
  <c r="S2186" i="3" s="1"/>
  <c r="S2187" i="3" s="1"/>
  <c r="S2188" i="3" s="1"/>
  <c r="S2189" i="3" s="1"/>
  <c r="S2190" i="3" s="1"/>
  <c r="S2191" i="3" s="1"/>
  <c r="S2192" i="3" s="1"/>
  <c r="S2193" i="3" s="1"/>
  <c r="S2194" i="3" s="1"/>
  <c r="S2195" i="3" s="1"/>
  <c r="S2196" i="3" s="1"/>
  <c r="S2197" i="3" s="1"/>
  <c r="S2198" i="3" s="1"/>
  <c r="S2199" i="3" s="1"/>
  <c r="S2200" i="3" s="1"/>
  <c r="S2201" i="3" s="1"/>
  <c r="S2202" i="3" s="1"/>
  <c r="S2203" i="3" s="1"/>
  <c r="S2204" i="3" s="1"/>
  <c r="S2205" i="3" s="1"/>
  <c r="S2206" i="3" s="1"/>
  <c r="S2207" i="3" s="1"/>
  <c r="S2208" i="3" s="1"/>
  <c r="S2209" i="3" s="1"/>
  <c r="S2210" i="3" s="1"/>
  <c r="S2211" i="3" s="1"/>
  <c r="S2212" i="3" s="1"/>
  <c r="S2213" i="3" s="1"/>
  <c r="S2214" i="3" s="1"/>
  <c r="S2215" i="3" s="1"/>
  <c r="S2216" i="3" s="1"/>
  <c r="S2217" i="3" s="1"/>
  <c r="S2218" i="3" s="1"/>
  <c r="S2219" i="3" s="1"/>
  <c r="S2220" i="3" s="1"/>
  <c r="S2221" i="3" s="1"/>
  <c r="S2222" i="3" s="1"/>
  <c r="S2223" i="3" s="1"/>
  <c r="S2224" i="3" s="1"/>
  <c r="S2225" i="3" s="1"/>
  <c r="S2226" i="3" s="1"/>
  <c r="S2227" i="3" s="1"/>
  <c r="S2228" i="3" s="1"/>
  <c r="S2229" i="3" s="1"/>
  <c r="S2230" i="3" s="1"/>
  <c r="S2231" i="3" s="1"/>
  <c r="S2232" i="3" s="1"/>
  <c r="S2233" i="3" s="1"/>
  <c r="S2234" i="3" s="1"/>
  <c r="S2235" i="3" s="1"/>
  <c r="S2236" i="3" s="1"/>
  <c r="S2237" i="3" s="1"/>
  <c r="S2238" i="3" s="1"/>
  <c r="S2239" i="3" s="1"/>
  <c r="S2240" i="3" s="1"/>
  <c r="S2241" i="3" s="1"/>
  <c r="S2242" i="3" s="1"/>
  <c r="S2243" i="3" s="1"/>
  <c r="S2244" i="3" s="1"/>
  <c r="S2245" i="3" s="1"/>
  <c r="S2246" i="3" s="1"/>
  <c r="S2247" i="3" s="1"/>
  <c r="S2248" i="3" s="1"/>
  <c r="S2249" i="3" s="1"/>
  <c r="S2250" i="3" s="1"/>
  <c r="S2251" i="3" s="1"/>
  <c r="S2252" i="3" s="1"/>
  <c r="S2253" i="3" s="1"/>
  <c r="S2254" i="3" s="1"/>
  <c r="S2255" i="3" s="1"/>
  <c r="S2256" i="3" s="1"/>
  <c r="S2257" i="3" s="1"/>
  <c r="S2258" i="3" s="1"/>
  <c r="S2259" i="3" s="1"/>
  <c r="S2260" i="3" s="1"/>
  <c r="S2261" i="3" s="1"/>
  <c r="S2262" i="3" s="1"/>
  <c r="S2263" i="3" s="1"/>
  <c r="S2264" i="3" s="1"/>
  <c r="S2265" i="3" s="1"/>
  <c r="S2266" i="3" s="1"/>
  <c r="S2267" i="3" s="1"/>
  <c r="S2268" i="3" s="1"/>
  <c r="S2269" i="3" s="1"/>
  <c r="S2270" i="3" s="1"/>
  <c r="S2271" i="3" s="1"/>
  <c r="S2272" i="3" s="1"/>
  <c r="S2273" i="3" s="1"/>
  <c r="S2274" i="3" s="1"/>
  <c r="S2275" i="3" s="1"/>
  <c r="S2276" i="3" s="1"/>
  <c r="S2277" i="3" s="1"/>
  <c r="S2278" i="3" s="1"/>
  <c r="S2279" i="3" s="1"/>
  <c r="S2280" i="3" s="1"/>
  <c r="S2281" i="3" s="1"/>
  <c r="S2282" i="3" s="1"/>
  <c r="S2283" i="3" s="1"/>
  <c r="S2284" i="3" s="1"/>
  <c r="S2285" i="3" s="1"/>
  <c r="S2286" i="3" s="1"/>
  <c r="S2287" i="3" s="1"/>
  <c r="S2288" i="3" s="1"/>
  <c r="S2289" i="3" s="1"/>
  <c r="S2290" i="3" s="1"/>
  <c r="S2291" i="3" s="1"/>
  <c r="S2292" i="3" s="1"/>
  <c r="S2293" i="3" s="1"/>
  <c r="S2294" i="3" s="1"/>
  <c r="S2295" i="3" s="1"/>
  <c r="S2296" i="3" s="1"/>
  <c r="S2297" i="3" s="1"/>
  <c r="AF127" i="8"/>
  <c r="AG127" i="8"/>
  <c r="AF119" i="8"/>
  <c r="AH119" i="8" s="1"/>
  <c r="AD87" i="8"/>
  <c r="AC95" i="8"/>
  <c r="AG95" i="8" s="1"/>
  <c r="AC87" i="8"/>
  <c r="AE87" i="8"/>
  <c r="AE88" i="8" s="1"/>
  <c r="S1339" i="13" l="1"/>
  <c r="U1338" i="13"/>
  <c r="AP1364" i="13"/>
  <c r="AR1363" i="13"/>
  <c r="AR23" i="13"/>
  <c r="AP24" i="13"/>
  <c r="AC103" i="8"/>
  <c r="AI103" i="8"/>
  <c r="AE103" i="8"/>
  <c r="AE104" i="8" s="1"/>
  <c r="S25" i="13"/>
  <c r="U24" i="13"/>
  <c r="S2298" i="3"/>
  <c r="S2299" i="3" s="1"/>
  <c r="S2300" i="3" s="1"/>
  <c r="S2301" i="3" s="1"/>
  <c r="S2302" i="3" s="1"/>
  <c r="S2303" i="3" s="1"/>
  <c r="S2304" i="3" s="1"/>
  <c r="S2305" i="3" s="1"/>
  <c r="S2306" i="3" s="1"/>
  <c r="AH127" i="8"/>
  <c r="AF95" i="8"/>
  <c r="AH95" i="8" s="1"/>
  <c r="AF87" i="8"/>
  <c r="AH87" i="8" s="1"/>
  <c r="U1339" i="13" l="1"/>
  <c r="S1340" i="13"/>
  <c r="AR1364" i="13"/>
  <c r="AP1365" i="13"/>
  <c r="AR24" i="13"/>
  <c r="AP25" i="13"/>
  <c r="AF103" i="8"/>
  <c r="S26" i="13"/>
  <c r="U25" i="13"/>
  <c r="S2307" i="3"/>
  <c r="S2308" i="3" s="1"/>
  <c r="S2309" i="3" s="1"/>
  <c r="S2310" i="3" s="1"/>
  <c r="S2311" i="3" s="1"/>
  <c r="S2312" i="3" s="1"/>
  <c r="S2313" i="3" s="1"/>
  <c r="S2314" i="3" s="1"/>
  <c r="S2315" i="3" s="1"/>
  <c r="S2316" i="3" s="1"/>
  <c r="S2317" i="3" s="1"/>
  <c r="S2318" i="3" s="1"/>
  <c r="S2319" i="3" s="1"/>
  <c r="S2320" i="3" s="1"/>
  <c r="S2321" i="3" s="1"/>
  <c r="S2322" i="3" s="1"/>
  <c r="S2323" i="3" s="1"/>
  <c r="S2324" i="3" s="1"/>
  <c r="S2325" i="3" s="1"/>
  <c r="S2326" i="3" s="1"/>
  <c r="S2327" i="3" s="1"/>
  <c r="S2328" i="3" s="1"/>
  <c r="S2329" i="3" s="1"/>
  <c r="S2330" i="3" s="1"/>
  <c r="S2331" i="3" s="1"/>
  <c r="S2332" i="3" s="1"/>
  <c r="S2333" i="3" s="1"/>
  <c r="S2334" i="3" s="1"/>
  <c r="S2335" i="3" s="1"/>
  <c r="S2336" i="3" s="1"/>
  <c r="S2337" i="3" s="1"/>
  <c r="S2338" i="3" s="1"/>
  <c r="S2339" i="3" s="1"/>
  <c r="S2340" i="3" s="1"/>
  <c r="S2341" i="3" s="1"/>
  <c r="S2342" i="3" s="1"/>
  <c r="S2343" i="3" s="1"/>
  <c r="S2344" i="3" s="1"/>
  <c r="S2345" i="3" s="1"/>
  <c r="S2346" i="3" s="1"/>
  <c r="S2347" i="3" s="1"/>
  <c r="S2348" i="3" s="1"/>
  <c r="S2349" i="3" s="1"/>
  <c r="S2350" i="3" s="1"/>
  <c r="S2351" i="3" s="1"/>
  <c r="S2352" i="3" s="1"/>
  <c r="S2353" i="3" s="1"/>
  <c r="S2354" i="3" s="1"/>
  <c r="S2355" i="3" s="1"/>
  <c r="S2356" i="3" s="1"/>
  <c r="S2357" i="3" s="1"/>
  <c r="S2358" i="3" s="1"/>
  <c r="S2359" i="3" s="1"/>
  <c r="S2360" i="3" s="1"/>
  <c r="S2361" i="3" s="1"/>
  <c r="S2362" i="3" s="1"/>
  <c r="S2363" i="3" s="1"/>
  <c r="S2364" i="3" s="1"/>
  <c r="S2365" i="3" s="1"/>
  <c r="S2366" i="3" s="1"/>
  <c r="S2367" i="3" s="1"/>
  <c r="S2368" i="3" s="1"/>
  <c r="S2369" i="3" s="1"/>
  <c r="S2370" i="3" s="1"/>
  <c r="S2371" i="3" s="1"/>
  <c r="S2372" i="3" s="1"/>
  <c r="S2373" i="3" s="1"/>
  <c r="S2374" i="3" s="1"/>
  <c r="S2375" i="3" s="1"/>
  <c r="S2376" i="3" s="1"/>
  <c r="S2377" i="3" s="1"/>
  <c r="S2378" i="3" s="1"/>
  <c r="S2379" i="3" s="1"/>
  <c r="S2380" i="3" s="1"/>
  <c r="S2381" i="3" s="1"/>
  <c r="S2382" i="3" s="1"/>
  <c r="S2383" i="3" s="1"/>
  <c r="S2384" i="3" s="1"/>
  <c r="S2385" i="3" s="1"/>
  <c r="S2386" i="3" s="1"/>
  <c r="S2387" i="3" s="1"/>
  <c r="S2388" i="3" s="1"/>
  <c r="S2389" i="3" s="1"/>
  <c r="S2390" i="3" s="1"/>
  <c r="S2391" i="3" s="1"/>
  <c r="S2392" i="3" s="1"/>
  <c r="S2393" i="3" s="1"/>
  <c r="S2394" i="3" s="1"/>
  <c r="S2395" i="3" s="1"/>
  <c r="S2396" i="3" s="1"/>
  <c r="S2397" i="3" s="1"/>
  <c r="S2398" i="3" s="1"/>
  <c r="S2399" i="3" s="1"/>
  <c r="S2400" i="3" s="1"/>
  <c r="S2401" i="3" s="1"/>
  <c r="S2402" i="3" s="1"/>
  <c r="S2403" i="3" s="1"/>
  <c r="S2404" i="3" s="1"/>
  <c r="S2405" i="3" s="1"/>
  <c r="S2406" i="3" s="1"/>
  <c r="S2407" i="3" s="1"/>
  <c r="S2408" i="3" s="1"/>
  <c r="S2409" i="3" s="1"/>
  <c r="S2410" i="3" s="1"/>
  <c r="S2411" i="3" s="1"/>
  <c r="S2412" i="3" s="1"/>
  <c r="S2413" i="3" s="1"/>
  <c r="S2414" i="3" s="1"/>
  <c r="S2415" i="3" s="1"/>
  <c r="S2416" i="3" s="1"/>
  <c r="S2417" i="3" s="1"/>
  <c r="S2418" i="3" s="1"/>
  <c r="S2419" i="3" s="1"/>
  <c r="S2420" i="3" s="1"/>
  <c r="S2421" i="3" s="1"/>
  <c r="S2422" i="3" s="1"/>
  <c r="S2423" i="3" s="1"/>
  <c r="S2424" i="3" s="1"/>
  <c r="S2425" i="3" s="1"/>
  <c r="S2426" i="3" s="1"/>
  <c r="S2427" i="3" s="1"/>
  <c r="S2428" i="3" s="1"/>
  <c r="S2429" i="3" s="1"/>
  <c r="S2430" i="3" s="1"/>
  <c r="S2431" i="3" s="1"/>
  <c r="S2432" i="3" s="1"/>
  <c r="S2433" i="3" s="1"/>
  <c r="S2434" i="3" s="1"/>
  <c r="S2435" i="3" s="1"/>
  <c r="S2436" i="3" s="1"/>
  <c r="S2437" i="3" s="1"/>
  <c r="S2438" i="3" s="1"/>
  <c r="S2439" i="3" s="1"/>
  <c r="S2440" i="3" s="1"/>
  <c r="S2441" i="3" s="1"/>
  <c r="S2442" i="3" s="1"/>
  <c r="S2443" i="3" s="1"/>
  <c r="S2444" i="3" s="1"/>
  <c r="S2445" i="3" s="1"/>
  <c r="S2446" i="3" s="1"/>
  <c r="S2447" i="3" s="1"/>
  <c r="S2448" i="3" s="1"/>
  <c r="S2449" i="3" s="1"/>
  <c r="S2450" i="3" s="1"/>
  <c r="S2451" i="3" s="1"/>
  <c r="S2452" i="3" s="1"/>
  <c r="S2453" i="3" s="1"/>
  <c r="S2454" i="3" s="1"/>
  <c r="S2455" i="3" s="1"/>
  <c r="S2456" i="3" s="1"/>
  <c r="S2457" i="3" s="1"/>
  <c r="S2458" i="3" s="1"/>
  <c r="S2459" i="3" s="1"/>
  <c r="S2460" i="3" s="1"/>
  <c r="S2461" i="3" s="1"/>
  <c r="S2462" i="3" s="1"/>
  <c r="S2463" i="3" s="1"/>
  <c r="S2464" i="3" s="1"/>
  <c r="S2465" i="3" s="1"/>
  <c r="S2466" i="3" s="1"/>
  <c r="S2467" i="3" s="1"/>
  <c r="S2468" i="3" s="1"/>
  <c r="S2469" i="3" s="1"/>
  <c r="S2470" i="3" s="1"/>
  <c r="S2471" i="3" s="1"/>
  <c r="S2472" i="3" s="1"/>
  <c r="S2473" i="3" s="1"/>
  <c r="S2474" i="3" s="1"/>
  <c r="S2475" i="3" s="1"/>
  <c r="S2476" i="3" s="1"/>
  <c r="S2477" i="3" s="1"/>
  <c r="S2478" i="3" s="1"/>
  <c r="S2479" i="3" s="1"/>
  <c r="S2480" i="3" s="1"/>
  <c r="S2481" i="3" s="1"/>
  <c r="S2482" i="3" s="1"/>
  <c r="S2483" i="3" s="1"/>
  <c r="S2484" i="3" s="1"/>
  <c r="S2485" i="3" s="1"/>
  <c r="S2486" i="3" s="1"/>
  <c r="S2487" i="3" s="1"/>
  <c r="S2488" i="3" s="1"/>
  <c r="S2489" i="3" s="1"/>
  <c r="S2490" i="3" s="1"/>
  <c r="S2491" i="3" s="1"/>
  <c r="S2492" i="3" s="1"/>
  <c r="S2493" i="3" s="1"/>
  <c r="S2494" i="3" s="1"/>
  <c r="S2495" i="3" s="1"/>
  <c r="S2496" i="3" s="1"/>
  <c r="S2497" i="3" s="1"/>
  <c r="S2498" i="3" s="1"/>
  <c r="S2499" i="3" s="1"/>
  <c r="S2500" i="3" s="1"/>
  <c r="S2501" i="3" s="1"/>
  <c r="S2502" i="3" s="1"/>
  <c r="S2503" i="3" s="1"/>
  <c r="S2504" i="3" s="1"/>
  <c r="S2505" i="3" s="1"/>
  <c r="S2506" i="3" s="1"/>
  <c r="S2507" i="3" s="1"/>
  <c r="S2508" i="3" s="1"/>
  <c r="S2509" i="3" s="1"/>
  <c r="S2510" i="3" s="1"/>
  <c r="S2511" i="3" s="1"/>
  <c r="S2512" i="3" s="1"/>
  <c r="S2513" i="3" s="1"/>
  <c r="S2514" i="3" s="1"/>
  <c r="S2515" i="3" s="1"/>
  <c r="S2516" i="3" s="1"/>
  <c r="S2517" i="3" s="1"/>
  <c r="S2518" i="3" s="1"/>
  <c r="S2519" i="3" s="1"/>
  <c r="S2520" i="3" s="1"/>
  <c r="S2521" i="3" s="1"/>
  <c r="S2522" i="3" s="1"/>
  <c r="S2523" i="3" s="1"/>
  <c r="S2524" i="3" s="1"/>
  <c r="S2525" i="3" s="1"/>
  <c r="S2526" i="3" s="1"/>
  <c r="S2527" i="3" s="1"/>
  <c r="S2528" i="3" s="1"/>
  <c r="S2529" i="3" s="1"/>
  <c r="S2530" i="3" s="1"/>
  <c r="S2531" i="3" s="1"/>
  <c r="S2532" i="3" s="1"/>
  <c r="S2533" i="3" s="1"/>
  <c r="S2534" i="3" s="1"/>
  <c r="S2535" i="3" s="1"/>
  <c r="S2536" i="3" s="1"/>
  <c r="S2537" i="3" s="1"/>
  <c r="S2538" i="3" s="1"/>
  <c r="S2539" i="3" s="1"/>
  <c r="S2540" i="3" s="1"/>
  <c r="S2541" i="3" s="1"/>
  <c r="S2542" i="3" s="1"/>
  <c r="S2543" i="3" s="1"/>
  <c r="S2544" i="3" s="1"/>
  <c r="S2545" i="3" s="1"/>
  <c r="S2546" i="3" s="1"/>
  <c r="S2547" i="3" s="1"/>
  <c r="S2548" i="3" s="1"/>
  <c r="S2549" i="3" s="1"/>
  <c r="S2550" i="3" s="1"/>
  <c r="S2551" i="3" s="1"/>
  <c r="S2552" i="3" s="1"/>
  <c r="S2553" i="3" s="1"/>
  <c r="S2554" i="3" s="1"/>
  <c r="S2555" i="3" s="1"/>
  <c r="S2556" i="3" s="1"/>
  <c r="S2557" i="3" s="1"/>
  <c r="S2558" i="3" s="1"/>
  <c r="S2559" i="3" s="1"/>
  <c r="S2560" i="3" s="1"/>
  <c r="S2561" i="3" s="1"/>
  <c r="S2562" i="3" s="1"/>
  <c r="S2563" i="3" s="1"/>
  <c r="S2564" i="3" s="1"/>
  <c r="S2565" i="3" s="1"/>
  <c r="S2566" i="3" s="1"/>
  <c r="S2567" i="3" s="1"/>
  <c r="S2568" i="3" s="1"/>
  <c r="S2569" i="3" s="1"/>
  <c r="S2570" i="3" s="1"/>
  <c r="S2571" i="3" s="1"/>
  <c r="S2572" i="3" s="1"/>
  <c r="S2573" i="3" s="1"/>
  <c r="S2574" i="3" s="1"/>
  <c r="S2575" i="3" s="1"/>
  <c r="S2576" i="3" s="1"/>
  <c r="S2577" i="3" s="1"/>
  <c r="S2578" i="3" s="1"/>
  <c r="S2579" i="3" s="1"/>
  <c r="S2580" i="3" s="1"/>
  <c r="S2581" i="3" s="1"/>
  <c r="S2582" i="3" s="1"/>
  <c r="S2583" i="3" s="1"/>
  <c r="S2584" i="3" s="1"/>
  <c r="S2585" i="3" s="1"/>
  <c r="S2586" i="3" s="1"/>
  <c r="S2587" i="3" s="1"/>
  <c r="S2588" i="3" s="1"/>
  <c r="S2589" i="3" s="1"/>
  <c r="S2590" i="3" s="1"/>
  <c r="S2591" i="3" s="1"/>
  <c r="S2592" i="3" s="1"/>
  <c r="S2593" i="3" s="1"/>
  <c r="S2594" i="3" s="1"/>
  <c r="S2595" i="3" s="1"/>
  <c r="S2596" i="3" s="1"/>
  <c r="S2597" i="3" s="1"/>
  <c r="S2598" i="3" s="1"/>
  <c r="S2599" i="3" s="1"/>
  <c r="S2600" i="3" s="1"/>
  <c r="S2601" i="3" s="1"/>
  <c r="S2602" i="3" s="1"/>
  <c r="S2603" i="3" s="1"/>
  <c r="S2604" i="3" s="1"/>
  <c r="S2605" i="3" s="1"/>
  <c r="S2606" i="3" s="1"/>
  <c r="S2607" i="3" s="1"/>
  <c r="S2608" i="3" s="1"/>
  <c r="S2609" i="3" s="1"/>
  <c r="S2610" i="3" s="1"/>
  <c r="S2611" i="3" s="1"/>
  <c r="S2612" i="3" s="1"/>
  <c r="S2613" i="3" s="1"/>
  <c r="S2614" i="3" s="1"/>
  <c r="S2615" i="3" s="1"/>
  <c r="S2616" i="3" s="1"/>
  <c r="S2617" i="3" s="1"/>
  <c r="S2618" i="3" s="1"/>
  <c r="S2619" i="3" s="1"/>
  <c r="S2620" i="3" s="1"/>
  <c r="S2621" i="3" s="1"/>
  <c r="S2622" i="3" s="1"/>
  <c r="S2623" i="3" s="1"/>
  <c r="S2624" i="3" s="1"/>
  <c r="AA6" i="3" s="1"/>
  <c r="AA7" i="3" s="1"/>
  <c r="AI12" i="2"/>
  <c r="X12" i="2" s="1"/>
  <c r="Z12" i="2" s="1"/>
  <c r="AI14" i="2"/>
  <c r="X14" i="2" s="1"/>
  <c r="Z14" i="2" s="1"/>
  <c r="S1341" i="13" l="1"/>
  <c r="U1340" i="13"/>
  <c r="AP1366" i="13"/>
  <c r="AR1365" i="13"/>
  <c r="AR25" i="13"/>
  <c r="AP26" i="13"/>
  <c r="S27" i="13"/>
  <c r="U26" i="13"/>
  <c r="AA8" i="3"/>
  <c r="AA18" i="3" s="1"/>
  <c r="AA17" i="3"/>
  <c r="AA20" i="3" s="1"/>
  <c r="AK10" i="2"/>
  <c r="X10" i="2"/>
  <c r="Z10" i="2" s="1"/>
  <c r="AC79" i="8"/>
  <c r="AC63" i="8"/>
  <c r="AC47" i="8"/>
  <c r="AC39" i="8"/>
  <c r="AC31" i="8"/>
  <c r="AC23" i="8"/>
  <c r="AK14" i="2"/>
  <c r="BS3" i="2"/>
  <c r="U1341" i="13" l="1"/>
  <c r="S1342" i="13"/>
  <c r="AR1366" i="13"/>
  <c r="AP1367" i="13"/>
  <c r="AR26" i="13"/>
  <c r="AP27" i="13"/>
  <c r="S28" i="13"/>
  <c r="U27" i="13"/>
  <c r="AK11" i="2"/>
  <c r="AK12" i="2"/>
  <c r="AK8" i="2"/>
  <c r="AK9" i="2"/>
  <c r="AK15" i="2"/>
  <c r="AF13" i="2"/>
  <c r="S1343" i="13" l="1"/>
  <c r="U1342" i="13"/>
  <c r="AP1368" i="13"/>
  <c r="AR1367" i="13"/>
  <c r="AP28" i="13"/>
  <c r="AR27" i="13"/>
  <c r="S29" i="13"/>
  <c r="U28" i="13"/>
  <c r="AI13" i="2"/>
  <c r="X13" i="2" s="1"/>
  <c r="Z13" i="2" s="1"/>
  <c r="U13" i="2"/>
  <c r="AH16" i="2"/>
  <c r="W16" i="2" s="1"/>
  <c r="AB16" i="2"/>
  <c r="Q16" i="2" s="1"/>
  <c r="AA16" i="2"/>
  <c r="P16" i="2" s="1"/>
  <c r="U1343" i="13" l="1"/>
  <c r="S1344" i="13"/>
  <c r="AR1368" i="13"/>
  <c r="AP1369" i="13"/>
  <c r="AP29" i="13"/>
  <c r="AR28" i="13"/>
  <c r="S30" i="13"/>
  <c r="U29" i="13"/>
  <c r="AK13" i="2"/>
  <c r="AI16" i="2"/>
  <c r="R29" i="4"/>
  <c r="R30" i="4"/>
  <c r="R28" i="4"/>
  <c r="Q29" i="4"/>
  <c r="Q30" i="4"/>
  <c r="Q28" i="4"/>
  <c r="V31" i="4"/>
  <c r="X31" i="4" s="1"/>
  <c r="V23" i="4"/>
  <c r="X23" i="4" s="1"/>
  <c r="V22" i="4"/>
  <c r="U20" i="4"/>
  <c r="V15" i="4"/>
  <c r="X15" i="4" s="1"/>
  <c r="X6" i="4"/>
  <c r="K3" i="4"/>
  <c r="E7" i="4"/>
  <c r="L5" i="4" s="1"/>
  <c r="I80" i="8"/>
  <c r="H80" i="8"/>
  <c r="AI79" i="8"/>
  <c r="AE79" i="8"/>
  <c r="AE80" i="8" s="1"/>
  <c r="AD79" i="8"/>
  <c r="AG79" i="8" s="1"/>
  <c r="I79" i="8"/>
  <c r="H79" i="8"/>
  <c r="C76" i="8"/>
  <c r="D76" i="8" s="1"/>
  <c r="E76" i="8" s="1"/>
  <c r="F76" i="8" s="1"/>
  <c r="G76" i="8" s="1"/>
  <c r="H76" i="8" s="1"/>
  <c r="I76" i="8" s="1"/>
  <c r="J76" i="8" s="1"/>
  <c r="K76" i="8" s="1"/>
  <c r="L76" i="8" s="1"/>
  <c r="M76" i="8" s="1"/>
  <c r="N76" i="8" s="1"/>
  <c r="O76" i="8" s="1"/>
  <c r="P76" i="8" s="1"/>
  <c r="Q76" i="8" s="1"/>
  <c r="R76" i="8" s="1"/>
  <c r="S76" i="8" s="1"/>
  <c r="T76" i="8" s="1"/>
  <c r="U76" i="8" s="1"/>
  <c r="V76" i="8" s="1"/>
  <c r="W76" i="8" s="1"/>
  <c r="X76" i="8" s="1"/>
  <c r="Y76" i="8" s="1"/>
  <c r="Z76" i="8" s="1"/>
  <c r="AA76" i="8" s="1"/>
  <c r="B75" i="8"/>
  <c r="C75" i="8" s="1"/>
  <c r="D75" i="8" s="1"/>
  <c r="E75" i="8" s="1"/>
  <c r="F75" i="8" s="1"/>
  <c r="G75" i="8" s="1"/>
  <c r="H75" i="8" s="1"/>
  <c r="I75" i="8" s="1"/>
  <c r="J75" i="8" s="1"/>
  <c r="K75" i="8" s="1"/>
  <c r="L75" i="8" s="1"/>
  <c r="M75" i="8" s="1"/>
  <c r="N75" i="8" s="1"/>
  <c r="O75" i="8" s="1"/>
  <c r="P75" i="8" s="1"/>
  <c r="Q75" i="8" s="1"/>
  <c r="R75" i="8" s="1"/>
  <c r="S75" i="8" s="1"/>
  <c r="T75" i="8" s="1"/>
  <c r="U75" i="8" s="1"/>
  <c r="V75" i="8" s="1"/>
  <c r="W75" i="8" s="1"/>
  <c r="X75" i="8" s="1"/>
  <c r="Y75" i="8" s="1"/>
  <c r="Z75" i="8" s="1"/>
  <c r="AA75" i="8" s="1"/>
  <c r="S72" i="8"/>
  <c r="R72" i="8"/>
  <c r="N72" i="8"/>
  <c r="I72" i="8"/>
  <c r="H72" i="8"/>
  <c r="AI71" i="8"/>
  <c r="AD71" i="8"/>
  <c r="S71" i="8"/>
  <c r="R71" i="8"/>
  <c r="N71" i="8"/>
  <c r="I71" i="8"/>
  <c r="H71" i="8"/>
  <c r="C68" i="8"/>
  <c r="D68" i="8" s="1"/>
  <c r="E68" i="8" s="1"/>
  <c r="F68" i="8" s="1"/>
  <c r="G68" i="8" s="1"/>
  <c r="H68" i="8" s="1"/>
  <c r="I68" i="8" s="1"/>
  <c r="J68" i="8" s="1"/>
  <c r="K68" i="8" s="1"/>
  <c r="L68" i="8" s="1"/>
  <c r="M68" i="8" s="1"/>
  <c r="N68" i="8" s="1"/>
  <c r="O68" i="8" s="1"/>
  <c r="P68" i="8" s="1"/>
  <c r="Q68" i="8" s="1"/>
  <c r="R68" i="8" s="1"/>
  <c r="S68" i="8" s="1"/>
  <c r="T68" i="8" s="1"/>
  <c r="U68" i="8" s="1"/>
  <c r="V68" i="8" s="1"/>
  <c r="W68" i="8" s="1"/>
  <c r="X68" i="8" s="1"/>
  <c r="Y68" i="8" s="1"/>
  <c r="Z68" i="8" s="1"/>
  <c r="AA68" i="8" s="1"/>
  <c r="B67" i="8"/>
  <c r="C67" i="8" s="1"/>
  <c r="D67" i="8" s="1"/>
  <c r="E67" i="8" s="1"/>
  <c r="F67" i="8" s="1"/>
  <c r="G67" i="8" s="1"/>
  <c r="H67" i="8" s="1"/>
  <c r="I67" i="8" s="1"/>
  <c r="J67" i="8" s="1"/>
  <c r="K67" i="8" s="1"/>
  <c r="L67" i="8" s="1"/>
  <c r="M67" i="8" s="1"/>
  <c r="N67" i="8" s="1"/>
  <c r="O67" i="8" s="1"/>
  <c r="P67" i="8" s="1"/>
  <c r="Q67" i="8" s="1"/>
  <c r="R67" i="8" s="1"/>
  <c r="S67" i="8" s="1"/>
  <c r="T67" i="8" s="1"/>
  <c r="U67" i="8" s="1"/>
  <c r="V67" i="8" s="1"/>
  <c r="W67" i="8" s="1"/>
  <c r="X67" i="8" s="1"/>
  <c r="Y67" i="8" s="1"/>
  <c r="Z67" i="8" s="1"/>
  <c r="AA67" i="8" s="1"/>
  <c r="AI63" i="8"/>
  <c r="AE63" i="8"/>
  <c r="AE64" i="8" s="1"/>
  <c r="AD63" i="8"/>
  <c r="AG63" i="8"/>
  <c r="C60" i="8"/>
  <c r="D60" i="8" s="1"/>
  <c r="E60" i="8" s="1"/>
  <c r="F60" i="8" s="1"/>
  <c r="G60" i="8" s="1"/>
  <c r="H60" i="8" s="1"/>
  <c r="I60" i="8" s="1"/>
  <c r="J60" i="8" s="1"/>
  <c r="K60" i="8" s="1"/>
  <c r="L60" i="8" s="1"/>
  <c r="M60" i="8" s="1"/>
  <c r="N60" i="8" s="1"/>
  <c r="O60" i="8" s="1"/>
  <c r="P60" i="8" s="1"/>
  <c r="Q60" i="8" s="1"/>
  <c r="R60" i="8" s="1"/>
  <c r="S60" i="8" s="1"/>
  <c r="T60" i="8" s="1"/>
  <c r="U60" i="8" s="1"/>
  <c r="V60" i="8" s="1"/>
  <c r="W60" i="8" s="1"/>
  <c r="X60" i="8" s="1"/>
  <c r="Y60" i="8" s="1"/>
  <c r="Z60" i="8" s="1"/>
  <c r="AA60" i="8" s="1"/>
  <c r="B59" i="8"/>
  <c r="C59" i="8" s="1"/>
  <c r="D59" i="8" s="1"/>
  <c r="E59" i="8" s="1"/>
  <c r="F59" i="8" s="1"/>
  <c r="G59" i="8" s="1"/>
  <c r="H59" i="8" s="1"/>
  <c r="I59" i="8" s="1"/>
  <c r="J59" i="8" s="1"/>
  <c r="K59" i="8" s="1"/>
  <c r="L59" i="8" s="1"/>
  <c r="M59" i="8" s="1"/>
  <c r="N59" i="8" s="1"/>
  <c r="O59" i="8" s="1"/>
  <c r="P59" i="8" s="1"/>
  <c r="Q59" i="8" s="1"/>
  <c r="R59" i="8" s="1"/>
  <c r="S59" i="8" s="1"/>
  <c r="T59" i="8" s="1"/>
  <c r="U59" i="8" s="1"/>
  <c r="V59" i="8" s="1"/>
  <c r="W59" i="8" s="1"/>
  <c r="X59" i="8" s="1"/>
  <c r="Y59" i="8" s="1"/>
  <c r="Z59" i="8" s="1"/>
  <c r="AA59" i="8" s="1"/>
  <c r="AI55" i="8"/>
  <c r="AE56" i="8"/>
  <c r="C52" i="8"/>
  <c r="D52" i="8" s="1"/>
  <c r="E52" i="8" s="1"/>
  <c r="F52" i="8" s="1"/>
  <c r="G52" i="8" s="1"/>
  <c r="H52" i="8" s="1"/>
  <c r="I52" i="8" s="1"/>
  <c r="J52" i="8" s="1"/>
  <c r="K52" i="8" s="1"/>
  <c r="L52" i="8" s="1"/>
  <c r="M52" i="8" s="1"/>
  <c r="N52" i="8" s="1"/>
  <c r="O52" i="8" s="1"/>
  <c r="P52" i="8" s="1"/>
  <c r="Q52" i="8" s="1"/>
  <c r="R52" i="8" s="1"/>
  <c r="S52" i="8" s="1"/>
  <c r="T52" i="8" s="1"/>
  <c r="U52" i="8" s="1"/>
  <c r="V52" i="8" s="1"/>
  <c r="W52" i="8" s="1"/>
  <c r="X52" i="8" s="1"/>
  <c r="Y52" i="8" s="1"/>
  <c r="Z52" i="8" s="1"/>
  <c r="AA52" i="8" s="1"/>
  <c r="B51" i="8"/>
  <c r="C51" i="8" s="1"/>
  <c r="D51" i="8" s="1"/>
  <c r="E51" i="8" s="1"/>
  <c r="F51" i="8" s="1"/>
  <c r="G51" i="8" s="1"/>
  <c r="H51" i="8" s="1"/>
  <c r="I51" i="8" s="1"/>
  <c r="J51" i="8" s="1"/>
  <c r="K51" i="8" s="1"/>
  <c r="L51" i="8" s="1"/>
  <c r="M51" i="8" s="1"/>
  <c r="N51" i="8" s="1"/>
  <c r="O51" i="8" s="1"/>
  <c r="P51" i="8" s="1"/>
  <c r="Q51" i="8" s="1"/>
  <c r="R51" i="8" s="1"/>
  <c r="S51" i="8" s="1"/>
  <c r="T51" i="8" s="1"/>
  <c r="U51" i="8" s="1"/>
  <c r="V51" i="8" s="1"/>
  <c r="W51" i="8" s="1"/>
  <c r="X51" i="8" s="1"/>
  <c r="Y51" i="8" s="1"/>
  <c r="Z51" i="8" s="1"/>
  <c r="AA51" i="8" s="1"/>
  <c r="AI47" i="8"/>
  <c r="AE47" i="8"/>
  <c r="AE48" i="8" s="1"/>
  <c r="AD47" i="8"/>
  <c r="C44" i="8"/>
  <c r="D44" i="8" s="1"/>
  <c r="E44" i="8" s="1"/>
  <c r="F44" i="8" s="1"/>
  <c r="G44" i="8" s="1"/>
  <c r="H44" i="8" s="1"/>
  <c r="I44" i="8" s="1"/>
  <c r="J44" i="8" s="1"/>
  <c r="K44" i="8" s="1"/>
  <c r="L44" i="8" s="1"/>
  <c r="M44" i="8" s="1"/>
  <c r="N44" i="8" s="1"/>
  <c r="O44" i="8" s="1"/>
  <c r="P44" i="8" s="1"/>
  <c r="Q44" i="8" s="1"/>
  <c r="R44" i="8" s="1"/>
  <c r="S44" i="8" s="1"/>
  <c r="T44" i="8" s="1"/>
  <c r="U44" i="8" s="1"/>
  <c r="V44" i="8" s="1"/>
  <c r="W44" i="8" s="1"/>
  <c r="X44" i="8" s="1"/>
  <c r="Y44" i="8" s="1"/>
  <c r="Z44" i="8" s="1"/>
  <c r="AA44" i="8" s="1"/>
  <c r="B43" i="8"/>
  <c r="C43" i="8" s="1"/>
  <c r="D43" i="8" s="1"/>
  <c r="E43" i="8" s="1"/>
  <c r="F43" i="8" s="1"/>
  <c r="G43" i="8" s="1"/>
  <c r="H43" i="8" s="1"/>
  <c r="I43" i="8" s="1"/>
  <c r="J43" i="8" s="1"/>
  <c r="K43" i="8" s="1"/>
  <c r="L43" i="8" s="1"/>
  <c r="M43" i="8" s="1"/>
  <c r="N43" i="8" s="1"/>
  <c r="O43" i="8" s="1"/>
  <c r="P43" i="8" s="1"/>
  <c r="Q43" i="8" s="1"/>
  <c r="R43" i="8" s="1"/>
  <c r="S43" i="8" s="1"/>
  <c r="T43" i="8" s="1"/>
  <c r="U43" i="8" s="1"/>
  <c r="V43" i="8" s="1"/>
  <c r="W43" i="8" s="1"/>
  <c r="X43" i="8" s="1"/>
  <c r="Y43" i="8" s="1"/>
  <c r="Z43" i="8" s="1"/>
  <c r="AA43" i="8" s="1"/>
  <c r="AI39" i="8"/>
  <c r="AE39" i="8"/>
  <c r="AE40" i="8" s="1"/>
  <c r="AD39" i="8"/>
  <c r="C36" i="8"/>
  <c r="D36" i="8" s="1"/>
  <c r="E36" i="8" s="1"/>
  <c r="F36" i="8" s="1"/>
  <c r="G36" i="8" s="1"/>
  <c r="H36" i="8" s="1"/>
  <c r="I36" i="8" s="1"/>
  <c r="J36" i="8" s="1"/>
  <c r="K36" i="8" s="1"/>
  <c r="L36" i="8" s="1"/>
  <c r="M36" i="8" s="1"/>
  <c r="N36" i="8" s="1"/>
  <c r="O36" i="8" s="1"/>
  <c r="P36" i="8" s="1"/>
  <c r="Q36" i="8" s="1"/>
  <c r="R36" i="8" s="1"/>
  <c r="S36" i="8" s="1"/>
  <c r="T36" i="8" s="1"/>
  <c r="U36" i="8" s="1"/>
  <c r="V36" i="8" s="1"/>
  <c r="W36" i="8" s="1"/>
  <c r="X36" i="8" s="1"/>
  <c r="Y36" i="8" s="1"/>
  <c r="Z36" i="8" s="1"/>
  <c r="AA36" i="8" s="1"/>
  <c r="B35" i="8"/>
  <c r="C35" i="8" s="1"/>
  <c r="D35" i="8" s="1"/>
  <c r="E35" i="8" s="1"/>
  <c r="F35" i="8" s="1"/>
  <c r="G35" i="8" s="1"/>
  <c r="H35" i="8" s="1"/>
  <c r="I35" i="8" s="1"/>
  <c r="J35" i="8" s="1"/>
  <c r="K35" i="8" s="1"/>
  <c r="L35" i="8" s="1"/>
  <c r="M35" i="8" s="1"/>
  <c r="N35" i="8" s="1"/>
  <c r="O35" i="8" s="1"/>
  <c r="P35" i="8" s="1"/>
  <c r="Q35" i="8" s="1"/>
  <c r="R35" i="8" s="1"/>
  <c r="S35" i="8" s="1"/>
  <c r="T35" i="8" s="1"/>
  <c r="U35" i="8" s="1"/>
  <c r="V35" i="8" s="1"/>
  <c r="W35" i="8" s="1"/>
  <c r="X35" i="8" s="1"/>
  <c r="Y35" i="8" s="1"/>
  <c r="Z35" i="8" s="1"/>
  <c r="AA35" i="8" s="1"/>
  <c r="AI31" i="8"/>
  <c r="AG31" i="8"/>
  <c r="AE31" i="8"/>
  <c r="AE32" i="8" s="1"/>
  <c r="AD31" i="8"/>
  <c r="C28" i="8"/>
  <c r="D28" i="8" s="1"/>
  <c r="E28" i="8" s="1"/>
  <c r="F28" i="8" s="1"/>
  <c r="G28" i="8" s="1"/>
  <c r="H28" i="8" s="1"/>
  <c r="I28" i="8" s="1"/>
  <c r="J28" i="8" s="1"/>
  <c r="K28" i="8" s="1"/>
  <c r="L28" i="8" s="1"/>
  <c r="M28" i="8" s="1"/>
  <c r="N28" i="8" s="1"/>
  <c r="O28" i="8" s="1"/>
  <c r="P28" i="8" s="1"/>
  <c r="Q28" i="8" s="1"/>
  <c r="R28" i="8" s="1"/>
  <c r="S28" i="8" s="1"/>
  <c r="T28" i="8" s="1"/>
  <c r="U28" i="8" s="1"/>
  <c r="V28" i="8" s="1"/>
  <c r="W28" i="8" s="1"/>
  <c r="X28" i="8" s="1"/>
  <c r="Y28" i="8" s="1"/>
  <c r="Z28" i="8" s="1"/>
  <c r="AA28" i="8" s="1"/>
  <c r="B27" i="8"/>
  <c r="C27" i="8" s="1"/>
  <c r="D27" i="8" s="1"/>
  <c r="E27" i="8" s="1"/>
  <c r="F27" i="8" s="1"/>
  <c r="G27" i="8" s="1"/>
  <c r="H27" i="8" s="1"/>
  <c r="I27" i="8" s="1"/>
  <c r="J27" i="8" s="1"/>
  <c r="K27" i="8" s="1"/>
  <c r="L27" i="8" s="1"/>
  <c r="M27" i="8" s="1"/>
  <c r="N27" i="8" s="1"/>
  <c r="O27" i="8" s="1"/>
  <c r="P27" i="8" s="1"/>
  <c r="Q27" i="8" s="1"/>
  <c r="R27" i="8" s="1"/>
  <c r="S27" i="8" s="1"/>
  <c r="T27" i="8" s="1"/>
  <c r="U27" i="8" s="1"/>
  <c r="V27" i="8" s="1"/>
  <c r="W27" i="8" s="1"/>
  <c r="X27" i="8" s="1"/>
  <c r="Y27" i="8" s="1"/>
  <c r="Z27" i="8" s="1"/>
  <c r="AA27" i="8" s="1"/>
  <c r="AI23" i="8"/>
  <c r="AE23" i="8"/>
  <c r="AD23" i="8"/>
  <c r="C20" i="8"/>
  <c r="D20" i="8" s="1"/>
  <c r="E20" i="8" s="1"/>
  <c r="F20" i="8" s="1"/>
  <c r="G20" i="8" s="1"/>
  <c r="H20" i="8" s="1"/>
  <c r="I20" i="8" s="1"/>
  <c r="J20" i="8" s="1"/>
  <c r="K20" i="8" s="1"/>
  <c r="L20" i="8" s="1"/>
  <c r="M20" i="8" s="1"/>
  <c r="N20" i="8" s="1"/>
  <c r="O20" i="8" s="1"/>
  <c r="P20" i="8" s="1"/>
  <c r="Q20" i="8" s="1"/>
  <c r="R20" i="8" s="1"/>
  <c r="S20" i="8" s="1"/>
  <c r="T20" i="8" s="1"/>
  <c r="U20" i="8" s="1"/>
  <c r="V20" i="8" s="1"/>
  <c r="W20" i="8" s="1"/>
  <c r="X20" i="8" s="1"/>
  <c r="Y20" i="8" s="1"/>
  <c r="Z20" i="8" s="1"/>
  <c r="AA20" i="8" s="1"/>
  <c r="B19" i="8"/>
  <c r="C19" i="8" s="1"/>
  <c r="D19" i="8" s="1"/>
  <c r="E19" i="8" s="1"/>
  <c r="F19" i="8" s="1"/>
  <c r="G19" i="8" s="1"/>
  <c r="H19" i="8" s="1"/>
  <c r="I19" i="8" s="1"/>
  <c r="J19" i="8" s="1"/>
  <c r="K19" i="8" s="1"/>
  <c r="L19" i="8" s="1"/>
  <c r="M19" i="8" s="1"/>
  <c r="N19" i="8" s="1"/>
  <c r="O19" i="8" s="1"/>
  <c r="P19" i="8" s="1"/>
  <c r="Q19" i="8" s="1"/>
  <c r="R19" i="8" s="1"/>
  <c r="S19" i="8" s="1"/>
  <c r="T19" i="8" s="1"/>
  <c r="U19" i="8" s="1"/>
  <c r="V19" i="8" s="1"/>
  <c r="W19" i="8" s="1"/>
  <c r="X19" i="8" s="1"/>
  <c r="Y19" i="8" s="1"/>
  <c r="Z19" i="8" s="1"/>
  <c r="AA19" i="8" s="1"/>
  <c r="AI15" i="8"/>
  <c r="AG15" i="8"/>
  <c r="AE15" i="8"/>
  <c r="AE16" i="8" s="1"/>
  <c r="AD15" i="8"/>
  <c r="AC15" i="8"/>
  <c r="AC16" i="8" s="1"/>
  <c r="C12" i="8"/>
  <c r="D12" i="8" s="1"/>
  <c r="E12" i="8" s="1"/>
  <c r="F12" i="8" s="1"/>
  <c r="G12" i="8" s="1"/>
  <c r="H12" i="8" s="1"/>
  <c r="I12" i="8" s="1"/>
  <c r="J12" i="8" s="1"/>
  <c r="K12" i="8" s="1"/>
  <c r="L12" i="8" s="1"/>
  <c r="M12" i="8" s="1"/>
  <c r="N12" i="8" s="1"/>
  <c r="O12" i="8" s="1"/>
  <c r="P12" i="8" s="1"/>
  <c r="Q12" i="8" s="1"/>
  <c r="R12" i="8" s="1"/>
  <c r="S12" i="8" s="1"/>
  <c r="T12" i="8" s="1"/>
  <c r="U12" i="8" s="1"/>
  <c r="V12" i="8" s="1"/>
  <c r="W12" i="8" s="1"/>
  <c r="X12" i="8" s="1"/>
  <c r="Y12" i="8" s="1"/>
  <c r="Z12" i="8" s="1"/>
  <c r="AA12" i="8" s="1"/>
  <c r="B11" i="8"/>
  <c r="C11" i="8" s="1"/>
  <c r="D11" i="8" s="1"/>
  <c r="E11" i="8" s="1"/>
  <c r="F11" i="8" s="1"/>
  <c r="G11" i="8" s="1"/>
  <c r="H11" i="8" s="1"/>
  <c r="I11" i="8" s="1"/>
  <c r="J11" i="8" s="1"/>
  <c r="K11" i="8" s="1"/>
  <c r="L11" i="8" s="1"/>
  <c r="M11" i="8" s="1"/>
  <c r="N11" i="8" s="1"/>
  <c r="O11" i="8" s="1"/>
  <c r="P11" i="8" s="1"/>
  <c r="Q11" i="8" s="1"/>
  <c r="R11" i="8" s="1"/>
  <c r="S11" i="8" s="1"/>
  <c r="T11" i="8" s="1"/>
  <c r="U11" i="8" s="1"/>
  <c r="V11" i="8" s="1"/>
  <c r="W11" i="8" s="1"/>
  <c r="X11" i="8" s="1"/>
  <c r="Y11" i="8" s="1"/>
  <c r="Z11" i="8" s="1"/>
  <c r="AA11" i="8" s="1"/>
  <c r="W8" i="8"/>
  <c r="AI7" i="8"/>
  <c r="AD7" i="8"/>
  <c r="W7" i="8"/>
  <c r="AC7" i="8" s="1"/>
  <c r="C4" i="8"/>
  <c r="D4" i="8" s="1"/>
  <c r="E4" i="8" s="1"/>
  <c r="F4" i="8" s="1"/>
  <c r="G4" i="8" s="1"/>
  <c r="H4" i="8" s="1"/>
  <c r="I4" i="8" s="1"/>
  <c r="J4" i="8" s="1"/>
  <c r="K4" i="8" s="1"/>
  <c r="L4" i="8" s="1"/>
  <c r="M4" i="8" s="1"/>
  <c r="N4" i="8" s="1"/>
  <c r="O4" i="8" s="1"/>
  <c r="P4" i="8" s="1"/>
  <c r="Q4" i="8" s="1"/>
  <c r="R4" i="8" s="1"/>
  <c r="S4" i="8" s="1"/>
  <c r="T4" i="8" s="1"/>
  <c r="U4" i="8" s="1"/>
  <c r="V4" i="8" s="1"/>
  <c r="W4" i="8" s="1"/>
  <c r="X4" i="8" s="1"/>
  <c r="Y4" i="8" s="1"/>
  <c r="Z4" i="8" s="1"/>
  <c r="AA4" i="8" s="1"/>
  <c r="B3" i="8"/>
  <c r="C3" i="8" s="1"/>
  <c r="D3" i="8" s="1"/>
  <c r="E3" i="8" s="1"/>
  <c r="F3" i="8" s="1"/>
  <c r="G3" i="8" s="1"/>
  <c r="H3" i="8" s="1"/>
  <c r="I3" i="8" s="1"/>
  <c r="J3" i="8" s="1"/>
  <c r="K3" i="8" s="1"/>
  <c r="L3" i="8" s="1"/>
  <c r="M3" i="8" s="1"/>
  <c r="N3" i="8" s="1"/>
  <c r="O3" i="8" s="1"/>
  <c r="P3" i="8" s="1"/>
  <c r="Q3" i="8" s="1"/>
  <c r="R3" i="8" s="1"/>
  <c r="S3" i="8" s="1"/>
  <c r="T3" i="8" s="1"/>
  <c r="U3" i="8" s="1"/>
  <c r="V3" i="8" s="1"/>
  <c r="W3" i="8" s="1"/>
  <c r="X3" i="8" s="1"/>
  <c r="Y3" i="8" s="1"/>
  <c r="Z3" i="8" s="1"/>
  <c r="AA3" i="8" s="1"/>
  <c r="D12" i="7"/>
  <c r="E12" i="7" s="1"/>
  <c r="F12" i="7" s="1"/>
  <c r="G12" i="7" s="1"/>
  <c r="H12" i="7" s="1"/>
  <c r="I12" i="7" s="1"/>
  <c r="J12" i="7" s="1"/>
  <c r="K12" i="7" s="1"/>
  <c r="L12" i="7" s="1"/>
  <c r="M12" i="7" s="1"/>
  <c r="N12" i="7" s="1"/>
  <c r="O12" i="7" s="1"/>
  <c r="P12" i="7" s="1"/>
  <c r="Q12" i="7" s="1"/>
  <c r="R12" i="7" s="1"/>
  <c r="S12" i="7" s="1"/>
  <c r="T12" i="7" s="1"/>
  <c r="U12" i="7" s="1"/>
  <c r="V12" i="7" s="1"/>
  <c r="W12" i="7" s="1"/>
  <c r="X12" i="7" s="1"/>
  <c r="Y12" i="7" s="1"/>
  <c r="Z12" i="7" s="1"/>
  <c r="AA12" i="7" s="1"/>
  <c r="AB12" i="7" s="1"/>
  <c r="AC12" i="7" s="1"/>
  <c r="AD12" i="7" s="1"/>
  <c r="AE12" i="7" s="1"/>
  <c r="AF12" i="7" s="1"/>
  <c r="C12" i="7"/>
  <c r="B11" i="7"/>
  <c r="C11" i="7" s="1"/>
  <c r="D11" i="7" s="1"/>
  <c r="E11" i="7" s="1"/>
  <c r="F11" i="7" s="1"/>
  <c r="G11" i="7" s="1"/>
  <c r="H11" i="7" s="1"/>
  <c r="I11" i="7" s="1"/>
  <c r="J11" i="7" s="1"/>
  <c r="K11" i="7" s="1"/>
  <c r="L11" i="7" s="1"/>
  <c r="M11" i="7" s="1"/>
  <c r="N11" i="7" s="1"/>
  <c r="O11" i="7" s="1"/>
  <c r="P11" i="7" s="1"/>
  <c r="Q11" i="7" s="1"/>
  <c r="R11" i="7" s="1"/>
  <c r="S11" i="7" s="1"/>
  <c r="T11" i="7" s="1"/>
  <c r="U11" i="7" s="1"/>
  <c r="V11" i="7" s="1"/>
  <c r="W11" i="7" s="1"/>
  <c r="X11" i="7" s="1"/>
  <c r="Y11" i="7" s="1"/>
  <c r="Z11" i="7" s="1"/>
  <c r="AA11" i="7" s="1"/>
  <c r="AB11" i="7" s="1"/>
  <c r="AC11" i="7" s="1"/>
  <c r="AD11" i="7" s="1"/>
  <c r="AE11" i="7" s="1"/>
  <c r="AF11" i="7" s="1"/>
  <c r="D4" i="7"/>
  <c r="E4" i="7" s="1"/>
  <c r="F4" i="7" s="1"/>
  <c r="G4" i="7" s="1"/>
  <c r="H4" i="7" s="1"/>
  <c r="I4" i="7" s="1"/>
  <c r="J4" i="7" s="1"/>
  <c r="K4" i="7" s="1"/>
  <c r="L4" i="7" s="1"/>
  <c r="M4" i="7" s="1"/>
  <c r="N4" i="7" s="1"/>
  <c r="O4" i="7" s="1"/>
  <c r="P4" i="7" s="1"/>
  <c r="Q4" i="7" s="1"/>
  <c r="R4" i="7" s="1"/>
  <c r="S4" i="7" s="1"/>
  <c r="T4" i="7" s="1"/>
  <c r="U4" i="7" s="1"/>
  <c r="V4" i="7" s="1"/>
  <c r="W4" i="7" s="1"/>
  <c r="X4" i="7" s="1"/>
  <c r="Y4" i="7" s="1"/>
  <c r="Z4" i="7" s="1"/>
  <c r="AA4" i="7" s="1"/>
  <c r="AB4" i="7" s="1"/>
  <c r="AC4" i="7" s="1"/>
  <c r="AD4" i="7" s="1"/>
  <c r="AE4" i="7" s="1"/>
  <c r="AF4" i="7" s="1"/>
  <c r="C4" i="7"/>
  <c r="B3" i="7"/>
  <c r="C3" i="7" s="1"/>
  <c r="D3" i="7" s="1"/>
  <c r="E3" i="7" s="1"/>
  <c r="F3" i="7" s="1"/>
  <c r="G3" i="7" s="1"/>
  <c r="H3" i="7" s="1"/>
  <c r="I3" i="7" s="1"/>
  <c r="J3" i="7" s="1"/>
  <c r="K3" i="7" s="1"/>
  <c r="L3" i="7" s="1"/>
  <c r="M3" i="7" s="1"/>
  <c r="N3" i="7" s="1"/>
  <c r="O3" i="7" s="1"/>
  <c r="P3" i="7" s="1"/>
  <c r="Q3" i="7" s="1"/>
  <c r="R3" i="7" s="1"/>
  <c r="S3" i="7" s="1"/>
  <c r="T3" i="7" s="1"/>
  <c r="U3" i="7" s="1"/>
  <c r="V3" i="7" s="1"/>
  <c r="W3" i="7" s="1"/>
  <c r="X3" i="7" s="1"/>
  <c r="Y3" i="7" s="1"/>
  <c r="Z3" i="7" s="1"/>
  <c r="AA3" i="7" s="1"/>
  <c r="AB3" i="7" s="1"/>
  <c r="AC3" i="7" s="1"/>
  <c r="AD3" i="7" s="1"/>
  <c r="AE3" i="7" s="1"/>
  <c r="AF3" i="7" s="1"/>
  <c r="N20" i="6"/>
  <c r="N21" i="6" s="1"/>
  <c r="C4" i="6"/>
  <c r="D4" i="6" s="1"/>
  <c r="E4" i="6" s="1"/>
  <c r="F4" i="6" s="1"/>
  <c r="G4" i="6" s="1"/>
  <c r="H4" i="6" s="1"/>
  <c r="I4" i="6" s="1"/>
  <c r="J4" i="6" s="1"/>
  <c r="K4" i="6" s="1"/>
  <c r="L4" i="6" s="1"/>
  <c r="M4" i="6" s="1"/>
  <c r="N4" i="6" s="1"/>
  <c r="O4" i="6" s="1"/>
  <c r="P4" i="6" s="1"/>
  <c r="Q4" i="6" s="1"/>
  <c r="R4" i="6" s="1"/>
  <c r="S4" i="6" s="1"/>
  <c r="T4" i="6" s="1"/>
  <c r="U4" i="6" s="1"/>
  <c r="V4" i="6" s="1"/>
  <c r="B3" i="6"/>
  <c r="C3" i="6" s="1"/>
  <c r="D3" i="6" s="1"/>
  <c r="E3" i="6" s="1"/>
  <c r="F3" i="6" s="1"/>
  <c r="G3" i="6" s="1"/>
  <c r="H3" i="6" s="1"/>
  <c r="I3" i="6" s="1"/>
  <c r="J3" i="6" s="1"/>
  <c r="K3" i="6" s="1"/>
  <c r="L3" i="6" s="1"/>
  <c r="M3" i="6" s="1"/>
  <c r="N3" i="6" s="1"/>
  <c r="O3" i="6" s="1"/>
  <c r="P3" i="6" s="1"/>
  <c r="Q3" i="6" s="1"/>
  <c r="R3" i="6" s="1"/>
  <c r="S3" i="6" s="1"/>
  <c r="T3" i="6" s="1"/>
  <c r="U3" i="6" s="1"/>
  <c r="V3" i="6" s="1"/>
  <c r="S4" i="4"/>
  <c r="S29" i="4" s="1"/>
  <c r="S5" i="4"/>
  <c r="S30" i="4" s="1"/>
  <c r="S3" i="4"/>
  <c r="S28" i="4" s="1"/>
  <c r="B10" i="4"/>
  <c r="T28" i="4" s="1"/>
  <c r="B9" i="4"/>
  <c r="H6" i="4"/>
  <c r="K6" i="4" s="1"/>
  <c r="H5" i="4"/>
  <c r="K5" i="4" s="1"/>
  <c r="H4" i="4"/>
  <c r="K4" i="4" s="1"/>
  <c r="AW8" i="2"/>
  <c r="AU8" i="2"/>
  <c r="AT8" i="2"/>
  <c r="AR9" i="2"/>
  <c r="AQ9" i="2"/>
  <c r="AO9" i="2"/>
  <c r="AN9" i="2"/>
  <c r="AR8" i="2"/>
  <c r="AQ8" i="2"/>
  <c r="AP8" i="2"/>
  <c r="AO8" i="2"/>
  <c r="AN8" i="2"/>
  <c r="BN6" i="2"/>
  <c r="BL6" i="2"/>
  <c r="BK6" i="2"/>
  <c r="BN5" i="2"/>
  <c r="BL5" i="2"/>
  <c r="BK5" i="2"/>
  <c r="BN4" i="2"/>
  <c r="BL4" i="2"/>
  <c r="BK4" i="2"/>
  <c r="BT3" i="2"/>
  <c r="BS6" i="2"/>
  <c r="BR3" i="2"/>
  <c r="AJ56" i="8" l="1"/>
  <c r="AK56" i="8" s="1"/>
  <c r="AP167" i="8"/>
  <c r="AP159" i="8"/>
  <c r="AJ55" i="8"/>
  <c r="AK55" i="8" s="1"/>
  <c r="AP111" i="8"/>
  <c r="AP183" i="8"/>
  <c r="AJ111" i="8"/>
  <c r="AJ176" i="8"/>
  <c r="AK176" i="8" s="1"/>
  <c r="AJ184" i="8"/>
  <c r="AK184" i="8" s="1"/>
  <c r="AJ112" i="8"/>
  <c r="AK112" i="8" s="1"/>
  <c r="AJ175" i="8"/>
  <c r="AJ183" i="8"/>
  <c r="AP175" i="8"/>
  <c r="AQ175" i="8" s="1"/>
  <c r="AF63" i="8"/>
  <c r="AF31" i="8"/>
  <c r="AH31" i="8" s="1"/>
  <c r="S1345" i="13"/>
  <c r="U1344" i="13"/>
  <c r="AP1370" i="13"/>
  <c r="AR1369" i="13"/>
  <c r="AP30" i="13"/>
  <c r="AR29" i="13"/>
  <c r="AJ167" i="8"/>
  <c r="AJ168" i="8"/>
  <c r="AK168" i="8" s="1"/>
  <c r="AJ160" i="8"/>
  <c r="AK160" i="8" s="1"/>
  <c r="BR7" i="2"/>
  <c r="AJ143" i="8"/>
  <c r="AK143" i="8" s="1"/>
  <c r="AJ136" i="8"/>
  <c r="AK136" i="8" s="1"/>
  <c r="AJ135" i="8"/>
  <c r="AK135" i="8" s="1"/>
  <c r="AJ96" i="8"/>
  <c r="AK96" i="8" s="1"/>
  <c r="AJ152" i="8"/>
  <c r="AK152" i="8" s="1"/>
  <c r="AJ95" i="8"/>
  <c r="AK95" i="8" s="1"/>
  <c r="AJ103" i="8"/>
  <c r="AJ144" i="8"/>
  <c r="AK144" i="8" s="1"/>
  <c r="AJ151" i="8"/>
  <c r="AK151" i="8" s="1"/>
  <c r="AJ104" i="8"/>
  <c r="AK104" i="8" s="1"/>
  <c r="S31" i="13"/>
  <c r="U30" i="13"/>
  <c r="U28" i="4"/>
  <c r="T29" i="4"/>
  <c r="U29" i="4" s="1"/>
  <c r="U32" i="4" s="1"/>
  <c r="T30" i="4"/>
  <c r="U30" i="4" s="1"/>
  <c r="L3" i="4"/>
  <c r="E20" i="6"/>
  <c r="E21" i="6" s="1"/>
  <c r="M20" i="6"/>
  <c r="M21" i="6" s="1"/>
  <c r="H8" i="2"/>
  <c r="H10" i="2"/>
  <c r="I10" i="2" s="1"/>
  <c r="M10" i="2" s="1"/>
  <c r="H16" i="2"/>
  <c r="I16" i="2" s="1"/>
  <c r="M16" i="2" s="1"/>
  <c r="X16" i="2"/>
  <c r="Z16" i="2" s="1"/>
  <c r="B20" i="6"/>
  <c r="B21" i="6" s="1"/>
  <c r="H20" i="6"/>
  <c r="H21" i="6" s="1"/>
  <c r="Q20" i="6"/>
  <c r="Q21" i="6" s="1"/>
  <c r="K20" i="6"/>
  <c r="K21" i="6" s="1"/>
  <c r="D20" i="6"/>
  <c r="D21" i="6" s="1"/>
  <c r="L20" i="6"/>
  <c r="L21" i="6" s="1"/>
  <c r="U20" i="6"/>
  <c r="U21" i="6" s="1"/>
  <c r="C20" i="6"/>
  <c r="C21" i="6" s="1"/>
  <c r="V20" i="6"/>
  <c r="V21" i="6" s="1"/>
  <c r="O20" i="6"/>
  <c r="O21" i="6" s="1"/>
  <c r="F20" i="6"/>
  <c r="F21" i="6" s="1"/>
  <c r="G20" i="6"/>
  <c r="G21" i="6" s="1"/>
  <c r="P20" i="6"/>
  <c r="P21" i="6" s="1"/>
  <c r="J20" i="6"/>
  <c r="J21" i="6" s="1"/>
  <c r="I20" i="6"/>
  <c r="I21" i="6" s="1"/>
  <c r="R20" i="6"/>
  <c r="R21" i="6" s="1"/>
  <c r="S20" i="6"/>
  <c r="S21" i="6" s="1"/>
  <c r="T20" i="6"/>
  <c r="T21" i="6" s="1"/>
  <c r="V29" i="4"/>
  <c r="X29" i="4" s="1"/>
  <c r="AF15" i="8"/>
  <c r="AH15" i="8" s="1"/>
  <c r="AG23" i="8"/>
  <c r="AF23" i="8"/>
  <c r="AH23" i="8" s="1"/>
  <c r="AH63" i="8"/>
  <c r="AE7" i="8"/>
  <c r="AE8" i="8" s="1"/>
  <c r="AE71" i="8"/>
  <c r="AE72" i="8" s="1"/>
  <c r="AC71" i="8"/>
  <c r="AG71" i="8" s="1"/>
  <c r="H15" i="2"/>
  <c r="H11" i="2"/>
  <c r="H9" i="2"/>
  <c r="H14" i="2"/>
  <c r="I14" i="2" s="1"/>
  <c r="M14" i="2" s="1"/>
  <c r="H12" i="2"/>
  <c r="I12" i="2" s="1"/>
  <c r="M12" i="2" s="1"/>
  <c r="H13" i="2"/>
  <c r="I13" i="2" s="1"/>
  <c r="M13" i="2" s="1"/>
  <c r="AK16" i="2"/>
  <c r="M8" i="2"/>
  <c r="M15" i="2"/>
  <c r="BO9" i="2"/>
  <c r="M9" i="2"/>
  <c r="BT6" i="2"/>
  <c r="V28" i="4"/>
  <c r="X28" i="4" s="1"/>
  <c r="X22" i="4"/>
  <c r="V20" i="4"/>
  <c r="U22" i="4"/>
  <c r="K7" i="4"/>
  <c r="L4" i="4"/>
  <c r="L6" i="4"/>
  <c r="L7" i="4" s="1"/>
  <c r="H7" i="4"/>
  <c r="AE24" i="8"/>
  <c r="AG47" i="8"/>
  <c r="AF47" i="8"/>
  <c r="AF39" i="8"/>
  <c r="AG7" i="8"/>
  <c r="AF79" i="8"/>
  <c r="AH79" i="8" s="1"/>
  <c r="AG39" i="8"/>
  <c r="BS8" i="2"/>
  <c r="BX8" i="2" s="1"/>
  <c r="BR8" i="2"/>
  <c r="BW8" i="2" s="1"/>
  <c r="BP6" i="2"/>
  <c r="BM6" i="2"/>
  <c r="BS4" i="2"/>
  <c r="BO5" i="2"/>
  <c r="BM5" i="2"/>
  <c r="BS7" i="2"/>
  <c r="AM9" i="2"/>
  <c r="BK9" i="2" s="1"/>
  <c r="BM4" i="2"/>
  <c r="BP5" i="2"/>
  <c r="BS5" i="2"/>
  <c r="BO4" i="2"/>
  <c r="BO6" i="2"/>
  <c r="BQ8" i="2"/>
  <c r="BV8" i="2" s="1"/>
  <c r="BT7" i="2"/>
  <c r="BK8" i="2"/>
  <c r="BR9" i="2"/>
  <c r="BR4" i="2"/>
  <c r="BT8" i="2"/>
  <c r="BS9" i="2"/>
  <c r="BX9" i="2" s="1"/>
  <c r="BT4" i="2"/>
  <c r="BR6" i="2"/>
  <c r="BN8" i="2"/>
  <c r="BM9" i="2"/>
  <c r="BP4" i="2"/>
  <c r="BT5" i="2"/>
  <c r="BO8" i="2"/>
  <c r="BJ8" i="2" s="1"/>
  <c r="BN9" i="2"/>
  <c r="BR5" i="2"/>
  <c r="BM8" i="2"/>
  <c r="BT9" i="2"/>
  <c r="BY9" i="2" s="1"/>
  <c r="BL8" i="2"/>
  <c r="AQ183" i="8" l="1"/>
  <c r="AQ111" i="8"/>
  <c r="AQ167" i="8"/>
  <c r="AK111" i="8"/>
  <c r="AG111" i="8"/>
  <c r="AH111" i="8" s="1"/>
  <c r="AG183" i="8"/>
  <c r="AH183" i="8" s="1"/>
  <c r="AK183" i="8"/>
  <c r="AK167" i="8"/>
  <c r="AG167" i="8"/>
  <c r="AH167" i="8" s="1"/>
  <c r="AG175" i="8"/>
  <c r="AH175" i="8" s="1"/>
  <c r="AK175" i="8"/>
  <c r="AK103" i="8"/>
  <c r="AG103" i="8"/>
  <c r="AH103" i="8" s="1"/>
  <c r="U1345" i="13"/>
  <c r="S1346" i="13"/>
  <c r="AR1370" i="13"/>
  <c r="AP1371" i="13"/>
  <c r="AP31" i="13"/>
  <c r="AR30" i="13"/>
  <c r="S32" i="13"/>
  <c r="U31" i="13"/>
  <c r="V30" i="4"/>
  <c r="X30" i="4" s="1"/>
  <c r="X32" i="4" s="1"/>
  <c r="T3" i="4"/>
  <c r="I3" i="4"/>
  <c r="T12" i="4"/>
  <c r="AF71" i="8"/>
  <c r="AH71" i="8" s="1"/>
  <c r="AF7" i="8"/>
  <c r="AH7" i="8" s="1"/>
  <c r="V32" i="4"/>
  <c r="V21" i="4"/>
  <c r="U21" i="4"/>
  <c r="X20" i="4"/>
  <c r="I5" i="4"/>
  <c r="I7" i="4" s="1"/>
  <c r="I6" i="4"/>
  <c r="I4" i="4"/>
  <c r="AH47" i="8"/>
  <c r="AH39" i="8"/>
  <c r="BL9" i="2"/>
  <c r="AP9" i="2"/>
  <c r="BJ9" i="2" s="1"/>
  <c r="BP8" i="2"/>
  <c r="BY8" i="2"/>
  <c r="BP9" i="2"/>
  <c r="BQ9" i="2"/>
  <c r="BV9" i="2" s="1"/>
  <c r="BW9" i="2"/>
  <c r="AP112" i="8" l="1"/>
  <c r="AP184" i="8"/>
  <c r="AP168" i="8"/>
  <c r="AP176" i="8"/>
  <c r="S1347" i="13"/>
  <c r="U1346" i="13"/>
  <c r="AP1372" i="13"/>
  <c r="AR1371" i="13"/>
  <c r="AP32" i="13"/>
  <c r="AR31" i="13"/>
  <c r="S33" i="13"/>
  <c r="U32" i="13"/>
  <c r="V3" i="4"/>
  <c r="N8" i="4" s="1"/>
  <c r="Z3" i="4"/>
  <c r="X3" i="4"/>
  <c r="U3" i="4"/>
  <c r="T14" i="4"/>
  <c r="U12" i="4"/>
  <c r="T13" i="4"/>
  <c r="V12" i="4"/>
  <c r="X12" i="4" s="1"/>
  <c r="X21" i="4"/>
  <c r="X24" i="4" s="1"/>
  <c r="U24" i="4"/>
  <c r="V24" i="4"/>
  <c r="T5" i="4"/>
  <c r="U5" i="4" s="1"/>
  <c r="T4" i="4"/>
  <c r="N6" i="4" s="1"/>
  <c r="U1347" i="13" l="1"/>
  <c r="S1348" i="13"/>
  <c r="AR1372" i="13"/>
  <c r="AP1373" i="13"/>
  <c r="AR32" i="13"/>
  <c r="AP33" i="13"/>
  <c r="S34" i="13"/>
  <c r="U33" i="13"/>
  <c r="AB3" i="4"/>
  <c r="AC3" i="4" s="1"/>
  <c r="AA3" i="4"/>
  <c r="P6" i="4"/>
  <c r="P7" i="4" s="1"/>
  <c r="U13" i="4"/>
  <c r="V13" i="4"/>
  <c r="V14" i="4"/>
  <c r="X14" i="4" s="1"/>
  <c r="U14" i="4"/>
  <c r="V4" i="4"/>
  <c r="N9" i="4" s="1"/>
  <c r="V5" i="4"/>
  <c r="U4" i="4"/>
  <c r="S1349" i="13" l="1"/>
  <c r="U1348" i="13"/>
  <c r="AP1374" i="13"/>
  <c r="AR1373" i="13"/>
  <c r="AR33" i="13"/>
  <c r="AP34" i="13"/>
  <c r="S35" i="13"/>
  <c r="U34" i="13"/>
  <c r="X5" i="4"/>
  <c r="N10" i="4"/>
  <c r="O10" i="4" s="1"/>
  <c r="AF3" i="4"/>
  <c r="AG3" i="4" s="1"/>
  <c r="AH3" i="4" s="1"/>
  <c r="U16" i="4"/>
  <c r="Y13" i="4"/>
  <c r="X4" i="4"/>
  <c r="Z4" i="4"/>
  <c r="V7" i="4"/>
  <c r="O8" i="4" s="1"/>
  <c r="U7" i="4"/>
  <c r="Y4" i="4" s="1"/>
  <c r="X13" i="4"/>
  <c r="X16" i="4" s="1"/>
  <c r="V16" i="4"/>
  <c r="X7" i="4" l="1"/>
  <c r="U1349" i="13"/>
  <c r="S1350" i="13"/>
  <c r="AR1374" i="13"/>
  <c r="AP1375" i="13"/>
  <c r="AR34" i="13"/>
  <c r="AP35" i="13"/>
  <c r="AP36" i="13" s="1"/>
  <c r="AP37" i="13" s="1"/>
  <c r="AP38" i="13" s="1"/>
  <c r="AP39" i="13" s="1"/>
  <c r="AP40" i="13" s="1"/>
  <c r="AP41" i="13" s="1"/>
  <c r="AP42" i="13" s="1"/>
  <c r="AP43" i="13" s="1"/>
  <c r="AP44" i="13" s="1"/>
  <c r="AP45" i="13" s="1"/>
  <c r="AP46" i="13" s="1"/>
  <c r="AP47" i="13" s="1"/>
  <c r="AP48" i="13" s="1"/>
  <c r="AP49" i="13" s="1"/>
  <c r="AP50" i="13" s="1"/>
  <c r="AP51" i="13" s="1"/>
  <c r="AP52" i="13" s="1"/>
  <c r="AP53" i="13" s="1"/>
  <c r="AP54" i="13" s="1"/>
  <c r="AP55" i="13" s="1"/>
  <c r="AP56" i="13" s="1"/>
  <c r="AP57" i="13" s="1"/>
  <c r="AP58" i="13" s="1"/>
  <c r="AP59" i="13" s="1"/>
  <c r="AP60" i="13" s="1"/>
  <c r="AP61" i="13" s="1"/>
  <c r="AP62" i="13" s="1"/>
  <c r="AP63" i="13" s="1"/>
  <c r="AP64" i="13" s="1"/>
  <c r="AP65" i="13" s="1"/>
  <c r="AP66" i="13" s="1"/>
  <c r="AP67" i="13" s="1"/>
  <c r="AP68" i="13" s="1"/>
  <c r="AP69" i="13" s="1"/>
  <c r="AP70" i="13" s="1"/>
  <c r="AP71" i="13" s="1"/>
  <c r="AP72" i="13" s="1"/>
  <c r="AP73" i="13" s="1"/>
  <c r="AP74" i="13" s="1"/>
  <c r="AP75" i="13" s="1"/>
  <c r="AP76" i="13" s="1"/>
  <c r="AP77" i="13" s="1"/>
  <c r="AP78" i="13" s="1"/>
  <c r="AP79" i="13" s="1"/>
  <c r="AP80" i="13" s="1"/>
  <c r="AP81" i="13" s="1"/>
  <c r="AP82" i="13" s="1"/>
  <c r="AP83" i="13" s="1"/>
  <c r="AP84" i="13" s="1"/>
  <c r="AP85" i="13" s="1"/>
  <c r="AP86" i="13" s="1"/>
  <c r="AP87" i="13" s="1"/>
  <c r="AP88" i="13" s="1"/>
  <c r="AP89" i="13" s="1"/>
  <c r="AP90" i="13" s="1"/>
  <c r="AP91" i="13" s="1"/>
  <c r="AP92" i="13" s="1"/>
  <c r="AP93" i="13" s="1"/>
  <c r="AP94" i="13" s="1"/>
  <c r="AP95" i="13" s="1"/>
  <c r="AP96" i="13" s="1"/>
  <c r="AP97" i="13" s="1"/>
  <c r="AP98" i="13" s="1"/>
  <c r="AP99" i="13" s="1"/>
  <c r="AP100" i="13" s="1"/>
  <c r="AP101" i="13" s="1"/>
  <c r="AP102" i="13" s="1"/>
  <c r="AP103" i="13" s="1"/>
  <c r="AP104" i="13" s="1"/>
  <c r="AP105" i="13" s="1"/>
  <c r="AP106" i="13" s="1"/>
  <c r="AP107" i="13" s="1"/>
  <c r="AP108" i="13" s="1"/>
  <c r="AP109" i="13" s="1"/>
  <c r="AP110" i="13" s="1"/>
  <c r="AP111" i="13" s="1"/>
  <c r="AP112" i="13" s="1"/>
  <c r="AP113" i="13" s="1"/>
  <c r="AP114" i="13" s="1"/>
  <c r="AP115" i="13" s="1"/>
  <c r="AP116" i="13" s="1"/>
  <c r="AP117" i="13" s="1"/>
  <c r="AP118" i="13" s="1"/>
  <c r="AP119" i="13" s="1"/>
  <c r="AP120" i="13" s="1"/>
  <c r="AP121" i="13" s="1"/>
  <c r="AP122" i="13" s="1"/>
  <c r="AP123" i="13" s="1"/>
  <c r="AP124" i="13" s="1"/>
  <c r="AP125" i="13" s="1"/>
  <c r="AP126" i="13" s="1"/>
  <c r="AP127" i="13" s="1"/>
  <c r="AP128" i="13" s="1"/>
  <c r="AP129" i="13" s="1"/>
  <c r="AP130" i="13" s="1"/>
  <c r="AP131" i="13" s="1"/>
  <c r="AP132" i="13" s="1"/>
  <c r="AP133" i="13" s="1"/>
  <c r="AP134" i="13" s="1"/>
  <c r="AP135" i="13" s="1"/>
  <c r="AP136" i="13" s="1"/>
  <c r="AP137" i="13" s="1"/>
  <c r="AP138" i="13" s="1"/>
  <c r="AP139" i="13" s="1"/>
  <c r="AP140" i="13" s="1"/>
  <c r="AP141" i="13" s="1"/>
  <c r="AP142" i="13" s="1"/>
  <c r="AP143" i="13" s="1"/>
  <c r="AP144" i="13" s="1"/>
  <c r="AP145" i="13" s="1"/>
  <c r="AP146" i="13" s="1"/>
  <c r="AP147" i="13" s="1"/>
  <c r="AP148" i="13" s="1"/>
  <c r="AP149" i="13" s="1"/>
  <c r="AP150" i="13" s="1"/>
  <c r="AP151" i="13" s="1"/>
  <c r="AP152" i="13" s="1"/>
  <c r="AP153" i="13" s="1"/>
  <c r="AP154" i="13" s="1"/>
  <c r="AP155" i="13" s="1"/>
  <c r="AP156" i="13" s="1"/>
  <c r="AP157" i="13" s="1"/>
  <c r="AP158" i="13" s="1"/>
  <c r="AP159" i="13" s="1"/>
  <c r="AP160" i="13" s="1"/>
  <c r="AP161" i="13" s="1"/>
  <c r="AP162" i="13" s="1"/>
  <c r="AP163" i="13" s="1"/>
  <c r="AP164" i="13" s="1"/>
  <c r="AP165" i="13" s="1"/>
  <c r="AP166" i="13" s="1"/>
  <c r="AP167" i="13" s="1"/>
  <c r="AP168" i="13" s="1"/>
  <c r="AP169" i="13" s="1"/>
  <c r="AP170" i="13" s="1"/>
  <c r="AP171" i="13" s="1"/>
  <c r="AP172" i="13" s="1"/>
  <c r="AP173" i="13" s="1"/>
  <c r="AP174" i="13" s="1"/>
  <c r="AP175" i="13" s="1"/>
  <c r="AP176" i="13" s="1"/>
  <c r="AP177" i="13" s="1"/>
  <c r="AP178" i="13" s="1"/>
  <c r="AP179" i="13" s="1"/>
  <c r="AP180" i="13" s="1"/>
  <c r="AP181" i="13" s="1"/>
  <c r="AP182" i="13" s="1"/>
  <c r="AP183" i="13" s="1"/>
  <c r="AP184" i="13" s="1"/>
  <c r="AP185" i="13" s="1"/>
  <c r="AP186" i="13" s="1"/>
  <c r="AP187" i="13" s="1"/>
  <c r="AP188" i="13" s="1"/>
  <c r="AP189" i="13" s="1"/>
  <c r="AP190" i="13" s="1"/>
  <c r="AP191" i="13" s="1"/>
  <c r="AP192" i="13" s="1"/>
  <c r="AP193" i="13" s="1"/>
  <c r="AP194" i="13" s="1"/>
  <c r="AP195" i="13" s="1"/>
  <c r="AP196" i="13" s="1"/>
  <c r="AP197" i="13" s="1"/>
  <c r="AP198" i="13" s="1"/>
  <c r="AP199" i="13" s="1"/>
  <c r="AP200" i="13" s="1"/>
  <c r="AP201" i="13" s="1"/>
  <c r="AP202" i="13" s="1"/>
  <c r="AP203" i="13" s="1"/>
  <c r="AP204" i="13" s="1"/>
  <c r="AP205" i="13" s="1"/>
  <c r="AP206" i="13" s="1"/>
  <c r="AP207" i="13" s="1"/>
  <c r="AP208" i="13" s="1"/>
  <c r="AP209" i="13" s="1"/>
  <c r="AP210" i="13" s="1"/>
  <c r="AP211" i="13" s="1"/>
  <c r="AP212" i="13" s="1"/>
  <c r="AP213" i="13" s="1"/>
  <c r="AP214" i="13" s="1"/>
  <c r="AP215" i="13" s="1"/>
  <c r="AP216" i="13" s="1"/>
  <c r="AP217" i="13" s="1"/>
  <c r="AP218" i="13" s="1"/>
  <c r="AP219" i="13" s="1"/>
  <c r="AP220" i="13" s="1"/>
  <c r="AP221" i="13" s="1"/>
  <c r="AP222" i="13" s="1"/>
  <c r="AP223" i="13" s="1"/>
  <c r="AP224" i="13" s="1"/>
  <c r="AP225" i="13" s="1"/>
  <c r="AP226" i="13" s="1"/>
  <c r="AP227" i="13" s="1"/>
  <c r="AP228" i="13" s="1"/>
  <c r="AP229" i="13" s="1"/>
  <c r="AP230" i="13" s="1"/>
  <c r="AP231" i="13" s="1"/>
  <c r="AP232" i="13" s="1"/>
  <c r="AP233" i="13" s="1"/>
  <c r="AP234" i="13" s="1"/>
  <c r="AP235" i="13" s="1"/>
  <c r="AP236" i="13" s="1"/>
  <c r="AP237" i="13" s="1"/>
  <c r="AP238" i="13" s="1"/>
  <c r="AP239" i="13" s="1"/>
  <c r="AP240" i="13" s="1"/>
  <c r="AP241" i="13" s="1"/>
  <c r="AP242" i="13" s="1"/>
  <c r="AP243" i="13" s="1"/>
  <c r="AP244" i="13" s="1"/>
  <c r="AP245" i="13" s="1"/>
  <c r="AP246" i="13" s="1"/>
  <c r="AP247" i="13" s="1"/>
  <c r="AP248" i="13" s="1"/>
  <c r="AP249" i="13" s="1"/>
  <c r="AP250" i="13" s="1"/>
  <c r="AP251" i="13" s="1"/>
  <c r="AP252" i="13" s="1"/>
  <c r="AP253" i="13" s="1"/>
  <c r="AP254" i="13" s="1"/>
  <c r="AP255" i="13" s="1"/>
  <c r="AP256" i="13" s="1"/>
  <c r="AP257" i="13" s="1"/>
  <c r="AP258" i="13" s="1"/>
  <c r="AP259" i="13" s="1"/>
  <c r="AP260" i="13" s="1"/>
  <c r="AP261" i="13" s="1"/>
  <c r="AP262" i="13" s="1"/>
  <c r="AP263" i="13" s="1"/>
  <c r="AP264" i="13" s="1"/>
  <c r="AP265" i="13" s="1"/>
  <c r="AP266" i="13" s="1"/>
  <c r="AP267" i="13" s="1"/>
  <c r="AP268" i="13" s="1"/>
  <c r="AP269" i="13" s="1"/>
  <c r="AP270" i="13" s="1"/>
  <c r="AP271" i="13" s="1"/>
  <c r="AP272" i="13" s="1"/>
  <c r="AP273" i="13" s="1"/>
  <c r="AP274" i="13" s="1"/>
  <c r="AP275" i="13" s="1"/>
  <c r="AP276" i="13" s="1"/>
  <c r="AP277" i="13" s="1"/>
  <c r="AP278" i="13" s="1"/>
  <c r="AP279" i="13" s="1"/>
  <c r="AP280" i="13" s="1"/>
  <c r="AP281" i="13" s="1"/>
  <c r="AP282" i="13" s="1"/>
  <c r="AP283" i="13" s="1"/>
  <c r="AP284" i="13" s="1"/>
  <c r="AP285" i="13" s="1"/>
  <c r="AP286" i="13" s="1"/>
  <c r="AP287" i="13" s="1"/>
  <c r="AP288" i="13" s="1"/>
  <c r="AP289" i="13" s="1"/>
  <c r="AP290" i="13" s="1"/>
  <c r="AP291" i="13" s="1"/>
  <c r="AP292" i="13" s="1"/>
  <c r="AP293" i="13" s="1"/>
  <c r="AP294" i="13" s="1"/>
  <c r="AP295" i="13" s="1"/>
  <c r="AP296" i="13" s="1"/>
  <c r="AP297" i="13" s="1"/>
  <c r="AP298" i="13" s="1"/>
  <c r="AP299" i="13" s="1"/>
  <c r="AP300" i="13" s="1"/>
  <c r="AP301" i="13" s="1"/>
  <c r="AP302" i="13" s="1"/>
  <c r="AP303" i="13" s="1"/>
  <c r="AP304" i="13" s="1"/>
  <c r="AP305" i="13" s="1"/>
  <c r="AP306" i="13" s="1"/>
  <c r="AP307" i="13" s="1"/>
  <c r="AP308" i="13" s="1"/>
  <c r="AP309" i="13" s="1"/>
  <c r="AP310" i="13" s="1"/>
  <c r="AP311" i="13" s="1"/>
  <c r="AP312" i="13" s="1"/>
  <c r="AP313" i="13" s="1"/>
  <c r="AP314" i="13" s="1"/>
  <c r="AP315" i="13" s="1"/>
  <c r="AP316" i="13" s="1"/>
  <c r="AP317" i="13" s="1"/>
  <c r="AP318" i="13" s="1"/>
  <c r="AP319" i="13" s="1"/>
  <c r="AP320" i="13" s="1"/>
  <c r="AP321" i="13" s="1"/>
  <c r="AP322" i="13" s="1"/>
  <c r="AP323" i="13" s="1"/>
  <c r="AP324" i="13" s="1"/>
  <c r="AP325" i="13" s="1"/>
  <c r="AP326" i="13" s="1"/>
  <c r="AP327" i="13" s="1"/>
  <c r="AP328" i="13" s="1"/>
  <c r="AP329" i="13" s="1"/>
  <c r="AP330" i="13" s="1"/>
  <c r="AP331" i="13" s="1"/>
  <c r="AP332" i="13" s="1"/>
  <c r="AP333" i="13" s="1"/>
  <c r="AP334" i="13" s="1"/>
  <c r="AP335" i="13" s="1"/>
  <c r="AP336" i="13" s="1"/>
  <c r="AP337" i="13" s="1"/>
  <c r="AP338" i="13" s="1"/>
  <c r="AP339" i="13" s="1"/>
  <c r="AP340" i="13" s="1"/>
  <c r="AP341" i="13" s="1"/>
  <c r="AP342" i="13" s="1"/>
  <c r="AP343" i="13" s="1"/>
  <c r="AP344" i="13" s="1"/>
  <c r="AP345" i="13" s="1"/>
  <c r="AP346" i="13" s="1"/>
  <c r="AP347" i="13" s="1"/>
  <c r="AP348" i="13" s="1"/>
  <c r="AP349" i="13" s="1"/>
  <c r="AP350" i="13" s="1"/>
  <c r="AP351" i="13" s="1"/>
  <c r="AP352" i="13" s="1"/>
  <c r="AP353" i="13" s="1"/>
  <c r="AP354" i="13" s="1"/>
  <c r="AP355" i="13" s="1"/>
  <c r="AP356" i="13" s="1"/>
  <c r="AP357" i="13" s="1"/>
  <c r="AP358" i="13" s="1"/>
  <c r="AP359" i="13" s="1"/>
  <c r="AP360" i="13" s="1"/>
  <c r="AP361" i="13" s="1"/>
  <c r="AP362" i="13" s="1"/>
  <c r="AP363" i="13" s="1"/>
  <c r="AP364" i="13" s="1"/>
  <c r="AP365" i="13" s="1"/>
  <c r="AP366" i="13" s="1"/>
  <c r="AP367" i="13" s="1"/>
  <c r="AP368" i="13" s="1"/>
  <c r="AP369" i="13" s="1"/>
  <c r="AP370" i="13" s="1"/>
  <c r="AP371" i="13" s="1"/>
  <c r="AP372" i="13" s="1"/>
  <c r="AP373" i="13" s="1"/>
  <c r="AP374" i="13" s="1"/>
  <c r="AP375" i="13" s="1"/>
  <c r="AP376" i="13" s="1"/>
  <c r="AP377" i="13" s="1"/>
  <c r="AP378" i="13" s="1"/>
  <c r="AP379" i="13" s="1"/>
  <c r="AP380" i="13" s="1"/>
  <c r="AP381" i="13" s="1"/>
  <c r="AP382" i="13" s="1"/>
  <c r="AP383" i="13" s="1"/>
  <c r="AP384" i="13" s="1"/>
  <c r="AP385" i="13" s="1"/>
  <c r="AP386" i="13" s="1"/>
  <c r="AP387" i="13" s="1"/>
  <c r="AP388" i="13" s="1"/>
  <c r="AP389" i="13" s="1"/>
  <c r="AP390" i="13" s="1"/>
  <c r="AP391" i="13" s="1"/>
  <c r="AP392" i="13" s="1"/>
  <c r="AP393" i="13" s="1"/>
  <c r="AP394" i="13" s="1"/>
  <c r="AP395" i="13" s="1"/>
  <c r="AP396" i="13" s="1"/>
  <c r="AP397" i="13" s="1"/>
  <c r="AP398" i="13" s="1"/>
  <c r="AP399" i="13" s="1"/>
  <c r="AP400" i="13" s="1"/>
  <c r="AP401" i="13" s="1"/>
  <c r="AP402" i="13" s="1"/>
  <c r="AP403" i="13" s="1"/>
  <c r="AP404" i="13" s="1"/>
  <c r="AP405" i="13" s="1"/>
  <c r="AP406" i="13" s="1"/>
  <c r="AP407" i="13" s="1"/>
  <c r="AP408" i="13" s="1"/>
  <c r="AP409" i="13" s="1"/>
  <c r="AP410" i="13" s="1"/>
  <c r="AP411" i="13" s="1"/>
  <c r="AP412" i="13" s="1"/>
  <c r="AP413" i="13" s="1"/>
  <c r="AP414" i="13" s="1"/>
  <c r="AP415" i="13" s="1"/>
  <c r="AP416" i="13" s="1"/>
  <c r="AP417" i="13" s="1"/>
  <c r="AP418" i="13" s="1"/>
  <c r="AP419" i="13" s="1"/>
  <c r="AP420" i="13" s="1"/>
  <c r="AP421" i="13" s="1"/>
  <c r="AP422" i="13" s="1"/>
  <c r="AP423" i="13" s="1"/>
  <c r="AP424" i="13" s="1"/>
  <c r="AP425" i="13" s="1"/>
  <c r="AP426" i="13" s="1"/>
  <c r="AP427" i="13" s="1"/>
  <c r="AP428" i="13" s="1"/>
  <c r="AP429" i="13" s="1"/>
  <c r="AP430" i="13" s="1"/>
  <c r="AP431" i="13" s="1"/>
  <c r="AP432" i="13" s="1"/>
  <c r="AP433" i="13" s="1"/>
  <c r="AP434" i="13" s="1"/>
  <c r="AP435" i="13" s="1"/>
  <c r="AP436" i="13" s="1"/>
  <c r="AP437" i="13" s="1"/>
  <c r="AP438" i="13" s="1"/>
  <c r="AP439" i="13" s="1"/>
  <c r="AP440" i="13" s="1"/>
  <c r="AP441" i="13" s="1"/>
  <c r="AP442" i="13" s="1"/>
  <c r="AP443" i="13" s="1"/>
  <c r="AP444" i="13" s="1"/>
  <c r="AP445" i="13" s="1"/>
  <c r="AP446" i="13" s="1"/>
  <c r="AP447" i="13" s="1"/>
  <c r="AP448" i="13" s="1"/>
  <c r="AP449" i="13" s="1"/>
  <c r="AP450" i="13" s="1"/>
  <c r="AP451" i="13" s="1"/>
  <c r="AP452" i="13" s="1"/>
  <c r="AP453" i="13" s="1"/>
  <c r="AP454" i="13" s="1"/>
  <c r="AP455" i="13" s="1"/>
  <c r="AP456" i="13" s="1"/>
  <c r="AP457" i="13" s="1"/>
  <c r="AP458" i="13" s="1"/>
  <c r="AP459" i="13" s="1"/>
  <c r="AP460" i="13" s="1"/>
  <c r="AP461" i="13" s="1"/>
  <c r="AP462" i="13" s="1"/>
  <c r="AP463" i="13" s="1"/>
  <c r="AP464" i="13" s="1"/>
  <c r="AP465" i="13" s="1"/>
  <c r="AP466" i="13" s="1"/>
  <c r="AP467" i="13" s="1"/>
  <c r="AP468" i="13" s="1"/>
  <c r="AP469" i="13" s="1"/>
  <c r="AP470" i="13" s="1"/>
  <c r="AP471" i="13" s="1"/>
  <c r="AP472" i="13" s="1"/>
  <c r="AP473" i="13" s="1"/>
  <c r="AP474" i="13" s="1"/>
  <c r="AP475" i="13" s="1"/>
  <c r="AP476" i="13" s="1"/>
  <c r="AP477" i="13" s="1"/>
  <c r="AP478" i="13" s="1"/>
  <c r="AP479" i="13" s="1"/>
  <c r="AP480" i="13" s="1"/>
  <c r="AP481" i="13" s="1"/>
  <c r="AP482" i="13" s="1"/>
  <c r="AP483" i="13" s="1"/>
  <c r="AP484" i="13" s="1"/>
  <c r="AP485" i="13" s="1"/>
  <c r="AP486" i="13" s="1"/>
  <c r="AP487" i="13" s="1"/>
  <c r="AP488" i="13" s="1"/>
  <c r="AP489" i="13" s="1"/>
  <c r="AP490" i="13" s="1"/>
  <c r="AP491" i="13" s="1"/>
  <c r="AP492" i="13" s="1"/>
  <c r="AP493" i="13" s="1"/>
  <c r="AP494" i="13" s="1"/>
  <c r="AP495" i="13" s="1"/>
  <c r="AP496" i="13" s="1"/>
  <c r="AP497" i="13" s="1"/>
  <c r="AP498" i="13" s="1"/>
  <c r="AP499" i="13" s="1"/>
  <c r="AP500" i="13" s="1"/>
  <c r="AP501" i="13" s="1"/>
  <c r="AP502" i="13" s="1"/>
  <c r="AP503" i="13" s="1"/>
  <c r="AP504" i="13" s="1"/>
  <c r="AP505" i="13" s="1"/>
  <c r="AP506" i="13" s="1"/>
  <c r="AP507" i="13" s="1"/>
  <c r="AP508" i="13" s="1"/>
  <c r="AP509" i="13" s="1"/>
  <c r="AP510" i="13" s="1"/>
  <c r="AP511" i="13" s="1"/>
  <c r="AP512" i="13" s="1"/>
  <c r="AP513" i="13" s="1"/>
  <c r="AP514" i="13" s="1"/>
  <c r="AP515" i="13" s="1"/>
  <c r="AP516" i="13" s="1"/>
  <c r="AP517" i="13" s="1"/>
  <c r="AP518" i="13" s="1"/>
  <c r="AP519" i="13" s="1"/>
  <c r="AP520" i="13" s="1"/>
  <c r="AP521" i="13" s="1"/>
  <c r="AP522" i="13" s="1"/>
  <c r="AP523" i="13" s="1"/>
  <c r="AP524" i="13" s="1"/>
  <c r="AP525" i="13" s="1"/>
  <c r="AP526" i="13" s="1"/>
  <c r="AP527" i="13" s="1"/>
  <c r="AP528" i="13" s="1"/>
  <c r="AP529" i="13" s="1"/>
  <c r="AP530" i="13" s="1"/>
  <c r="AP531" i="13" s="1"/>
  <c r="AP532" i="13" s="1"/>
  <c r="AP533" i="13" s="1"/>
  <c r="AP534" i="13" s="1"/>
  <c r="AP535" i="13" s="1"/>
  <c r="AP536" i="13" s="1"/>
  <c r="AP537" i="13" s="1"/>
  <c r="AP538" i="13" s="1"/>
  <c r="AP539" i="13" s="1"/>
  <c r="AP540" i="13" s="1"/>
  <c r="AP541" i="13" s="1"/>
  <c r="AP542" i="13" s="1"/>
  <c r="AP543" i="13" s="1"/>
  <c r="AP544" i="13" s="1"/>
  <c r="AP545" i="13" s="1"/>
  <c r="AP546" i="13" s="1"/>
  <c r="AP547" i="13" s="1"/>
  <c r="AP548" i="13" s="1"/>
  <c r="AP549" i="13" s="1"/>
  <c r="AP550" i="13" s="1"/>
  <c r="AP551" i="13" s="1"/>
  <c r="AP552" i="13" s="1"/>
  <c r="AP553" i="13" s="1"/>
  <c r="AP554" i="13" s="1"/>
  <c r="AP555" i="13" s="1"/>
  <c r="AP556" i="13" s="1"/>
  <c r="AP557" i="13" s="1"/>
  <c r="AP558" i="13" s="1"/>
  <c r="AP559" i="13" s="1"/>
  <c r="AP560" i="13" s="1"/>
  <c r="AP561" i="13" s="1"/>
  <c r="AP562" i="13" s="1"/>
  <c r="AP563" i="13" s="1"/>
  <c r="AP564" i="13" s="1"/>
  <c r="AP565" i="13" s="1"/>
  <c r="AP566" i="13" s="1"/>
  <c r="AP567" i="13" s="1"/>
  <c r="AP568" i="13" s="1"/>
  <c r="AP569" i="13" s="1"/>
  <c r="AP570" i="13" s="1"/>
  <c r="AP571" i="13" s="1"/>
  <c r="AP572" i="13" s="1"/>
  <c r="AP573" i="13" s="1"/>
  <c r="AP574" i="13" s="1"/>
  <c r="AP575" i="13" s="1"/>
  <c r="AP576" i="13" s="1"/>
  <c r="AP577" i="13" s="1"/>
  <c r="AP578" i="13" s="1"/>
  <c r="AP579" i="13" s="1"/>
  <c r="AP580" i="13" s="1"/>
  <c r="AP581" i="13" s="1"/>
  <c r="AP582" i="13" s="1"/>
  <c r="AP583" i="13" s="1"/>
  <c r="AP584" i="13" s="1"/>
  <c r="AP585" i="13" s="1"/>
  <c r="AP586" i="13" s="1"/>
  <c r="AP587" i="13" s="1"/>
  <c r="AP588" i="13" s="1"/>
  <c r="AP589" i="13" s="1"/>
  <c r="AP590" i="13" s="1"/>
  <c r="AP591" i="13" s="1"/>
  <c r="AP592" i="13" s="1"/>
  <c r="AP593" i="13" s="1"/>
  <c r="AP594" i="13" s="1"/>
  <c r="AP595" i="13" s="1"/>
  <c r="AP596" i="13" s="1"/>
  <c r="AP597" i="13" s="1"/>
  <c r="AP598" i="13" s="1"/>
  <c r="AP599" i="13" s="1"/>
  <c r="AP600" i="13" s="1"/>
  <c r="AP601" i="13" s="1"/>
  <c r="AP602" i="13" s="1"/>
  <c r="AP603" i="13" s="1"/>
  <c r="AP604" i="13" s="1"/>
  <c r="AP605" i="13" s="1"/>
  <c r="AP606" i="13" s="1"/>
  <c r="AP607" i="13" s="1"/>
  <c r="AP608" i="13" s="1"/>
  <c r="AP609" i="13" s="1"/>
  <c r="AP610" i="13" s="1"/>
  <c r="AP611" i="13" s="1"/>
  <c r="AP612" i="13" s="1"/>
  <c r="AP613" i="13" s="1"/>
  <c r="AP614" i="13" s="1"/>
  <c r="AP615" i="13" s="1"/>
  <c r="AP616" i="13" s="1"/>
  <c r="AP617" i="13" s="1"/>
  <c r="AP618" i="13" s="1"/>
  <c r="AP619" i="13" s="1"/>
  <c r="AP620" i="13" s="1"/>
  <c r="AP621" i="13" s="1"/>
  <c r="AP622" i="13" s="1"/>
  <c r="AP623" i="13" s="1"/>
  <c r="AP624" i="13" s="1"/>
  <c r="AP625" i="13" s="1"/>
  <c r="AP626" i="13" s="1"/>
  <c r="AP627" i="13" s="1"/>
  <c r="AP628" i="13" s="1"/>
  <c r="AP629" i="13" s="1"/>
  <c r="AP630" i="13" s="1"/>
  <c r="AP631" i="13" s="1"/>
  <c r="AP632" i="13" s="1"/>
  <c r="AP633" i="13" s="1"/>
  <c r="AP634" i="13" s="1"/>
  <c r="AP635" i="13" s="1"/>
  <c r="AP636" i="13" s="1"/>
  <c r="AP637" i="13" s="1"/>
  <c r="AP638" i="13" s="1"/>
  <c r="AP639" i="13" s="1"/>
  <c r="AP640" i="13" s="1"/>
  <c r="AP641" i="13" s="1"/>
  <c r="AP642" i="13" s="1"/>
  <c r="AP643" i="13" s="1"/>
  <c r="AP644" i="13" s="1"/>
  <c r="AP645" i="13" s="1"/>
  <c r="AP646" i="13" s="1"/>
  <c r="AP647" i="13" s="1"/>
  <c r="AP648" i="13" s="1"/>
  <c r="AP649" i="13" s="1"/>
  <c r="AP650" i="13" s="1"/>
  <c r="AP651" i="13" s="1"/>
  <c r="AP652" i="13" s="1"/>
  <c r="AP653" i="13" s="1"/>
  <c r="AP654" i="13" s="1"/>
  <c r="AP655" i="13" s="1"/>
  <c r="AP656" i="13" s="1"/>
  <c r="AP657" i="13" s="1"/>
  <c r="AP658" i="13" s="1"/>
  <c r="AP659" i="13" s="1"/>
  <c r="AP660" i="13" s="1"/>
  <c r="AP661" i="13" s="1"/>
  <c r="AP662" i="13" s="1"/>
  <c r="AP663" i="13" s="1"/>
  <c r="AP664" i="13" s="1"/>
  <c r="AP665" i="13" s="1"/>
  <c r="AP666" i="13" s="1"/>
  <c r="AP667" i="13" s="1"/>
  <c r="AP668" i="13" s="1"/>
  <c r="AP669" i="13" s="1"/>
  <c r="AP670" i="13" s="1"/>
  <c r="AP671" i="13" s="1"/>
  <c r="AP672" i="13" s="1"/>
  <c r="AP673" i="13" s="1"/>
  <c r="AP674" i="13" s="1"/>
  <c r="AP675" i="13" s="1"/>
  <c r="AP676" i="13" s="1"/>
  <c r="AP677" i="13" s="1"/>
  <c r="AP678" i="13" s="1"/>
  <c r="AP679" i="13" s="1"/>
  <c r="AP680" i="13" s="1"/>
  <c r="AP681" i="13" s="1"/>
  <c r="AP682" i="13" s="1"/>
  <c r="AP683" i="13" s="1"/>
  <c r="AP684" i="13" s="1"/>
  <c r="AP685" i="13" s="1"/>
  <c r="AP686" i="13" s="1"/>
  <c r="AP687" i="13" s="1"/>
  <c r="AP688" i="13" s="1"/>
  <c r="AP689" i="13" s="1"/>
  <c r="AP690" i="13" s="1"/>
  <c r="AP691" i="13" s="1"/>
  <c r="AP692" i="13" s="1"/>
  <c r="AP693" i="13" s="1"/>
  <c r="AP694" i="13" s="1"/>
  <c r="AP695" i="13" s="1"/>
  <c r="AP696" i="13" s="1"/>
  <c r="AP697" i="13" s="1"/>
  <c r="AP698" i="13" s="1"/>
  <c r="AP699" i="13" s="1"/>
  <c r="AP700" i="13" s="1"/>
  <c r="AP701" i="13" s="1"/>
  <c r="AP702" i="13" s="1"/>
  <c r="AP703" i="13" s="1"/>
  <c r="AP704" i="13" s="1"/>
  <c r="AP705" i="13" s="1"/>
  <c r="AP706" i="13" s="1"/>
  <c r="AP707" i="13" s="1"/>
  <c r="AP708" i="13" s="1"/>
  <c r="AP709" i="13" s="1"/>
  <c r="AP710" i="13" s="1"/>
  <c r="AP711" i="13" s="1"/>
  <c r="AP712" i="13" s="1"/>
  <c r="AP713" i="13" s="1"/>
  <c r="AP714" i="13" s="1"/>
  <c r="AP715" i="13" s="1"/>
  <c r="AP716" i="13" s="1"/>
  <c r="AP717" i="13" s="1"/>
  <c r="AP718" i="13" s="1"/>
  <c r="AP719" i="13" s="1"/>
  <c r="AP720" i="13" s="1"/>
  <c r="AP721" i="13" s="1"/>
  <c r="AP722" i="13" s="1"/>
  <c r="AP723" i="13" s="1"/>
  <c r="AP724" i="13" s="1"/>
  <c r="AP725" i="13" s="1"/>
  <c r="AP726" i="13" s="1"/>
  <c r="AP727" i="13" s="1"/>
  <c r="AP728" i="13" s="1"/>
  <c r="AP729" i="13" s="1"/>
  <c r="AP730" i="13" s="1"/>
  <c r="AP731" i="13" s="1"/>
  <c r="AP732" i="13" s="1"/>
  <c r="AP733" i="13" s="1"/>
  <c r="AP734" i="13" s="1"/>
  <c r="AP735" i="13" s="1"/>
  <c r="AP736" i="13" s="1"/>
  <c r="AP737" i="13" s="1"/>
  <c r="AP738" i="13" s="1"/>
  <c r="AP739" i="13" s="1"/>
  <c r="AP740" i="13" s="1"/>
  <c r="AP741" i="13" s="1"/>
  <c r="AP742" i="13" s="1"/>
  <c r="AP743" i="13" s="1"/>
  <c r="AP744" i="13" s="1"/>
  <c r="AP745" i="13" s="1"/>
  <c r="AP746" i="13" s="1"/>
  <c r="AP747" i="13" s="1"/>
  <c r="AP748" i="13" s="1"/>
  <c r="AP749" i="13" s="1"/>
  <c r="AP750" i="13" s="1"/>
  <c r="AP751" i="13" s="1"/>
  <c r="AP752" i="13" s="1"/>
  <c r="AP753" i="13" s="1"/>
  <c r="AP754" i="13" s="1"/>
  <c r="AP755" i="13" s="1"/>
  <c r="AP756" i="13" s="1"/>
  <c r="AP757" i="13" s="1"/>
  <c r="AP758" i="13" s="1"/>
  <c r="AP759" i="13" s="1"/>
  <c r="AP760" i="13" s="1"/>
  <c r="AP761" i="13" s="1"/>
  <c r="AP762" i="13" s="1"/>
  <c r="AP763" i="13" s="1"/>
  <c r="AP764" i="13" s="1"/>
  <c r="AP765" i="13" s="1"/>
  <c r="AP766" i="13" s="1"/>
  <c r="AP767" i="13" s="1"/>
  <c r="AP768" i="13" s="1"/>
  <c r="AP769" i="13" s="1"/>
  <c r="AP770" i="13" s="1"/>
  <c r="AP771" i="13" s="1"/>
  <c r="AP772" i="13" s="1"/>
  <c r="AP773" i="13" s="1"/>
  <c r="AP774" i="13" s="1"/>
  <c r="AP775" i="13" s="1"/>
  <c r="AP776" i="13" s="1"/>
  <c r="AP777" i="13" s="1"/>
  <c r="AP778" i="13" s="1"/>
  <c r="AP779" i="13" s="1"/>
  <c r="AP780" i="13" s="1"/>
  <c r="AP781" i="13" s="1"/>
  <c r="AP782" i="13" s="1"/>
  <c r="AP783" i="13" s="1"/>
  <c r="AP784" i="13" s="1"/>
  <c r="AP785" i="13" s="1"/>
  <c r="AP786" i="13" s="1"/>
  <c r="AP787" i="13" s="1"/>
  <c r="AP788" i="13" s="1"/>
  <c r="AP789" i="13" s="1"/>
  <c r="AP790" i="13" s="1"/>
  <c r="AP791" i="13" s="1"/>
  <c r="AP792" i="13" s="1"/>
  <c r="AP793" i="13" s="1"/>
  <c r="AP794" i="13" s="1"/>
  <c r="AP795" i="13" s="1"/>
  <c r="AP796" i="13" s="1"/>
  <c r="AP797" i="13" s="1"/>
  <c r="AP798" i="13" s="1"/>
  <c r="AP799" i="13" s="1"/>
  <c r="AP800" i="13" s="1"/>
  <c r="AP801" i="13" s="1"/>
  <c r="AP802" i="13" s="1"/>
  <c r="AP803" i="13" s="1"/>
  <c r="AP804" i="13" s="1"/>
  <c r="AP805" i="13" s="1"/>
  <c r="AP806" i="13" s="1"/>
  <c r="AP807" i="13" s="1"/>
  <c r="AP808" i="13" s="1"/>
  <c r="AP809" i="13" s="1"/>
  <c r="AP810" i="13" s="1"/>
  <c r="AP811" i="13" s="1"/>
  <c r="AP812" i="13" s="1"/>
  <c r="AP813" i="13" s="1"/>
  <c r="AP814" i="13" s="1"/>
  <c r="AP815" i="13" s="1"/>
  <c r="AP816" i="13" s="1"/>
  <c r="AP817" i="13" s="1"/>
  <c r="AP818" i="13" s="1"/>
  <c r="AP819" i="13" s="1"/>
  <c r="AP820" i="13" s="1"/>
  <c r="AP821" i="13" s="1"/>
  <c r="AP822" i="13" s="1"/>
  <c r="AP823" i="13" s="1"/>
  <c r="AP824" i="13" s="1"/>
  <c r="AP825" i="13" s="1"/>
  <c r="AP826" i="13" s="1"/>
  <c r="AP827" i="13" s="1"/>
  <c r="AP828" i="13" s="1"/>
  <c r="AP829" i="13" s="1"/>
  <c r="AP830" i="13" s="1"/>
  <c r="AP831" i="13" s="1"/>
  <c r="AP832" i="13" s="1"/>
  <c r="AP833" i="13" s="1"/>
  <c r="AP834" i="13" s="1"/>
  <c r="AP835" i="13" s="1"/>
  <c r="AP836" i="13" s="1"/>
  <c r="AP837" i="13" s="1"/>
  <c r="AP838" i="13" s="1"/>
  <c r="AP839" i="13" s="1"/>
  <c r="AP840" i="13" s="1"/>
  <c r="AP841" i="13" s="1"/>
  <c r="AP842" i="13" s="1"/>
  <c r="AP843" i="13" s="1"/>
  <c r="AP844" i="13" s="1"/>
  <c r="AP845" i="13" s="1"/>
  <c r="AP846" i="13" s="1"/>
  <c r="AP847" i="13" s="1"/>
  <c r="AP848" i="13" s="1"/>
  <c r="AP849" i="13" s="1"/>
  <c r="AP850" i="13" s="1"/>
  <c r="AP851" i="13" s="1"/>
  <c r="AP852" i="13" s="1"/>
  <c r="AP853" i="13" s="1"/>
  <c r="AP854" i="13" s="1"/>
  <c r="AP855" i="13" s="1"/>
  <c r="AP856" i="13" s="1"/>
  <c r="AP857" i="13" s="1"/>
  <c r="AP858" i="13" s="1"/>
  <c r="AP859" i="13" s="1"/>
  <c r="AP860" i="13" s="1"/>
  <c r="AP861" i="13" s="1"/>
  <c r="AP862" i="13" s="1"/>
  <c r="AP863" i="13" s="1"/>
  <c r="AP864" i="13" s="1"/>
  <c r="AP865" i="13" s="1"/>
  <c r="AP866" i="13" s="1"/>
  <c r="AP867" i="13" s="1"/>
  <c r="AP868" i="13" s="1"/>
  <c r="AP869" i="13" s="1"/>
  <c r="AP870" i="13" s="1"/>
  <c r="AP871" i="13" s="1"/>
  <c r="AP872" i="13" s="1"/>
  <c r="AP873" i="13" s="1"/>
  <c r="AP874" i="13" s="1"/>
  <c r="AP875" i="13" s="1"/>
  <c r="AP876" i="13" s="1"/>
  <c r="AP877" i="13" s="1"/>
  <c r="AP878" i="13" s="1"/>
  <c r="AP879" i="13" s="1"/>
  <c r="AP880" i="13" s="1"/>
  <c r="AP881" i="13" s="1"/>
  <c r="AP882" i="13" s="1"/>
  <c r="AP883" i="13" s="1"/>
  <c r="AP884" i="13" s="1"/>
  <c r="AP885" i="13" s="1"/>
  <c r="AP886" i="13" s="1"/>
  <c r="AP887" i="13" s="1"/>
  <c r="AP888" i="13" s="1"/>
  <c r="AP889" i="13" s="1"/>
  <c r="AP890" i="13" s="1"/>
  <c r="AP891" i="13" s="1"/>
  <c r="AP892" i="13" s="1"/>
  <c r="AP893" i="13" s="1"/>
  <c r="AP894" i="13" s="1"/>
  <c r="AP895" i="13" s="1"/>
  <c r="AP896" i="13" s="1"/>
  <c r="AP897" i="13" s="1"/>
  <c r="AP898" i="13" s="1"/>
  <c r="AP899" i="13" s="1"/>
  <c r="AP900" i="13" s="1"/>
  <c r="AP901" i="13" s="1"/>
  <c r="AP902" i="13" s="1"/>
  <c r="AP903" i="13" s="1"/>
  <c r="AP904" i="13" s="1"/>
  <c r="AP905" i="13" s="1"/>
  <c r="AP906" i="13" s="1"/>
  <c r="AP907" i="13" s="1"/>
  <c r="AP908" i="13" s="1"/>
  <c r="AP909" i="13" s="1"/>
  <c r="AP910" i="13" s="1"/>
  <c r="AP911" i="13" s="1"/>
  <c r="AP912" i="13" s="1"/>
  <c r="AP913" i="13" s="1"/>
  <c r="AP914" i="13" s="1"/>
  <c r="AP915" i="13" s="1"/>
  <c r="AP916" i="13" s="1"/>
  <c r="AP917" i="13" s="1"/>
  <c r="AP918" i="13" s="1"/>
  <c r="AP919" i="13" s="1"/>
  <c r="AP920" i="13" s="1"/>
  <c r="AP921" i="13" s="1"/>
  <c r="AP922" i="13" s="1"/>
  <c r="AP923" i="13" s="1"/>
  <c r="AP924" i="13" s="1"/>
  <c r="AP925" i="13" s="1"/>
  <c r="AP926" i="13" s="1"/>
  <c r="AP927" i="13" s="1"/>
  <c r="AP928" i="13" s="1"/>
  <c r="AP929" i="13" s="1"/>
  <c r="AP930" i="13" s="1"/>
  <c r="AP931" i="13" s="1"/>
  <c r="AP932" i="13" s="1"/>
  <c r="AP933" i="13" s="1"/>
  <c r="AP934" i="13" s="1"/>
  <c r="AP935" i="13" s="1"/>
  <c r="AP936" i="13" s="1"/>
  <c r="AP937" i="13" s="1"/>
  <c r="AP938" i="13" s="1"/>
  <c r="AP939" i="13" s="1"/>
  <c r="AP940" i="13" s="1"/>
  <c r="AP941" i="13" s="1"/>
  <c r="AP942" i="13" s="1"/>
  <c r="AP943" i="13" s="1"/>
  <c r="AP944" i="13" s="1"/>
  <c r="AP945" i="13" s="1"/>
  <c r="AP946" i="13" s="1"/>
  <c r="AP947" i="13" s="1"/>
  <c r="AP948" i="13" s="1"/>
  <c r="AP949" i="13" s="1"/>
  <c r="AP950" i="13" s="1"/>
  <c r="AP951" i="13" s="1"/>
  <c r="AP952" i="13" s="1"/>
  <c r="AP953" i="13" s="1"/>
  <c r="AP954" i="13" s="1"/>
  <c r="AP955" i="13" s="1"/>
  <c r="AP956" i="13" s="1"/>
  <c r="AP957" i="13" s="1"/>
  <c r="AP958" i="13" s="1"/>
  <c r="AP959" i="13" s="1"/>
  <c r="AP960" i="13" s="1"/>
  <c r="AP961" i="13" s="1"/>
  <c r="AP962" i="13" s="1"/>
  <c r="AP963" i="13" s="1"/>
  <c r="AP964" i="13" s="1"/>
  <c r="AP965" i="13" s="1"/>
  <c r="AP966" i="13" s="1"/>
  <c r="AP967" i="13" s="1"/>
  <c r="AP968" i="13" s="1"/>
  <c r="AP969" i="13" s="1"/>
  <c r="AP970" i="13" s="1"/>
  <c r="AP971" i="13" s="1"/>
  <c r="AP972" i="13" s="1"/>
  <c r="AP973" i="13" s="1"/>
  <c r="AP974" i="13" s="1"/>
  <c r="AP975" i="13" s="1"/>
  <c r="AP976" i="13" s="1"/>
  <c r="AP977" i="13" s="1"/>
  <c r="AP978" i="13" s="1"/>
  <c r="AP979" i="13" s="1"/>
  <c r="AP980" i="13" s="1"/>
  <c r="AP981" i="13" s="1"/>
  <c r="AP982" i="13" s="1"/>
  <c r="AP983" i="13" s="1"/>
  <c r="AP984" i="13" s="1"/>
  <c r="AP985" i="13" s="1"/>
  <c r="AP986" i="13" s="1"/>
  <c r="AP987" i="13" s="1"/>
  <c r="AP988" i="13" s="1"/>
  <c r="AP989" i="13" s="1"/>
  <c r="AP990" i="13" s="1"/>
  <c r="AP991" i="13" s="1"/>
  <c r="AP992" i="13" s="1"/>
  <c r="AP993" i="13" s="1"/>
  <c r="AP994" i="13" s="1"/>
  <c r="AP995" i="13" s="1"/>
  <c r="AP996" i="13" s="1"/>
  <c r="AP997" i="13" s="1"/>
  <c r="AP998" i="13" s="1"/>
  <c r="AP999" i="13" s="1"/>
  <c r="AP1000" i="13" s="1"/>
  <c r="AP1001" i="13" s="1"/>
  <c r="AP1002" i="13" s="1"/>
  <c r="AP1003" i="13" s="1"/>
  <c r="AP1004" i="13" s="1"/>
  <c r="AP1005" i="13" s="1"/>
  <c r="AP1006" i="13" s="1"/>
  <c r="AP1007" i="13" s="1"/>
  <c r="AP1008" i="13" s="1"/>
  <c r="AP1009" i="13" s="1"/>
  <c r="AP1010" i="13" s="1"/>
  <c r="AP1011" i="13" s="1"/>
  <c r="AP1012" i="13" s="1"/>
  <c r="AP1013" i="13" s="1"/>
  <c r="AP1014" i="13" s="1"/>
  <c r="AP1015" i="13" s="1"/>
  <c r="AP1016" i="13" s="1"/>
  <c r="AP1017" i="13" s="1"/>
  <c r="AP1018" i="13" s="1"/>
  <c r="AP1019" i="13" s="1"/>
  <c r="AP1020" i="13" s="1"/>
  <c r="AP1021" i="13" s="1"/>
  <c r="AP1022" i="13" s="1"/>
  <c r="AP1023" i="13" s="1"/>
  <c r="AP1024" i="13" s="1"/>
  <c r="AP1025" i="13" s="1"/>
  <c r="AP1026" i="13" s="1"/>
  <c r="AP1027" i="13" s="1"/>
  <c r="AP1028" i="13" s="1"/>
  <c r="AP1029" i="13" s="1"/>
  <c r="AP1030" i="13" s="1"/>
  <c r="AP1031" i="13" s="1"/>
  <c r="AP1032" i="13" s="1"/>
  <c r="AP1033" i="13" s="1"/>
  <c r="AP1034" i="13" s="1"/>
  <c r="AP1035" i="13" s="1"/>
  <c r="AP1036" i="13" s="1"/>
  <c r="AP1037" i="13" s="1"/>
  <c r="AP1038" i="13" s="1"/>
  <c r="AP1039" i="13" s="1"/>
  <c r="AP1040" i="13" s="1"/>
  <c r="AP1041" i="13" s="1"/>
  <c r="AP1042" i="13" s="1"/>
  <c r="AP1043" i="13" s="1"/>
  <c r="AP1044" i="13" s="1"/>
  <c r="AP1045" i="13" s="1"/>
  <c r="AP1046" i="13" s="1"/>
  <c r="AP1047" i="13" s="1"/>
  <c r="AP1048" i="13" s="1"/>
  <c r="AP1049" i="13" s="1"/>
  <c r="AP1050" i="13" s="1"/>
  <c r="AP1051" i="13" s="1"/>
  <c r="AP1052" i="13" s="1"/>
  <c r="AP1053" i="13" s="1"/>
  <c r="AP1054" i="13" s="1"/>
  <c r="AP1055" i="13" s="1"/>
  <c r="AP1056" i="13" s="1"/>
  <c r="AP1057" i="13" s="1"/>
  <c r="AP1058" i="13" s="1"/>
  <c r="AP1059" i="13" s="1"/>
  <c r="AP1060" i="13" s="1"/>
  <c r="AP1061" i="13" s="1"/>
  <c r="AP1062" i="13" s="1"/>
  <c r="AP1063" i="13" s="1"/>
  <c r="AP1064" i="13" s="1"/>
  <c r="AP1065" i="13" s="1"/>
  <c r="AP1066" i="13" s="1"/>
  <c r="AP1067" i="13" s="1"/>
  <c r="AP1068" i="13" s="1"/>
  <c r="AP1069" i="13" s="1"/>
  <c r="AP1070" i="13" s="1"/>
  <c r="AP1071" i="13" s="1"/>
  <c r="AP1072" i="13" s="1"/>
  <c r="AP1073" i="13" s="1"/>
  <c r="AP1074" i="13" s="1"/>
  <c r="AP1075" i="13" s="1"/>
  <c r="AP1076" i="13" s="1"/>
  <c r="AP1077" i="13" s="1"/>
  <c r="AP1078" i="13" s="1"/>
  <c r="AP1079" i="13" s="1"/>
  <c r="AP1080" i="13" s="1"/>
  <c r="AP1081" i="13" s="1"/>
  <c r="AP1082" i="13" s="1"/>
  <c r="AP1083" i="13" s="1"/>
  <c r="AP1084" i="13" s="1"/>
  <c r="AP1085" i="13" s="1"/>
  <c r="AP1086" i="13" s="1"/>
  <c r="AP1087" i="13" s="1"/>
  <c r="AP1088" i="13" s="1"/>
  <c r="AP1089" i="13" s="1"/>
  <c r="AP1090" i="13" s="1"/>
  <c r="AP1091" i="13" s="1"/>
  <c r="AP1092" i="13" s="1"/>
  <c r="AP1093" i="13" s="1"/>
  <c r="AP1094" i="13" s="1"/>
  <c r="AP1095" i="13" s="1"/>
  <c r="AP1096" i="13" s="1"/>
  <c r="AP1097" i="13" s="1"/>
  <c r="AP1098" i="13" s="1"/>
  <c r="AP1099" i="13" s="1"/>
  <c r="AP1100" i="13" s="1"/>
  <c r="AP1101" i="13" s="1"/>
  <c r="AP1102" i="13" s="1"/>
  <c r="AP1103" i="13" s="1"/>
  <c r="AP1104" i="13" s="1"/>
  <c r="AP1105" i="13" s="1"/>
  <c r="AP1106" i="13" s="1"/>
  <c r="AP1107" i="13" s="1"/>
  <c r="AP1108" i="13" s="1"/>
  <c r="AP1109" i="13" s="1"/>
  <c r="AP1110" i="13" s="1"/>
  <c r="AP1111" i="13" s="1"/>
  <c r="AP1112" i="13" s="1"/>
  <c r="AP1113" i="13" s="1"/>
  <c r="AP1114" i="13" s="1"/>
  <c r="AP1115" i="13" s="1"/>
  <c r="AP1116" i="13" s="1"/>
  <c r="AP1117" i="13" s="1"/>
  <c r="AP1118" i="13" s="1"/>
  <c r="AP1119" i="13" s="1"/>
  <c r="AP1120" i="13" s="1"/>
  <c r="AP1121" i="13" s="1"/>
  <c r="AP1122" i="13" s="1"/>
  <c r="AP1123" i="13" s="1"/>
  <c r="AP1124" i="13" s="1"/>
  <c r="AP1125" i="13" s="1"/>
  <c r="AP1126" i="13" s="1"/>
  <c r="AP1127" i="13" s="1"/>
  <c r="AP1128" i="13" s="1"/>
  <c r="AP1129" i="13" s="1"/>
  <c r="AP1130" i="13" s="1"/>
  <c r="AP1131" i="13" s="1"/>
  <c r="AP1132" i="13" s="1"/>
  <c r="AP1133" i="13" s="1"/>
  <c r="AP1134" i="13" s="1"/>
  <c r="AP1135" i="13" s="1"/>
  <c r="AP1136" i="13" s="1"/>
  <c r="AP1137" i="13" s="1"/>
  <c r="AP1138" i="13" s="1"/>
  <c r="AP1139" i="13" s="1"/>
  <c r="AP1140" i="13" s="1"/>
  <c r="AP1141" i="13" s="1"/>
  <c r="AP1142" i="13" s="1"/>
  <c r="AP1143" i="13" s="1"/>
  <c r="AP1144" i="13" s="1"/>
  <c r="AP1145" i="13" s="1"/>
  <c r="AP1146" i="13" s="1"/>
  <c r="AP1147" i="13" s="1"/>
  <c r="AP1148" i="13" s="1"/>
  <c r="AP1149" i="13" s="1"/>
  <c r="AP1150" i="13" s="1"/>
  <c r="AP1151" i="13" s="1"/>
  <c r="AP1152" i="13" s="1"/>
  <c r="AP1153" i="13" s="1"/>
  <c r="AP1154" i="13" s="1"/>
  <c r="AP1155" i="13" s="1"/>
  <c r="AP1156" i="13" s="1"/>
  <c r="AP1157" i="13" s="1"/>
  <c r="AP1158" i="13" s="1"/>
  <c r="AP1159" i="13" s="1"/>
  <c r="AP1160" i="13" s="1"/>
  <c r="AP1161" i="13" s="1"/>
  <c r="AP1162" i="13" s="1"/>
  <c r="AP1163" i="13" s="1"/>
  <c r="AP1164" i="13" s="1"/>
  <c r="AP1165" i="13" s="1"/>
  <c r="AP1166" i="13" s="1"/>
  <c r="AP1167" i="13" s="1"/>
  <c r="AP1168" i="13" s="1"/>
  <c r="AP1169" i="13" s="1"/>
  <c r="AP1170" i="13" s="1"/>
  <c r="AP1171" i="13" s="1"/>
  <c r="AP1172" i="13" s="1"/>
  <c r="AP1173" i="13" s="1"/>
  <c r="AP1174" i="13" s="1"/>
  <c r="AP1175" i="13" s="1"/>
  <c r="AP1176" i="13" s="1"/>
  <c r="AP1177" i="13" s="1"/>
  <c r="AP1178" i="13" s="1"/>
  <c r="AP1179" i="13" s="1"/>
  <c r="AP1180" i="13" s="1"/>
  <c r="AP1181" i="13" s="1"/>
  <c r="AP1182" i="13" s="1"/>
  <c r="AP1183" i="13" s="1"/>
  <c r="AP1184" i="13" s="1"/>
  <c r="AP1185" i="13" s="1"/>
  <c r="AP1186" i="13" s="1"/>
  <c r="AP1187" i="13" s="1"/>
  <c r="AP1188" i="13" s="1"/>
  <c r="AP1189" i="13" s="1"/>
  <c r="AP1190" i="13" s="1"/>
  <c r="AP1191" i="13" s="1"/>
  <c r="AP1192" i="13" s="1"/>
  <c r="AP1193" i="13" s="1"/>
  <c r="AP1194" i="13" s="1"/>
  <c r="AP1195" i="13" s="1"/>
  <c r="AP1196" i="13" s="1"/>
  <c r="AP1197" i="13" s="1"/>
  <c r="AP1198" i="13" s="1"/>
  <c r="AP1199" i="13" s="1"/>
  <c r="AP1200" i="13" s="1"/>
  <c r="AP1201" i="13" s="1"/>
  <c r="AP1202" i="13" s="1"/>
  <c r="AP1203" i="13" s="1"/>
  <c r="AP1204" i="13" s="1"/>
  <c r="AP1205" i="13" s="1"/>
  <c r="AP1206" i="13" s="1"/>
  <c r="AP1207" i="13" s="1"/>
  <c r="AP1208" i="13" s="1"/>
  <c r="AP1209" i="13" s="1"/>
  <c r="AP1210" i="13" s="1"/>
  <c r="AP1211" i="13" s="1"/>
  <c r="AP1212" i="13" s="1"/>
  <c r="AP1213" i="13" s="1"/>
  <c r="AP1214" i="13" s="1"/>
  <c r="AP1215" i="13" s="1"/>
  <c r="AP1216" i="13" s="1"/>
  <c r="AP1217" i="13" s="1"/>
  <c r="AP1218" i="13" s="1"/>
  <c r="AP1219" i="13" s="1"/>
  <c r="AP1220" i="13" s="1"/>
  <c r="AP1221" i="13" s="1"/>
  <c r="AP1222" i="13" s="1"/>
  <c r="AP1223" i="13" s="1"/>
  <c r="AP1224" i="13" s="1"/>
  <c r="AP1225" i="13" s="1"/>
  <c r="AP1226" i="13" s="1"/>
  <c r="AP1227" i="13" s="1"/>
  <c r="AP1228" i="13" s="1"/>
  <c r="AP1229" i="13" s="1"/>
  <c r="AP1230" i="13" s="1"/>
  <c r="AP1231" i="13" s="1"/>
  <c r="AP1232" i="13" s="1"/>
  <c r="AP1233" i="13" s="1"/>
  <c r="AP1234" i="13" s="1"/>
  <c r="AP1235" i="13" s="1"/>
  <c r="AP1236" i="13" s="1"/>
  <c r="AP1237" i="13" s="1"/>
  <c r="AP1238" i="13" s="1"/>
  <c r="AP1239" i="13" s="1"/>
  <c r="AP1240" i="13" s="1"/>
  <c r="AP1241" i="13" s="1"/>
  <c r="AP1242" i="13" s="1"/>
  <c r="AP1243" i="13" s="1"/>
  <c r="AP1244" i="13" s="1"/>
  <c r="AP1245" i="13" s="1"/>
  <c r="AP1246" i="13" s="1"/>
  <c r="AP1247" i="13" s="1"/>
  <c r="AP1248" i="13" s="1"/>
  <c r="AP1249" i="13" s="1"/>
  <c r="AP1250" i="13" s="1"/>
  <c r="AP1251" i="13" s="1"/>
  <c r="AP1252" i="13" s="1"/>
  <c r="AP1253" i="13" s="1"/>
  <c r="AP1254" i="13" s="1"/>
  <c r="AP1255" i="13" s="1"/>
  <c r="AP1256" i="13" s="1"/>
  <c r="AP1257" i="13" s="1"/>
  <c r="AP1258" i="13" s="1"/>
  <c r="AP1259" i="13" s="1"/>
  <c r="AP1260" i="13" s="1"/>
  <c r="AP1261" i="13" s="1"/>
  <c r="AP1262" i="13" s="1"/>
  <c r="AP1263" i="13" s="1"/>
  <c r="AP1264" i="13" s="1"/>
  <c r="AP1265" i="13" s="1"/>
  <c r="AP1266" i="13" s="1"/>
  <c r="AP1267" i="13" s="1"/>
  <c r="AP1268" i="13" s="1"/>
  <c r="AP1269" i="13" s="1"/>
  <c r="AP1270" i="13" s="1"/>
  <c r="AP1271" i="13" s="1"/>
  <c r="AP1272" i="13" s="1"/>
  <c r="AP1273" i="13" s="1"/>
  <c r="AP1274" i="13" s="1"/>
  <c r="AP1275" i="13" s="1"/>
  <c r="AP1276" i="13" s="1"/>
  <c r="AP1277" i="13" s="1"/>
  <c r="AP1278" i="13" s="1"/>
  <c r="AP1279" i="13" s="1"/>
  <c r="AP1280" i="13" s="1"/>
  <c r="AP1281" i="13" s="1"/>
  <c r="AP1282" i="13" s="1"/>
  <c r="AP1283" i="13" s="1"/>
  <c r="AP1284" i="13" s="1"/>
  <c r="AP1285" i="13" s="1"/>
  <c r="AP1286" i="13" s="1"/>
  <c r="AP1287" i="13" s="1"/>
  <c r="AP1288" i="13" s="1"/>
  <c r="AP1289" i="13" s="1"/>
  <c r="AP1290" i="13" s="1"/>
  <c r="AP1291" i="13" s="1"/>
  <c r="AP1292" i="13" s="1"/>
  <c r="AP1293" i="13" s="1"/>
  <c r="AP1294" i="13" s="1"/>
  <c r="AP1295" i="13" s="1"/>
  <c r="AP1296" i="13" s="1"/>
  <c r="AP1297" i="13" s="1"/>
  <c r="AP1298" i="13" s="1"/>
  <c r="AP1299" i="13" s="1"/>
  <c r="AP1300" i="13" s="1"/>
  <c r="AP1301" i="13" s="1"/>
  <c r="AP1302" i="13" s="1"/>
  <c r="AP1303" i="13" s="1"/>
  <c r="AP1304" i="13" s="1"/>
  <c r="AP1305" i="13" s="1"/>
  <c r="AP1306" i="13" s="1"/>
  <c r="AP1307" i="13" s="1"/>
  <c r="AP1308" i="13" s="1"/>
  <c r="AP1309" i="13" s="1"/>
  <c r="AP1310" i="13" s="1"/>
  <c r="AP1311" i="13" s="1"/>
  <c r="AP1312" i="13" s="1"/>
  <c r="AP1313" i="13" s="1"/>
  <c r="AP1314" i="13" s="1"/>
  <c r="AP1315" i="13" s="1"/>
  <c r="AP1316" i="13" s="1"/>
  <c r="S36" i="13"/>
  <c r="U35" i="13"/>
  <c r="AA4" i="4"/>
  <c r="O9" i="4"/>
  <c r="Y29" i="4"/>
  <c r="Y30" i="4"/>
  <c r="Y28" i="4"/>
  <c r="Y15" i="4"/>
  <c r="Y23" i="4"/>
  <c r="Y31" i="4"/>
  <c r="Y20" i="4"/>
  <c r="Y22" i="4"/>
  <c r="Y21" i="4"/>
  <c r="Y12" i="4"/>
  <c r="Y14" i="4"/>
  <c r="Y16" i="4" s="1"/>
  <c r="W3" i="4"/>
  <c r="Z5" i="4"/>
  <c r="AB4" i="4"/>
  <c r="W31" i="4"/>
  <c r="W29" i="4"/>
  <c r="W30" i="4"/>
  <c r="W28" i="4"/>
  <c r="W6" i="4"/>
  <c r="W5" i="4"/>
  <c r="W7" i="4" s="1"/>
  <c r="W4" i="4"/>
  <c r="W22" i="4"/>
  <c r="W23" i="4"/>
  <c r="W20" i="4"/>
  <c r="W21" i="4"/>
  <c r="W15" i="4"/>
  <c r="W14" i="4"/>
  <c r="W12" i="4"/>
  <c r="W13" i="4"/>
  <c r="Y6" i="4"/>
  <c r="Y3" i="4"/>
  <c r="Y5" i="4"/>
  <c r="S1351" i="13" l="1"/>
  <c r="U1350" i="13"/>
  <c r="AP1376" i="13"/>
  <c r="AR1375" i="13"/>
  <c r="S37" i="13"/>
  <c r="U36" i="13"/>
  <c r="AA5" i="4"/>
  <c r="AA7" i="4" s="1"/>
  <c r="AB5" i="4"/>
  <c r="AC4" i="4"/>
  <c r="Y24" i="4"/>
  <c r="Y32" i="4"/>
  <c r="Z7" i="4"/>
  <c r="W32" i="4"/>
  <c r="W24" i="4"/>
  <c r="Y7" i="4"/>
  <c r="W16" i="4"/>
  <c r="U1351" i="13" l="1"/>
  <c r="S1352" i="13"/>
  <c r="AR1376" i="13"/>
  <c r="AP1377" i="13"/>
  <c r="S38" i="13"/>
  <c r="U37" i="13"/>
  <c r="AD3" i="4"/>
  <c r="AB11" i="4"/>
  <c r="AB12" i="4"/>
  <c r="AB13" i="4"/>
  <c r="AF4" i="4"/>
  <c r="AG4" i="4" s="1"/>
  <c r="AC5" i="4"/>
  <c r="AF5" i="4" s="1"/>
  <c r="AD6" i="4"/>
  <c r="S1353" i="13" l="1"/>
  <c r="U1352" i="13"/>
  <c r="AP1378" i="13"/>
  <c r="AR1377" i="13"/>
  <c r="S39" i="13"/>
  <c r="U38" i="13"/>
  <c r="AF9" i="4"/>
  <c r="AH4" i="4"/>
  <c r="AG9" i="4" s="1"/>
  <c r="AD4" i="4"/>
  <c r="AC7" i="4"/>
  <c r="AD5" i="4" s="1"/>
  <c r="U1353" i="13" l="1"/>
  <c r="S1354" i="13"/>
  <c r="AR1378" i="13"/>
  <c r="AP1379" i="13"/>
  <c r="S40" i="13"/>
  <c r="U39" i="13"/>
  <c r="AG5" i="4"/>
  <c r="AF7" i="4"/>
  <c r="S1355" i="13" l="1"/>
  <c r="U1354" i="13"/>
  <c r="AP1380" i="13"/>
  <c r="AR1380" i="13" s="1"/>
  <c r="AR1379" i="13"/>
  <c r="S41" i="13"/>
  <c r="U40" i="13"/>
  <c r="AF10" i="4"/>
  <c r="AG7" i="4"/>
  <c r="AH5" i="4"/>
  <c r="AG10" i="4" s="1"/>
  <c r="U1355" i="13" l="1"/>
  <c r="S1356" i="13"/>
  <c r="S42" i="13"/>
  <c r="U41" i="13"/>
  <c r="AH7" i="4"/>
  <c r="S1357" i="13" l="1"/>
  <c r="U1356" i="13"/>
  <c r="S43" i="13"/>
  <c r="U42" i="13"/>
  <c r="U1357" i="13" l="1"/>
  <c r="S1358" i="13"/>
  <c r="S44" i="13"/>
  <c r="U43" i="13"/>
  <c r="S1359" i="13" l="1"/>
  <c r="U1358" i="13"/>
  <c r="S45" i="13"/>
  <c r="U44" i="13"/>
  <c r="U1359" i="13" l="1"/>
  <c r="S1360" i="13"/>
  <c r="S46" i="13"/>
  <c r="U45" i="13"/>
  <c r="S1361" i="13" l="1"/>
  <c r="U1360" i="13"/>
  <c r="S47" i="13"/>
  <c r="U46" i="13"/>
  <c r="U1361" i="13" l="1"/>
  <c r="S1362" i="13"/>
  <c r="S48" i="13"/>
  <c r="U47" i="13"/>
  <c r="S1363" i="13" l="1"/>
  <c r="U1362" i="13"/>
  <c r="S49" i="13"/>
  <c r="U48" i="13"/>
  <c r="U1363" i="13" l="1"/>
  <c r="S1364" i="13"/>
  <c r="S50" i="13"/>
  <c r="U49" i="13"/>
  <c r="S1365" i="13" l="1"/>
  <c r="U1364" i="13"/>
  <c r="S51" i="13"/>
  <c r="U50" i="13"/>
  <c r="U1365" i="13" l="1"/>
  <c r="S1366" i="13"/>
  <c r="S52" i="13"/>
  <c r="U51" i="13"/>
  <c r="S1367" i="13" l="1"/>
  <c r="U1366" i="13"/>
  <c r="S53" i="13"/>
  <c r="U52" i="13"/>
  <c r="U1367" i="13" l="1"/>
  <c r="S1368" i="13"/>
  <c r="S54" i="13"/>
  <c r="U53" i="13"/>
  <c r="S1369" i="13" l="1"/>
  <c r="U1368" i="13"/>
  <c r="S55" i="13"/>
  <c r="U54" i="13"/>
  <c r="U1369" i="13" l="1"/>
  <c r="S1370" i="13"/>
  <c r="S56" i="13"/>
  <c r="U55" i="13"/>
  <c r="S1371" i="13" l="1"/>
  <c r="U1370" i="13"/>
  <c r="S57" i="13"/>
  <c r="U56" i="13"/>
  <c r="U1371" i="13" l="1"/>
  <c r="S1372" i="13"/>
  <c r="S58" i="13"/>
  <c r="U57" i="13"/>
  <c r="S1373" i="13" l="1"/>
  <c r="U1372" i="13"/>
  <c r="S59" i="13"/>
  <c r="U58" i="13"/>
  <c r="U1373" i="13" l="1"/>
  <c r="S1374" i="13"/>
  <c r="S60" i="13"/>
  <c r="U59" i="13"/>
  <c r="S1375" i="13" l="1"/>
  <c r="U1374" i="13"/>
  <c r="S61" i="13"/>
  <c r="U60" i="13"/>
  <c r="U1375" i="13" l="1"/>
  <c r="S1376" i="13"/>
  <c r="S62" i="13"/>
  <c r="U61" i="13"/>
  <c r="S1377" i="13" l="1"/>
  <c r="U1376" i="13"/>
  <c r="S63" i="13"/>
  <c r="U62" i="13"/>
  <c r="U1377" i="13" l="1"/>
  <c r="S1378" i="13"/>
  <c r="S64" i="13"/>
  <c r="U63" i="13"/>
  <c r="S1379" i="13" l="1"/>
  <c r="U1378" i="13"/>
  <c r="S65" i="13"/>
  <c r="U64" i="13"/>
  <c r="U1379" i="13" l="1"/>
  <c r="S1380" i="13"/>
  <c r="U1380" i="13" s="1"/>
  <c r="S66" i="13"/>
  <c r="U65" i="13"/>
  <c r="S67" i="13" l="1"/>
  <c r="U66" i="13"/>
  <c r="S68" i="13" l="1"/>
  <c r="U67" i="13"/>
  <c r="S69" i="13" l="1"/>
  <c r="U68" i="13"/>
  <c r="S70" i="13" l="1"/>
  <c r="U69" i="13"/>
  <c r="S71" i="13" l="1"/>
  <c r="U70" i="13"/>
  <c r="S72" i="13" l="1"/>
  <c r="U71" i="13"/>
  <c r="S73" i="13" l="1"/>
  <c r="U72" i="13"/>
  <c r="S74" i="13" l="1"/>
  <c r="U73" i="13"/>
  <c r="S75" i="13" l="1"/>
  <c r="U74" i="13"/>
  <c r="S76" i="13" l="1"/>
  <c r="U75" i="13"/>
  <c r="S77" i="13" l="1"/>
  <c r="U76" i="13"/>
  <c r="S78" i="13" l="1"/>
  <c r="U77" i="13"/>
  <c r="S79" i="13" l="1"/>
  <c r="U78" i="13"/>
  <c r="S80" i="13" l="1"/>
  <c r="U79" i="13"/>
  <c r="S81" i="13" l="1"/>
  <c r="U80" i="13"/>
  <c r="S82" i="13" l="1"/>
  <c r="U81" i="13"/>
  <c r="S83" i="13" l="1"/>
  <c r="U82" i="13"/>
  <c r="S84" i="13" l="1"/>
  <c r="U83" i="13"/>
  <c r="S85" i="13" l="1"/>
  <c r="U84" i="13"/>
  <c r="S86" i="13" l="1"/>
  <c r="U85" i="13"/>
  <c r="S87" i="13" l="1"/>
  <c r="U86" i="13"/>
  <c r="S88" i="13" l="1"/>
  <c r="U87" i="13"/>
  <c r="S89" i="13" l="1"/>
  <c r="U88" i="13"/>
  <c r="S90" i="13" l="1"/>
  <c r="U89" i="13"/>
  <c r="S91" i="13" l="1"/>
  <c r="U90" i="13"/>
  <c r="S92" i="13" l="1"/>
  <c r="U91" i="13"/>
  <c r="S93" i="13" l="1"/>
  <c r="U92" i="13"/>
  <c r="S94" i="13" l="1"/>
  <c r="U93" i="13"/>
  <c r="S95" i="13" l="1"/>
  <c r="U94" i="13"/>
  <c r="S96" i="13" l="1"/>
  <c r="U95" i="13"/>
  <c r="S97" i="13" l="1"/>
  <c r="U96" i="13"/>
  <c r="S98" i="13" l="1"/>
  <c r="U97" i="13"/>
  <c r="S99" i="13" l="1"/>
  <c r="U98" i="13"/>
  <c r="S100" i="13" l="1"/>
  <c r="U99" i="13"/>
  <c r="S101" i="13" l="1"/>
  <c r="U100" i="13"/>
  <c r="S102" i="13" l="1"/>
  <c r="U101" i="13"/>
  <c r="S103" i="13" l="1"/>
  <c r="U102" i="13"/>
  <c r="S104" i="13" l="1"/>
  <c r="U103" i="13"/>
  <c r="S105" i="13" l="1"/>
  <c r="U104" i="13"/>
  <c r="S106" i="13" l="1"/>
  <c r="U105" i="13"/>
  <c r="S107" i="13" l="1"/>
  <c r="U106" i="13"/>
  <c r="S108" i="13" l="1"/>
  <c r="U107" i="13"/>
  <c r="S109" i="13" l="1"/>
  <c r="U108" i="13"/>
  <c r="S110" i="13" l="1"/>
  <c r="U109" i="13"/>
  <c r="S111" i="13" l="1"/>
  <c r="U110" i="13"/>
  <c r="S112" i="13" l="1"/>
  <c r="U111" i="13"/>
  <c r="S113" i="13" l="1"/>
  <c r="U112" i="13"/>
  <c r="S114" i="13" l="1"/>
  <c r="U113" i="13"/>
  <c r="S115" i="13" l="1"/>
  <c r="U114" i="13"/>
  <c r="S116" i="13" l="1"/>
  <c r="U115" i="13"/>
  <c r="S117" i="13" l="1"/>
  <c r="U116" i="13"/>
  <c r="S118" i="13" l="1"/>
  <c r="U117" i="13"/>
  <c r="S119" i="13" l="1"/>
  <c r="U118" i="13"/>
  <c r="S120" i="13" l="1"/>
  <c r="U119" i="13"/>
  <c r="S121" i="13" l="1"/>
  <c r="U120" i="13"/>
  <c r="S122" i="13" l="1"/>
  <c r="U121" i="13"/>
  <c r="S123" i="13" l="1"/>
  <c r="U122" i="13"/>
  <c r="S124" i="13" l="1"/>
  <c r="U123" i="13"/>
  <c r="S125" i="13" l="1"/>
  <c r="U124" i="13"/>
  <c r="S126" i="13" l="1"/>
  <c r="U125" i="13"/>
  <c r="S127" i="13" l="1"/>
  <c r="U126" i="13"/>
  <c r="S128" i="13" l="1"/>
  <c r="U127" i="13"/>
  <c r="S129" i="13" l="1"/>
  <c r="U128" i="13"/>
  <c r="S130" i="13" l="1"/>
  <c r="U129" i="13"/>
  <c r="S131" i="13" l="1"/>
  <c r="U130" i="13"/>
  <c r="S132" i="13" l="1"/>
  <c r="U131" i="13"/>
  <c r="S133" i="13" l="1"/>
  <c r="U132" i="13"/>
  <c r="S134" i="13" l="1"/>
  <c r="U133" i="13"/>
  <c r="S135" i="13" l="1"/>
  <c r="U134" i="13"/>
  <c r="S136" i="13" l="1"/>
  <c r="U135" i="13"/>
  <c r="S137" i="13" l="1"/>
  <c r="U136" i="13"/>
  <c r="S138" i="13" l="1"/>
  <c r="U137" i="13"/>
  <c r="S139" i="13" l="1"/>
  <c r="U138" i="13"/>
  <c r="S140" i="13" l="1"/>
  <c r="U139" i="13"/>
  <c r="S141" i="13" l="1"/>
  <c r="U140" i="13"/>
  <c r="S142" i="13" l="1"/>
  <c r="U141" i="13"/>
  <c r="S143" i="13" l="1"/>
  <c r="U142" i="13"/>
  <c r="S144" i="13" l="1"/>
  <c r="U143" i="13"/>
  <c r="S145" i="13" l="1"/>
  <c r="U144" i="13"/>
  <c r="S146" i="13" l="1"/>
  <c r="U145" i="13"/>
  <c r="S147" i="13" l="1"/>
  <c r="U146" i="13"/>
  <c r="S148" i="13" l="1"/>
  <c r="U147" i="13"/>
  <c r="S149" i="13" l="1"/>
  <c r="U148" i="13"/>
  <c r="S150" i="13" l="1"/>
  <c r="U149" i="13"/>
  <c r="S151" i="13" l="1"/>
  <c r="U150" i="13"/>
  <c r="S152" i="13" l="1"/>
  <c r="U151" i="13"/>
  <c r="S153" i="13" l="1"/>
  <c r="U152" i="13"/>
  <c r="S154" i="13" l="1"/>
  <c r="U153" i="13"/>
  <c r="S155" i="13" l="1"/>
  <c r="U154" i="13"/>
  <c r="S156" i="13" l="1"/>
  <c r="U155" i="13"/>
  <c r="S157" i="13" l="1"/>
  <c r="U156" i="13"/>
  <c r="S158" i="13" l="1"/>
  <c r="U157" i="13"/>
  <c r="S159" i="13" l="1"/>
  <c r="U158" i="13"/>
  <c r="S160" i="13" l="1"/>
  <c r="U159" i="13"/>
  <c r="S161" i="13" l="1"/>
  <c r="U160" i="13"/>
  <c r="S162" i="13" l="1"/>
  <c r="U161" i="13"/>
  <c r="S163" i="13" l="1"/>
  <c r="U162" i="13"/>
  <c r="S164" i="13" l="1"/>
  <c r="U163" i="13"/>
  <c r="S165" i="13" l="1"/>
  <c r="U164" i="13"/>
  <c r="S166" i="13" l="1"/>
  <c r="U165" i="13"/>
  <c r="S167" i="13" l="1"/>
  <c r="U166" i="13"/>
  <c r="S168" i="13" l="1"/>
  <c r="U167" i="13"/>
  <c r="S169" i="13" l="1"/>
  <c r="U168" i="13"/>
  <c r="S170" i="13" l="1"/>
  <c r="U169" i="13"/>
  <c r="S171" i="13" l="1"/>
  <c r="U170" i="13"/>
  <c r="S172" i="13" l="1"/>
  <c r="U171" i="13"/>
  <c r="S173" i="13" l="1"/>
  <c r="U172" i="13"/>
  <c r="S174" i="13" l="1"/>
  <c r="U173" i="13"/>
  <c r="S175" i="13" l="1"/>
  <c r="U174" i="13"/>
  <c r="S176" i="13" l="1"/>
  <c r="U175" i="13"/>
  <c r="S177" i="13" l="1"/>
  <c r="U176" i="13"/>
  <c r="S178" i="13" l="1"/>
  <c r="U177" i="13"/>
  <c r="S179" i="13" l="1"/>
  <c r="U178" i="13"/>
  <c r="S180" i="13" l="1"/>
  <c r="U179" i="13"/>
  <c r="S181" i="13" l="1"/>
  <c r="U180" i="13"/>
  <c r="S182" i="13" l="1"/>
  <c r="U181" i="13"/>
  <c r="S183" i="13" l="1"/>
  <c r="U182" i="13"/>
  <c r="S184" i="13" l="1"/>
  <c r="U183" i="13"/>
  <c r="S185" i="13" l="1"/>
  <c r="U184" i="13"/>
  <c r="S186" i="13" l="1"/>
  <c r="U185" i="13"/>
  <c r="S187" i="13" l="1"/>
  <c r="U186" i="13"/>
  <c r="S188" i="13" l="1"/>
  <c r="U187" i="13"/>
  <c r="S189" i="13" l="1"/>
  <c r="U188" i="13"/>
  <c r="S190" i="13" l="1"/>
  <c r="U189" i="13"/>
  <c r="S191" i="13" l="1"/>
  <c r="U190" i="13"/>
  <c r="S192" i="13" l="1"/>
  <c r="U191" i="13"/>
  <c r="S193" i="13" l="1"/>
  <c r="U192" i="13"/>
  <c r="S194" i="13" l="1"/>
  <c r="U193" i="13"/>
  <c r="S195" i="13" l="1"/>
  <c r="U194" i="13"/>
  <c r="S196" i="13" l="1"/>
  <c r="U195" i="13"/>
  <c r="S197" i="13" l="1"/>
  <c r="U196" i="13"/>
  <c r="S198" i="13" l="1"/>
  <c r="U197" i="13"/>
  <c r="S199" i="13" l="1"/>
  <c r="U198" i="13"/>
  <c r="S200" i="13" l="1"/>
  <c r="U199" i="13"/>
  <c r="S201" i="13" l="1"/>
  <c r="U200" i="13"/>
  <c r="S202" i="13" l="1"/>
  <c r="U201" i="13"/>
  <c r="S203" i="13" l="1"/>
  <c r="U202" i="13"/>
  <c r="S204" i="13" l="1"/>
  <c r="U203" i="13"/>
  <c r="S205" i="13" l="1"/>
  <c r="U204" i="13"/>
  <c r="S206" i="13" l="1"/>
  <c r="U205" i="13"/>
  <c r="S207" i="13" l="1"/>
  <c r="U206" i="13"/>
  <c r="S208" i="13" l="1"/>
  <c r="U207" i="13"/>
  <c r="S209" i="13" l="1"/>
  <c r="U208" i="13"/>
  <c r="S210" i="13" l="1"/>
  <c r="U209" i="13"/>
  <c r="S211" i="13" l="1"/>
  <c r="U210" i="13"/>
  <c r="S212" i="13" l="1"/>
  <c r="U211" i="13"/>
  <c r="S213" i="13" l="1"/>
  <c r="U212" i="13"/>
  <c r="S214" i="13" l="1"/>
  <c r="U213" i="13"/>
  <c r="S215" i="13" l="1"/>
  <c r="U214" i="13"/>
  <c r="S216" i="13" l="1"/>
  <c r="U215" i="13"/>
  <c r="S217" i="13" l="1"/>
  <c r="U216" i="13"/>
  <c r="S218" i="13" l="1"/>
  <c r="U217" i="13"/>
  <c r="S219" i="13" l="1"/>
  <c r="U218" i="13"/>
  <c r="S220" i="13" l="1"/>
  <c r="U219" i="13"/>
  <c r="S221" i="13" l="1"/>
  <c r="U220" i="13"/>
  <c r="S222" i="13" l="1"/>
  <c r="U221" i="13"/>
  <c r="S223" i="13" l="1"/>
  <c r="U222" i="13"/>
  <c r="S224" i="13" l="1"/>
  <c r="U223" i="13"/>
  <c r="S225" i="13" l="1"/>
  <c r="U224" i="13"/>
  <c r="S226" i="13" l="1"/>
  <c r="U225" i="13"/>
  <c r="S227" i="13" l="1"/>
  <c r="U226" i="13"/>
  <c r="S228" i="13" l="1"/>
  <c r="U227" i="13"/>
  <c r="S229" i="13" l="1"/>
  <c r="U228" i="13"/>
  <c r="S230" i="13" l="1"/>
  <c r="U229" i="13"/>
  <c r="S231" i="13" l="1"/>
  <c r="U230" i="13"/>
  <c r="S232" i="13" l="1"/>
  <c r="U231" i="13"/>
  <c r="S233" i="13" l="1"/>
  <c r="U232" i="13"/>
  <c r="S234" i="13" l="1"/>
  <c r="U233" i="13"/>
  <c r="S235" i="13" l="1"/>
  <c r="U234" i="13"/>
  <c r="S236" i="13" l="1"/>
  <c r="U235" i="13"/>
  <c r="S237" i="13" l="1"/>
  <c r="U236" i="13"/>
  <c r="S238" i="13" l="1"/>
  <c r="U237" i="13"/>
  <c r="S239" i="13" l="1"/>
  <c r="U238" i="13"/>
  <c r="S240" i="13" l="1"/>
  <c r="U239" i="13"/>
  <c r="S241" i="13" l="1"/>
  <c r="U240" i="13"/>
  <c r="S242" i="13" l="1"/>
  <c r="U241" i="13"/>
  <c r="S243" i="13" l="1"/>
  <c r="U242" i="13"/>
  <c r="S244" i="13" l="1"/>
  <c r="U243" i="13"/>
  <c r="S245" i="13" l="1"/>
  <c r="U244" i="13"/>
  <c r="S246" i="13" l="1"/>
  <c r="U245" i="13"/>
  <c r="S247" i="13" l="1"/>
  <c r="U246" i="13"/>
  <c r="S248" i="13" l="1"/>
  <c r="U247" i="13"/>
  <c r="S249" i="13" l="1"/>
  <c r="U248" i="13"/>
  <c r="S250" i="13" l="1"/>
  <c r="U249" i="13"/>
  <c r="S251" i="13" l="1"/>
  <c r="U250" i="13"/>
  <c r="S252" i="13" l="1"/>
  <c r="U251" i="13"/>
  <c r="S253" i="13" l="1"/>
  <c r="U252" i="13"/>
  <c r="S254" i="13" l="1"/>
  <c r="U253" i="13"/>
  <c r="S255" i="13" l="1"/>
  <c r="U254" i="13"/>
  <c r="S256" i="13" l="1"/>
  <c r="U255" i="13"/>
  <c r="S257" i="13" l="1"/>
  <c r="U256" i="13"/>
  <c r="S258" i="13" l="1"/>
  <c r="U257" i="13"/>
  <c r="S259" i="13" l="1"/>
  <c r="U258" i="13"/>
  <c r="S260" i="13" l="1"/>
  <c r="U259" i="13"/>
  <c r="S261" i="13" l="1"/>
  <c r="U260" i="13"/>
  <c r="S262" i="13" l="1"/>
  <c r="U261" i="13"/>
  <c r="S263" i="13" l="1"/>
  <c r="U262" i="13"/>
  <c r="S264" i="13" l="1"/>
  <c r="U263" i="13"/>
  <c r="S265" i="13" l="1"/>
  <c r="U264" i="13"/>
  <c r="S266" i="13" l="1"/>
  <c r="U265" i="13"/>
  <c r="S267" i="13" l="1"/>
  <c r="U266" i="13"/>
  <c r="S268" i="13" l="1"/>
  <c r="U267" i="13"/>
  <c r="S269" i="13" l="1"/>
  <c r="U268" i="13"/>
  <c r="S270" i="13" l="1"/>
  <c r="U269" i="13"/>
  <c r="S271" i="13" l="1"/>
  <c r="U270" i="13"/>
  <c r="S272" i="13" l="1"/>
  <c r="U271" i="13"/>
  <c r="S273" i="13" l="1"/>
  <c r="U272" i="13"/>
  <c r="S274" i="13" l="1"/>
  <c r="U273" i="13"/>
  <c r="S275" i="13" l="1"/>
  <c r="U274" i="13"/>
  <c r="S276" i="13" l="1"/>
  <c r="U275" i="13"/>
  <c r="S277" i="13" l="1"/>
  <c r="U276" i="13"/>
  <c r="S278" i="13" l="1"/>
  <c r="U277" i="13"/>
  <c r="S279" i="13" l="1"/>
  <c r="U278" i="13"/>
  <c r="S280" i="13" l="1"/>
  <c r="U279" i="13"/>
  <c r="S281" i="13" l="1"/>
  <c r="U280" i="13"/>
  <c r="S282" i="13" l="1"/>
  <c r="U281" i="13"/>
  <c r="S283" i="13" l="1"/>
  <c r="U282" i="13"/>
  <c r="S284" i="13" l="1"/>
  <c r="U283" i="13"/>
  <c r="S285" i="13" l="1"/>
  <c r="U284" i="13"/>
  <c r="S286" i="13" l="1"/>
  <c r="U285" i="13"/>
  <c r="S287" i="13" l="1"/>
  <c r="U286" i="13"/>
  <c r="S288" i="13" l="1"/>
  <c r="U287" i="13"/>
  <c r="S289" i="13" l="1"/>
  <c r="U288" i="13"/>
  <c r="S290" i="13" l="1"/>
  <c r="U289" i="13"/>
  <c r="S291" i="13" l="1"/>
  <c r="U290" i="13"/>
  <c r="S292" i="13" l="1"/>
  <c r="U291" i="13"/>
  <c r="S293" i="13" l="1"/>
  <c r="U292" i="13"/>
  <c r="S294" i="13" l="1"/>
  <c r="U293" i="13"/>
  <c r="S295" i="13" l="1"/>
  <c r="U294" i="13"/>
  <c r="S296" i="13" l="1"/>
  <c r="U295" i="13"/>
  <c r="S297" i="13" l="1"/>
  <c r="U296" i="13"/>
  <c r="S298" i="13" l="1"/>
  <c r="U297" i="13"/>
  <c r="S299" i="13" l="1"/>
  <c r="U298" i="13"/>
  <c r="S300" i="13" l="1"/>
  <c r="U299" i="13"/>
  <c r="S301" i="13" l="1"/>
  <c r="U300" i="13"/>
  <c r="S302" i="13" l="1"/>
  <c r="U301" i="13"/>
  <c r="S303" i="13" l="1"/>
  <c r="U302" i="13"/>
  <c r="S304" i="13" l="1"/>
  <c r="U303" i="13"/>
  <c r="S305" i="13" l="1"/>
  <c r="U304" i="13"/>
  <c r="S306" i="13" l="1"/>
  <c r="U305" i="13"/>
  <c r="S307" i="13" l="1"/>
  <c r="U306" i="13"/>
  <c r="S308" i="13" l="1"/>
  <c r="U307" i="13"/>
  <c r="S309" i="13" l="1"/>
  <c r="U308" i="13"/>
  <c r="S310" i="13" l="1"/>
  <c r="U309" i="13"/>
  <c r="S311" i="13" l="1"/>
  <c r="U310" i="13"/>
  <c r="S312" i="13" l="1"/>
  <c r="U311" i="13"/>
  <c r="S313" i="13" l="1"/>
  <c r="U312" i="13"/>
  <c r="S314" i="13" l="1"/>
  <c r="U313" i="13"/>
  <c r="S315" i="13" l="1"/>
  <c r="U314" i="13"/>
  <c r="S316" i="13" l="1"/>
  <c r="U315" i="13"/>
  <c r="S317" i="13" l="1"/>
  <c r="U316" i="13"/>
  <c r="S318" i="13" l="1"/>
  <c r="U317" i="13"/>
  <c r="S319" i="13" l="1"/>
  <c r="U318" i="13"/>
  <c r="S320" i="13" l="1"/>
  <c r="U319" i="13"/>
  <c r="S321" i="13" l="1"/>
  <c r="U320" i="13"/>
  <c r="S322" i="13" l="1"/>
  <c r="U321" i="13"/>
  <c r="S323" i="13" l="1"/>
  <c r="U322" i="13"/>
  <c r="S324" i="13" l="1"/>
  <c r="U323" i="13"/>
  <c r="S325" i="13" l="1"/>
  <c r="U324" i="13"/>
  <c r="S326" i="13" l="1"/>
  <c r="U325" i="13"/>
  <c r="S327" i="13" l="1"/>
  <c r="U326" i="13"/>
  <c r="S328" i="13" l="1"/>
  <c r="U327" i="13"/>
  <c r="S329" i="13" l="1"/>
  <c r="U328" i="13"/>
  <c r="S330" i="13" l="1"/>
  <c r="U329" i="13"/>
  <c r="S331" i="13" l="1"/>
  <c r="U330" i="13"/>
  <c r="S332" i="13" l="1"/>
  <c r="U331" i="13"/>
  <c r="S333" i="13" l="1"/>
  <c r="U332" i="13"/>
  <c r="S334" i="13" l="1"/>
  <c r="U333" i="13"/>
  <c r="S335" i="13" l="1"/>
  <c r="U334" i="13"/>
  <c r="S336" i="13" l="1"/>
  <c r="U335" i="13"/>
  <c r="S337" i="13" l="1"/>
  <c r="U336" i="13"/>
  <c r="S338" i="13" l="1"/>
  <c r="U337" i="13"/>
  <c r="S339" i="13" l="1"/>
  <c r="U338" i="13"/>
  <c r="S340" i="13" l="1"/>
  <c r="U339" i="13"/>
  <c r="S341" i="13" l="1"/>
  <c r="U340" i="13"/>
  <c r="S342" i="13" l="1"/>
  <c r="U341" i="13"/>
  <c r="S343" i="13" l="1"/>
  <c r="U342" i="13"/>
  <c r="S344" i="13" l="1"/>
  <c r="U343" i="13"/>
  <c r="S345" i="13" l="1"/>
  <c r="U344" i="13"/>
  <c r="S346" i="13" l="1"/>
  <c r="U345" i="13"/>
  <c r="S347" i="13" l="1"/>
  <c r="U346" i="13"/>
  <c r="S348" i="13" l="1"/>
  <c r="U347" i="13"/>
  <c r="S349" i="13" l="1"/>
  <c r="U348" i="13"/>
  <c r="S350" i="13" l="1"/>
  <c r="U349" i="13"/>
  <c r="S351" i="13" l="1"/>
  <c r="U350" i="13"/>
  <c r="S352" i="13" l="1"/>
  <c r="U351" i="13"/>
  <c r="S353" i="13" l="1"/>
  <c r="U352" i="13"/>
  <c r="S354" i="13" l="1"/>
  <c r="U353" i="13"/>
  <c r="S355" i="13" l="1"/>
  <c r="U354" i="13"/>
  <c r="S356" i="13" l="1"/>
  <c r="U355" i="13"/>
  <c r="S357" i="13" l="1"/>
  <c r="U356" i="13"/>
  <c r="S358" i="13" l="1"/>
  <c r="U357" i="13"/>
  <c r="S359" i="13" l="1"/>
  <c r="U358" i="13"/>
  <c r="S360" i="13" l="1"/>
  <c r="U359" i="13"/>
  <c r="S361" i="13" l="1"/>
  <c r="U360" i="13"/>
  <c r="S362" i="13" l="1"/>
  <c r="U361" i="13"/>
  <c r="S363" i="13" l="1"/>
  <c r="U362" i="13"/>
  <c r="S364" i="13" l="1"/>
  <c r="U363" i="13"/>
  <c r="S365" i="13" l="1"/>
  <c r="U364" i="13"/>
  <c r="S366" i="13" l="1"/>
  <c r="U365" i="13"/>
  <c r="S367" i="13" l="1"/>
  <c r="U366" i="13"/>
  <c r="S368" i="13" l="1"/>
  <c r="U367" i="13"/>
  <c r="S369" i="13" l="1"/>
  <c r="U368" i="13"/>
  <c r="S370" i="13" l="1"/>
  <c r="U369" i="13"/>
  <c r="S371" i="13" l="1"/>
  <c r="U370" i="13"/>
  <c r="S372" i="13" l="1"/>
  <c r="U371" i="13"/>
  <c r="S373" i="13" l="1"/>
  <c r="U372" i="13"/>
  <c r="S374" i="13" l="1"/>
  <c r="U373" i="13"/>
  <c r="S375" i="13" l="1"/>
  <c r="U374" i="13"/>
  <c r="S376" i="13" l="1"/>
  <c r="U375" i="13"/>
  <c r="S377" i="13" l="1"/>
  <c r="U376" i="13"/>
  <c r="S378" i="13" l="1"/>
  <c r="U377" i="13"/>
  <c r="S379" i="13" l="1"/>
  <c r="U378" i="13"/>
  <c r="S380" i="13" l="1"/>
  <c r="U379" i="13"/>
  <c r="S381" i="13" l="1"/>
  <c r="U380" i="13"/>
  <c r="S382" i="13" l="1"/>
  <c r="U381" i="13"/>
  <c r="S383" i="13" l="1"/>
  <c r="U382" i="13"/>
  <c r="S384" i="13" l="1"/>
  <c r="U383" i="13"/>
  <c r="S385" i="13" l="1"/>
  <c r="U384" i="13"/>
  <c r="S386" i="13" l="1"/>
  <c r="U385" i="13"/>
  <c r="S387" i="13" l="1"/>
  <c r="U386" i="13"/>
  <c r="S388" i="13" l="1"/>
  <c r="U387" i="13"/>
  <c r="S389" i="13" l="1"/>
  <c r="U388" i="13"/>
  <c r="S390" i="13" l="1"/>
  <c r="U389" i="13"/>
  <c r="S391" i="13" l="1"/>
  <c r="U390" i="13"/>
  <c r="S392" i="13" l="1"/>
  <c r="U391" i="13"/>
  <c r="S393" i="13" l="1"/>
  <c r="U392" i="13"/>
  <c r="S394" i="13" l="1"/>
  <c r="U393" i="13"/>
  <c r="S395" i="13" l="1"/>
  <c r="U394" i="13"/>
  <c r="S396" i="13" l="1"/>
  <c r="U395" i="13"/>
  <c r="S397" i="13" l="1"/>
  <c r="U396" i="13"/>
  <c r="S398" i="13" l="1"/>
  <c r="U397" i="13"/>
  <c r="S399" i="13" l="1"/>
  <c r="U398" i="13"/>
  <c r="S400" i="13" l="1"/>
  <c r="U399" i="13"/>
  <c r="S401" i="13" l="1"/>
  <c r="U400" i="13"/>
  <c r="S402" i="13" l="1"/>
  <c r="U401" i="13"/>
  <c r="S403" i="13" l="1"/>
  <c r="U402" i="13"/>
  <c r="S404" i="13" l="1"/>
  <c r="U403" i="13"/>
  <c r="S405" i="13" l="1"/>
  <c r="U404" i="13"/>
  <c r="S406" i="13" l="1"/>
  <c r="U405" i="13"/>
  <c r="S407" i="13" l="1"/>
  <c r="U406" i="13"/>
  <c r="S408" i="13" l="1"/>
  <c r="U407" i="13"/>
  <c r="S409" i="13" l="1"/>
  <c r="U408" i="13"/>
  <c r="S410" i="13" l="1"/>
  <c r="U409" i="13"/>
  <c r="S411" i="13" l="1"/>
  <c r="U410" i="13"/>
  <c r="S412" i="13" l="1"/>
  <c r="U411" i="13"/>
  <c r="S413" i="13" l="1"/>
  <c r="U412" i="13"/>
  <c r="S414" i="13" l="1"/>
  <c r="U413" i="13"/>
  <c r="S415" i="13" l="1"/>
  <c r="U414" i="13"/>
  <c r="S416" i="13" l="1"/>
  <c r="U415" i="13"/>
  <c r="S417" i="13" l="1"/>
  <c r="U416" i="13"/>
  <c r="S418" i="13" l="1"/>
  <c r="U417" i="13"/>
  <c r="S419" i="13" l="1"/>
  <c r="U418" i="13"/>
  <c r="S420" i="13" l="1"/>
  <c r="U419" i="13"/>
  <c r="S421" i="13" l="1"/>
  <c r="U420" i="13"/>
  <c r="S422" i="13" l="1"/>
  <c r="U421" i="13"/>
  <c r="S423" i="13" l="1"/>
  <c r="U422" i="13"/>
  <c r="S424" i="13" l="1"/>
  <c r="U423" i="13"/>
  <c r="S425" i="13" l="1"/>
  <c r="U424" i="13"/>
  <c r="S426" i="13" l="1"/>
  <c r="U425" i="13"/>
  <c r="S427" i="13" l="1"/>
  <c r="U426" i="13"/>
  <c r="S428" i="13" l="1"/>
  <c r="U427" i="13"/>
  <c r="S429" i="13" l="1"/>
  <c r="U428" i="13"/>
  <c r="S430" i="13" l="1"/>
  <c r="U429" i="13"/>
  <c r="S431" i="13" l="1"/>
  <c r="U430" i="13"/>
  <c r="S432" i="13" l="1"/>
  <c r="U431" i="13"/>
  <c r="S433" i="13" l="1"/>
  <c r="U432" i="13"/>
  <c r="S434" i="13" l="1"/>
  <c r="U433" i="13"/>
  <c r="S435" i="13" l="1"/>
  <c r="U434" i="13"/>
  <c r="S436" i="13" l="1"/>
  <c r="U435" i="13"/>
  <c r="S437" i="13" l="1"/>
  <c r="U436" i="13"/>
  <c r="S438" i="13" l="1"/>
  <c r="U437" i="13"/>
  <c r="S439" i="13" l="1"/>
  <c r="U438" i="13"/>
  <c r="S440" i="13" l="1"/>
  <c r="U439" i="13"/>
  <c r="S441" i="13" l="1"/>
  <c r="U440" i="13"/>
  <c r="S442" i="13" l="1"/>
  <c r="U441" i="13"/>
  <c r="S443" i="13" l="1"/>
  <c r="U442" i="13"/>
  <c r="S444" i="13" l="1"/>
  <c r="U443" i="13"/>
  <c r="S445" i="13" l="1"/>
  <c r="U444" i="13"/>
  <c r="S446" i="13" l="1"/>
  <c r="U445" i="13"/>
  <c r="S447" i="13" l="1"/>
  <c r="U446" i="13"/>
  <c r="S448" i="13" l="1"/>
  <c r="U447" i="13"/>
  <c r="S449" i="13" l="1"/>
  <c r="U448" i="13"/>
  <c r="S450" i="13" l="1"/>
  <c r="U449" i="13"/>
  <c r="S451" i="13" l="1"/>
  <c r="U450" i="13"/>
  <c r="S452" i="13" l="1"/>
  <c r="U451" i="13"/>
  <c r="S453" i="13" l="1"/>
  <c r="U452" i="13"/>
  <c r="S454" i="13" l="1"/>
  <c r="U453" i="13"/>
  <c r="S455" i="13" l="1"/>
  <c r="U454" i="13"/>
  <c r="S456" i="13" l="1"/>
  <c r="U455" i="13"/>
  <c r="S457" i="13" l="1"/>
  <c r="U456" i="13"/>
  <c r="S458" i="13" l="1"/>
  <c r="U457" i="13"/>
  <c r="S459" i="13" l="1"/>
  <c r="U458" i="13"/>
  <c r="S460" i="13" l="1"/>
  <c r="U459" i="13"/>
  <c r="S461" i="13" l="1"/>
  <c r="U460" i="13"/>
  <c r="S462" i="13" l="1"/>
  <c r="U461" i="13"/>
  <c r="S463" i="13" l="1"/>
  <c r="U462" i="13"/>
  <c r="S464" i="13" l="1"/>
  <c r="U463" i="13"/>
  <c r="S465" i="13" l="1"/>
  <c r="U464" i="13"/>
  <c r="S466" i="13" l="1"/>
  <c r="U465" i="13"/>
  <c r="S467" i="13" l="1"/>
  <c r="U466" i="13"/>
  <c r="S468" i="13" l="1"/>
  <c r="U467" i="13"/>
  <c r="S469" i="13" l="1"/>
  <c r="U468" i="13"/>
  <c r="S470" i="13" l="1"/>
  <c r="U469" i="13"/>
  <c r="S471" i="13" l="1"/>
  <c r="U470" i="13"/>
  <c r="S472" i="13" l="1"/>
  <c r="U471" i="13"/>
  <c r="S473" i="13" l="1"/>
  <c r="U472" i="13"/>
  <c r="S474" i="13" l="1"/>
  <c r="U473" i="13"/>
  <c r="S475" i="13" l="1"/>
  <c r="U474" i="13"/>
  <c r="S476" i="13" l="1"/>
  <c r="U475" i="13"/>
  <c r="S477" i="13" l="1"/>
  <c r="U476" i="13"/>
  <c r="S478" i="13" l="1"/>
  <c r="U477" i="13"/>
  <c r="S479" i="13" l="1"/>
  <c r="U478" i="13"/>
  <c r="S480" i="13" l="1"/>
  <c r="U479" i="13"/>
  <c r="S481" i="13" l="1"/>
  <c r="U480" i="13"/>
  <c r="S482" i="13" l="1"/>
  <c r="U481" i="13"/>
  <c r="S483" i="13" l="1"/>
  <c r="U482" i="13"/>
  <c r="S484" i="13" l="1"/>
  <c r="U483" i="13"/>
  <c r="S485" i="13" l="1"/>
  <c r="U484" i="13"/>
  <c r="S486" i="13" l="1"/>
  <c r="U485" i="13"/>
  <c r="S487" i="13" l="1"/>
  <c r="U486" i="13"/>
  <c r="S488" i="13" l="1"/>
  <c r="U487" i="13"/>
  <c r="S489" i="13" l="1"/>
  <c r="U488" i="13"/>
  <c r="S490" i="13" l="1"/>
  <c r="U489" i="13"/>
  <c r="S491" i="13" l="1"/>
  <c r="U490" i="13"/>
  <c r="S492" i="13" l="1"/>
  <c r="U491" i="13"/>
  <c r="S493" i="13" l="1"/>
  <c r="U492" i="13"/>
  <c r="S494" i="13" l="1"/>
  <c r="U493" i="13"/>
  <c r="S495" i="13" l="1"/>
  <c r="U494" i="13"/>
  <c r="S496" i="13" l="1"/>
  <c r="U495" i="13"/>
  <c r="S497" i="13" l="1"/>
  <c r="U496" i="13"/>
  <c r="S498" i="13" l="1"/>
  <c r="U497" i="13"/>
  <c r="S499" i="13" l="1"/>
  <c r="U498" i="13"/>
  <c r="S500" i="13" l="1"/>
  <c r="U499" i="13"/>
  <c r="S501" i="13" l="1"/>
  <c r="U500" i="13"/>
  <c r="S502" i="13" l="1"/>
  <c r="U501" i="13"/>
  <c r="S503" i="13" l="1"/>
  <c r="U502" i="13"/>
  <c r="S504" i="13" l="1"/>
  <c r="U503" i="13"/>
  <c r="S505" i="13" l="1"/>
  <c r="U504" i="13"/>
  <c r="S506" i="13" l="1"/>
  <c r="U505" i="13"/>
  <c r="S507" i="13" l="1"/>
  <c r="U506" i="13"/>
  <c r="S508" i="13" l="1"/>
  <c r="U507" i="13"/>
  <c r="S509" i="13" l="1"/>
  <c r="U508" i="13"/>
  <c r="S510" i="13" l="1"/>
  <c r="U509" i="13"/>
  <c r="S511" i="13" l="1"/>
  <c r="U510" i="13"/>
  <c r="S512" i="13" l="1"/>
  <c r="U511" i="13"/>
  <c r="S513" i="13" l="1"/>
  <c r="U512" i="13"/>
  <c r="S514" i="13" l="1"/>
  <c r="U513" i="13"/>
  <c r="S515" i="13" l="1"/>
  <c r="U514" i="13"/>
  <c r="S516" i="13" l="1"/>
  <c r="U515" i="13"/>
  <c r="S517" i="13" l="1"/>
  <c r="U516" i="13"/>
  <c r="S518" i="13" l="1"/>
  <c r="U517" i="13"/>
  <c r="S519" i="13" l="1"/>
  <c r="U518" i="13"/>
  <c r="S520" i="13" l="1"/>
  <c r="U519" i="13"/>
  <c r="S521" i="13" l="1"/>
  <c r="U520" i="13"/>
  <c r="S522" i="13" l="1"/>
  <c r="U521" i="13"/>
  <c r="S523" i="13" l="1"/>
  <c r="U522" i="13"/>
  <c r="S524" i="13" l="1"/>
  <c r="U523" i="13"/>
  <c r="S525" i="13" l="1"/>
  <c r="U524" i="13"/>
  <c r="S526" i="13" l="1"/>
  <c r="U525" i="13"/>
  <c r="S527" i="13" l="1"/>
  <c r="U526" i="13"/>
  <c r="S528" i="13" l="1"/>
  <c r="U527" i="13"/>
  <c r="S529" i="13" l="1"/>
  <c r="U528" i="13"/>
  <c r="S530" i="13" l="1"/>
  <c r="U529" i="13"/>
  <c r="S531" i="13" l="1"/>
  <c r="U530" i="13"/>
  <c r="S532" i="13" l="1"/>
  <c r="U531" i="13"/>
  <c r="S533" i="13" l="1"/>
  <c r="U532" i="13"/>
  <c r="S534" i="13" l="1"/>
  <c r="U533" i="13"/>
  <c r="S535" i="13" l="1"/>
  <c r="U534" i="13"/>
  <c r="S536" i="13" l="1"/>
  <c r="U535" i="13"/>
  <c r="S537" i="13" l="1"/>
  <c r="U536" i="13"/>
  <c r="S538" i="13" l="1"/>
  <c r="U537" i="13"/>
  <c r="S539" i="13" l="1"/>
  <c r="U538" i="13"/>
  <c r="S540" i="13" l="1"/>
  <c r="U539" i="13"/>
  <c r="S541" i="13" l="1"/>
  <c r="U540" i="13"/>
  <c r="S542" i="13" l="1"/>
  <c r="U541" i="13"/>
  <c r="S543" i="13" l="1"/>
  <c r="U542" i="13"/>
  <c r="S544" i="13" l="1"/>
  <c r="U543" i="13"/>
  <c r="S545" i="13" l="1"/>
  <c r="U544" i="13"/>
  <c r="S546" i="13" l="1"/>
  <c r="U545" i="13"/>
  <c r="S547" i="13" l="1"/>
  <c r="U546" i="13"/>
  <c r="S548" i="13" l="1"/>
  <c r="U547" i="13"/>
  <c r="S549" i="13" l="1"/>
  <c r="U548" i="13"/>
  <c r="S550" i="13" l="1"/>
  <c r="U549" i="13"/>
  <c r="S551" i="13" l="1"/>
  <c r="U550" i="13"/>
  <c r="S552" i="13" l="1"/>
  <c r="U551" i="13"/>
  <c r="S553" i="13" l="1"/>
  <c r="U552" i="13"/>
  <c r="S554" i="13" l="1"/>
  <c r="U553" i="13"/>
  <c r="S555" i="13" l="1"/>
  <c r="U554" i="13"/>
  <c r="S556" i="13" l="1"/>
  <c r="U555" i="13"/>
  <c r="S557" i="13" l="1"/>
  <c r="U556" i="13"/>
  <c r="S558" i="13" l="1"/>
  <c r="U557" i="13"/>
  <c r="S559" i="13" l="1"/>
  <c r="U558" i="13"/>
  <c r="S560" i="13" l="1"/>
  <c r="U559" i="13"/>
  <c r="S561" i="13" l="1"/>
  <c r="U560" i="13"/>
  <c r="S562" i="13" l="1"/>
  <c r="U561" i="13"/>
  <c r="S563" i="13" l="1"/>
  <c r="U562" i="13"/>
  <c r="S564" i="13" l="1"/>
  <c r="U563" i="13"/>
  <c r="S565" i="13" l="1"/>
  <c r="U564" i="13"/>
  <c r="S566" i="13" l="1"/>
  <c r="U565" i="13"/>
  <c r="S567" i="13" l="1"/>
  <c r="U566" i="13"/>
  <c r="S568" i="13" l="1"/>
  <c r="U567" i="13"/>
  <c r="S569" i="13" l="1"/>
  <c r="U568" i="13"/>
  <c r="S570" i="13" l="1"/>
  <c r="U569" i="13"/>
  <c r="S571" i="13" l="1"/>
  <c r="U570" i="13"/>
  <c r="S572" i="13" l="1"/>
  <c r="U571" i="13"/>
  <c r="S573" i="13" l="1"/>
  <c r="U572" i="13"/>
  <c r="S574" i="13" l="1"/>
  <c r="U573" i="13"/>
  <c r="S575" i="13" l="1"/>
  <c r="U574" i="13"/>
  <c r="S576" i="13" l="1"/>
  <c r="U575" i="13"/>
  <c r="S577" i="13" l="1"/>
  <c r="U576" i="13"/>
  <c r="S578" i="13" l="1"/>
  <c r="U577" i="13"/>
  <c r="S579" i="13" l="1"/>
  <c r="U578" i="13"/>
  <c r="S580" i="13" l="1"/>
  <c r="U579" i="13"/>
  <c r="S581" i="13" l="1"/>
  <c r="U580" i="13"/>
  <c r="S582" i="13" l="1"/>
  <c r="U581" i="13"/>
  <c r="S583" i="13" l="1"/>
  <c r="U582" i="13"/>
  <c r="S584" i="13" l="1"/>
  <c r="U583" i="13"/>
  <c r="S585" i="13" l="1"/>
  <c r="U584" i="13"/>
  <c r="S586" i="13" l="1"/>
  <c r="U585" i="13"/>
  <c r="S587" i="13" l="1"/>
  <c r="U586" i="13"/>
  <c r="S588" i="13" l="1"/>
  <c r="U587" i="13"/>
  <c r="S589" i="13" l="1"/>
  <c r="U588" i="13"/>
  <c r="S590" i="13" l="1"/>
  <c r="U589" i="13"/>
  <c r="S591" i="13" l="1"/>
  <c r="U590" i="13"/>
  <c r="S592" i="13" l="1"/>
  <c r="U591" i="13"/>
  <c r="S593" i="13" l="1"/>
  <c r="U592" i="13"/>
  <c r="S594" i="13" l="1"/>
  <c r="U593" i="13"/>
  <c r="S595" i="13" l="1"/>
  <c r="U594" i="13"/>
  <c r="S596" i="13" l="1"/>
  <c r="U595" i="13"/>
  <c r="S597" i="13" l="1"/>
  <c r="U596" i="13"/>
  <c r="S598" i="13" l="1"/>
  <c r="U597" i="13"/>
  <c r="S599" i="13" l="1"/>
  <c r="U598" i="13"/>
  <c r="S600" i="13" l="1"/>
  <c r="U599" i="13"/>
  <c r="S601" i="13" l="1"/>
  <c r="U600" i="13"/>
  <c r="S602" i="13" l="1"/>
  <c r="U601" i="13"/>
  <c r="S603" i="13" l="1"/>
  <c r="U602" i="13"/>
  <c r="S604" i="13" l="1"/>
  <c r="U603" i="13"/>
  <c r="S605" i="13" l="1"/>
  <c r="U604" i="13"/>
  <c r="S606" i="13" l="1"/>
  <c r="U605" i="13"/>
  <c r="S607" i="13" l="1"/>
  <c r="U606" i="13"/>
  <c r="S608" i="13" l="1"/>
  <c r="U607" i="13"/>
  <c r="S609" i="13" l="1"/>
  <c r="U608" i="13"/>
  <c r="S610" i="13" l="1"/>
  <c r="U609" i="13"/>
  <c r="S611" i="13" l="1"/>
  <c r="U610" i="13"/>
  <c r="S612" i="13" l="1"/>
  <c r="U611" i="13"/>
  <c r="S613" i="13" l="1"/>
  <c r="U612" i="13"/>
  <c r="S614" i="13" l="1"/>
  <c r="U613" i="13"/>
  <c r="S615" i="13" l="1"/>
  <c r="U614" i="13"/>
  <c r="S616" i="13" l="1"/>
  <c r="U615" i="13"/>
  <c r="S617" i="13" l="1"/>
  <c r="U616" i="13"/>
  <c r="S618" i="13" l="1"/>
  <c r="U617" i="13"/>
  <c r="S619" i="13" l="1"/>
  <c r="U618" i="13"/>
  <c r="S620" i="13" l="1"/>
  <c r="U619" i="13"/>
  <c r="S621" i="13" l="1"/>
  <c r="U620" i="13"/>
  <c r="S622" i="13" l="1"/>
  <c r="U621" i="13"/>
  <c r="S623" i="13" l="1"/>
  <c r="U622" i="13"/>
  <c r="S624" i="13" l="1"/>
  <c r="U623" i="13"/>
  <c r="S625" i="13" l="1"/>
  <c r="U624" i="13"/>
  <c r="S626" i="13" l="1"/>
  <c r="U625" i="13"/>
  <c r="S627" i="13" l="1"/>
  <c r="U626" i="13"/>
  <c r="S628" i="13" l="1"/>
  <c r="U627" i="13"/>
  <c r="S629" i="13" l="1"/>
  <c r="U628" i="13"/>
  <c r="S630" i="13" l="1"/>
  <c r="U629" i="13"/>
  <c r="S631" i="13" l="1"/>
  <c r="U630" i="13"/>
  <c r="S632" i="13" l="1"/>
  <c r="U631" i="13"/>
  <c r="S633" i="13" l="1"/>
  <c r="U632" i="13"/>
  <c r="S634" i="13" l="1"/>
  <c r="U633" i="13"/>
  <c r="S635" i="13" l="1"/>
  <c r="U634" i="13"/>
  <c r="S636" i="13" l="1"/>
  <c r="U635" i="13"/>
  <c r="S637" i="13" l="1"/>
  <c r="U636" i="13"/>
  <c r="S638" i="13" l="1"/>
  <c r="U637" i="13"/>
  <c r="S639" i="13" l="1"/>
  <c r="U638" i="13"/>
  <c r="S640" i="13" l="1"/>
  <c r="U639" i="13"/>
  <c r="S641" i="13" l="1"/>
  <c r="U640" i="13"/>
  <c r="S642" i="13" l="1"/>
  <c r="U641" i="13"/>
  <c r="S643" i="13" l="1"/>
  <c r="U642" i="13"/>
  <c r="S644" i="13" l="1"/>
  <c r="U643" i="13"/>
  <c r="S645" i="13" l="1"/>
  <c r="U644" i="13"/>
  <c r="S646" i="13" l="1"/>
  <c r="U645" i="13"/>
  <c r="S647" i="13" l="1"/>
  <c r="U646" i="13"/>
  <c r="S648" i="13" l="1"/>
  <c r="U647" i="13"/>
  <c r="S649" i="13" l="1"/>
  <c r="U648" i="13"/>
  <c r="S650" i="13" l="1"/>
  <c r="U649" i="13"/>
  <c r="S651" i="13" l="1"/>
  <c r="U650" i="13"/>
  <c r="S652" i="13" l="1"/>
  <c r="U651" i="13"/>
  <c r="S653" i="13" l="1"/>
  <c r="U652" i="13"/>
  <c r="S654" i="13" l="1"/>
  <c r="U653" i="13"/>
  <c r="S655" i="13" l="1"/>
  <c r="U654" i="13"/>
  <c r="S656" i="13" l="1"/>
  <c r="U655" i="13"/>
  <c r="S657" i="13" l="1"/>
  <c r="U656" i="13"/>
  <c r="S658" i="13" l="1"/>
  <c r="U657" i="13"/>
  <c r="S659" i="13" l="1"/>
  <c r="U658" i="13"/>
  <c r="S660" i="13" l="1"/>
  <c r="U659" i="13"/>
  <c r="S661" i="13" l="1"/>
  <c r="U660" i="13"/>
  <c r="S662" i="13" l="1"/>
  <c r="U661" i="13"/>
  <c r="S663" i="13" l="1"/>
  <c r="U662" i="13"/>
  <c r="S664" i="13" l="1"/>
  <c r="U663" i="13"/>
  <c r="S665" i="13" l="1"/>
  <c r="U664" i="13"/>
  <c r="S666" i="13" l="1"/>
  <c r="U665" i="13"/>
  <c r="S667" i="13" l="1"/>
  <c r="U666" i="13"/>
  <c r="S668" i="13" l="1"/>
  <c r="U667" i="13"/>
  <c r="S669" i="13" l="1"/>
  <c r="U668" i="13"/>
  <c r="S670" i="13" l="1"/>
  <c r="U669" i="13"/>
  <c r="S671" i="13" l="1"/>
  <c r="U670" i="13"/>
  <c r="S672" i="13" l="1"/>
  <c r="U671" i="13"/>
  <c r="S673" i="13" l="1"/>
  <c r="U672" i="13"/>
  <c r="S674" i="13" l="1"/>
  <c r="U673" i="13"/>
  <c r="S675" i="13" l="1"/>
  <c r="U674" i="13"/>
  <c r="S676" i="13" l="1"/>
  <c r="U675" i="13"/>
  <c r="S677" i="13" l="1"/>
  <c r="U676" i="13"/>
  <c r="S678" i="13" l="1"/>
  <c r="U677" i="13"/>
  <c r="S679" i="13" l="1"/>
  <c r="U678" i="13"/>
  <c r="S680" i="13" l="1"/>
  <c r="U679" i="13"/>
  <c r="S681" i="13" l="1"/>
  <c r="U680" i="13"/>
  <c r="S682" i="13" l="1"/>
  <c r="U681" i="13"/>
  <c r="S683" i="13" l="1"/>
  <c r="U682" i="13"/>
  <c r="S684" i="13" l="1"/>
  <c r="U683" i="13"/>
  <c r="S685" i="13" l="1"/>
  <c r="U684" i="13"/>
  <c r="S686" i="13" l="1"/>
  <c r="U685" i="13"/>
  <c r="S687" i="13" l="1"/>
  <c r="U686" i="13"/>
  <c r="S688" i="13" l="1"/>
  <c r="U687" i="13"/>
  <c r="S689" i="13" l="1"/>
  <c r="U688" i="13"/>
  <c r="S690" i="13" l="1"/>
  <c r="U689" i="13"/>
  <c r="S691" i="13" l="1"/>
  <c r="U690" i="13"/>
  <c r="S692" i="13" l="1"/>
  <c r="U691" i="13"/>
  <c r="S693" i="13" l="1"/>
  <c r="U692" i="13"/>
  <c r="S694" i="13" l="1"/>
  <c r="U693" i="13"/>
  <c r="S695" i="13" l="1"/>
  <c r="U694" i="13"/>
  <c r="S696" i="13" l="1"/>
  <c r="U695" i="13"/>
  <c r="S697" i="13" l="1"/>
  <c r="U696" i="13"/>
  <c r="S698" i="13" l="1"/>
  <c r="U697" i="13"/>
  <c r="S699" i="13" l="1"/>
  <c r="U698" i="13"/>
  <c r="S700" i="13" l="1"/>
  <c r="U699" i="13"/>
  <c r="S701" i="13" l="1"/>
  <c r="U700" i="13"/>
  <c r="S702" i="13" l="1"/>
  <c r="U701" i="13"/>
  <c r="S703" i="13" l="1"/>
  <c r="U702" i="13"/>
  <c r="S704" i="13" l="1"/>
  <c r="U703" i="13"/>
  <c r="S705" i="13" l="1"/>
  <c r="U704" i="13"/>
  <c r="S706" i="13" l="1"/>
  <c r="U705" i="13"/>
  <c r="S707" i="13" l="1"/>
  <c r="U706" i="13"/>
  <c r="S708" i="13" l="1"/>
  <c r="U707" i="13"/>
  <c r="S709" i="13" l="1"/>
  <c r="U708" i="13"/>
  <c r="S710" i="13" l="1"/>
  <c r="U709" i="13"/>
  <c r="S711" i="13" l="1"/>
  <c r="U710" i="13"/>
  <c r="S712" i="13" l="1"/>
  <c r="U711" i="13"/>
  <c r="S713" i="13" l="1"/>
  <c r="U712" i="13"/>
  <c r="S714" i="13" l="1"/>
  <c r="U713" i="13"/>
  <c r="S715" i="13" l="1"/>
  <c r="U714" i="13"/>
  <c r="S716" i="13" l="1"/>
  <c r="U715" i="13"/>
  <c r="S717" i="13" l="1"/>
  <c r="U716" i="13"/>
  <c r="S718" i="13" l="1"/>
  <c r="U717" i="13"/>
  <c r="S719" i="13" l="1"/>
  <c r="U718" i="13"/>
  <c r="S720" i="13" l="1"/>
  <c r="U719" i="13"/>
  <c r="S721" i="13" l="1"/>
  <c r="U720" i="13"/>
  <c r="S722" i="13" l="1"/>
  <c r="U721" i="13"/>
  <c r="S723" i="13" l="1"/>
  <c r="U722" i="13"/>
  <c r="S724" i="13" l="1"/>
  <c r="U723" i="13"/>
  <c r="S725" i="13" l="1"/>
  <c r="U724" i="13"/>
  <c r="S726" i="13" l="1"/>
  <c r="U725" i="13"/>
  <c r="S727" i="13" l="1"/>
  <c r="U726" i="13"/>
  <c r="S728" i="13" l="1"/>
  <c r="U727" i="13"/>
  <c r="S729" i="13" l="1"/>
  <c r="U728" i="13"/>
  <c r="S730" i="13" l="1"/>
  <c r="U729" i="13"/>
  <c r="S731" i="13" l="1"/>
  <c r="U730" i="13"/>
  <c r="S732" i="13" l="1"/>
  <c r="U731" i="13"/>
  <c r="S733" i="13" l="1"/>
  <c r="U732" i="13"/>
  <c r="S734" i="13" l="1"/>
  <c r="U733" i="13"/>
  <c r="S735" i="13" l="1"/>
  <c r="U734" i="13"/>
  <c r="S736" i="13" l="1"/>
  <c r="U735" i="13"/>
  <c r="S737" i="13" l="1"/>
  <c r="U736" i="13"/>
  <c r="S738" i="13" l="1"/>
  <c r="U737" i="13"/>
  <c r="S739" i="13" l="1"/>
  <c r="U738" i="13"/>
  <c r="S740" i="13" l="1"/>
  <c r="U739" i="13"/>
  <c r="S741" i="13" l="1"/>
  <c r="U740" i="13"/>
  <c r="S742" i="13" l="1"/>
  <c r="U741" i="13"/>
  <c r="S743" i="13" l="1"/>
  <c r="U742" i="13"/>
  <c r="S744" i="13" l="1"/>
  <c r="U743" i="13"/>
  <c r="S745" i="13" l="1"/>
  <c r="U744" i="13"/>
  <c r="S746" i="13" l="1"/>
  <c r="U745" i="13"/>
  <c r="S747" i="13" l="1"/>
  <c r="U746" i="13"/>
  <c r="S748" i="13" l="1"/>
  <c r="U747" i="13"/>
  <c r="S749" i="13" l="1"/>
  <c r="U748" i="13"/>
  <c r="S750" i="13" l="1"/>
  <c r="U749" i="13"/>
  <c r="S751" i="13" l="1"/>
  <c r="U750" i="13"/>
  <c r="S752" i="13" l="1"/>
  <c r="U751" i="13"/>
  <c r="S753" i="13" l="1"/>
  <c r="U752" i="13"/>
  <c r="S754" i="13" l="1"/>
  <c r="U753" i="13"/>
  <c r="S755" i="13" l="1"/>
  <c r="U754" i="13"/>
  <c r="S756" i="13" l="1"/>
  <c r="U755" i="13"/>
  <c r="S757" i="13" l="1"/>
  <c r="U756" i="13"/>
  <c r="S758" i="13" l="1"/>
  <c r="U757" i="13"/>
  <c r="S759" i="13" l="1"/>
  <c r="U758" i="13"/>
  <c r="S760" i="13" l="1"/>
  <c r="U759" i="13"/>
  <c r="S761" i="13" l="1"/>
  <c r="U760" i="13"/>
  <c r="S762" i="13" l="1"/>
  <c r="U761" i="13"/>
  <c r="S763" i="13" l="1"/>
  <c r="U762" i="13"/>
  <c r="S764" i="13" l="1"/>
  <c r="U763" i="13"/>
  <c r="S765" i="13" l="1"/>
  <c r="U764" i="13"/>
  <c r="S766" i="13" l="1"/>
  <c r="U765" i="13"/>
  <c r="S767" i="13" l="1"/>
  <c r="U766" i="13"/>
  <c r="S768" i="13" l="1"/>
  <c r="U767" i="13"/>
  <c r="S769" i="13" l="1"/>
  <c r="U768" i="13"/>
  <c r="S770" i="13" l="1"/>
  <c r="U769" i="13"/>
  <c r="S771" i="13" l="1"/>
  <c r="U770" i="13"/>
  <c r="S772" i="13" l="1"/>
  <c r="U771" i="13"/>
  <c r="S773" i="13" l="1"/>
  <c r="U772" i="13"/>
  <c r="S774" i="13" l="1"/>
  <c r="U773" i="13"/>
  <c r="S775" i="13" l="1"/>
  <c r="U774" i="13"/>
  <c r="S776" i="13" l="1"/>
  <c r="U775" i="13"/>
  <c r="S777" i="13" l="1"/>
  <c r="U776" i="13"/>
  <c r="S778" i="13" l="1"/>
  <c r="U777" i="13"/>
  <c r="S779" i="13" l="1"/>
  <c r="U778" i="13"/>
  <c r="S780" i="13" l="1"/>
  <c r="U779" i="13"/>
  <c r="S781" i="13" l="1"/>
  <c r="U780" i="13"/>
  <c r="S782" i="13" l="1"/>
  <c r="U781" i="13"/>
  <c r="S783" i="13" l="1"/>
  <c r="U782" i="13"/>
  <c r="S784" i="13" l="1"/>
  <c r="U783" i="13"/>
  <c r="S785" i="13" l="1"/>
  <c r="U784" i="13"/>
  <c r="S786" i="13" l="1"/>
  <c r="U785" i="13"/>
  <c r="S787" i="13" l="1"/>
  <c r="U786" i="13"/>
  <c r="S788" i="13" l="1"/>
  <c r="U787" i="13"/>
  <c r="S789" i="13" l="1"/>
  <c r="U788" i="13"/>
  <c r="S790" i="13" l="1"/>
  <c r="U789" i="13"/>
  <c r="S791" i="13" l="1"/>
  <c r="U790" i="13"/>
  <c r="S792" i="13" l="1"/>
  <c r="U791" i="13"/>
  <c r="S793" i="13" l="1"/>
  <c r="U792" i="13"/>
  <c r="S794" i="13" l="1"/>
  <c r="U793" i="13"/>
  <c r="S795" i="13" l="1"/>
  <c r="U794" i="13"/>
  <c r="S796" i="13" l="1"/>
  <c r="U795" i="13"/>
  <c r="S797" i="13" l="1"/>
  <c r="U796" i="13"/>
  <c r="S798" i="13" l="1"/>
  <c r="U797" i="13"/>
  <c r="S799" i="13" l="1"/>
  <c r="U798" i="13"/>
  <c r="S800" i="13" l="1"/>
  <c r="U799" i="13"/>
  <c r="S801" i="13" l="1"/>
  <c r="U800" i="13"/>
  <c r="S802" i="13" l="1"/>
  <c r="U801" i="13"/>
  <c r="S803" i="13" l="1"/>
  <c r="U802" i="13"/>
  <c r="S804" i="13" l="1"/>
  <c r="U803" i="13"/>
  <c r="S805" i="13" l="1"/>
  <c r="U804" i="13"/>
  <c r="S806" i="13" l="1"/>
  <c r="U805" i="13"/>
  <c r="S807" i="13" l="1"/>
  <c r="U806" i="13"/>
  <c r="S808" i="13" l="1"/>
  <c r="U807" i="13"/>
  <c r="S809" i="13" l="1"/>
  <c r="U808" i="13"/>
  <c r="S810" i="13" l="1"/>
  <c r="U809" i="13"/>
  <c r="S811" i="13" l="1"/>
  <c r="U810" i="13"/>
  <c r="S812" i="13" l="1"/>
  <c r="U811" i="13"/>
  <c r="S813" i="13" l="1"/>
  <c r="U812" i="13"/>
  <c r="S814" i="13" l="1"/>
  <c r="U813" i="13"/>
  <c r="S815" i="13" l="1"/>
  <c r="U814" i="13"/>
  <c r="S816" i="13" l="1"/>
  <c r="U815" i="13"/>
  <c r="S817" i="13" l="1"/>
  <c r="U816" i="13"/>
  <c r="S818" i="13" l="1"/>
  <c r="U817" i="13"/>
  <c r="S819" i="13" l="1"/>
  <c r="U818" i="13"/>
  <c r="S820" i="13" l="1"/>
  <c r="U819" i="13"/>
  <c r="S821" i="13" l="1"/>
  <c r="U820" i="13"/>
  <c r="S822" i="13" l="1"/>
  <c r="U821" i="13"/>
  <c r="S823" i="13" l="1"/>
  <c r="U822" i="13"/>
  <c r="S824" i="13" l="1"/>
  <c r="U823" i="13"/>
  <c r="S825" i="13" l="1"/>
  <c r="U824" i="13"/>
  <c r="S826" i="13" l="1"/>
  <c r="U825" i="13"/>
  <c r="S827" i="13" l="1"/>
  <c r="U826" i="13"/>
  <c r="S828" i="13" l="1"/>
  <c r="U827" i="13"/>
  <c r="S829" i="13" l="1"/>
  <c r="U828" i="13"/>
  <c r="S830" i="13" l="1"/>
  <c r="U829" i="13"/>
  <c r="S831" i="13" l="1"/>
  <c r="U830" i="13"/>
  <c r="S832" i="13" l="1"/>
  <c r="U831" i="13"/>
  <c r="S833" i="13" l="1"/>
  <c r="U832" i="13"/>
  <c r="S834" i="13" l="1"/>
  <c r="U833" i="13"/>
  <c r="S835" i="13" l="1"/>
  <c r="U834" i="13"/>
  <c r="S836" i="13" l="1"/>
  <c r="U835" i="13"/>
  <c r="S837" i="13" l="1"/>
  <c r="U836" i="13"/>
  <c r="S838" i="13" l="1"/>
  <c r="U837" i="13"/>
  <c r="S839" i="13" l="1"/>
  <c r="U838" i="13"/>
  <c r="S840" i="13" l="1"/>
  <c r="U839" i="13"/>
  <c r="S841" i="13" l="1"/>
  <c r="U840" i="13"/>
  <c r="S842" i="13" l="1"/>
  <c r="U841" i="13"/>
  <c r="S843" i="13" l="1"/>
  <c r="U842" i="13"/>
  <c r="S844" i="13" l="1"/>
  <c r="U843" i="13"/>
  <c r="S845" i="13" l="1"/>
  <c r="U844" i="13"/>
  <c r="S846" i="13" l="1"/>
  <c r="U845" i="13"/>
  <c r="S847" i="13" l="1"/>
  <c r="U846" i="13"/>
  <c r="S848" i="13" l="1"/>
  <c r="U847" i="13"/>
  <c r="S849" i="13" l="1"/>
  <c r="U848" i="13"/>
  <c r="S850" i="13" l="1"/>
  <c r="U849" i="13"/>
  <c r="S851" i="13" l="1"/>
  <c r="U850" i="13"/>
  <c r="S852" i="13" l="1"/>
  <c r="U851" i="13"/>
  <c r="S853" i="13" l="1"/>
  <c r="U852" i="13"/>
  <c r="S854" i="13" l="1"/>
  <c r="U853" i="13"/>
  <c r="S855" i="13" l="1"/>
  <c r="U854" i="13"/>
  <c r="S856" i="13" l="1"/>
  <c r="U855" i="13"/>
  <c r="S857" i="13" l="1"/>
  <c r="U856" i="13"/>
  <c r="S858" i="13" l="1"/>
  <c r="U857" i="13"/>
  <c r="S859" i="13" l="1"/>
  <c r="U858" i="13"/>
  <c r="S860" i="13" l="1"/>
  <c r="U859" i="13"/>
  <c r="S861" i="13" l="1"/>
  <c r="U860" i="13"/>
  <c r="S862" i="13" l="1"/>
  <c r="U861" i="13"/>
  <c r="S863" i="13" l="1"/>
  <c r="U862" i="13"/>
  <c r="S864" i="13" l="1"/>
  <c r="U863" i="13"/>
  <c r="S865" i="13" l="1"/>
  <c r="U864" i="13"/>
  <c r="S866" i="13" l="1"/>
  <c r="U865" i="13"/>
  <c r="S867" i="13" l="1"/>
  <c r="U866" i="13"/>
  <c r="S868" i="13" l="1"/>
  <c r="U867" i="13"/>
  <c r="S869" i="13" l="1"/>
  <c r="U868" i="13"/>
  <c r="S870" i="13" l="1"/>
  <c r="U869" i="13"/>
  <c r="S871" i="13" l="1"/>
  <c r="U870" i="13"/>
  <c r="S872" i="13" l="1"/>
  <c r="U871" i="13"/>
  <c r="S873" i="13" l="1"/>
  <c r="U872" i="13"/>
  <c r="S874" i="13" l="1"/>
  <c r="U873" i="13"/>
  <c r="S875" i="13" l="1"/>
  <c r="U874" i="13"/>
  <c r="S876" i="13" l="1"/>
  <c r="U875" i="13"/>
  <c r="S877" i="13" l="1"/>
  <c r="U876" i="13"/>
  <c r="S878" i="13" l="1"/>
  <c r="U877" i="13"/>
  <c r="S879" i="13" l="1"/>
  <c r="U878" i="13"/>
  <c r="S880" i="13" l="1"/>
  <c r="U879" i="13"/>
  <c r="S881" i="13" l="1"/>
  <c r="U880" i="13"/>
  <c r="S882" i="13" l="1"/>
  <c r="U881" i="13"/>
  <c r="S883" i="13" l="1"/>
  <c r="U882" i="13"/>
  <c r="S884" i="13" l="1"/>
  <c r="U883" i="13"/>
  <c r="S885" i="13" l="1"/>
  <c r="U884" i="13"/>
  <c r="S886" i="13" l="1"/>
  <c r="U885" i="13"/>
  <c r="S887" i="13" l="1"/>
  <c r="U886" i="13"/>
  <c r="S888" i="13" l="1"/>
  <c r="U887" i="13"/>
  <c r="S889" i="13" l="1"/>
  <c r="U888" i="13"/>
  <c r="S890" i="13" l="1"/>
  <c r="U889" i="13"/>
  <c r="S891" i="13" l="1"/>
  <c r="U890" i="13"/>
  <c r="S892" i="13" l="1"/>
  <c r="U891" i="13"/>
  <c r="S893" i="13" l="1"/>
  <c r="U892" i="13"/>
  <c r="S894" i="13" l="1"/>
  <c r="U893" i="13"/>
  <c r="S895" i="13" l="1"/>
  <c r="U894" i="13"/>
  <c r="S896" i="13" l="1"/>
  <c r="U895" i="13"/>
  <c r="S897" i="13" l="1"/>
  <c r="U896" i="13"/>
  <c r="S898" i="13" l="1"/>
  <c r="U897" i="13"/>
  <c r="S899" i="13" l="1"/>
  <c r="U898" i="13"/>
  <c r="S900" i="13" l="1"/>
  <c r="U899" i="13"/>
  <c r="S901" i="13" l="1"/>
  <c r="U900" i="13"/>
  <c r="S902" i="13" l="1"/>
  <c r="U901" i="13"/>
  <c r="S903" i="13" l="1"/>
  <c r="U902" i="13"/>
  <c r="S904" i="13" l="1"/>
  <c r="U903" i="13"/>
  <c r="S905" i="13" l="1"/>
  <c r="U904" i="13"/>
  <c r="S906" i="13" l="1"/>
  <c r="U905" i="13"/>
  <c r="S907" i="13" l="1"/>
  <c r="U906" i="13"/>
  <c r="S908" i="13" l="1"/>
  <c r="U907" i="13"/>
  <c r="S909" i="13" l="1"/>
  <c r="U908" i="13"/>
  <c r="S910" i="13" l="1"/>
  <c r="U909" i="13"/>
  <c r="S911" i="13" l="1"/>
  <c r="U910" i="13"/>
  <c r="S912" i="13" l="1"/>
  <c r="U911" i="13"/>
  <c r="S913" i="13" l="1"/>
  <c r="U912" i="13"/>
  <c r="S914" i="13" l="1"/>
  <c r="U913" i="13"/>
  <c r="S915" i="13" l="1"/>
  <c r="U914" i="13"/>
  <c r="S916" i="13" l="1"/>
  <c r="U915" i="13"/>
  <c r="S917" i="13" l="1"/>
  <c r="U916" i="13"/>
  <c r="S918" i="13" l="1"/>
  <c r="U917" i="13"/>
  <c r="S919" i="13" l="1"/>
  <c r="U918" i="13"/>
  <c r="S920" i="13" l="1"/>
  <c r="U919" i="13"/>
  <c r="S921" i="13" l="1"/>
  <c r="U920" i="13"/>
  <c r="S922" i="13" l="1"/>
  <c r="U921" i="13"/>
  <c r="S923" i="13" l="1"/>
  <c r="U922" i="13"/>
  <c r="S924" i="13" l="1"/>
  <c r="U923" i="13"/>
  <c r="S925" i="13" l="1"/>
  <c r="U924" i="13"/>
  <c r="S926" i="13" l="1"/>
  <c r="U925" i="13"/>
  <c r="S927" i="13" l="1"/>
  <c r="U926" i="13"/>
  <c r="S928" i="13" l="1"/>
  <c r="U927" i="13"/>
  <c r="S929" i="13" l="1"/>
  <c r="U928" i="13"/>
  <c r="S930" i="13" l="1"/>
  <c r="U929" i="13"/>
  <c r="S931" i="13" l="1"/>
  <c r="U930" i="13"/>
  <c r="S932" i="13" l="1"/>
  <c r="U931" i="13"/>
  <c r="S933" i="13" l="1"/>
  <c r="U932" i="13"/>
  <c r="S934" i="13" l="1"/>
  <c r="U933" i="13"/>
  <c r="S935" i="13" l="1"/>
  <c r="U934" i="13"/>
  <c r="S936" i="13" l="1"/>
  <c r="U935" i="13"/>
  <c r="S937" i="13" l="1"/>
  <c r="U936" i="13"/>
  <c r="S938" i="13" l="1"/>
  <c r="U937" i="13"/>
  <c r="S939" i="13" l="1"/>
  <c r="U938" i="13"/>
  <c r="S940" i="13" l="1"/>
  <c r="U939" i="13"/>
  <c r="S941" i="13" l="1"/>
  <c r="U940" i="13"/>
  <c r="S942" i="13" l="1"/>
  <c r="U941" i="13"/>
  <c r="S943" i="13" l="1"/>
  <c r="U942" i="13"/>
  <c r="S944" i="13" l="1"/>
  <c r="U943" i="13"/>
  <c r="S945" i="13" l="1"/>
  <c r="U944" i="13"/>
  <c r="S946" i="13" l="1"/>
  <c r="U945" i="13"/>
  <c r="S947" i="13" l="1"/>
  <c r="U946" i="13"/>
  <c r="S948" i="13" l="1"/>
  <c r="U947" i="13"/>
  <c r="S949" i="13" l="1"/>
  <c r="U948" i="13"/>
  <c r="S950" i="13" l="1"/>
  <c r="U949" i="13"/>
  <c r="S951" i="13" l="1"/>
  <c r="U950" i="13"/>
  <c r="S952" i="13" l="1"/>
  <c r="U951" i="13"/>
  <c r="S953" i="13" l="1"/>
  <c r="U952" i="13"/>
  <c r="S954" i="13" l="1"/>
  <c r="U953" i="13"/>
  <c r="S955" i="13" l="1"/>
  <c r="U954" i="13"/>
  <c r="S956" i="13" l="1"/>
  <c r="U955" i="13"/>
  <c r="S957" i="13" l="1"/>
  <c r="U956" i="13"/>
  <c r="S958" i="13" l="1"/>
  <c r="U957" i="13"/>
  <c r="S959" i="13" l="1"/>
  <c r="U958" i="13"/>
  <c r="S960" i="13" l="1"/>
  <c r="U959" i="13"/>
  <c r="S961" i="13" l="1"/>
  <c r="U960" i="13"/>
  <c r="S962" i="13" l="1"/>
  <c r="U961" i="13"/>
  <c r="S963" i="13" l="1"/>
  <c r="U962" i="13"/>
  <c r="S964" i="13" l="1"/>
  <c r="U963" i="13"/>
  <c r="S965" i="13" l="1"/>
  <c r="U964" i="13"/>
  <c r="S966" i="13" l="1"/>
  <c r="U965" i="13"/>
  <c r="S967" i="13" l="1"/>
  <c r="U966" i="13"/>
  <c r="S968" i="13" l="1"/>
  <c r="U967" i="13"/>
  <c r="S969" i="13" l="1"/>
  <c r="U968" i="13"/>
  <c r="S970" i="13" l="1"/>
  <c r="U969" i="13"/>
  <c r="S971" i="13" l="1"/>
  <c r="U970" i="13"/>
  <c r="S972" i="13" l="1"/>
  <c r="U971" i="13"/>
  <c r="S973" i="13" l="1"/>
  <c r="U972" i="13"/>
  <c r="S974" i="13" l="1"/>
  <c r="U973" i="13"/>
  <c r="S975" i="13" l="1"/>
  <c r="U974" i="13"/>
  <c r="S976" i="13" l="1"/>
  <c r="U975" i="13"/>
  <c r="S977" i="13" l="1"/>
  <c r="U976" i="13"/>
  <c r="S978" i="13" l="1"/>
  <c r="U977" i="13"/>
  <c r="S979" i="13" l="1"/>
  <c r="U978" i="13"/>
  <c r="S980" i="13" l="1"/>
  <c r="U979" i="13"/>
  <c r="S981" i="13" l="1"/>
  <c r="U980" i="13"/>
  <c r="S982" i="13" l="1"/>
  <c r="U981" i="13"/>
  <c r="S983" i="13" l="1"/>
  <c r="U982" i="13"/>
  <c r="S984" i="13" l="1"/>
  <c r="U983" i="13"/>
  <c r="S985" i="13" l="1"/>
  <c r="U984" i="13"/>
  <c r="S986" i="13" l="1"/>
  <c r="U985" i="13"/>
  <c r="S987" i="13" l="1"/>
  <c r="U986" i="13"/>
  <c r="S988" i="13" l="1"/>
  <c r="U987" i="13"/>
  <c r="S989" i="13" l="1"/>
  <c r="U988" i="13"/>
  <c r="S990" i="13" l="1"/>
  <c r="U989" i="13"/>
  <c r="S991" i="13" l="1"/>
  <c r="U990" i="13"/>
  <c r="S992" i="13" l="1"/>
  <c r="U991" i="13"/>
  <c r="S993" i="13" l="1"/>
  <c r="U992" i="13"/>
  <c r="S994" i="13" l="1"/>
  <c r="U993" i="13"/>
  <c r="S995" i="13" l="1"/>
  <c r="U994" i="13"/>
  <c r="S996" i="13" l="1"/>
  <c r="U995" i="13"/>
  <c r="S997" i="13" l="1"/>
  <c r="U996" i="13"/>
  <c r="S998" i="13" l="1"/>
  <c r="U997" i="13"/>
  <c r="S999" i="13" l="1"/>
  <c r="U998" i="13"/>
  <c r="S1000" i="13" l="1"/>
  <c r="U999" i="13"/>
  <c r="S1001" i="13" l="1"/>
  <c r="U1000" i="13"/>
  <c r="S1002" i="13" l="1"/>
  <c r="U1001" i="13"/>
  <c r="S1003" i="13" l="1"/>
  <c r="U1002" i="13"/>
  <c r="S1004" i="13" l="1"/>
  <c r="U1003" i="13"/>
  <c r="S1005" i="13" l="1"/>
  <c r="U1004" i="13"/>
  <c r="S1006" i="13" l="1"/>
  <c r="U1005" i="13"/>
  <c r="S1007" i="13" l="1"/>
  <c r="U1006" i="13"/>
  <c r="S1008" i="13" l="1"/>
  <c r="U1007" i="13"/>
  <c r="S1009" i="13" l="1"/>
  <c r="U1008" i="13"/>
  <c r="S1010" i="13" l="1"/>
  <c r="U1009" i="13"/>
  <c r="S1011" i="13" l="1"/>
  <c r="U1010" i="13"/>
  <c r="S1012" i="13" l="1"/>
  <c r="U1011" i="13"/>
  <c r="S1013" i="13" l="1"/>
  <c r="U1012" i="13"/>
  <c r="S1014" i="13" l="1"/>
  <c r="U1013" i="13"/>
  <c r="S1015" i="13" l="1"/>
  <c r="U1014" i="13"/>
  <c r="S1016" i="13" l="1"/>
  <c r="U1015" i="13"/>
  <c r="S1017" i="13" l="1"/>
  <c r="U1016" i="13"/>
  <c r="S1018" i="13" l="1"/>
  <c r="U1017" i="13"/>
  <c r="S1019" i="13" l="1"/>
  <c r="U1018" i="13"/>
  <c r="S1020" i="13" l="1"/>
  <c r="U1019" i="13"/>
  <c r="S1021" i="13" l="1"/>
  <c r="U1020" i="13"/>
  <c r="S1022" i="13" l="1"/>
  <c r="U1021" i="13"/>
  <c r="S1023" i="13" l="1"/>
  <c r="U1022" i="13"/>
  <c r="S1024" i="13" l="1"/>
  <c r="U1023" i="13"/>
  <c r="S1025" i="13" l="1"/>
  <c r="U1024" i="13"/>
  <c r="S1026" i="13" l="1"/>
  <c r="U1025" i="13"/>
  <c r="S1027" i="13" l="1"/>
  <c r="U1026" i="13"/>
  <c r="S1028" i="13" l="1"/>
  <c r="U1027" i="13"/>
  <c r="S1029" i="13" l="1"/>
  <c r="U1028" i="13"/>
  <c r="S1030" i="13" l="1"/>
  <c r="U1029" i="13"/>
  <c r="S1031" i="13" l="1"/>
  <c r="U1030" i="13"/>
  <c r="S1032" i="13" l="1"/>
  <c r="U1031" i="13"/>
  <c r="S1033" i="13" l="1"/>
  <c r="U1032" i="13"/>
  <c r="S1034" i="13" l="1"/>
  <c r="U1033" i="13"/>
  <c r="S1035" i="13" l="1"/>
  <c r="U1034" i="13"/>
  <c r="S1036" i="13" l="1"/>
  <c r="U1035" i="13"/>
  <c r="S1037" i="13" l="1"/>
  <c r="U1036" i="13"/>
  <c r="S1038" i="13" l="1"/>
  <c r="U1037" i="13"/>
  <c r="S1039" i="13" l="1"/>
  <c r="U1038" i="13"/>
  <c r="S1040" i="13" l="1"/>
  <c r="U1039" i="13"/>
  <c r="S1041" i="13" l="1"/>
  <c r="U1040" i="13"/>
  <c r="S1042" i="13" l="1"/>
  <c r="U1041" i="13"/>
  <c r="S1043" i="13" l="1"/>
  <c r="U1042" i="13"/>
  <c r="S1044" i="13" l="1"/>
  <c r="U1043" i="13"/>
  <c r="S1045" i="13" l="1"/>
  <c r="U1044" i="13"/>
  <c r="S1046" i="13" l="1"/>
  <c r="U1045" i="13"/>
  <c r="S1047" i="13" l="1"/>
  <c r="U1046" i="13"/>
  <c r="S1048" i="13" l="1"/>
  <c r="U1047" i="13"/>
  <c r="S1049" i="13" l="1"/>
  <c r="U1048" i="13"/>
  <c r="S1050" i="13" l="1"/>
  <c r="U1049" i="13"/>
  <c r="S1051" i="13" l="1"/>
  <c r="U1050" i="13"/>
  <c r="S1052" i="13" l="1"/>
  <c r="U1051" i="13"/>
  <c r="S1053" i="13" l="1"/>
  <c r="U1052" i="13"/>
  <c r="S1054" i="13" l="1"/>
  <c r="U1053" i="13"/>
  <c r="S1055" i="13" l="1"/>
  <c r="U1054" i="13"/>
  <c r="S1056" i="13" l="1"/>
  <c r="U1055" i="13"/>
  <c r="S1057" i="13" l="1"/>
  <c r="U1056" i="13"/>
  <c r="S1058" i="13" l="1"/>
  <c r="U1057" i="13"/>
  <c r="S1059" i="13" l="1"/>
  <c r="U1058" i="13"/>
  <c r="S1060" i="13" l="1"/>
  <c r="U1059" i="13"/>
  <c r="S1061" i="13" l="1"/>
  <c r="U1060" i="13"/>
  <c r="S1062" i="13" l="1"/>
  <c r="U1061" i="13"/>
  <c r="S1063" i="13" l="1"/>
  <c r="U1062" i="13"/>
  <c r="S1064" i="13" l="1"/>
  <c r="U1063" i="13"/>
  <c r="S1065" i="13" l="1"/>
  <c r="U1064" i="13"/>
  <c r="S1066" i="13" l="1"/>
  <c r="U1065" i="13"/>
  <c r="S1067" i="13" l="1"/>
  <c r="U1066" i="13"/>
  <c r="S1068" i="13" l="1"/>
  <c r="U1067" i="13"/>
  <c r="S1069" i="13" l="1"/>
  <c r="U1068" i="13"/>
  <c r="S1070" i="13" l="1"/>
  <c r="U1069" i="13"/>
  <c r="S1071" i="13" l="1"/>
  <c r="U1070" i="13"/>
  <c r="S1072" i="13" l="1"/>
  <c r="U1071" i="13"/>
  <c r="S1073" i="13" l="1"/>
  <c r="U1072" i="13"/>
  <c r="S1074" i="13" l="1"/>
  <c r="U1073" i="13"/>
  <c r="S1075" i="13" l="1"/>
  <c r="U1074" i="13"/>
  <c r="S1076" i="13" l="1"/>
  <c r="U1075" i="13"/>
  <c r="S1077" i="13" l="1"/>
  <c r="U1076" i="13"/>
  <c r="S1078" i="13" l="1"/>
  <c r="U1077" i="13"/>
  <c r="S1079" i="13" l="1"/>
  <c r="U1078" i="13"/>
  <c r="S1080" i="13" l="1"/>
  <c r="U1079" i="13"/>
  <c r="S1081" i="13" l="1"/>
  <c r="U1080" i="13"/>
  <c r="S1082" i="13" l="1"/>
  <c r="U1081" i="13"/>
  <c r="S1083" i="13" l="1"/>
  <c r="U1082" i="13"/>
  <c r="S1084" i="13" l="1"/>
  <c r="U1083" i="13"/>
  <c r="S1085" i="13" l="1"/>
  <c r="U1084" i="13"/>
  <c r="S1086" i="13" l="1"/>
  <c r="U1085" i="13"/>
  <c r="S1087" i="13" l="1"/>
  <c r="U1086" i="13"/>
  <c r="S1088" i="13" l="1"/>
  <c r="U1087" i="13"/>
  <c r="S1089" i="13" l="1"/>
  <c r="U1088" i="13"/>
  <c r="S1090" i="13" l="1"/>
  <c r="U1089" i="13"/>
  <c r="S1091" i="13" l="1"/>
  <c r="U1090" i="13"/>
  <c r="S1092" i="13" l="1"/>
  <c r="U1091" i="13"/>
  <c r="S1093" i="13" l="1"/>
  <c r="U1092" i="13"/>
  <c r="S1094" i="13" l="1"/>
  <c r="U1093" i="13"/>
  <c r="S1095" i="13" l="1"/>
  <c r="U1094" i="13"/>
  <c r="S1096" i="13" l="1"/>
  <c r="U1095" i="13"/>
  <c r="S1097" i="13" l="1"/>
  <c r="U1096" i="13"/>
  <c r="S1098" i="13" l="1"/>
  <c r="U1097" i="13"/>
  <c r="S1099" i="13" l="1"/>
  <c r="U1098" i="13"/>
  <c r="S1100" i="13" l="1"/>
  <c r="U1099" i="13"/>
  <c r="S1101" i="13" l="1"/>
  <c r="U1100" i="13"/>
  <c r="S1102" i="13" l="1"/>
  <c r="U1101" i="13"/>
  <c r="S1103" i="13" l="1"/>
  <c r="U1102" i="13"/>
  <c r="S1104" i="13" l="1"/>
  <c r="U1103" i="13"/>
  <c r="S1105" i="13" l="1"/>
  <c r="U1104" i="13"/>
  <c r="S1106" i="13" l="1"/>
  <c r="U1105" i="13"/>
  <c r="S1107" i="13" l="1"/>
  <c r="U1106" i="13"/>
  <c r="S1108" i="13" l="1"/>
  <c r="U1107" i="13"/>
  <c r="S1109" i="13" l="1"/>
  <c r="U1108" i="13"/>
  <c r="S1110" i="13" l="1"/>
  <c r="U1109" i="13"/>
  <c r="S1111" i="13" l="1"/>
  <c r="U1110" i="13"/>
  <c r="S1112" i="13" l="1"/>
  <c r="U1111" i="13"/>
  <c r="S1113" i="13" l="1"/>
  <c r="U1112" i="13"/>
  <c r="S1114" i="13" l="1"/>
  <c r="U1113" i="13"/>
  <c r="S1115" i="13" l="1"/>
  <c r="U1114" i="13"/>
  <c r="S1116" i="13" l="1"/>
  <c r="U1115" i="13"/>
  <c r="S1117" i="13" l="1"/>
  <c r="U1116" i="13"/>
  <c r="S1118" i="13" l="1"/>
  <c r="U1117" i="13"/>
  <c r="S1119" i="13" l="1"/>
  <c r="U1118" i="13"/>
  <c r="U1119" i="13" l="1"/>
  <c r="S1120" i="13"/>
  <c r="AJ159" i="8"/>
  <c r="AC159" i="8"/>
  <c r="AF159" i="8" s="1"/>
  <c r="AI159" i="8"/>
  <c r="AQ159" i="8" l="1"/>
  <c r="AK159" i="8"/>
  <c r="AG159" i="8"/>
  <c r="AH159" i="8" s="1"/>
  <c r="S1121" i="13"/>
  <c r="U1120" i="13"/>
  <c r="AE160" i="8"/>
  <c r="AP160" i="8" l="1"/>
  <c r="S1122" i="13"/>
  <c r="U1121" i="13"/>
  <c r="S1123" i="13" l="1"/>
  <c r="U1122" i="13"/>
  <c r="S1124" i="13" l="1"/>
  <c r="U1123" i="13"/>
  <c r="S1125" i="13" l="1"/>
  <c r="U1124" i="13"/>
  <c r="S1126" i="13" l="1"/>
  <c r="U1125" i="13"/>
  <c r="S1127" i="13" l="1"/>
  <c r="U1126" i="13"/>
  <c r="S1128" i="13" l="1"/>
  <c r="U1127" i="13"/>
  <c r="S1129" i="13" l="1"/>
  <c r="U1128" i="13"/>
  <c r="S1130" i="13" l="1"/>
  <c r="U1129" i="13"/>
  <c r="S1131" i="13" l="1"/>
  <c r="U1130" i="13"/>
  <c r="S1132" i="13" l="1"/>
  <c r="U1131" i="13"/>
  <c r="S1133" i="13" l="1"/>
  <c r="U1132" i="13"/>
  <c r="S1134" i="13" l="1"/>
  <c r="U1133" i="13"/>
  <c r="S1135" i="13" l="1"/>
  <c r="U1134" i="13"/>
  <c r="S1136" i="13" l="1"/>
  <c r="U1135" i="13"/>
  <c r="S1137" i="13" l="1"/>
  <c r="U1136" i="13"/>
  <c r="S1138" i="13" l="1"/>
  <c r="U1137" i="13"/>
  <c r="S1139" i="13" l="1"/>
  <c r="U1138" i="13"/>
  <c r="S1140" i="13" l="1"/>
  <c r="U1139" i="13"/>
  <c r="S1141" i="13" l="1"/>
  <c r="U1140" i="13"/>
  <c r="S1142" i="13" l="1"/>
  <c r="U1141" i="13"/>
  <c r="S1143" i="13" l="1"/>
  <c r="U1142" i="13"/>
  <c r="S1144" i="13" l="1"/>
  <c r="U1143" i="13"/>
  <c r="S1145" i="13" l="1"/>
  <c r="U1144" i="13"/>
  <c r="S1146" i="13" l="1"/>
  <c r="U1145" i="13"/>
  <c r="S1147" i="13" l="1"/>
  <c r="U1146" i="13"/>
  <c r="S1148" i="13" l="1"/>
  <c r="U1147" i="13"/>
  <c r="S1149" i="13" l="1"/>
  <c r="U1148" i="13"/>
  <c r="S1150" i="13" l="1"/>
  <c r="U1149" i="13"/>
  <c r="S1151" i="13" l="1"/>
  <c r="U1150" i="13"/>
  <c r="S1152" i="13" l="1"/>
  <c r="U1151" i="13"/>
  <c r="S1153" i="13" l="1"/>
  <c r="U1152" i="13"/>
  <c r="S1154" i="13" l="1"/>
  <c r="U1153" i="13"/>
  <c r="S1155" i="13" l="1"/>
  <c r="U1154" i="13"/>
  <c r="S1156" i="13" l="1"/>
  <c r="U1155" i="13"/>
  <c r="S1157" i="13" l="1"/>
  <c r="U1156" i="13"/>
  <c r="S1158" i="13" l="1"/>
  <c r="U1157" i="13"/>
  <c r="S1159" i="13" l="1"/>
  <c r="U1158" i="13"/>
  <c r="S1160" i="13" l="1"/>
  <c r="U1159" i="13"/>
  <c r="S1161" i="13" l="1"/>
  <c r="U1160" i="13"/>
  <c r="S1162" i="13" l="1"/>
  <c r="U1161" i="13"/>
  <c r="S1163" i="13" l="1"/>
  <c r="U1162" i="13"/>
  <c r="S1164" i="13" l="1"/>
  <c r="U1163" i="13"/>
  <c r="S1165" i="13" l="1"/>
  <c r="U1164" i="13"/>
  <c r="S1166" i="13" l="1"/>
  <c r="U1165" i="13"/>
  <c r="S1167" i="13" l="1"/>
  <c r="U1166" i="13"/>
  <c r="S1168" i="13" l="1"/>
  <c r="U1167" i="13"/>
  <c r="S1169" i="13" l="1"/>
  <c r="U1168" i="13"/>
  <c r="S1170" i="13" l="1"/>
  <c r="U1169" i="13"/>
  <c r="S1171" i="13" l="1"/>
  <c r="U1170" i="13"/>
  <c r="S1172" i="13" l="1"/>
  <c r="U1171" i="13"/>
  <c r="S1173" i="13" l="1"/>
  <c r="U1172" i="13"/>
  <c r="S1174" i="13" l="1"/>
  <c r="U1173" i="13"/>
  <c r="S1175" i="13" l="1"/>
  <c r="U1174" i="13"/>
  <c r="S1176" i="13" l="1"/>
  <c r="U1175" i="13"/>
  <c r="S1177" i="13" l="1"/>
  <c r="U1176" i="13"/>
  <c r="S1178" i="13" l="1"/>
  <c r="U1177" i="13"/>
  <c r="S1179" i="13" l="1"/>
  <c r="U1178" i="13"/>
  <c r="S1180" i="13" l="1"/>
  <c r="U1179" i="13"/>
  <c r="S1181" i="13" l="1"/>
  <c r="U1180" i="13"/>
  <c r="S1182" i="13" l="1"/>
  <c r="U1181" i="13"/>
  <c r="S1183" i="13" l="1"/>
  <c r="U1182" i="13"/>
  <c r="S1184" i="13" l="1"/>
  <c r="U1183" i="13"/>
  <c r="S1185" i="13" l="1"/>
  <c r="U1184" i="13"/>
  <c r="S1186" i="13" l="1"/>
  <c r="U1185" i="13"/>
  <c r="S1187" i="13" l="1"/>
  <c r="U1186" i="13"/>
  <c r="S1188" i="13" l="1"/>
  <c r="U1187" i="13"/>
  <c r="S1189" i="13" l="1"/>
  <c r="U1188" i="13"/>
  <c r="S1190" i="13" l="1"/>
  <c r="U1189" i="13"/>
  <c r="S1191" i="13" l="1"/>
  <c r="U1190" i="13"/>
  <c r="S1192" i="13" l="1"/>
  <c r="U1191" i="13"/>
  <c r="S1193" i="13" l="1"/>
  <c r="U1192" i="13"/>
  <c r="S1194" i="13" l="1"/>
  <c r="U1193" i="13"/>
  <c r="S1195" i="13" l="1"/>
  <c r="U1194" i="13"/>
  <c r="S1196" i="13" l="1"/>
  <c r="U1195" i="13"/>
  <c r="S1197" i="13" l="1"/>
  <c r="U1196" i="13"/>
  <c r="S1198" i="13" l="1"/>
  <c r="U1197" i="13"/>
  <c r="S1199" i="13" l="1"/>
  <c r="U1198" i="13"/>
  <c r="S1200" i="13" l="1"/>
  <c r="U1199" i="13"/>
  <c r="S1201" i="13" l="1"/>
  <c r="U1200" i="13"/>
  <c r="S1202" i="13" l="1"/>
  <c r="U1201" i="13"/>
  <c r="S1203" i="13" l="1"/>
  <c r="U1202" i="13"/>
  <c r="S1204" i="13" l="1"/>
  <c r="U1203" i="13"/>
  <c r="S1205" i="13" l="1"/>
  <c r="U1204" i="13"/>
  <c r="S1206" i="13" l="1"/>
  <c r="U1205" i="13"/>
  <c r="S1207" i="13" l="1"/>
  <c r="U1206" i="13"/>
  <c r="S1208" i="13" l="1"/>
  <c r="U1207" i="13"/>
  <c r="S1209" i="13" l="1"/>
  <c r="U1208" i="13"/>
  <c r="S1210" i="13" l="1"/>
  <c r="U1209" i="13"/>
  <c r="S1211" i="13" l="1"/>
  <c r="U1210" i="13"/>
  <c r="S1212" i="13" l="1"/>
  <c r="U1211" i="13"/>
  <c r="S1213" i="13" l="1"/>
  <c r="U1212" i="13"/>
  <c r="S1214" i="13" l="1"/>
  <c r="U1213" i="13"/>
  <c r="S1215" i="13" l="1"/>
  <c r="U1214" i="13"/>
  <c r="S1216" i="13" l="1"/>
  <c r="U1215" i="13"/>
  <c r="S1217" i="13" l="1"/>
  <c r="U1216" i="13"/>
  <c r="S1218" i="13" l="1"/>
  <c r="U1217" i="13"/>
  <c r="S1219" i="13" l="1"/>
  <c r="U1218" i="13"/>
  <c r="S1220" i="13" l="1"/>
  <c r="U1219" i="13"/>
  <c r="S1221" i="13" l="1"/>
  <c r="U1220" i="13"/>
  <c r="S1222" i="13" l="1"/>
  <c r="U1221" i="13"/>
  <c r="S1223" i="13" l="1"/>
  <c r="U1222" i="13"/>
  <c r="S1224" i="13" l="1"/>
  <c r="U1223" i="13"/>
  <c r="S1225" i="13" l="1"/>
  <c r="U1224" i="13"/>
  <c r="S1226" i="13" l="1"/>
  <c r="U1225" i="13"/>
  <c r="S1227" i="13" l="1"/>
  <c r="U1226" i="13"/>
  <c r="S1228" i="13" l="1"/>
  <c r="U1227" i="13"/>
  <c r="S1229" i="13" l="1"/>
  <c r="U1228" i="13"/>
  <c r="S1230" i="13" l="1"/>
  <c r="U1229" i="13"/>
  <c r="S1231" i="13" l="1"/>
  <c r="U1230" i="13"/>
  <c r="S1232" i="13" l="1"/>
  <c r="U1231" i="13"/>
  <c r="S1233" i="13" l="1"/>
  <c r="U1232" i="13"/>
  <c r="S1234" i="13" l="1"/>
  <c r="U1233" i="13"/>
  <c r="S1235" i="13" l="1"/>
  <c r="U1234" i="13"/>
  <c r="S1236" i="13" l="1"/>
  <c r="U1235" i="13"/>
  <c r="S1237" i="13" l="1"/>
  <c r="U1236" i="13"/>
  <c r="S1238" i="13" l="1"/>
  <c r="U1237" i="13"/>
  <c r="S1239" i="13" l="1"/>
  <c r="U1238" i="13"/>
  <c r="S1240" i="13" l="1"/>
  <c r="U1239" i="13"/>
  <c r="S1241" i="13" l="1"/>
  <c r="U1240" i="13"/>
  <c r="S1242" i="13" l="1"/>
  <c r="U1241" i="13"/>
  <c r="S1243" i="13" l="1"/>
  <c r="U1242" i="13"/>
  <c r="S1244" i="13" l="1"/>
  <c r="U1243" i="13"/>
  <c r="S1245" i="13" l="1"/>
  <c r="U1244" i="13"/>
  <c r="S1246" i="13" l="1"/>
  <c r="U1245" i="13"/>
  <c r="S1247" i="13" l="1"/>
  <c r="U1246" i="13"/>
  <c r="S1248" i="13" l="1"/>
  <c r="U1247" i="13"/>
  <c r="S1249" i="13" l="1"/>
  <c r="U1248" i="13"/>
  <c r="S1250" i="13" l="1"/>
  <c r="U1249" i="13"/>
  <c r="S1251" i="13" l="1"/>
  <c r="U1250" i="13"/>
  <c r="S1252" i="13" l="1"/>
  <c r="U1251" i="13"/>
  <c r="S1253" i="13" l="1"/>
  <c r="U1252" i="13"/>
  <c r="S1254" i="13" l="1"/>
  <c r="U1253" i="13"/>
  <c r="S1255" i="13" l="1"/>
  <c r="U1254" i="13"/>
  <c r="S1256" i="13" l="1"/>
  <c r="U1255" i="13"/>
  <c r="S1257" i="13" l="1"/>
  <c r="U1256" i="13"/>
  <c r="S1258" i="13" l="1"/>
  <c r="U1257" i="13"/>
  <c r="S1259" i="13" l="1"/>
  <c r="U1258" i="13"/>
  <c r="S1260" i="13" l="1"/>
  <c r="U1259" i="13"/>
  <c r="S1261" i="13" l="1"/>
  <c r="U1260" i="13"/>
  <c r="S1262" i="13" l="1"/>
  <c r="U1261" i="13"/>
  <c r="S1263" i="13" l="1"/>
  <c r="U1262" i="13"/>
  <c r="S1264" i="13" l="1"/>
  <c r="U1263" i="13"/>
  <c r="S1265" i="13" l="1"/>
  <c r="U1264" i="13"/>
  <c r="S1266" i="13" l="1"/>
  <c r="U1265" i="13"/>
  <c r="S1267" i="13" l="1"/>
  <c r="U1266" i="13"/>
  <c r="S1268" i="13" l="1"/>
  <c r="U1267" i="13"/>
  <c r="S1269" i="13" l="1"/>
  <c r="U1268" i="13"/>
  <c r="S1270" i="13" l="1"/>
  <c r="U1269" i="13"/>
  <c r="S1271" i="13" l="1"/>
  <c r="U1270" i="13"/>
  <c r="S1272" i="13" l="1"/>
  <c r="U1271" i="13"/>
  <c r="S1273" i="13" l="1"/>
  <c r="U1272" i="13"/>
  <c r="S1274" i="13" l="1"/>
  <c r="U1273" i="13"/>
  <c r="S1275" i="13" l="1"/>
  <c r="U1274" i="13"/>
  <c r="S1276" i="13" l="1"/>
  <c r="U1275" i="13"/>
  <c r="S1277" i="13" l="1"/>
  <c r="U1276" i="13"/>
  <c r="S1278" i="13" l="1"/>
  <c r="U1277" i="13"/>
  <c r="S1279" i="13" l="1"/>
  <c r="U1278" i="13"/>
  <c r="S1280" i="13" l="1"/>
  <c r="U1279" i="13"/>
  <c r="S1281" i="13" l="1"/>
  <c r="U1280" i="13"/>
  <c r="S1282" i="13" l="1"/>
  <c r="U1281" i="13"/>
  <c r="S1283" i="13" l="1"/>
  <c r="U1282" i="13"/>
  <c r="S1284" i="13" l="1"/>
  <c r="U1283" i="13"/>
  <c r="S1285" i="13" l="1"/>
  <c r="U1284" i="13"/>
  <c r="S1286" i="13" l="1"/>
  <c r="U1285" i="13"/>
  <c r="S1287" i="13" l="1"/>
  <c r="U1286" i="13"/>
  <c r="S1288" i="13" l="1"/>
  <c r="U1287" i="13"/>
  <c r="S1289" i="13" l="1"/>
  <c r="U1288" i="13"/>
  <c r="S1290" i="13" l="1"/>
  <c r="U1289" i="13"/>
  <c r="S1291" i="13" l="1"/>
  <c r="U1290" i="13"/>
  <c r="S1292" i="13" l="1"/>
  <c r="U1291" i="13"/>
  <c r="S1293" i="13" l="1"/>
  <c r="U1292" i="13"/>
  <c r="S1294" i="13" l="1"/>
  <c r="U1293" i="13"/>
  <c r="S1295" i="13" l="1"/>
  <c r="U1294" i="13"/>
  <c r="S1296" i="13" l="1"/>
  <c r="U1295" i="13"/>
  <c r="S1297" i="13" l="1"/>
  <c r="U1296" i="13"/>
  <c r="S1298" i="13" l="1"/>
  <c r="U1297" i="13"/>
  <c r="S1299" i="13" l="1"/>
  <c r="U1298" i="13"/>
  <c r="S1300" i="13" l="1"/>
  <c r="U1299" i="13"/>
  <c r="S1301" i="13" l="1"/>
  <c r="U1300" i="13"/>
  <c r="S1302" i="13" l="1"/>
  <c r="U1301" i="13"/>
  <c r="S1303" i="13" l="1"/>
  <c r="U1302" i="13"/>
  <c r="S1304" i="13" l="1"/>
  <c r="U1303" i="13"/>
  <c r="S1305" i="13" l="1"/>
  <c r="U1304" i="13"/>
  <c r="S1306" i="13" l="1"/>
  <c r="U1305" i="13"/>
  <c r="S1307" i="13" l="1"/>
  <c r="U1306" i="13"/>
  <c r="S1308" i="13" l="1"/>
  <c r="U1307" i="13"/>
  <c r="S1309" i="13" l="1"/>
  <c r="U1308" i="13"/>
  <c r="S1310" i="13" l="1"/>
  <c r="U1309" i="13"/>
  <c r="S1311" i="13" l="1"/>
  <c r="U1310" i="13"/>
  <c r="S1312" i="13" l="1"/>
  <c r="U1311" i="13"/>
  <c r="S1313" i="13" l="1"/>
  <c r="U1312" i="13"/>
  <c r="S1314" i="13" l="1"/>
  <c r="U1313" i="13"/>
  <c r="S1315" i="13" l="1"/>
  <c r="U1314" i="13"/>
  <c r="S1316" i="13" l="1"/>
  <c r="U1316" i="13" s="1"/>
  <c r="U1315" i="1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tc={91FBC838-8D7C-40BC-9A86-3F37A1B6C96E}</author>
    <author>tc={F332A958-4D1C-4DA5-918A-8F95700F1093}</author>
    <author>tc={D22438F2-6E0A-46B5-8FA6-AACDDFFF8919}</author>
    <author>tc={F962B170-58EB-4090-8C05-32A6D0C1F20B}</author>
    <author>tc={A488B249-39AC-4E93-9A86-EA75AD7D77D9}</author>
    <author>tc={CB03BE4A-F9E4-403C-AB1C-90426D6C5BB0}</author>
    <author>tc={1686B329-9F24-41E5-8F98-D509836D2909}</author>
    <author>tc={13D1CB28-4735-40BF-B101-38100DC0178D}</author>
    <author>tc={87B40BE5-B148-4163-AE78-671AC72EE9FB}</author>
    <author>tc={5EB30751-6DF9-42BF-B467-80BC4E260C47}</author>
    <author>tc={0D284E66-C424-40B5-893C-EC7979D55F65}</author>
    <author>tc={734E9E9A-8290-491F-B36C-D34A9D0830C5}</author>
    <author>tc={8643A72A-E31E-4F79-8F3F-427E4D64AAD8}</author>
    <author>tc={16B42D42-7A4E-446E-B5B2-E53381E7BD78}</author>
    <author>tc={D64DBBB0-6148-4B5C-A5FC-1F0ECBA929E7}</author>
    <author>tc={1AAF5E5A-D142-462B-A910-4756FE9E6DD7}</author>
    <author>tc={4B33AB55-AA3D-4F2F-B705-A8BD762D215D}</author>
    <author>tc={793885C3-EB12-4821-80BF-282CF8760C64}</author>
    <author>tc={E167CAD9-2FB5-40A1-8DCB-1BDBE7735AE2}</author>
    <author>tc={F6813CC4-5224-4C01-B424-5D0615E2ED3D}</author>
    <author>tc={9B70976F-D689-4FE2-84E1-753FDED4E593}</author>
    <author>tc={77AF9DC8-A661-40A7-BDE1-89C257ACE544}</author>
    <author>tc={B43F7338-3BC6-41AE-AAEF-07950E53C04B}</author>
    <author>tc={8DBDE720-F4F9-4BA6-A852-60326825F0EF}</author>
    <author>tc={B8A51B17-037C-4F62-82D9-4F6B454445AA}</author>
    <author>tc={9A7F8A79-E572-44AF-BEE5-7EB3B2BEA6B9}</author>
    <author>tc={C0259CE6-20EF-4B14-8B38-71F544725896}</author>
    <author>tc={2BD177FF-73EF-494A-B4FB-46CB08237D4B}</author>
  </authors>
  <commentList>
    <comment ref="V1" authorId="0" shapeId="0" xr:uid="{91FBC838-8D7C-40BC-9A86-3F37A1B6C96E}">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When possible CH-NDF, no CH-RF</t>
      </text>
    </comment>
    <comment ref="AG1" authorId="1" shapeId="0" xr:uid="{F332A958-4D1C-4DA5-918A-8F95700F1093}">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When possible CH-NDF, no CH-RF</t>
      </text>
    </comment>
    <comment ref="AL1" authorId="2" shapeId="0" xr:uid="{D22438F2-6E0A-46B5-8FA6-AACDDFFF8919}">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%=(NDF-VS*(1-Dvs))/(NDF-ADL) se si vuole considerare anche hemicellulosa, altrimenti (ADF-ADL)</t>
      </text>
    </comment>
    <comment ref="BJ1" authorId="3" shapeId="0" xr:uid="{F962B170-58EB-4090-8C05-32A6D0C1F20B}">
      <text>
        <t xml:space="preserve">[Commento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Basato su BD VS e BMPth </t>
      </text>
    </comment>
    <comment ref="BK1" authorId="4" shapeId="0" xr:uid="{A488B249-39AC-4E93-9A86-EA75AD7D77D9}">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Basato su BD nutrienti singoli</t>
      </text>
    </comment>
    <comment ref="BL1" authorId="5" shapeId="0" xr:uid="{CB03BE4A-F9E4-403C-AB1C-90426D6C5BB0}">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Metodo BTS con ulteriore coefficiente correttivo 0.82-0.9 per efficienza impianto</t>
      </text>
    </comment>
    <comment ref="BM1" authorId="6" shapeId="0" xr:uid="{1686B329-9F24-41E5-8F98-D509836D2909}">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Metodo LfL 
https://www.lfl.bayern.de/iba/energie/031560/index.php</t>
      </text>
    </comment>
    <comment ref="BQ1" authorId="7" shapeId="0" xr:uid="{13D1CB28-4735-40BF-B101-38100DC0178D}">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Lignin+(1-BDch)*Cellulose+Protein*(1-BDpr)</t>
      </text>
    </comment>
    <comment ref="BT1" authorId="8" shapeId="0" xr:uid="{87B40BE5-B148-4163-AE78-671AC72EE9FB}">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Cellulosa*BD+Hemicellulosa</t>
      </text>
    </comment>
    <comment ref="BV1" authorId="9" shapeId="0" xr:uid="{5EB30751-6DF9-42BF-B467-80BC4E260C47}">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Lignin+(1-BDch)*Cellulose+Protein*(1-BDpr)</t>
      </text>
    </comment>
    <comment ref="BY1" authorId="10" shapeId="0" xr:uid="{0D284E66-C424-40B5-893C-EC7979D55F65}">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Cellulosa*BD+Hemicellulosa</t>
      </text>
    </comment>
    <comment ref="BR3" authorId="11" shapeId="0" xr:uid="{734E9E9A-8290-491F-B36C-D34A9D0830C5}">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1.53 Weinrich 2021
Rispondi:
1.42 C5H2O2N</t>
      </text>
    </comment>
    <comment ref="BS3" authorId="12" shapeId="0" xr:uid="{8643A72A-E31E-4F79-8F3F-427E4D64AAD8}">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2.87 Weinrich 2021
Rispondi:
2.9 C5H104O6
Rispondi:
In Modelica 2.83 perché c'è P!</t>
      </text>
    </comment>
    <comment ref="BT3" authorId="13" shapeId="0" xr:uid="{16B42D42-7A4E-446E-B5B2-E53381E7BD78}">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1.18 Weinrich 2021
Rispondi:
1.19 (C6H10O5)n
Rispondi:
1.067 C6H12O6</t>
      </text>
    </comment>
    <comment ref="B4" authorId="14" shapeId="0" xr:uid="{D64DBBB0-6148-4B5C-A5FC-1F0ECBA929E7}">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C5H7O2N per biomassa batterica</t>
      </text>
    </comment>
    <comment ref="AL8" authorId="15" shapeId="0" xr:uid="{1AAF5E5A-D142-462B-A910-4756FE9E6DD7}">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28% considerando il feed unico!</t>
      </text>
    </comment>
    <comment ref="C16" authorId="16" shapeId="0" xr:uid="{4B33AB55-AA3D-4F2F-B705-A8BD762D215D}">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Measurements on CampoLargo LIDL (old glass bottle)</t>
      </text>
    </comment>
    <comment ref="P16" authorId="17" shapeId="0" xr:uid="{793885C3-EB12-4821-80BF-282CF8760C64}">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0.8g-1.3g. 1.32/8.88=15%
Rispondi:
8% salsa Datterino esselunga</t>
      </text>
    </comment>
    <comment ref="X16" authorId="18" shapeId="0" xr:uid="{E167CAD9-2FB5-40A1-8DCB-1BDBE7735AE2}">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55% Salsa datterino esselunga</t>
      </text>
    </comment>
    <comment ref="AA16" authorId="19" shapeId="0" xr:uid="{F6813CC4-5224-4C01-B424-5D0615E2ED3D}">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0.8g-1.3g. 1.32/8.88=15%
Rispondi:
8% salsa Datterino esselunga</t>
      </text>
    </comment>
    <comment ref="AI16" authorId="20" shapeId="0" xr:uid="{9B70976F-D689-4FE2-84E1-753FDED4E593}">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55% Salsa datterino esselunga</t>
      </text>
    </comment>
    <comment ref="C17" authorId="21" shapeId="0" xr:uid="{77AF9DC8-A661-40A7-BDE1-89C257ACE544}">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Composition from new CampoLargo tetrapack packaging
Rispondi:
CH repartitioning as for Datterino Esselunga
Rispondi:
I dediced to place some CH as starch instead of sugars based on sensitivity perfomed on 24.10.2023</t>
      </text>
    </comment>
    <comment ref="C19" authorId="22" shapeId="0" xr:uid="{B43F7338-3BC6-41AE-AAEF-07950E53C04B}">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Was it the sieved one? Seems like it is not. But actually also reactor digestate before solid feeding was similar...</t>
      </text>
    </comment>
    <comment ref="C25" authorId="23" shapeId="0" xr:uid="{8DBDE720-F4F9-4BA6-A852-60326825F0EF}">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Measurements on the new packaging CampoLargo LIDL</t>
      </text>
    </comment>
    <comment ref="C26" authorId="24" shapeId="0" xr:uid="{B8A51B17-037C-4F62-82D9-4F6B454445AA}">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Measurements on the new packaging CampoLargo LIDL</t>
      </text>
    </comment>
    <comment ref="C42" authorId="25" shapeId="0" xr:uid="{9A7F8A79-E572-44AF-BEE5-7EB3B2BEA6B9}">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Measurements on the new packaging CampoLargo LIDL</t>
      </text>
    </comment>
    <comment ref="C43" authorId="26" shapeId="0" xr:uid="{C0259CE6-20EF-4B14-8B38-71F544725896}">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Measurements on the new packaging CampoLargo LIDL</t>
      </text>
    </comment>
    <comment ref="C44" authorId="27" shapeId="0" xr:uid="{2BD177FF-73EF-494A-B4FB-46CB08237D4B}">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Measurements on the new packaging CampoLargo LIDL</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tc={B62EC9EA-9DA7-49DF-887E-FE4379EA7B76}</author>
    <author>tc={24C7003A-C1C7-40CD-838A-9E896345D144}</author>
  </authors>
  <commentList>
    <comment ref="T5" authorId="0" shapeId="0" xr:uid="{B62EC9EA-9DA7-49DF-887E-FE4379EA7B76}">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TAC 17'447
A 17.4
B 1.28
CH3COOH 4'179</t>
      </text>
    </comment>
    <comment ref="AK26" authorId="1" shapeId="0" xr:uid="{24C7003A-C1C7-40CD-838A-9E896345D144}">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1:40 o 1:50??</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tc={BEFBBD17-F05A-40FE-839D-BE99CA467922}</author>
    <author>tc={7DB756C1-C345-4D96-B830-C1BA105262CF}</author>
    <author>tc={3DA804D6-4D09-4BAA-8AC8-5B7BFC016576}</author>
  </authors>
  <commentList>
    <comment ref="R5" authorId="0" shapeId="0" xr:uid="{BEFBBD17-F05A-40FE-839D-BE99CA467922}">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10258*2 with deionized water
Rispondi:
11190*2 with tap water</t>
      </text>
    </comment>
    <comment ref="S5" authorId="1" shapeId="0" xr:uid="{7DB756C1-C345-4D96-B830-C1BA105262CF}">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TAC 18'533
A 18.5
B 1.3
CH3COOH 4'245</t>
      </text>
    </comment>
    <comment ref="U66" authorId="2" shapeId="0" xr:uid="{3DA804D6-4D09-4BAA-8AC8-5B7BFC016576}">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1442.5 (1:25, LCK302)</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tc={D376A8B2-4809-441E-A95A-643AB5BEA6B8}</author>
    <author>tc={E7994D61-64BA-4533-8A40-CB9FEDE208B1}</author>
  </authors>
  <commentList>
    <comment ref="R95" authorId="0" shapeId="0" xr:uid="{D376A8B2-4809-441E-A95A-643AB5BEA6B8}">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0.8g-1.3g. 1.32/8.88=15%
Rispondi:
8% salsa Datterino esselunga</t>
      </text>
    </comment>
    <comment ref="R96" authorId="1" shapeId="0" xr:uid="{E7994D61-64BA-4533-8A40-CB9FEDE208B1}">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0.8g-1.3g. 1.32/8.88=15%
Rispondi:
8% salsa Datterino esselunga</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<sst xmlns="http://schemas.openxmlformats.org/spreadsheetml/2006/main" count="11880" uniqueCount="4714">
  <si>
    <t>Coming soon!</t>
  </si>
  <si>
    <t xml:space="preserve">Substrate characterization: all influent characterization. In green, from measurments, in yellow calculations (in the "key" it is specified if they come from measurement or literature values), in red values taken from literature. </t>
  </si>
  <si>
    <t>SteadyState: calculation based on s.Antonio reactor as simulated in Modelica and real measurments of substrates characteristics. COD/VS is based on Modelica conversions (NB error in composite COD/VS calculation to be fixed)</t>
  </si>
  <si>
    <t>From literature (see "Feedstock.xlsx")</t>
  </si>
  <si>
    <t>TS</t>
  </si>
  <si>
    <t>VS/TS</t>
  </si>
  <si>
    <t>VS/TS_literature</t>
  </si>
  <si>
    <t>COD</t>
  </si>
  <si>
    <t>COD_calc_literature</t>
  </si>
  <si>
    <t>COD/VS_literature</t>
  </si>
  <si>
    <t>VFA</t>
  </si>
  <si>
    <t>VFA_literature</t>
  </si>
  <si>
    <t>BMPexp</t>
  </si>
  <si>
    <t>BD</t>
  </si>
  <si>
    <t>TN</t>
  </si>
  <si>
    <t>Tnsol</t>
  </si>
  <si>
    <t>PR</t>
  </si>
  <si>
    <t>LI</t>
  </si>
  <si>
    <t>Cellulose</t>
  </si>
  <si>
    <t>Hemicellulose</t>
  </si>
  <si>
    <t>Lignin</t>
  </si>
  <si>
    <t>Starch/NFC</t>
  </si>
  <si>
    <t>Non-fibrous CH</t>
  </si>
  <si>
    <t>Sugars</t>
  </si>
  <si>
    <t>CH</t>
  </si>
  <si>
    <t>RF</t>
  </si>
  <si>
    <t>Mass balance_literature</t>
  </si>
  <si>
    <t>PR_literature</t>
  </si>
  <si>
    <t>LI_literature</t>
  </si>
  <si>
    <t>Cellulose_literature</t>
  </si>
  <si>
    <t>Hemicellulose_literature</t>
  </si>
  <si>
    <t>Lignin_literature</t>
  </si>
  <si>
    <t>Starch/NFC_literature</t>
  </si>
  <si>
    <t>Non-fibrous CH_literature</t>
  </si>
  <si>
    <t>Sugars_literature</t>
  </si>
  <si>
    <t>CH_literature</t>
  </si>
  <si>
    <t>RF_literature</t>
  </si>
  <si>
    <t>Cellulose BD</t>
  </si>
  <si>
    <t>Carbohydrates</t>
  </si>
  <si>
    <t>Protein BD</t>
  </si>
  <si>
    <t>Lipids BD</t>
  </si>
  <si>
    <t>VS BD</t>
  </si>
  <si>
    <t>VS</t>
  </si>
  <si>
    <t>pH</t>
  </si>
  <si>
    <t>Alk</t>
  </si>
  <si>
    <t>N-NH4</t>
  </si>
  <si>
    <t>P-PO4</t>
  </si>
  <si>
    <t>CODs</t>
  </si>
  <si>
    <t>Ca</t>
  </si>
  <si>
    <t>Mg</t>
  </si>
  <si>
    <t>Acetate</t>
  </si>
  <si>
    <t>Propinate</t>
  </si>
  <si>
    <t>Butirate</t>
  </si>
  <si>
    <t>Valerate</t>
  </si>
  <si>
    <t>S_su</t>
  </si>
  <si>
    <t>S_aa</t>
  </si>
  <si>
    <t>S_fa</t>
  </si>
  <si>
    <t>VS BD (from BMP)</t>
  </si>
  <si>
    <t>S_i</t>
  </si>
  <si>
    <t>BMP</t>
  </si>
  <si>
    <t>BMPth</t>
  </si>
  <si>
    <t>Xi</t>
  </si>
  <si>
    <t>Xpr</t>
  </si>
  <si>
    <t>Xli</t>
  </si>
  <si>
    <t>Xch</t>
  </si>
  <si>
    <t>Xlig</t>
  </si>
  <si>
    <t>Calculation</t>
  </si>
  <si>
    <t>g/kg</t>
  </si>
  <si>
    <t>%</t>
  </si>
  <si>
    <t>%TS</t>
  </si>
  <si>
    <t>NmLch4/gVS</t>
  </si>
  <si>
    <t>gCOD_BD/g_COD</t>
  </si>
  <si>
    <t>gN/kg</t>
  </si>
  <si>
    <t>-</t>
  </si>
  <si>
    <t>mgCaCO3/L</t>
  </si>
  <si>
    <t>mgN/L</t>
  </si>
  <si>
    <t>mgP/L</t>
  </si>
  <si>
    <t>mgCOD/L</t>
  </si>
  <si>
    <t>mol/L</t>
  </si>
  <si>
    <t>gCOD/L</t>
  </si>
  <si>
    <t>NmL gas/gVS</t>
  </si>
  <si>
    <t>NmLch4/gCOD</t>
  </si>
  <si>
    <t>gCOD/gVS</t>
  </si>
  <si>
    <t>From measurments</t>
  </si>
  <si>
    <t>ADF-ADL</t>
  </si>
  <si>
    <t>NDF-ADF</t>
  </si>
  <si>
    <t>ADL</t>
  </si>
  <si>
    <t>RF+NfE-NDF</t>
  </si>
  <si>
    <t>Sugars+Starch+Pectines+Organic Acids</t>
  </si>
  <si>
    <t>RF+NfE</t>
  </si>
  <si>
    <t>Weissbach e Weinrich. FOM = frazione digeribile dal rumine + estrezione di origine endogena</t>
  </si>
  <si>
    <t>5% for bacterial growth. 7% for C5H9O3N Triolo 2011</t>
  </si>
  <si>
    <t>C</t>
  </si>
  <si>
    <t>mol/mol</t>
  </si>
  <si>
    <t>H</t>
  </si>
  <si>
    <t>N</t>
  </si>
  <si>
    <t>O</t>
  </si>
  <si>
    <t>Nota: Campionamento il 10/07 da s.Antonio post-fermentatore. Post-fermentatore non funziona la linea gas</t>
  </si>
  <si>
    <t>Digestate s.Antonio</t>
  </si>
  <si>
    <t>Nota: 19/10/2023 COD/VS il calculated from literature composition</t>
  </si>
  <si>
    <t>Tomato</t>
  </si>
  <si>
    <t>Nota: Cremona project TS are 90 g/L and 340 g/L for cow slurry and maize silage respectively</t>
  </si>
  <si>
    <t>Egg pasta</t>
  </si>
  <si>
    <t>Nota: dati da s.Antonio 2022 cow slurry and maize silage TS between 60-80 g/L and 330-390 g/L respectively. Semoline 478 g/L.</t>
  </si>
  <si>
    <t>Farinaccio di frumento</t>
  </si>
  <si>
    <t>Nota: add data from BTS and Gelosa?</t>
  </si>
  <si>
    <t>Semoline</t>
  </si>
  <si>
    <t>Maize silage</t>
  </si>
  <si>
    <t>Cow slurry s.Antonio</t>
  </si>
  <si>
    <t>Liquid digestate s.Antonio</t>
  </si>
  <si>
    <t>Tomato souce</t>
  </si>
  <si>
    <t>Semoline?</t>
  </si>
  <si>
    <t>"Dig Degas"</t>
  </si>
  <si>
    <t>Liquid digestate s.Antonio after sieving on 18.10</t>
  </si>
  <si>
    <t>NEW BATCH</t>
  </si>
  <si>
    <t>add</t>
  </si>
  <si>
    <t>OLD</t>
  </si>
  <si>
    <t>Data</t>
  </si>
  <si>
    <t>Time</t>
  </si>
  <si>
    <t>Timestamp</t>
  </si>
  <si>
    <t>Slurry</t>
  </si>
  <si>
    <t>Maize</t>
  </si>
  <si>
    <t>Tomato bottle weight</t>
  </si>
  <si>
    <t>Note</t>
  </si>
  <si>
    <t>pHs</t>
  </si>
  <si>
    <t>Slurry VS</t>
  </si>
  <si>
    <t>Slurry S_COD</t>
  </si>
  <si>
    <t>Maize S_COD</t>
  </si>
  <si>
    <t>Tomato S_COD</t>
  </si>
  <si>
    <t>Slurry COD</t>
  </si>
  <si>
    <t>Maize COD</t>
  </si>
  <si>
    <t>Tomato COD</t>
  </si>
  <si>
    <t>COD_in</t>
  </si>
  <si>
    <t>Start Modelica Timestamp</t>
  </si>
  <si>
    <t>[g]</t>
  </si>
  <si>
    <t>Devo aggiungere 0?</t>
  </si>
  <si>
    <t>23/10/2023</t>
  </si>
  <si>
    <t>15:00</t>
  </si>
  <si>
    <t>25/10/2023</t>
  </si>
  <si>
    <t>Bottle of 300 mL of tomato sauce</t>
  </si>
  <si>
    <t>15:21</t>
  </si>
  <si>
    <t>Start weight bottle 976.61 g</t>
  </si>
  <si>
    <t>15:22</t>
  </si>
  <si>
    <t>16:38</t>
  </si>
  <si>
    <t>I set it wrong: 1 min/1.5 hours. Now modified. From now on R1 and R2 are going to be mixed and fed with tomato almost at the same timestamp</t>
  </si>
  <si>
    <t>27/10/2023</t>
  </si>
  <si>
    <t>10:50</t>
  </si>
  <si>
    <t xml:space="preserve">the weight of the tomato bottle before filling: 805,88g the weight of the tomato bottle after filling: 1183,40g </t>
  </si>
  <si>
    <t>30/10/2023</t>
  </si>
  <si>
    <t>11:15</t>
  </si>
  <si>
    <t>?</t>
  </si>
  <si>
    <t>Acetate spike fed with pumps (480 mL of 50gCOD/L solution). Forgot to weight tomato bottle…MOLD!</t>
  </si>
  <si>
    <t>03/11/2023</t>
  </si>
  <si>
    <t>10:14</t>
  </si>
  <si>
    <t>weight of empty clean tomato bottle: 707,55g the weight of tomato bottle after filling: 1088,98g. PLEASE NOTE that we didnt write down the exact time for feeding but it was between 10:00 ana 10:30</t>
  </si>
  <si>
    <t>06/11/2023</t>
  </si>
  <si>
    <t>10:00</t>
  </si>
  <si>
    <t>After refill. Then I went in manual mode to refill the tube. At 15:00, the weight was 987.75g. Then, filled it up again.</t>
  </si>
  <si>
    <t>15:15</t>
  </si>
  <si>
    <t>08/11/2023</t>
  </si>
  <si>
    <t>11:06</t>
  </si>
  <si>
    <t>Empied, cleaned and refilled, cause there was a starting of fermentation</t>
  </si>
  <si>
    <t xml:space="preserve">After refill  </t>
  </si>
  <si>
    <t>17:00</t>
  </si>
  <si>
    <t>10/11/2023</t>
  </si>
  <si>
    <t>09:30</t>
  </si>
  <si>
    <t xml:space="preserve">NOTE this is the weight of the tomato bottle before emptying and cleaning </t>
  </si>
  <si>
    <t>11:00</t>
  </si>
  <si>
    <t xml:space="preserve">NOTE: this is the weight of the bottle after emptying, cleaning and disinfecting and refilling with tomato </t>
  </si>
  <si>
    <t>13/11/2023</t>
  </si>
  <si>
    <t>10:15</t>
  </si>
  <si>
    <t>12:30</t>
  </si>
  <si>
    <t>15/11/2023</t>
  </si>
  <si>
    <t>13:00</t>
  </si>
  <si>
    <t>I closed the valve to the main gas bag and opened the one to the reserve one. No spike in ritter.</t>
  </si>
  <si>
    <t>17/11/2023</t>
  </si>
  <si>
    <t>09:15</t>
  </si>
  <si>
    <t xml:space="preserve">NOTE: this is the weight of the bottle before emptying and cleaning </t>
  </si>
  <si>
    <t>20/11/2023</t>
  </si>
  <si>
    <t>10:20</t>
  </si>
  <si>
    <t>12:00</t>
  </si>
  <si>
    <t>22/11/2023</t>
  </si>
  <si>
    <t>24/11/2023</t>
  </si>
  <si>
    <t>09:20</t>
  </si>
  <si>
    <t>NOTE: this is the weight of the bottle before emptying and cleaning</t>
  </si>
  <si>
    <t>10:30</t>
  </si>
  <si>
    <t xml:space="preserve">NOTE: this is the weight of the bottle after emptying, cleaning and disinfecting and refilling with tomato. ariana was responsible for this part it was around 10:30 I guess </t>
  </si>
  <si>
    <t>15:10</t>
  </si>
  <si>
    <t>27/11/2023</t>
  </si>
  <si>
    <t>29/11/2023</t>
  </si>
  <si>
    <t>01/12/2023</t>
  </si>
  <si>
    <t>09:45</t>
  </si>
  <si>
    <t>NOTE: this is the weight of the bottle after emptying, cleaning and disinfecting and refilling with tomato. ariana was responsible for this part it was around 12:30 I guess</t>
  </si>
  <si>
    <t>13:40</t>
  </si>
  <si>
    <t>NOTE: because of the decrease of the pH we decided to reduce the feeding and the discharging to the half in order to stop the decrease of the pH while maintaining a constant volume of the reactor</t>
  </si>
  <si>
    <t>04/12/2023</t>
  </si>
  <si>
    <t>16:00</t>
  </si>
  <si>
    <t>06/12/2023</t>
  </si>
  <si>
    <t>11/12/2023</t>
  </si>
  <si>
    <t>11:50</t>
  </si>
  <si>
    <t>13/12/2023</t>
  </si>
  <si>
    <t>15/12/2023</t>
  </si>
  <si>
    <t>14:30</t>
  </si>
  <si>
    <t>18/12/2023</t>
  </si>
  <si>
    <t>Andrea Remelli: some material remained sutcked in the feeding tube (it has not been pushed down in the liquid phase)</t>
  </si>
  <si>
    <t>20/12/2023</t>
  </si>
  <si>
    <t>22/12/2023</t>
  </si>
  <si>
    <t>16:30</t>
  </si>
  <si>
    <t>08/01/2024</t>
  </si>
  <si>
    <t>10/01/2024</t>
  </si>
  <si>
    <t>12/01/2024</t>
  </si>
  <si>
    <t>15/01/2024</t>
  </si>
  <si>
    <t>17/01/2024</t>
  </si>
  <si>
    <t>19/01/2024</t>
  </si>
  <si>
    <t>NEW OLR. Wrong dosage of maize becouse it was already mixed with slurry. 486 old slurry + 122 new slurry opened today</t>
  </si>
  <si>
    <t>22/01/2024</t>
  </si>
  <si>
    <t>10:44</t>
  </si>
  <si>
    <t>24/01/2024</t>
  </si>
  <si>
    <t>26/01/2024</t>
  </si>
  <si>
    <t>16:45</t>
  </si>
  <si>
    <t>29/01/2024</t>
  </si>
  <si>
    <t>31/01/2024</t>
  </si>
  <si>
    <t>02/02/2024</t>
  </si>
  <si>
    <t>11:30</t>
  </si>
  <si>
    <t>05/02/2024</t>
  </si>
  <si>
    <t>13:15</t>
  </si>
  <si>
    <t>07/02/2024</t>
  </si>
  <si>
    <t>09/02/2024</t>
  </si>
  <si>
    <t>16:15</t>
  </si>
  <si>
    <t>12/02/2024</t>
  </si>
  <si>
    <t>11:45</t>
  </si>
  <si>
    <t>14/02/2024</t>
  </si>
  <si>
    <t>16/02/2024</t>
  </si>
  <si>
    <t>15:30</t>
  </si>
  <si>
    <t>19/02/2024</t>
  </si>
  <si>
    <t>21/02/2024</t>
  </si>
  <si>
    <t>23/02/2024</t>
  </si>
  <si>
    <t>Tra 21/02 e 23/02 R1 non ha mangiato…pompe non hanno funzionato. FINE RAMPA</t>
  </si>
  <si>
    <t>26/02/2024</t>
  </si>
  <si>
    <t>14:20</t>
  </si>
  <si>
    <t>28/02/2024</t>
  </si>
  <si>
    <t>1/03/2024</t>
  </si>
  <si>
    <t>4/03/2024</t>
  </si>
  <si>
    <t>6/03/2024</t>
  </si>
  <si>
    <t>8/03/2024</t>
  </si>
  <si>
    <t>11/03/2024</t>
  </si>
  <si>
    <t>13/03/2024</t>
  </si>
  <si>
    <t>15/03/2024</t>
  </si>
  <si>
    <t>18/03/2024</t>
  </si>
  <si>
    <t>20/03/2024</t>
  </si>
  <si>
    <t>Betweeen 11:00 and 11:40. Mixture of maize and slurry. Clogging of the channel that has been built to prevent for gas leakages. Maybe better to insert maize silage prior slurry. Today the channel was removed, mixing stopped and the mixture inserted directly in the steel funnel. Probably 1% of the mixture has been lost in dirtiness of tools during injection. Forgot to close gas valve before discharge. I closed it at half of the feeding.</t>
  </si>
  <si>
    <t>Closed the valve but still peaks</t>
  </si>
  <si>
    <t>12:07</t>
  </si>
  <si>
    <t>Start tomato sauce at 12:07. Bottle of tomato of 600 mL. Set for 6 second every 15 minutes &gt; 4 feedings until 13:07 (96 mL/day). Changed it to 1 min/2.5hours (see notebook for reason). Start weight of the bottle 1280.86 g</t>
  </si>
  <si>
    <t>13:07</t>
  </si>
  <si>
    <t>13:30</t>
  </si>
  <si>
    <t>Erronous small feed becouse pumps started when switched from steady to automatic (I wanted to guarantee mixing right after the feeding): around 5 mL</t>
  </si>
  <si>
    <t>15:03</t>
  </si>
  <si>
    <t>16:33</t>
  </si>
  <si>
    <t>we didnt feed the tomato bottle since the level was above 300ml</t>
  </si>
  <si>
    <t>Acetate spike fed with pumps (480 mL of 50gCOD/L solution). Forgot to weight tomato bottle…MOLD! Pump tubes were not sucking anymore, too low level (don't go below 100 mL)</t>
  </si>
  <si>
    <t>weight of empty clean tomato bottle:.... FORGOT TO WEIGH IT. the weight of tomato bottle after filling: 1143,36g. PLEASE NOTE that we didnt write down the exact time for feeding but it was between 10:00 ana 10:30</t>
  </si>
  <si>
    <t>Weight bottle tomato 869.50 g</t>
  </si>
  <si>
    <t>NOTE: this is the weight of the bottle after emptying, cleaning and disinfecting and refilling with tomato</t>
  </si>
  <si>
    <t>Tomato R2 pump was clogged. In manual operation, it didn't start! Unlocked moving the pump rmp manually. Uff. Sum of R1 feed since 15.11 to today and difference with R2 &gt; 374 g are missing in R2! Volume is lower!</t>
  </si>
  <si>
    <t>So now I'm feeding 374 g of tomato all at once. Pump kept manually on for 37 minutes!</t>
  </si>
  <si>
    <t>11:04</t>
  </si>
  <si>
    <t>20 mL have not been really fed but used to "recalibrate" the pump flowrate</t>
  </si>
  <si>
    <t>12:10</t>
  </si>
  <si>
    <t>Weight after another refill</t>
  </si>
  <si>
    <t>NOTE this is the weight of the tomato bottle before emptying and cleaning</t>
  </si>
  <si>
    <t xml:space="preserve">NOTE: this is the weight of the bottle after emptying, cleaning and disinfecting and refilling with tomato.ariana was responsible for this part it was around 10:30 I guess </t>
  </si>
  <si>
    <t>Still not working properly…why?</t>
  </si>
  <si>
    <t>NOTE: this is the weight of the bottle after emptying, cleaning and disinfecting and refilling with tomato.ariana was responsible for this part it was around 12:30 I guess</t>
  </si>
  <si>
    <t>11:35</t>
  </si>
  <si>
    <t>FINE RAMPA</t>
  </si>
  <si>
    <t>25/03/2024</t>
  </si>
  <si>
    <t>Date</t>
  </si>
  <si>
    <t>Charge</t>
  </si>
  <si>
    <t>Discharge</t>
  </si>
  <si>
    <t>R1 Volume</t>
  </si>
  <si>
    <t>R2 Volume</t>
  </si>
  <si>
    <t>26/03/2024</t>
  </si>
  <si>
    <t>12:45</t>
  </si>
  <si>
    <t>27/03/2024</t>
  </si>
  <si>
    <t>29/03/2024</t>
  </si>
  <si>
    <t>02/04/2024</t>
  </si>
  <si>
    <t>10:40</t>
  </si>
  <si>
    <t>più 50 mL from previous battente</t>
  </si>
  <si>
    <t>05/04/2024</t>
  </si>
  <si>
    <t>08/04/2024</t>
  </si>
  <si>
    <t>10/04/2024</t>
  </si>
  <si>
    <t>14:00</t>
  </si>
  <si>
    <t>11/04/2024</t>
  </si>
  <si>
    <t>11:40</t>
  </si>
  <si>
    <t>12:20</t>
  </si>
  <si>
    <t>12/04/2024</t>
  </si>
  <si>
    <t xml:space="preserve">R2 recharged with previous discharges stored inside the fridge. </t>
  </si>
  <si>
    <t>15/04/2024</t>
  </si>
  <si>
    <t>R2 MANUAL SLURRY AND MAIZE DOSING</t>
  </si>
  <si>
    <t>R2 TOMATOSOUCE PUMP DOSING (taken from python grouping)</t>
  </si>
  <si>
    <t>R1 MANUAL SLURRY AND MAIZE DOSING</t>
  </si>
  <si>
    <t>R1 TOMATOSOUCE PUMP DOSING (taken from python grouping)</t>
  </si>
  <si>
    <t xml:space="preserve">CORRECT PH R1 </t>
  </si>
  <si>
    <t>CORRECT QCH4 CHISTMAS HOLIDAY R2</t>
  </si>
  <si>
    <t>31/01/2024 13:00 AVVIO CONTROLLO</t>
  </si>
  <si>
    <t>06/02/2024 19:00 STACCO AZIONE INTEGRALE</t>
  </si>
  <si>
    <t>07/02/2024 12:36 INIZIO ERRORE LETTURA .INI</t>
  </si>
  <si>
    <t>08/02/2024 09:50 FINE ERRORE LETTURA .INI</t>
  </si>
  <si>
    <t>08/02/2024 19:50 ABBASSATO KP FOLLOWER PER AVERE DOSAGGIO NOMINALE ATTORNO A TRESHOLD HIGH</t>
  </si>
  <si>
    <t>11/02/2024 23:00 ALZATO KP HEADER PER AVERE DOSAGGIO MAGGIORE QUANDO REATTORE STA BENE ED E' SOTTO SETPOINT</t>
  </si>
  <si>
    <t>12/02/2024 17:00 VALVOLE CHIUSE PER SBAGLIO FINO ALLE 18:00. INFLUENZANO MOVING AVERAGE. HO RISOVRASCRITTO DUE VOLTE CON CARICO NOMINALE.</t>
  </si>
  <si>
    <t>12/02/2024 22:42 RIABBASSO KP HEADER PER EVITARE VENGA DOSATO TROPPO PER EFFETTO DI ERRORE SU MOVING AVERAGE METANO</t>
  </si>
  <si>
    <t>13/02/2024 19:00 SOVRASCRIVO L'ULTIMA DECISIONE DEL FOLLOWER, PERCHE' VALUTATA APPENA PRIMA DEL NUOVO PUNTO DI ANALISI GAS TALE PER CUI SI SAREBBE ACCESSO HEADER</t>
  </si>
  <si>
    <t>13/02/2024 22:50 ALZO SETPOINT CO2/CH4 E I TRESHOLDS DI CONSEQUENZA PER CERCARE DI LIMITARE FOLLOWER ED ESSERE PiU' AGGRESSIVO. MAGARI UN CO2/CH4 PIU' ALTO E' NORMALE</t>
  </si>
  <si>
    <t>17/02/2024 09:00 INIZIO ERRORE LETTURA .INI</t>
  </si>
  <si>
    <t>19/02/2024 09:10 FINE ERRORE LETTURA .INI</t>
  </si>
  <si>
    <t>19/02/2024 14:30 INIZIO ERRORE LETTURA .INI</t>
  </si>
  <si>
    <t>19/02/2024 22:20 FINE ERRORE LETTURA .INI. CAMBIATO CODICE PER SELEZIONARE SEMPRE 09:36 19/02/2024</t>
  </si>
  <si>
    <t>21/02/2024 13:46 SALTATA LA CORRENTE. 10 MINUTI DI BUCO NEI LOG. POI, %GAS A ZERO FINO ALLE 18:50…HA INFLUENZATO CONTROLLO CHE HA STRADOSATO PER E&gt;&gt;0</t>
  </si>
  <si>
    <t>22/02/2024 20:00 INIZIO ERRORE LETTURA .INI</t>
  </si>
  <si>
    <t>23/02/2024 09:00 FINE ERRORE LETTURA .INI</t>
  </si>
  <si>
    <t>08/03/2024 10:00 INIZIO ERRORE LETTURA .INI</t>
  </si>
  <si>
    <t>08/03/2024 21:00 FINE ERRORE LETTURA .INI</t>
  </si>
  <si>
    <t>18/03/2024 12:00 END OF COMPARISON</t>
  </si>
  <si>
    <t>20/03/2024 12:30 END OF CONTROL</t>
  </si>
  <si>
    <t>FAULT ANALYZER 22/03-25/03</t>
  </si>
  <si>
    <t>FAULT ANALYZER 31/03-2/04</t>
  </si>
  <si>
    <t>WRITE DOWN OTTHER FAULTS</t>
  </si>
  <si>
    <t>CHANGE OF HOUR (02:00 30-03.24: LOG IS COHERENT WITH REAL TIME</t>
  </si>
  <si>
    <t>time (d)</t>
  </si>
  <si>
    <t xml:space="preserve">Crucible weight </t>
  </si>
  <si>
    <t xml:space="preserve">Crucible + sample weight </t>
  </si>
  <si>
    <t>Weight after 24 h at 105 °C</t>
  </si>
  <si>
    <t>Weight after 2.5 h at 550 °C</t>
  </si>
  <si>
    <t>Net weight of fresh matter in the crucible</t>
  </si>
  <si>
    <t>Net weight of Total Solid in the crucible</t>
  </si>
  <si>
    <r>
      <t xml:space="preserve">TS-S </t>
    </r>
    <r>
      <rPr>
        <sz val="10"/>
        <color theme="1"/>
        <rFont val="Calibri"/>
        <family val="2"/>
        <scheme val="minor"/>
      </rPr>
      <t>(per unit of FM)</t>
    </r>
  </si>
  <si>
    <t>Net weight of Non Volatile Solids in the crucible</t>
  </si>
  <si>
    <r>
      <t xml:space="preserve">NVS-S </t>
    </r>
    <r>
      <rPr>
        <sz val="10"/>
        <color theme="1"/>
        <rFont val="Calibri"/>
        <family val="2"/>
        <scheme val="minor"/>
      </rPr>
      <t>(per unit mass of FM)</t>
    </r>
  </si>
  <si>
    <t>Net weight of Volatile Solids in the crucible</t>
  </si>
  <si>
    <r>
      <t xml:space="preserve">VS-S </t>
    </r>
    <r>
      <rPr>
        <sz val="10"/>
        <color theme="1"/>
        <rFont val="Calibri"/>
        <family val="2"/>
        <scheme val="minor"/>
      </rPr>
      <t>(per unit mass of FM)</t>
    </r>
  </si>
  <si>
    <t>TAC</t>
  </si>
  <si>
    <t>FOS/TAC</t>
  </si>
  <si>
    <t>FOS</t>
  </si>
  <si>
    <t>TAN</t>
  </si>
  <si>
    <t>ortoP</t>
  </si>
  <si>
    <t>Acetate (raw)</t>
  </si>
  <si>
    <t>Propionate (raw)</t>
  </si>
  <si>
    <t>Butirate (raw)</t>
  </si>
  <si>
    <t>Valerate (raw)</t>
  </si>
  <si>
    <t>Propionate</t>
  </si>
  <si>
    <t>VFA  (COD-basis)</t>
  </si>
  <si>
    <t>CODtot</t>
  </si>
  <si>
    <t>TKN</t>
  </si>
  <si>
    <t>TP</t>
  </si>
  <si>
    <t>TSS</t>
  </si>
  <si>
    <t>VSS/TSS</t>
  </si>
  <si>
    <t>COD/vs</t>
  </si>
  <si>
    <t>TS_out</t>
  </si>
  <si>
    <t>VS_out</t>
  </si>
  <si>
    <t>COD_out</t>
  </si>
  <si>
    <t>[mL]</t>
  </si>
  <si>
    <r>
      <t>[g</t>
    </r>
    <r>
      <rPr>
        <vertAlign val="subscript"/>
        <sz val="10"/>
        <color theme="1"/>
        <rFont val="Calibri"/>
        <family val="2"/>
        <scheme val="minor"/>
      </rPr>
      <t>FM,S</t>
    </r>
    <r>
      <rPr>
        <sz val="10"/>
        <color theme="1"/>
        <rFont val="Calibri"/>
        <family val="2"/>
        <scheme val="minor"/>
      </rPr>
      <t>]</t>
    </r>
  </si>
  <si>
    <r>
      <t>[g</t>
    </r>
    <r>
      <rPr>
        <vertAlign val="subscript"/>
        <sz val="10"/>
        <color theme="1"/>
        <rFont val="Calibri"/>
        <family val="2"/>
        <scheme val="minor"/>
      </rPr>
      <t>TS,S</t>
    </r>
    <r>
      <rPr>
        <sz val="10"/>
        <color theme="1"/>
        <rFont val="Calibri"/>
        <family val="2"/>
        <scheme val="minor"/>
      </rPr>
      <t>]</t>
    </r>
  </si>
  <si>
    <r>
      <t>[g</t>
    </r>
    <r>
      <rPr>
        <vertAlign val="subscript"/>
        <sz val="10"/>
        <color theme="1"/>
        <rFont val="Calibri"/>
        <family val="2"/>
        <scheme val="minor"/>
      </rPr>
      <t>TS,S</t>
    </r>
    <r>
      <rPr>
        <sz val="10"/>
        <color theme="1"/>
        <rFont val="Calibri"/>
        <family val="2"/>
        <scheme val="minor"/>
      </rPr>
      <t>/kg</t>
    </r>
    <r>
      <rPr>
        <vertAlign val="subscript"/>
        <sz val="10"/>
        <color theme="1"/>
        <rFont val="Calibri"/>
        <family val="2"/>
        <scheme val="minor"/>
      </rPr>
      <t>FM,S</t>
    </r>
    <r>
      <rPr>
        <sz val="10"/>
        <color theme="1"/>
        <rFont val="Calibri"/>
        <family val="2"/>
        <scheme val="minor"/>
      </rPr>
      <t>]</t>
    </r>
  </si>
  <si>
    <r>
      <t>[g</t>
    </r>
    <r>
      <rPr>
        <vertAlign val="subscript"/>
        <sz val="10"/>
        <color theme="1"/>
        <rFont val="Calibri"/>
        <family val="2"/>
        <scheme val="minor"/>
      </rPr>
      <t>NVS,S</t>
    </r>
    <r>
      <rPr>
        <sz val="10"/>
        <color theme="1"/>
        <rFont val="Calibri"/>
        <family val="2"/>
        <scheme val="minor"/>
      </rPr>
      <t>]</t>
    </r>
  </si>
  <si>
    <r>
      <t>[g</t>
    </r>
    <r>
      <rPr>
        <vertAlign val="subscript"/>
        <sz val="10"/>
        <color theme="1"/>
        <rFont val="Calibri"/>
        <family val="2"/>
        <scheme val="minor"/>
      </rPr>
      <t>NVS,S</t>
    </r>
    <r>
      <rPr>
        <sz val="10"/>
        <color theme="1"/>
        <rFont val="Calibri"/>
        <family val="2"/>
        <scheme val="minor"/>
      </rPr>
      <t>/kg</t>
    </r>
    <r>
      <rPr>
        <vertAlign val="subscript"/>
        <sz val="10"/>
        <color theme="1"/>
        <rFont val="Calibri"/>
        <family val="2"/>
        <scheme val="minor"/>
      </rPr>
      <t>FM,S</t>
    </r>
    <r>
      <rPr>
        <sz val="10"/>
        <color theme="1"/>
        <rFont val="Calibri"/>
        <family val="2"/>
        <scheme val="minor"/>
      </rPr>
      <t>]</t>
    </r>
  </si>
  <si>
    <r>
      <t>[g</t>
    </r>
    <r>
      <rPr>
        <vertAlign val="subscript"/>
        <sz val="10"/>
        <color theme="1"/>
        <rFont val="Calibri"/>
        <family val="2"/>
        <scheme val="minor"/>
      </rPr>
      <t>VS,S</t>
    </r>
    <r>
      <rPr>
        <sz val="10"/>
        <color theme="1"/>
        <rFont val="Calibri"/>
        <family val="2"/>
        <scheme val="minor"/>
      </rPr>
      <t>]</t>
    </r>
  </si>
  <si>
    <r>
      <t>[g</t>
    </r>
    <r>
      <rPr>
        <vertAlign val="subscript"/>
        <sz val="10"/>
        <color theme="1"/>
        <rFont val="Calibri"/>
        <family val="2"/>
        <scheme val="minor"/>
      </rPr>
      <t>VS,S</t>
    </r>
    <r>
      <rPr>
        <sz val="10"/>
        <color theme="1"/>
        <rFont val="Calibri"/>
        <family val="2"/>
        <scheme val="minor"/>
      </rPr>
      <t>/kg</t>
    </r>
    <r>
      <rPr>
        <vertAlign val="subscript"/>
        <sz val="10"/>
        <color theme="1"/>
        <rFont val="Calibri"/>
        <family val="2"/>
        <scheme val="minor"/>
      </rPr>
      <t>FM,S</t>
    </r>
    <r>
      <rPr>
        <sz val="10"/>
        <color theme="1"/>
        <rFont val="Calibri"/>
        <family val="2"/>
        <scheme val="minor"/>
      </rPr>
      <t>]</t>
    </r>
  </si>
  <si>
    <t>[%]</t>
  </si>
  <si>
    <t>[-]</t>
  </si>
  <si>
    <t>[mgCaCO3/L]</t>
  </si>
  <si>
    <t>mgHAc/L</t>
  </si>
  <si>
    <t>[gN-NH4/L]</t>
  </si>
  <si>
    <t>[gP-PO4]</t>
  </si>
  <si>
    <t>[gCOD/L]</t>
  </si>
  <si>
    <t>[mgHAc/L]</t>
  </si>
  <si>
    <t>[mgHPro/L]</t>
  </si>
  <si>
    <t>[mgHBu/L]</t>
  </si>
  <si>
    <t>[mgHVa/L]</t>
  </si>
  <si>
    <t>[mgCOD/L]</t>
  </si>
  <si>
    <t>[mgN/L]</t>
  </si>
  <si>
    <t>[mgP/L]</t>
  </si>
  <si>
    <t>20/10/2023</t>
  </si>
  <si>
    <t>650 mL discharge</t>
  </si>
  <si>
    <t>800 mL discharge Vs\Ts test is not performed during this date for R1 due to technical issues in the reactor R1</t>
  </si>
  <si>
    <t>600 mL discharge.  Vs\Ts test is not performed during this date for R1 due to technical issues in the reactor R1</t>
  </si>
  <si>
    <t>10:51</t>
  </si>
  <si>
    <t xml:space="preserve">1200 mL discharge the gas valve was closed during feeding of the reactor and during discharge. we used two bottles (1000mL and 200 mL). total weight o the discharged sample ((990,33-69,86)+(318,15-29,38)) = 1209,24g. the calculations are made based on subtracting the weight of the filled bottles from the weight of empty bottles.Note that for total COD and TN measurement we used 1:50 dilution </t>
  </si>
  <si>
    <t>11:10</t>
  </si>
  <si>
    <t>500 mL discharge. Forgot to weight it.</t>
  </si>
  <si>
    <t>3/11/2023</t>
  </si>
  <si>
    <t>&lt; 10 ppm</t>
  </si>
  <si>
    <t>1200 mL discharge. we used two bottles (1000mL and 200 mL). total weight o the discharged sample ((1184,04-83,67)+(237,92-36,63)) = 1301,66g. the calculations are made based on subtracting the weight of the filled bottles from the weight of empty bottles.Note that for total COD and TN measurement we used 1:50 dilution</t>
  </si>
  <si>
    <t>400 mL discharge</t>
  </si>
  <si>
    <t>09:42</t>
  </si>
  <si>
    <t>800 mL discharge.  total weight o the discharged sample (941,87-87,86) = 854,01g. the calculations are made based on subtracting the weight of the filled bottle from the weight of empty bottle.Note that for total COD and TN measurement we used 1:100 dilution</t>
  </si>
  <si>
    <t>800 mL discharge</t>
  </si>
  <si>
    <t>09:10</t>
  </si>
  <si>
    <t>1200 mL discharge. we used two bottles (1000mL and 200 mL). total weight o the discharged sample ((1175,67-84,92)+(285,25-36,52)) = 1339,48g. the calculations are made based on subtracting the weight of the filled bottles from the weight of empty bottles.Note that for total COD and TN measurement we used 1:100 dilution</t>
  </si>
  <si>
    <t>800 mL discharge. VFA basified sample centrifuged…did I changed R1 with R2 and viceversa?</t>
  </si>
  <si>
    <t>1200 mL discharge. we discharged first 700 mL to perform the analysis. total weight of the first discharged amount = (858,97-93,87)= 765,1. the second discharge was after feeding the reactor. we discharged around 500 mL and the actual weight of the second discharged amount was 480 g. the second discharge after feeding was around 15:26</t>
  </si>
  <si>
    <t>800 mL discharge COD tot value calculate based on linear interpolation between 24/11 and 29/11</t>
  </si>
  <si>
    <t>600 mL discharge. because of the pH decrease we decided to decrease the amount of the feeding to the half and thus to reduced the discharge to the half to maintain the volume constant in the reactor. total weight of the discharged amount = (742,03-81,20)= 660,83g.</t>
  </si>
  <si>
    <t>400 mL discharge becouse half load has been fed</t>
  </si>
  <si>
    <t>600 mL discharge becouse liquid level was lower than 12 L (R1 didn't receive tomato the last weekend)</t>
  </si>
  <si>
    <t>800 mL discharge (500 mL at 10:30 and subsequently with VFA samples)</t>
  </si>
  <si>
    <t>12/12/2023</t>
  </si>
  <si>
    <t xml:space="preserve">700 mL discharge, becouse volume was a bit low </t>
  </si>
  <si>
    <t>1200 mL discharge. we used two bottles (1000mL and 200 mL). total weight of the discharged sample ((1072.33-91.30)+(304.89-50.74)) = 1235.18g. the calculations are made based on subtracting the weight of the filled bottles from the weight of empty bottles.Note that for total COD we used 1:10 dilution because we used LCK914  while for TN measurement we used 1:100 dilution since we used LCK303</t>
  </si>
  <si>
    <t>500 mL discharge just to monitor before huge mix</t>
  </si>
  <si>
    <t>INVERSIONE LINEE GAS</t>
  </si>
  <si>
    <t>INIZIO CONFRONTO AMPTS</t>
  </si>
  <si>
    <t>FINE CONFRONTO AMPTS</t>
  </si>
  <si>
    <t>REINVERSIONE LINEE E DEUMIDIFICATORI TOLTI</t>
  </si>
  <si>
    <t>25/01/2024</t>
  </si>
  <si>
    <t>17:30</t>
  </si>
  <si>
    <t>START CONTROL. FROM NOW ON, I DISCHARGE ONLY SLURRY+MAIZE, AND I DISCHARGE MORE THE NEXT TIME DEPENDING ON HOW MUCH TOMATO WAS FED</t>
  </si>
  <si>
    <t>06/02/2024</t>
  </si>
  <si>
    <t>13/02/2024</t>
  </si>
  <si>
    <t>Nuova calibrazione GC ritorna un incremento della concentrazione di acetato del 13% (confronto su due punti tra calibrazione vecchia e nuova)</t>
  </si>
  <si>
    <t>20/02/2024</t>
  </si>
  <si>
    <t>01/03/2024</t>
  </si>
  <si>
    <t>04/03/2024</t>
  </si>
  <si>
    <t>06/03/2024</t>
  </si>
  <si>
    <t>08/03/2024</t>
  </si>
  <si>
    <t>END OF RELIABLE DATA COLLECTION FOR R1 VS R2 AND SELECTOR PERFORMANCE. GASBAG RESETTED FOR THE WHOLE DAY TO CHECK FOR H2</t>
  </si>
  <si>
    <t>VFA (COD-basis)</t>
  </si>
  <si>
    <t>PRs</t>
  </si>
  <si>
    <t>PRtot</t>
  </si>
  <si>
    <t>CHs</t>
  </si>
  <si>
    <t>Chtot</t>
  </si>
  <si>
    <t>[mgPR/L]</t>
  </si>
  <si>
    <t>[mgCH/L]</t>
  </si>
  <si>
    <t>[mgLI/L]</t>
  </si>
  <si>
    <t>490 mL discharge</t>
  </si>
  <si>
    <t>10:10</t>
  </si>
  <si>
    <t>800 mL discharge. Forgot to weight it. Forgot to close gas valve before discharge. I closed it at half of the feeding. Dilution at air pressure filter 1:5 for both basified and non-basified. Titrator starts from pH 8.1 and 8.4 when samples are diluted 1:10 with deio and tap water respectively</t>
  </si>
  <si>
    <t>625 mL discharge. Closed the valve but peaks anyway…</t>
  </si>
  <si>
    <t xml:space="preserve">1200 mL discharge the gas valve was closed during feeding of the reactor and during discharge. we used two bottles (1000mL and 200 mL). total weight o the discharged sample ((1067,58-73,94)+(253,43-29,47)) = 1217,6g. the calculations are made based on subtracting the weight of the filled bottles from the weight of empty bottles. Note that for total COD and TN measurement we used 1:50 dilution </t>
  </si>
  <si>
    <t>1200 mL discharge. we used two bottles (1000mL and 200 mL). total weight o the discharged sample ((1138,94-82,58)+(250,07-36,36)) = 1270,07g. the calculations are made based on subtracting the weight of the filled bottles from the weight of empty bottles. Note that for total COD and TN measurement we used 1:50 dilution.NOTE: for TN the reading was a little bit above the range we should increase the dilution factor.</t>
  </si>
  <si>
    <t>6/11/2023</t>
  </si>
  <si>
    <t>800 mL discharge. total weight o the discharged sample (1046,08-90,74) = 955,34g. the calculations are made based on subtracting the weight of the filled bottle from the weight of empty bottle. Note that for total COD and TN measurement we used 1:100 dilution.</t>
  </si>
  <si>
    <t>1200 mL discharge. we used two bottles (1000mL and 200 mL). total weight o the discharged sample ((1076,67-85,27)+(270,74-36,37)) = 1225,77g. the calculations are made based on subtracting the weight of the filled bottles from the weight of empty bottles. Note that for total COD and TN measurement we used 1:100 dilution.</t>
  </si>
  <si>
    <t>1200 mL discharge. we discharged first 700 mL to perform the analysis. total weight of the first discharged amount = (814,12-91,67)= 722,45. the second discharge was after feeding the reactor. we discharged around 500 mL and the actual weight of the second discharged amount was 462,02 g the second discharge after feeding was around 15:26</t>
  </si>
  <si>
    <t>600 mL discharge. because of the pH decrease we decided to decrease the amount of the feeding to the half and thus to reduced the discharge to the half to maintain the volume constant in the reactor. total weight of the discharged amount = (704,83-83,67)= 621,16g.</t>
  </si>
  <si>
    <t>1200 mL discharge. we used two bottles (1000mL and 200 mL). total weight of the discharged sample ((1039.91-91.96)+(366.54-50.34)) = 1264.15g. the calculations are made based on subtracting the weight of the filled bottles from the weight of empty bottles.Note that for total COD we used 1:10 dilution because we used LCK914  while for TN measurement we used 1:100 dilution since we used LCK303</t>
  </si>
  <si>
    <t>Avrei dovuto togliere 600 invece di 700, senza pomodoro. FINE CONFRONTO AMPTS</t>
  </si>
  <si>
    <t>Andrea Remelli. Cadute bottiglie di stock R2</t>
  </si>
  <si>
    <t>Elena Ficara: errore in scarico (come un venerdì di R1). Mentre carico corretto. E' stato prelevato più volume di quanto ricaricato</t>
  </si>
  <si>
    <t xml:space="preserve">liquame </t>
  </si>
  <si>
    <t>maize</t>
  </si>
  <si>
    <t>liquame sol</t>
  </si>
  <si>
    <t>Flowrate s.Antonio</t>
  </si>
  <si>
    <t>VS s.Antonio</t>
  </si>
  <si>
    <t>COD s.Antonio</t>
  </si>
  <si>
    <t>OLR s.Antonio</t>
  </si>
  <si>
    <t>OLR percentage</t>
  </si>
  <si>
    <t>BD_VS</t>
  </si>
  <si>
    <t>Flowrate percentage</t>
  </si>
  <si>
    <t>COD/VS</t>
  </si>
  <si>
    <t>BD_COD</t>
  </si>
  <si>
    <t>Flowrate UIT</t>
  </si>
  <si>
    <t>OLR UIT</t>
  </si>
  <si>
    <t>OLR UIT percentage</t>
  </si>
  <si>
    <t>Reuction of 20% OLR (19.01.2024)</t>
  </si>
  <si>
    <t>Flowrate from optimization</t>
  </si>
  <si>
    <t>OLR target optimization</t>
  </si>
  <si>
    <t>Parameters</t>
  </si>
  <si>
    <t>m3/day</t>
  </si>
  <si>
    <t>kgVS/m3</t>
  </si>
  <si>
    <t>kgCOD/m3</t>
  </si>
  <si>
    <t>kgCOD/m3/day</t>
  </si>
  <si>
    <t>kgCOD-BD/m3/day</t>
  </si>
  <si>
    <t>gVS/L</t>
  </si>
  <si>
    <t>% wrt 330</t>
  </si>
  <si>
    <t>mL/day</t>
  </si>
  <si>
    <t>gCOD/L/d</t>
  </si>
  <si>
    <t>gCOD-BD/L/d</t>
  </si>
  <si>
    <t>Tomato OLR (gCOD/L/d) fraction</t>
  </si>
  <si>
    <t>Tomato Souce</t>
  </si>
  <si>
    <t>Maize to slurry fraction ()</t>
  </si>
  <si>
    <t>Cow Slurry</t>
  </si>
  <si>
    <t>V s.Antonio</t>
  </si>
  <si>
    <t>m3</t>
  </si>
  <si>
    <t>Maize Silage</t>
  </si>
  <si>
    <t>HRT</t>
  </si>
  <si>
    <t>V UIT</t>
  </si>
  <si>
    <t>Cow manure</t>
  </si>
  <si>
    <t>OLR</t>
  </si>
  <si>
    <t>HRT s.Antonio</t>
  </si>
  <si>
    <t>days</t>
  </si>
  <si>
    <t>UIT</t>
  </si>
  <si>
    <t>Con tomato = 10%OLR, mais/(mais+liquame)=B4 e dati da letteratura</t>
  </si>
  <si>
    <t>Con tomato = 10%portata, mais/(mais+liquame)=12% e dati da letteratura</t>
  </si>
  <si>
    <t>Con tomato = 10%portata, mais/(mais+liquame)=B4 e dati da misure</t>
  </si>
  <si>
    <t>Da Simulazione Modelica "steady" per ottimizzazione (OLR ridotto di 20%)</t>
  </si>
  <si>
    <t>Da misure di COD reali</t>
  </si>
  <si>
    <t xml:space="preserve">R1 </t>
  </si>
  <si>
    <t>R2</t>
  </si>
  <si>
    <t>R1</t>
  </si>
  <si>
    <t>1F1.1 [L/h]</t>
  </si>
  <si>
    <t>1F1.2 [L]</t>
  </si>
  <si>
    <t>2F1.1 [L/h]</t>
  </si>
  <si>
    <t>2F1.2 [L]</t>
  </si>
  <si>
    <t>Hour</t>
  </si>
  <si>
    <t>Cum</t>
  </si>
  <si>
    <t>Rate</t>
  </si>
  <si>
    <t>Moving average</t>
  </si>
  <si>
    <t>Feeding</t>
  </si>
  <si>
    <t>The first 24h after impulse feeding</t>
  </si>
  <si>
    <t>From feeding moment</t>
  </si>
  <si>
    <t>27.10.2023 00:00:31</t>
  </si>
  <si>
    <t>For 24 hours</t>
  </si>
  <si>
    <t>26.10.2023 00:00:47</t>
  </si>
  <si>
    <t>27.10.2023 00:01:31</t>
  </si>
  <si>
    <t>26.10.2023 00:01:47</t>
  </si>
  <si>
    <t>27.10.2023 00:02:32</t>
  </si>
  <si>
    <t>Vgas(0)</t>
  </si>
  <si>
    <t>26.10.2023 00:02:47</t>
  </si>
  <si>
    <t>27.10.2023 00:03:32</t>
  </si>
  <si>
    <t>Vgas(T)</t>
  </si>
  <si>
    <t>26.10.2023 00:03:47</t>
  </si>
  <si>
    <t>27.10.2023 00:04:32</t>
  </si>
  <si>
    <t>Produced</t>
  </si>
  <si>
    <t>26.10.2023 00:04:47</t>
  </si>
  <si>
    <t>27.10.2023 00:05:32</t>
  </si>
  <si>
    <t>Average rate</t>
  </si>
  <si>
    <t>26.10.2023 00:05:47</t>
  </si>
  <si>
    <t>27.10.2023 00:06:32</t>
  </si>
  <si>
    <t>26.10.2023 00:06:47</t>
  </si>
  <si>
    <t>27.10.2023 00:07:32</t>
  </si>
  <si>
    <t>26.10.2023 00:07:47</t>
  </si>
  <si>
    <t>27.10.2023 00:08:32</t>
  </si>
  <si>
    <t>The day before impulse feeding</t>
  </si>
  <si>
    <t>26.10.2023 00:08:47</t>
  </si>
  <si>
    <t>27.10.2023 00:09:32</t>
  </si>
  <si>
    <t>26.10.2023 00:09:47</t>
  </si>
  <si>
    <t>27.10.2023 00:10:32</t>
  </si>
  <si>
    <t>26.10.2023 00:10:48</t>
  </si>
  <si>
    <t>27.10.2023 00:11:32</t>
  </si>
  <si>
    <t>26.10.2023 00:11:48</t>
  </si>
  <si>
    <t>27.10.2023 00:12:33</t>
  </si>
  <si>
    <t>26.10.2023 00:12:48</t>
  </si>
  <si>
    <t>27.10.2023 00:13:33</t>
  </si>
  <si>
    <t>26.10.2023 00:13:48</t>
  </si>
  <si>
    <t>27.10.2023 00:14:33</t>
  </si>
  <si>
    <t>Net production</t>
  </si>
  <si>
    <t>26.10.2023 00:14:48</t>
  </si>
  <si>
    <t>27.10.2023 00:15:33</t>
  </si>
  <si>
    <t>Net average rate</t>
  </si>
  <si>
    <t>26.10.2023 00:15:48</t>
  </si>
  <si>
    <t>27.10.2023 00:16:33</t>
  </si>
  <si>
    <t>26.10.2023 00:16:48</t>
  </si>
  <si>
    <t>27.10.2023 00:17:33</t>
  </si>
  <si>
    <t>With respect to first day of BMP</t>
  </si>
  <si>
    <t>26.10.2023 00:17:48</t>
  </si>
  <si>
    <t>27.10.2023 00:18:33</t>
  </si>
  <si>
    <t>26.10.2023 00:18:48</t>
  </si>
  <si>
    <t>27.10.2023 00:19:33</t>
  </si>
  <si>
    <t>26.10.2023 00:19:48</t>
  </si>
  <si>
    <t>27.10.2023 00:20:33</t>
  </si>
  <si>
    <t>26.10.2023 00:20:49</t>
  </si>
  <si>
    <t>27.10.2023 00:21:34</t>
  </si>
  <si>
    <t>26.10.2023 00:21:49</t>
  </si>
  <si>
    <t>27.10.2023 00:22:34</t>
  </si>
  <si>
    <t>26.10.2023 00:22:49</t>
  </si>
  <si>
    <t>27.10.2023 00:23:34</t>
  </si>
  <si>
    <t>26.10.2023 00:23:49</t>
  </si>
  <si>
    <t>27.10.2023 00:24:34</t>
  </si>
  <si>
    <t>26.10.2023 00:24:49</t>
  </si>
  <si>
    <t>27.10.2023 00:25:34</t>
  </si>
  <si>
    <t>26.10.2023 00:25:49</t>
  </si>
  <si>
    <t>27.10.2023 00:26:34</t>
  </si>
  <si>
    <t>26.10.2023 00:26:49</t>
  </si>
  <si>
    <t>27.10.2023 00:27:34</t>
  </si>
  <si>
    <t>26.10.2023 00:27:49</t>
  </si>
  <si>
    <t>27.10.2023 00:28:34</t>
  </si>
  <si>
    <t>26.10.2023 00:28:49</t>
  </si>
  <si>
    <t>27.10.2023 00:29:34</t>
  </si>
  <si>
    <t>26.10.2023 00:29:49</t>
  </si>
  <si>
    <t>27.10.2023 00:30:35</t>
  </si>
  <si>
    <t>26.10.2023 00:30:50</t>
  </si>
  <si>
    <t>27.10.2023 00:31:35</t>
  </si>
  <si>
    <t>26.10.2023 00:31:50</t>
  </si>
  <si>
    <t>27.10.2023 00:32:35</t>
  </si>
  <si>
    <t>26.10.2023 00:32:50</t>
  </si>
  <si>
    <t>27.10.2023 00:33:35</t>
  </si>
  <si>
    <t>26.10.2023 00:33:50</t>
  </si>
  <si>
    <t>27.10.2023 00:34:35</t>
  </si>
  <si>
    <t>26.10.2023 00:34:50</t>
  </si>
  <si>
    <t>27.10.2023 00:35:35</t>
  </si>
  <si>
    <t>26.10.2023 00:35:50</t>
  </si>
  <si>
    <t>27.10.2023 00:36:35</t>
  </si>
  <si>
    <t>26.10.2023 00:36:50</t>
  </si>
  <si>
    <t>27.10.2023 00:37:35</t>
  </si>
  <si>
    <t>26.10.2023 00:37:50</t>
  </si>
  <si>
    <t>27.10.2023 00:38:36</t>
  </si>
  <si>
    <t>26.10.2023 00:38:50</t>
  </si>
  <si>
    <t>27.10.2023 00:39:36</t>
  </si>
  <si>
    <t>26.10.2023 00:39:50</t>
  </si>
  <si>
    <t>27.10.2023 00:40:36</t>
  </si>
  <si>
    <t>26.10.2023 00:40:51</t>
  </si>
  <si>
    <t>27.10.2023 00:41:36</t>
  </si>
  <si>
    <t>26.10.2023 00:41:51</t>
  </si>
  <si>
    <t>27.10.2023 00:42:36</t>
  </si>
  <si>
    <t>26.10.2023 00:42:51</t>
  </si>
  <si>
    <t>27.10.2023 00:43:36</t>
  </si>
  <si>
    <t>26.10.2023 00:43:51</t>
  </si>
  <si>
    <t>27.10.2023 00:44:36</t>
  </si>
  <si>
    <t>26.10.2023 00:44:51</t>
  </si>
  <si>
    <t>27.10.2023 00:45:36</t>
  </si>
  <si>
    <t>26.10.2023 00:45:51</t>
  </si>
  <si>
    <t>27.10.2023 00:46:36</t>
  </si>
  <si>
    <t>26.10.2023 00:46:51</t>
  </si>
  <si>
    <t>27.10.2023 00:47:37</t>
  </si>
  <si>
    <t>26.10.2023 00:47:51</t>
  </si>
  <si>
    <t>27.10.2023 00:48:37</t>
  </si>
  <si>
    <t>26.10.2023 00:48:51</t>
  </si>
  <si>
    <t>27.10.2023 00:49:37</t>
  </si>
  <si>
    <t>26.10.2023 00:49:51</t>
  </si>
  <si>
    <t>27.10.2023 00:50:37</t>
  </si>
  <si>
    <t>26.10.2023 00:50:52</t>
  </si>
  <si>
    <t>27.10.2023 00:51:37</t>
  </si>
  <si>
    <t>26.10.2023 00:51:52</t>
  </si>
  <si>
    <t>27.10.2023 00:52:37</t>
  </si>
  <si>
    <t>26.10.2023 00:52:52</t>
  </si>
  <si>
    <t>27.10.2023 00:53:37</t>
  </si>
  <si>
    <t>26.10.2023 00:53:52</t>
  </si>
  <si>
    <t>27.10.2023 00:54:37</t>
  </si>
  <si>
    <t>26.10.2023 00:54:52</t>
  </si>
  <si>
    <t>27.10.2023 00:55:37</t>
  </si>
  <si>
    <t>26.10.2023 00:55:52</t>
  </si>
  <si>
    <t>27.10.2023 00:56:38</t>
  </si>
  <si>
    <t>26.10.2023 00:56:52</t>
  </si>
  <si>
    <t>27.10.2023 00:57:38</t>
  </si>
  <si>
    <t>26.10.2023 00:57:52</t>
  </si>
  <si>
    <t>27.10.2023 00:58:38</t>
  </si>
  <si>
    <t>26.10.2023 00:58:52</t>
  </si>
  <si>
    <t>27.10.2023 00:59:38</t>
  </si>
  <si>
    <t>26.10.2023 00:59:52</t>
  </si>
  <si>
    <t>27.10.2023 01:00:38</t>
  </si>
  <si>
    <t>26.10.2023 01:00:53</t>
  </si>
  <si>
    <t>27.10.2023 01:01:38</t>
  </si>
  <si>
    <t>26.10.2023 01:01:53</t>
  </si>
  <si>
    <t>27.10.2023 01:02:38</t>
  </si>
  <si>
    <t>26.10.2023 01:02:53</t>
  </si>
  <si>
    <t>27.10.2023 01:03:38</t>
  </si>
  <si>
    <t>26.10.2023 01:03:53</t>
  </si>
  <si>
    <t>27.10.2023 01:04:39</t>
  </si>
  <si>
    <t>26.10.2023 01:04:53</t>
  </si>
  <si>
    <t>27.10.2023 01:05:39</t>
  </si>
  <si>
    <t>26.10.2023 01:05:53</t>
  </si>
  <si>
    <t>27.10.2023 01:06:39</t>
  </si>
  <si>
    <t>26.10.2023 01:06:53</t>
  </si>
  <si>
    <t>27.10.2023 01:07:39</t>
  </si>
  <si>
    <t>26.10.2023 01:07:53</t>
  </si>
  <si>
    <t>27.10.2023 01:08:39</t>
  </si>
  <si>
    <t>26.10.2023 01:08:53</t>
  </si>
  <si>
    <t>27.10.2023 01:09:39</t>
  </si>
  <si>
    <t>26.10.2023 01:09:53</t>
  </si>
  <si>
    <t>27.10.2023 01:10:39</t>
  </si>
  <si>
    <t>26.10.2023 01:10:54</t>
  </si>
  <si>
    <t>27.10.2023 01:11:39</t>
  </si>
  <si>
    <t>26.10.2023 01:11:54</t>
  </si>
  <si>
    <t>27.10.2023 01:12:40</t>
  </si>
  <si>
    <t>26.10.2023 01:12:54</t>
  </si>
  <si>
    <t>27.10.2023 01:13:40</t>
  </si>
  <si>
    <t>26.10.2023 01:13:54</t>
  </si>
  <si>
    <t>27.10.2023 01:14:40</t>
  </si>
  <si>
    <t>26.10.2023 01:14:54</t>
  </si>
  <si>
    <t>27.10.2023 01:15:40</t>
  </si>
  <si>
    <t>26.10.2023 01:15:54</t>
  </si>
  <si>
    <t>27.10.2023 01:16:40</t>
  </si>
  <si>
    <t>26.10.2023 01:16:54</t>
  </si>
  <si>
    <t>27.10.2023 01:17:40</t>
  </si>
  <si>
    <t>26.10.2023 01:17:54</t>
  </si>
  <si>
    <t>27.10.2023 01:18:40</t>
  </si>
  <si>
    <t>26.10.2023 01:18:54</t>
  </si>
  <si>
    <t>27.10.2023 01:19:40</t>
  </si>
  <si>
    <t>26.10.2023 01:19:54</t>
  </si>
  <si>
    <t>27.10.2023 01:20:41</t>
  </si>
  <si>
    <t>26.10.2023 01:20:55</t>
  </si>
  <si>
    <t>27.10.2023 01:21:41</t>
  </si>
  <si>
    <t>26.10.2023 01:21:55</t>
  </si>
  <si>
    <t>27.10.2023 01:22:41</t>
  </si>
  <si>
    <t>26.10.2023 01:22:55</t>
  </si>
  <si>
    <t>27.10.2023 01:23:41</t>
  </si>
  <si>
    <t>26.10.2023 01:23:55</t>
  </si>
  <si>
    <t>27.10.2023 01:24:41</t>
  </si>
  <si>
    <t>26.10.2023 01:24:55</t>
  </si>
  <si>
    <t>27.10.2023 01:25:41</t>
  </si>
  <si>
    <t>26.10.2023 01:25:55</t>
  </si>
  <si>
    <t>27.10.2023 01:26:41</t>
  </si>
  <si>
    <t>26.10.2023 01:26:55</t>
  </si>
  <si>
    <t>27.10.2023 01:27:42</t>
  </si>
  <si>
    <t>26.10.2023 01:27:55</t>
  </si>
  <si>
    <t>27.10.2023 01:28:42</t>
  </si>
  <si>
    <t>26.10.2023 01:28:55</t>
  </si>
  <si>
    <t>27.10.2023 01:29:42</t>
  </si>
  <si>
    <t>26.10.2023 01:29:55</t>
  </si>
  <si>
    <t>27.10.2023 01:30:42</t>
  </si>
  <si>
    <t>26.10.2023 01:30:56</t>
  </si>
  <si>
    <t>27.10.2023 01:31:42</t>
  </si>
  <si>
    <t>26.10.2023 01:31:56</t>
  </si>
  <si>
    <t>27.10.2023 01:32:42</t>
  </si>
  <si>
    <t>26.10.2023 01:32:56</t>
  </si>
  <si>
    <t>27.10.2023 01:33:42</t>
  </si>
  <si>
    <t>26.10.2023 01:33:56</t>
  </si>
  <si>
    <t>27.10.2023 01:34:42</t>
  </si>
  <si>
    <t>26.10.2023 01:34:56</t>
  </si>
  <si>
    <t>27.10.2023 01:35:43</t>
  </si>
  <si>
    <t>26.10.2023 01:35:56</t>
  </si>
  <si>
    <t>27.10.2023 01:36:43</t>
  </si>
  <si>
    <t>26.10.2023 01:36:56</t>
  </si>
  <si>
    <t>27.10.2023 01:37:43</t>
  </si>
  <si>
    <t>26.10.2023 01:37:56</t>
  </si>
  <si>
    <t>27.10.2023 01:38:43</t>
  </si>
  <si>
    <t>26.10.2023 01:38:56</t>
  </si>
  <si>
    <t>27.10.2023 01:39:43</t>
  </si>
  <si>
    <t>26.10.2023 01:39:56</t>
  </si>
  <si>
    <t>27.10.2023 01:40:43</t>
  </si>
  <si>
    <t>26.10.2023 01:40:57</t>
  </si>
  <si>
    <t>27.10.2023 01:41:43</t>
  </si>
  <si>
    <t>26.10.2023 01:41:57</t>
  </si>
  <si>
    <t>27.10.2023 01:42:43</t>
  </si>
  <si>
    <t>26.10.2023 01:42:57</t>
  </si>
  <si>
    <t>27.10.2023 01:43:44</t>
  </si>
  <si>
    <t>26.10.2023 01:43:57</t>
  </si>
  <si>
    <t>27.10.2023 01:44:44</t>
  </si>
  <si>
    <t>26.10.2023 01:44:57</t>
  </si>
  <si>
    <t>27.10.2023 01:45:44</t>
  </si>
  <si>
    <t>26.10.2023 01:45:57</t>
  </si>
  <si>
    <t>27.10.2023 01:46:44</t>
  </si>
  <si>
    <t>26.10.2023 01:46:57</t>
  </si>
  <si>
    <t>27.10.2023 01:47:44</t>
  </si>
  <si>
    <t>26.10.2023 01:47:57</t>
  </si>
  <si>
    <t>27.10.2023 01:48:44</t>
  </si>
  <si>
    <t>26.10.2023 01:48:57</t>
  </si>
  <si>
    <t>27.10.2023 01:49:44</t>
  </si>
  <si>
    <t>26.10.2023 01:49:57</t>
  </si>
  <si>
    <t>27.10.2023 01:50:45</t>
  </si>
  <si>
    <t>26.10.2023 01:50:58</t>
  </si>
  <si>
    <t>27.10.2023 01:51:45</t>
  </si>
  <si>
    <t>26.10.2023 01:51:58</t>
  </si>
  <si>
    <t>27.10.2023 01:52:45</t>
  </si>
  <si>
    <t>26.10.2023 01:52:58</t>
  </si>
  <si>
    <t>27.10.2023 01:53:45</t>
  </si>
  <si>
    <t>26.10.2023 01:53:58</t>
  </si>
  <si>
    <t>27.10.2023 01:54:45</t>
  </si>
  <si>
    <t>26.10.2023 01:54:58</t>
  </si>
  <si>
    <t>27.10.2023 01:55:45</t>
  </si>
  <si>
    <t>26.10.2023 01:55:58</t>
  </si>
  <si>
    <t>27.10.2023 01:56:45</t>
  </si>
  <si>
    <t>26.10.2023 01:56:58</t>
  </si>
  <si>
    <t>27.10.2023 01:57:46</t>
  </si>
  <si>
    <t>26.10.2023 01:57:58</t>
  </si>
  <si>
    <t>27.10.2023 01:58:46</t>
  </si>
  <si>
    <t>26.10.2023 01:58:58</t>
  </si>
  <si>
    <t>27.10.2023 01:59:46</t>
  </si>
  <si>
    <t>26.10.2023 01:59:58</t>
  </si>
  <si>
    <t>27.10.2023 02:00:46</t>
  </si>
  <si>
    <t>26.10.2023 02:00:59</t>
  </si>
  <si>
    <t>27.10.2023 02:01:46</t>
  </si>
  <si>
    <t>26.10.2023 02:01:59</t>
  </si>
  <si>
    <t>27.10.2023 02:02:46</t>
  </si>
  <si>
    <t>26.10.2023 02:02:59</t>
  </si>
  <si>
    <t>27.10.2023 02:03:46</t>
  </si>
  <si>
    <t>26.10.2023 02:03:59</t>
  </si>
  <si>
    <t>27.10.2023 02:04:47</t>
  </si>
  <si>
    <t>26.10.2023 02:04:59</t>
  </si>
  <si>
    <t>27.10.2023 02:05:47</t>
  </si>
  <si>
    <t>26.10.2023 02:05:59</t>
  </si>
  <si>
    <t>27.10.2023 02:06:47</t>
  </si>
  <si>
    <t>26.10.2023 02:06:59</t>
  </si>
  <si>
    <t>27.10.2023 02:07:47</t>
  </si>
  <si>
    <t>26.10.2023 02:07:59</t>
  </si>
  <si>
    <t>27.10.2023 02:08:47</t>
  </si>
  <si>
    <t>26.10.2023 02:08:59</t>
  </si>
  <si>
    <t>27.10.2023 02:09:47</t>
  </si>
  <si>
    <t>26.10.2023 02:09:59</t>
  </si>
  <si>
    <t>27.10.2023 02:10:47</t>
  </si>
  <si>
    <t>26.10.2023 02:11:00</t>
  </si>
  <si>
    <t>27.10.2023 02:11:48</t>
  </si>
  <si>
    <t>26.10.2023 02:12:00</t>
  </si>
  <si>
    <t>27.10.2023 02:12:48</t>
  </si>
  <si>
    <t>26.10.2023 02:13:00</t>
  </si>
  <si>
    <t>27.10.2023 02:13:48</t>
  </si>
  <si>
    <t>26.10.2023 02:14:00</t>
  </si>
  <si>
    <t>27.10.2023 02:14:48</t>
  </si>
  <si>
    <t>26.10.2023 02:15:00</t>
  </si>
  <si>
    <t>27.10.2023 02:15:48</t>
  </si>
  <si>
    <t>26.10.2023 02:16:00</t>
  </si>
  <si>
    <t>27.10.2023 02:16:48</t>
  </si>
  <si>
    <t>26.10.2023 02:17:00</t>
  </si>
  <si>
    <t>27.10.2023 02:17:48</t>
  </si>
  <si>
    <t>26.10.2023 02:18:00</t>
  </si>
  <si>
    <t>27.10.2023 02:18:49</t>
  </si>
  <si>
    <t>26.10.2023 02:19:00</t>
  </si>
  <si>
    <t>27.10.2023 02:19:49</t>
  </si>
  <si>
    <t>26.10.2023 02:20:00</t>
  </si>
  <si>
    <t>27.10.2023 02:20:49</t>
  </si>
  <si>
    <t>26.10.2023 02:21:01</t>
  </si>
  <si>
    <t>27.10.2023 02:21:49</t>
  </si>
  <si>
    <t>26.10.2023 02:22:01</t>
  </si>
  <si>
    <t>27.10.2023 02:22:49</t>
  </si>
  <si>
    <t>26.10.2023 02:23:01</t>
  </si>
  <si>
    <t>27.10.2023 02:23:49</t>
  </si>
  <si>
    <t>26.10.2023 02:24:01</t>
  </si>
  <si>
    <t>27.10.2023 02:24:49</t>
  </si>
  <si>
    <t>26.10.2023 02:25:01</t>
  </si>
  <si>
    <t>27.10.2023 02:25:50</t>
  </si>
  <si>
    <t>26.10.2023 02:26:01</t>
  </si>
  <si>
    <t>27.10.2023 02:26:50</t>
  </si>
  <si>
    <t>26.10.2023 02:27:01</t>
  </si>
  <si>
    <t>27.10.2023 02:27:50</t>
  </si>
  <si>
    <t>26.10.2023 02:28:01</t>
  </si>
  <si>
    <t>27.10.2023 02:28:50</t>
  </si>
  <si>
    <t>26.10.2023 02:29:01</t>
  </si>
  <si>
    <t>27.10.2023 02:29:50</t>
  </si>
  <si>
    <t>26.10.2023 02:30:01</t>
  </si>
  <si>
    <t>27.10.2023 02:30:50</t>
  </si>
  <si>
    <t>26.10.2023 02:31:02</t>
  </si>
  <si>
    <t>27.10.2023 02:31:50</t>
  </si>
  <si>
    <t>26.10.2023 02:32:02</t>
  </si>
  <si>
    <t>27.10.2023 02:32:51</t>
  </si>
  <si>
    <t>26.10.2023 02:33:02</t>
  </si>
  <si>
    <t>27.10.2023 02:33:51</t>
  </si>
  <si>
    <t>26.10.2023 02:34:02</t>
  </si>
  <si>
    <t>27.10.2023 02:34:51</t>
  </si>
  <si>
    <t>26.10.2023 02:35:02</t>
  </si>
  <si>
    <t>27.10.2023 02:35:51</t>
  </si>
  <si>
    <t>26.10.2023 02:36:02</t>
  </si>
  <si>
    <t>27.10.2023 02:36:51</t>
  </si>
  <si>
    <t>26.10.2023 02:37:02</t>
  </si>
  <si>
    <t>27.10.2023 02:37:51</t>
  </si>
  <si>
    <t>26.10.2023 02:38:02</t>
  </si>
  <si>
    <t>27.10.2023 02:38:51</t>
  </si>
  <si>
    <t>26.10.2023 02:39:02</t>
  </si>
  <si>
    <t>27.10.2023 02:39:52</t>
  </si>
  <si>
    <t>26.10.2023 02:40:02</t>
  </si>
  <si>
    <t>27.10.2023 02:40:52</t>
  </si>
  <si>
    <t>26.10.2023 02:41:03</t>
  </si>
  <si>
    <t>27.10.2023 02:41:52</t>
  </si>
  <si>
    <t>26.10.2023 02:42:03</t>
  </si>
  <si>
    <t>27.10.2023 02:42:52</t>
  </si>
  <si>
    <t>26.10.2023 02:43:03</t>
  </si>
  <si>
    <t>27.10.2023 02:43:52</t>
  </si>
  <si>
    <t>26.10.2023 02:44:03</t>
  </si>
  <si>
    <t>27.10.2023 02:44:52</t>
  </si>
  <si>
    <t>26.10.2023 02:45:03</t>
  </si>
  <si>
    <t>27.10.2023 02:45:53</t>
  </si>
  <si>
    <t>26.10.2023 02:46:03</t>
  </si>
  <si>
    <t>27.10.2023 02:46:53</t>
  </si>
  <si>
    <t>26.10.2023 02:47:03</t>
  </si>
  <si>
    <t>27.10.2023 02:47:53</t>
  </si>
  <si>
    <t>26.10.2023 02:48:03</t>
  </si>
  <si>
    <t>27.10.2023 02:48:53</t>
  </si>
  <si>
    <t>26.10.2023 02:49:03</t>
  </si>
  <si>
    <t>27.10.2023 02:49:53</t>
  </si>
  <si>
    <t>26.10.2023 02:50:03</t>
  </si>
  <si>
    <t>27.10.2023 02:50:53</t>
  </si>
  <si>
    <t>26.10.2023 02:51:04</t>
  </si>
  <si>
    <t>27.10.2023 02:51:53</t>
  </si>
  <si>
    <t>26.10.2023 02:52:04</t>
  </si>
  <si>
    <t>27.10.2023 02:52:54</t>
  </si>
  <si>
    <t>26.10.2023 02:53:04</t>
  </si>
  <si>
    <t>27.10.2023 02:53:54</t>
  </si>
  <si>
    <t>26.10.2023 02:54:04</t>
  </si>
  <si>
    <t>27.10.2023 02:54:54</t>
  </si>
  <si>
    <t>26.10.2023 02:55:04</t>
  </si>
  <si>
    <t>27.10.2023 02:55:54</t>
  </si>
  <si>
    <t>26.10.2023 02:56:04</t>
  </si>
  <si>
    <t>27.10.2023 02:56:54</t>
  </si>
  <si>
    <t>26.10.2023 02:57:04</t>
  </si>
  <si>
    <t>27.10.2023 02:57:54</t>
  </si>
  <si>
    <t>26.10.2023 02:58:04</t>
  </si>
  <si>
    <t>27.10.2023 02:58:54</t>
  </si>
  <si>
    <t>26.10.2023 02:59:04</t>
  </si>
  <si>
    <t>27.10.2023 02:59:55</t>
  </si>
  <si>
    <t>26.10.2023 03:00:04</t>
  </si>
  <si>
    <t>27.10.2023 03:00:55</t>
  </si>
  <si>
    <t>26.10.2023 03:01:05</t>
  </si>
  <si>
    <t>27.10.2023 03:01:55</t>
  </si>
  <si>
    <t>26.10.2023 03:02:05</t>
  </si>
  <si>
    <t>27.10.2023 03:02:55</t>
  </si>
  <si>
    <t>26.10.2023 03:03:05</t>
  </si>
  <si>
    <t>27.10.2023 03:03:55</t>
  </si>
  <si>
    <t>26.10.2023 03:04:05</t>
  </si>
  <si>
    <t>27.10.2023 03:04:55</t>
  </si>
  <si>
    <t>26.10.2023 03:05:05</t>
  </si>
  <si>
    <t>27.10.2023 03:05:55</t>
  </si>
  <si>
    <t>26.10.2023 03:06:05</t>
  </si>
  <si>
    <t>27.10.2023 03:06:56</t>
  </si>
  <si>
    <t>26.10.2023 03:07:05</t>
  </si>
  <si>
    <t>27.10.2023 03:07:56</t>
  </si>
  <si>
    <t>26.10.2023 03:08:05</t>
  </si>
  <si>
    <t>27.10.2023 03:08:56</t>
  </si>
  <si>
    <t>26.10.2023 03:09:05</t>
  </si>
  <si>
    <t>27.10.2023 03:09:56</t>
  </si>
  <si>
    <t>26.10.2023 03:10:05</t>
  </si>
  <si>
    <t>27.10.2023 03:10:56</t>
  </si>
  <si>
    <t>26.10.2023 03:11:06</t>
  </si>
  <si>
    <t>27.10.2023 03:11:56</t>
  </si>
  <si>
    <t>26.10.2023 03:12:06</t>
  </si>
  <si>
    <t>27.10.2023 03:12:56</t>
  </si>
  <si>
    <t>26.10.2023 03:13:06</t>
  </si>
  <si>
    <t>27.10.2023 03:13:57</t>
  </si>
  <si>
    <t>26.10.2023 03:14:06</t>
  </si>
  <si>
    <t>27.10.2023 03:14:57</t>
  </si>
  <si>
    <t>26.10.2023 03:15:06</t>
  </si>
  <si>
    <t>27.10.2023 03:15:57</t>
  </si>
  <si>
    <t>26.10.2023 03:16:06</t>
  </si>
  <si>
    <t>27.10.2023 03:16:57</t>
  </si>
  <si>
    <t>26.10.2023 03:17:06</t>
  </si>
  <si>
    <t>27.10.2023 03:17:57</t>
  </si>
  <si>
    <t>26.10.2023 03:18:06</t>
  </si>
  <si>
    <t>27.10.2023 03:18:57</t>
  </si>
  <si>
    <t>26.10.2023 03:19:06</t>
  </si>
  <si>
    <t>27.10.2023 03:19:58</t>
  </si>
  <si>
    <t>26.10.2023 03:20:06</t>
  </si>
  <si>
    <t>27.10.2023 03:20:58</t>
  </si>
  <si>
    <t>26.10.2023 03:21:07</t>
  </si>
  <si>
    <t>27.10.2023 03:21:58</t>
  </si>
  <si>
    <t>26.10.2023 03:22:07</t>
  </si>
  <si>
    <t>27.10.2023 03:22:58</t>
  </si>
  <si>
    <t>26.10.2023 03:23:07</t>
  </si>
  <si>
    <t>27.10.2023 03:23:58</t>
  </si>
  <si>
    <t>26.10.2023 03:24:07</t>
  </si>
  <si>
    <t>27.10.2023 03:24:58</t>
  </si>
  <si>
    <t>26.10.2023 03:25:07</t>
  </si>
  <si>
    <t>27.10.2023 03:25:58</t>
  </si>
  <si>
    <t>26.10.2023 03:26:07</t>
  </si>
  <si>
    <t>27.10.2023 03:26:59</t>
  </si>
  <si>
    <t>26.10.2023 03:27:07</t>
  </si>
  <si>
    <t>27.10.2023 03:27:59</t>
  </si>
  <si>
    <t>26.10.2023 03:28:07</t>
  </si>
  <si>
    <t>27.10.2023 03:28:59</t>
  </si>
  <si>
    <t>26.10.2023 03:29:07</t>
  </si>
  <si>
    <t>27.10.2023 03:29:59</t>
  </si>
  <si>
    <t>26.10.2023 03:30:07</t>
  </si>
  <si>
    <t>27.10.2023 03:30:59</t>
  </si>
  <si>
    <t>26.10.2023 03:31:08</t>
  </si>
  <si>
    <t>27.10.2023 03:31:59</t>
  </si>
  <si>
    <t>26.10.2023 03:32:08</t>
  </si>
  <si>
    <t>27.10.2023 03:32:59</t>
  </si>
  <si>
    <t>26.10.2023 03:33:08</t>
  </si>
  <si>
    <t>27.10.2023 03:34:00</t>
  </si>
  <si>
    <t>26.10.2023 03:34:08</t>
  </si>
  <si>
    <t>27.10.2023 03:35:00</t>
  </si>
  <si>
    <t>26.10.2023 03:35:08</t>
  </si>
  <si>
    <t>27.10.2023 03:36:00</t>
  </si>
  <si>
    <t>26.10.2023 03:36:08</t>
  </si>
  <si>
    <t>27.10.2023 03:37:00</t>
  </si>
  <si>
    <t>26.10.2023 03:37:08</t>
  </si>
  <si>
    <t>27.10.2023 03:38:00</t>
  </si>
  <si>
    <t>26.10.2023 03:38:08</t>
  </si>
  <si>
    <t>27.10.2023 03:39:00</t>
  </si>
  <si>
    <t>26.10.2023 03:39:08</t>
  </si>
  <si>
    <t>27.10.2023 03:40:01</t>
  </si>
  <si>
    <t>26.10.2023 03:40:09</t>
  </si>
  <si>
    <t>27.10.2023 03:41:01</t>
  </si>
  <si>
    <t>26.10.2023 03:41:09</t>
  </si>
  <si>
    <t>27.10.2023 03:42:01</t>
  </si>
  <si>
    <t>26.10.2023 03:42:09</t>
  </si>
  <si>
    <t>27.10.2023 03:43:01</t>
  </si>
  <si>
    <t>26.10.2023 03:43:09</t>
  </si>
  <si>
    <t>27.10.2023 03:44:01</t>
  </si>
  <si>
    <t>26.10.2023 03:44:09</t>
  </si>
  <si>
    <t>27.10.2023 03:45:01</t>
  </si>
  <si>
    <t>26.10.2023 03:45:09</t>
  </si>
  <si>
    <t>27.10.2023 03:46:01</t>
  </si>
  <si>
    <t>26.10.2023 03:46:09</t>
  </si>
  <si>
    <t>27.10.2023 03:47:02</t>
  </si>
  <si>
    <t>26.10.2023 03:47:09</t>
  </si>
  <si>
    <t>27.10.2023 03:48:02</t>
  </si>
  <si>
    <t>26.10.2023 03:48:09</t>
  </si>
  <si>
    <t>27.10.2023 03:49:02</t>
  </si>
  <si>
    <t>26.10.2023 03:49:09</t>
  </si>
  <si>
    <t>27.10.2023 03:50:02</t>
  </si>
  <si>
    <t>26.10.2023 03:50:10</t>
  </si>
  <si>
    <t>27.10.2023 03:51:02</t>
  </si>
  <si>
    <t>26.10.2023 03:51:10</t>
  </si>
  <si>
    <t>27.10.2023 03:52:02</t>
  </si>
  <si>
    <t>26.10.2023 03:52:10</t>
  </si>
  <si>
    <t>27.10.2023 03:53:02</t>
  </si>
  <si>
    <t>26.10.2023 03:53:10</t>
  </si>
  <si>
    <t>27.10.2023 03:54:03</t>
  </si>
  <si>
    <t>26.10.2023 03:54:10</t>
  </si>
  <si>
    <t>27.10.2023 03:55:03</t>
  </si>
  <si>
    <t>26.10.2023 03:55:10</t>
  </si>
  <si>
    <t>27.10.2023 03:56:03</t>
  </si>
  <si>
    <t>26.10.2023 03:56:10</t>
  </si>
  <si>
    <t>27.10.2023 03:57:03</t>
  </si>
  <si>
    <t>26.10.2023 03:57:10</t>
  </si>
  <si>
    <t>27.10.2023 03:58:03</t>
  </si>
  <si>
    <t>26.10.2023 03:58:10</t>
  </si>
  <si>
    <t>27.10.2023 03:59:03</t>
  </si>
  <si>
    <t>26.10.2023 03:59:11</t>
  </si>
  <si>
    <t>27.10.2023 04:00:04</t>
  </si>
  <si>
    <t>26.10.2023 04:00:11</t>
  </si>
  <si>
    <t>27.10.2023 04:01:04</t>
  </si>
  <si>
    <t>26.10.2023 04:01:11</t>
  </si>
  <si>
    <t>27.10.2023 04:02:04</t>
  </si>
  <si>
    <t>26.10.2023 04:02:11</t>
  </si>
  <si>
    <t>27.10.2023 04:03:04</t>
  </si>
  <si>
    <t>26.10.2023 04:03:11</t>
  </si>
  <si>
    <t>27.10.2023 04:04:04</t>
  </si>
  <si>
    <t>26.10.2023 04:04:11</t>
  </si>
  <si>
    <t>27.10.2023 04:05:04</t>
  </si>
  <si>
    <t>26.10.2023 04:05:11</t>
  </si>
  <si>
    <t>27.10.2023 04:06:04</t>
  </si>
  <si>
    <t>26.10.2023 04:06:11</t>
  </si>
  <si>
    <t>27.10.2023 04:07:05</t>
  </si>
  <si>
    <t>26.10.2023 04:07:11</t>
  </si>
  <si>
    <t>27.10.2023 04:08:05</t>
  </si>
  <si>
    <t>26.10.2023 04:08:11</t>
  </si>
  <si>
    <t>27.10.2023 04:09:05</t>
  </si>
  <si>
    <t>26.10.2023 04:09:12</t>
  </si>
  <si>
    <t>27.10.2023 04:10:05</t>
  </si>
  <si>
    <t>26.10.2023 04:10:12</t>
  </si>
  <si>
    <t>27.10.2023 04:11:05</t>
  </si>
  <si>
    <t>26.10.2023 04:11:12</t>
  </si>
  <si>
    <t>27.10.2023 04:12:05</t>
  </si>
  <si>
    <t>26.10.2023 04:12:12</t>
  </si>
  <si>
    <t>27.10.2023 04:13:05</t>
  </si>
  <si>
    <t>26.10.2023 04:13:12</t>
  </si>
  <si>
    <t>27.10.2023 04:14:06</t>
  </si>
  <si>
    <t>26.10.2023 04:14:12</t>
  </si>
  <si>
    <t>27.10.2023 04:15:06</t>
  </si>
  <si>
    <t>26.10.2023 04:15:12</t>
  </si>
  <si>
    <t>27.10.2023 04:16:06</t>
  </si>
  <si>
    <t>26.10.2023 04:16:12</t>
  </si>
  <si>
    <t>27.10.2023 04:17:06</t>
  </si>
  <si>
    <t>26.10.2023 04:17:12</t>
  </si>
  <si>
    <t>27.10.2023 04:18:06</t>
  </si>
  <si>
    <t>26.10.2023 04:18:12</t>
  </si>
  <si>
    <t>27.10.2023 04:19:06</t>
  </si>
  <si>
    <t>26.10.2023 04:19:13</t>
  </si>
  <si>
    <t>27.10.2023 04:20:07</t>
  </si>
  <si>
    <t>26.10.2023 04:20:13</t>
  </si>
  <si>
    <t>27.10.2023 04:21:07</t>
  </si>
  <si>
    <t>26.10.2023 04:21:13</t>
  </si>
  <si>
    <t>27.10.2023 04:22:07</t>
  </si>
  <si>
    <t>26.10.2023 04:22:13</t>
  </si>
  <si>
    <t>27.10.2023 04:23:07</t>
  </si>
  <si>
    <t>26.10.2023 04:23:13</t>
  </si>
  <si>
    <t>27.10.2023 04:24:07</t>
  </si>
  <si>
    <t>26.10.2023 04:24:13</t>
  </si>
  <si>
    <t>27.10.2023 04:25:07</t>
  </si>
  <si>
    <t>26.10.2023 04:25:13</t>
  </si>
  <si>
    <t>27.10.2023 04:26:07</t>
  </si>
  <si>
    <t>26.10.2023 04:26:13</t>
  </si>
  <si>
    <t>27.10.2023 04:27:08</t>
  </si>
  <si>
    <t>26.10.2023 04:27:13</t>
  </si>
  <si>
    <t>27.10.2023 04:28:08</t>
  </si>
  <si>
    <t>26.10.2023 04:28:13</t>
  </si>
  <si>
    <t>27.10.2023 04:29:08</t>
  </si>
  <si>
    <t>26.10.2023 04:29:14</t>
  </si>
  <si>
    <t>27.10.2023 04:30:08</t>
  </si>
  <si>
    <t>26.10.2023 04:30:14</t>
  </si>
  <si>
    <t>27.10.2023 04:31:08</t>
  </si>
  <si>
    <t>26.10.2023 04:31:14</t>
  </si>
  <si>
    <t>27.10.2023 04:32:08</t>
  </si>
  <si>
    <t>26.10.2023 04:32:14</t>
  </si>
  <si>
    <t>27.10.2023 04:33:08</t>
  </si>
  <si>
    <t>26.10.2023 04:33:14</t>
  </si>
  <si>
    <t>27.10.2023 04:34:09</t>
  </si>
  <si>
    <t>26.10.2023 04:34:14</t>
  </si>
  <si>
    <t>27.10.2023 04:35:09</t>
  </si>
  <si>
    <t>26.10.2023 04:35:14</t>
  </si>
  <si>
    <t>27.10.2023 04:36:09</t>
  </si>
  <si>
    <t>26.10.2023 04:36:14</t>
  </si>
  <si>
    <t>27.10.2023 04:37:09</t>
  </si>
  <si>
    <t>26.10.2023 04:37:14</t>
  </si>
  <si>
    <t>27.10.2023 04:38:09</t>
  </si>
  <si>
    <t>26.10.2023 04:38:15</t>
  </si>
  <si>
    <t>27.10.2023 04:39:09</t>
  </si>
  <si>
    <t>26.10.2023 04:39:15</t>
  </si>
  <si>
    <t>27.10.2023 04:40:10</t>
  </si>
  <si>
    <t>26.10.2023 04:40:15</t>
  </si>
  <si>
    <t>27.10.2023 04:41:10</t>
  </si>
  <si>
    <t>26.10.2023 04:41:15</t>
  </si>
  <si>
    <t>27.10.2023 04:42:10</t>
  </si>
  <si>
    <t>26.10.2023 04:42:15</t>
  </si>
  <si>
    <t>27.10.2023 04:43:10</t>
  </si>
  <si>
    <t>26.10.2023 04:43:15</t>
  </si>
  <si>
    <t>27.10.2023 04:44:10</t>
  </si>
  <si>
    <t>26.10.2023 04:44:15</t>
  </si>
  <si>
    <t>27.10.2023 04:45:10</t>
  </si>
  <si>
    <t>26.10.2023 04:45:15</t>
  </si>
  <si>
    <t>27.10.2023 04:46:10</t>
  </si>
  <si>
    <t>26.10.2023 04:46:15</t>
  </si>
  <si>
    <t>27.10.2023 04:47:11</t>
  </si>
  <si>
    <t>26.10.2023 04:47:16</t>
  </si>
  <si>
    <t>27.10.2023 04:48:11</t>
  </si>
  <si>
    <t>26.10.2023 04:48:16</t>
  </si>
  <si>
    <t>27.10.2023 04:49:11</t>
  </si>
  <si>
    <t>26.10.2023 04:49:16</t>
  </si>
  <si>
    <t>27.10.2023 04:50:11</t>
  </si>
  <si>
    <t>26.10.2023 04:50:16</t>
  </si>
  <si>
    <t>27.10.2023 04:51:11</t>
  </si>
  <si>
    <t>26.10.2023 04:51:16</t>
  </si>
  <si>
    <t>27.10.2023 04:52:11</t>
  </si>
  <si>
    <t>26.10.2023 04:52:16</t>
  </si>
  <si>
    <t>27.10.2023 04:53:11</t>
  </si>
  <si>
    <t>26.10.2023 04:53:16</t>
  </si>
  <si>
    <t>27.10.2023 04:54:12</t>
  </si>
  <si>
    <t>26.10.2023 04:54:16</t>
  </si>
  <si>
    <t>27.10.2023 04:55:12</t>
  </si>
  <si>
    <t>26.10.2023 04:55:16</t>
  </si>
  <si>
    <t>27.10.2023 04:56:12</t>
  </si>
  <si>
    <t>26.10.2023 04:56:16</t>
  </si>
  <si>
    <t>27.10.2023 04:57:12</t>
  </si>
  <si>
    <t>26.10.2023 04:57:17</t>
  </si>
  <si>
    <t>27.10.2023 04:58:12</t>
  </si>
  <si>
    <t>26.10.2023 04:58:17</t>
  </si>
  <si>
    <t>27.10.2023 04:59:12</t>
  </si>
  <si>
    <t>26.10.2023 04:59:17</t>
  </si>
  <si>
    <t>27.10.2023 05:00:13</t>
  </si>
  <si>
    <t>26.10.2023 05:00:17</t>
  </si>
  <si>
    <t>27.10.2023 05:01:13</t>
  </si>
  <si>
    <t>26.10.2023 05:01:17</t>
  </si>
  <si>
    <t>27.10.2023 05:02:13</t>
  </si>
  <si>
    <t>26.10.2023 05:02:17</t>
  </si>
  <si>
    <t>27.10.2023 05:03:13</t>
  </si>
  <si>
    <t>26.10.2023 05:03:17</t>
  </si>
  <si>
    <t>27.10.2023 05:04:13</t>
  </si>
  <si>
    <t>26.10.2023 05:04:17</t>
  </si>
  <si>
    <t>27.10.2023 05:05:13</t>
  </si>
  <si>
    <t>26.10.2023 05:05:18</t>
  </si>
  <si>
    <t>27.10.2023 05:06:13</t>
  </si>
  <si>
    <t>26.10.2023 05:06:18</t>
  </si>
  <si>
    <t>27.10.2023 05:07:14</t>
  </si>
  <si>
    <t>26.10.2023 05:07:18</t>
  </si>
  <si>
    <t>27.10.2023 05:08:14</t>
  </si>
  <si>
    <t>26.10.2023 05:08:18</t>
  </si>
  <si>
    <t>27.10.2023 05:09:14</t>
  </si>
  <si>
    <t>26.10.2023 05:09:18</t>
  </si>
  <si>
    <t>27.10.2023 05:10:14</t>
  </si>
  <si>
    <t>26.10.2023 05:10:18</t>
  </si>
  <si>
    <t>27.10.2023 05:11:14</t>
  </si>
  <si>
    <t>26.10.2023 05:11:18</t>
  </si>
  <si>
    <t>27.10.2023 05:12:14</t>
  </si>
  <si>
    <t>26.10.2023 05:12:18</t>
  </si>
  <si>
    <t>27.10.2023 05:13:14</t>
  </si>
  <si>
    <t>26.10.2023 05:13:19</t>
  </si>
  <si>
    <t>27.10.2023 05:14:15</t>
  </si>
  <si>
    <t>26.10.2023 05:14:19</t>
  </si>
  <si>
    <t>27.10.2023 05:15:15</t>
  </si>
  <si>
    <t>26.10.2023 05:15:19</t>
  </si>
  <si>
    <t>27.10.2023 05:16:15</t>
  </si>
  <si>
    <t>26.10.2023 05:16:19</t>
  </si>
  <si>
    <t>27.10.2023 05:17:15</t>
  </si>
  <si>
    <t>26.10.2023 05:17:19</t>
  </si>
  <si>
    <t>27.10.2023 05:18:15</t>
  </si>
  <si>
    <t>26.10.2023 05:18:19</t>
  </si>
  <si>
    <t>27.10.2023 05:19:15</t>
  </si>
  <si>
    <t>26.10.2023 05:19:19</t>
  </si>
  <si>
    <t>27.10.2023 05:20:16</t>
  </si>
  <si>
    <t>26.10.2023 05:20:19</t>
  </si>
  <si>
    <t>27.10.2023 05:21:16</t>
  </si>
  <si>
    <t>26.10.2023 05:21:19</t>
  </si>
  <si>
    <t>27.10.2023 05:22:16</t>
  </si>
  <si>
    <t>26.10.2023 05:22:20</t>
  </si>
  <si>
    <t>27.10.2023 05:23:16</t>
  </si>
  <si>
    <t>26.10.2023 05:23:20</t>
  </si>
  <si>
    <t>27.10.2023 05:24:16</t>
  </si>
  <si>
    <t>26.10.2023 05:24:20</t>
  </si>
  <si>
    <t>27.10.2023 05:25:16</t>
  </si>
  <si>
    <t>26.10.2023 05:25:20</t>
  </si>
  <si>
    <t>27.10.2023 05:26:16</t>
  </si>
  <si>
    <t>26.10.2023 05:26:20</t>
  </si>
  <si>
    <t>27.10.2023 05:27:17</t>
  </si>
  <si>
    <t>26.10.2023 05:27:20</t>
  </si>
  <si>
    <t>27.10.2023 05:28:17</t>
  </si>
  <si>
    <t>26.10.2023 05:28:20</t>
  </si>
  <si>
    <t>27.10.2023 05:29:17</t>
  </si>
  <si>
    <t>26.10.2023 05:29:20</t>
  </si>
  <si>
    <t>27.10.2023 05:30:17</t>
  </si>
  <si>
    <t>26.10.2023 05:30:20</t>
  </si>
  <si>
    <t>27.10.2023 05:31:17</t>
  </si>
  <si>
    <t>26.10.2023 05:31:21</t>
  </si>
  <si>
    <t>27.10.2023 05:32:17</t>
  </si>
  <si>
    <t>26.10.2023 05:32:21</t>
  </si>
  <si>
    <t>27.10.2023 05:33:17</t>
  </si>
  <si>
    <t>26.10.2023 05:33:21</t>
  </si>
  <si>
    <t>27.10.2023 05:34:18</t>
  </si>
  <si>
    <t>26.10.2023 05:34:21</t>
  </si>
  <si>
    <t>27.10.2023 05:35:18</t>
  </si>
  <si>
    <t>26.10.2023 05:35:21</t>
  </si>
  <si>
    <t>27.10.2023 05:36:18</t>
  </si>
  <si>
    <t>26.10.2023 05:36:21</t>
  </si>
  <si>
    <t>27.10.2023 05:37:18</t>
  </si>
  <si>
    <t>26.10.2023 05:37:21</t>
  </si>
  <si>
    <t>27.10.2023 05:38:18</t>
  </si>
  <si>
    <t>26.10.2023 05:38:21</t>
  </si>
  <si>
    <t>27.10.2023 05:39:18</t>
  </si>
  <si>
    <t>26.10.2023 05:39:21</t>
  </si>
  <si>
    <t>27.10.2023 05:40:18</t>
  </si>
  <si>
    <t>26.10.2023 05:40:22</t>
  </si>
  <si>
    <t>27.10.2023 05:41:19</t>
  </si>
  <si>
    <t>26.10.2023 05:41:22</t>
  </si>
  <si>
    <t>27.10.2023 05:42:19</t>
  </si>
  <si>
    <t>26.10.2023 05:42:22</t>
  </si>
  <si>
    <t>27.10.2023 05:43:19</t>
  </si>
  <si>
    <t>26.10.2023 05:43:22</t>
  </si>
  <si>
    <t>27.10.2023 05:44:19</t>
  </si>
  <si>
    <t>26.10.2023 05:44:22</t>
  </si>
  <si>
    <t>27.10.2023 05:45:19</t>
  </si>
  <si>
    <t>26.10.2023 05:45:22</t>
  </si>
  <si>
    <t>27.10.2023 05:46:19</t>
  </si>
  <si>
    <t>26.10.2023 05:46:22</t>
  </si>
  <si>
    <t>27.10.2023 05:47:20</t>
  </si>
  <si>
    <t>26.10.2023 05:47:22</t>
  </si>
  <si>
    <t>27.10.2023 05:48:20</t>
  </si>
  <si>
    <t>26.10.2023 05:48:22</t>
  </si>
  <si>
    <t>27.10.2023 05:49:20</t>
  </si>
  <si>
    <t>26.10.2023 05:49:22</t>
  </si>
  <si>
    <t>27.10.2023 05:50:20</t>
  </si>
  <si>
    <t>26.10.2023 05:50:23</t>
  </si>
  <si>
    <t>27.10.2023 05:51:20</t>
  </si>
  <si>
    <t>26.10.2023 05:51:23</t>
  </si>
  <si>
    <t>27.10.2023 05:52:20</t>
  </si>
  <si>
    <t>26.10.2023 05:52:23</t>
  </si>
  <si>
    <t>27.10.2023 05:53:20</t>
  </si>
  <si>
    <t>26.10.2023 05:53:23</t>
  </si>
  <si>
    <t>27.10.2023 05:54:21</t>
  </si>
  <si>
    <t>26.10.2023 05:54:23</t>
  </si>
  <si>
    <t>27.10.2023 05:55:21</t>
  </si>
  <si>
    <t>26.10.2023 05:55:23</t>
  </si>
  <si>
    <t>27.10.2023 05:56:21</t>
  </si>
  <si>
    <t>26.10.2023 05:56:23</t>
  </si>
  <si>
    <t>27.10.2023 05:57:21</t>
  </si>
  <si>
    <t>26.10.2023 05:57:23</t>
  </si>
  <si>
    <t>27.10.2023 05:58:21</t>
  </si>
  <si>
    <t>26.10.2023 05:58:23</t>
  </si>
  <si>
    <t>27.10.2023 05:59:21</t>
  </si>
  <si>
    <t>26.10.2023 05:59:24</t>
  </si>
  <si>
    <t>27.10.2023 06:00:21</t>
  </si>
  <si>
    <t>26.10.2023 06:00:24</t>
  </si>
  <si>
    <t>27.10.2023 06:01:22</t>
  </si>
  <si>
    <t>26.10.2023 06:01:24</t>
  </si>
  <si>
    <t>27.10.2023 06:02:22</t>
  </si>
  <si>
    <t>26.10.2023 06:02:24</t>
  </si>
  <si>
    <t>27.10.2023 06:03:22</t>
  </si>
  <si>
    <t>26.10.2023 06:03:24</t>
  </si>
  <si>
    <t>27.10.2023 06:04:22</t>
  </si>
  <si>
    <t>26.10.2023 06:04:24</t>
  </si>
  <si>
    <t>27.10.2023 06:05:22</t>
  </si>
  <si>
    <t>26.10.2023 06:05:24</t>
  </si>
  <si>
    <t>27.10.2023 06:06:22</t>
  </si>
  <si>
    <t>26.10.2023 06:06:24</t>
  </si>
  <si>
    <t>27.10.2023 06:07:22</t>
  </si>
  <si>
    <t>26.10.2023 06:07:24</t>
  </si>
  <si>
    <t>27.10.2023 06:08:23</t>
  </si>
  <si>
    <t>26.10.2023 06:08:25</t>
  </si>
  <si>
    <t>27.10.2023 06:09:23</t>
  </si>
  <si>
    <t>26.10.2023 06:09:25</t>
  </si>
  <si>
    <t>27.10.2023 06:10:23</t>
  </si>
  <si>
    <t>26.10.2023 06:10:25</t>
  </si>
  <si>
    <t>27.10.2023 06:11:23</t>
  </si>
  <si>
    <t>26.10.2023 06:11:25</t>
  </si>
  <si>
    <t>27.10.2023 06:12:23</t>
  </si>
  <si>
    <t>26.10.2023 06:12:25</t>
  </si>
  <si>
    <t>27.10.2023 06:13:23</t>
  </si>
  <si>
    <t>26.10.2023 06:13:25</t>
  </si>
  <si>
    <t>27.10.2023 06:14:23</t>
  </si>
  <si>
    <t>26.10.2023 06:14:25</t>
  </si>
  <si>
    <t>27.10.2023 06:15:24</t>
  </si>
  <si>
    <t>26.10.2023 06:15:25</t>
  </si>
  <si>
    <t>27.10.2023 06:16:24</t>
  </si>
  <si>
    <t>26.10.2023 06:16:26</t>
  </si>
  <si>
    <t>27.10.2023 06:17:24</t>
  </si>
  <si>
    <t>26.10.2023 06:17:26</t>
  </si>
  <si>
    <t>27.10.2023 06:18:24</t>
  </si>
  <si>
    <t>26.10.2023 06:18:26</t>
  </si>
  <si>
    <t>27.10.2023 06:19:24</t>
  </si>
  <si>
    <t>26.10.2023 06:19:26</t>
  </si>
  <si>
    <t>27.10.2023 06:20:24</t>
  </si>
  <si>
    <t>26.10.2023 06:20:26</t>
  </si>
  <si>
    <t>27.10.2023 06:21:24</t>
  </si>
  <si>
    <t>26.10.2023 06:21:26</t>
  </si>
  <si>
    <t>27.10.2023 06:22:25</t>
  </si>
  <si>
    <t>26.10.2023 06:22:26</t>
  </si>
  <si>
    <t>27.10.2023 06:23:25</t>
  </si>
  <si>
    <t>26.10.2023 06:23:26</t>
  </si>
  <si>
    <t>27.10.2023 06:24:25</t>
  </si>
  <si>
    <t>26.10.2023 06:24:26</t>
  </si>
  <si>
    <t>27.10.2023 06:25:25</t>
  </si>
  <si>
    <t>26.10.2023 06:25:27</t>
  </si>
  <si>
    <t>27.10.2023 06:26:25</t>
  </si>
  <si>
    <t>26.10.2023 06:26:27</t>
  </si>
  <si>
    <t>27.10.2023 06:27:25</t>
  </si>
  <si>
    <t>26.10.2023 06:27:27</t>
  </si>
  <si>
    <t>27.10.2023 06:28:26</t>
  </si>
  <si>
    <t>26.10.2023 06:28:27</t>
  </si>
  <si>
    <t>27.10.2023 06:29:26</t>
  </si>
  <si>
    <t>26.10.2023 06:29:27</t>
  </si>
  <si>
    <t>27.10.2023 06:30:26</t>
  </si>
  <si>
    <t>26.10.2023 06:30:27</t>
  </si>
  <si>
    <t>27.10.2023 06:31:26</t>
  </si>
  <si>
    <t>26.10.2023 06:31:27</t>
  </si>
  <si>
    <t>27.10.2023 06:32:26</t>
  </si>
  <si>
    <t>26.10.2023 06:32:27</t>
  </si>
  <si>
    <t>27.10.2023 06:33:26</t>
  </si>
  <si>
    <t>26.10.2023 06:33:28</t>
  </si>
  <si>
    <t>27.10.2023 06:34:26</t>
  </si>
  <si>
    <t>26.10.2023 06:34:28</t>
  </si>
  <si>
    <t>27.10.2023 06:35:27</t>
  </si>
  <si>
    <t>26.10.2023 06:35:28</t>
  </si>
  <si>
    <t>27.10.2023 06:36:27</t>
  </si>
  <si>
    <t>26.10.2023 06:36:28</t>
  </si>
  <si>
    <t>27.10.2023 06:37:27</t>
  </si>
  <si>
    <t>26.10.2023 06:37:28</t>
  </si>
  <si>
    <t>27.10.2023 06:38:27</t>
  </si>
  <si>
    <t>26.10.2023 06:38:28</t>
  </si>
  <si>
    <t>27.10.2023 06:39:27</t>
  </si>
  <si>
    <t>26.10.2023 06:39:28</t>
  </si>
  <si>
    <t>27.10.2023 06:40:27</t>
  </si>
  <si>
    <t>26.10.2023 06:40:28</t>
  </si>
  <si>
    <t>27.10.2023 06:41:27</t>
  </si>
  <si>
    <t>26.10.2023 06:41:29</t>
  </si>
  <si>
    <t>27.10.2023 06:42:28</t>
  </si>
  <si>
    <t>26.10.2023 06:42:29</t>
  </si>
  <si>
    <t>27.10.2023 06:43:28</t>
  </si>
  <si>
    <t>26.10.2023 06:43:29</t>
  </si>
  <si>
    <t>27.10.2023 06:44:28</t>
  </si>
  <si>
    <t>26.10.2023 06:44:29</t>
  </si>
  <si>
    <t>27.10.2023 06:45:28</t>
  </si>
  <si>
    <t>26.10.2023 06:45:29</t>
  </si>
  <si>
    <t>27.10.2023 06:46:28</t>
  </si>
  <si>
    <t>26.10.2023 06:46:29</t>
  </si>
  <si>
    <t>27.10.2023 06:47:28</t>
  </si>
  <si>
    <t>26.10.2023 06:47:29</t>
  </si>
  <si>
    <t>27.10.2023 06:48:29</t>
  </si>
  <si>
    <t>26.10.2023 06:48:29</t>
  </si>
  <si>
    <t>27.10.2023 06:49:29</t>
  </si>
  <si>
    <t>26.10.2023 06:49:29</t>
  </si>
  <si>
    <t>27.10.2023 06:50:29</t>
  </si>
  <si>
    <t>26.10.2023 06:50:29</t>
  </si>
  <si>
    <t>27.10.2023 06:51:29</t>
  </si>
  <si>
    <t>26.10.2023 06:51:30</t>
  </si>
  <si>
    <t>27.10.2023 06:52:29</t>
  </si>
  <si>
    <t>26.10.2023 06:52:30</t>
  </si>
  <si>
    <t>27.10.2023 06:53:29</t>
  </si>
  <si>
    <t>26.10.2023 06:53:30</t>
  </si>
  <si>
    <t>27.10.2023 06:54:29</t>
  </si>
  <si>
    <t>26.10.2023 06:54:30</t>
  </si>
  <si>
    <t>27.10.2023 06:55:30</t>
  </si>
  <si>
    <t>26.10.2023 06:55:30</t>
  </si>
  <si>
    <t>27.10.2023 06:56:30</t>
  </si>
  <si>
    <t>26.10.2023 06:56:30</t>
  </si>
  <si>
    <t>27.10.2023 06:57:30</t>
  </si>
  <si>
    <t>26.10.2023 06:57:30</t>
  </si>
  <si>
    <t>27.10.2023 06:58:30</t>
  </si>
  <si>
    <t>26.10.2023 06:58:30</t>
  </si>
  <si>
    <t>27.10.2023 06:59:30</t>
  </si>
  <si>
    <t>26.10.2023 06:59:31</t>
  </si>
  <si>
    <t>27.10.2023 07:00:30</t>
  </si>
  <si>
    <t>26.10.2023 07:00:31</t>
  </si>
  <si>
    <t>27.10.2023 07:01:30</t>
  </si>
  <si>
    <t>26.10.2023 07:01:31</t>
  </si>
  <si>
    <t>27.10.2023 07:02:31</t>
  </si>
  <si>
    <t>26.10.2023 07:02:31</t>
  </si>
  <si>
    <t>27.10.2023 07:03:31</t>
  </si>
  <si>
    <t>26.10.2023 07:03:31</t>
  </si>
  <si>
    <t>27.10.2023 07:04:31</t>
  </si>
  <si>
    <t>26.10.2023 07:04:31</t>
  </si>
  <si>
    <t>27.10.2023 07:05:31</t>
  </si>
  <si>
    <t>26.10.2023 07:05:31</t>
  </si>
  <si>
    <t>27.10.2023 07:06:31</t>
  </si>
  <si>
    <t>26.10.2023 07:06:31</t>
  </si>
  <si>
    <t>27.10.2023 07:07:31</t>
  </si>
  <si>
    <t>26.10.2023 07:07:32</t>
  </si>
  <si>
    <t>27.10.2023 07:08:32</t>
  </si>
  <si>
    <t>26.10.2023 07:08:32</t>
  </si>
  <si>
    <t>27.10.2023 07:09:32</t>
  </si>
  <si>
    <t>26.10.2023 07:09:32</t>
  </si>
  <si>
    <t>27.10.2023 07:10:32</t>
  </si>
  <si>
    <t>26.10.2023 07:10:32</t>
  </si>
  <si>
    <t>27.10.2023 07:11:32</t>
  </si>
  <si>
    <t>26.10.2023 07:11:32</t>
  </si>
  <si>
    <t>27.10.2023 07:12:32</t>
  </si>
  <si>
    <t>26.10.2023 07:12:32</t>
  </si>
  <si>
    <t>27.10.2023 07:13:32</t>
  </si>
  <si>
    <t>26.10.2023 07:13:32</t>
  </si>
  <si>
    <t>27.10.2023 07:14:32</t>
  </si>
  <si>
    <t>26.10.2023 07:14:32</t>
  </si>
  <si>
    <t>27.10.2023 07:15:33</t>
  </si>
  <si>
    <t>26.10.2023 07:15:33</t>
  </si>
  <si>
    <t>27.10.2023 07:16:33</t>
  </si>
  <si>
    <t>26.10.2023 07:16:33</t>
  </si>
  <si>
    <t>27.10.2023 07:17:33</t>
  </si>
  <si>
    <t>26.10.2023 07:17:33</t>
  </si>
  <si>
    <t>27.10.2023 07:18:33</t>
  </si>
  <si>
    <t>26.10.2023 07:18:33</t>
  </si>
  <si>
    <t>27.10.2023 07:19:33</t>
  </si>
  <si>
    <t>26.10.2023 07:19:33</t>
  </si>
  <si>
    <t>27.10.2023 07:20:33</t>
  </si>
  <si>
    <t>26.10.2023 07:20:33</t>
  </si>
  <si>
    <t>27.10.2023 07:21:34</t>
  </si>
  <si>
    <t>26.10.2023 07:21:33</t>
  </si>
  <si>
    <t>27.10.2023 07:22:34</t>
  </si>
  <si>
    <t>26.10.2023 07:22:33</t>
  </si>
  <si>
    <t>27.10.2023 07:23:34</t>
  </si>
  <si>
    <t>26.10.2023 07:23:33</t>
  </si>
  <si>
    <t>27.10.2023 07:24:34</t>
  </si>
  <si>
    <t>26.10.2023 07:24:34</t>
  </si>
  <si>
    <t>27.10.2023 07:25:34</t>
  </si>
  <si>
    <t>26.10.2023 07:25:34</t>
  </si>
  <si>
    <t>27.10.2023 07:26:34</t>
  </si>
  <si>
    <t>26.10.2023 07:26:34</t>
  </si>
  <si>
    <t>27.10.2023 07:27:34</t>
  </si>
  <si>
    <t>26.10.2023 07:27:34</t>
  </si>
  <si>
    <t>27.10.2023 07:28:35</t>
  </si>
  <si>
    <t>26.10.2023 07:28:34</t>
  </si>
  <si>
    <t>27.10.2023 07:29:35</t>
  </si>
  <si>
    <t>26.10.2023 07:29:34</t>
  </si>
  <si>
    <t>27.10.2023 07:30:35</t>
  </si>
  <si>
    <t>26.10.2023 07:30:34</t>
  </si>
  <si>
    <t>27.10.2023 07:31:35</t>
  </si>
  <si>
    <t>26.10.2023 07:31:34</t>
  </si>
  <si>
    <t>27.10.2023 07:32:35</t>
  </si>
  <si>
    <t>26.10.2023 07:32:35</t>
  </si>
  <si>
    <t>27.10.2023 07:33:35</t>
  </si>
  <si>
    <t>26.10.2023 07:33:35</t>
  </si>
  <si>
    <t>27.10.2023 07:34:35</t>
  </si>
  <si>
    <t>26.10.2023 07:34:35</t>
  </si>
  <si>
    <t>27.10.2023 07:35:36</t>
  </si>
  <si>
    <t>26.10.2023 07:35:35</t>
  </si>
  <si>
    <t>27.10.2023 07:36:36</t>
  </si>
  <si>
    <t>26.10.2023 07:36:35</t>
  </si>
  <si>
    <t>27.10.2023 07:37:36</t>
  </si>
  <si>
    <t>26.10.2023 07:37:35</t>
  </si>
  <si>
    <t>27.10.2023 07:38:36</t>
  </si>
  <si>
    <t>26.10.2023 07:38:35</t>
  </si>
  <si>
    <t>27.10.2023 07:39:36</t>
  </si>
  <si>
    <t>26.10.2023 07:39:36</t>
  </si>
  <si>
    <t>27.10.2023 07:40:36</t>
  </si>
  <si>
    <t>26.10.2023 07:40:36</t>
  </si>
  <si>
    <t>27.10.2023 07:41:37</t>
  </si>
  <si>
    <t>26.10.2023 07:41:36</t>
  </si>
  <si>
    <t>27.10.2023 07:42:37</t>
  </si>
  <si>
    <t>26.10.2023 07:42:36</t>
  </si>
  <si>
    <t>27.10.2023 07:43:37</t>
  </si>
  <si>
    <t>26.10.2023 07:43:36</t>
  </si>
  <si>
    <t>27.10.2023 07:44:37</t>
  </si>
  <si>
    <t>26.10.2023 07:44:36</t>
  </si>
  <si>
    <t>27.10.2023 07:45:37</t>
  </si>
  <si>
    <t>26.10.2023 07:45:36</t>
  </si>
  <si>
    <t>27.10.2023 07:46:37</t>
  </si>
  <si>
    <t>26.10.2023 07:46:36</t>
  </si>
  <si>
    <t>27.10.2023 07:47:37</t>
  </si>
  <si>
    <t>26.10.2023 07:47:36</t>
  </si>
  <si>
    <t>27.10.2023 07:48:38</t>
  </si>
  <si>
    <t>26.10.2023 07:48:37</t>
  </si>
  <si>
    <t>27.10.2023 07:49:38</t>
  </si>
  <si>
    <t>26.10.2023 07:49:37</t>
  </si>
  <si>
    <t>27.10.2023 07:50:38</t>
  </si>
  <si>
    <t>26.10.2023 07:50:37</t>
  </si>
  <si>
    <t>27.10.2023 07:51:38</t>
  </si>
  <si>
    <t>26.10.2023 07:51:37</t>
  </si>
  <si>
    <t>27.10.2023 07:52:38</t>
  </si>
  <si>
    <t>26.10.2023 07:52:37</t>
  </si>
  <si>
    <t>27.10.2023 07:53:38</t>
  </si>
  <si>
    <t>26.10.2023 07:53:37</t>
  </si>
  <si>
    <t>27.10.2023 07:54:39</t>
  </si>
  <si>
    <t>26.10.2023 07:54:37</t>
  </si>
  <si>
    <t>27.10.2023 07:55:39</t>
  </si>
  <si>
    <t>26.10.2023 07:55:38</t>
  </si>
  <si>
    <t>27.10.2023 07:56:39</t>
  </si>
  <si>
    <t>26.10.2023 07:56:38</t>
  </si>
  <si>
    <t>27.10.2023 07:57:39</t>
  </si>
  <si>
    <t>26.10.2023 07:57:38</t>
  </si>
  <si>
    <t>27.10.2023 07:58:39</t>
  </si>
  <si>
    <t>26.10.2023 07:58:38</t>
  </si>
  <si>
    <t>27.10.2023 07:59:39</t>
  </si>
  <si>
    <t>26.10.2023 07:59:38</t>
  </si>
  <si>
    <t>27.10.2023 08:00:39</t>
  </si>
  <si>
    <t>26.10.2023 08:00:38</t>
  </si>
  <si>
    <t>27.10.2023 08:01:39</t>
  </si>
  <si>
    <t>26.10.2023 08:01:38</t>
  </si>
  <si>
    <t>27.10.2023 08:02:40</t>
  </si>
  <si>
    <t>26.10.2023 08:02:38</t>
  </si>
  <si>
    <t>27.10.2023 08:03:40</t>
  </si>
  <si>
    <t>26.10.2023 08:03:39</t>
  </si>
  <si>
    <t>27.10.2023 08:04:40</t>
  </si>
  <si>
    <t>26.10.2023 08:04:39</t>
  </si>
  <si>
    <t>27.10.2023 08:05:40</t>
  </si>
  <si>
    <t>26.10.2023 08:05:39</t>
  </si>
  <si>
    <t>27.10.2023 08:06:40</t>
  </si>
  <si>
    <t>26.10.2023 08:06:39</t>
  </si>
  <si>
    <t>27.10.2023 08:07:40</t>
  </si>
  <si>
    <t>26.10.2023 08:07:39</t>
  </si>
  <si>
    <t>27.10.2023 08:08:40</t>
  </si>
  <si>
    <t>26.10.2023 08:08:39</t>
  </si>
  <si>
    <t>27.10.2023 08:09:41</t>
  </si>
  <si>
    <t>26.10.2023 08:09:39</t>
  </si>
  <si>
    <t>27.10.2023 08:10:41</t>
  </si>
  <si>
    <t>26.10.2023 08:10:40</t>
  </si>
  <si>
    <t>27.10.2023 08:11:41</t>
  </si>
  <si>
    <t>26.10.2023 08:11:40</t>
  </si>
  <si>
    <t>27.10.2023 08:12:41</t>
  </si>
  <si>
    <t>26.10.2023 08:12:40</t>
  </si>
  <si>
    <t>27.10.2023 08:13:41</t>
  </si>
  <si>
    <t>26.10.2023 08:13:40</t>
  </si>
  <si>
    <t>27.10.2023 08:14:41</t>
  </si>
  <si>
    <t>26.10.2023 08:14:40</t>
  </si>
  <si>
    <t>27.10.2023 08:15:42</t>
  </si>
  <si>
    <t>26.10.2023 08:15:40</t>
  </si>
  <si>
    <t>27.10.2023 08:16:42</t>
  </si>
  <si>
    <t>26.10.2023 08:16:40</t>
  </si>
  <si>
    <t>27.10.2023 08:17:42</t>
  </si>
  <si>
    <t>26.10.2023 08:17:40</t>
  </si>
  <si>
    <t>27.10.2023 08:18:42</t>
  </si>
  <si>
    <t>26.10.2023 08:18:41</t>
  </si>
  <si>
    <t>27.10.2023 08:19:42</t>
  </si>
  <si>
    <t>26.10.2023 08:19:41</t>
  </si>
  <si>
    <t>27.10.2023 08:20:42</t>
  </si>
  <si>
    <t>26.10.2023 08:20:41</t>
  </si>
  <si>
    <t>27.10.2023 08:21:42</t>
  </si>
  <si>
    <t>26.10.2023 08:21:41</t>
  </si>
  <si>
    <t>27.10.2023 08:22:42</t>
  </si>
  <si>
    <t>26.10.2023 08:22:41</t>
  </si>
  <si>
    <t>27.10.2023 08:23:43</t>
  </si>
  <si>
    <t>26.10.2023 08:23:41</t>
  </si>
  <si>
    <t>27.10.2023 08:24:43</t>
  </si>
  <si>
    <t>26.10.2023 08:24:41</t>
  </si>
  <si>
    <t>27.10.2023 08:25:43</t>
  </si>
  <si>
    <t>26.10.2023 08:25:41</t>
  </si>
  <si>
    <t>27.10.2023 08:26:43</t>
  </si>
  <si>
    <t>26.10.2023 08:26:42</t>
  </si>
  <si>
    <t>27.10.2023 08:27:43</t>
  </si>
  <si>
    <t>26.10.2023 08:27:42</t>
  </si>
  <si>
    <t>27.10.2023 08:28:43</t>
  </si>
  <si>
    <t>26.10.2023 08:28:42</t>
  </si>
  <si>
    <t>27.10.2023 08:29:43</t>
  </si>
  <si>
    <t>26.10.2023 08:29:42</t>
  </si>
  <si>
    <t>27.10.2023 08:30:43</t>
  </si>
  <si>
    <t>26.10.2023 08:30:42</t>
  </si>
  <si>
    <t>27.10.2023 08:31:44</t>
  </si>
  <si>
    <t>26.10.2023 08:31:42</t>
  </si>
  <si>
    <t>27.10.2023 08:32:44</t>
  </si>
  <si>
    <t>26.10.2023 08:32:42</t>
  </si>
  <si>
    <t>27.10.2023 08:33:44</t>
  </si>
  <si>
    <t>26.10.2023 08:33:42</t>
  </si>
  <si>
    <t>27.10.2023 08:34:44</t>
  </si>
  <si>
    <t>26.10.2023 08:34:43</t>
  </si>
  <si>
    <t>27.10.2023 08:35:44</t>
  </si>
  <si>
    <t>26.10.2023 08:35:43</t>
  </si>
  <si>
    <t>27.10.2023 08:36:44</t>
  </si>
  <si>
    <t>26.10.2023 08:36:43</t>
  </si>
  <si>
    <t>27.10.2023 08:37:45</t>
  </si>
  <si>
    <t>26.10.2023 08:37:43</t>
  </si>
  <si>
    <t>27.10.2023 08:38:45</t>
  </si>
  <si>
    <t>26.10.2023 08:38:43</t>
  </si>
  <si>
    <t>27.10.2023 08:39:45</t>
  </si>
  <si>
    <t>26.10.2023 08:39:43</t>
  </si>
  <si>
    <t>27.10.2023 08:40:45</t>
  </si>
  <si>
    <t>26.10.2023 08:40:43</t>
  </si>
  <si>
    <t>27.10.2023 08:41:45</t>
  </si>
  <si>
    <t>26.10.2023 08:41:44</t>
  </si>
  <si>
    <t>27.10.2023 08:42:45</t>
  </si>
  <si>
    <t>26.10.2023 08:42:44</t>
  </si>
  <si>
    <t>27.10.2023 08:43:45</t>
  </si>
  <si>
    <t>26.10.2023 08:43:44</t>
  </si>
  <si>
    <t>27.10.2023 08:44:46</t>
  </si>
  <si>
    <t>26.10.2023 08:44:44</t>
  </si>
  <si>
    <t>27.10.2023 08:45:46</t>
  </si>
  <si>
    <t>26.10.2023 08:45:44</t>
  </si>
  <si>
    <t>27.10.2023 08:46:46</t>
  </si>
  <si>
    <t>26.10.2023 08:46:44</t>
  </si>
  <si>
    <t>27.10.2023 08:47:46</t>
  </si>
  <si>
    <t>26.10.2023 08:47:44</t>
  </si>
  <si>
    <t>27.10.2023 08:48:46</t>
  </si>
  <si>
    <t>26.10.2023 08:48:44</t>
  </si>
  <si>
    <t>27.10.2023 08:49:46</t>
  </si>
  <si>
    <t>26.10.2023 08:49:45</t>
  </si>
  <si>
    <t>27.10.2023 08:50:46</t>
  </si>
  <si>
    <t>26.10.2023 08:50:45</t>
  </si>
  <si>
    <t>27.10.2023 08:51:46</t>
  </si>
  <si>
    <t>26.10.2023 08:51:45</t>
  </si>
  <si>
    <t>27.10.2023 08:52:47</t>
  </si>
  <si>
    <t>26.10.2023 08:52:45</t>
  </si>
  <si>
    <t>27.10.2023 08:53:47</t>
  </si>
  <si>
    <t>26.10.2023 08:53:45</t>
  </si>
  <si>
    <t>27.10.2023 08:54:47</t>
  </si>
  <si>
    <t>26.10.2023 08:54:45</t>
  </si>
  <si>
    <t>27.10.2023 08:55:47</t>
  </si>
  <si>
    <t>26.10.2023 08:55:46</t>
  </si>
  <si>
    <t>27.10.2023 08:56:47</t>
  </si>
  <si>
    <t>26.10.2023 08:56:46</t>
  </si>
  <si>
    <t>27.10.2023 08:57:47</t>
  </si>
  <si>
    <t>26.10.2023 08:57:46</t>
  </si>
  <si>
    <t>27.10.2023 08:58:48</t>
  </si>
  <si>
    <t>26.10.2023 08:58:46</t>
  </si>
  <si>
    <t>27.10.2023 08:59:48</t>
  </si>
  <si>
    <t>26.10.2023 08:59:46</t>
  </si>
  <si>
    <t>27.10.2023 09:00:48</t>
  </si>
  <si>
    <t>26.10.2023 09:00:46</t>
  </si>
  <si>
    <t>27.10.2023 09:01:48</t>
  </si>
  <si>
    <t>26.10.2023 09:01:46</t>
  </si>
  <si>
    <t>27.10.2023 09:02:48</t>
  </si>
  <si>
    <t>26.10.2023 09:02:47</t>
  </si>
  <si>
    <t>27.10.2023 09:03:48</t>
  </si>
  <si>
    <t>26.10.2023 09:03:47</t>
  </si>
  <si>
    <t>27.10.2023 09:04:48</t>
  </si>
  <si>
    <t>26.10.2023 09:04:47</t>
  </si>
  <si>
    <t>27.10.2023 09:05:49</t>
  </si>
  <si>
    <t>26.10.2023 09:05:47</t>
  </si>
  <si>
    <t>27.10.2023 09:06:49</t>
  </si>
  <si>
    <t>26.10.2023 09:06:47</t>
  </si>
  <si>
    <t>27.10.2023 09:07:49</t>
  </si>
  <si>
    <t>26.10.2023 09:07:47</t>
  </si>
  <si>
    <t>27.10.2023 09:08:49</t>
  </si>
  <si>
    <t>26.10.2023 09:08:47</t>
  </si>
  <si>
    <t>27.10.2023 09:09:49</t>
  </si>
  <si>
    <t>26.10.2023 09:09:47</t>
  </si>
  <si>
    <t>27.10.2023 09:10:49</t>
  </si>
  <si>
    <t>26.10.2023 09:10:48</t>
  </si>
  <si>
    <t>27.10.2023 09:11:49</t>
  </si>
  <si>
    <t>26.10.2023 09:11:48</t>
  </si>
  <si>
    <t>27.10.2023 09:12:49</t>
  </si>
  <si>
    <t>26.10.2023 09:12:48</t>
  </si>
  <si>
    <t>27.10.2023 09:13:49</t>
  </si>
  <si>
    <t>26.10.2023 09:13:48</t>
  </si>
  <si>
    <t>27.10.2023 09:14:50</t>
  </si>
  <si>
    <t>26.10.2023 09:14:48</t>
  </si>
  <si>
    <t>27.10.2023 09:15:50</t>
  </si>
  <si>
    <t>26.10.2023 09:15:48</t>
  </si>
  <si>
    <t>27.10.2023 09:16:50</t>
  </si>
  <si>
    <t>26.10.2023 09:16:48</t>
  </si>
  <si>
    <t>27.10.2023 09:17:50</t>
  </si>
  <si>
    <t>26.10.2023 09:17:48</t>
  </si>
  <si>
    <t>27.10.2023 09:18:50</t>
  </si>
  <si>
    <t>26.10.2023 09:18:48</t>
  </si>
  <si>
    <t>27.10.2023 09:19:50</t>
  </si>
  <si>
    <t>26.10.2023 09:19:49</t>
  </si>
  <si>
    <t>27.10.2023 09:20:50</t>
  </si>
  <si>
    <t>26.10.2023 09:20:49</t>
  </si>
  <si>
    <t>27.10.2023 09:21:50</t>
  </si>
  <si>
    <t>26.10.2023 09:21:49</t>
  </si>
  <si>
    <t>27.10.2023 09:22:51</t>
  </si>
  <si>
    <t>26.10.2023 09:22:49</t>
  </si>
  <si>
    <t>27.10.2023 09:23:51</t>
  </si>
  <si>
    <t>26.10.2023 09:23:49</t>
  </si>
  <si>
    <t>27.10.2023 09:24:51</t>
  </si>
  <si>
    <t>26.10.2023 09:24:49</t>
  </si>
  <si>
    <t>27.10.2023 09:25:51</t>
  </si>
  <si>
    <t>26.10.2023 09:25:49</t>
  </si>
  <si>
    <t>27.10.2023 09:26:51</t>
  </si>
  <si>
    <t>26.10.2023 09:26:50</t>
  </si>
  <si>
    <t>27.10.2023 09:27:51</t>
  </si>
  <si>
    <t>26.10.2023 09:27:50</t>
  </si>
  <si>
    <t>27.10.2023 09:28:51</t>
  </si>
  <si>
    <t>26.10.2023 09:28:50</t>
  </si>
  <si>
    <t>27.10.2023 09:29:52</t>
  </si>
  <si>
    <t>26.10.2023 09:29:50</t>
  </si>
  <si>
    <t>27.10.2023 09:30:52</t>
  </si>
  <si>
    <t>26.10.2023 09:30:50</t>
  </si>
  <si>
    <t>27.10.2023 09:31:52</t>
  </si>
  <si>
    <t>26.10.2023 09:31:50</t>
  </si>
  <si>
    <t>27.10.2023 09:32:52</t>
  </si>
  <si>
    <t>26.10.2023 09:32:50</t>
  </si>
  <si>
    <t>27.10.2023 09:33:52</t>
  </si>
  <si>
    <t>26.10.2023 09:33:51</t>
  </si>
  <si>
    <t>27.10.2023 09:34:52</t>
  </si>
  <si>
    <t>26.10.2023 09:34:51</t>
  </si>
  <si>
    <t>27.10.2023 09:35:52</t>
  </si>
  <si>
    <t>26.10.2023 09:35:51</t>
  </si>
  <si>
    <t>27.10.2023 09:36:53</t>
  </si>
  <si>
    <t>26.10.2023 09:36:51</t>
  </si>
  <si>
    <t>27.10.2023 09:37:53</t>
  </si>
  <si>
    <t>26.10.2023 09:37:51</t>
  </si>
  <si>
    <t>27.10.2023 09:38:53</t>
  </si>
  <si>
    <t>26.10.2023 09:38:51</t>
  </si>
  <si>
    <t>27.10.2023 09:39:53</t>
  </si>
  <si>
    <t>26.10.2023 09:39:52</t>
  </si>
  <si>
    <t>27.10.2023 09:40:53</t>
  </si>
  <si>
    <t>26.10.2023 09:40:52</t>
  </si>
  <si>
    <t>27.10.2023 09:41:53</t>
  </si>
  <si>
    <t>26.10.2023 09:41:52</t>
  </si>
  <si>
    <t>27.10.2023 09:42:53</t>
  </si>
  <si>
    <t>26.10.2023 09:42:52</t>
  </si>
  <si>
    <t>27.10.2023 09:43:54</t>
  </si>
  <si>
    <t>26.10.2023 09:43:52</t>
  </si>
  <si>
    <t>27.10.2023 09:44:54</t>
  </si>
  <si>
    <t>26.10.2023 09:44:52</t>
  </si>
  <si>
    <t>27.10.2023 09:45:54</t>
  </si>
  <si>
    <t>26.10.2023 09:45:52</t>
  </si>
  <si>
    <t>27.10.2023 09:46:54</t>
  </si>
  <si>
    <t>26.10.2023 09:46:52</t>
  </si>
  <si>
    <t>27.10.2023 09:47:54</t>
  </si>
  <si>
    <t>26.10.2023 09:47:53</t>
  </si>
  <si>
    <t>27.10.2023 09:48:54</t>
  </si>
  <si>
    <t>26.10.2023 09:48:53</t>
  </si>
  <si>
    <t>27.10.2023 09:49:55</t>
  </si>
  <si>
    <t>26.10.2023 09:49:53</t>
  </si>
  <si>
    <t>27.10.2023 09:50:55</t>
  </si>
  <si>
    <t>26.10.2023 09:50:53</t>
  </si>
  <si>
    <t>27.10.2023 09:51:55</t>
  </si>
  <si>
    <t>26.10.2023 09:51:53</t>
  </si>
  <si>
    <t>27.10.2023 09:52:55</t>
  </si>
  <si>
    <t>26.10.2023 09:52:53</t>
  </si>
  <si>
    <t>27.10.2023 09:53:55</t>
  </si>
  <si>
    <t>26.10.2023 09:53:53</t>
  </si>
  <si>
    <t>27.10.2023 09:54:55</t>
  </si>
  <si>
    <t>26.10.2023 09:54:54</t>
  </si>
  <si>
    <t>27.10.2023 09:55:55</t>
  </si>
  <si>
    <t>26.10.2023 09:55:54</t>
  </si>
  <si>
    <t>27.10.2023 09:56:55</t>
  </si>
  <si>
    <t>26.10.2023 09:56:54</t>
  </si>
  <si>
    <t>27.10.2023 09:57:56</t>
  </si>
  <si>
    <t>26.10.2023 09:57:54</t>
  </si>
  <si>
    <t>27.10.2023 09:58:56</t>
  </si>
  <si>
    <t>26.10.2023 09:58:54</t>
  </si>
  <si>
    <t>27.10.2023 09:59:56</t>
  </si>
  <si>
    <t>26.10.2023 09:59:54</t>
  </si>
  <si>
    <t>27.10.2023 10:00:56</t>
  </si>
  <si>
    <t>26.10.2023 10:00:54</t>
  </si>
  <si>
    <t>27.10.2023 10:01:56</t>
  </si>
  <si>
    <t>26.10.2023 10:01:55</t>
  </si>
  <si>
    <t>27.10.2023 10:02:57</t>
  </si>
  <si>
    <t>26.10.2023 10:02:55</t>
  </si>
  <si>
    <t>27.10.2023 10:03:57</t>
  </si>
  <si>
    <t>26.10.2023 10:03:55</t>
  </si>
  <si>
    <t>27.10.2023 10:04:57</t>
  </si>
  <si>
    <t>26.10.2023 10:04:55</t>
  </si>
  <si>
    <t>27.10.2023 10:05:57</t>
  </si>
  <si>
    <t>26.10.2023 10:05:55</t>
  </si>
  <si>
    <t>27.10.2023 10:06:57</t>
  </si>
  <si>
    <t>26.10.2023 10:06:55</t>
  </si>
  <si>
    <t>27.10.2023 10:07:57</t>
  </si>
  <si>
    <t>26.10.2023 10:07:55</t>
  </si>
  <si>
    <t>27.10.2023 10:08:57</t>
  </si>
  <si>
    <t>26.10.2023 10:08:56</t>
  </si>
  <si>
    <t>27.10.2023 10:09:58</t>
  </si>
  <si>
    <t>26.10.2023 10:09:56</t>
  </si>
  <si>
    <t>27.10.2023 10:10:58</t>
  </si>
  <si>
    <t>26.10.2023 10:10:56</t>
  </si>
  <si>
    <t>27.10.2023 10:11:58</t>
  </si>
  <si>
    <t>26.10.2023 10:11:56</t>
  </si>
  <si>
    <t>27.10.2023 10:12:58</t>
  </si>
  <si>
    <t>26.10.2023 10:12:56</t>
  </si>
  <si>
    <t>27.10.2023 10:13:58</t>
  </si>
  <si>
    <t>26.10.2023 10:13:56</t>
  </si>
  <si>
    <t>27.10.2023 10:14:58</t>
  </si>
  <si>
    <t>26.10.2023 10:14:56</t>
  </si>
  <si>
    <t>27.10.2023 10:15:58</t>
  </si>
  <si>
    <t>26.10.2023 10:15:56</t>
  </si>
  <si>
    <t>27.10.2023 10:16:58</t>
  </si>
  <si>
    <t>26.10.2023 10:16:57</t>
  </si>
  <si>
    <t>27.10.2023 10:17:59</t>
  </si>
  <si>
    <t>26.10.2023 10:17:57</t>
  </si>
  <si>
    <t>27.10.2023 10:18:59</t>
  </si>
  <si>
    <t>26.10.2023 10:18:57</t>
  </si>
  <si>
    <t>27.10.2023 10:19:59</t>
  </si>
  <si>
    <t>26.10.2023 10:19:57</t>
  </si>
  <si>
    <t>27.10.2023 10:20:59</t>
  </si>
  <si>
    <t>26.10.2023 10:20:57</t>
  </si>
  <si>
    <t>27.10.2023 10:21:59</t>
  </si>
  <si>
    <t>26.10.2023 10:21:57</t>
  </si>
  <si>
    <t>27.10.2023 10:22:59</t>
  </si>
  <si>
    <t>26.10.2023 10:22:58</t>
  </si>
  <si>
    <t>27.10.2023 10:23:59</t>
  </si>
  <si>
    <t>26.10.2023 10:23:58</t>
  </si>
  <si>
    <t>27.10.2023 10:25:00</t>
  </si>
  <si>
    <t>26.10.2023 10:24:58</t>
  </si>
  <si>
    <t>27.10.2023 10:26:00</t>
  </si>
  <si>
    <t>26.10.2023 10:25:58</t>
  </si>
  <si>
    <t>27.10.2023 10:27:00</t>
  </si>
  <si>
    <t>26.10.2023 10:26:58</t>
  </si>
  <si>
    <t>27.10.2023 10:28:00</t>
  </si>
  <si>
    <t>26.10.2023 10:27:58</t>
  </si>
  <si>
    <t>27.10.2023 10:29:00</t>
  </si>
  <si>
    <t>26.10.2023 10:28:58</t>
  </si>
  <si>
    <t>27.10.2023 10:30:00</t>
  </si>
  <si>
    <t>26.10.2023 10:29:59</t>
  </si>
  <si>
    <t>27.10.2023 10:31:00</t>
  </si>
  <si>
    <t>26.10.2023 10:30:59</t>
  </si>
  <si>
    <t>27.10.2023 10:32:00</t>
  </si>
  <si>
    <t>26.10.2023 10:31:59</t>
  </si>
  <si>
    <t>27.10.2023 10:33:00</t>
  </si>
  <si>
    <t>26.10.2023 10:32:59</t>
  </si>
  <si>
    <t>27.10.2023 10:34:01</t>
  </si>
  <si>
    <t>26.10.2023 10:33:59</t>
  </si>
  <si>
    <t>27.10.2023 10:35:01</t>
  </si>
  <si>
    <t>26.10.2023 10:34:59</t>
  </si>
  <si>
    <t>27.10.2023 10:36:01</t>
  </si>
  <si>
    <t>26.10.2023 10:35:59</t>
  </si>
  <si>
    <t>27.10.2023 10:37:01</t>
  </si>
  <si>
    <t>26.10.2023 10:37:00</t>
  </si>
  <si>
    <t>27.10.2023 10:38:01</t>
  </si>
  <si>
    <t>26.10.2023 10:38:00</t>
  </si>
  <si>
    <t>27.10.2023 10:39:01</t>
  </si>
  <si>
    <t>26.10.2023 10:39:00</t>
  </si>
  <si>
    <t>27.10.2023 10:40:01</t>
  </si>
  <si>
    <t>26.10.2023 10:40:00</t>
  </si>
  <si>
    <t>27.10.2023 10:41:01</t>
  </si>
  <si>
    <t>26.10.2023 10:41:00</t>
  </si>
  <si>
    <t>27.10.2023 10:42:02</t>
  </si>
  <si>
    <t>26.10.2023 10:42:00</t>
  </si>
  <si>
    <t>27.10.2023 10:43:02</t>
  </si>
  <si>
    <t>26.10.2023 10:43:01</t>
  </si>
  <si>
    <t>27.10.2023 10:44:02</t>
  </si>
  <si>
    <t>26.10.2023 10:44:01</t>
  </si>
  <si>
    <t>27.10.2023 10:45:02</t>
  </si>
  <si>
    <t>26.10.2023 10:45:01</t>
  </si>
  <si>
    <t>27.10.2023 10:46:02</t>
  </si>
  <si>
    <t>26.10.2023 10:46:01</t>
  </si>
  <si>
    <t>27.10.2023 10:47:02</t>
  </si>
  <si>
    <t>26.10.2023 10:47:01</t>
  </si>
  <si>
    <t>27.10.2023 10:48:03</t>
  </si>
  <si>
    <t>26.10.2023 10:48:01</t>
  </si>
  <si>
    <t>27.10.2023 10:49:03</t>
  </si>
  <si>
    <t>26.10.2023 10:49:01</t>
  </si>
  <si>
    <t>27.10.2023 10:50:03</t>
  </si>
  <si>
    <t>26.10.2023 10:50:01</t>
  </si>
  <si>
    <t>27.10.2023 10:51:03</t>
  </si>
  <si>
    <t>26.10.2023 10:51:02</t>
  </si>
  <si>
    <t>27.10.2023 10:52:03</t>
  </si>
  <si>
    <t>26.10.2023 10:52:02</t>
  </si>
  <si>
    <t>27.10.2023 10:53:03</t>
  </si>
  <si>
    <t>26.10.2023 10:53:02</t>
  </si>
  <si>
    <t>27.10.2023 10:54:03</t>
  </si>
  <si>
    <t>26.10.2023 10:54:02</t>
  </si>
  <si>
    <t>27.10.2023 10:55:03</t>
  </si>
  <si>
    <t>26.10.2023 10:55:02</t>
  </si>
  <si>
    <t>27.10.2023 10:56:04</t>
  </si>
  <si>
    <t>26.10.2023 10:56:02</t>
  </si>
  <si>
    <t>27.10.2023 10:57:04</t>
  </si>
  <si>
    <t>26.10.2023 10:57:03</t>
  </si>
  <si>
    <t>27.10.2023 10:58:04</t>
  </si>
  <si>
    <t>26.10.2023 10:58:03</t>
  </si>
  <si>
    <t>27.10.2023 10:59:04</t>
  </si>
  <si>
    <t>26.10.2023 10:59:03</t>
  </si>
  <si>
    <t>27.10.2023 11:00:04</t>
  </si>
  <si>
    <t>26.10.2023 11:00:03</t>
  </si>
  <si>
    <t>27.10.2023 11:01:04</t>
  </si>
  <si>
    <t>26.10.2023 11:01:03</t>
  </si>
  <si>
    <t>27.10.2023 11:02:04</t>
  </si>
  <si>
    <t>26.10.2023 11:02:03</t>
  </si>
  <si>
    <t>27.10.2023 11:03:04</t>
  </si>
  <si>
    <t>26.10.2023 11:03:03</t>
  </si>
  <si>
    <t>27.10.2023 11:04:05</t>
  </si>
  <si>
    <t>26.10.2023 11:04:04</t>
  </si>
  <si>
    <t>27.10.2023 11:05:05</t>
  </si>
  <si>
    <t>26.10.2023 11:05:04</t>
  </si>
  <si>
    <t>27.10.2023 11:06:05</t>
  </si>
  <si>
    <t>26.10.2023 11:06:04</t>
  </si>
  <si>
    <t>27.10.2023 11:07:05</t>
  </si>
  <si>
    <t>26.10.2023 11:07:04</t>
  </si>
  <si>
    <t>27.10.2023 11:08:05</t>
  </si>
  <si>
    <t>26.10.2023 11:08:04</t>
  </si>
  <si>
    <t>27.10.2023 11:09:05</t>
  </si>
  <si>
    <t>26.10.2023 11:09:04</t>
  </si>
  <si>
    <t>27.10.2023 11:10:05</t>
  </si>
  <si>
    <t>26.10.2023 11:10:04</t>
  </si>
  <si>
    <t>27.10.2023 11:11:06</t>
  </si>
  <si>
    <t>26.10.2023 11:11:05</t>
  </si>
  <si>
    <t>27.10.2023 11:12:06</t>
  </si>
  <si>
    <t>26.10.2023 11:12:05</t>
  </si>
  <si>
    <t>27.10.2023 11:13:06</t>
  </si>
  <si>
    <t>26.10.2023 11:13:05</t>
  </si>
  <si>
    <t>27.10.2023 11:14:06</t>
  </si>
  <si>
    <t>26.10.2023 11:14:05</t>
  </si>
  <si>
    <t>27.10.2023 11:15:06</t>
  </si>
  <si>
    <t>26.10.2023 11:15:05</t>
  </si>
  <si>
    <t>27.10.2023 11:16:06</t>
  </si>
  <si>
    <t>26.10.2023 11:16:05</t>
  </si>
  <si>
    <t>27.10.2023 11:17:07</t>
  </si>
  <si>
    <t>26.10.2023 11:17:05</t>
  </si>
  <si>
    <t>27.10.2023 11:18:07</t>
  </si>
  <si>
    <t>26.10.2023 11:18:06</t>
  </si>
  <si>
    <t>27.10.2023 11:19:07</t>
  </si>
  <si>
    <t>26.10.2023 11:19:06</t>
  </si>
  <si>
    <t>27.10.2023 11:20:07</t>
  </si>
  <si>
    <t>26.10.2023 11:20:06</t>
  </si>
  <si>
    <t>27.10.2023 11:21:07</t>
  </si>
  <si>
    <t>26.10.2023 11:21:06</t>
  </si>
  <si>
    <t>27.10.2023 11:22:07</t>
  </si>
  <si>
    <t>26.10.2023 11:22:06</t>
  </si>
  <si>
    <t>27.10.2023 11:23:07</t>
  </si>
  <si>
    <t>26.10.2023 11:23:06</t>
  </si>
  <si>
    <t>27.10.2023 11:24:07</t>
  </si>
  <si>
    <t>26.10.2023 11:24:06</t>
  </si>
  <si>
    <t>27.10.2023 11:25:08</t>
  </si>
  <si>
    <t>26.10.2023 11:25:07</t>
  </si>
  <si>
    <t>27.10.2023 11:26:08</t>
  </si>
  <si>
    <t>26.10.2023 11:26:07</t>
  </si>
  <si>
    <t>27.10.2023 11:27:08</t>
  </si>
  <si>
    <t>26.10.2023 11:27:07</t>
  </si>
  <si>
    <t>27.10.2023 11:28:08</t>
  </si>
  <si>
    <t>26.10.2023 11:28:07</t>
  </si>
  <si>
    <t>27.10.2023 11:29:08</t>
  </si>
  <si>
    <t>26.10.2023 11:29:07</t>
  </si>
  <si>
    <t>27.10.2023 11:30:08</t>
  </si>
  <si>
    <t>26.10.2023 11:30:07</t>
  </si>
  <si>
    <t>27.10.2023 11:31:08</t>
  </si>
  <si>
    <t>26.10.2023 11:31:07</t>
  </si>
  <si>
    <t>27.10.2023 11:32:08</t>
  </si>
  <si>
    <t>26.10.2023 11:32:08</t>
  </si>
  <si>
    <t>27.10.2023 11:33:08</t>
  </si>
  <si>
    <t>26.10.2023 11:33:08</t>
  </si>
  <si>
    <t>27.10.2023 11:34:08</t>
  </si>
  <si>
    <t>26.10.2023 11:34:08</t>
  </si>
  <si>
    <t>27.10.2023 11:35:08</t>
  </si>
  <si>
    <t>26.10.2023 11:35:08</t>
  </si>
  <si>
    <t>27.10.2023 11:36:08</t>
  </si>
  <si>
    <t>26.10.2023 11:36:08</t>
  </si>
  <si>
    <t>27.10.2023 11:37:09</t>
  </si>
  <si>
    <t>26.10.2023 11:37:08</t>
  </si>
  <si>
    <t>27.10.2023 11:38:09</t>
  </si>
  <si>
    <t>26.10.2023 11:38:08</t>
  </si>
  <si>
    <t>27.10.2023 11:39:09</t>
  </si>
  <si>
    <t>26.10.2023 11:39:09</t>
  </si>
  <si>
    <t>27.10.2023 11:40:09</t>
  </si>
  <si>
    <t>26.10.2023 11:40:09</t>
  </si>
  <si>
    <t>27.10.2023 11:41:09</t>
  </si>
  <si>
    <t>26.10.2023 11:41:09</t>
  </si>
  <si>
    <t>27.10.2023 11:42:09</t>
  </si>
  <si>
    <t>26.10.2023 11:42:09</t>
  </si>
  <si>
    <t>27.10.2023 11:43:09</t>
  </si>
  <si>
    <t>26.10.2023 11:43:09</t>
  </si>
  <si>
    <t>27.10.2023 11:44:09</t>
  </si>
  <si>
    <t>26.10.2023 11:44:09</t>
  </si>
  <si>
    <t>27.10.2023 11:45:09</t>
  </si>
  <si>
    <t>26.10.2023 11:45:10</t>
  </si>
  <si>
    <t>27.10.2023 11:46:09</t>
  </si>
  <si>
    <t>26.10.2023 11:46:10</t>
  </si>
  <si>
    <t>27.10.2023 11:47:10</t>
  </si>
  <si>
    <t>26.10.2023 11:47:10</t>
  </si>
  <si>
    <t>27.10.2023 11:48:10</t>
  </si>
  <si>
    <t>26.10.2023 11:48:10</t>
  </si>
  <si>
    <t>27.10.2023 11:49:10</t>
  </si>
  <si>
    <t>26.10.2023 11:49:10</t>
  </si>
  <si>
    <t>27.10.2023 11:50:10</t>
  </si>
  <si>
    <t>26.10.2023 11:50:10</t>
  </si>
  <si>
    <t>27.10.2023 11:51:10</t>
  </si>
  <si>
    <t>26.10.2023 11:51:10</t>
  </si>
  <si>
    <t>27.10.2023 11:52:10</t>
  </si>
  <si>
    <t>26.10.2023 11:52:11</t>
  </si>
  <si>
    <t>27.10.2023 11:53:10</t>
  </si>
  <si>
    <t>26.10.2023 11:53:11</t>
  </si>
  <si>
    <t>27.10.2023 11:54:10</t>
  </si>
  <si>
    <t>26.10.2023 11:54:11</t>
  </si>
  <si>
    <t>27.10.2023 11:55:10</t>
  </si>
  <si>
    <t>26.10.2023 11:55:11</t>
  </si>
  <si>
    <t>27.10.2023 11:56:10</t>
  </si>
  <si>
    <t>26.10.2023 11:56:11</t>
  </si>
  <si>
    <t>27.10.2023 11:57:11</t>
  </si>
  <si>
    <t>26.10.2023 11:57:11</t>
  </si>
  <si>
    <t>27.10.2023 11:58:11</t>
  </si>
  <si>
    <t>26.10.2023 11:58:11</t>
  </si>
  <si>
    <t>27.10.2023 11:59:11</t>
  </si>
  <si>
    <t>26.10.2023 11:59:12</t>
  </si>
  <si>
    <t>27.10.2023 12:00:11</t>
  </si>
  <si>
    <t>26.10.2023 12:00:12</t>
  </si>
  <si>
    <t>27.10.2023 12:01:11</t>
  </si>
  <si>
    <t>26.10.2023 12:01:12</t>
  </si>
  <si>
    <t>27.10.2023 12:02:11</t>
  </si>
  <si>
    <t>26.10.2023 12:02:12</t>
  </si>
  <si>
    <t>27.10.2023 12:03:11</t>
  </si>
  <si>
    <t>26.10.2023 12:03:12</t>
  </si>
  <si>
    <t>27.10.2023 12:04:11</t>
  </si>
  <si>
    <t>26.10.2023 12:04:12</t>
  </si>
  <si>
    <t>27.10.2023 12:05:11</t>
  </si>
  <si>
    <t>26.10.2023 12:05:12</t>
  </si>
  <si>
    <t>27.10.2023 12:06:12</t>
  </si>
  <si>
    <t>26.10.2023 12:06:13</t>
  </si>
  <si>
    <t>27.10.2023 12:07:12</t>
  </si>
  <si>
    <t>26.10.2023 12:07:13</t>
  </si>
  <si>
    <t>27.10.2023 12:08:12</t>
  </si>
  <si>
    <t>26.10.2023 12:08:13</t>
  </si>
  <si>
    <t>27.10.2023 12:09:12</t>
  </si>
  <si>
    <t>26.10.2023 12:09:13</t>
  </si>
  <si>
    <t>27.10.2023 12:10:12</t>
  </si>
  <si>
    <t>26.10.2023 12:10:13</t>
  </si>
  <si>
    <t>27.10.2023 12:11:12</t>
  </si>
  <si>
    <t>26.10.2023 12:11:13</t>
  </si>
  <si>
    <t>27.10.2023 12:12:12</t>
  </si>
  <si>
    <t>26.10.2023 12:12:13</t>
  </si>
  <si>
    <t>27.10.2023 12:13:12</t>
  </si>
  <si>
    <t>26.10.2023 12:13:14</t>
  </si>
  <si>
    <t>27.10.2023 12:14:13</t>
  </si>
  <si>
    <t>26.10.2023 12:14:14</t>
  </si>
  <si>
    <t>27.10.2023 12:15:13</t>
  </si>
  <si>
    <t>26.10.2023 12:15:14</t>
  </si>
  <si>
    <t>27.10.2023 12:16:13</t>
  </si>
  <si>
    <t>26.10.2023 12:16:14</t>
  </si>
  <si>
    <t>27.10.2023 12:17:13</t>
  </si>
  <si>
    <t>26.10.2023 12:17:14</t>
  </si>
  <si>
    <t>27.10.2023 12:18:13</t>
  </si>
  <si>
    <t>26.10.2023 12:18:14</t>
  </si>
  <si>
    <t>27.10.2023 12:19:13</t>
  </si>
  <si>
    <t>26.10.2023 12:19:15</t>
  </si>
  <si>
    <t>27.10.2023 12:20:13</t>
  </si>
  <si>
    <t>26.10.2023 12:20:15</t>
  </si>
  <si>
    <t>27.10.2023 12:21:13</t>
  </si>
  <si>
    <t>26.10.2023 12:21:15</t>
  </si>
  <si>
    <t>27.10.2023 12:22:14</t>
  </si>
  <si>
    <t>26.10.2023 12:22:15</t>
  </si>
  <si>
    <t>27.10.2023 12:23:14</t>
  </si>
  <si>
    <t>26.10.2023 12:23:15</t>
  </si>
  <si>
    <t>27.10.2023 12:24:14</t>
  </si>
  <si>
    <t>26.10.2023 12:24:15</t>
  </si>
  <si>
    <t>27.10.2023 12:25:14</t>
  </si>
  <si>
    <t>26.10.2023 12:25:15</t>
  </si>
  <si>
    <t>27.10.2023 12:26:14</t>
  </si>
  <si>
    <t>26.10.2023 12:26:16</t>
  </si>
  <si>
    <t>27.10.2023 12:27:14</t>
  </si>
  <si>
    <t>26.10.2023 12:27:16</t>
  </si>
  <si>
    <t>27.10.2023 12:28:14</t>
  </si>
  <si>
    <t>26.10.2023 12:28:16</t>
  </si>
  <si>
    <t>27.10.2023 12:29:14</t>
  </si>
  <si>
    <t>26.10.2023 12:29:16</t>
  </si>
  <si>
    <t>27.10.2023 12:30:14</t>
  </si>
  <si>
    <t>26.10.2023 12:30:16</t>
  </si>
  <si>
    <t>27.10.2023 12:31:14</t>
  </si>
  <si>
    <t>26.10.2023 12:31:16</t>
  </si>
  <si>
    <t>27.10.2023 12:32:14</t>
  </si>
  <si>
    <t>26.10.2023 12:32:16</t>
  </si>
  <si>
    <t>27.10.2023 12:33:14</t>
  </si>
  <si>
    <t>26.10.2023 12:33:16</t>
  </si>
  <si>
    <t>27.10.2023 12:34:15</t>
  </si>
  <si>
    <t>26.10.2023 12:34:17</t>
  </si>
  <si>
    <t>27.10.2023 12:35:15</t>
  </si>
  <si>
    <t>26.10.2023 12:35:17</t>
  </si>
  <si>
    <t>27.10.2023 12:36:15</t>
  </si>
  <si>
    <t>26.10.2023 12:36:17</t>
  </si>
  <si>
    <t>27.10.2023 12:37:15</t>
  </si>
  <si>
    <t>26.10.2023 12:37:17</t>
  </si>
  <si>
    <t>27.10.2023 12:38:15</t>
  </si>
  <si>
    <t>26.10.2023 12:38:17</t>
  </si>
  <si>
    <t>27.10.2023 12:39:15</t>
  </si>
  <si>
    <t>26.10.2023 12:39:17</t>
  </si>
  <si>
    <t>27.10.2023 12:40:15</t>
  </si>
  <si>
    <t>26.10.2023 12:40:18</t>
  </si>
  <si>
    <t>27.10.2023 12:41:15</t>
  </si>
  <si>
    <t>26.10.2023 12:41:18</t>
  </si>
  <si>
    <t>27.10.2023 12:42:15</t>
  </si>
  <si>
    <t>26.10.2023 12:42:18</t>
  </si>
  <si>
    <t>27.10.2023 12:43:16</t>
  </si>
  <si>
    <t>26.10.2023 12:43:18</t>
  </si>
  <si>
    <t>27.10.2023 12:44:16</t>
  </si>
  <si>
    <t>26.10.2023 12:44:18</t>
  </si>
  <si>
    <t>27.10.2023 12:45:16</t>
  </si>
  <si>
    <t>26.10.2023 12:45:18</t>
  </si>
  <si>
    <t>27.10.2023 12:46:16</t>
  </si>
  <si>
    <t>26.10.2023 12:46:18</t>
  </si>
  <si>
    <t>27.10.2023 12:47:16</t>
  </si>
  <si>
    <t>26.10.2023 12:47:19</t>
  </si>
  <si>
    <t>27.10.2023 12:48:16</t>
  </si>
  <si>
    <t>26.10.2023 12:48:19</t>
  </si>
  <si>
    <t>27.10.2023 12:49:16</t>
  </si>
  <si>
    <t>26.10.2023 12:49:19</t>
  </si>
  <si>
    <t>27.10.2023 12:50:16</t>
  </si>
  <si>
    <t>26.10.2023 12:50:19</t>
  </si>
  <si>
    <t>27.10.2023 12:51:16</t>
  </si>
  <si>
    <t>26.10.2023 12:51:19</t>
  </si>
  <si>
    <t>27.10.2023 12:52:16</t>
  </si>
  <si>
    <t>26.10.2023 12:52:19</t>
  </si>
  <si>
    <t>27.10.2023 12:53:17</t>
  </si>
  <si>
    <t>26.10.2023 12:53:19</t>
  </si>
  <si>
    <t>27.10.2023 12:54:17</t>
  </si>
  <si>
    <t>26.10.2023 12:54:20</t>
  </si>
  <si>
    <t>27.10.2023 12:55:17</t>
  </si>
  <si>
    <t>26.10.2023 12:55:20</t>
  </si>
  <si>
    <t>27.10.2023 12:56:17</t>
  </si>
  <si>
    <t>26.10.2023 12:56:20</t>
  </si>
  <si>
    <t>27.10.2023 12:57:17</t>
  </si>
  <si>
    <t>26.10.2023 12:57:20</t>
  </si>
  <si>
    <t>27.10.2023 12:58:17</t>
  </si>
  <si>
    <t>26.10.2023 12:58:20</t>
  </si>
  <si>
    <t>27.10.2023 12:59:18</t>
  </si>
  <si>
    <t>26.10.2023 12:59:20</t>
  </si>
  <si>
    <t>27.10.2023 13:00:18</t>
  </si>
  <si>
    <t>26.10.2023 13:00:20</t>
  </si>
  <si>
    <t>27.10.2023 13:01:18</t>
  </si>
  <si>
    <t>26.10.2023 13:01:20</t>
  </si>
  <si>
    <t>27.10.2023 13:02:18</t>
  </si>
  <si>
    <t>26.10.2023 13:02:21</t>
  </si>
  <si>
    <t>27.10.2023 13:03:18</t>
  </si>
  <si>
    <t>26.10.2023 13:03:21</t>
  </si>
  <si>
    <t>27.10.2023 13:04:18</t>
  </si>
  <si>
    <t>26.10.2023 13:04:21</t>
  </si>
  <si>
    <t>27.10.2023 13:05:18</t>
  </si>
  <si>
    <t>26.10.2023 13:05:21</t>
  </si>
  <si>
    <t>27.10.2023 13:06:18</t>
  </si>
  <si>
    <t>26.10.2023 13:06:21</t>
  </si>
  <si>
    <t>27.10.2023 13:07:18</t>
  </si>
  <si>
    <t>26.10.2023 13:07:21</t>
  </si>
  <si>
    <t>27.10.2023 13:08:18</t>
  </si>
  <si>
    <t>26.10.2023 13:08:21</t>
  </si>
  <si>
    <t>27.10.2023 13:09:19</t>
  </si>
  <si>
    <t>26.10.2023 13:09:22</t>
  </si>
  <si>
    <t>27.10.2023 13:10:19</t>
  </si>
  <si>
    <t>26.10.2023 13:10:22</t>
  </si>
  <si>
    <t>27.10.2023 13:11:19</t>
  </si>
  <si>
    <t>26.10.2023 13:11:22</t>
  </si>
  <si>
    <t>27.10.2023 13:12:19</t>
  </si>
  <si>
    <t>26.10.2023 13:12:22</t>
  </si>
  <si>
    <t>27.10.2023 13:13:19</t>
  </si>
  <si>
    <t>26.10.2023 13:13:22</t>
  </si>
  <si>
    <t>27.10.2023 13:14:19</t>
  </si>
  <si>
    <t>26.10.2023 13:14:22</t>
  </si>
  <si>
    <t>27.10.2023 13:15:19</t>
  </si>
  <si>
    <t>26.10.2023 13:15:22</t>
  </si>
  <si>
    <t>27.10.2023 13:16:19</t>
  </si>
  <si>
    <t>26.10.2023 13:16:23</t>
  </si>
  <si>
    <t>27.10.2023 13:17:19</t>
  </si>
  <si>
    <t>26.10.2023 13:17:23</t>
  </si>
  <si>
    <t>27.10.2023 13:18:20</t>
  </si>
  <si>
    <t>26.10.2023 13:18:23</t>
  </si>
  <si>
    <t>27.10.2023 13:19:20</t>
  </si>
  <si>
    <t>26.10.2023 13:19:23</t>
  </si>
  <si>
    <t>27.10.2023 13:20:20</t>
  </si>
  <si>
    <t>26.10.2023 13:20:23</t>
  </si>
  <si>
    <t>27.10.2023 13:21:20</t>
  </si>
  <si>
    <t>26.10.2023 13:21:23</t>
  </si>
  <si>
    <t>27.10.2023 13:22:20</t>
  </si>
  <si>
    <t>26.10.2023 13:22:23</t>
  </si>
  <si>
    <t>27.10.2023 13:23:20</t>
  </si>
  <si>
    <t>26.10.2023 13:23:24</t>
  </si>
  <si>
    <t>27.10.2023 13:24:20</t>
  </si>
  <si>
    <t>26.10.2023 13:24:24</t>
  </si>
  <si>
    <t>27.10.2023 13:25:20</t>
  </si>
  <si>
    <t>26.10.2023 13:25:24</t>
  </si>
  <si>
    <t>27.10.2023 13:26:20</t>
  </si>
  <si>
    <t>26.10.2023 13:26:24</t>
  </si>
  <si>
    <t>27.10.2023 13:27:20</t>
  </si>
  <si>
    <t>26.10.2023 13:27:24</t>
  </si>
  <si>
    <t>27.10.2023 13:28:21</t>
  </si>
  <si>
    <t>26.10.2023 13:28:24</t>
  </si>
  <si>
    <t>27.10.2023 13:29:21</t>
  </si>
  <si>
    <t>26.10.2023 13:29:24</t>
  </si>
  <si>
    <t>27.10.2023 13:30:21</t>
  </si>
  <si>
    <t>26.10.2023 13:30:25</t>
  </si>
  <si>
    <t>27.10.2023 13:31:21</t>
  </si>
  <si>
    <t>26.10.2023 13:31:25</t>
  </si>
  <si>
    <t>27.10.2023 13:32:21</t>
  </si>
  <si>
    <t>26.10.2023 13:32:25</t>
  </si>
  <si>
    <t>27.10.2023 13:33:21</t>
  </si>
  <si>
    <t>26.10.2023 13:33:25</t>
  </si>
  <si>
    <t>27.10.2023 13:34:21</t>
  </si>
  <si>
    <t>26.10.2023 13:34:25</t>
  </si>
  <si>
    <t>27.10.2023 13:35:21</t>
  </si>
  <si>
    <t>26.10.2023 13:35:25</t>
  </si>
  <si>
    <t>27.10.2023 13:36:21</t>
  </si>
  <si>
    <t>26.10.2023 13:36:26</t>
  </si>
  <si>
    <t>27.10.2023 13:37:22</t>
  </si>
  <si>
    <t>26.10.2023 13:37:26</t>
  </si>
  <si>
    <t>27.10.2023 13:38:22</t>
  </si>
  <si>
    <t>26.10.2023 13:38:26</t>
  </si>
  <si>
    <t>27.10.2023 13:39:22</t>
  </si>
  <si>
    <t>26.10.2023 13:39:26</t>
  </si>
  <si>
    <t>27.10.2023 13:40:22</t>
  </si>
  <si>
    <t>26.10.2023 13:40:26</t>
  </si>
  <si>
    <t>27.10.2023 13:41:22</t>
  </si>
  <si>
    <t>26.10.2023 13:41:26</t>
  </si>
  <si>
    <t>27.10.2023 13:42:22</t>
  </si>
  <si>
    <t>26.10.2023 13:42:26</t>
  </si>
  <si>
    <t>27.10.2023 13:43:22</t>
  </si>
  <si>
    <t>26.10.2023 13:43:27</t>
  </si>
  <si>
    <t>27.10.2023 13:44:22</t>
  </si>
  <si>
    <t>26.10.2023 13:44:27</t>
  </si>
  <si>
    <t>27.10.2023 13:45:23</t>
  </si>
  <si>
    <t>26.10.2023 13:45:27</t>
  </si>
  <si>
    <t>27.10.2023 13:46:23</t>
  </si>
  <si>
    <t>26.10.2023 13:46:27</t>
  </si>
  <si>
    <t>27.10.2023 13:47:23</t>
  </si>
  <si>
    <t>26.10.2023 13:47:27</t>
  </si>
  <si>
    <t>27.10.2023 13:48:23</t>
  </si>
  <si>
    <t>26.10.2023 13:48:27</t>
  </si>
  <si>
    <t>27.10.2023 13:49:23</t>
  </si>
  <si>
    <t>26.10.2023 13:49:27</t>
  </si>
  <si>
    <t>27.10.2023 13:50:23</t>
  </si>
  <si>
    <t>26.10.2023 13:50:28</t>
  </si>
  <si>
    <t>27.10.2023 13:51:23</t>
  </si>
  <si>
    <t>26.10.2023 13:51:28</t>
  </si>
  <si>
    <t>27.10.2023 13:52:23</t>
  </si>
  <si>
    <t>26.10.2023 13:52:28</t>
  </si>
  <si>
    <t>27.10.2023 13:53:23</t>
  </si>
  <si>
    <t>26.10.2023 13:53:28</t>
  </si>
  <si>
    <t>27.10.2023 13:54:23</t>
  </si>
  <si>
    <t>26.10.2023 13:54:28</t>
  </si>
  <si>
    <t>27.10.2023 13:55:23</t>
  </si>
  <si>
    <t>26.10.2023 13:55:28</t>
  </si>
  <si>
    <t>27.10.2023 13:56:24</t>
  </si>
  <si>
    <t>26.10.2023 13:56:29</t>
  </si>
  <si>
    <t>27.10.2023 13:57:24</t>
  </si>
  <si>
    <t>26.10.2023 13:57:29</t>
  </si>
  <si>
    <t>27.10.2023 13:58:24</t>
  </si>
  <si>
    <t>26.10.2023 13:58:29</t>
  </si>
  <si>
    <t>27.10.2023 13:59:24</t>
  </si>
  <si>
    <t>26.10.2023 13:59:29</t>
  </si>
  <si>
    <t>27.10.2023 14:00:24</t>
  </si>
  <si>
    <t>26.10.2023 14:00:29</t>
  </si>
  <si>
    <t>27.10.2023 14:01:24</t>
  </si>
  <si>
    <t>26.10.2023 14:01:29</t>
  </si>
  <si>
    <t>27.10.2023 14:02:24</t>
  </si>
  <si>
    <t>26.10.2023 14:02:29</t>
  </si>
  <si>
    <t>27.10.2023 14:03:24</t>
  </si>
  <si>
    <t>26.10.2023 14:03:30</t>
  </si>
  <si>
    <t>27.10.2023 14:04:24</t>
  </si>
  <si>
    <t>26.10.2023 14:04:30</t>
  </si>
  <si>
    <t>27.10.2023 14:05:24</t>
  </si>
  <si>
    <t>26.10.2023 14:05:30</t>
  </si>
  <si>
    <t>27.10.2023 14:06:24</t>
  </si>
  <si>
    <t>26.10.2023 14:06:30</t>
  </si>
  <si>
    <t>27.10.2023 14:07:25</t>
  </si>
  <si>
    <t>26.10.2023 14:07:30</t>
  </si>
  <si>
    <t>27.10.2023 14:08:25</t>
  </si>
  <si>
    <t>26.10.2023 14:08:30</t>
  </si>
  <si>
    <t>27.10.2023 14:09:25</t>
  </si>
  <si>
    <t>26.10.2023 14:09:30</t>
  </si>
  <si>
    <t>27.10.2023 14:10:25</t>
  </si>
  <si>
    <t>26.10.2023 14:10:31</t>
  </si>
  <si>
    <t>27.10.2023 14:11:25</t>
  </si>
  <si>
    <t>26.10.2023 14:11:31</t>
  </si>
  <si>
    <t>27.10.2023 14:12:25</t>
  </si>
  <si>
    <t>26.10.2023 14:12:31</t>
  </si>
  <si>
    <t>27.10.2023 14:13:25</t>
  </si>
  <si>
    <t>26.10.2023 14:13:31</t>
  </si>
  <si>
    <t>27.10.2023 14:14:25</t>
  </si>
  <si>
    <t>26.10.2023 14:14:31</t>
  </si>
  <si>
    <t>27.10.2023 14:15:25</t>
  </si>
  <si>
    <t>26.10.2023 14:15:31</t>
  </si>
  <si>
    <t>27.10.2023 14:16:25</t>
  </si>
  <si>
    <t>26.10.2023 14:16:31</t>
  </si>
  <si>
    <t>27.10.2023 14:17:26</t>
  </si>
  <si>
    <t>26.10.2023 14:17:31</t>
  </si>
  <si>
    <t>27.10.2023 14:18:26</t>
  </si>
  <si>
    <t>26.10.2023 14:18:31</t>
  </si>
  <si>
    <t>27.10.2023 14:19:26</t>
  </si>
  <si>
    <t>26.10.2023 14:19:32</t>
  </si>
  <si>
    <t>27.10.2023 14:20:26</t>
  </si>
  <si>
    <t>26.10.2023 14:20:32</t>
  </si>
  <si>
    <t>27.10.2023 14:21:26</t>
  </si>
  <si>
    <t>26.10.2023 14:21:32</t>
  </si>
  <si>
    <t>27.10.2023 14:22:26</t>
  </si>
  <si>
    <t>26.10.2023 14:22:32</t>
  </si>
  <si>
    <t>27.10.2023 14:23:26</t>
  </si>
  <si>
    <t>26.10.2023 14:23:32</t>
  </si>
  <si>
    <t>27.10.2023 14:24:26</t>
  </si>
  <si>
    <t>26.10.2023 14:24:32</t>
  </si>
  <si>
    <t>27.10.2023 14:25:26</t>
  </si>
  <si>
    <t>26.10.2023 14:25:33</t>
  </si>
  <si>
    <t>27.10.2023 14:26:26</t>
  </si>
  <si>
    <t>26.10.2023 14:26:33</t>
  </si>
  <si>
    <t>27.10.2023 14:27:26</t>
  </si>
  <si>
    <t>26.10.2023 14:27:33</t>
  </si>
  <si>
    <t>27.10.2023 14:28:27</t>
  </si>
  <si>
    <t>26.10.2023 14:28:33</t>
  </si>
  <si>
    <t>27.10.2023 14:29:27</t>
  </si>
  <si>
    <t>26.10.2023 14:29:33</t>
  </si>
  <si>
    <t>27.10.2023 14:30:27</t>
  </si>
  <si>
    <t>26.10.2023 14:30:33</t>
  </si>
  <si>
    <t>27.10.2023 14:31:27</t>
  </si>
  <si>
    <t>26.10.2023 14:31:33</t>
  </si>
  <si>
    <t>27.10.2023 14:32:27</t>
  </si>
  <si>
    <t>26.10.2023 14:32:34</t>
  </si>
  <si>
    <t>27.10.2023 14:33:27</t>
  </si>
  <si>
    <t>26.10.2023 14:33:34</t>
  </si>
  <si>
    <t>27.10.2023 14:34:27</t>
  </si>
  <si>
    <t>26.10.2023 14:34:34</t>
  </si>
  <si>
    <t>27.10.2023 14:35:27</t>
  </si>
  <si>
    <t>26.10.2023 14:35:34</t>
  </si>
  <si>
    <t>27.10.2023 14:36:27</t>
  </si>
  <si>
    <t>26.10.2023 14:36:34</t>
  </si>
  <si>
    <t>27.10.2023 14:37:27</t>
  </si>
  <si>
    <t>26.10.2023 14:37:34</t>
  </si>
  <si>
    <t>27.10.2023 14:38:27</t>
  </si>
  <si>
    <t>26.10.2023 14:38:34</t>
  </si>
  <si>
    <t>27.10.2023 14:39:28</t>
  </si>
  <si>
    <t>26.10.2023 14:39:35</t>
  </si>
  <si>
    <t>27.10.2023 14:40:28</t>
  </si>
  <si>
    <t>26.10.2023 14:40:35</t>
  </si>
  <si>
    <t>27.10.2023 14:41:28</t>
  </si>
  <si>
    <t>26.10.2023 14:41:35</t>
  </si>
  <si>
    <t>27.10.2023 14:42:28</t>
  </si>
  <si>
    <t>26.10.2023 14:42:35</t>
  </si>
  <si>
    <t>27.10.2023 14:43:28</t>
  </si>
  <si>
    <t>26.10.2023 14:43:35</t>
  </si>
  <si>
    <t>27.10.2023 14:44:28</t>
  </si>
  <si>
    <t>26.10.2023 14:44:35</t>
  </si>
  <si>
    <t>27.10.2023 14:45:28</t>
  </si>
  <si>
    <t>26.10.2023 14:45:36</t>
  </si>
  <si>
    <t>27.10.2023 14:46:28</t>
  </si>
  <si>
    <t>26.10.2023 14:46:36</t>
  </si>
  <si>
    <t>27.10.2023 14:47:28</t>
  </si>
  <si>
    <t>26.10.2023 14:47:36</t>
  </si>
  <si>
    <t>27.10.2023 14:48:28</t>
  </si>
  <si>
    <t>26.10.2023 14:48:36</t>
  </si>
  <si>
    <t>27.10.2023 14:49:28</t>
  </si>
  <si>
    <t>26.10.2023 14:49:36</t>
  </si>
  <si>
    <t>27.10.2023 14:50:28</t>
  </si>
  <si>
    <t>26.10.2023 14:50:36</t>
  </si>
  <si>
    <t>27.10.2023 14:51:29</t>
  </si>
  <si>
    <t>26.10.2023 14:51:36</t>
  </si>
  <si>
    <t>27.10.2023 14:52:29</t>
  </si>
  <si>
    <t>26.10.2023 14:52:36</t>
  </si>
  <si>
    <t>27.10.2023 14:53:29</t>
  </si>
  <si>
    <t>26.10.2023 14:53:37</t>
  </si>
  <si>
    <t>27.10.2023 14:54:29</t>
  </si>
  <si>
    <t>26.10.2023 14:54:37</t>
  </si>
  <si>
    <t>27.10.2023 14:55:29</t>
  </si>
  <si>
    <t>26.10.2023 14:55:37</t>
  </si>
  <si>
    <t>27.10.2023 14:56:29</t>
  </si>
  <si>
    <t>26.10.2023 14:56:37</t>
  </si>
  <si>
    <t>27.10.2023 14:57:29</t>
  </si>
  <si>
    <t>26.10.2023 14:57:37</t>
  </si>
  <si>
    <t>27.10.2023 14:58:29</t>
  </si>
  <si>
    <t>26.10.2023 14:58:37</t>
  </si>
  <si>
    <t>27.10.2023 14:59:29</t>
  </si>
  <si>
    <t>26.10.2023 14:59:37</t>
  </si>
  <si>
    <t>27.10.2023 15:00:29</t>
  </si>
  <si>
    <t>26.10.2023 15:00:37</t>
  </si>
  <si>
    <t>27.10.2023 15:01:29</t>
  </si>
  <si>
    <t>26.10.2023 15:01:37</t>
  </si>
  <si>
    <t>27.10.2023 15:02:30</t>
  </si>
  <si>
    <t>26.10.2023 15:02:37</t>
  </si>
  <si>
    <t>27.10.2023 15:03:30</t>
  </si>
  <si>
    <t>26.10.2023 15:03:38</t>
  </si>
  <si>
    <t>27.10.2023 15:04:30</t>
  </si>
  <si>
    <t>26.10.2023 15:04:38</t>
  </si>
  <si>
    <t>27.10.2023 15:05:30</t>
  </si>
  <si>
    <t>26.10.2023 15:05:38</t>
  </si>
  <si>
    <t>27.10.2023 15:06:30</t>
  </si>
  <si>
    <t>26.10.2023 15:06:38</t>
  </si>
  <si>
    <t>27.10.2023 15:07:30</t>
  </si>
  <si>
    <t>26.10.2023 15:07:38</t>
  </si>
  <si>
    <t>27.10.2023 15:08:30</t>
  </si>
  <si>
    <t>26.10.2023 15:08:38</t>
  </si>
  <si>
    <t>27.10.2023 15:09:31</t>
  </si>
  <si>
    <t>26.10.2023 15:09:38</t>
  </si>
  <si>
    <t>27.10.2023 15:10:31</t>
  </si>
  <si>
    <t>26.10.2023 15:10:38</t>
  </si>
  <si>
    <t>27.10.2023 15:11:31</t>
  </si>
  <si>
    <t>26.10.2023 15:11:38</t>
  </si>
  <si>
    <t>27.10.2023 15:12:31</t>
  </si>
  <si>
    <t>26.10.2023 15:12:38</t>
  </si>
  <si>
    <t>27.10.2023 15:13:31</t>
  </si>
  <si>
    <t>26.10.2023 15:13:38</t>
  </si>
  <si>
    <t>27.10.2023 15:14:31</t>
  </si>
  <si>
    <t>26.10.2023 15:14:39</t>
  </si>
  <si>
    <t>27.10.2023 15:15:31</t>
  </si>
  <si>
    <t>26.10.2023 15:15:39</t>
  </si>
  <si>
    <t>27.10.2023 15:16:31</t>
  </si>
  <si>
    <t>26.10.2023 15:16:39</t>
  </si>
  <si>
    <t>27.10.2023 15:17:31</t>
  </si>
  <si>
    <t>26.10.2023 15:17:39</t>
  </si>
  <si>
    <t>27.10.2023 15:18:31</t>
  </si>
  <si>
    <t>26.10.2023 15:18:39</t>
  </si>
  <si>
    <t>27.10.2023 15:19:31</t>
  </si>
  <si>
    <t>26.10.2023 15:19:39</t>
  </si>
  <si>
    <t>27.10.2023 15:20:31</t>
  </si>
  <si>
    <t>26.10.2023 15:20:39</t>
  </si>
  <si>
    <t>27.10.2023 15:21:31</t>
  </si>
  <si>
    <t>26.10.2023 15:21:40</t>
  </si>
  <si>
    <t>27.10.2023 15:22:31</t>
  </si>
  <si>
    <t>26.10.2023 15:22:40</t>
  </si>
  <si>
    <t>27.10.2023 15:23:32</t>
  </si>
  <si>
    <t>26.10.2023 15:23:40</t>
  </si>
  <si>
    <t>27.10.2023 15:24:32</t>
  </si>
  <si>
    <t>26.10.2023 15:24:40</t>
  </si>
  <si>
    <t>27.10.2023 15:25:32</t>
  </si>
  <si>
    <t>26.10.2023 15:25:40</t>
  </si>
  <si>
    <t>27.10.2023 15:26:32</t>
  </si>
  <si>
    <t>26.10.2023 15:26:40</t>
  </si>
  <si>
    <t>27.10.2023 15:27:32</t>
  </si>
  <si>
    <t>26.10.2023 15:27:40</t>
  </si>
  <si>
    <t>27.10.2023 15:28:32</t>
  </si>
  <si>
    <t>26.10.2023 15:28:40</t>
  </si>
  <si>
    <t>27.10.2023 15:29:32</t>
  </si>
  <si>
    <t>26.10.2023 15:29:40</t>
  </si>
  <si>
    <t>27.10.2023 15:30:32</t>
  </si>
  <si>
    <t>26.10.2023 15:30:41</t>
  </si>
  <si>
    <t>27.10.2023 15:31:32</t>
  </si>
  <si>
    <t>26.10.2023 15:31:41</t>
  </si>
  <si>
    <t>27.10.2023 15:32:33</t>
  </si>
  <si>
    <t>26.10.2023 15:32:41</t>
  </si>
  <si>
    <t>27.10.2023 15:33:33</t>
  </si>
  <si>
    <t>26.10.2023 15:33:41</t>
  </si>
  <si>
    <t>27.10.2023 15:34:33</t>
  </si>
  <si>
    <t>26.10.2023 15:34:41</t>
  </si>
  <si>
    <t>27.10.2023 15:35:33</t>
  </si>
  <si>
    <t>26.10.2023 15:35:41</t>
  </si>
  <si>
    <t>27.10.2023 15:36:33</t>
  </si>
  <si>
    <t>26.10.2023 15:36:41</t>
  </si>
  <si>
    <t>27.10.2023 15:37:33</t>
  </si>
  <si>
    <t>26.10.2023 15:37:41</t>
  </si>
  <si>
    <t>27.10.2023 15:38:33</t>
  </si>
  <si>
    <t>26.10.2023 15:38:41</t>
  </si>
  <si>
    <t>27.10.2023 15:39:34</t>
  </si>
  <si>
    <t>26.10.2023 15:39:41</t>
  </si>
  <si>
    <t>27.10.2023 15:40:34</t>
  </si>
  <si>
    <t>26.10.2023 15:40:41</t>
  </si>
  <si>
    <t>27.10.2023 15:41:34</t>
  </si>
  <si>
    <t>26.10.2023 15:41:42</t>
  </si>
  <si>
    <t>27.10.2023 15:42:34</t>
  </si>
  <si>
    <t>26.10.2023 15:42:42</t>
  </si>
  <si>
    <t>27.10.2023 15:43:34</t>
  </si>
  <si>
    <t>26.10.2023 15:43:42</t>
  </si>
  <si>
    <t>27.10.2023 15:44:34</t>
  </si>
  <si>
    <t>26.10.2023 15:44:42</t>
  </si>
  <si>
    <t>27.10.2023 15:45:34</t>
  </si>
  <si>
    <t>26.10.2023 15:45:42</t>
  </si>
  <si>
    <t>27.10.2023 15:46:34</t>
  </si>
  <si>
    <t>26.10.2023 15:46:42</t>
  </si>
  <si>
    <t>27.10.2023 15:47:34</t>
  </si>
  <si>
    <t>26.10.2023 15:47:42</t>
  </si>
  <si>
    <t>27.10.2023 15:48:34</t>
  </si>
  <si>
    <t>26.10.2023 15:48:42</t>
  </si>
  <si>
    <t>27.10.2023 15:49:34</t>
  </si>
  <si>
    <t>26.10.2023 15:49:42</t>
  </si>
  <si>
    <t>27.10.2023 15:50:34</t>
  </si>
  <si>
    <t>26.10.2023 15:50:42</t>
  </si>
  <si>
    <t>27.10.2023 15:51:34</t>
  </si>
  <si>
    <t>26.10.2023 15:51:42</t>
  </si>
  <si>
    <t>27.10.2023 15:52:35</t>
  </si>
  <si>
    <t>26.10.2023 15:52:42</t>
  </si>
  <si>
    <t>27.10.2023 15:53:35</t>
  </si>
  <si>
    <t>26.10.2023 15:53:43</t>
  </si>
  <si>
    <t>27.10.2023 15:54:35</t>
  </si>
  <si>
    <t>26.10.2023 15:54:43</t>
  </si>
  <si>
    <t>27.10.2023 15:55:35</t>
  </si>
  <si>
    <t>26.10.2023 15:55:43</t>
  </si>
  <si>
    <t>27.10.2023 15:56:35</t>
  </si>
  <si>
    <t>26.10.2023 15:56:43</t>
  </si>
  <si>
    <t>27.10.2023 15:57:35</t>
  </si>
  <si>
    <t>26.10.2023 15:57:43</t>
  </si>
  <si>
    <t>27.10.2023 15:58:35</t>
  </si>
  <si>
    <t>26.10.2023 15:58:43</t>
  </si>
  <si>
    <t>27.10.2023 15:59:35</t>
  </si>
  <si>
    <t>26.10.2023 15:59:44</t>
  </si>
  <si>
    <t>27.10.2023 16:00:35</t>
  </si>
  <si>
    <t>26.10.2023 16:00:44</t>
  </si>
  <si>
    <t>27.10.2023 16:01:35</t>
  </si>
  <si>
    <t>26.10.2023 16:01:44</t>
  </si>
  <si>
    <t>27.10.2023 16:02:35</t>
  </si>
  <si>
    <t>26.10.2023 16:02:44</t>
  </si>
  <si>
    <t>27.10.2023 16:03:35</t>
  </si>
  <si>
    <t>26.10.2023 16:03:44</t>
  </si>
  <si>
    <t>27.10.2023 16:04:36</t>
  </si>
  <si>
    <t>26.10.2023 16:04:44</t>
  </si>
  <si>
    <t>27.10.2023 16:05:36</t>
  </si>
  <si>
    <t>26.10.2023 16:05:44</t>
  </si>
  <si>
    <t>27.10.2023 16:06:36</t>
  </si>
  <si>
    <t>26.10.2023 16:06:44</t>
  </si>
  <si>
    <t>27.10.2023 16:07:36</t>
  </si>
  <si>
    <t>26.10.2023 16:07:45</t>
  </si>
  <si>
    <t>27.10.2023 16:08:36</t>
  </si>
  <si>
    <t>26.10.2023 16:08:45</t>
  </si>
  <si>
    <t>27.10.2023 16:09:36</t>
  </si>
  <si>
    <t>26.10.2023 16:09:45</t>
  </si>
  <si>
    <t>27.10.2023 16:10:36</t>
  </si>
  <si>
    <t>26.10.2023 16:10:45</t>
  </si>
  <si>
    <t>27.10.2023 16:11:36</t>
  </si>
  <si>
    <t>26.10.2023 16:11:45</t>
  </si>
  <si>
    <t>27.10.2023 16:12:36</t>
  </si>
  <si>
    <t>26.10.2023 16:12:45</t>
  </si>
  <si>
    <t>27.10.2023 16:13:36</t>
  </si>
  <si>
    <t>26.10.2023 16:13:45</t>
  </si>
  <si>
    <t>27.10.2023 16:14:36</t>
  </si>
  <si>
    <t>26.10.2023 16:14:45</t>
  </si>
  <si>
    <t>27.10.2023 16:15:37</t>
  </si>
  <si>
    <t>26.10.2023 16:15:45</t>
  </si>
  <si>
    <t>27.10.2023 16:16:37</t>
  </si>
  <si>
    <t>26.10.2023 16:16:46</t>
  </si>
  <si>
    <t>27.10.2023 16:17:37</t>
  </si>
  <si>
    <t>26.10.2023 16:17:46</t>
  </si>
  <si>
    <t>27.10.2023 16:18:37</t>
  </si>
  <si>
    <t>26.10.2023 16:18:46</t>
  </si>
  <si>
    <t>27.10.2023 16:19:37</t>
  </si>
  <si>
    <t>26.10.2023 16:19:46</t>
  </si>
  <si>
    <t>27.10.2023 16:20:37</t>
  </si>
  <si>
    <t>26.10.2023 16:20:46</t>
  </si>
  <si>
    <t>27.10.2023 16:21:37</t>
  </si>
  <si>
    <t>26.10.2023 16:21:46</t>
  </si>
  <si>
    <t>27.10.2023 16:22:37</t>
  </si>
  <si>
    <t>26.10.2023 16:22:46</t>
  </si>
  <si>
    <t>27.10.2023 16:23:37</t>
  </si>
  <si>
    <t>26.10.2023 16:23:47</t>
  </si>
  <si>
    <t>27.10.2023 16:24:37</t>
  </si>
  <si>
    <t>26.10.2023 16:24:47</t>
  </si>
  <si>
    <t>27.10.2023 16:25:37</t>
  </si>
  <si>
    <t>26.10.2023 16:25:47</t>
  </si>
  <si>
    <t>27.10.2023 16:26:37</t>
  </si>
  <si>
    <t>26.10.2023 16:26:47</t>
  </si>
  <si>
    <t>27.10.2023 16:27:38</t>
  </si>
  <si>
    <t>26.10.2023 16:27:47</t>
  </si>
  <si>
    <t>27.10.2023 16:28:38</t>
  </si>
  <si>
    <t>26.10.2023 16:28:47</t>
  </si>
  <si>
    <t>27.10.2023 16:29:38</t>
  </si>
  <si>
    <t>26.10.2023 16:29:47</t>
  </si>
  <si>
    <t>27.10.2023 16:30:38</t>
  </si>
  <si>
    <t>26.10.2023 16:30:48</t>
  </si>
  <si>
    <t>27.10.2023 16:31:38</t>
  </si>
  <si>
    <t>26.10.2023 16:31:48</t>
  </si>
  <si>
    <t>27.10.2023 16:32:38</t>
  </si>
  <si>
    <t>26.10.2023 16:32:48</t>
  </si>
  <si>
    <t>27.10.2023 16:33:38</t>
  </si>
  <si>
    <t>26.10.2023 16:33:48</t>
  </si>
  <si>
    <t>27.10.2023 16:34:38</t>
  </si>
  <si>
    <t>26.10.2023 16:34:48</t>
  </si>
  <si>
    <t>27.10.2023 16:35:38</t>
  </si>
  <si>
    <t>26.10.2023 16:35:48</t>
  </si>
  <si>
    <t>27.10.2023 16:36:38</t>
  </si>
  <si>
    <t>26.10.2023 16:36:49</t>
  </si>
  <si>
    <t>27.10.2023 16:37:38</t>
  </si>
  <si>
    <t>26.10.2023 16:37:49</t>
  </si>
  <si>
    <t>27.10.2023 16:38:39</t>
  </si>
  <si>
    <t>26.10.2023 16:38:49</t>
  </si>
  <si>
    <t>27.10.2023 16:39:39</t>
  </si>
  <si>
    <t>26.10.2023 16:39:49</t>
  </si>
  <si>
    <t>27.10.2023 16:40:39</t>
  </si>
  <si>
    <t>26.10.2023 16:40:49</t>
  </si>
  <si>
    <t>27.10.2023 16:41:39</t>
  </si>
  <si>
    <t>26.10.2023 16:41:49</t>
  </si>
  <si>
    <t>27.10.2023 16:42:39</t>
  </si>
  <si>
    <t>26.10.2023 16:42:49</t>
  </si>
  <si>
    <t>27.10.2023 16:43:39</t>
  </si>
  <si>
    <t>26.10.2023 16:43:50</t>
  </si>
  <si>
    <t>27.10.2023 16:44:39</t>
  </si>
  <si>
    <t>26.10.2023 16:44:50</t>
  </si>
  <si>
    <t>27.10.2023 16:45:39</t>
  </si>
  <si>
    <t>26.10.2023 16:45:50</t>
  </si>
  <si>
    <t>27.10.2023 16:46:39</t>
  </si>
  <si>
    <t>26.10.2023 16:46:50</t>
  </si>
  <si>
    <t>27.10.2023 16:47:40</t>
  </si>
  <si>
    <t>26.10.2023 16:47:50</t>
  </si>
  <si>
    <t>27.10.2023 16:48:40</t>
  </si>
  <si>
    <t>26.10.2023 16:48:50</t>
  </si>
  <si>
    <t>27.10.2023 16:49:40</t>
  </si>
  <si>
    <t>26.10.2023 16:49:50</t>
  </si>
  <si>
    <t>27.10.2023 16:50:40</t>
  </si>
  <si>
    <t>26.10.2023 16:50:51</t>
  </si>
  <si>
    <t>27.10.2023 16:51:40</t>
  </si>
  <si>
    <t>26.10.2023 16:51:51</t>
  </si>
  <si>
    <t>27.10.2023 16:52:40</t>
  </si>
  <si>
    <t>26.10.2023 16:52:51</t>
  </si>
  <si>
    <t>27.10.2023 16:53:40</t>
  </si>
  <si>
    <t>26.10.2023 16:53:51</t>
  </si>
  <si>
    <t>27.10.2023 16:54:40</t>
  </si>
  <si>
    <t>26.10.2023 16:54:51</t>
  </si>
  <si>
    <t>27.10.2023 16:55:41</t>
  </si>
  <si>
    <t>26.10.2023 16:55:51</t>
  </si>
  <si>
    <t>27.10.2023 16:56:41</t>
  </si>
  <si>
    <t>26.10.2023 16:56:52</t>
  </si>
  <si>
    <t>27.10.2023 16:57:41</t>
  </si>
  <si>
    <t>26.10.2023 16:57:52</t>
  </si>
  <si>
    <t>27.10.2023 16:58:41</t>
  </si>
  <si>
    <t>26.10.2023 16:58:52</t>
  </si>
  <si>
    <t>27.10.2023 16:59:41</t>
  </si>
  <si>
    <t>26.10.2023 16:59:52</t>
  </si>
  <si>
    <t>27.10.2023 17:00:41</t>
  </si>
  <si>
    <t>26.10.2023 17:00:52</t>
  </si>
  <si>
    <t>27.10.2023 17:01:41</t>
  </si>
  <si>
    <t>26.10.2023 17:01:52</t>
  </si>
  <si>
    <t>27.10.2023 17:02:41</t>
  </si>
  <si>
    <t>26.10.2023 17:02:52</t>
  </si>
  <si>
    <t>27.10.2023 17:03:41</t>
  </si>
  <si>
    <t>26.10.2023 17:03:53</t>
  </si>
  <si>
    <t>27.10.2023 17:04:41</t>
  </si>
  <si>
    <t>26.10.2023 17:04:53</t>
  </si>
  <si>
    <t>27.10.2023 17:05:41</t>
  </si>
  <si>
    <t>26.10.2023 17:05:53</t>
  </si>
  <si>
    <t>27.10.2023 17:06:41</t>
  </si>
  <si>
    <t>26.10.2023 17:06:53</t>
  </si>
  <si>
    <t>27.10.2023 17:07:41</t>
  </si>
  <si>
    <t>26.10.2023 17:07:53</t>
  </si>
  <si>
    <t>27.10.2023 17:08:42</t>
  </si>
  <si>
    <t>26.10.2023 17:08:53</t>
  </si>
  <si>
    <t>27.10.2023 17:09:42</t>
  </si>
  <si>
    <t>26.10.2023 17:09:53</t>
  </si>
  <si>
    <t>27.10.2023 17:10:42</t>
  </si>
  <si>
    <t>26.10.2023 17:10:54</t>
  </si>
  <si>
    <t>27.10.2023 17:11:42</t>
  </si>
  <si>
    <t>26.10.2023 17:11:54</t>
  </si>
  <si>
    <t>27.10.2023 17:12:42</t>
  </si>
  <si>
    <t>26.10.2023 17:12:54</t>
  </si>
  <si>
    <t>27.10.2023 17:13:42</t>
  </si>
  <si>
    <t>26.10.2023 17:13:54</t>
  </si>
  <si>
    <t>27.10.2023 17:14:42</t>
  </si>
  <si>
    <t>26.10.2023 17:14:54</t>
  </si>
  <si>
    <t>27.10.2023 17:15:42</t>
  </si>
  <si>
    <t>26.10.2023 17:15:54</t>
  </si>
  <si>
    <t>27.10.2023 17:16:42</t>
  </si>
  <si>
    <t>26.10.2023 17:16:54</t>
  </si>
  <si>
    <t>27.10.2023 17:17:43</t>
  </si>
  <si>
    <t>26.10.2023 17:17:55</t>
  </si>
  <si>
    <t>27.10.2023 17:18:43</t>
  </si>
  <si>
    <t>26.10.2023 17:18:55</t>
  </si>
  <si>
    <t>27.10.2023 17:19:43</t>
  </si>
  <si>
    <t>26.10.2023 17:19:55</t>
  </si>
  <si>
    <t>27.10.2023 17:20:43</t>
  </si>
  <si>
    <t>26.10.2023 17:20:55</t>
  </si>
  <si>
    <t>27.10.2023 17:21:43</t>
  </si>
  <si>
    <t>26.10.2023 17:21:55</t>
  </si>
  <si>
    <t>27.10.2023 17:22:43</t>
  </si>
  <si>
    <t>26.10.2023 17:22:55</t>
  </si>
  <si>
    <t>27.10.2023 17:23:43</t>
  </si>
  <si>
    <t>26.10.2023 17:23:55</t>
  </si>
  <si>
    <t>27.10.2023 17:24:43</t>
  </si>
  <si>
    <t>26.10.2023 17:24:56</t>
  </si>
  <si>
    <t>27.10.2023 17:25:43</t>
  </si>
  <si>
    <t>26.10.2023 17:25:56</t>
  </si>
  <si>
    <t>27.10.2023 17:26:44</t>
  </si>
  <si>
    <t>26.10.2023 17:26:56</t>
  </si>
  <si>
    <t>27.10.2023 17:27:44</t>
  </si>
  <si>
    <t>26.10.2023 17:27:56</t>
  </si>
  <si>
    <t>27.10.2023 17:28:44</t>
  </si>
  <si>
    <t>26.10.2023 17:28:56</t>
  </si>
  <si>
    <t>27.10.2023 17:29:44</t>
  </si>
  <si>
    <t>26.10.2023 17:29:56</t>
  </si>
  <si>
    <t>27.10.2023 17:30:44</t>
  </si>
  <si>
    <t>26.10.2023 17:30:56</t>
  </si>
  <si>
    <t>27.10.2023 17:31:44</t>
  </si>
  <si>
    <t>26.10.2023 17:31:57</t>
  </si>
  <si>
    <t>27.10.2023 17:32:44</t>
  </si>
  <si>
    <t>26.10.2023 17:32:57</t>
  </si>
  <si>
    <t>27.10.2023 17:33:44</t>
  </si>
  <si>
    <t>26.10.2023 17:33:57</t>
  </si>
  <si>
    <t>27.10.2023 17:34:44</t>
  </si>
  <si>
    <t>26.10.2023 17:34:57</t>
  </si>
  <si>
    <t>27.10.2023 17:35:44</t>
  </si>
  <si>
    <t>26.10.2023 17:35:57</t>
  </si>
  <si>
    <t>27.10.2023 17:36:44</t>
  </si>
  <si>
    <t>26.10.2023 17:36:57</t>
  </si>
  <si>
    <t>27.10.2023 17:37:44</t>
  </si>
  <si>
    <t>26.10.2023 17:37:57</t>
  </si>
  <si>
    <t>27.10.2023 17:38:45</t>
  </si>
  <si>
    <t>26.10.2023 17:38:57</t>
  </si>
  <si>
    <t>27.10.2023 17:39:45</t>
  </si>
  <si>
    <t>26.10.2023 17:39:57</t>
  </si>
  <si>
    <t>27.10.2023 17:40:45</t>
  </si>
  <si>
    <t>26.10.2023 17:40:57</t>
  </si>
  <si>
    <t>27.10.2023 17:41:45</t>
  </si>
  <si>
    <t>26.10.2023 17:41:57</t>
  </si>
  <si>
    <t>27.10.2023 17:42:45</t>
  </si>
  <si>
    <t>26.10.2023 17:42:58</t>
  </si>
  <si>
    <t>27.10.2023 17:43:45</t>
  </si>
  <si>
    <t>26.10.2023 17:43:58</t>
  </si>
  <si>
    <t>27.10.2023 17:44:45</t>
  </si>
  <si>
    <t>26.10.2023 17:44:58</t>
  </si>
  <si>
    <t>27.10.2023 17:45:45</t>
  </si>
  <si>
    <t>26.10.2023 17:45:58</t>
  </si>
  <si>
    <t>27.10.2023 17:46:45</t>
  </si>
  <si>
    <t>26.10.2023 17:46:58</t>
  </si>
  <si>
    <t>27.10.2023 17:47:45</t>
  </si>
  <si>
    <t>26.10.2023 17:47:58</t>
  </si>
  <si>
    <t>27.10.2023 17:48:45</t>
  </si>
  <si>
    <t>26.10.2023 17:48:58</t>
  </si>
  <si>
    <t>27.10.2023 17:49:46</t>
  </si>
  <si>
    <t>26.10.2023 17:49:58</t>
  </si>
  <si>
    <t>27.10.2023 17:50:46</t>
  </si>
  <si>
    <t>26.10.2023 17:50:58</t>
  </si>
  <si>
    <t>27.10.2023 17:51:46</t>
  </si>
  <si>
    <t>26.10.2023 17:51:59</t>
  </si>
  <si>
    <t>27.10.2023 17:52:46</t>
  </si>
  <si>
    <t>26.10.2023 17:52:59</t>
  </si>
  <si>
    <t>27.10.2023 17:53:46</t>
  </si>
  <si>
    <t>26.10.2023 17:53:59</t>
  </si>
  <si>
    <t>27.10.2023 17:54:46</t>
  </si>
  <si>
    <t>26.10.2023 17:54:59</t>
  </si>
  <si>
    <t>27.10.2023 17:55:46</t>
  </si>
  <si>
    <t>26.10.2023 17:55:59</t>
  </si>
  <si>
    <t>27.10.2023 17:56:46</t>
  </si>
  <si>
    <t>26.10.2023 17:56:59</t>
  </si>
  <si>
    <t>27.10.2023 17:57:46</t>
  </si>
  <si>
    <t>26.10.2023 17:57:59</t>
  </si>
  <si>
    <t>27.10.2023 17:58:46</t>
  </si>
  <si>
    <t>26.10.2023 17:58:59</t>
  </si>
  <si>
    <t>27.10.2023 17:59:47</t>
  </si>
  <si>
    <t>26.10.2023 17:59:59</t>
  </si>
  <si>
    <t>27.10.2023 18:00:47</t>
  </si>
  <si>
    <t>26.10.2023 18:00:59</t>
  </si>
  <si>
    <t>27.10.2023 18:01:47</t>
  </si>
  <si>
    <t>26.10.2023 18:01:59</t>
  </si>
  <si>
    <t>27.10.2023 18:02:47</t>
  </si>
  <si>
    <t>26.10.2023 18:02:59</t>
  </si>
  <si>
    <t>27.10.2023 18:03:47</t>
  </si>
  <si>
    <t>26.10.2023 18:04:00</t>
  </si>
  <si>
    <t>27.10.2023 18:04:47</t>
  </si>
  <si>
    <t>26.10.2023 18:05:00</t>
  </si>
  <si>
    <t>27.10.2023 18:05:47</t>
  </si>
  <si>
    <t>26.10.2023 18:06:00</t>
  </si>
  <si>
    <t>27.10.2023 18:06:47</t>
  </si>
  <si>
    <t>26.10.2023 18:07:00</t>
  </si>
  <si>
    <t>27.10.2023 18:07:48</t>
  </si>
  <si>
    <t>26.10.2023 18:08:00</t>
  </si>
  <si>
    <t>27.10.2023 18:08:48</t>
  </si>
  <si>
    <t>26.10.2023 18:09:00</t>
  </si>
  <si>
    <t>27.10.2023 18:09:48</t>
  </si>
  <si>
    <t>26.10.2023 18:10:00</t>
  </si>
  <si>
    <t>27.10.2023 18:10:48</t>
  </si>
  <si>
    <t>26.10.2023 18:11:00</t>
  </si>
  <si>
    <t>27.10.2023 18:11:48</t>
  </si>
  <si>
    <t>26.10.2023 18:12:00</t>
  </si>
  <si>
    <t>27.10.2023 18:12:48</t>
  </si>
  <si>
    <t>26.10.2023 18:13:01</t>
  </si>
  <si>
    <t>27.10.2023 18:13:48</t>
  </si>
  <si>
    <t>26.10.2023 18:14:01</t>
  </si>
  <si>
    <t>27.10.2023 18:14:48</t>
  </si>
  <si>
    <t>26.10.2023 18:15:01</t>
  </si>
  <si>
    <t>27.10.2023 18:15:48</t>
  </si>
  <si>
    <t>26.10.2023 18:16:01</t>
  </si>
  <si>
    <t>27.10.2023 18:16:48</t>
  </si>
  <si>
    <t>26.10.2023 18:17:01</t>
  </si>
  <si>
    <t>27.10.2023 18:17:48</t>
  </si>
  <si>
    <t>26.10.2023 18:18:01</t>
  </si>
  <si>
    <t>27.10.2023 18:18:48</t>
  </si>
  <si>
    <t>26.10.2023 18:19:01</t>
  </si>
  <si>
    <t>27.10.2023 18:19:48</t>
  </si>
  <si>
    <t>26.10.2023 18:20:01</t>
  </si>
  <si>
    <t>27.10.2023 18:20:48</t>
  </si>
  <si>
    <t>26.10.2023 18:21:01</t>
  </si>
  <si>
    <t>27.10.2023 18:21:49</t>
  </si>
  <si>
    <t>26.10.2023 18:22:01</t>
  </si>
  <si>
    <t>27.10.2023 18:22:49</t>
  </si>
  <si>
    <t>26.10.2023 18:23:01</t>
  </si>
  <si>
    <t>27.10.2023 18:23:49</t>
  </si>
  <si>
    <t>26.10.2023 18:24:01</t>
  </si>
  <si>
    <t>27.10.2023 18:24:49</t>
  </si>
  <si>
    <t>26.10.2023 18:25:01</t>
  </si>
  <si>
    <t>27.10.2023 18:25:49</t>
  </si>
  <si>
    <t>26.10.2023 18:26:01</t>
  </si>
  <si>
    <t>27.10.2023 18:26:49</t>
  </si>
  <si>
    <t>26.10.2023 18:27:02</t>
  </si>
  <si>
    <t>27.10.2023 18:27:49</t>
  </si>
  <si>
    <t>26.10.2023 18:28:02</t>
  </si>
  <si>
    <t>27.10.2023 18:28:49</t>
  </si>
  <si>
    <t>26.10.2023 18:29:02</t>
  </si>
  <si>
    <t>27.10.2023 18:29:49</t>
  </si>
  <si>
    <t>26.10.2023 18:30:02</t>
  </si>
  <si>
    <t>27.10.2023 18:30:50</t>
  </si>
  <si>
    <t>26.10.2023 18:31:02</t>
  </si>
  <si>
    <t>27.10.2023 18:31:50</t>
  </si>
  <si>
    <t>26.10.2023 18:32:02</t>
  </si>
  <si>
    <t>27.10.2023 18:32:50</t>
  </si>
  <si>
    <t>26.10.2023 18:33:02</t>
  </si>
  <si>
    <t>27.10.2023 18:33:50</t>
  </si>
  <si>
    <t>26.10.2023 18:34:02</t>
  </si>
  <si>
    <t>27.10.2023 18:34:50</t>
  </si>
  <si>
    <t>26.10.2023 18:35:02</t>
  </si>
  <si>
    <t>27.10.2023 18:35:50</t>
  </si>
  <si>
    <t>26.10.2023 18:36:02</t>
  </si>
  <si>
    <t>27.10.2023 18:36:50</t>
  </si>
  <si>
    <t>26.10.2023 18:37:02</t>
  </si>
  <si>
    <t>27.10.2023 18:37:50</t>
  </si>
  <si>
    <t>26.10.2023 18:38:03</t>
  </si>
  <si>
    <t>27.10.2023 18:38:51</t>
  </si>
  <si>
    <t>26.10.2023 18:39:03</t>
  </si>
  <si>
    <t>27.10.2023 18:39:51</t>
  </si>
  <si>
    <t>26.10.2023 18:40:03</t>
  </si>
  <si>
    <t>27.10.2023 18:40:51</t>
  </si>
  <si>
    <t>26.10.2023 18:41:03</t>
  </si>
  <si>
    <t>27.10.2023 18:41:51</t>
  </si>
  <si>
    <t>26.10.2023 18:42:03</t>
  </si>
  <si>
    <t>27.10.2023 18:42:51</t>
  </si>
  <si>
    <t>26.10.2023 18:43:03</t>
  </si>
  <si>
    <t>27.10.2023 18:43:51</t>
  </si>
  <si>
    <t>26.10.2023 18:44:03</t>
  </si>
  <si>
    <t>27.10.2023 18:44:51</t>
  </si>
  <si>
    <t>26.10.2023 18:45:03</t>
  </si>
  <si>
    <t>27.10.2023 18:45:51</t>
  </si>
  <si>
    <t>26.10.2023 18:46:03</t>
  </si>
  <si>
    <t>27.10.2023 18:46:51</t>
  </si>
  <si>
    <t>26.10.2023 18:47:03</t>
  </si>
  <si>
    <t>27.10.2023 18:47:51</t>
  </si>
  <si>
    <t>26.10.2023 18:48:03</t>
  </si>
  <si>
    <t>27.10.2023 18:48:51</t>
  </si>
  <si>
    <t>26.10.2023 18:49:03</t>
  </si>
  <si>
    <t>27.10.2023 18:49:51</t>
  </si>
  <si>
    <t>26.10.2023 18:50:04</t>
  </si>
  <si>
    <t>27.10.2023 18:50:51</t>
  </si>
  <si>
    <t>26.10.2023 18:51:04</t>
  </si>
  <si>
    <t>27.10.2023 18:51:52</t>
  </si>
  <si>
    <t>26.10.2023 18:52:04</t>
  </si>
  <si>
    <t>27.10.2023 18:52:52</t>
  </si>
  <si>
    <t>26.10.2023 18:53:04</t>
  </si>
  <si>
    <t>27.10.2023 18:53:52</t>
  </si>
  <si>
    <t>26.10.2023 18:54:04</t>
  </si>
  <si>
    <t>27.10.2023 18:54:52</t>
  </si>
  <si>
    <t>26.10.2023 18:55:04</t>
  </si>
  <si>
    <t>27.10.2023 18:55:52</t>
  </si>
  <si>
    <t>26.10.2023 18:56:04</t>
  </si>
  <si>
    <t>27.10.2023 18:56:52</t>
  </si>
  <si>
    <t>26.10.2023 18:57:04</t>
  </si>
  <si>
    <t>27.10.2023 18:57:52</t>
  </si>
  <si>
    <t>26.10.2023 18:58:04</t>
  </si>
  <si>
    <t>27.10.2023 18:58:52</t>
  </si>
  <si>
    <t>26.10.2023 18:59:05</t>
  </si>
  <si>
    <t>27.10.2023 18:59:52</t>
  </si>
  <si>
    <t>26.10.2023 19:00:05</t>
  </si>
  <si>
    <t>27.10.2023 19:00:53</t>
  </si>
  <si>
    <t>26.10.2023 19:01:05</t>
  </si>
  <si>
    <t>27.10.2023 19:01:53</t>
  </si>
  <si>
    <t>26.10.2023 19:02:05</t>
  </si>
  <si>
    <t>27.10.2023 19:02:53</t>
  </si>
  <si>
    <t>26.10.2023 19:03:05</t>
  </si>
  <si>
    <t>27.10.2023 19:03:53</t>
  </si>
  <si>
    <t>26.10.2023 19:04:05</t>
  </si>
  <si>
    <t>27.10.2023 19:04:53</t>
  </si>
  <si>
    <t>26.10.2023 19:05:05</t>
  </si>
  <si>
    <t>27.10.2023 19:05:53</t>
  </si>
  <si>
    <t>26.10.2023 19:06:05</t>
  </si>
  <si>
    <t>27.10.2023 19:06:53</t>
  </si>
  <si>
    <t>26.10.2023 19:07:05</t>
  </si>
  <si>
    <t>27.10.2023 19:07:53</t>
  </si>
  <si>
    <t>26.10.2023 19:08:06</t>
  </si>
  <si>
    <t>27.10.2023 19:08:53</t>
  </si>
  <si>
    <t>26.10.2023 19:09:06</t>
  </si>
  <si>
    <t>27.10.2023 19:09:53</t>
  </si>
  <si>
    <t>26.10.2023 19:10:06</t>
  </si>
  <si>
    <t>27.10.2023 19:10:53</t>
  </si>
  <si>
    <t>26.10.2023 19:11:06</t>
  </si>
  <si>
    <t>27.10.2023 19:11:54</t>
  </si>
  <si>
    <t>26.10.2023 19:12:06</t>
  </si>
  <si>
    <t>27.10.2023 19:12:54</t>
  </si>
  <si>
    <t>26.10.2023 19:13:06</t>
  </si>
  <si>
    <t>27.10.2023 19:13:54</t>
  </si>
  <si>
    <t>26.10.2023 19:14:06</t>
  </si>
  <si>
    <t>27.10.2023 19:14:54</t>
  </si>
  <si>
    <t>26.10.2023 19:15:06</t>
  </si>
  <si>
    <t>27.10.2023 19:15:54</t>
  </si>
  <si>
    <t>26.10.2023 19:16:06</t>
  </si>
  <si>
    <t>27.10.2023 19:16:54</t>
  </si>
  <si>
    <t>26.10.2023 19:17:06</t>
  </si>
  <si>
    <t>27.10.2023 19:17:54</t>
  </si>
  <si>
    <t>26.10.2023 19:18:06</t>
  </si>
  <si>
    <t>27.10.2023 19:18:55</t>
  </si>
  <si>
    <t>26.10.2023 19:19:07</t>
  </si>
  <si>
    <t>27.10.2023 19:19:55</t>
  </si>
  <si>
    <t>26.10.2023 19:20:07</t>
  </si>
  <si>
    <t>27.10.2023 19:20:55</t>
  </si>
  <si>
    <t>26.10.2023 19:21:07</t>
  </si>
  <si>
    <t>27.10.2023 19:21:55</t>
  </si>
  <si>
    <t>26.10.2023 19:22:07</t>
  </si>
  <si>
    <t>27.10.2023 19:22:55</t>
  </si>
  <si>
    <t>26.10.2023 19:23:07</t>
  </si>
  <si>
    <t>27.10.2023 19:23:55</t>
  </si>
  <si>
    <t>26.10.2023 19:24:07</t>
  </si>
  <si>
    <t>27.10.2023 19:24:55</t>
  </si>
  <si>
    <t>26.10.2023 19:25:07</t>
  </si>
  <si>
    <t>27.10.2023 19:25:55</t>
  </si>
  <si>
    <t>26.10.2023 19:26:07</t>
  </si>
  <si>
    <t>27.10.2023 19:26:55</t>
  </si>
  <si>
    <t>26.10.2023 19:27:07</t>
  </si>
  <si>
    <t>27.10.2023 19:27:55</t>
  </si>
  <si>
    <t>26.10.2023 19:28:07</t>
  </si>
  <si>
    <t>27.10.2023 19:28:56</t>
  </si>
  <si>
    <t>26.10.2023 19:29:08</t>
  </si>
  <si>
    <t>27.10.2023 19:29:56</t>
  </si>
  <si>
    <t>26.10.2023 19:30:08</t>
  </si>
  <si>
    <t>27.10.2023 19:30:56</t>
  </si>
  <si>
    <t>26.10.2023 19:31:08</t>
  </si>
  <si>
    <t>27.10.2023 19:31:56</t>
  </si>
  <si>
    <t>26.10.2023 19:32:08</t>
  </si>
  <si>
    <t>27.10.2023 19:32:56</t>
  </si>
  <si>
    <t>26.10.2023 19:33:08</t>
  </si>
  <si>
    <t>27.10.2023 19:33:56</t>
  </si>
  <si>
    <t>26.10.2023 19:34:08</t>
  </si>
  <si>
    <t>27.10.2023 19:34:56</t>
  </si>
  <si>
    <t>26.10.2023 19:35:08</t>
  </si>
  <si>
    <t>27.10.2023 19:35:56</t>
  </si>
  <si>
    <t>26.10.2023 19:36:08</t>
  </si>
  <si>
    <t>27.10.2023 19:36:56</t>
  </si>
  <si>
    <t>26.10.2023 19:37:08</t>
  </si>
  <si>
    <t>27.10.2023 19:37:56</t>
  </si>
  <si>
    <t>26.10.2023 19:38:08</t>
  </si>
  <si>
    <t>27.10.2023 19:38:57</t>
  </si>
  <si>
    <t>26.10.2023 19:39:09</t>
  </si>
  <si>
    <t>27.10.2023 19:39:57</t>
  </si>
  <si>
    <t>26.10.2023 19:40:09</t>
  </si>
  <si>
    <t>27.10.2023 19:40:57</t>
  </si>
  <si>
    <t>26.10.2023 19:41:09</t>
  </si>
  <si>
    <t>27.10.2023 19:41:57</t>
  </si>
  <si>
    <t>26.10.2023 19:42:09</t>
  </si>
  <si>
    <t>27.10.2023 19:42:57</t>
  </si>
  <si>
    <t>26.10.2023 19:43:09</t>
  </si>
  <si>
    <t>27.10.2023 19:43:57</t>
  </si>
  <si>
    <t>26.10.2023 19:44:09</t>
  </si>
  <si>
    <t>27.10.2023 19:44:57</t>
  </si>
  <si>
    <t>26.10.2023 19:45:09</t>
  </si>
  <si>
    <t>27.10.2023 19:45:57</t>
  </si>
  <si>
    <t>26.10.2023 19:46:09</t>
  </si>
  <si>
    <t>27.10.2023 19:46:57</t>
  </si>
  <si>
    <t>26.10.2023 19:47:09</t>
  </si>
  <si>
    <t>27.10.2023 19:47:57</t>
  </si>
  <si>
    <t>26.10.2023 19:48:09</t>
  </si>
  <si>
    <t>27.10.2023 19:48:57</t>
  </si>
  <si>
    <t>26.10.2023 19:49:10</t>
  </si>
  <si>
    <t>27.10.2023 19:49:57</t>
  </si>
  <si>
    <t>26.10.2023 19:50:10</t>
  </si>
  <si>
    <t>27.10.2023 19:50:58</t>
  </si>
  <si>
    <t>26.10.2023 19:51:10</t>
  </si>
  <si>
    <t>27.10.2023 19:51:58</t>
  </si>
  <si>
    <t>26.10.2023 19:52:10</t>
  </si>
  <si>
    <t>27.10.2023 19:52:58</t>
  </si>
  <si>
    <t>26.10.2023 19:53:10</t>
  </si>
  <si>
    <t>27.10.2023 19:53:58</t>
  </si>
  <si>
    <t>26.10.2023 19:54:10</t>
  </si>
  <si>
    <t>27.10.2023 19:54:58</t>
  </si>
  <si>
    <t>26.10.2023 19:55:10</t>
  </si>
  <si>
    <t>27.10.2023 19:55:58</t>
  </si>
  <si>
    <t>26.10.2023 19:56:10</t>
  </si>
  <si>
    <t>27.10.2023 19:56:58</t>
  </si>
  <si>
    <t>26.10.2023 19:57:10</t>
  </si>
  <si>
    <t>27.10.2023 19:57:58</t>
  </si>
  <si>
    <t>26.10.2023 19:58:10</t>
  </si>
  <si>
    <t>27.10.2023 19:58:58</t>
  </si>
  <si>
    <t>26.10.2023 19:59:10</t>
  </si>
  <si>
    <t>27.10.2023 19:59:59</t>
  </si>
  <si>
    <t>26.10.2023 20:00:10</t>
  </si>
  <si>
    <t>27.10.2023 20:00:59</t>
  </si>
  <si>
    <t>26.10.2023 20:01:11</t>
  </si>
  <si>
    <t>27.10.2023 20:01:59</t>
  </si>
  <si>
    <t>26.10.2023 20:02:11</t>
  </si>
  <si>
    <t>27.10.2023 20:02:59</t>
  </si>
  <si>
    <t>26.10.2023 20:03:11</t>
  </si>
  <si>
    <t>27.10.2023 20:03:59</t>
  </si>
  <si>
    <t>26.10.2023 20:04:11</t>
  </si>
  <si>
    <t>27.10.2023 20:04:59</t>
  </si>
  <si>
    <t>26.10.2023 20:05:11</t>
  </si>
  <si>
    <t>27.10.2023 20:05:59</t>
  </si>
  <si>
    <t>26.10.2023 20:06:11</t>
  </si>
  <si>
    <t>27.10.2023 20:06:59</t>
  </si>
  <si>
    <t>26.10.2023 20:07:11</t>
  </si>
  <si>
    <t>27.10.2023 20:07:59</t>
  </si>
  <si>
    <t>26.10.2023 20:08:11</t>
  </si>
  <si>
    <t>27.10.2023 20:08:59</t>
  </si>
  <si>
    <t>26.10.2023 20:09:11</t>
  </si>
  <si>
    <t>27.10.2023 20:09:59</t>
  </si>
  <si>
    <t>26.10.2023 20:10:11</t>
  </si>
  <si>
    <t>27.10.2023 20:10:59</t>
  </si>
  <si>
    <t>26.10.2023 20:11:11</t>
  </si>
  <si>
    <t>27.10.2023 20:12:00</t>
  </si>
  <si>
    <t>26.10.2023 20:12:11</t>
  </si>
  <si>
    <t>27.10.2023 20:13:00</t>
  </si>
  <si>
    <t>26.10.2023 20:13:11</t>
  </si>
  <si>
    <t>27.10.2023 20:14:00</t>
  </si>
  <si>
    <t>26.10.2023 20:14:12</t>
  </si>
  <si>
    <t>27.10.2023 20:15:00</t>
  </si>
  <si>
    <t>26.10.2023 20:15:12</t>
  </si>
  <si>
    <t>27.10.2023 20:16:00</t>
  </si>
  <si>
    <t>26.10.2023 20:16:12</t>
  </si>
  <si>
    <t>27.10.2023 20:17:00</t>
  </si>
  <si>
    <t>26.10.2023 20:17:12</t>
  </si>
  <si>
    <t>27.10.2023 20:18:00</t>
  </si>
  <si>
    <t>26.10.2023 20:18:12</t>
  </si>
  <si>
    <t>27.10.2023 20:19:00</t>
  </si>
  <si>
    <t>26.10.2023 20:19:12</t>
  </si>
  <si>
    <t>27.10.2023 20:20:00</t>
  </si>
  <si>
    <t>26.10.2023 20:20:12</t>
  </si>
  <si>
    <t>27.10.2023 20:21:00</t>
  </si>
  <si>
    <t>26.10.2023 20:21:12</t>
  </si>
  <si>
    <t>27.10.2023 20:22:01</t>
  </si>
  <si>
    <t>26.10.2023 20:22:12</t>
  </si>
  <si>
    <t>27.10.2023 20:23:01</t>
  </si>
  <si>
    <t>26.10.2023 20:23:13</t>
  </si>
  <si>
    <t>27.10.2023 20:24:01</t>
  </si>
  <si>
    <t>26.10.2023 20:24:13</t>
  </si>
  <si>
    <t>27.10.2023 20:25:01</t>
  </si>
  <si>
    <t>26.10.2023 20:25:13</t>
  </si>
  <si>
    <t>27.10.2023 20:26:01</t>
  </si>
  <si>
    <t>26.10.2023 20:26:13</t>
  </si>
  <si>
    <t>27.10.2023 20:27:01</t>
  </si>
  <si>
    <t>26.10.2023 20:27:13</t>
  </si>
  <si>
    <t>27.10.2023 20:28:01</t>
  </si>
  <si>
    <t>26.10.2023 20:28:13</t>
  </si>
  <si>
    <t>27.10.2023 20:29:01</t>
  </si>
  <si>
    <t>26.10.2023 20:29:13</t>
  </si>
  <si>
    <t>27.10.2023 20:30:01</t>
  </si>
  <si>
    <t>26.10.2023 20:30:13</t>
  </si>
  <si>
    <t>27.10.2023 20:31:01</t>
  </si>
  <si>
    <t>26.10.2023 20:31:13</t>
  </si>
  <si>
    <t>27.10.2023 20:32:02</t>
  </si>
  <si>
    <t>26.10.2023 20:32:13</t>
  </si>
  <si>
    <t>27.10.2023 20:33:02</t>
  </si>
  <si>
    <t>26.10.2023 20:33:13</t>
  </si>
  <si>
    <t>27.10.2023 20:34:02</t>
  </si>
  <si>
    <t>26.10.2023 20:34:13</t>
  </si>
  <si>
    <t>27.10.2023 20:35:02</t>
  </si>
  <si>
    <t>26.10.2023 20:35:13</t>
  </si>
  <si>
    <t>27.10.2023 20:36:02</t>
  </si>
  <si>
    <t>26.10.2023 20:36:13</t>
  </si>
  <si>
    <t>27.10.2023 20:37:02</t>
  </si>
  <si>
    <t>26.10.2023 20:37:14</t>
  </si>
  <si>
    <t>27.10.2023 20:38:02</t>
  </si>
  <si>
    <t>26.10.2023 20:38:14</t>
  </si>
  <si>
    <t>27.10.2023 20:39:02</t>
  </si>
  <si>
    <t>26.10.2023 20:39:14</t>
  </si>
  <si>
    <t>27.10.2023 20:40:02</t>
  </si>
  <si>
    <t>26.10.2023 20:40:14</t>
  </si>
  <si>
    <t>27.10.2023 20:41:02</t>
  </si>
  <si>
    <t>26.10.2023 20:41:14</t>
  </si>
  <si>
    <t>27.10.2023 20:42:02</t>
  </si>
  <si>
    <t>26.10.2023 20:42:14</t>
  </si>
  <si>
    <t>27.10.2023 20:43:02</t>
  </si>
  <si>
    <t>26.10.2023 20:43:14</t>
  </si>
  <si>
    <t>27.10.2023 20:44:03</t>
  </si>
  <si>
    <t>26.10.2023 20:44:14</t>
  </si>
  <si>
    <t>27.10.2023 20:45:03</t>
  </si>
  <si>
    <t>26.10.2023 20:45:14</t>
  </si>
  <si>
    <t>27.10.2023 20:46:03</t>
  </si>
  <si>
    <t>26.10.2023 20:46:15</t>
  </si>
  <si>
    <t>27.10.2023 20:47:03</t>
  </si>
  <si>
    <t>26.10.2023 20:47:15</t>
  </si>
  <si>
    <t>27.10.2023 20:48:03</t>
  </si>
  <si>
    <t>26.10.2023 20:48:15</t>
  </si>
  <si>
    <t>27.10.2023 20:49:03</t>
  </si>
  <si>
    <t>26.10.2023 20:49:15</t>
  </si>
  <si>
    <t>27.10.2023 20:50:03</t>
  </si>
  <si>
    <t>26.10.2023 20:50:15</t>
  </si>
  <si>
    <t>27.10.2023 20:51:03</t>
  </si>
  <si>
    <t>26.10.2023 20:51:15</t>
  </si>
  <si>
    <t>27.10.2023 20:52:03</t>
  </si>
  <si>
    <t>26.10.2023 20:52:15</t>
  </si>
  <si>
    <t>27.10.2023 20:53:04</t>
  </si>
  <si>
    <t>26.10.2023 20:53:15</t>
  </si>
  <si>
    <t>27.10.2023 20:54:04</t>
  </si>
  <si>
    <t>26.10.2023 20:54:15</t>
  </si>
  <si>
    <t>27.10.2023 20:55:04</t>
  </si>
  <si>
    <t>26.10.2023 20:55:15</t>
  </si>
  <si>
    <t>27.10.2023 20:56:04</t>
  </si>
  <si>
    <t>26.10.2023 20:56:15</t>
  </si>
  <si>
    <t>27.10.2023 20:57:04</t>
  </si>
  <si>
    <t>26.10.2023 20:57:15</t>
  </si>
  <si>
    <t>27.10.2023 20:58:04</t>
  </si>
  <si>
    <t>26.10.2023 20:58:16</t>
  </si>
  <si>
    <t>27.10.2023 20:59:04</t>
  </si>
  <si>
    <t>26.10.2023 20:59:16</t>
  </si>
  <si>
    <t>27.10.2023 21:00:04</t>
  </si>
  <si>
    <t>26.10.2023 21:00:16</t>
  </si>
  <si>
    <t>27.10.2023 21:01:04</t>
  </si>
  <si>
    <t>26.10.2023 21:01:16</t>
  </si>
  <si>
    <t>27.10.2023 21:02:04</t>
  </si>
  <si>
    <t>26.10.2023 21:02:16</t>
  </si>
  <si>
    <t>27.10.2023 21:03:04</t>
  </si>
  <si>
    <t>26.10.2023 21:03:16</t>
  </si>
  <si>
    <t>27.10.2023 21:04:05</t>
  </si>
  <si>
    <t>26.10.2023 21:04:16</t>
  </si>
  <si>
    <t>27.10.2023 21:05:05</t>
  </si>
  <si>
    <t>26.10.2023 21:05:16</t>
  </si>
  <si>
    <t>27.10.2023 21:06:05</t>
  </si>
  <si>
    <t>26.10.2023 21:06:16</t>
  </si>
  <si>
    <t>27.10.2023 21:07:05</t>
  </si>
  <si>
    <t>26.10.2023 21:07:16</t>
  </si>
  <si>
    <t>27.10.2023 21:08:05</t>
  </si>
  <si>
    <t>26.10.2023 21:08:16</t>
  </si>
  <si>
    <t>27.10.2023 21:09:05</t>
  </si>
  <si>
    <t>26.10.2023 21:09:17</t>
  </si>
  <si>
    <t>27.10.2023 21:10:05</t>
  </si>
  <si>
    <t>26.10.2023 21:10:17</t>
  </si>
  <si>
    <t>27.10.2023 21:11:05</t>
  </si>
  <si>
    <t>26.10.2023 21:11:17</t>
  </si>
  <si>
    <t>27.10.2023 21:12:05</t>
  </si>
  <si>
    <t>26.10.2023 21:12:17</t>
  </si>
  <si>
    <t>27.10.2023 21:13:05</t>
  </si>
  <si>
    <t>26.10.2023 21:13:17</t>
  </si>
  <si>
    <t>27.10.2023 21:14:05</t>
  </si>
  <si>
    <t>26.10.2023 21:14:17</t>
  </si>
  <si>
    <t>27.10.2023 21:15:05</t>
  </si>
  <si>
    <t>26.10.2023 21:15:17</t>
  </si>
  <si>
    <t>27.10.2023 21:16:06</t>
  </si>
  <si>
    <t>26.10.2023 21:16:17</t>
  </si>
  <si>
    <t>27.10.2023 21:17:06</t>
  </si>
  <si>
    <t>26.10.2023 21:17:17</t>
  </si>
  <si>
    <t>27.10.2023 21:18:06</t>
  </si>
  <si>
    <t>26.10.2023 21:18:18</t>
  </si>
  <si>
    <t>27.10.2023 21:19:06</t>
  </si>
  <si>
    <t>26.10.2023 21:19:18</t>
  </si>
  <si>
    <t>27.10.2023 21:20:06</t>
  </si>
  <si>
    <t>26.10.2023 21:20:18</t>
  </si>
  <si>
    <t>27.10.2023 21:21:06</t>
  </si>
  <si>
    <t>26.10.2023 21:21:18</t>
  </si>
  <si>
    <t>27.10.2023 21:22:06</t>
  </si>
  <si>
    <t>26.10.2023 21:22:18</t>
  </si>
  <si>
    <t>27.10.2023 21:23:06</t>
  </si>
  <si>
    <t>26.10.2023 21:23:18</t>
  </si>
  <si>
    <t>27.10.2023 21:24:06</t>
  </si>
  <si>
    <t>26.10.2023 21:24:18</t>
  </si>
  <si>
    <t>27.10.2023 21:25:07</t>
  </si>
  <si>
    <t>26.10.2023 21:25:18</t>
  </si>
  <si>
    <t>27.10.2023 21:26:07</t>
  </si>
  <si>
    <t>26.10.2023 21:26:18</t>
  </si>
  <si>
    <t>27.10.2023 21:27:07</t>
  </si>
  <si>
    <t>26.10.2023 21:27:18</t>
  </si>
  <si>
    <t>27.10.2023 21:28:07</t>
  </si>
  <si>
    <t>26.10.2023 21:28:18</t>
  </si>
  <si>
    <t>27.10.2023 21:29:07</t>
  </si>
  <si>
    <t>26.10.2023 21:29:18</t>
  </si>
  <si>
    <t>27.10.2023 21:30:07</t>
  </si>
  <si>
    <t>26.10.2023 21:30:19</t>
  </si>
  <si>
    <t>27.10.2023 21:31:07</t>
  </si>
  <si>
    <t>26.10.2023 21:31:19</t>
  </si>
  <si>
    <t>27.10.2023 21:32:07</t>
  </si>
  <si>
    <t>26.10.2023 21:32:19</t>
  </si>
  <si>
    <t>27.10.2023 21:33:07</t>
  </si>
  <si>
    <t>26.10.2023 21:33:19</t>
  </si>
  <si>
    <t>27.10.2023 21:34:08</t>
  </si>
  <si>
    <t>26.10.2023 21:34:19</t>
  </si>
  <si>
    <t>27.10.2023 21:35:08</t>
  </si>
  <si>
    <t>26.10.2023 21:35:19</t>
  </si>
  <si>
    <t>27.10.2023 21:36:08</t>
  </si>
  <si>
    <t>26.10.2023 21:36:19</t>
  </si>
  <si>
    <t>27.10.2023 21:37:08</t>
  </si>
  <si>
    <t>26.10.2023 21:37:19</t>
  </si>
  <si>
    <t>27.10.2023 21:38:08</t>
  </si>
  <si>
    <t>26.10.2023 21:38:19</t>
  </si>
  <si>
    <t>27.10.2023 21:39:08</t>
  </si>
  <si>
    <t>26.10.2023 21:39:19</t>
  </si>
  <si>
    <t>27.10.2023 21:40:08</t>
  </si>
  <si>
    <t>26.10.2023 21:40:19</t>
  </si>
  <si>
    <t>27.10.2023 21:41:08</t>
  </si>
  <si>
    <t>26.10.2023 21:41:20</t>
  </si>
  <si>
    <t>27.10.2023 21:42:08</t>
  </si>
  <si>
    <t>26.10.2023 21:42:20</t>
  </si>
  <si>
    <t>27.10.2023 21:43:08</t>
  </si>
  <si>
    <t>26.10.2023 21:43:20</t>
  </si>
  <si>
    <t>27.10.2023 21:44:08</t>
  </si>
  <si>
    <t>26.10.2023 21:44:20</t>
  </si>
  <si>
    <t>27.10.2023 21:45:08</t>
  </si>
  <si>
    <t>26.10.2023 21:45:20</t>
  </si>
  <si>
    <t>27.10.2023 21:46:09</t>
  </si>
  <si>
    <t>26.10.2023 21:46:20</t>
  </si>
  <si>
    <t>27.10.2023 21:47:09</t>
  </si>
  <si>
    <t>26.10.2023 21:47:20</t>
  </si>
  <si>
    <t>27.10.2023 21:48:09</t>
  </si>
  <si>
    <t>26.10.2023 21:48:20</t>
  </si>
  <si>
    <t>27.10.2023 21:49:09</t>
  </si>
  <si>
    <t>26.10.2023 21:49:20</t>
  </si>
  <si>
    <t>27.10.2023 21:50:09</t>
  </si>
  <si>
    <t>26.10.2023 21:50:20</t>
  </si>
  <si>
    <t>27.10.2023 21:51:09</t>
  </si>
  <si>
    <t>26.10.2023 21:51:20</t>
  </si>
  <si>
    <t>27.10.2023 21:52:09</t>
  </si>
  <si>
    <t>26.10.2023 21:52:20</t>
  </si>
  <si>
    <t>27.10.2023 21:53:09</t>
  </si>
  <si>
    <t>26.10.2023 21:53:20</t>
  </si>
  <si>
    <t>27.10.2023 21:54:09</t>
  </si>
  <si>
    <t>26.10.2023 21:54:20</t>
  </si>
  <si>
    <t>27.10.2023 21:55:09</t>
  </si>
  <si>
    <t>26.10.2023 21:55:20</t>
  </si>
  <si>
    <t>27.10.2023 21:56:09</t>
  </si>
  <si>
    <t>26.10.2023 21:56:20</t>
  </si>
  <si>
    <t>27.10.2023 21:57:09</t>
  </si>
  <si>
    <t>26.10.2023 21:57:21</t>
  </si>
  <si>
    <t>27.10.2023 21:58:09</t>
  </si>
  <si>
    <t>26.10.2023 21:58:21</t>
  </si>
  <si>
    <t>27.10.2023 21:59:10</t>
  </si>
  <si>
    <t>26.10.2023 21:59:21</t>
  </si>
  <si>
    <t>27.10.2023 22:00:10</t>
  </si>
  <si>
    <t>26.10.2023 22:00:21</t>
  </si>
  <si>
    <t>27.10.2023 22:01:10</t>
  </si>
  <si>
    <t>26.10.2023 22:01:21</t>
  </si>
  <si>
    <t>27.10.2023 22:02:10</t>
  </si>
  <si>
    <t>26.10.2023 22:02:21</t>
  </si>
  <si>
    <t>27.10.2023 22:03:10</t>
  </si>
  <si>
    <t>26.10.2023 22:03:21</t>
  </si>
  <si>
    <t>27.10.2023 22:04:10</t>
  </si>
  <si>
    <t>26.10.2023 22:04:21</t>
  </si>
  <si>
    <t>27.10.2023 22:05:10</t>
  </si>
  <si>
    <t>26.10.2023 22:05:21</t>
  </si>
  <si>
    <t>27.10.2023 22:06:10</t>
  </si>
  <si>
    <t>26.10.2023 22:06:21</t>
  </si>
  <si>
    <t>27.10.2023 22:07:10</t>
  </si>
  <si>
    <t>26.10.2023 22:07:21</t>
  </si>
  <si>
    <t>27.10.2023 22:08:10</t>
  </si>
  <si>
    <t>26.10.2023 22:08:21</t>
  </si>
  <si>
    <t>27.10.2023 22:09:10</t>
  </si>
  <si>
    <t>26.10.2023 22:09:22</t>
  </si>
  <si>
    <t>27.10.2023 22:10:10</t>
  </si>
  <si>
    <t>26.10.2023 22:10:22</t>
  </si>
  <si>
    <t>27.10.2023 22:11:11</t>
  </si>
  <si>
    <t>26.10.2023 22:11:22</t>
  </si>
  <si>
    <t>27.10.2023 22:12:11</t>
  </si>
  <si>
    <t>26.10.2023 22:12:22</t>
  </si>
  <si>
    <t>27.10.2023 22:13:11</t>
  </si>
  <si>
    <t>26.10.2023 22:13:22</t>
  </si>
  <si>
    <t>27.10.2023 22:14:11</t>
  </si>
  <si>
    <t>26.10.2023 22:14:22</t>
  </si>
  <si>
    <t>27.10.2023 22:15:11</t>
  </si>
  <si>
    <t>26.10.2023 22:15:22</t>
  </si>
  <si>
    <t>27.10.2023 22:16:11</t>
  </si>
  <si>
    <t>26.10.2023 22:16:22</t>
  </si>
  <si>
    <t>27.10.2023 22:17:11</t>
  </si>
  <si>
    <t>26.10.2023 22:17:22</t>
  </si>
  <si>
    <t>27.10.2023 22:18:11</t>
  </si>
  <si>
    <t>26.10.2023 22:18:22</t>
  </si>
  <si>
    <t>27.10.2023 22:19:11</t>
  </si>
  <si>
    <t>26.10.2023 22:19:22</t>
  </si>
  <si>
    <t>27.10.2023 22:20:12</t>
  </si>
  <si>
    <t>26.10.2023 22:20:23</t>
  </si>
  <si>
    <t>27.10.2023 22:21:12</t>
  </si>
  <si>
    <t>26.10.2023 22:21:23</t>
  </si>
  <si>
    <t>27.10.2023 22:22:12</t>
  </si>
  <si>
    <t>26.10.2023 22:22:23</t>
  </si>
  <si>
    <t>27.10.2023 22:23:12</t>
  </si>
  <si>
    <t>26.10.2023 22:23:23</t>
  </si>
  <si>
    <t>27.10.2023 22:24:12</t>
  </si>
  <si>
    <t>26.10.2023 22:24:23</t>
  </si>
  <si>
    <t>27.10.2023 22:25:12</t>
  </si>
  <si>
    <t>26.10.2023 22:25:23</t>
  </si>
  <si>
    <t>27.10.2023 22:26:12</t>
  </si>
  <si>
    <t>26.10.2023 22:26:23</t>
  </si>
  <si>
    <t>27.10.2023 22:27:12</t>
  </si>
  <si>
    <t>26.10.2023 22:27:23</t>
  </si>
  <si>
    <t>27.10.2023 22:28:12</t>
  </si>
  <si>
    <t>26.10.2023 22:28:23</t>
  </si>
  <si>
    <t>27.10.2023 22:29:12</t>
  </si>
  <si>
    <t>26.10.2023 22:29:23</t>
  </si>
  <si>
    <t>27.10.2023 22:30:12</t>
  </si>
  <si>
    <t>26.10.2023 22:30:23</t>
  </si>
  <si>
    <t>27.10.2023 22:31:13</t>
  </si>
  <si>
    <t>26.10.2023 22:31:23</t>
  </si>
  <si>
    <t>27.10.2023 22:32:13</t>
  </si>
  <si>
    <t>26.10.2023 22:32:24</t>
  </si>
  <si>
    <t>27.10.2023 22:33:13</t>
  </si>
  <si>
    <t>26.10.2023 22:33:24</t>
  </si>
  <si>
    <t>27.10.2023 22:34:13</t>
  </si>
  <si>
    <t>26.10.2023 22:34:24</t>
  </si>
  <si>
    <t>27.10.2023 22:35:13</t>
  </si>
  <si>
    <t>26.10.2023 22:35:24</t>
  </si>
  <si>
    <t>27.10.2023 22:36:13</t>
  </si>
  <si>
    <t>26.10.2023 22:36:24</t>
  </si>
  <si>
    <t>27.10.2023 22:37:13</t>
  </si>
  <si>
    <t>26.10.2023 22:37:24</t>
  </si>
  <si>
    <t>27.10.2023 22:38:13</t>
  </si>
  <si>
    <t>26.10.2023 22:38:24</t>
  </si>
  <si>
    <t>27.10.2023 22:39:13</t>
  </si>
  <si>
    <t>26.10.2023 22:39:24</t>
  </si>
  <si>
    <t>27.10.2023 22:40:13</t>
  </si>
  <si>
    <t>26.10.2023 22:40:24</t>
  </si>
  <si>
    <t>27.10.2023 22:41:13</t>
  </si>
  <si>
    <t>26.10.2023 22:41:24</t>
  </si>
  <si>
    <t>27.10.2023 22:42:13</t>
  </si>
  <si>
    <t>26.10.2023 22:42:24</t>
  </si>
  <si>
    <t>27.10.2023 22:43:14</t>
  </si>
  <si>
    <t>26.10.2023 22:43:25</t>
  </si>
  <si>
    <t>27.10.2023 22:44:14</t>
  </si>
  <si>
    <t>26.10.2023 22:44:25</t>
  </si>
  <si>
    <t>27.10.2023 22:45:14</t>
  </si>
  <si>
    <t>26.10.2023 22:45:25</t>
  </si>
  <si>
    <t>27.10.2023 22:46:14</t>
  </si>
  <si>
    <t>26.10.2023 22:46:25</t>
  </si>
  <si>
    <t>27.10.2023 22:47:14</t>
  </si>
  <si>
    <t>26.10.2023 22:47:25</t>
  </si>
  <si>
    <t>27.10.2023 22:48:14</t>
  </si>
  <si>
    <t>26.10.2023 22:48:25</t>
  </si>
  <si>
    <t>27.10.2023 22:49:14</t>
  </si>
  <si>
    <t>26.10.2023 22:49:25</t>
  </si>
  <si>
    <t>27.10.2023 22:50:14</t>
  </si>
  <si>
    <t>26.10.2023 22:50:25</t>
  </si>
  <si>
    <t>27.10.2023 22:51:14</t>
  </si>
  <si>
    <t>26.10.2023 22:51:25</t>
  </si>
  <si>
    <t>27.10.2023 22:52:14</t>
  </si>
  <si>
    <t>26.10.2023 22:52:25</t>
  </si>
  <si>
    <t>27.10.2023 22:53:14</t>
  </si>
  <si>
    <t>26.10.2023 22:53:25</t>
  </si>
  <si>
    <t>27.10.2023 22:54:15</t>
  </si>
  <si>
    <t>26.10.2023 22:54:25</t>
  </si>
  <si>
    <t>27.10.2023 22:55:15</t>
  </si>
  <si>
    <t>26.10.2023 22:55:25</t>
  </si>
  <si>
    <t>27.10.2023 22:56:15</t>
  </si>
  <si>
    <t>26.10.2023 22:56:25</t>
  </si>
  <si>
    <t>27.10.2023 22:57:15</t>
  </si>
  <si>
    <t>26.10.2023 22:57:26</t>
  </si>
  <si>
    <t>27.10.2023 22:58:15</t>
  </si>
  <si>
    <t>26.10.2023 22:58:26</t>
  </si>
  <si>
    <t>27.10.2023 22:59:15</t>
  </si>
  <si>
    <t>26.10.2023 22:59:26</t>
  </si>
  <si>
    <t>27.10.2023 23:00:15</t>
  </si>
  <si>
    <t>26.10.2023 23:00:26</t>
  </si>
  <si>
    <t>27.10.2023 23:01:15</t>
  </si>
  <si>
    <t>26.10.2023 23:01:26</t>
  </si>
  <si>
    <t>27.10.2023 23:02:15</t>
  </si>
  <si>
    <t>26.10.2023 23:02:26</t>
  </si>
  <si>
    <t>27.10.2023 23:03:15</t>
  </si>
  <si>
    <t>26.10.2023 23:03:26</t>
  </si>
  <si>
    <t>27.10.2023 23:04:15</t>
  </si>
  <si>
    <t>26.10.2023 23:04:26</t>
  </si>
  <si>
    <t>27.10.2023 23:05:15</t>
  </si>
  <si>
    <t>26.10.2023 23:05:26</t>
  </si>
  <si>
    <t>27.10.2023 23:06:16</t>
  </si>
  <si>
    <t>26.10.2023 23:06:26</t>
  </si>
  <si>
    <t>27.10.2023 23:07:16</t>
  </si>
  <si>
    <t>26.10.2023 23:07:26</t>
  </si>
  <si>
    <t>27.10.2023 23:08:16</t>
  </si>
  <si>
    <t>26.10.2023 23:08:27</t>
  </si>
  <si>
    <t>27.10.2023 23:09:16</t>
  </si>
  <si>
    <t>26.10.2023 23:09:27</t>
  </si>
  <si>
    <t>27.10.2023 23:10:16</t>
  </si>
  <si>
    <t>26.10.2023 23:10:27</t>
  </si>
  <si>
    <t>27.10.2023 23:11:16</t>
  </si>
  <si>
    <t>26.10.2023 23:11:27</t>
  </si>
  <si>
    <t>27.10.2023 23:12:16</t>
  </si>
  <si>
    <t>26.10.2023 23:12:27</t>
  </si>
  <si>
    <t>27.10.2023 23:13:16</t>
  </si>
  <si>
    <t>26.10.2023 23:13:27</t>
  </si>
  <si>
    <t>27.10.2023 23:14:16</t>
  </si>
  <si>
    <t>26.10.2023 23:14:27</t>
  </si>
  <si>
    <t>27.10.2023 23:15:17</t>
  </si>
  <si>
    <t>26.10.2023 23:15:27</t>
  </si>
  <si>
    <t>27.10.2023 23:16:17</t>
  </si>
  <si>
    <t>26.10.2023 23:16:27</t>
  </si>
  <si>
    <t>27.10.2023 23:17:17</t>
  </si>
  <si>
    <t>26.10.2023 23:17:28</t>
  </si>
  <si>
    <t>27.10.2023 23:18:17</t>
  </si>
  <si>
    <t>26.10.2023 23:18:28</t>
  </si>
  <si>
    <t>27.10.2023 23:19:17</t>
  </si>
  <si>
    <t>26.10.2023 23:19:28</t>
  </si>
  <si>
    <t>27.10.2023 23:20:17</t>
  </si>
  <si>
    <t>26.10.2023 23:20:28</t>
  </si>
  <si>
    <t>27.10.2023 23:21:17</t>
  </si>
  <si>
    <t>26.10.2023 23:21:28</t>
  </si>
  <si>
    <t>27.10.2023 23:22:17</t>
  </si>
  <si>
    <t>26.10.2023 23:22:28</t>
  </si>
  <si>
    <t>27.10.2023 23:23:17</t>
  </si>
  <si>
    <t>26.10.2023 23:23:28</t>
  </si>
  <si>
    <t>27.10.2023 23:24:17</t>
  </si>
  <si>
    <t>26.10.2023 23:24:28</t>
  </si>
  <si>
    <t>27.10.2023 23:25:17</t>
  </si>
  <si>
    <t>26.10.2023 23:25:28</t>
  </si>
  <si>
    <t>27.10.2023 23:26:17</t>
  </si>
  <si>
    <t>26.10.2023 23:26:28</t>
  </si>
  <si>
    <t>27.10.2023 23:27:17</t>
  </si>
  <si>
    <t>26.10.2023 23:27:28</t>
  </si>
  <si>
    <t>27.10.2023 23:28:17</t>
  </si>
  <si>
    <t>26.10.2023 23:28:28</t>
  </si>
  <si>
    <t>27.10.2023 23:29:18</t>
  </si>
  <si>
    <t>26.10.2023 23:29:29</t>
  </si>
  <si>
    <t>27.10.2023 23:30:18</t>
  </si>
  <si>
    <t>26.10.2023 23:30:29</t>
  </si>
  <si>
    <t>27.10.2023 23:31:18</t>
  </si>
  <si>
    <t>26.10.2023 23:31:29</t>
  </si>
  <si>
    <t>27.10.2023 23:32:18</t>
  </si>
  <si>
    <t>26.10.2023 23:32:29</t>
  </si>
  <si>
    <t>27.10.2023 23:33:18</t>
  </si>
  <si>
    <t>26.10.2023 23:33:29</t>
  </si>
  <si>
    <t>27.10.2023 23:34:18</t>
  </si>
  <si>
    <t>26.10.2023 23:34:29</t>
  </si>
  <si>
    <t>27.10.2023 23:35:18</t>
  </si>
  <si>
    <t>26.10.2023 23:35:29</t>
  </si>
  <si>
    <t>27.10.2023 23:36:18</t>
  </si>
  <si>
    <t>26.10.2023 23:36:29</t>
  </si>
  <si>
    <t>27.10.2023 23:37:18</t>
  </si>
  <si>
    <t>26.10.2023 23:37:29</t>
  </si>
  <si>
    <t>27.10.2023 23:38:18</t>
  </si>
  <si>
    <t>26.10.2023 23:38:29</t>
  </si>
  <si>
    <t>27.10.2023 23:39:18</t>
  </si>
  <si>
    <t>26.10.2023 23:39:29</t>
  </si>
  <si>
    <t>27.10.2023 23:40:19</t>
  </si>
  <si>
    <t>26.10.2023 23:40:30</t>
  </si>
  <si>
    <t>27.10.2023 23:41:19</t>
  </si>
  <si>
    <t>26.10.2023 23:41:30</t>
  </si>
  <si>
    <t>27.10.2023 23:42:19</t>
  </si>
  <si>
    <t>26.10.2023 23:42:30</t>
  </si>
  <si>
    <t>27.10.2023 23:43:19</t>
  </si>
  <si>
    <t>26.10.2023 23:43:30</t>
  </si>
  <si>
    <t>27.10.2023 23:44:19</t>
  </si>
  <si>
    <t>26.10.2023 23:44:30</t>
  </si>
  <si>
    <t>27.10.2023 23:45:19</t>
  </si>
  <si>
    <t>26.10.2023 23:45:30</t>
  </si>
  <si>
    <t>27.10.2023 23:46:19</t>
  </si>
  <si>
    <t>26.10.2023 23:46:30</t>
  </si>
  <si>
    <t>27.10.2023 23:47:19</t>
  </si>
  <si>
    <t>26.10.2023 23:47:30</t>
  </si>
  <si>
    <t>27.10.2023 23:48:19</t>
  </si>
  <si>
    <t>26.10.2023 23:48:30</t>
  </si>
  <si>
    <t>27.10.2023 23:49:19</t>
  </si>
  <si>
    <t>26.10.2023 23:49:30</t>
  </si>
  <si>
    <t>27.10.2023 23:50:19</t>
  </si>
  <si>
    <t>26.10.2023 23:50:30</t>
  </si>
  <si>
    <t>27.10.2023 23:51:20</t>
  </si>
  <si>
    <t>26.10.2023 23:51:30</t>
  </si>
  <si>
    <t>27.10.2023 23:52:20</t>
  </si>
  <si>
    <t>26.10.2023 23:52:31</t>
  </si>
  <si>
    <t>27.10.2023 23:53:20</t>
  </si>
  <si>
    <t>26.10.2023 23:53:31</t>
  </si>
  <si>
    <t>27.10.2023 23:54:20</t>
  </si>
  <si>
    <t>26.10.2023 23:54:31</t>
  </si>
  <si>
    <t>27.10.2023 23:55:20</t>
  </si>
  <si>
    <t>26.10.2023 23:55:31</t>
  </si>
  <si>
    <t>27.10.2023 23:56:20</t>
  </si>
  <si>
    <t>26.10.2023 23:56:31</t>
  </si>
  <si>
    <t>27.10.2023 23:57:20</t>
  </si>
  <si>
    <t>26.10.2023 23:57:31</t>
  </si>
  <si>
    <t>27.10.2023 23:58:20</t>
  </si>
  <si>
    <t>26.10.2023 23:58:31</t>
  </si>
  <si>
    <t>27.10.2023 23:59:20</t>
  </si>
  <si>
    <t>26.10.2023 23:59:31</t>
  </si>
  <si>
    <t>28.10.2023 00:00:20</t>
  </si>
  <si>
    <t>28.10.2023 00:01:21</t>
  </si>
  <si>
    <t>28.10.2023 00:02:21</t>
  </si>
  <si>
    <t>28.10.2023 00:03:21</t>
  </si>
  <si>
    <t>28.10.2023 00:04:21</t>
  </si>
  <si>
    <t>28.10.2023 00:05:21</t>
  </si>
  <si>
    <t>28.10.2023 00:06:21</t>
  </si>
  <si>
    <t>28.10.2023 00:07:21</t>
  </si>
  <si>
    <t>28.10.2023 00:08:21</t>
  </si>
  <si>
    <t>28.10.2023 00:09:21</t>
  </si>
  <si>
    <t>28.10.2023 00:10:22</t>
  </si>
  <si>
    <t>28.10.2023 00:11:22</t>
  </si>
  <si>
    <t>28.10.2023 00:12:22</t>
  </si>
  <si>
    <t>28.10.2023 00:13:22</t>
  </si>
  <si>
    <t>28.10.2023 00:14:22</t>
  </si>
  <si>
    <t>28.10.2023 00:15:22</t>
  </si>
  <si>
    <t>28.10.2023 00:16:22</t>
  </si>
  <si>
    <t>28.10.2023 00:17:22</t>
  </si>
  <si>
    <t>28.10.2023 00:18:22</t>
  </si>
  <si>
    <t>28.10.2023 00:19:22</t>
  </si>
  <si>
    <t>28.10.2023 00:20:23</t>
  </si>
  <si>
    <t>28.10.2023 00:21:23</t>
  </si>
  <si>
    <t>28.10.2023 00:22:23</t>
  </si>
  <si>
    <t>28.10.2023 00:23:23</t>
  </si>
  <si>
    <t>28.10.2023 00:24:23</t>
  </si>
  <si>
    <t>28.10.2023 00:25:23</t>
  </si>
  <si>
    <t>28.10.2023 00:26:23</t>
  </si>
  <si>
    <t>28.10.2023 00:27:23</t>
  </si>
  <si>
    <t>28.10.2023 00:28:23</t>
  </si>
  <si>
    <t>28.10.2023 00:29:23</t>
  </si>
  <si>
    <t>28.10.2023 00:30:24</t>
  </si>
  <si>
    <t>28.10.2023 00:31:24</t>
  </si>
  <si>
    <t>28.10.2023 00:32:24</t>
  </si>
  <si>
    <t>28.10.2023 00:33:24</t>
  </si>
  <si>
    <t>28.10.2023 00:34:24</t>
  </si>
  <si>
    <t>28.10.2023 00:35:24</t>
  </si>
  <si>
    <t>28.10.2023 00:36:24</t>
  </si>
  <si>
    <t>28.10.2023 00:37:24</t>
  </si>
  <si>
    <t>28.10.2023 00:38:25</t>
  </si>
  <si>
    <t>28.10.2023 00:39:25</t>
  </si>
  <si>
    <t>28.10.2023 00:40:25</t>
  </si>
  <si>
    <t>28.10.2023 00:41:25</t>
  </si>
  <si>
    <t>28.10.2023 00:42:25</t>
  </si>
  <si>
    <t>28.10.2023 00:43:25</t>
  </si>
  <si>
    <t>28.10.2023 00:44:25</t>
  </si>
  <si>
    <t>28.10.2023 00:45:25</t>
  </si>
  <si>
    <t>28.10.2023 00:46:25</t>
  </si>
  <si>
    <t>28.10.2023 00:47:26</t>
  </si>
  <si>
    <t>28.10.2023 00:48:26</t>
  </si>
  <si>
    <t>28.10.2023 00:49:26</t>
  </si>
  <si>
    <t>28.10.2023 00:50:26</t>
  </si>
  <si>
    <t>28.10.2023 00:51:26</t>
  </si>
  <si>
    <t>28.10.2023 00:52:26</t>
  </si>
  <si>
    <t>28.10.2023 00:53:26</t>
  </si>
  <si>
    <t>28.10.2023 00:54:26</t>
  </si>
  <si>
    <t>28.10.2023 00:55:27</t>
  </si>
  <si>
    <t>28.10.2023 00:56:27</t>
  </si>
  <si>
    <t>28.10.2023 00:57:27</t>
  </si>
  <si>
    <t>28.10.2023 00:58:27</t>
  </si>
  <si>
    <t>28.10.2023 00:59:27</t>
  </si>
  <si>
    <t>28.10.2023 01:00:27</t>
  </si>
  <si>
    <t>28.10.2023 01:01:27</t>
  </si>
  <si>
    <t>28.10.2023 01:02:27</t>
  </si>
  <si>
    <t>28.10.2023 01:03:28</t>
  </si>
  <si>
    <t>28.10.2023 01:04:28</t>
  </si>
  <si>
    <t>28.10.2023 01:05:28</t>
  </si>
  <si>
    <t>28.10.2023 01:06:28</t>
  </si>
  <si>
    <t>28.10.2023 01:07:28</t>
  </si>
  <si>
    <t>28.10.2023 01:08:28</t>
  </si>
  <si>
    <t>28.10.2023 01:09:28</t>
  </si>
  <si>
    <t>28.10.2023 01:10:28</t>
  </si>
  <si>
    <t>28.10.2023 01:11:29</t>
  </si>
  <si>
    <t>28.10.2023 01:12:29</t>
  </si>
  <si>
    <t>28.10.2023 01:13:29</t>
  </si>
  <si>
    <t>28.10.2023 01:14:29</t>
  </si>
  <si>
    <t>28.10.2023 01:15:29</t>
  </si>
  <si>
    <t>28.10.2023 01:16:29</t>
  </si>
  <si>
    <t>28.10.2023 01:17:29</t>
  </si>
  <si>
    <t>28.10.2023 01:18:29</t>
  </si>
  <si>
    <t>28.10.2023 01:19:30</t>
  </si>
  <si>
    <t>28.10.2023 01:20:30</t>
  </si>
  <si>
    <t>28.10.2023 01:21:30</t>
  </si>
  <si>
    <t>28.10.2023 01:22:30</t>
  </si>
  <si>
    <t>28.10.2023 01:23:30</t>
  </si>
  <si>
    <t>28.10.2023 01:24:30</t>
  </si>
  <si>
    <t>28.10.2023 01:25:30</t>
  </si>
  <si>
    <t>28.10.2023 01:26:30</t>
  </si>
  <si>
    <t>28.10.2023 01:27:31</t>
  </si>
  <si>
    <t>28.10.2023 01:28:31</t>
  </si>
  <si>
    <t>28.10.2023 01:29:31</t>
  </si>
  <si>
    <t>28.10.2023 01:30:31</t>
  </si>
  <si>
    <t>28.10.2023 01:31:31</t>
  </si>
  <si>
    <t>28.10.2023 01:32:31</t>
  </si>
  <si>
    <t>28.10.2023 01:33:31</t>
  </si>
  <si>
    <t>28.10.2023 01:34:32</t>
  </si>
  <si>
    <t>28.10.2023 01:35:32</t>
  </si>
  <si>
    <t>28.10.2023 01:36:32</t>
  </si>
  <si>
    <t>28.10.2023 01:37:32</t>
  </si>
  <si>
    <t>28.10.2023 01:38:32</t>
  </si>
  <si>
    <t>28.10.2023 01:39:32</t>
  </si>
  <si>
    <t>28.10.2023 01:40:32</t>
  </si>
  <si>
    <t>28.10.2023 01:41:33</t>
  </si>
  <si>
    <t>28.10.2023 01:42:33</t>
  </si>
  <si>
    <t>28.10.2023 01:43:33</t>
  </si>
  <si>
    <t>28.10.2023 01:44:33</t>
  </si>
  <si>
    <t>28.10.2023 01:45:33</t>
  </si>
  <si>
    <t>28.10.2023 01:46:33</t>
  </si>
  <si>
    <t>28.10.2023 01:47:33</t>
  </si>
  <si>
    <t>28.10.2023 01:48:34</t>
  </si>
  <si>
    <t>28.10.2023 01:49:34</t>
  </si>
  <si>
    <t>28.10.2023 01:50:34</t>
  </si>
  <si>
    <t>28.10.2023 01:51:34</t>
  </si>
  <si>
    <t>28.10.2023 01:52:34</t>
  </si>
  <si>
    <t>28.10.2023 01:53:34</t>
  </si>
  <si>
    <t>28.10.2023 01:54:34</t>
  </si>
  <si>
    <t>28.10.2023 01:55:34</t>
  </si>
  <si>
    <t>28.10.2023 01:56:35</t>
  </si>
  <si>
    <t>28.10.2023 01:57:35</t>
  </si>
  <si>
    <t>28.10.2023 01:58:35</t>
  </si>
  <si>
    <t>28.10.2023 01:59:35</t>
  </si>
  <si>
    <t>28.10.2023 02:00:35</t>
  </si>
  <si>
    <t>28.10.2023 02:01:35</t>
  </si>
  <si>
    <t>28.10.2023 02:02:35</t>
  </si>
  <si>
    <t>28.10.2023 02:03:36</t>
  </si>
  <si>
    <t>28.10.2023 02:04:36</t>
  </si>
  <si>
    <t>28.10.2023 02:05:36</t>
  </si>
  <si>
    <t>28.10.2023 02:06:36</t>
  </si>
  <si>
    <t>28.10.2023 02:07:36</t>
  </si>
  <si>
    <t>28.10.2023 02:08:36</t>
  </si>
  <si>
    <t>28.10.2023 02:09:36</t>
  </si>
  <si>
    <t>28.10.2023 02:10:37</t>
  </si>
  <si>
    <t>28.10.2023 02:11:37</t>
  </si>
  <si>
    <t>28.10.2023 02:12:37</t>
  </si>
  <si>
    <t>28.10.2023 02:13:37</t>
  </si>
  <si>
    <t>28.10.2023 02:14:37</t>
  </si>
  <si>
    <t>28.10.2023 02:15:37</t>
  </si>
  <si>
    <t>28.10.2023 02:16:37</t>
  </si>
  <si>
    <t>28.10.2023 02:17:38</t>
  </si>
  <si>
    <t>28.10.2023 02:18:38</t>
  </si>
  <si>
    <t>28.10.2023 02:19:38</t>
  </si>
  <si>
    <t>28.10.2023 02:20:38</t>
  </si>
  <si>
    <t>28.10.2023 02:21:38</t>
  </si>
  <si>
    <t>28.10.2023 02:22:38</t>
  </si>
  <si>
    <t>28.10.2023 02:23:38</t>
  </si>
  <si>
    <t>28.10.2023 02:24:39</t>
  </si>
  <si>
    <t>28.10.2023 02:25:39</t>
  </si>
  <si>
    <t>28.10.2023 02:26:39</t>
  </si>
  <si>
    <t>28.10.2023 02:27:39</t>
  </si>
  <si>
    <t>28.10.2023 02:28:39</t>
  </si>
  <si>
    <t>28.10.2023 02:29:39</t>
  </si>
  <si>
    <t>28.10.2023 02:30:40</t>
  </si>
  <si>
    <t>28.10.2023 02:31:40</t>
  </si>
  <si>
    <t>28.10.2023 02:32:40</t>
  </si>
  <si>
    <t>28.10.2023 02:33:40</t>
  </si>
  <si>
    <t>28.10.2023 02:34:40</t>
  </si>
  <si>
    <t>28.10.2023 02:35:40</t>
  </si>
  <si>
    <t>28.10.2023 02:36:40</t>
  </si>
  <si>
    <t>28.10.2023 02:37:41</t>
  </si>
  <si>
    <t>28.10.2023 02:38:41</t>
  </si>
  <si>
    <t>28.10.2023 02:39:41</t>
  </si>
  <si>
    <t>28.10.2023 02:40:41</t>
  </si>
  <si>
    <t>28.10.2023 02:41:41</t>
  </si>
  <si>
    <t>28.10.2023 02:42:41</t>
  </si>
  <si>
    <t>28.10.2023 02:43:41</t>
  </si>
  <si>
    <t>28.10.2023 02:44:42</t>
  </si>
  <si>
    <t>28.10.2023 02:45:42</t>
  </si>
  <si>
    <t>28.10.2023 02:46:42</t>
  </si>
  <si>
    <t>28.10.2023 02:47:42</t>
  </si>
  <si>
    <t>28.10.2023 02:48:42</t>
  </si>
  <si>
    <t>28.10.2023 02:49:42</t>
  </si>
  <si>
    <t>28.10.2023 02:50:42</t>
  </si>
  <si>
    <t>28.10.2023 02:51:43</t>
  </si>
  <si>
    <t>28.10.2023 02:52:43</t>
  </si>
  <si>
    <t>28.10.2023 02:53:43</t>
  </si>
  <si>
    <t>28.10.2023 02:54:43</t>
  </si>
  <si>
    <t>28.10.2023 02:55:43</t>
  </si>
  <si>
    <t>28.10.2023 02:56:43</t>
  </si>
  <si>
    <t>28.10.2023 02:57:44</t>
  </si>
  <si>
    <t>28.10.2023 02:58:44</t>
  </si>
  <si>
    <t>28.10.2023 02:59:44</t>
  </si>
  <si>
    <t>28.10.2023 03:00:44</t>
  </si>
  <si>
    <t>28.10.2023 03:01:44</t>
  </si>
  <si>
    <t>28.10.2023 03:02:44</t>
  </si>
  <si>
    <t>28.10.2023 03:03:44</t>
  </si>
  <si>
    <t>28.10.2023 03:04:45</t>
  </si>
  <si>
    <t>28.10.2023 03:05:45</t>
  </si>
  <si>
    <t>28.10.2023 03:06:45</t>
  </si>
  <si>
    <t>28.10.2023 03:07:45</t>
  </si>
  <si>
    <t>28.10.2023 03:08:46</t>
  </si>
  <si>
    <t>28.10.2023 03:09:46</t>
  </si>
  <si>
    <t>28.10.2023 03:10:46</t>
  </si>
  <si>
    <t>28.10.2023 03:11:46</t>
  </si>
  <si>
    <t>28.10.2023 03:12:46</t>
  </si>
  <si>
    <t>28.10.2023 03:13:46</t>
  </si>
  <si>
    <t>28.10.2023 03:14:46</t>
  </si>
  <si>
    <t>28.10.2023 03:15:46</t>
  </si>
  <si>
    <t>28.10.2023 03:16:46</t>
  </si>
  <si>
    <t>28.10.2023 03:17:47</t>
  </si>
  <si>
    <t>28.10.2023 03:18:47</t>
  </si>
  <si>
    <t>28.10.2023 03:19:47</t>
  </si>
  <si>
    <t>28.10.2023 03:20:47</t>
  </si>
  <si>
    <t>28.10.2023 03:21:47</t>
  </si>
  <si>
    <t>28.10.2023 03:22:47</t>
  </si>
  <si>
    <t>28.10.2023 03:23:47</t>
  </si>
  <si>
    <t>28.10.2023 03:24:47</t>
  </si>
  <si>
    <t>28.10.2023 03:25:47</t>
  </si>
  <si>
    <t>28.10.2023 03:26:47</t>
  </si>
  <si>
    <t>28.10.2023 03:27:48</t>
  </si>
  <si>
    <t>28.10.2023 03:28:48</t>
  </si>
  <si>
    <t>28.10.2023 03:29:48</t>
  </si>
  <si>
    <t>28.10.2023 03:30:48</t>
  </si>
  <si>
    <t>28.10.2023 03:31:48</t>
  </si>
  <si>
    <t>28.10.2023 03:32:48</t>
  </si>
  <si>
    <t>28.10.2023 03:33:48</t>
  </si>
  <si>
    <t>28.10.2023 03:34:48</t>
  </si>
  <si>
    <t>28.10.2023 03:35:48</t>
  </si>
  <si>
    <t>28.10.2023 03:36:48</t>
  </si>
  <si>
    <t>28.10.2023 03:37:49</t>
  </si>
  <si>
    <t>28.10.2023 03:38:49</t>
  </si>
  <si>
    <t>28.10.2023 03:39:49</t>
  </si>
  <si>
    <t>28.10.2023 03:40:49</t>
  </si>
  <si>
    <t>28.10.2023 03:41:49</t>
  </si>
  <si>
    <t>28.10.2023 03:42:49</t>
  </si>
  <si>
    <t>28.10.2023 03:43:49</t>
  </si>
  <si>
    <t>28.10.2023 03:44:49</t>
  </si>
  <si>
    <t>28.10.2023 03:45:49</t>
  </si>
  <si>
    <t>28.10.2023 03:46:49</t>
  </si>
  <si>
    <t>28.10.2023 03:47:50</t>
  </si>
  <si>
    <t>28.10.2023 03:48:50</t>
  </si>
  <si>
    <t>28.10.2023 03:49:50</t>
  </si>
  <si>
    <t>28.10.2023 03:50:50</t>
  </si>
  <si>
    <t>28.10.2023 03:51:50</t>
  </si>
  <si>
    <t>28.10.2023 03:52:50</t>
  </si>
  <si>
    <t>28.10.2023 03:53:50</t>
  </si>
  <si>
    <t>28.10.2023 03:54:50</t>
  </si>
  <si>
    <t>28.10.2023 03:55:50</t>
  </si>
  <si>
    <t>28.10.2023 03:56:50</t>
  </si>
  <si>
    <t>28.10.2023 03:57:51</t>
  </si>
  <si>
    <t>28.10.2023 03:58:51</t>
  </si>
  <si>
    <t>28.10.2023 03:59:51</t>
  </si>
  <si>
    <t>28.10.2023 04:00:51</t>
  </si>
  <si>
    <t>28.10.2023 04:01:51</t>
  </si>
  <si>
    <t>28.10.2023 04:02:51</t>
  </si>
  <si>
    <t>28.10.2023 04:03:51</t>
  </si>
  <si>
    <t>28.10.2023 04:04:51</t>
  </si>
  <si>
    <t>28.10.2023 04:05:51</t>
  </si>
  <si>
    <t>28.10.2023 04:06:52</t>
  </si>
  <si>
    <t>28.10.2023 04:07:52</t>
  </si>
  <si>
    <t>28.10.2023 04:08:52</t>
  </si>
  <si>
    <t>28.10.2023 04:09:52</t>
  </si>
  <si>
    <t>28.10.2023 04:10:52</t>
  </si>
  <si>
    <t>28.10.2023 04:11:52</t>
  </si>
  <si>
    <t>28.10.2023 04:12:52</t>
  </si>
  <si>
    <t>28.10.2023 04:13:52</t>
  </si>
  <si>
    <t>28.10.2023 04:14:52</t>
  </si>
  <si>
    <t>28.10.2023 04:15:52</t>
  </si>
  <si>
    <t>28.10.2023 04:16:53</t>
  </si>
  <si>
    <t>28.10.2023 04:17:53</t>
  </si>
  <si>
    <t>28.10.2023 04:18:53</t>
  </si>
  <si>
    <t>28.10.2023 04:19:53</t>
  </si>
  <si>
    <t>28.10.2023 04:20:53</t>
  </si>
  <si>
    <t>28.10.2023 04:21:53</t>
  </si>
  <si>
    <t>28.10.2023 04:22:53</t>
  </si>
  <si>
    <t>28.10.2023 04:23:53</t>
  </si>
  <si>
    <t>28.10.2023 04:24:53</t>
  </si>
  <si>
    <t>28.10.2023 04:25:54</t>
  </si>
  <si>
    <t>28.10.2023 04:26:54</t>
  </si>
  <si>
    <t>28.10.2023 04:27:54</t>
  </si>
  <si>
    <t>28.10.2023 04:28:54</t>
  </si>
  <si>
    <t>28.10.2023 04:29:54</t>
  </si>
  <si>
    <t>28.10.2023 04:30:54</t>
  </si>
  <si>
    <t>28.10.2023 04:31:54</t>
  </si>
  <si>
    <t>28.10.2023 04:32:54</t>
  </si>
  <si>
    <t>28.10.2023 04:33:54</t>
  </si>
  <si>
    <t>28.10.2023 04:34:54</t>
  </si>
  <si>
    <t>28.10.2023 04:35:55</t>
  </si>
  <si>
    <t>28.10.2023 04:36:55</t>
  </si>
  <si>
    <t>28.10.2023 04:37:55</t>
  </si>
  <si>
    <t>28.10.2023 04:38:55</t>
  </si>
  <si>
    <t>28.10.2023 04:39:55</t>
  </si>
  <si>
    <t>28.10.2023 04:40:55</t>
  </si>
  <si>
    <t>28.10.2023 04:41:55</t>
  </si>
  <si>
    <t>28.10.2023 04:42:55</t>
  </si>
  <si>
    <t>28.10.2023 04:43:55</t>
  </si>
  <si>
    <t>28.10.2023 04:44:56</t>
  </si>
  <si>
    <t>28.10.2023 04:45:56</t>
  </si>
  <si>
    <t>28.10.2023 04:46:56</t>
  </si>
  <si>
    <t>28.10.2023 04:47:56</t>
  </si>
  <si>
    <t>28.10.2023 04:48:56</t>
  </si>
  <si>
    <t>28.10.2023 04:49:56</t>
  </si>
  <si>
    <t>28.10.2023 04:50:56</t>
  </si>
  <si>
    <t>28.10.2023 04:51:56</t>
  </si>
  <si>
    <t>28.10.2023 04:52:57</t>
  </si>
  <si>
    <t>28.10.2023 04:53:57</t>
  </si>
  <si>
    <t>28.10.2023 04:54:57</t>
  </si>
  <si>
    <t>28.10.2023 04:55:57</t>
  </si>
  <si>
    <t>28.10.2023 04:56:57</t>
  </si>
  <si>
    <t>28.10.2023 04:57:57</t>
  </si>
  <si>
    <t>28.10.2023 04:58:57</t>
  </si>
  <si>
    <t>28.10.2023 04:59:57</t>
  </si>
  <si>
    <t>28.10.2023 05:00:57</t>
  </si>
  <si>
    <t>28.10.2023 05:01:57</t>
  </si>
  <si>
    <t>28.10.2023 05:02:58</t>
  </si>
  <si>
    <t>28.10.2023 05:03:58</t>
  </si>
  <si>
    <t>28.10.2023 05:04:58</t>
  </si>
  <si>
    <t>28.10.2023 05:05:58</t>
  </si>
  <si>
    <t>28.10.2023 05:06:58</t>
  </si>
  <si>
    <t>28.10.2023 05:07:58</t>
  </si>
  <si>
    <t>28.10.2023 05:08:58</t>
  </si>
  <si>
    <t>28.10.2023 05:09:58</t>
  </si>
  <si>
    <t>28.10.2023 05:10:58</t>
  </si>
  <si>
    <t>28.10.2023 05:11:59</t>
  </si>
  <si>
    <t>28.10.2023 05:12:59</t>
  </si>
  <si>
    <t>28.10.2023 05:13:59</t>
  </si>
  <si>
    <t>28.10.2023 05:14:59</t>
  </si>
  <si>
    <t>28.10.2023 05:15:59</t>
  </si>
  <si>
    <t>28.10.2023 05:16:59</t>
  </si>
  <si>
    <t>28.10.2023 05:17:59</t>
  </si>
  <si>
    <t>28.10.2023 05:18:59</t>
  </si>
  <si>
    <t>28.10.2023 05:20:00</t>
  </si>
  <si>
    <t>28.10.2023 05:21:00</t>
  </si>
  <si>
    <t>28.10.2023 05:22:00</t>
  </si>
  <si>
    <t>28.10.2023 05:23:00</t>
  </si>
  <si>
    <t>28.10.2023 05:24:00</t>
  </si>
  <si>
    <t>28.10.2023 05:25:00</t>
  </si>
  <si>
    <t>28.10.2023 05:26:00</t>
  </si>
  <si>
    <t>28.10.2023 05:27:00</t>
  </si>
  <si>
    <t>28.10.2023 05:28:00</t>
  </si>
  <si>
    <t>28.10.2023 05:29:00</t>
  </si>
  <si>
    <t>28.10.2023 05:30:01</t>
  </si>
  <si>
    <t>28.10.2023 05:31:01</t>
  </si>
  <si>
    <t>28.10.2023 05:32:01</t>
  </si>
  <si>
    <t>28.10.2023 05:33:01</t>
  </si>
  <si>
    <t>28.10.2023 05:34:01</t>
  </si>
  <si>
    <t>28.10.2023 05:35:01</t>
  </si>
  <si>
    <t>28.10.2023 05:36:01</t>
  </si>
  <si>
    <t>28.10.2023 05:37:01</t>
  </si>
  <si>
    <t>28.10.2023 05:38:01</t>
  </si>
  <si>
    <t>28.10.2023 05:39:02</t>
  </si>
  <si>
    <t>28.10.2023 05:40:02</t>
  </si>
  <si>
    <t>28.10.2023 05:41:02</t>
  </si>
  <si>
    <t>28.10.2023 05:42:02</t>
  </si>
  <si>
    <t>28.10.2023 05:43:02</t>
  </si>
  <si>
    <t>28.10.2023 05:44:02</t>
  </si>
  <si>
    <t>28.10.2023 05:45:02</t>
  </si>
  <si>
    <t>28.10.2023 05:46:02</t>
  </si>
  <si>
    <t>28.10.2023 05:47:02</t>
  </si>
  <si>
    <t>28.10.2023 05:48:03</t>
  </si>
  <si>
    <t>28.10.2023 05:49:03</t>
  </si>
  <si>
    <t>28.10.2023 05:50:03</t>
  </si>
  <si>
    <t>28.10.2023 05:51:03</t>
  </si>
  <si>
    <t>28.10.2023 05:52:03</t>
  </si>
  <si>
    <t>28.10.2023 05:53:03</t>
  </si>
  <si>
    <t>28.10.2023 05:54:03</t>
  </si>
  <si>
    <t>28.10.2023 05:55:03</t>
  </si>
  <si>
    <t>28.10.2023 05:56:04</t>
  </si>
  <si>
    <t>28.10.2023 05:57:04</t>
  </si>
  <si>
    <t>28.10.2023 05:58:04</t>
  </si>
  <si>
    <t>28.10.2023 05:59:04</t>
  </si>
  <si>
    <t>28.10.2023 06:00:04</t>
  </si>
  <si>
    <t>28.10.2023 06:01:04</t>
  </si>
  <si>
    <t>28.10.2023 06:02:04</t>
  </si>
  <si>
    <t>28.10.2023 06:03:04</t>
  </si>
  <si>
    <t>28.10.2023 06:04:05</t>
  </si>
  <si>
    <t>28.10.2023 06:05:05</t>
  </si>
  <si>
    <t>28.10.2023 06:06:05</t>
  </si>
  <si>
    <t>28.10.2023 06:07:05</t>
  </si>
  <si>
    <t>28.10.2023 06:08:05</t>
  </si>
  <si>
    <t>28.10.2023 06:09:05</t>
  </si>
  <si>
    <t>28.10.2023 06:10:05</t>
  </si>
  <si>
    <t>28.10.2023 06:11:05</t>
  </si>
  <si>
    <t>28.10.2023 06:12:06</t>
  </si>
  <si>
    <t>28.10.2023 06:13:06</t>
  </si>
  <si>
    <t>28.10.2023 06:14:06</t>
  </si>
  <si>
    <t>28.10.2023 06:15:06</t>
  </si>
  <si>
    <t>28.10.2023 06:16:06</t>
  </si>
  <si>
    <t>28.10.2023 06:17:06</t>
  </si>
  <si>
    <t>28.10.2023 06:18:06</t>
  </si>
  <si>
    <t>28.10.2023 06:19:06</t>
  </si>
  <si>
    <t>28.10.2023 06:20:07</t>
  </si>
  <si>
    <t>28.10.2023 06:21:07</t>
  </si>
  <si>
    <t>28.10.2023 06:22:07</t>
  </si>
  <si>
    <t>28.10.2023 06:23:07</t>
  </si>
  <si>
    <t>28.10.2023 06:24:07</t>
  </si>
  <si>
    <t>28.10.2023 06:25:07</t>
  </si>
  <si>
    <t>28.10.2023 06:26:07</t>
  </si>
  <si>
    <t>28.10.2023 06:27:07</t>
  </si>
  <si>
    <t>28.10.2023 06:28:08</t>
  </si>
  <si>
    <t>28.10.2023 06:29:08</t>
  </si>
  <si>
    <t>28.10.2023 06:30:08</t>
  </si>
  <si>
    <t>28.10.2023 06:31:08</t>
  </si>
  <si>
    <t>28.10.2023 06:32:08</t>
  </si>
  <si>
    <t>28.10.2023 06:33:08</t>
  </si>
  <si>
    <t>28.10.2023 06:34:08</t>
  </si>
  <si>
    <t>28.10.2023 06:35:09</t>
  </si>
  <si>
    <t>28.10.2023 06:36:09</t>
  </si>
  <si>
    <t>28.10.2023 06:37:09</t>
  </si>
  <si>
    <t>28.10.2023 06:38:09</t>
  </si>
  <si>
    <t>28.10.2023 06:39:09</t>
  </si>
  <si>
    <t>28.10.2023 06:40:09</t>
  </si>
  <si>
    <t>28.10.2023 06:41:09</t>
  </si>
  <si>
    <t>28.10.2023 06:42:09</t>
  </si>
  <si>
    <t>28.10.2023 06:43:10</t>
  </si>
  <si>
    <t>28.10.2023 06:44:10</t>
  </si>
  <si>
    <t>28.10.2023 06:45:10</t>
  </si>
  <si>
    <t>28.10.2023 06:46:10</t>
  </si>
  <si>
    <t>28.10.2023 06:47:10</t>
  </si>
  <si>
    <t>28.10.2023 06:48:10</t>
  </si>
  <si>
    <t>28.10.2023 06:49:10</t>
  </si>
  <si>
    <t>28.10.2023 06:50:11</t>
  </si>
  <si>
    <t>28.10.2023 06:51:11</t>
  </si>
  <si>
    <t>28.10.2023 06:52:11</t>
  </si>
  <si>
    <t>28.10.2023 06:53:11</t>
  </si>
  <si>
    <t>28.10.2023 06:54:11</t>
  </si>
  <si>
    <t>28.10.2023 06:55:11</t>
  </si>
  <si>
    <t>28.10.2023 06:56:11</t>
  </si>
  <si>
    <t>28.10.2023 06:57:11</t>
  </si>
  <si>
    <t>28.10.2023 06:58:12</t>
  </si>
  <si>
    <t>28.10.2023 06:59:12</t>
  </si>
  <si>
    <t>28.10.2023 07:00:12</t>
  </si>
  <si>
    <t>28.10.2023 07:01:12</t>
  </si>
  <si>
    <t>28.10.2023 07:02:12</t>
  </si>
  <si>
    <t>28.10.2023 07:03:12</t>
  </si>
  <si>
    <t>28.10.2023 07:04:12</t>
  </si>
  <si>
    <t>28.10.2023 07:05:12</t>
  </si>
  <si>
    <t>28.10.2023 07:06:13</t>
  </si>
  <si>
    <t>28.10.2023 07:07:13</t>
  </si>
  <si>
    <t>28.10.2023 07:08:13</t>
  </si>
  <si>
    <t>28.10.2023 07:09:13</t>
  </si>
  <si>
    <t>28.10.2023 07:10:13</t>
  </si>
  <si>
    <t>28.10.2023 07:11:13</t>
  </si>
  <si>
    <t>28.10.2023 07:12:13</t>
  </si>
  <si>
    <t>28.10.2023 07:13:14</t>
  </si>
  <si>
    <t>28.10.2023 07:14:14</t>
  </si>
  <si>
    <t>28.10.2023 07:15:14</t>
  </si>
  <si>
    <t>28.10.2023 07:16:14</t>
  </si>
  <si>
    <t>28.10.2023 07:17:14</t>
  </si>
  <si>
    <t>28.10.2023 07:18:14</t>
  </si>
  <si>
    <t>28.10.2023 07:19:14</t>
  </si>
  <si>
    <t>28.10.2023 07:20:14</t>
  </si>
  <si>
    <t>28.10.2023 07:21:15</t>
  </si>
  <si>
    <t>28.10.2023 07:22:15</t>
  </si>
  <si>
    <t>28.10.2023 07:23:15</t>
  </si>
  <si>
    <t>28.10.2023 07:24:15</t>
  </si>
  <si>
    <t>28.10.2023 07:25:15</t>
  </si>
  <si>
    <t>28.10.2023 07:26:15</t>
  </si>
  <si>
    <t>28.10.2023 07:27:16</t>
  </si>
  <si>
    <t>28.10.2023 07:28:16</t>
  </si>
  <si>
    <t>28.10.2023 07:29:16</t>
  </si>
  <si>
    <t>28.10.2023 07:30:16</t>
  </si>
  <si>
    <t>28.10.2023 07:31:16</t>
  </si>
  <si>
    <t>28.10.2023 07:32:16</t>
  </si>
  <si>
    <t>28.10.2023 07:33:16</t>
  </si>
  <si>
    <t>28.10.2023 07:34:17</t>
  </si>
  <si>
    <t>28.10.2023 07:35:17</t>
  </si>
  <si>
    <t>28.10.2023 07:36:17</t>
  </si>
  <si>
    <t>28.10.2023 07:37:17</t>
  </si>
  <si>
    <t>28.10.2023 07:38:17</t>
  </si>
  <si>
    <t>28.10.2023 07:39:17</t>
  </si>
  <si>
    <t>28.10.2023 07:40:17</t>
  </si>
  <si>
    <t>28.10.2023 07:41:17</t>
  </si>
  <si>
    <t>28.10.2023 07:42:18</t>
  </si>
  <si>
    <t>28.10.2023 07:43:18</t>
  </si>
  <si>
    <t>28.10.2023 07:44:18</t>
  </si>
  <si>
    <t>28.10.2023 07:45:18</t>
  </si>
  <si>
    <t>28.10.2023 07:46:18</t>
  </si>
  <si>
    <t>28.10.2023 07:47:18</t>
  </si>
  <si>
    <t>28.10.2023 07:48:18</t>
  </si>
  <si>
    <t>28.10.2023 07:49:19</t>
  </si>
  <si>
    <t>28.10.2023 07:50:19</t>
  </si>
  <si>
    <t>28.10.2023 07:51:19</t>
  </si>
  <si>
    <t>28.10.2023 07:52:19</t>
  </si>
  <si>
    <t>28.10.2023 07:53:19</t>
  </si>
  <si>
    <t>28.10.2023 07:54:19</t>
  </si>
  <si>
    <t>28.10.2023 07:55:19</t>
  </si>
  <si>
    <t>28.10.2023 07:56:20</t>
  </si>
  <si>
    <t>28.10.2023 07:57:20</t>
  </si>
  <si>
    <t>28.10.2023 07:58:20</t>
  </si>
  <si>
    <t>28.10.2023 07:59:20</t>
  </si>
  <si>
    <t>28.10.2023 08:00:20</t>
  </si>
  <si>
    <t>28.10.2023 08:01:20</t>
  </si>
  <si>
    <t>28.10.2023 08:02:20</t>
  </si>
  <si>
    <t>28.10.2023 08:03:21</t>
  </si>
  <si>
    <t>28.10.2023 08:04:21</t>
  </si>
  <si>
    <t>28.10.2023 08:05:21</t>
  </si>
  <si>
    <t>28.10.2023 08:06:21</t>
  </si>
  <si>
    <t>28.10.2023 08:07:21</t>
  </si>
  <si>
    <t>28.10.2023 08:08:21</t>
  </si>
  <si>
    <t>28.10.2023 08:09:21</t>
  </si>
  <si>
    <t>28.10.2023 08:10:21</t>
  </si>
  <si>
    <t>28.10.2023 08:11:22</t>
  </si>
  <si>
    <t>28.10.2023 08:12:22</t>
  </si>
  <si>
    <t>28.10.2023 08:13:22</t>
  </si>
  <si>
    <t>28.10.2023 08:14:22</t>
  </si>
  <si>
    <t>28.10.2023 08:15:22</t>
  </si>
  <si>
    <t>28.10.2023 08:16:22</t>
  </si>
  <si>
    <t>28.10.2023 08:17:23</t>
  </si>
  <si>
    <t>28.10.2023 08:18:23</t>
  </si>
  <si>
    <t>28.10.2023 08:19:23</t>
  </si>
  <si>
    <t>28.10.2023 08:20:23</t>
  </si>
  <si>
    <t>28.10.2023 08:21:23</t>
  </si>
  <si>
    <t>28.10.2023 08:22:23</t>
  </si>
  <si>
    <t>28.10.2023 08:23:23</t>
  </si>
  <si>
    <t>28.10.2023 08:24:24</t>
  </si>
  <si>
    <t>28.10.2023 08:25:24</t>
  </si>
  <si>
    <t>28.10.2023 08:26:24</t>
  </si>
  <si>
    <t>28.10.2023 08:27:24</t>
  </si>
  <si>
    <t>28.10.2023 08:28:24</t>
  </si>
  <si>
    <t>28.10.2023 08:29:24</t>
  </si>
  <si>
    <t>28.10.2023 08:30:24</t>
  </si>
  <si>
    <t>28.10.2023 08:31:25</t>
  </si>
  <si>
    <t>28.10.2023 08:32:25</t>
  </si>
  <si>
    <t>28.10.2023 08:33:25</t>
  </si>
  <si>
    <t>28.10.2023 08:34:25</t>
  </si>
  <si>
    <t>28.10.2023 08:35:25</t>
  </si>
  <si>
    <t>28.10.2023 08:36:25</t>
  </si>
  <si>
    <t>28.10.2023 08:37:25</t>
  </si>
  <si>
    <t>28.10.2023 08:38:26</t>
  </si>
  <si>
    <t>28.10.2023 08:39:26</t>
  </si>
  <si>
    <t>28.10.2023 08:40:26</t>
  </si>
  <si>
    <t>28.10.2023 08:41:26</t>
  </si>
  <si>
    <t>28.10.2023 08:42:26</t>
  </si>
  <si>
    <t>28.10.2023 08:43:26</t>
  </si>
  <si>
    <t>28.10.2023 08:44:26</t>
  </si>
  <si>
    <t>28.10.2023 08:45:27</t>
  </si>
  <si>
    <t>28.10.2023 08:46:27</t>
  </si>
  <si>
    <t>28.10.2023 08:47:27</t>
  </si>
  <si>
    <t>28.10.2023 08:48:27</t>
  </si>
  <si>
    <t>28.10.2023 08:49:27</t>
  </si>
  <si>
    <t>28.10.2023 08:50:27</t>
  </si>
  <si>
    <t>28.10.2023 08:51:27</t>
  </si>
  <si>
    <t>28.10.2023 08:52:28</t>
  </si>
  <si>
    <t>28.10.2023 08:53:28</t>
  </si>
  <si>
    <t>28.10.2023 08:54:28</t>
  </si>
  <si>
    <t>28.10.2023 08:55:28</t>
  </si>
  <si>
    <t>28.10.2023 08:56:28</t>
  </si>
  <si>
    <t>28.10.2023 08:57:28</t>
  </si>
  <si>
    <t>28.10.2023 08:58:28</t>
  </si>
  <si>
    <t>28.10.2023 08:59:29</t>
  </si>
  <si>
    <t>28.10.2023 09:00:29</t>
  </si>
  <si>
    <t>28.10.2023 09:01:29</t>
  </si>
  <si>
    <t>28.10.2023 09:02:29</t>
  </si>
  <si>
    <t>28.10.2023 09:03:29</t>
  </si>
  <si>
    <t>28.10.2023 09:04:29</t>
  </si>
  <si>
    <t>28.10.2023 09:05:29</t>
  </si>
  <si>
    <t>28.10.2023 09:06:30</t>
  </si>
  <si>
    <t>28.10.2023 09:07:30</t>
  </si>
  <si>
    <t>28.10.2023 09:08:30</t>
  </si>
  <si>
    <t>28.10.2023 09:09:30</t>
  </si>
  <si>
    <t>28.10.2023 09:10:30</t>
  </si>
  <si>
    <t>28.10.2023 09:11:30</t>
  </si>
  <si>
    <t>28.10.2023 09:12:30</t>
  </si>
  <si>
    <t>28.10.2023 09:13:31</t>
  </si>
  <si>
    <t>28.10.2023 09:14:31</t>
  </si>
  <si>
    <t>28.10.2023 09:15:31</t>
  </si>
  <si>
    <t>28.10.2023 09:16:31</t>
  </si>
  <si>
    <t>28.10.2023 09:17:31</t>
  </si>
  <si>
    <t>28.10.2023 09:18:31</t>
  </si>
  <si>
    <t>28.10.2023 09:19:31</t>
  </si>
  <si>
    <t>28.10.2023 09:20:32</t>
  </si>
  <si>
    <t>28.10.2023 09:21:32</t>
  </si>
  <si>
    <t>28.10.2023 09:22:32</t>
  </si>
  <si>
    <t>28.10.2023 09:23:32</t>
  </si>
  <si>
    <t>28.10.2023 09:24:32</t>
  </si>
  <si>
    <t>28.10.2023 09:25:32</t>
  </si>
  <si>
    <t>28.10.2023 09:26:32</t>
  </si>
  <si>
    <t>28.10.2023 09:27:33</t>
  </si>
  <si>
    <t>28.10.2023 09:28:33</t>
  </si>
  <si>
    <t>28.10.2023 09:29:33</t>
  </si>
  <si>
    <t>28.10.2023 09:30:33</t>
  </si>
  <si>
    <t>28.10.2023 09:31:33</t>
  </si>
  <si>
    <t>28.10.2023 09:32:33</t>
  </si>
  <si>
    <t>28.10.2023 09:33:34</t>
  </si>
  <si>
    <t>28.10.2023 09:34:34</t>
  </si>
  <si>
    <t>28.10.2023 09:35:34</t>
  </si>
  <si>
    <t>28.10.2023 09:36:34</t>
  </si>
  <si>
    <t>28.10.2023 09:37:34</t>
  </si>
  <si>
    <t>28.10.2023 09:38:34</t>
  </si>
  <si>
    <t>28.10.2023 09:39:34</t>
  </si>
  <si>
    <t>28.10.2023 09:40:35</t>
  </si>
  <si>
    <t>28.10.2023 09:41:35</t>
  </si>
  <si>
    <t>28.10.2023 09:42:35</t>
  </si>
  <si>
    <t>28.10.2023 09:43:35</t>
  </si>
  <si>
    <t>28.10.2023 09:44:35</t>
  </si>
  <si>
    <t>28.10.2023 09:45:35</t>
  </si>
  <si>
    <t>28.10.2023 09:46:35</t>
  </si>
  <si>
    <t>28.10.2023 09:47:36</t>
  </si>
  <si>
    <t>28.10.2023 09:48:36</t>
  </si>
  <si>
    <t>28.10.2023 09:49:36</t>
  </si>
  <si>
    <t>28.10.2023 09:50:36</t>
  </si>
  <si>
    <t>28.10.2023 09:51:36</t>
  </si>
  <si>
    <t>28.10.2023 09:52:36</t>
  </si>
  <si>
    <t>28.10.2023 09:53:37</t>
  </si>
  <si>
    <t>28.10.2023 09:54:37</t>
  </si>
  <si>
    <t>28.10.2023 09:55:37</t>
  </si>
  <si>
    <t>28.10.2023 09:56:37</t>
  </si>
  <si>
    <t>28.10.2023 09:57:37</t>
  </si>
  <si>
    <t>28.10.2023 09:58:37</t>
  </si>
  <si>
    <t>28.10.2023 09:59:37</t>
  </si>
  <si>
    <t>28.10.2023 10:00:38</t>
  </si>
  <si>
    <t>28.10.2023 10:01:38</t>
  </si>
  <si>
    <t>28.10.2023 10:02:38</t>
  </si>
  <si>
    <t>28.10.2023 10:03:38</t>
  </si>
  <si>
    <t>28.10.2023 10:04:38</t>
  </si>
  <si>
    <t>28.10.2023 10:05:38</t>
  </si>
  <si>
    <t>28.10.2023 10:06:38</t>
  </si>
  <si>
    <t>28.10.2023 10:07:39</t>
  </si>
  <si>
    <t>28.10.2023 10:08:39</t>
  </si>
  <si>
    <t>28.10.2023 10:09:39</t>
  </si>
  <si>
    <t>28.10.2023 10:10:39</t>
  </si>
  <si>
    <t>28.10.2023 10:11:39</t>
  </si>
  <si>
    <t>28.10.2023 10:12:39</t>
  </si>
  <si>
    <t>28.10.2023 10:13:39</t>
  </si>
  <si>
    <t>28.10.2023 10:14:40</t>
  </si>
  <si>
    <t>28.10.2023 10:15:40</t>
  </si>
  <si>
    <t>28.10.2023 10:16:40</t>
  </si>
  <si>
    <t>28.10.2023 10:17:40</t>
  </si>
  <si>
    <t>28.10.2023 10:18:40</t>
  </si>
  <si>
    <t>28.10.2023 10:19:40</t>
  </si>
  <si>
    <t>28.10.2023 10:20:41</t>
  </si>
  <si>
    <t>28.10.2023 10:21:41</t>
  </si>
  <si>
    <t>28.10.2023 10:22:41</t>
  </si>
  <si>
    <t>28.10.2023 10:23:41</t>
  </si>
  <si>
    <t>28.10.2023 10:24:41</t>
  </si>
  <si>
    <t>28.10.2023 10:25:41</t>
  </si>
  <si>
    <t>28.10.2023 10:26:41</t>
  </si>
  <si>
    <t>28.10.2023 10:27:42</t>
  </si>
  <si>
    <t>28.10.2023 10:28:42</t>
  </si>
  <si>
    <t>28.10.2023 10:29:42</t>
  </si>
  <si>
    <t>28.10.2023 10:30:42</t>
  </si>
  <si>
    <t>28.10.2023 10:31:42</t>
  </si>
  <si>
    <t>28.10.2023 10:32:42</t>
  </si>
  <si>
    <t>28.10.2023 10:33:42</t>
  </si>
  <si>
    <t>28.10.2023 10:34:43</t>
  </si>
  <si>
    <t>28.10.2023 10:35:43</t>
  </si>
  <si>
    <t>28.10.2023 10:36:43</t>
  </si>
  <si>
    <t>28.10.2023 10:37:43</t>
  </si>
  <si>
    <t>28.10.2023 10:38:43</t>
  </si>
  <si>
    <t>28.10.2023 10:39:43</t>
  </si>
  <si>
    <t>28.10.2023 10:40:44</t>
  </si>
  <si>
    <t>28.10.2023 10:41:44</t>
  </si>
  <si>
    <t>28.10.2023 10:42:44</t>
  </si>
  <si>
    <t>28.10.2023 10:43:44</t>
  </si>
  <si>
    <t>28.10.2023 10:44:44</t>
  </si>
  <si>
    <t>28.10.2023 10:45:44</t>
  </si>
  <si>
    <t>28.10.2023 10:46:44</t>
  </si>
  <si>
    <t>28.10.2023 10:47:45</t>
  </si>
  <si>
    <t>28.10.2023 10:48:45</t>
  </si>
  <si>
    <t>28.10.2023 10:49:45</t>
  </si>
  <si>
    <t>28.10.2023 10:50:45</t>
  </si>
  <si>
    <t>28.10.2023 10:51:45</t>
  </si>
  <si>
    <t>28.10.2023 10:52:45</t>
  </si>
  <si>
    <t>28.10.2023 10:53:45</t>
  </si>
  <si>
    <t>28.10.2023 10:54:46</t>
  </si>
  <si>
    <t>28.10.2023 10:55:46</t>
  </si>
  <si>
    <t>28.10.2023 10:56:46</t>
  </si>
  <si>
    <t>28.10.2023 10:57:46</t>
  </si>
  <si>
    <t>28.10.2023 10:58:46</t>
  </si>
  <si>
    <t>28.10.2023 10:59:46</t>
  </si>
  <si>
    <t>28.10.2023 11:00:46</t>
  </si>
  <si>
    <t>28.10.2023 11:01:47</t>
  </si>
  <si>
    <t>28.10.2023 11:02:47</t>
  </si>
  <si>
    <t>28.10.2023 11:03:47</t>
  </si>
  <si>
    <t>28.10.2023 11:04:47</t>
  </si>
  <si>
    <t>28.10.2023 11:05:47</t>
  </si>
  <si>
    <t>28.10.2023 11:06:47</t>
  </si>
  <si>
    <t>28.10.2023 11:07:48</t>
  </si>
  <si>
    <t>28.10.2023 11:08:48</t>
  </si>
  <si>
    <t>28.10.2023 11:09:48</t>
  </si>
  <si>
    <t>28.10.2023 11:10:48</t>
  </si>
  <si>
    <t>28.10.2023 11:11:48</t>
  </si>
  <si>
    <t>28.10.2023 11:12:48</t>
  </si>
  <si>
    <t>28.10.2023 11:13:48</t>
  </si>
  <si>
    <t>28.10.2023 11:14:49</t>
  </si>
  <si>
    <t>28.10.2023 11:15:49</t>
  </si>
  <si>
    <t>28.10.2023 11:16:49</t>
  </si>
  <si>
    <t>28.10.2023 11:17:49</t>
  </si>
  <si>
    <t>28.10.2023 11:18:49</t>
  </si>
  <si>
    <t>28.10.2023 11:19:49</t>
  </si>
  <si>
    <t>28.10.2023 11:20:49</t>
  </si>
  <si>
    <t>28.10.2023 11:21:50</t>
  </si>
  <si>
    <t>28.10.2023 11:22:50</t>
  </si>
  <si>
    <t>28.10.2023 11:23:50</t>
  </si>
  <si>
    <t>28.10.2023 11:24:50</t>
  </si>
  <si>
    <t>28.10.2023 11:25:50</t>
  </si>
  <si>
    <t>28.10.2023 11:26:50</t>
  </si>
  <si>
    <t>28.10.2023 11:27:51</t>
  </si>
  <si>
    <t>28.10.2023 11:28:51</t>
  </si>
  <si>
    <t>28.10.2023 11:29:51</t>
  </si>
  <si>
    <t>28.10.2023 11:30:51</t>
  </si>
  <si>
    <t>28.10.2023 11:31:51</t>
  </si>
  <si>
    <t>28.10.2023 11:32:51</t>
  </si>
  <si>
    <t>28.10.2023 11:33:51</t>
  </si>
  <si>
    <t>28.10.2023 11:34:52</t>
  </si>
  <si>
    <t>28.10.2023 11:35:52</t>
  </si>
  <si>
    <t>28.10.2023 11:36:52</t>
  </si>
  <si>
    <t>28.10.2023 11:37:52</t>
  </si>
  <si>
    <t>28.10.2023 11:38:52</t>
  </si>
  <si>
    <t>28.10.2023 11:39:52</t>
  </si>
  <si>
    <t>28.10.2023 11:40:52</t>
  </si>
  <si>
    <t>28.10.2023 11:41:53</t>
  </si>
  <si>
    <t>28.10.2023 11:42:53</t>
  </si>
  <si>
    <t>28.10.2023 11:43:53</t>
  </si>
  <si>
    <t>28.10.2023 11:44:53</t>
  </si>
  <si>
    <t>28.10.2023 11:45:53</t>
  </si>
  <si>
    <t>28.10.2023 11:46:53</t>
  </si>
  <si>
    <t>28.10.2023 11:47:54</t>
  </si>
  <si>
    <t>28.10.2023 11:48:54</t>
  </si>
  <si>
    <t>28.10.2023 11:49:54</t>
  </si>
  <si>
    <t>28.10.2023 11:50:54</t>
  </si>
  <si>
    <t>28.10.2023 11:51:54</t>
  </si>
  <si>
    <t>28.10.2023 11:52:54</t>
  </si>
  <si>
    <t>28.10.2023 11:53:54</t>
  </si>
  <si>
    <t>28.10.2023 11:54:55</t>
  </si>
  <si>
    <t>28.10.2023 11:55:55</t>
  </si>
  <si>
    <t>28.10.2023 11:56:55</t>
  </si>
  <si>
    <t>28.10.2023 11:57:55</t>
  </si>
  <si>
    <t>28.10.2023 11:58:55</t>
  </si>
  <si>
    <t>28.10.2023 11:59:55</t>
  </si>
  <si>
    <t>28.10.2023 12:00:55</t>
  </si>
  <si>
    <t>28.10.2023 12:01:56</t>
  </si>
  <si>
    <t>28.10.2023 12:02:56</t>
  </si>
  <si>
    <t>28.10.2023 12:03:56</t>
  </si>
  <si>
    <t>28.10.2023 12:04:56</t>
  </si>
  <si>
    <t>28.10.2023 12:05:56</t>
  </si>
  <si>
    <t>28.10.2023 12:06:56</t>
  </si>
  <si>
    <t>28.10.2023 12:07:57</t>
  </si>
  <si>
    <t>28.10.2023 12:08:57</t>
  </si>
  <si>
    <t>28.10.2023 12:09:57</t>
  </si>
  <si>
    <t>28.10.2023 12:10:57</t>
  </si>
  <si>
    <t>28.10.2023 12:11:57</t>
  </si>
  <si>
    <t>28.10.2023 12:12:57</t>
  </si>
  <si>
    <t>28.10.2023 12:13:57</t>
  </si>
  <si>
    <t>28.10.2023 12:14:58</t>
  </si>
  <si>
    <t>28.10.2023 12:15:58</t>
  </si>
  <si>
    <t>28.10.2023 12:16:58</t>
  </si>
  <si>
    <t>28.10.2023 12:17:58</t>
  </si>
  <si>
    <t>28.10.2023 12:18:58</t>
  </si>
  <si>
    <t>28.10.2023 12:19:58</t>
  </si>
  <si>
    <t>28.10.2023 12:20:58</t>
  </si>
  <si>
    <t>28.10.2023 12:21:59</t>
  </si>
  <si>
    <t>28.10.2023 12:22:59</t>
  </si>
  <si>
    <t>28.10.2023 12:23:59</t>
  </si>
  <si>
    <t>28.10.2023 12:24:59</t>
  </si>
  <si>
    <t>28.10.2023 12:25:59</t>
  </si>
  <si>
    <t>28.10.2023 12:26:59</t>
  </si>
  <si>
    <t>28.10.2023 12:27:59</t>
  </si>
  <si>
    <t>28.10.2023 12:29:00</t>
  </si>
  <si>
    <t>28.10.2023 12:30:00</t>
  </si>
  <si>
    <t>28.10.2023 12:31:00</t>
  </si>
  <si>
    <t>28.10.2023 12:32:00</t>
  </si>
  <si>
    <t>28.10.2023 12:33:00</t>
  </si>
  <si>
    <t>28.10.2023 12:34:00</t>
  </si>
  <si>
    <t>28.10.2023 12:35:00</t>
  </si>
  <si>
    <t>28.10.2023 12:36:01</t>
  </si>
  <si>
    <t>28.10.2023 12:37:01</t>
  </si>
  <si>
    <t>28.10.2023 12:38:01</t>
  </si>
  <si>
    <t>28.10.2023 12:39:01</t>
  </si>
  <si>
    <t>28.10.2023 12:40:01</t>
  </si>
  <si>
    <t>28.10.2023 12:41:01</t>
  </si>
  <si>
    <t>28.10.2023 12:42:01</t>
  </si>
  <si>
    <t>28.10.2023 12:43:02</t>
  </si>
  <si>
    <t>28.10.2023 12:44:02</t>
  </si>
  <si>
    <t>28.10.2023 12:45:02</t>
  </si>
  <si>
    <t>28.10.2023 12:46:02</t>
  </si>
  <si>
    <t>28.10.2023 12:47:02</t>
  </si>
  <si>
    <t>28.10.2023 12:48:02</t>
  </si>
  <si>
    <t>28.10.2023 12:49:03</t>
  </si>
  <si>
    <t>28.10.2023 12:50:03</t>
  </si>
  <si>
    <t>28.10.2023 12:51:03</t>
  </si>
  <si>
    <t>28.10.2023 12:52:03</t>
  </si>
  <si>
    <t>28.10.2023 12:53:03</t>
  </si>
  <si>
    <t>28.10.2023 12:54:03</t>
  </si>
  <si>
    <t>28.10.2023 12:55:03</t>
  </si>
  <si>
    <t>28.10.2023 12:56:04</t>
  </si>
  <si>
    <t>28.10.2023 12:57:04</t>
  </si>
  <si>
    <t>28.10.2023 12:58:04</t>
  </si>
  <si>
    <t>28.10.2023 12:59:04</t>
  </si>
  <si>
    <t>28.10.2023 13:00:04</t>
  </si>
  <si>
    <t>28.10.2023 13:01:04</t>
  </si>
  <si>
    <t>28.10.2023 13:02:04</t>
  </si>
  <si>
    <t>28.10.2023 13:03:05</t>
  </si>
  <si>
    <t>28.10.2023 13:04:05</t>
  </si>
  <si>
    <t>28.10.2023 13:05:05</t>
  </si>
  <si>
    <t>28.10.2023 13:06:05</t>
  </si>
  <si>
    <t>28.10.2023 13:07:05</t>
  </si>
  <si>
    <t>28.10.2023 13:08:05</t>
  </si>
  <si>
    <t>28.10.2023 13:09:06</t>
  </si>
  <si>
    <t>28.10.2023 13:10:06</t>
  </si>
  <si>
    <t>28.10.2023 13:11:06</t>
  </si>
  <si>
    <t>28.10.2023 13:12:06</t>
  </si>
  <si>
    <t>28.10.2023 13:13:06</t>
  </si>
  <si>
    <t>28.10.2023 13:14:06</t>
  </si>
  <si>
    <t>28.10.2023 13:15:06</t>
  </si>
  <si>
    <t>28.10.2023 13:16:07</t>
  </si>
  <si>
    <t>28.10.2023 13:17:07</t>
  </si>
  <si>
    <t>28.10.2023 13:18:07</t>
  </si>
  <si>
    <t>28.10.2023 13:19:07</t>
  </si>
  <si>
    <t>28.10.2023 13:20:07</t>
  </si>
  <si>
    <t>28.10.2023 13:21:07</t>
  </si>
  <si>
    <t>28.10.2023 13:22:07</t>
  </si>
  <si>
    <t>28.10.2023 13:23:08</t>
  </si>
  <si>
    <t>28.10.2023 13:24:08</t>
  </si>
  <si>
    <t>28.10.2023 13:25:08</t>
  </si>
  <si>
    <t>28.10.2023 13:26:08</t>
  </si>
  <si>
    <t>28.10.2023 13:27:08</t>
  </si>
  <si>
    <t>28.10.2023 13:28:08</t>
  </si>
  <si>
    <t>28.10.2023 13:29:08</t>
  </si>
  <si>
    <t>28.10.2023 13:30:09</t>
  </si>
  <si>
    <t>28.10.2023 13:31:09</t>
  </si>
  <si>
    <t>28.10.2023 13:32:09</t>
  </si>
  <si>
    <t>28.10.2023 13:33:09</t>
  </si>
  <si>
    <t>28.10.2023 13:34:09</t>
  </si>
  <si>
    <t>28.10.2023 13:35:09</t>
  </si>
  <si>
    <t>28.10.2023 13:36:09</t>
  </si>
  <si>
    <t>28.10.2023 13:37:10</t>
  </si>
  <si>
    <t>28.10.2023 13:38:10</t>
  </si>
  <si>
    <t>28.10.2023 13:39:10</t>
  </si>
  <si>
    <t>28.10.2023 13:40:10</t>
  </si>
  <si>
    <t>28.10.2023 13:41:10</t>
  </si>
  <si>
    <t>28.10.2023 13:42:10</t>
  </si>
  <si>
    <t>28.10.2023 13:43:11</t>
  </si>
  <si>
    <t>28.10.2023 13:44:11</t>
  </si>
  <si>
    <t>28.10.2023 13:45:11</t>
  </si>
  <si>
    <t>28.10.2023 13:46:11</t>
  </si>
  <si>
    <t>28.10.2023 13:47:11</t>
  </si>
  <si>
    <t>28.10.2023 13:48:11</t>
  </si>
  <si>
    <t>28.10.2023 13:49:11</t>
  </si>
  <si>
    <t>28.10.2023 13:50:12</t>
  </si>
  <si>
    <t>28.10.2023 13:51:12</t>
  </si>
  <si>
    <t>28.10.2023 13:52:12</t>
  </si>
  <si>
    <t>28.10.2023 13:53:12</t>
  </si>
  <si>
    <t>28.10.2023 13:54:12</t>
  </si>
  <si>
    <t>28.10.2023 13:55:12</t>
  </si>
  <si>
    <t>28.10.2023 13:56:12</t>
  </si>
  <si>
    <t>28.10.2023 13:57:13</t>
  </si>
  <si>
    <t>28.10.2023 13:58:13</t>
  </si>
  <si>
    <t>28.10.2023 13:59:13</t>
  </si>
  <si>
    <t>28.10.2023 14:00:13</t>
  </si>
  <si>
    <t>28.10.2023 14:01:13</t>
  </si>
  <si>
    <t>28.10.2023 14:02:13</t>
  </si>
  <si>
    <t>28.10.2023 14:03:14</t>
  </si>
  <si>
    <t>28.10.2023 14:04:14</t>
  </si>
  <si>
    <t>28.10.2023 14:05:14</t>
  </si>
  <si>
    <t>28.10.2023 14:06:14</t>
  </si>
  <si>
    <t>28.10.2023 14:07:14</t>
  </si>
  <si>
    <t>28.10.2023 14:08:14</t>
  </si>
  <si>
    <t>28.10.2023 14:09:14</t>
  </si>
  <si>
    <t>28.10.2023 14:10:15</t>
  </si>
  <si>
    <t>28.10.2023 14:11:15</t>
  </si>
  <si>
    <t>28.10.2023 14:12:15</t>
  </si>
  <si>
    <t>28.10.2023 14:13:15</t>
  </si>
  <si>
    <t>28.10.2023 14:14:15</t>
  </si>
  <si>
    <t>28.10.2023 14:15:15</t>
  </si>
  <si>
    <t>28.10.2023 14:16:15</t>
  </si>
  <si>
    <t>28.10.2023 14:17:16</t>
  </si>
  <si>
    <t>28.10.2023 14:18:16</t>
  </si>
  <si>
    <t>28.10.2023 14:19:16</t>
  </si>
  <si>
    <t>28.10.2023 14:20:16</t>
  </si>
  <si>
    <t>28.10.2023 14:21:16</t>
  </si>
  <si>
    <t>28.10.2023 14:22:16</t>
  </si>
  <si>
    <t>28.10.2023 14:23:17</t>
  </si>
  <si>
    <t>28.10.2023 14:24:17</t>
  </si>
  <si>
    <t>28.10.2023 14:25:17</t>
  </si>
  <si>
    <t>28.10.2023 14:26:17</t>
  </si>
  <si>
    <t>28.10.2023 14:27:17</t>
  </si>
  <si>
    <t>28.10.2023 14:28:17</t>
  </si>
  <si>
    <t>28.10.2023 14:29:17</t>
  </si>
  <si>
    <t>28.10.2023 14:30:17</t>
  </si>
  <si>
    <t>28.10.2023 14:31:18</t>
  </si>
  <si>
    <t>28.10.2023 14:32:18</t>
  </si>
  <si>
    <t>28.10.2023 14:33:18</t>
  </si>
  <si>
    <t>28.10.2023 14:34:18</t>
  </si>
  <si>
    <t>28.10.2023 14:35:18</t>
  </si>
  <si>
    <t>28.10.2023 14:36:18</t>
  </si>
  <si>
    <t>28.10.2023 14:37:18</t>
  </si>
  <si>
    <t>28.10.2023 14:38:19</t>
  </si>
  <si>
    <t>28.10.2023 14:39:19</t>
  </si>
  <si>
    <t>28.10.2023 14:40:19</t>
  </si>
  <si>
    <t>28.10.2023 14:41:19</t>
  </si>
  <si>
    <t>28.10.2023 14:42:19</t>
  </si>
  <si>
    <t>28.10.2023 14:43:19</t>
  </si>
  <si>
    <t>28.10.2023 14:44:19</t>
  </si>
  <si>
    <t>28.10.2023 14:45:20</t>
  </si>
  <si>
    <t>28.10.2023 14:46:20</t>
  </si>
  <si>
    <t>28.10.2023 14:47:20</t>
  </si>
  <si>
    <t>28.10.2023 14:48:20</t>
  </si>
  <si>
    <t>28.10.2023 14:49:20</t>
  </si>
  <si>
    <t>28.10.2023 14:50:20</t>
  </si>
  <si>
    <t>28.10.2023 14:51:20</t>
  </si>
  <si>
    <t>28.10.2023 14:52:21</t>
  </si>
  <si>
    <t>28.10.2023 14:53:21</t>
  </si>
  <si>
    <t>28.10.2023 14:54:21</t>
  </si>
  <si>
    <t>28.10.2023 14:55:21</t>
  </si>
  <si>
    <t>28.10.2023 14:56:21</t>
  </si>
  <si>
    <t>28.10.2023 14:57:21</t>
  </si>
  <si>
    <t>28.10.2023 14:58:22</t>
  </si>
  <si>
    <t>28.10.2023 14:59:22</t>
  </si>
  <si>
    <t>28.10.2023 15:00:22</t>
  </si>
  <si>
    <t>28.10.2023 15:01:22</t>
  </si>
  <si>
    <t>28.10.2023 15:02:22</t>
  </si>
  <si>
    <t>28.10.2023 15:03:22</t>
  </si>
  <si>
    <t>28.10.2023 15:04:22</t>
  </si>
  <si>
    <t>28.10.2023 15:05:23</t>
  </si>
  <si>
    <t>28.10.2023 15:06:23</t>
  </si>
  <si>
    <t>28.10.2023 15:07:23</t>
  </si>
  <si>
    <t>28.10.2023 15:08:23</t>
  </si>
  <si>
    <t>28.10.2023 15:09:23</t>
  </si>
  <si>
    <t>28.10.2023 15:10:23</t>
  </si>
  <si>
    <t>28.10.2023 15:11:23</t>
  </si>
  <si>
    <t>28.10.2023 15:12:24</t>
  </si>
  <si>
    <t>28.10.2023 15:13:24</t>
  </si>
  <si>
    <t>28.10.2023 15:14:24</t>
  </si>
  <si>
    <t>28.10.2023 15:15:24</t>
  </si>
  <si>
    <t>28.10.2023 15:16:24</t>
  </si>
  <si>
    <t>28.10.2023 15:17:24</t>
  </si>
  <si>
    <t>28.10.2023 15:18:24</t>
  </si>
  <si>
    <t>28.10.2023 15:19:25</t>
  </si>
  <si>
    <t>28.10.2023 15:20:25</t>
  </si>
  <si>
    <t>28.10.2023 15:21:25</t>
  </si>
  <si>
    <t>28.10.2023 15:22:25</t>
  </si>
  <si>
    <t>28.10.2023 15:23:25</t>
  </si>
  <si>
    <t>28.10.2023 15:24:25</t>
  </si>
  <si>
    <t>28.10.2023 15:25:25</t>
  </si>
  <si>
    <t>28.10.2023 15:26:25</t>
  </si>
  <si>
    <t>28.10.2023 15:27:25</t>
  </si>
  <si>
    <t>28.10.2023 15:28:26</t>
  </si>
  <si>
    <t>28.10.2023 15:29:26</t>
  </si>
  <si>
    <t>28.10.2023 15:30:26</t>
  </si>
  <si>
    <t>28.10.2023 15:31:26</t>
  </si>
  <si>
    <t>28.10.2023 15:32:26</t>
  </si>
  <si>
    <t>28.10.2023 15:33:26</t>
  </si>
  <si>
    <t>28.10.2023 15:34:27</t>
  </si>
  <si>
    <t>28.10.2023 15:35:27</t>
  </si>
  <si>
    <t>28.10.2023 15:36:27</t>
  </si>
  <si>
    <t>28.10.2023 15:37:27</t>
  </si>
  <si>
    <t>28.10.2023 15:38:27</t>
  </si>
  <si>
    <t>28.10.2023 15:39:27</t>
  </si>
  <si>
    <t>28.10.2023 15:40:27</t>
  </si>
  <si>
    <t>28.10.2023 15:41:28</t>
  </si>
  <si>
    <t>28.10.2023 15:42:28</t>
  </si>
  <si>
    <t>28.10.2023 15:43:28</t>
  </si>
  <si>
    <t>28.10.2023 15:44:28</t>
  </si>
  <si>
    <t>28.10.2023 15:45:28</t>
  </si>
  <si>
    <t>28.10.2023 15:46:28</t>
  </si>
  <si>
    <t>28.10.2023 15:47:28</t>
  </si>
  <si>
    <t>28.10.2023 15:48:29</t>
  </si>
  <si>
    <t>28.10.2023 15:49:29</t>
  </si>
  <si>
    <t>28.10.2023 15:50:29</t>
  </si>
  <si>
    <t>28.10.2023 15:51:29</t>
  </si>
  <si>
    <t>28.10.2023 15:52:29</t>
  </si>
  <si>
    <t>28.10.2023 15:53:29</t>
  </si>
  <si>
    <t>28.10.2023 15:54:29</t>
  </si>
  <si>
    <t>28.10.2023 15:55:30</t>
  </si>
  <si>
    <t>28.10.2023 15:56:30</t>
  </si>
  <si>
    <t>28.10.2023 15:57:30</t>
  </si>
  <si>
    <t>28.10.2023 15:58:30</t>
  </si>
  <si>
    <t>28.10.2023 15:59:30</t>
  </si>
  <si>
    <t>28.10.2023 16:00:30</t>
  </si>
  <si>
    <t>28.10.2023 16:01:31</t>
  </si>
  <si>
    <t>28.10.2023 16:02:31</t>
  </si>
  <si>
    <t>28.10.2023 16:03:31</t>
  </si>
  <si>
    <t>28.10.2023 16:04:31</t>
  </si>
  <si>
    <t>28.10.2023 16:05:31</t>
  </si>
  <si>
    <t>28.10.2023 16:06:31</t>
  </si>
  <si>
    <t>28.10.2023 16:07:31</t>
  </si>
  <si>
    <t>28.10.2023 16:08:32</t>
  </si>
  <si>
    <t>28.10.2023 16:09:32</t>
  </si>
  <si>
    <t>28.10.2023 16:10:32</t>
  </si>
  <si>
    <t>28.10.2023 16:11:32</t>
  </si>
  <si>
    <t>28.10.2023 16:12:32</t>
  </si>
  <si>
    <t>28.10.2023 16:13:32</t>
  </si>
  <si>
    <t>28.10.2023 16:14:32</t>
  </si>
  <si>
    <t>28.10.2023 16:15:33</t>
  </si>
  <si>
    <t>28.10.2023 16:16:33</t>
  </si>
  <si>
    <t>28.10.2023 16:17:33</t>
  </si>
  <si>
    <t>28.10.2023 16:18:33</t>
  </si>
  <si>
    <t>28.10.2023 16:19:33</t>
  </si>
  <si>
    <t>28.10.2023 16:20:33</t>
  </si>
  <si>
    <t>28.10.2023 16:21:34</t>
  </si>
  <si>
    <t>28.10.2023 16:22:34</t>
  </si>
  <si>
    <t>28.10.2023 16:23:34</t>
  </si>
  <si>
    <t>28.10.2023 16:24:34</t>
  </si>
  <si>
    <t>28.10.2023 16:25:34</t>
  </si>
  <si>
    <t>28.10.2023 16:26:34</t>
  </si>
  <si>
    <t>28.10.2023 16:27:34</t>
  </si>
  <si>
    <t>28.10.2023 16:28:35</t>
  </si>
  <si>
    <t>28.10.2023 16:29:35</t>
  </si>
  <si>
    <t>28.10.2023 16:30:35</t>
  </si>
  <si>
    <t>28.10.2023 16:31:35</t>
  </si>
  <si>
    <t>28.10.2023 16:32:35</t>
  </si>
  <si>
    <t>28.10.2023 16:33:35</t>
  </si>
  <si>
    <t>28.10.2023 16:34:35</t>
  </si>
  <si>
    <t>28.10.2023 16:35:36</t>
  </si>
  <si>
    <t>28.10.2023 16:36:36</t>
  </si>
  <si>
    <t>28.10.2023 16:37:36</t>
  </si>
  <si>
    <t>28.10.2023 16:38:36</t>
  </si>
  <si>
    <t>28.10.2023 16:39:36</t>
  </si>
  <si>
    <t>28.10.2023 16:40:36</t>
  </si>
  <si>
    <t>28.10.2023 16:41:37</t>
  </si>
  <si>
    <t>28.10.2023 16:42:37</t>
  </si>
  <si>
    <t>28.10.2023 16:43:37</t>
  </si>
  <si>
    <t>28.10.2023 16:44:37</t>
  </si>
  <si>
    <t>28.10.2023 16:45:37</t>
  </si>
  <si>
    <t>28.10.2023 16:46:37</t>
  </si>
  <si>
    <t>28.10.2023 16:47:37</t>
  </si>
  <si>
    <t>28.10.2023 16:48:38</t>
  </si>
  <si>
    <t>28.10.2023 16:49:38</t>
  </si>
  <si>
    <t>28.10.2023 16:50:38</t>
  </si>
  <si>
    <t>28.10.2023 16:51:38</t>
  </si>
  <si>
    <t>28.10.2023 16:52:38</t>
  </si>
  <si>
    <t>28.10.2023 16:53:38</t>
  </si>
  <si>
    <t>28.10.2023 16:54:38</t>
  </si>
  <si>
    <t>28.10.2023 16:55:39</t>
  </si>
  <si>
    <t>28.10.2023 16:56:39</t>
  </si>
  <si>
    <t>28.10.2023 16:57:39</t>
  </si>
  <si>
    <t>28.10.2023 16:58:39</t>
  </si>
  <si>
    <t>28.10.2023 16:59:39</t>
  </si>
  <si>
    <t>28.10.2023 17:00:39</t>
  </si>
  <si>
    <t>28.10.2023 17:01:40</t>
  </si>
  <si>
    <t>28.10.2023 17:02:40</t>
  </si>
  <si>
    <t>28.10.2023 17:03:40</t>
  </si>
  <si>
    <t>28.10.2023 17:04:40</t>
  </si>
  <si>
    <t>28.10.2023 17:05:40</t>
  </si>
  <si>
    <t>28.10.2023 17:06:40</t>
  </si>
  <si>
    <t>28.10.2023 17:07:40</t>
  </si>
  <si>
    <t>28.10.2023 17:08:41</t>
  </si>
  <si>
    <t>28.10.2023 17:09:41</t>
  </si>
  <si>
    <t>28.10.2023 17:10:41</t>
  </si>
  <si>
    <t>28.10.2023 17:11:41</t>
  </si>
  <si>
    <t>28.10.2023 17:12:41</t>
  </si>
  <si>
    <t>28.10.2023 17:13:41</t>
  </si>
  <si>
    <t>28.10.2023 17:14:42</t>
  </si>
  <si>
    <t>28.10.2023 17:15:42</t>
  </si>
  <si>
    <t>28.10.2023 17:16:42</t>
  </si>
  <si>
    <t>28.10.2023 17:17:42</t>
  </si>
  <si>
    <t>28.10.2023 17:18:42</t>
  </si>
  <si>
    <t>28.10.2023 17:19:42</t>
  </si>
  <si>
    <t>28.10.2023 17:20:42</t>
  </si>
  <si>
    <t>28.10.2023 17:21:43</t>
  </si>
  <si>
    <t>28.10.2023 17:22:43</t>
  </si>
  <si>
    <t>28.10.2023 17:23:43</t>
  </si>
  <si>
    <t>28.10.2023 17:24:43</t>
  </si>
  <si>
    <t>28.10.2023 17:25:43</t>
  </si>
  <si>
    <t>28.10.2023 17:26:43</t>
  </si>
  <si>
    <t>28.10.2023 17:27:43</t>
  </si>
  <si>
    <t>28.10.2023 17:28:44</t>
  </si>
  <si>
    <t>28.10.2023 17:29:44</t>
  </si>
  <si>
    <t>28.10.2023 17:30:44</t>
  </si>
  <si>
    <t>28.10.2023 17:31:44</t>
  </si>
  <si>
    <t>28.10.2023 17:32:44</t>
  </si>
  <si>
    <t>28.10.2023 17:33:44</t>
  </si>
  <si>
    <t>28.10.2023 17:34:44</t>
  </si>
  <si>
    <t>28.10.2023 17:35:45</t>
  </si>
  <si>
    <t>28.10.2023 17:36:45</t>
  </si>
  <si>
    <t>28.10.2023 17:37:45</t>
  </si>
  <si>
    <t>28.10.2023 17:38:45</t>
  </si>
  <si>
    <t>28.10.2023 17:39:45</t>
  </si>
  <si>
    <t>28.10.2023 17:40:45</t>
  </si>
  <si>
    <t>28.10.2023 17:41:46</t>
  </si>
  <si>
    <t>28.10.2023 17:42:46</t>
  </si>
  <si>
    <t>28.10.2023 17:43:46</t>
  </si>
  <si>
    <t>28.10.2023 17:44:46</t>
  </si>
  <si>
    <t>28.10.2023 17:45:46</t>
  </si>
  <si>
    <t>28.10.2023 17:46:46</t>
  </si>
  <si>
    <t>28.10.2023 17:47:46</t>
  </si>
  <si>
    <t>28.10.2023 17:48:47</t>
  </si>
  <si>
    <t>28.10.2023 17:49:47</t>
  </si>
  <si>
    <t>28.10.2023 17:50:47</t>
  </si>
  <si>
    <t>28.10.2023 17:51:47</t>
  </si>
  <si>
    <t>28.10.2023 17:52:47</t>
  </si>
  <si>
    <t>28.10.2023 17:53:47</t>
  </si>
  <si>
    <t>28.10.2023 17:54:47</t>
  </si>
  <si>
    <t>28.10.2023 17:55:48</t>
  </si>
  <si>
    <t>28.10.2023 17:56:48</t>
  </si>
  <si>
    <t>28.10.2023 17:57:48</t>
  </si>
  <si>
    <t>28.10.2023 17:58:48</t>
  </si>
  <si>
    <t>28.10.2023 17:59:48</t>
  </si>
  <si>
    <t>28.10.2023 18:00:48</t>
  </si>
  <si>
    <t>28.10.2023 18:01:49</t>
  </si>
  <si>
    <t>28.10.2023 18:02:49</t>
  </si>
  <si>
    <t>28.10.2023 18:03:49</t>
  </si>
  <si>
    <t>28.10.2023 18:04:49</t>
  </si>
  <si>
    <t>28.10.2023 18:05:49</t>
  </si>
  <si>
    <t>28.10.2023 18:06:49</t>
  </si>
  <si>
    <t>28.10.2023 18:07:49</t>
  </si>
  <si>
    <t>28.10.2023 18:08:49</t>
  </si>
  <si>
    <t>28.10.2023 18:09:50</t>
  </si>
  <si>
    <t>28.10.2023 18:10:50</t>
  </si>
  <si>
    <t>28.10.2023 18:11:50</t>
  </si>
  <si>
    <t>28.10.2023 18:12:50</t>
  </si>
  <si>
    <t>28.10.2023 18:13:50</t>
  </si>
  <si>
    <t>28.10.2023 18:14:50</t>
  </si>
  <si>
    <t>28.10.2023 18:15:51</t>
  </si>
  <si>
    <t>28.10.2023 18:16:51</t>
  </si>
  <si>
    <t>28.10.2023 18:17:51</t>
  </si>
  <si>
    <t>28.10.2023 18:18:51</t>
  </si>
  <si>
    <t>28.10.2023 18:19:51</t>
  </si>
  <si>
    <t>28.10.2023 18:20:51</t>
  </si>
  <si>
    <t>28.10.2023 18:21:51</t>
  </si>
  <si>
    <t>28.10.2023 18:22:52</t>
  </si>
  <si>
    <t>28.10.2023 18:23:52</t>
  </si>
  <si>
    <t>28.10.2023 18:24:52</t>
  </si>
  <si>
    <t>28.10.2023 18:25:52</t>
  </si>
  <si>
    <t>28.10.2023 18:26:52</t>
  </si>
  <si>
    <t>28.10.2023 18:27:52</t>
  </si>
  <si>
    <t>28.10.2023 18:28:53</t>
  </si>
  <si>
    <t>28.10.2023 18:29:53</t>
  </si>
  <si>
    <t>28.10.2023 18:30:53</t>
  </si>
  <si>
    <t>28.10.2023 18:31:53</t>
  </si>
  <si>
    <t>28.10.2023 18:32:53</t>
  </si>
  <si>
    <t>28.10.2023 18:33:53</t>
  </si>
  <si>
    <t>28.10.2023 18:34:53</t>
  </si>
  <si>
    <t>28.10.2023 18:35:54</t>
  </si>
  <si>
    <t>28.10.2023 18:36:54</t>
  </si>
  <si>
    <t>28.10.2023 18:37:54</t>
  </si>
  <si>
    <t>28.10.2023 18:38:54</t>
  </si>
  <si>
    <t>28.10.2023 18:39:54</t>
  </si>
  <si>
    <t>28.10.2023 18:40:54</t>
  </si>
  <si>
    <t>28.10.2023 18:41:54</t>
  </si>
  <si>
    <t>28.10.2023 18:42:54</t>
  </si>
  <si>
    <t>28.10.2023 18:43:54</t>
  </si>
  <si>
    <t>28.10.2023 18:44:55</t>
  </si>
  <si>
    <t>28.10.2023 18:45:55</t>
  </si>
  <si>
    <t>28.10.2023 18:46:55</t>
  </si>
  <si>
    <t>28.10.2023 18:47:55</t>
  </si>
  <si>
    <t>28.10.2023 18:48:55</t>
  </si>
  <si>
    <t>28.10.2023 18:49:55</t>
  </si>
  <si>
    <t>28.10.2023 18:50:56</t>
  </si>
  <si>
    <t>28.10.2023 18:51:56</t>
  </si>
  <si>
    <t>28.10.2023 18:52:56</t>
  </si>
  <si>
    <t>28.10.2023 18:53:56</t>
  </si>
  <si>
    <t>28.10.2023 18:54:56</t>
  </si>
  <si>
    <t>28.10.2023 18:55:56</t>
  </si>
  <si>
    <t>28.10.2023 18:56:56</t>
  </si>
  <si>
    <t>28.10.2023 18:57:57</t>
  </si>
  <si>
    <t>28.10.2023 18:58:57</t>
  </si>
  <si>
    <t>28.10.2023 18:59:57</t>
  </si>
  <si>
    <t>28.10.2023 19:00:57</t>
  </si>
  <si>
    <t>28.10.2023 19:01:57</t>
  </si>
  <si>
    <t>28.10.2023 19:02:57</t>
  </si>
  <si>
    <t>28.10.2023 19:03:58</t>
  </si>
  <si>
    <t>28.10.2023 19:04:58</t>
  </si>
  <si>
    <t>28.10.2023 19:05:58</t>
  </si>
  <si>
    <t>28.10.2023 19:06:58</t>
  </si>
  <si>
    <t>28.10.2023 19:07:58</t>
  </si>
  <si>
    <t>28.10.2023 19:08:58</t>
  </si>
  <si>
    <t>28.10.2023 19:09:58</t>
  </si>
  <si>
    <t>28.10.2023 19:10:59</t>
  </si>
  <si>
    <t>28.10.2023 19:11:59</t>
  </si>
  <si>
    <t>28.10.2023 19:12:59</t>
  </si>
  <si>
    <t>28.10.2023 19:13:59</t>
  </si>
  <si>
    <t>28.10.2023 19:14:59</t>
  </si>
  <si>
    <t>28.10.2023 19:15:59</t>
  </si>
  <si>
    <t>28.10.2023 19:17:00</t>
  </si>
  <si>
    <t>28.10.2023 19:18:00</t>
  </si>
  <si>
    <t>28.10.2023 19:19:00</t>
  </si>
  <si>
    <t>28.10.2023 19:20:00</t>
  </si>
  <si>
    <t>28.10.2023 19:21:00</t>
  </si>
  <si>
    <t>28.10.2023 19:22:00</t>
  </si>
  <si>
    <t>28.10.2023 19:23:00</t>
  </si>
  <si>
    <t>28.10.2023 19:24:00</t>
  </si>
  <si>
    <t>28.10.2023 19:25:00</t>
  </si>
  <si>
    <t>28.10.2023 19:26:01</t>
  </si>
  <si>
    <t>28.10.2023 19:27:01</t>
  </si>
  <si>
    <t>28.10.2023 19:28:01</t>
  </si>
  <si>
    <t>28.10.2023 19:29:01</t>
  </si>
  <si>
    <t>28.10.2023 19:30:01</t>
  </si>
  <si>
    <t>28.10.2023 19:31:01</t>
  </si>
  <si>
    <t>28.10.2023 19:32:01</t>
  </si>
  <si>
    <t>28.10.2023 19:33:02</t>
  </si>
  <si>
    <t>28.10.2023 19:34:02</t>
  </si>
  <si>
    <t>28.10.2023 19:35:02</t>
  </si>
  <si>
    <t>28.10.2023 19:36:02</t>
  </si>
  <si>
    <t>28.10.2023 19:37:02</t>
  </si>
  <si>
    <t>28.10.2023 19:38:02</t>
  </si>
  <si>
    <t>28.10.2023 19:39:03</t>
  </si>
  <si>
    <t>28.10.2023 19:40:03</t>
  </si>
  <si>
    <t>28.10.2023 19:41:03</t>
  </si>
  <si>
    <t>28.10.2023 19:42:03</t>
  </si>
  <si>
    <t>28.10.2023 19:43:03</t>
  </si>
  <si>
    <t>28.10.2023 19:44:03</t>
  </si>
  <si>
    <t>28.10.2023 19:45:03</t>
  </si>
  <si>
    <t>28.10.2023 19:46:04</t>
  </si>
  <si>
    <t>28.10.2023 19:47:04</t>
  </si>
  <si>
    <t>28.10.2023 19:48:04</t>
  </si>
  <si>
    <t>CATENACCI</t>
  </si>
  <si>
    <t>Nel blocco Feed c'è anche la portata</t>
  </si>
  <si>
    <t>SLUDGE</t>
  </si>
  <si>
    <t>time</t>
  </si>
  <si>
    <t>Ac</t>
  </si>
  <si>
    <t>Pro</t>
  </si>
  <si>
    <t>Bu</t>
  </si>
  <si>
    <t>Va</t>
  </si>
  <si>
    <t>tBMP</t>
  </si>
  <si>
    <t>pVS</t>
  </si>
  <si>
    <t>sVS</t>
  </si>
  <si>
    <t>tCH</t>
  </si>
  <si>
    <t>tPR</t>
  </si>
  <si>
    <t>pLI_pVS</t>
  </si>
  <si>
    <t>sCOD</t>
  </si>
  <si>
    <t>sCH</t>
  </si>
  <si>
    <t>sPR</t>
  </si>
  <si>
    <t>day</t>
  </si>
  <si>
    <t>gTS/kg</t>
  </si>
  <si>
    <t>mg/L</t>
  </si>
  <si>
    <t>come da misure old Ari (vedi note in blocco feed)</t>
  </si>
  <si>
    <t>SLUDGE SS</t>
  </si>
  <si>
    <t>YOGURTH</t>
  </si>
  <si>
    <t>DIRECT</t>
  </si>
  <si>
    <t>pH inserted as a fixed parameter up to now</t>
  </si>
  <si>
    <t>FLORES</t>
  </si>
  <si>
    <t>su</t>
  </si>
  <si>
    <t>aa</t>
  </si>
  <si>
    <t>fa</t>
  </si>
  <si>
    <t>va</t>
  </si>
  <si>
    <t>bu</t>
  </si>
  <si>
    <t>pro</t>
  </si>
  <si>
    <t>ac</t>
  </si>
  <si>
    <t>h2</t>
  </si>
  <si>
    <t>ch4</t>
  </si>
  <si>
    <t>tic</t>
  </si>
  <si>
    <t>tan</t>
  </si>
  <si>
    <t>si</t>
  </si>
  <si>
    <t>xc</t>
  </si>
  <si>
    <t>xch</t>
  </si>
  <si>
    <t>xpr</t>
  </si>
  <si>
    <t>xli</t>
  </si>
  <si>
    <t>xsu</t>
  </si>
  <si>
    <t>xaa</t>
  </si>
  <si>
    <r>
      <rPr>
        <i/>
        <sz val="12"/>
        <rFont val="Arial"/>
        <family val="2"/>
      </rPr>
      <t>X</t>
    </r>
    <r>
      <rPr>
        <vertAlign val="subscript"/>
        <sz val="12"/>
        <rFont val="Arial"/>
        <family val="2"/>
      </rPr>
      <t>fa</t>
    </r>
  </si>
  <si>
    <r>
      <rPr>
        <i/>
        <sz val="12"/>
        <rFont val="Arial"/>
        <family val="2"/>
      </rPr>
      <t>X</t>
    </r>
    <r>
      <rPr>
        <vertAlign val="subscript"/>
        <sz val="12"/>
        <rFont val="Arial"/>
        <family val="2"/>
      </rPr>
      <t>c4</t>
    </r>
  </si>
  <si>
    <r>
      <rPr>
        <i/>
        <sz val="12"/>
        <rFont val="Arial"/>
        <family val="2"/>
      </rPr>
      <t>X</t>
    </r>
    <r>
      <rPr>
        <vertAlign val="subscript"/>
        <sz val="12"/>
        <rFont val="Arial"/>
        <family val="2"/>
      </rPr>
      <t>pro</t>
    </r>
  </si>
  <si>
    <r>
      <rPr>
        <i/>
        <sz val="12"/>
        <rFont val="Arial"/>
        <family val="2"/>
      </rPr>
      <t>X</t>
    </r>
    <r>
      <rPr>
        <vertAlign val="subscript"/>
        <sz val="12"/>
        <rFont val="Arial"/>
        <family val="2"/>
      </rPr>
      <t>ac</t>
    </r>
  </si>
  <si>
    <r>
      <rPr>
        <i/>
        <sz val="12"/>
        <rFont val="Arial"/>
        <family val="2"/>
      </rPr>
      <t>X</t>
    </r>
    <r>
      <rPr>
        <vertAlign val="subscript"/>
        <sz val="12"/>
        <rFont val="Arial"/>
        <family val="2"/>
      </rPr>
      <t>h2</t>
    </r>
  </si>
  <si>
    <r>
      <rPr>
        <i/>
        <sz val="12"/>
        <rFont val="Arial"/>
        <family val="2"/>
      </rPr>
      <t>X</t>
    </r>
    <r>
      <rPr>
        <vertAlign val="subscript"/>
        <sz val="12"/>
        <rFont val="Arial"/>
        <family val="2"/>
      </rPr>
      <t>I</t>
    </r>
  </si>
  <si>
    <t>Xp</t>
  </si>
  <si>
    <t>Scat</t>
  </si>
  <si>
    <t>San</t>
  </si>
  <si>
    <t>mgC/L</t>
  </si>
  <si>
    <t>DIGESTATO FRAGEA</t>
  </si>
  <si>
    <t xml:space="preserve">Missing precipitates </t>
  </si>
  <si>
    <t>Used for "steady" Inoculum set up  in BMP (20/10/2023)</t>
  </si>
  <si>
    <t>xfa</t>
  </si>
  <si>
    <t>xc4</t>
  </si>
  <si>
    <t>xpro</t>
  </si>
  <si>
    <t>xac</t>
  </si>
  <si>
    <t>xh2</t>
  </si>
  <si>
    <t xml:space="preserve">xc </t>
  </si>
  <si>
    <t>xi</t>
  </si>
  <si>
    <t>xchr</t>
  </si>
  <si>
    <t>xchm</t>
  </si>
  <si>
    <t>xchs</t>
  </si>
  <si>
    <t>xprr</t>
  </si>
  <si>
    <t>xprs</t>
  </si>
  <si>
    <t>xp</t>
  </si>
  <si>
    <t>ortop</t>
  </si>
  <si>
    <t>cat</t>
  </si>
  <si>
    <t xml:space="preserve">ca </t>
  </si>
  <si>
    <t>mg</t>
  </si>
  <si>
    <t>an</t>
  </si>
  <si>
    <t>ash</t>
  </si>
  <si>
    <t>xlig</t>
  </si>
  <si>
    <t>acp</t>
  </si>
  <si>
    <t>stru</t>
  </si>
  <si>
    <t>ccm</t>
  </si>
  <si>
    <t>mag</t>
  </si>
  <si>
    <t>NIR</t>
  </si>
  <si>
    <t>MAIZE sAntonio</t>
  </si>
  <si>
    <t>Ssu</t>
  </si>
  <si>
    <t>Saa</t>
  </si>
  <si>
    <t>Sfa</t>
  </si>
  <si>
    <t>CP</t>
  </si>
  <si>
    <t>EE</t>
  </si>
  <si>
    <t>HemiCellulose</t>
  </si>
  <si>
    <t>Starch</t>
  </si>
  <si>
    <t>BDpr</t>
  </si>
  <si>
    <t>BDee</t>
  </si>
  <si>
    <t>BDCell</t>
  </si>
  <si>
    <t>BDHemiCell</t>
  </si>
  <si>
    <t>BDch</t>
  </si>
  <si>
    <t>BDvs</t>
  </si>
  <si>
    <t>iNDF/ADL</t>
  </si>
  <si>
    <t>MAIZE Fragea</t>
  </si>
  <si>
    <t>CATTLE SLURRY</t>
  </si>
  <si>
    <t>CATTLE MANURE</t>
  </si>
  <si>
    <t>EGG PASTA</t>
  </si>
  <si>
    <t>FARINETTA (di frumento)</t>
  </si>
  <si>
    <t>TOMATO PEELS</t>
  </si>
  <si>
    <t>CODin</t>
  </si>
  <si>
    <t>C/N</t>
  </si>
  <si>
    <t>CATTLE SLURRY (setaccio)</t>
  </si>
  <si>
    <t>Nota: BMP considera dentro anche i VFA…da discutere!</t>
  </si>
  <si>
    <t>TOMATO SOUCE</t>
  </si>
  <si>
    <t>SEMOLINA</t>
  </si>
  <si>
    <t>MAIZE (UIT) November 2023 - highVFA</t>
  </si>
  <si>
    <t>TOMATO SOUCE (UIT)</t>
  </si>
  <si>
    <t>CATTLE SLURRY (UIT) 2024</t>
  </si>
  <si>
    <t>CATTLE SLURRY (UIT) 03.2024</t>
  </si>
  <si>
    <t>CODbd</t>
  </si>
  <si>
    <t>Bdcod</t>
  </si>
  <si>
    <t>SEMOLINA (UIT)</t>
  </si>
  <si>
    <t>EGG PASTA (UIT)</t>
  </si>
  <si>
    <t>TOMATO SOUCE (UIT - newCampoLargo)</t>
  </si>
  <si>
    <t>TOMATO SOUCE (UIT - newCampoLargo - sugars)</t>
  </si>
  <si>
    <t>CATTLE SLURRY (UIT) November 2023</t>
  </si>
  <si>
    <t>MAIZE (UIT) 2024 - highVFA - exclude VFA in VS</t>
  </si>
  <si>
    <t>non va bene come è calcolato!</t>
  </si>
  <si>
    <t>TOMATO SOUCE (UIT - newCampoLargo - 2024 - sugars)</t>
  </si>
  <si>
    <t>MAIZE (UIT) 2024 - highVFA - include VFA in VS</t>
  </si>
  <si>
    <t>TOMATO SOUCE (UIT - newCampoLargo - 2024 - sugars) - include VFA</t>
  </si>
  <si>
    <t>delta TS slurry</t>
  </si>
  <si>
    <t>delta TS maize</t>
  </si>
  <si>
    <t>Days</t>
  </si>
  <si>
    <t>0</t>
  </si>
  <si>
    <t>Combi</t>
  </si>
  <si>
    <t>Impulse response maize start</t>
  </si>
  <si>
    <t>Impulse response slurry start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</si>
</sst>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000"/>
    <numFmt numFmtId="165" formatCode="0.000"/>
    <numFmt numFmtId="166" formatCode="0.0"/>
    <numFmt numFmtId="167" formatCode="[$€-410]&quot; &quot;#,##0.00;[Red]&quot;-&quot;[$€-410]&quot; &quot;#,##0.00"/>
    <numFmt numFmtId="168" formatCode="[$-F400]h:mm:ss\ AM/PM"/>
    <numFmt numFmtId="169" formatCode="yyyy\-mm\-dd\ hh:mm:ss"/>
    <numFmt numFmtId="170" formatCode="0.00000"/>
  </numFmts>
  <fonts count="20" x14ac:knownFonts="1">
    <font>
      <sz val="11"/>
      <color theme="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i/>
      <sz val="12"/>
      <name val="Arial"/>
      <family val="2"/>
    </font>
    <font>
      <vertAlign val="subscript"/>
      <sz val="12"/>
      <name val="Arial"/>
      <family val="2"/>
    </font>
    <font>
      <sz val="11"/>
      <name val="Calibri"/>
      <family val="2"/>
      <scheme val="minor"/>
    </font>
    <font>
      <sz val="10"/>
      <color theme="1"/>
      <name val="Calibri"/>
      <family val="2"/>
      <scheme val="minor"/>
    </font>
    <font>
      <b/>
      <sz val="10"/>
      <color theme="1"/>
      <name val="Calibri"/>
      <family val="2"/>
      <scheme val="minor"/>
    </font>
    <font>
      <vertAlign val="subscript"/>
      <sz val="10"/>
      <color theme="1"/>
      <name val="Calibri"/>
      <family val="2"/>
      <scheme val="minor"/>
    </font>
    <font>
      <sz val="11"/>
      <color rgb="FF444444"/>
      <name val="Calibri"/>
      <family val="2"/>
      <charset val="1"/>
    </font>
    <font>
      <sz val="11"/>
      <color rgb="FF000000"/>
      <name val="Calibri"/>
      <family val="2"/>
    </font>
    <font>
      <sz val="11"/>
      <color rgb="FF444444"/>
      <name val="Calibri"/>
      <family val="2"/>
    </font>
    <font>
      <sz val="11"/>
      <color theme="1"/>
      <name val="Arial"/>
      <family val="2"/>
    </font>
    <font>
      <b/>
      <i/>
      <sz val="16"/>
      <color theme="1"/>
      <name val="Arial"/>
      <family val="2"/>
    </font>
    <font>
      <b/>
      <i/>
      <u/>
      <sz val="11"/>
      <color theme="1"/>
      <name val="Arial"/>
      <family val="2"/>
    </font>
    <font>
      <sz val="8"/>
      <name val="Calibri"/>
      <family val="2"/>
      <scheme val="minor"/>
    </font>
    <font>
      <b/>
      <sz val="11"/>
      <color rgb="FFFF0000"/>
      <name val="Calibri"/>
      <family val="2"/>
      <scheme val="minor"/>
    </font>
    <font>
      <sz val="10"/>
      <color rgb="FFFF0000"/>
      <name val="Calibri"/>
      <family val="2"/>
      <scheme val="minor"/>
    </font>
    <font>
      <u/>
      <sz val="11"/>
      <color theme="1"/>
      <name val="Calibri"/>
      <family val="2"/>
      <scheme val="minor"/>
    </font>
  </fonts>
  <fills count="12">
    <fill>
      <patternFill patternType="none"/>
    </fill>
    <fill>
      <patternFill patternType="gray125"/>
    </fill>
    <fill>
      <patternFill patternType="solid">
        <fgColor theme="5"/>
        <bgColor indexed="64"/>
      </patternFill>
    </fill>
    <fill>
      <patternFill patternType="solid">
        <fgColor rgb="FFFFC000"/>
        <bgColor indexed="64"/>
      </patternFill>
    </fill>
    <fill>
      <patternFill patternType="solid">
        <fgColor theme="7"/>
        <bgColor indexed="64"/>
      </patternFill>
    </fill>
    <fill>
      <patternFill patternType="solid">
        <fgColor theme="9" tint="0.79998168889431442"/>
        <bgColor indexed="64"/>
      </patternFill>
    </fill>
    <fill>
      <patternFill patternType="solid">
        <fgColor theme="7" tint="0.59999389629810485"/>
        <bgColor indexed="64"/>
      </patternFill>
    </fill>
    <fill>
      <patternFill patternType="solid">
        <fgColor theme="8" tint="0.59999389629810485"/>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0"/>
        <bgColor indexed="64"/>
      </patternFill>
    </fill>
    <fill>
      <patternFill patternType="solid">
        <fgColor theme="4" tint="0.79998168889431442"/>
        <bgColor indexed="64"/>
      </patternFill>
    </fill>
  </fills>
  <borders count="17">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rgb="FF000000"/>
      </right>
      <top style="thin">
        <color rgb="FF000000"/>
      </top>
      <bottom style="thin">
        <color rgb="FF000000"/>
      </bottom>
      <diagonal/>
    </border>
    <border>
      <left/>
      <right/>
      <top/>
      <bottom style="medium">
        <color indexed="64"/>
      </bottom>
      <diagonal/>
    </border>
    <border>
      <left style="thin">
        <color indexed="64"/>
      </left>
      <right style="thin">
        <color indexed="64"/>
      </right>
      <top style="thin">
        <color indexed="64"/>
      </top>
      <bottom style="medium">
        <color indexed="64"/>
      </bottom>
      <diagonal/>
    </border>
  </borders>
  <cellStyleXfs count="7">
    <xf numFmtId="0" fontId="0" fillId="0" borderId="0"/>
    <xf numFmtId="9" fontId="1" fillId="0" borderId="0" applyFont="0" applyFill="0" applyBorder="0" applyAlignment="0" applyProtection="0"/>
    <xf numFmtId="0" fontId="13" fillId="0" borderId="0"/>
    <xf numFmtId="0" fontId="14" fillId="0" borderId="0">
      <alignment horizontal="center"/>
    </xf>
    <xf numFmtId="0" fontId="14" fillId="0" borderId="0">
      <alignment horizontal="center" textRotation="90"/>
    </xf>
    <xf numFmtId="0" fontId="15" fillId="0" borderId="0"/>
    <xf numFmtId="167" fontId="15" fillId="0" borderId="0"/>
  </cellStyleXfs>
  <cellXfs count="143">
    <xf numFmtId="0" fontId="0" fillId="0" borderId="0" xfId="0"/>
    <xf numFmtId="0" fontId="0" fillId="0" borderId="0" xfId="0" applyAlignment="1">
      <alignment wrapText="1"/>
    </xf>
    <xf numFmtId="0" fontId="0" fillId="2" borderId="0" xfId="0" applyFill="1"/>
    <xf numFmtId="0" fontId="0" fillId="3" borderId="0" xfId="0" applyFill="1"/>
    <xf numFmtId="0" fontId="0" fillId="4" borderId="0" xfId="0" applyFill="1"/>
    <xf numFmtId="0" fontId="0" fillId="0" borderId="1" xfId="0" applyBorder="1"/>
    <xf numFmtId="2" fontId="0" fillId="0" borderId="2" xfId="0" applyNumberFormat="1" applyBorder="1"/>
    <xf numFmtId="9" fontId="0" fillId="0" borderId="2" xfId="1" applyFont="1" applyBorder="1"/>
    <xf numFmtId="2" fontId="0" fillId="0" borderId="3" xfId="0" applyNumberFormat="1" applyBorder="1"/>
    <xf numFmtId="164" fontId="0" fillId="0" borderId="1" xfId="0" applyNumberFormat="1" applyBorder="1"/>
    <xf numFmtId="164" fontId="0" fillId="0" borderId="2" xfId="0" applyNumberFormat="1" applyBorder="1"/>
    <xf numFmtId="164" fontId="0" fillId="0" borderId="3" xfId="0" applyNumberFormat="1" applyBorder="1"/>
    <xf numFmtId="0" fontId="0" fillId="0" borderId="4" xfId="0" applyBorder="1"/>
    <xf numFmtId="2" fontId="0" fillId="0" borderId="0" xfId="0" applyNumberFormat="1"/>
    <xf numFmtId="9" fontId="0" fillId="0" borderId="0" xfId="1" applyFont="1" applyBorder="1"/>
    <xf numFmtId="2" fontId="0" fillId="0" borderId="5" xfId="0" applyNumberFormat="1" applyBorder="1"/>
    <xf numFmtId="164" fontId="0" fillId="0" borderId="4" xfId="0" applyNumberFormat="1" applyBorder="1"/>
    <xf numFmtId="164" fontId="0" fillId="0" borderId="0" xfId="0" applyNumberFormat="1"/>
    <xf numFmtId="164" fontId="0" fillId="0" borderId="5" xfId="0" applyNumberFormat="1" applyBorder="1"/>
    <xf numFmtId="0" fontId="0" fillId="0" borderId="6" xfId="0" applyBorder="1"/>
    <xf numFmtId="2" fontId="0" fillId="0" borderId="7" xfId="0" applyNumberFormat="1" applyBorder="1"/>
    <xf numFmtId="9" fontId="0" fillId="0" borderId="7" xfId="1" applyFont="1" applyBorder="1"/>
    <xf numFmtId="2" fontId="0" fillId="0" borderId="8" xfId="0" applyNumberFormat="1" applyBorder="1"/>
    <xf numFmtId="164" fontId="0" fillId="0" borderId="6" xfId="0" applyNumberFormat="1" applyBorder="1"/>
    <xf numFmtId="164" fontId="0" fillId="0" borderId="7" xfId="0" applyNumberFormat="1" applyBorder="1"/>
    <xf numFmtId="164" fontId="0" fillId="0" borderId="8" xfId="0" applyNumberFormat="1" applyBorder="1"/>
    <xf numFmtId="0" fontId="0" fillId="0" borderId="7" xfId="0" applyBorder="1" applyAlignment="1">
      <alignment wrapText="1"/>
    </xf>
    <xf numFmtId="165" fontId="0" fillId="0" borderId="0" xfId="0" applyNumberFormat="1"/>
    <xf numFmtId="0" fontId="0" fillId="0" borderId="2" xfId="0" applyBorder="1"/>
    <xf numFmtId="0" fontId="2" fillId="0" borderId="2" xfId="0" applyFont="1" applyBorder="1"/>
    <xf numFmtId="1" fontId="2" fillId="0" borderId="2" xfId="0" applyNumberFormat="1" applyFont="1" applyBorder="1"/>
    <xf numFmtId="166" fontId="0" fillId="0" borderId="0" xfId="0" applyNumberFormat="1"/>
    <xf numFmtId="0" fontId="2" fillId="0" borderId="0" xfId="0" applyFont="1"/>
    <xf numFmtId="14" fontId="0" fillId="0" borderId="2" xfId="0" applyNumberFormat="1" applyBorder="1"/>
    <xf numFmtId="14" fontId="0" fillId="0" borderId="0" xfId="0" applyNumberFormat="1"/>
    <xf numFmtId="9" fontId="2" fillId="0" borderId="2" xfId="1" applyFont="1" applyBorder="1"/>
    <xf numFmtId="9" fontId="2" fillId="0" borderId="0" xfId="1" applyFont="1"/>
    <xf numFmtId="0" fontId="0" fillId="0" borderId="0" xfId="0" applyAlignment="1">
      <alignment vertical="center" wrapText="1"/>
    </xf>
    <xf numFmtId="0" fontId="3" fillId="0" borderId="0" xfId="0" applyFont="1"/>
    <xf numFmtId="0" fontId="3" fillId="0" borderId="0" xfId="0" applyFont="1" applyAlignment="1">
      <alignment vertical="center" wrapText="1"/>
    </xf>
    <xf numFmtId="0" fontId="3" fillId="0" borderId="0" xfId="0" applyFont="1" applyAlignment="1">
      <alignment vertical="center"/>
    </xf>
    <xf numFmtId="0" fontId="3" fillId="0" borderId="4" xfId="0" applyFont="1" applyBorder="1"/>
    <xf numFmtId="0" fontId="3" fillId="0" borderId="5" xfId="0" applyFont="1" applyBorder="1"/>
    <xf numFmtId="0" fontId="3" fillId="0" borderId="0" xfId="0" applyFont="1" applyAlignment="1">
      <alignment horizontal="center"/>
    </xf>
    <xf numFmtId="11" fontId="0" fillId="0" borderId="0" xfId="0" applyNumberFormat="1"/>
    <xf numFmtId="21" fontId="0" fillId="0" borderId="0" xfId="0" applyNumberFormat="1"/>
    <xf numFmtId="0" fontId="6" fillId="0" borderId="2" xfId="0" applyFont="1" applyBorder="1"/>
    <xf numFmtId="0" fontId="6" fillId="0" borderId="0" xfId="0" applyFont="1"/>
    <xf numFmtId="166" fontId="6" fillId="0" borderId="0" xfId="0" applyNumberFormat="1" applyFont="1"/>
    <xf numFmtId="0" fontId="0" fillId="0" borderId="0" xfId="0" applyAlignment="1">
      <alignment horizontal="left"/>
    </xf>
    <xf numFmtId="0" fontId="6" fillId="2" borderId="0" xfId="0" applyFont="1" applyFill="1"/>
    <xf numFmtId="0" fontId="0" fillId="5" borderId="0" xfId="0" applyFill="1"/>
    <xf numFmtId="2" fontId="6" fillId="0" borderId="0" xfId="0" applyNumberFormat="1" applyFont="1"/>
    <xf numFmtId="0" fontId="0" fillId="0" borderId="7" xfId="0" applyBorder="1"/>
    <xf numFmtId="0" fontId="7" fillId="0" borderId="9" xfId="0" applyFont="1" applyBorder="1" applyAlignment="1">
      <alignment horizontal="center" vertical="center"/>
    </xf>
    <xf numFmtId="0" fontId="8" fillId="6" borderId="9" xfId="0" applyFont="1" applyFill="1" applyBorder="1" applyAlignment="1">
      <alignment horizontal="center" vertical="center" wrapText="1"/>
    </xf>
    <xf numFmtId="0" fontId="8" fillId="7" borderId="9" xfId="0" applyFont="1" applyFill="1" applyBorder="1" applyAlignment="1">
      <alignment horizontal="center" vertical="center" wrapText="1"/>
    </xf>
    <xf numFmtId="0" fontId="8" fillId="7" borderId="10" xfId="0" applyFont="1" applyFill="1" applyBorder="1" applyAlignment="1">
      <alignment horizontal="center" vertical="center" wrapText="1"/>
    </xf>
    <xf numFmtId="0" fontId="7" fillId="8" borderId="9" xfId="0" applyFont="1" applyFill="1" applyBorder="1" applyAlignment="1">
      <alignment horizontal="center" vertical="center"/>
    </xf>
    <xf numFmtId="0" fontId="7" fillId="9" borderId="9" xfId="0" applyFont="1" applyFill="1" applyBorder="1" applyAlignment="1">
      <alignment horizontal="center" vertical="center"/>
    </xf>
    <xf numFmtId="0" fontId="8" fillId="10" borderId="9" xfId="0" applyFont="1" applyFill="1" applyBorder="1" applyAlignment="1">
      <alignment horizontal="center" vertical="center" wrapText="1"/>
    </xf>
    <xf numFmtId="0" fontId="10" fillId="0" borderId="0" xfId="0" applyFont="1"/>
    <xf numFmtId="0" fontId="7" fillId="8" borderId="11" xfId="0" applyFont="1" applyFill="1" applyBorder="1" applyAlignment="1">
      <alignment horizontal="center" vertical="center"/>
    </xf>
    <xf numFmtId="0" fontId="8" fillId="6" borderId="12" xfId="0" applyFont="1" applyFill="1" applyBorder="1" applyAlignment="1">
      <alignment horizontal="center" vertical="center" wrapText="1"/>
    </xf>
    <xf numFmtId="0" fontId="11" fillId="0" borderId="0" xfId="0" applyFont="1"/>
    <xf numFmtId="0" fontId="12" fillId="0" borderId="0" xfId="0" applyFont="1"/>
    <xf numFmtId="0" fontId="7" fillId="8" borderId="0" xfId="0" applyFont="1" applyFill="1" applyAlignment="1">
      <alignment horizontal="center" vertical="center"/>
    </xf>
    <xf numFmtId="0" fontId="0" fillId="0" borderId="0" xfId="0" quotePrefix="1"/>
    <xf numFmtId="0" fontId="8" fillId="11" borderId="13" xfId="0" applyFont="1" applyFill="1" applyBorder="1" applyAlignment="1">
      <alignment horizontal="center" vertical="center" wrapText="1"/>
    </xf>
    <xf numFmtId="0" fontId="7" fillId="8" borderId="14" xfId="0" applyFont="1" applyFill="1" applyBorder="1" applyAlignment="1">
      <alignment horizontal="center" vertical="center"/>
    </xf>
    <xf numFmtId="0" fontId="8" fillId="7" borderId="13" xfId="0" applyFont="1" applyFill="1" applyBorder="1" applyAlignment="1">
      <alignment horizontal="center" vertical="center" wrapText="1"/>
    </xf>
    <xf numFmtId="2" fontId="7" fillId="0" borderId="9" xfId="0" applyNumberFormat="1" applyFont="1" applyBorder="1" applyAlignment="1">
      <alignment horizontal="center" vertical="center"/>
    </xf>
    <xf numFmtId="22" fontId="0" fillId="0" borderId="0" xfId="0" applyNumberFormat="1"/>
    <xf numFmtId="168" fontId="0" fillId="0" borderId="0" xfId="0" applyNumberFormat="1"/>
    <xf numFmtId="49" fontId="0" fillId="0" borderId="0" xfId="0" applyNumberFormat="1"/>
    <xf numFmtId="2" fontId="7" fillId="0" borderId="11" xfId="0" applyNumberFormat="1" applyFont="1" applyBorder="1" applyAlignment="1">
      <alignment horizontal="center" vertical="center"/>
    </xf>
    <xf numFmtId="0" fontId="7" fillId="9" borderId="0" xfId="0" applyFont="1" applyFill="1" applyAlignment="1">
      <alignment horizontal="center" vertical="center"/>
    </xf>
    <xf numFmtId="49" fontId="0" fillId="0" borderId="15" xfId="0" applyNumberFormat="1" applyBorder="1"/>
    <xf numFmtId="21" fontId="0" fillId="0" borderId="15" xfId="0" applyNumberFormat="1" applyBorder="1"/>
    <xf numFmtId="0" fontId="0" fillId="0" borderId="15" xfId="0" applyBorder="1"/>
    <xf numFmtId="14" fontId="2" fillId="0" borderId="0" xfId="0" applyNumberFormat="1" applyFont="1"/>
    <xf numFmtId="166" fontId="2" fillId="0" borderId="0" xfId="0" applyNumberFormat="1" applyFont="1"/>
    <xf numFmtId="2" fontId="7" fillId="0" borderId="0" xfId="0" applyNumberFormat="1" applyFont="1" applyAlignment="1">
      <alignment horizontal="center" vertical="center"/>
    </xf>
    <xf numFmtId="2" fontId="7" fillId="0" borderId="16" xfId="0" applyNumberFormat="1" applyFont="1" applyBorder="1" applyAlignment="1">
      <alignment horizontal="center" vertical="center"/>
    </xf>
    <xf numFmtId="2" fontId="7" fillId="0" borderId="10" xfId="0" applyNumberFormat="1" applyFont="1" applyBorder="1" applyAlignment="1">
      <alignment horizontal="center" vertical="center"/>
    </xf>
    <xf numFmtId="2" fontId="7" fillId="0" borderId="13" xfId="0" applyNumberFormat="1" applyFont="1" applyBorder="1" applyAlignment="1">
      <alignment horizontal="center" vertical="center"/>
    </xf>
    <xf numFmtId="2" fontId="7" fillId="0" borderId="12" xfId="0" applyNumberFormat="1" applyFont="1" applyBorder="1" applyAlignment="1">
      <alignment horizontal="center" vertical="center"/>
    </xf>
    <xf numFmtId="2" fontId="7" fillId="0" borderId="8" xfId="0" applyNumberFormat="1" applyFont="1" applyBorder="1" applyAlignment="1">
      <alignment horizontal="center" vertical="center"/>
    </xf>
    <xf numFmtId="9" fontId="0" fillId="0" borderId="0" xfId="1" applyFont="1"/>
    <xf numFmtId="49" fontId="2" fillId="0" borderId="0" xfId="0" applyNumberFormat="1" applyFont="1"/>
    <xf numFmtId="0" fontId="0" fillId="0" borderId="0" xfId="0" applyAlignment="1">
      <alignment horizontal="center"/>
    </xf>
    <xf numFmtId="0" fontId="13" fillId="0" borderId="0" xfId="2"/>
    <xf numFmtId="2" fontId="2" fillId="0" borderId="0" xfId="0" applyNumberFormat="1" applyFont="1"/>
    <xf numFmtId="1" fontId="0" fillId="0" borderId="0" xfId="0" applyNumberFormat="1" applyAlignment="1">
      <alignment horizontal="center"/>
    </xf>
    <xf numFmtId="1" fontId="2" fillId="0" borderId="0" xfId="0" applyNumberFormat="1" applyFont="1" applyAlignment="1">
      <alignment horizontal="center"/>
    </xf>
    <xf numFmtId="1" fontId="0" fillId="0" borderId="15" xfId="0" applyNumberFormat="1" applyBorder="1" applyAlignment="1">
      <alignment horizontal="center"/>
    </xf>
    <xf numFmtId="1" fontId="0" fillId="0" borderId="0" xfId="0" applyNumberFormat="1" applyAlignment="1">
      <alignment horizontal="center" vertical="center"/>
    </xf>
    <xf numFmtId="1" fontId="2" fillId="0" borderId="0" xfId="0" applyNumberFormat="1" applyFont="1" applyAlignment="1">
      <alignment horizontal="center" vertical="center"/>
    </xf>
    <xf numFmtId="1" fontId="0" fillId="0" borderId="15" xfId="0" applyNumberFormat="1" applyBorder="1" applyAlignment="1">
      <alignment horizontal="center" vertical="center"/>
    </xf>
    <xf numFmtId="0" fontId="8" fillId="6" borderId="13" xfId="0" applyFont="1" applyFill="1" applyBorder="1" applyAlignment="1">
      <alignment horizontal="center" vertical="center" wrapText="1"/>
    </xf>
    <xf numFmtId="49" fontId="6" fillId="0" borderId="0" xfId="0" applyNumberFormat="1" applyFont="1"/>
    <xf numFmtId="21" fontId="6" fillId="0" borderId="0" xfId="0" applyNumberFormat="1" applyFont="1"/>
    <xf numFmtId="1" fontId="6" fillId="0" borderId="0" xfId="0" applyNumberFormat="1" applyFont="1" applyAlignment="1">
      <alignment horizontal="center" vertical="center"/>
    </xf>
    <xf numFmtId="0" fontId="8" fillId="6" borderId="0" xfId="0" applyFont="1" applyFill="1" applyAlignment="1">
      <alignment horizontal="center" vertical="center" wrapText="1"/>
    </xf>
    <xf numFmtId="2" fontId="7" fillId="0" borderId="9" xfId="0" applyNumberFormat="1" applyFont="1" applyBorder="1" applyAlignment="1">
      <alignment horizontal="left" vertical="center"/>
    </xf>
    <xf numFmtId="0" fontId="3" fillId="0" borderId="1" xfId="0" applyFont="1" applyBorder="1" applyAlignment="1">
      <alignment vertical="center" wrapText="1"/>
    </xf>
    <xf numFmtId="0" fontId="3" fillId="0" borderId="2" xfId="0" applyFont="1" applyBorder="1" applyAlignment="1">
      <alignment vertical="center" wrapText="1"/>
    </xf>
    <xf numFmtId="0" fontId="3" fillId="0" borderId="2" xfId="0" applyFont="1" applyBorder="1" applyAlignment="1">
      <alignment vertical="center"/>
    </xf>
    <xf numFmtId="0" fontId="3" fillId="0" borderId="2" xfId="0" applyFont="1" applyBorder="1"/>
    <xf numFmtId="0" fontId="3" fillId="0" borderId="2" xfId="0" applyFont="1" applyBorder="1" applyAlignment="1">
      <alignment wrapText="1"/>
    </xf>
    <xf numFmtId="0" fontId="3" fillId="0" borderId="3" xfId="0" applyFont="1" applyBorder="1" applyAlignment="1">
      <alignment wrapText="1"/>
    </xf>
    <xf numFmtId="0" fontId="0" fillId="0" borderId="4" xfId="0" applyBorder="1" applyAlignment="1">
      <alignment vertical="center" wrapText="1"/>
    </xf>
    <xf numFmtId="0" fontId="0" fillId="0" borderId="5" xfId="0" applyBorder="1"/>
    <xf numFmtId="0" fontId="2" fillId="0" borderId="0" xfId="0" applyFont="1" applyAlignment="1">
      <alignment vertical="center" wrapText="1"/>
    </xf>
    <xf numFmtId="2" fontId="0" fillId="0" borderId="0" xfId="0" applyNumberFormat="1" applyAlignment="1">
      <alignment vertical="center" wrapText="1"/>
    </xf>
    <xf numFmtId="0" fontId="0" fillId="0" borderId="3" xfId="0" applyBorder="1"/>
    <xf numFmtId="2" fontId="0" fillId="0" borderId="4" xfId="0" applyNumberFormat="1" applyBorder="1"/>
    <xf numFmtId="10" fontId="0" fillId="0" borderId="0" xfId="0" applyNumberFormat="1"/>
    <xf numFmtId="2" fontId="0" fillId="0" borderId="6" xfId="0" applyNumberFormat="1" applyBorder="1"/>
    <xf numFmtId="0" fontId="0" fillId="0" borderId="8" xfId="0" applyBorder="1"/>
    <xf numFmtId="0" fontId="3" fillId="0" borderId="1" xfId="0" applyFont="1" applyBorder="1" applyAlignment="1">
      <alignment wrapText="1"/>
    </xf>
    <xf numFmtId="0" fontId="3" fillId="0" borderId="0" xfId="0" applyFont="1" applyAlignment="1">
      <alignment wrapText="1"/>
    </xf>
    <xf numFmtId="0" fontId="6" fillId="0" borderId="0" xfId="0" applyFont="1" applyAlignment="1">
      <alignment vertical="center" wrapText="1"/>
    </xf>
    <xf numFmtId="0" fontId="17" fillId="0" borderId="0" xfId="0" applyFont="1"/>
    <xf numFmtId="11" fontId="0" fillId="0" borderId="5" xfId="0" applyNumberFormat="1" applyBorder="1"/>
    <xf numFmtId="1" fontId="6" fillId="0" borderId="0" xfId="0" applyNumberFormat="1" applyFont="1" applyAlignment="1">
      <alignment horizontal="center"/>
    </xf>
    <xf numFmtId="2" fontId="7" fillId="0" borderId="9" xfId="0" applyNumberFormat="1" applyFont="1" applyBorder="1" applyAlignment="1">
      <alignment horizontal="left" vertical="top"/>
    </xf>
    <xf numFmtId="169" fontId="0" fillId="0" borderId="0" xfId="0" applyNumberFormat="1"/>
    <xf numFmtId="1" fontId="0" fillId="0" borderId="0" xfId="0" applyNumberFormat="1"/>
    <xf numFmtId="2" fontId="18" fillId="0" borderId="10" xfId="0" applyNumberFormat="1" applyFont="1" applyBorder="1" applyAlignment="1">
      <alignment horizontal="center" vertical="center"/>
    </xf>
    <xf numFmtId="2" fontId="18" fillId="0" borderId="9" xfId="0" applyNumberFormat="1" applyFont="1" applyBorder="1" applyAlignment="1">
      <alignment horizontal="center" vertical="center"/>
    </xf>
    <xf numFmtId="0" fontId="19" fillId="0" borderId="0" xfId="0" applyFont="1"/>
    <xf numFmtId="166" fontId="0" fillId="0" borderId="0" xfId="0" applyNumberFormat="1" applyAlignment="1">
      <alignment vertical="center" wrapText="1"/>
    </xf>
    <xf numFmtId="2" fontId="7" fillId="0" borderId="5" xfId="0" applyNumberFormat="1" applyFont="1" applyBorder="1" applyAlignment="1">
      <alignment horizontal="center" vertical="center"/>
    </xf>
    <xf numFmtId="2" fontId="2" fillId="0" borderId="2" xfId="1" applyNumberFormat="1" applyFont="1" applyBorder="1"/>
    <xf numFmtId="49" fontId="6" fillId="0" borderId="0" xfId="0" applyNumberFormat="1" applyFont="1" applyAlignment="1">
      <alignment horizontal="right"/>
    </xf>
    <xf numFmtId="2" fontId="6" fillId="0" borderId="0" xfId="0" applyNumberFormat="1" applyFont="1" applyAlignment="1">
      <alignment horizontal="right"/>
    </xf>
    <xf numFmtId="170" fontId="0" fillId="0" borderId="0" xfId="0" applyNumberFormat="1"/>
    <xf numFmtId="0" fontId="0" fillId="0" borderId="0" xfId="0" applyAlignment="1">
      <alignment horizontal="center" wrapText="1"/>
    </xf>
    <xf numFmtId="0" fontId="3" fillId="0" borderId="0" xfId="0" applyFont="1" applyAlignment="1">
      <alignment horizontal="center"/>
    </xf>
    <xf numFmtId="0" fontId="3" fillId="0" borderId="0" xfId="0" applyFont="1" applyAlignment="1">
      <alignment horizontal="left"/>
    </xf>
    <xf numFmtId="0" fontId="0" fillId="0" borderId="0" xfId="0" applyAlignment="1">
      <alignment horizontal="center" vertical="center" wrapText="1"/>
    </xf>
    <xf numFmtId="0" fontId="3" fillId="0" borderId="5" xfId="0" applyFont="1" applyBorder="1" applyAlignment="1">
      <alignment horizontal="center"/>
    </xf>
  </cellXfs>
  <cellStyles count="7">
    <cellStyle name="Heading" xfId="3" xr:uid="{71A601CC-07F2-4D69-8384-398A2C45EB4C}"/>
    <cellStyle name="Heading1" xfId="4" xr:uid="{33B29D9F-CFE7-457D-9D6E-07CFCB9EC4D8}"/>
    <cellStyle name="Normale" xfId="0" builtinId="0"/>
    <cellStyle name="Normale 2" xfId="2" xr:uid="{F0107B84-6CEF-4286-B321-BE9B68D2DD69}"/>
    <cellStyle name="Percentuale" xfId="1" builtinId="5"/>
    <cellStyle name="Result" xfId="5" xr:uid="{922FADA0-A8CF-45B8-BC17-D55653947D0D}"/>
    <cellStyle name="Result2" xfId="6" xr:uid="{28EA706F-26DD-4DE2-B82C-D64BEA69DF18}"/>
  </cellStyles>
  <dxfs count="94">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R1 rate [L/h]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strRef>
              <c:f>'Reactor analysis'!$N$1:$N$2</c:f>
              <c:strCache>
                <c:ptCount val="2"/>
                <c:pt idx="1">
                  <c:v>Moving average</c:v>
                </c:pt>
              </c:strCache>
            </c:strRef>
          </c:tx>
          <c:spPr>
            <a:ln w="19050" cap="rnd">
              <a:solidFill>
                <a:schemeClr val="accent1"/>
              </a:solidFill>
              <a:round/>
            </a:ln>
            <a:effectLst/>
          </c:spPr>
          <c:marker>
            <c:symbol val="none"/>
          </c:marker>
          <c:xVal>
            <c:numRef>
              <c:f>'Reactor analysis'!$K$3:$K$2625</c:f>
              <c:numCache>
                <c:formatCode>General</c:formatCode>
                <c:ptCount val="2623"/>
                <c:pt idx="0">
                  <c:v>0</c:v>
                </c:pt>
                <c:pt idx="1">
                  <c:v>1.6666666666666666E-2</c:v>
                </c:pt>
                <c:pt idx="2">
                  <c:v>3.3333333333333333E-2</c:v>
                </c:pt>
                <c:pt idx="3">
                  <c:v>0.05</c:v>
                </c:pt>
                <c:pt idx="4">
                  <c:v>6.6666666666666666E-2</c:v>
                </c:pt>
                <c:pt idx="5">
                  <c:v>8.3333333333333329E-2</c:v>
                </c:pt>
                <c:pt idx="6">
                  <c:v>9.9999999999999992E-2</c:v>
                </c:pt>
                <c:pt idx="7">
                  <c:v>0.11666666666666665</c:v>
                </c:pt>
                <c:pt idx="8">
                  <c:v>0.13333333333333333</c:v>
                </c:pt>
                <c:pt idx="9">
                  <c:v>0.15</c:v>
                </c:pt>
                <c:pt idx="10">
                  <c:v>0.16666666666666666</c:v>
                </c:pt>
                <c:pt idx="11">
                  <c:v>0.18333333333333332</c:v>
                </c:pt>
                <c:pt idx="12">
                  <c:v>0.19999999999999998</c:v>
                </c:pt>
                <c:pt idx="13">
                  <c:v>0.21666666666666665</c:v>
                </c:pt>
                <c:pt idx="14">
                  <c:v>0.23333333333333331</c:v>
                </c:pt>
                <c:pt idx="15">
                  <c:v>0.24999999999999997</c:v>
                </c:pt>
                <c:pt idx="16">
                  <c:v>0.26666666666666666</c:v>
                </c:pt>
                <c:pt idx="17">
                  <c:v>0.28333333333333333</c:v>
                </c:pt>
                <c:pt idx="18">
                  <c:v>0.3</c:v>
                </c:pt>
                <c:pt idx="19">
                  <c:v>0.31666666666666665</c:v>
                </c:pt>
                <c:pt idx="20">
                  <c:v>0.33333333333333331</c:v>
                </c:pt>
                <c:pt idx="21">
                  <c:v>0.35</c:v>
                </c:pt>
                <c:pt idx="22">
                  <c:v>0.36666666666666664</c:v>
                </c:pt>
                <c:pt idx="23">
                  <c:v>0.3833333333333333</c:v>
                </c:pt>
                <c:pt idx="24">
                  <c:v>0.39999999999999997</c:v>
                </c:pt>
                <c:pt idx="25">
                  <c:v>0.41666666666666663</c:v>
                </c:pt>
                <c:pt idx="26">
                  <c:v>0.43333333333333329</c:v>
                </c:pt>
                <c:pt idx="27">
                  <c:v>0.44999999999999996</c:v>
                </c:pt>
                <c:pt idx="28">
                  <c:v>0.46666666666666662</c:v>
                </c:pt>
                <c:pt idx="29">
                  <c:v>0.48333333333333328</c:v>
                </c:pt>
                <c:pt idx="30">
                  <c:v>0.49999999999999994</c:v>
                </c:pt>
                <c:pt idx="31">
                  <c:v>0.51666666666666661</c:v>
                </c:pt>
                <c:pt idx="32">
                  <c:v>0.53333333333333333</c:v>
                </c:pt>
                <c:pt idx="33">
                  <c:v>0.55000000000000004</c:v>
                </c:pt>
                <c:pt idx="34">
                  <c:v>0.56666666666666676</c:v>
                </c:pt>
                <c:pt idx="35">
                  <c:v>0.58333333333333348</c:v>
                </c:pt>
                <c:pt idx="36">
                  <c:v>0.6000000000000002</c:v>
                </c:pt>
                <c:pt idx="37">
                  <c:v>0.61666666666666692</c:v>
                </c:pt>
                <c:pt idx="38">
                  <c:v>0.63333333333333364</c:v>
                </c:pt>
                <c:pt idx="39">
                  <c:v>0.65000000000000036</c:v>
                </c:pt>
                <c:pt idx="40">
                  <c:v>0.66666666666666707</c:v>
                </c:pt>
                <c:pt idx="41">
                  <c:v>0.68333333333333379</c:v>
                </c:pt>
                <c:pt idx="42">
                  <c:v>0.70000000000000051</c:v>
                </c:pt>
                <c:pt idx="43">
                  <c:v>0.71666666666666723</c:v>
                </c:pt>
                <c:pt idx="44">
                  <c:v>0.73333333333333395</c:v>
                </c:pt>
                <c:pt idx="45">
                  <c:v>0.75000000000000067</c:v>
                </c:pt>
                <c:pt idx="46">
                  <c:v>0.76666666666666738</c:v>
                </c:pt>
                <c:pt idx="47">
                  <c:v>0.7833333333333341</c:v>
                </c:pt>
                <c:pt idx="48">
                  <c:v>0.80000000000000082</c:v>
                </c:pt>
                <c:pt idx="49">
                  <c:v>0.81666666666666754</c:v>
                </c:pt>
                <c:pt idx="50">
                  <c:v>0.83333333333333426</c:v>
                </c:pt>
                <c:pt idx="51">
                  <c:v>0.85000000000000098</c:v>
                </c:pt>
                <c:pt idx="52">
                  <c:v>0.8666666666666677</c:v>
                </c:pt>
                <c:pt idx="53">
                  <c:v>0.88333333333333441</c:v>
                </c:pt>
                <c:pt idx="54">
                  <c:v>0.90000000000000113</c:v>
                </c:pt>
                <c:pt idx="55">
                  <c:v>0.91666666666666785</c:v>
                </c:pt>
                <c:pt idx="56">
                  <c:v>0.93333333333333457</c:v>
                </c:pt>
                <c:pt idx="57">
                  <c:v>0.95000000000000129</c:v>
                </c:pt>
                <c:pt idx="58">
                  <c:v>0.96666666666666801</c:v>
                </c:pt>
                <c:pt idx="59">
                  <c:v>0.98333333333333472</c:v>
                </c:pt>
                <c:pt idx="60">
                  <c:v>1.0000000000000013</c:v>
                </c:pt>
                <c:pt idx="61">
                  <c:v>1.0166666666666679</c:v>
                </c:pt>
                <c:pt idx="62">
                  <c:v>1.0333333333333345</c:v>
                </c:pt>
                <c:pt idx="63">
                  <c:v>1.0500000000000012</c:v>
                </c:pt>
                <c:pt idx="64">
                  <c:v>1.0666666666666678</c:v>
                </c:pt>
                <c:pt idx="65">
                  <c:v>1.0833333333333344</c:v>
                </c:pt>
                <c:pt idx="66">
                  <c:v>1.100000000000001</c:v>
                </c:pt>
                <c:pt idx="67">
                  <c:v>1.1166666666666676</c:v>
                </c:pt>
                <c:pt idx="68">
                  <c:v>1.1333333333333342</c:v>
                </c:pt>
                <c:pt idx="69">
                  <c:v>1.1500000000000008</c:v>
                </c:pt>
                <c:pt idx="70">
                  <c:v>1.1666666666666674</c:v>
                </c:pt>
                <c:pt idx="71">
                  <c:v>1.183333333333334</c:v>
                </c:pt>
                <c:pt idx="72">
                  <c:v>1.2000000000000006</c:v>
                </c:pt>
                <c:pt idx="73">
                  <c:v>1.2166666666666672</c:v>
                </c:pt>
                <c:pt idx="74">
                  <c:v>1.2333333333333338</c:v>
                </c:pt>
                <c:pt idx="75">
                  <c:v>1.2500000000000004</c:v>
                </c:pt>
                <c:pt idx="76">
                  <c:v>1.2666666666666671</c:v>
                </c:pt>
                <c:pt idx="77">
                  <c:v>1.2833333333333337</c:v>
                </c:pt>
                <c:pt idx="78">
                  <c:v>1.3000000000000003</c:v>
                </c:pt>
                <c:pt idx="79">
                  <c:v>1.3166666666666669</c:v>
                </c:pt>
                <c:pt idx="80">
                  <c:v>1.3333333333333335</c:v>
                </c:pt>
                <c:pt idx="81">
                  <c:v>1.35</c:v>
                </c:pt>
                <c:pt idx="82">
                  <c:v>1.3666666666666667</c:v>
                </c:pt>
                <c:pt idx="83">
                  <c:v>1.3833333333333333</c:v>
                </c:pt>
                <c:pt idx="84">
                  <c:v>1.4</c:v>
                </c:pt>
                <c:pt idx="85">
                  <c:v>1.4166666666666665</c:v>
                </c:pt>
                <c:pt idx="86">
                  <c:v>1.4333333333333331</c:v>
                </c:pt>
                <c:pt idx="87">
                  <c:v>1.4499999999999997</c:v>
                </c:pt>
                <c:pt idx="88">
                  <c:v>1.4666666666666663</c:v>
                </c:pt>
                <c:pt idx="89">
                  <c:v>1.4833333333333329</c:v>
                </c:pt>
                <c:pt idx="90">
                  <c:v>1.4999999999999996</c:v>
                </c:pt>
                <c:pt idx="91">
                  <c:v>1.5166666666666662</c:v>
                </c:pt>
                <c:pt idx="92">
                  <c:v>1.5333333333333328</c:v>
                </c:pt>
                <c:pt idx="93">
                  <c:v>1.5499999999999994</c:v>
                </c:pt>
                <c:pt idx="94">
                  <c:v>1.566666666666666</c:v>
                </c:pt>
                <c:pt idx="95">
                  <c:v>1.5833333333333326</c:v>
                </c:pt>
                <c:pt idx="96">
                  <c:v>1.5999999999999992</c:v>
                </c:pt>
                <c:pt idx="97">
                  <c:v>1.6166666666666658</c:v>
                </c:pt>
                <c:pt idx="98">
                  <c:v>1.6333333333333324</c:v>
                </c:pt>
                <c:pt idx="99">
                  <c:v>1.649999999999999</c:v>
                </c:pt>
                <c:pt idx="100">
                  <c:v>1.6666666666666656</c:v>
                </c:pt>
                <c:pt idx="101">
                  <c:v>1.6833333333333322</c:v>
                </c:pt>
                <c:pt idx="102">
                  <c:v>1.6999999999999988</c:v>
                </c:pt>
                <c:pt idx="103">
                  <c:v>1.7166666666666655</c:v>
                </c:pt>
                <c:pt idx="104">
                  <c:v>1.7333333333333321</c:v>
                </c:pt>
                <c:pt idx="105">
                  <c:v>1.7499999999999987</c:v>
                </c:pt>
                <c:pt idx="106">
                  <c:v>1.7666666666666653</c:v>
                </c:pt>
                <c:pt idx="107">
                  <c:v>1.7833333333333319</c:v>
                </c:pt>
                <c:pt idx="108">
                  <c:v>1.7999999999999985</c:v>
                </c:pt>
                <c:pt idx="109">
                  <c:v>1.8166666666666651</c:v>
                </c:pt>
                <c:pt idx="110">
                  <c:v>1.8333333333333317</c:v>
                </c:pt>
                <c:pt idx="111">
                  <c:v>1.8499999999999983</c:v>
                </c:pt>
                <c:pt idx="112">
                  <c:v>1.8666666666666649</c:v>
                </c:pt>
                <c:pt idx="113">
                  <c:v>1.8833333333333315</c:v>
                </c:pt>
                <c:pt idx="114">
                  <c:v>1.8999999999999981</c:v>
                </c:pt>
                <c:pt idx="115">
                  <c:v>1.9166666666666647</c:v>
                </c:pt>
                <c:pt idx="116">
                  <c:v>1.9333333333333313</c:v>
                </c:pt>
                <c:pt idx="117">
                  <c:v>1.949999999999998</c:v>
                </c:pt>
                <c:pt idx="118">
                  <c:v>1.9666666666666646</c:v>
                </c:pt>
                <c:pt idx="119">
                  <c:v>1.9833333333333312</c:v>
                </c:pt>
                <c:pt idx="120">
                  <c:v>1.9999999999999978</c:v>
                </c:pt>
                <c:pt idx="121">
                  <c:v>2.0166666666666644</c:v>
                </c:pt>
                <c:pt idx="122">
                  <c:v>2.033333333333331</c:v>
                </c:pt>
                <c:pt idx="123">
                  <c:v>2.0499999999999976</c:v>
                </c:pt>
                <c:pt idx="124">
                  <c:v>2.0666666666666642</c:v>
                </c:pt>
                <c:pt idx="125">
                  <c:v>2.0833333333333308</c:v>
                </c:pt>
                <c:pt idx="126">
                  <c:v>2.0999999999999974</c:v>
                </c:pt>
                <c:pt idx="127">
                  <c:v>2.116666666666664</c:v>
                </c:pt>
                <c:pt idx="128">
                  <c:v>2.1333333333333306</c:v>
                </c:pt>
                <c:pt idx="129">
                  <c:v>2.1499999999999972</c:v>
                </c:pt>
                <c:pt idx="130">
                  <c:v>2.1666666666666639</c:v>
                </c:pt>
                <c:pt idx="131">
                  <c:v>2.1833333333333305</c:v>
                </c:pt>
                <c:pt idx="132">
                  <c:v>2.1999999999999971</c:v>
                </c:pt>
                <c:pt idx="133">
                  <c:v>2.2166666666666637</c:v>
                </c:pt>
                <c:pt idx="134">
                  <c:v>2.2333333333333303</c:v>
                </c:pt>
                <c:pt idx="135">
                  <c:v>2.2499999999999969</c:v>
                </c:pt>
                <c:pt idx="136">
                  <c:v>2.2666666666666635</c:v>
                </c:pt>
                <c:pt idx="137">
                  <c:v>2.2833333333333301</c:v>
                </c:pt>
                <c:pt idx="138">
                  <c:v>2.2999999999999967</c:v>
                </c:pt>
                <c:pt idx="139">
                  <c:v>2.3166666666666633</c:v>
                </c:pt>
                <c:pt idx="140">
                  <c:v>2.3333333333333299</c:v>
                </c:pt>
                <c:pt idx="141">
                  <c:v>2.3499999999999965</c:v>
                </c:pt>
                <c:pt idx="142">
                  <c:v>2.3666666666666631</c:v>
                </c:pt>
                <c:pt idx="143">
                  <c:v>2.3833333333333298</c:v>
                </c:pt>
                <c:pt idx="144">
                  <c:v>2.3999999999999964</c:v>
                </c:pt>
                <c:pt idx="145">
                  <c:v>2.416666666666663</c:v>
                </c:pt>
                <c:pt idx="146">
                  <c:v>2.4333333333333296</c:v>
                </c:pt>
                <c:pt idx="147">
                  <c:v>2.4499999999999962</c:v>
                </c:pt>
                <c:pt idx="148">
                  <c:v>2.4666666666666628</c:v>
                </c:pt>
                <c:pt idx="149">
                  <c:v>2.4833333333333294</c:v>
                </c:pt>
                <c:pt idx="150">
                  <c:v>2.499999999999996</c:v>
                </c:pt>
                <c:pt idx="151">
                  <c:v>2.5166666666666626</c:v>
                </c:pt>
                <c:pt idx="152">
                  <c:v>2.5333333333333292</c:v>
                </c:pt>
                <c:pt idx="153">
                  <c:v>2.5499999999999958</c:v>
                </c:pt>
                <c:pt idx="154">
                  <c:v>2.5666666666666624</c:v>
                </c:pt>
                <c:pt idx="155">
                  <c:v>2.583333333333329</c:v>
                </c:pt>
                <c:pt idx="156">
                  <c:v>2.5999999999999956</c:v>
                </c:pt>
                <c:pt idx="157">
                  <c:v>2.6166666666666623</c:v>
                </c:pt>
                <c:pt idx="158">
                  <c:v>2.6333333333333289</c:v>
                </c:pt>
                <c:pt idx="159">
                  <c:v>2.6499999999999955</c:v>
                </c:pt>
                <c:pt idx="160">
                  <c:v>2.6666666666666621</c:v>
                </c:pt>
                <c:pt idx="161">
                  <c:v>2.6833333333333287</c:v>
                </c:pt>
                <c:pt idx="162">
                  <c:v>2.6999999999999953</c:v>
                </c:pt>
                <c:pt idx="163">
                  <c:v>2.7166666666666619</c:v>
                </c:pt>
                <c:pt idx="164">
                  <c:v>2.7333333333333285</c:v>
                </c:pt>
                <c:pt idx="165">
                  <c:v>2.7499999999999951</c:v>
                </c:pt>
                <c:pt idx="166">
                  <c:v>2.7666666666666617</c:v>
                </c:pt>
                <c:pt idx="167">
                  <c:v>2.7833333333333283</c:v>
                </c:pt>
                <c:pt idx="168">
                  <c:v>2.7999999999999949</c:v>
                </c:pt>
                <c:pt idx="169">
                  <c:v>2.8166666666666615</c:v>
                </c:pt>
                <c:pt idx="170">
                  <c:v>2.8333333333333282</c:v>
                </c:pt>
                <c:pt idx="171">
                  <c:v>2.8499999999999948</c:v>
                </c:pt>
                <c:pt idx="172">
                  <c:v>2.8666666666666614</c:v>
                </c:pt>
                <c:pt idx="173">
                  <c:v>2.883333333333328</c:v>
                </c:pt>
                <c:pt idx="174">
                  <c:v>2.8999999999999946</c:v>
                </c:pt>
                <c:pt idx="175">
                  <c:v>2.9166666666666612</c:v>
                </c:pt>
                <c:pt idx="176">
                  <c:v>2.9333333333333278</c:v>
                </c:pt>
                <c:pt idx="177">
                  <c:v>2.9499999999999944</c:v>
                </c:pt>
                <c:pt idx="178">
                  <c:v>2.966666666666661</c:v>
                </c:pt>
                <c:pt idx="179">
                  <c:v>2.9833333333333276</c:v>
                </c:pt>
                <c:pt idx="180">
                  <c:v>2.9999999999999942</c:v>
                </c:pt>
                <c:pt idx="181">
                  <c:v>3.0166666666666608</c:v>
                </c:pt>
                <c:pt idx="182">
                  <c:v>3.0333333333333274</c:v>
                </c:pt>
                <c:pt idx="183">
                  <c:v>3.049999999999994</c:v>
                </c:pt>
                <c:pt idx="184">
                  <c:v>3.0666666666666607</c:v>
                </c:pt>
                <c:pt idx="185">
                  <c:v>3.0833333333333273</c:v>
                </c:pt>
                <c:pt idx="186">
                  <c:v>3.0999999999999939</c:v>
                </c:pt>
                <c:pt idx="187">
                  <c:v>3.1166666666666605</c:v>
                </c:pt>
                <c:pt idx="188">
                  <c:v>3.1333333333333271</c:v>
                </c:pt>
                <c:pt idx="189">
                  <c:v>3.1499999999999937</c:v>
                </c:pt>
                <c:pt idx="190">
                  <c:v>3.1666666666666603</c:v>
                </c:pt>
                <c:pt idx="191">
                  <c:v>3.1833333333333269</c:v>
                </c:pt>
                <c:pt idx="192">
                  <c:v>3.1999999999999935</c:v>
                </c:pt>
                <c:pt idx="193">
                  <c:v>3.2166666666666601</c:v>
                </c:pt>
                <c:pt idx="194">
                  <c:v>3.2333333333333267</c:v>
                </c:pt>
                <c:pt idx="195">
                  <c:v>3.2499999999999933</c:v>
                </c:pt>
                <c:pt idx="196">
                  <c:v>3.2666666666666599</c:v>
                </c:pt>
                <c:pt idx="197">
                  <c:v>3.2833333333333266</c:v>
                </c:pt>
                <c:pt idx="198">
                  <c:v>3.2999999999999932</c:v>
                </c:pt>
                <c:pt idx="199">
                  <c:v>3.3166666666666598</c:v>
                </c:pt>
                <c:pt idx="200">
                  <c:v>3.3333333333333264</c:v>
                </c:pt>
                <c:pt idx="201">
                  <c:v>3.349999999999993</c:v>
                </c:pt>
                <c:pt idx="202">
                  <c:v>3.3666666666666596</c:v>
                </c:pt>
                <c:pt idx="203">
                  <c:v>3.3833333333333262</c:v>
                </c:pt>
                <c:pt idx="204">
                  <c:v>3.3999999999999928</c:v>
                </c:pt>
                <c:pt idx="205">
                  <c:v>3.4166666666666594</c:v>
                </c:pt>
                <c:pt idx="206">
                  <c:v>3.433333333333326</c:v>
                </c:pt>
                <c:pt idx="207">
                  <c:v>3.4499999999999926</c:v>
                </c:pt>
                <c:pt idx="208">
                  <c:v>3.4666666666666592</c:v>
                </c:pt>
                <c:pt idx="209">
                  <c:v>3.4833333333333258</c:v>
                </c:pt>
                <c:pt idx="210">
                  <c:v>3.4999999999999925</c:v>
                </c:pt>
                <c:pt idx="211">
                  <c:v>3.5166666666666591</c:v>
                </c:pt>
                <c:pt idx="212">
                  <c:v>3.5333333333333257</c:v>
                </c:pt>
                <c:pt idx="213">
                  <c:v>3.5499999999999923</c:v>
                </c:pt>
                <c:pt idx="214">
                  <c:v>3.5666666666666589</c:v>
                </c:pt>
                <c:pt idx="215">
                  <c:v>3.5833333333333255</c:v>
                </c:pt>
                <c:pt idx="216">
                  <c:v>3.5999999999999921</c:v>
                </c:pt>
                <c:pt idx="217">
                  <c:v>3.6166666666666587</c:v>
                </c:pt>
                <c:pt idx="218">
                  <c:v>3.6333333333333253</c:v>
                </c:pt>
                <c:pt idx="219">
                  <c:v>3.6499999999999919</c:v>
                </c:pt>
                <c:pt idx="220">
                  <c:v>3.6666666666666585</c:v>
                </c:pt>
                <c:pt idx="221">
                  <c:v>3.6833333333333251</c:v>
                </c:pt>
                <c:pt idx="222">
                  <c:v>3.6999999999999917</c:v>
                </c:pt>
                <c:pt idx="223">
                  <c:v>3.7166666666666583</c:v>
                </c:pt>
                <c:pt idx="224">
                  <c:v>3.733333333333325</c:v>
                </c:pt>
                <c:pt idx="225">
                  <c:v>3.7499999999999916</c:v>
                </c:pt>
                <c:pt idx="226">
                  <c:v>3.7666666666666582</c:v>
                </c:pt>
                <c:pt idx="227">
                  <c:v>3.7833333333333248</c:v>
                </c:pt>
                <c:pt idx="228">
                  <c:v>3.7999999999999914</c:v>
                </c:pt>
                <c:pt idx="229">
                  <c:v>3.816666666666658</c:v>
                </c:pt>
                <c:pt idx="230">
                  <c:v>3.8333333333333246</c:v>
                </c:pt>
                <c:pt idx="231">
                  <c:v>3.8499999999999912</c:v>
                </c:pt>
                <c:pt idx="232">
                  <c:v>3.8666666666666578</c:v>
                </c:pt>
                <c:pt idx="233">
                  <c:v>3.8833333333333244</c:v>
                </c:pt>
                <c:pt idx="234">
                  <c:v>3.899999999999991</c:v>
                </c:pt>
                <c:pt idx="235">
                  <c:v>3.9166666666666576</c:v>
                </c:pt>
                <c:pt idx="236">
                  <c:v>3.9333333333333242</c:v>
                </c:pt>
                <c:pt idx="237">
                  <c:v>3.9499999999999909</c:v>
                </c:pt>
                <c:pt idx="238">
                  <c:v>3.9666666666666575</c:v>
                </c:pt>
                <c:pt idx="239">
                  <c:v>3.9833333333333241</c:v>
                </c:pt>
                <c:pt idx="240">
                  <c:v>3.9999999999999907</c:v>
                </c:pt>
                <c:pt idx="241">
                  <c:v>4.0166666666666577</c:v>
                </c:pt>
                <c:pt idx="242">
                  <c:v>4.0333333333333243</c:v>
                </c:pt>
                <c:pt idx="243">
                  <c:v>4.0499999999999909</c:v>
                </c:pt>
                <c:pt idx="244">
                  <c:v>4.0666666666666575</c:v>
                </c:pt>
                <c:pt idx="245">
                  <c:v>4.0833333333333242</c:v>
                </c:pt>
                <c:pt idx="246">
                  <c:v>4.0999999999999908</c:v>
                </c:pt>
                <c:pt idx="247">
                  <c:v>4.1166666666666574</c:v>
                </c:pt>
                <c:pt idx="248">
                  <c:v>4.133333333333324</c:v>
                </c:pt>
                <c:pt idx="249">
                  <c:v>4.1499999999999906</c:v>
                </c:pt>
                <c:pt idx="250">
                  <c:v>4.1666666666666572</c:v>
                </c:pt>
                <c:pt idx="251">
                  <c:v>4.1833333333333238</c:v>
                </c:pt>
                <c:pt idx="252">
                  <c:v>4.1999999999999904</c:v>
                </c:pt>
                <c:pt idx="253">
                  <c:v>4.216666666666657</c:v>
                </c:pt>
                <c:pt idx="254">
                  <c:v>4.2333333333333236</c:v>
                </c:pt>
                <c:pt idx="255">
                  <c:v>4.2499999999999902</c:v>
                </c:pt>
                <c:pt idx="256">
                  <c:v>4.2666666666666568</c:v>
                </c:pt>
                <c:pt idx="257">
                  <c:v>4.2833333333333234</c:v>
                </c:pt>
                <c:pt idx="258">
                  <c:v>4.2999999999999901</c:v>
                </c:pt>
                <c:pt idx="259">
                  <c:v>4.3166666666666567</c:v>
                </c:pt>
                <c:pt idx="260">
                  <c:v>4.3333333333333233</c:v>
                </c:pt>
                <c:pt idx="261">
                  <c:v>4.3499999999999899</c:v>
                </c:pt>
                <c:pt idx="262">
                  <c:v>4.3666666666666565</c:v>
                </c:pt>
                <c:pt idx="263">
                  <c:v>4.3833333333333231</c:v>
                </c:pt>
                <c:pt idx="264">
                  <c:v>4.3999999999999897</c:v>
                </c:pt>
                <c:pt idx="265">
                  <c:v>4.4166666666666563</c:v>
                </c:pt>
                <c:pt idx="266">
                  <c:v>4.4333333333333229</c:v>
                </c:pt>
                <c:pt idx="267">
                  <c:v>4.4499999999999895</c:v>
                </c:pt>
                <c:pt idx="268">
                  <c:v>4.4666666666666561</c:v>
                </c:pt>
                <c:pt idx="269">
                  <c:v>4.4833333333333227</c:v>
                </c:pt>
                <c:pt idx="270">
                  <c:v>4.4999999999999893</c:v>
                </c:pt>
                <c:pt idx="271">
                  <c:v>4.5166666666666559</c:v>
                </c:pt>
                <c:pt idx="272">
                  <c:v>4.5333333333333226</c:v>
                </c:pt>
                <c:pt idx="273">
                  <c:v>4.5499999999999892</c:v>
                </c:pt>
                <c:pt idx="274">
                  <c:v>4.5666666666666558</c:v>
                </c:pt>
                <c:pt idx="275">
                  <c:v>4.5833333333333224</c:v>
                </c:pt>
                <c:pt idx="276">
                  <c:v>4.599999999999989</c:v>
                </c:pt>
                <c:pt idx="277">
                  <c:v>4.6166666666666556</c:v>
                </c:pt>
                <c:pt idx="278">
                  <c:v>4.6333333333333222</c:v>
                </c:pt>
                <c:pt idx="279">
                  <c:v>4.6499999999999888</c:v>
                </c:pt>
                <c:pt idx="280">
                  <c:v>4.6666666666666554</c:v>
                </c:pt>
                <c:pt idx="281">
                  <c:v>4.683333333333322</c:v>
                </c:pt>
                <c:pt idx="282">
                  <c:v>4.6999999999999886</c:v>
                </c:pt>
                <c:pt idx="283">
                  <c:v>4.7166666666666552</c:v>
                </c:pt>
                <c:pt idx="284">
                  <c:v>4.7333333333333218</c:v>
                </c:pt>
                <c:pt idx="285">
                  <c:v>4.7499999999999885</c:v>
                </c:pt>
                <c:pt idx="286">
                  <c:v>4.7666666666666551</c:v>
                </c:pt>
                <c:pt idx="287">
                  <c:v>4.7833333333333217</c:v>
                </c:pt>
                <c:pt idx="288">
                  <c:v>4.7999999999999883</c:v>
                </c:pt>
                <c:pt idx="289">
                  <c:v>4.8166666666666549</c:v>
                </c:pt>
                <c:pt idx="290">
                  <c:v>4.8333333333333215</c:v>
                </c:pt>
                <c:pt idx="291">
                  <c:v>4.8499999999999881</c:v>
                </c:pt>
                <c:pt idx="292">
                  <c:v>4.8666666666666547</c:v>
                </c:pt>
                <c:pt idx="293">
                  <c:v>4.8833333333333213</c:v>
                </c:pt>
                <c:pt idx="294">
                  <c:v>4.8999999999999879</c:v>
                </c:pt>
                <c:pt idx="295">
                  <c:v>4.9166666666666545</c:v>
                </c:pt>
                <c:pt idx="296">
                  <c:v>4.9333333333333211</c:v>
                </c:pt>
                <c:pt idx="297">
                  <c:v>4.9499999999999877</c:v>
                </c:pt>
                <c:pt idx="298">
                  <c:v>4.9666666666666544</c:v>
                </c:pt>
                <c:pt idx="299">
                  <c:v>4.983333333333321</c:v>
                </c:pt>
                <c:pt idx="300">
                  <c:v>4.9999999999999876</c:v>
                </c:pt>
                <c:pt idx="301">
                  <c:v>5.0166666666666542</c:v>
                </c:pt>
                <c:pt idx="302">
                  <c:v>5.0333333333333208</c:v>
                </c:pt>
                <c:pt idx="303">
                  <c:v>5.0499999999999874</c:v>
                </c:pt>
                <c:pt idx="304">
                  <c:v>5.066666666666654</c:v>
                </c:pt>
                <c:pt idx="305">
                  <c:v>5.0833333333333206</c:v>
                </c:pt>
                <c:pt idx="306">
                  <c:v>5.0999999999999872</c:v>
                </c:pt>
                <c:pt idx="307">
                  <c:v>5.1166666666666538</c:v>
                </c:pt>
                <c:pt idx="308">
                  <c:v>5.1333333333333204</c:v>
                </c:pt>
                <c:pt idx="309">
                  <c:v>5.149999999999987</c:v>
                </c:pt>
                <c:pt idx="310">
                  <c:v>5.1666666666666536</c:v>
                </c:pt>
                <c:pt idx="311">
                  <c:v>5.1833333333333202</c:v>
                </c:pt>
                <c:pt idx="312">
                  <c:v>5.1999999999999869</c:v>
                </c:pt>
                <c:pt idx="313">
                  <c:v>5.2166666666666535</c:v>
                </c:pt>
                <c:pt idx="314">
                  <c:v>5.2333333333333201</c:v>
                </c:pt>
                <c:pt idx="315">
                  <c:v>5.2499999999999867</c:v>
                </c:pt>
                <c:pt idx="316">
                  <c:v>5.2666666666666533</c:v>
                </c:pt>
                <c:pt idx="317">
                  <c:v>5.2833333333333199</c:v>
                </c:pt>
                <c:pt idx="318">
                  <c:v>5.2999999999999865</c:v>
                </c:pt>
                <c:pt idx="319">
                  <c:v>5.3166666666666531</c:v>
                </c:pt>
                <c:pt idx="320">
                  <c:v>5.3333333333333197</c:v>
                </c:pt>
                <c:pt idx="321">
                  <c:v>5.3499999999999863</c:v>
                </c:pt>
                <c:pt idx="322">
                  <c:v>5.3666666666666529</c:v>
                </c:pt>
                <c:pt idx="323">
                  <c:v>5.3833333333333195</c:v>
                </c:pt>
                <c:pt idx="324">
                  <c:v>5.3999999999999861</c:v>
                </c:pt>
                <c:pt idx="325">
                  <c:v>5.4166666666666528</c:v>
                </c:pt>
                <c:pt idx="326">
                  <c:v>5.4333333333333194</c:v>
                </c:pt>
                <c:pt idx="327">
                  <c:v>5.449999999999986</c:v>
                </c:pt>
                <c:pt idx="328">
                  <c:v>5.4666666666666526</c:v>
                </c:pt>
                <c:pt idx="329">
                  <c:v>5.4833333333333192</c:v>
                </c:pt>
                <c:pt idx="330">
                  <c:v>5.4999999999999858</c:v>
                </c:pt>
                <c:pt idx="331">
                  <c:v>5.5166666666666524</c:v>
                </c:pt>
                <c:pt idx="332">
                  <c:v>5.533333333333319</c:v>
                </c:pt>
                <c:pt idx="333">
                  <c:v>5.5499999999999856</c:v>
                </c:pt>
                <c:pt idx="334">
                  <c:v>5.5666666666666522</c:v>
                </c:pt>
                <c:pt idx="335">
                  <c:v>5.5833333333333188</c:v>
                </c:pt>
                <c:pt idx="336">
                  <c:v>5.5999999999999854</c:v>
                </c:pt>
                <c:pt idx="337">
                  <c:v>5.616666666666652</c:v>
                </c:pt>
                <c:pt idx="338">
                  <c:v>5.6333333333333186</c:v>
                </c:pt>
                <c:pt idx="339">
                  <c:v>5.6499999999999853</c:v>
                </c:pt>
                <c:pt idx="340">
                  <c:v>5.6666666666666519</c:v>
                </c:pt>
                <c:pt idx="341">
                  <c:v>5.6833333333333185</c:v>
                </c:pt>
                <c:pt idx="342">
                  <c:v>5.6999999999999851</c:v>
                </c:pt>
                <c:pt idx="343">
                  <c:v>5.7166666666666517</c:v>
                </c:pt>
                <c:pt idx="344">
                  <c:v>5.7333333333333183</c:v>
                </c:pt>
                <c:pt idx="345">
                  <c:v>5.7499999999999849</c:v>
                </c:pt>
                <c:pt idx="346">
                  <c:v>5.7666666666666515</c:v>
                </c:pt>
                <c:pt idx="347">
                  <c:v>5.7833333333333181</c:v>
                </c:pt>
                <c:pt idx="348">
                  <c:v>5.7999999999999847</c:v>
                </c:pt>
                <c:pt idx="349">
                  <c:v>5.8166666666666513</c:v>
                </c:pt>
                <c:pt idx="350">
                  <c:v>5.8333333333333179</c:v>
                </c:pt>
                <c:pt idx="351">
                  <c:v>5.8499999999999845</c:v>
                </c:pt>
                <c:pt idx="352">
                  <c:v>5.8666666666666512</c:v>
                </c:pt>
                <c:pt idx="353">
                  <c:v>5.8833333333333178</c:v>
                </c:pt>
                <c:pt idx="354">
                  <c:v>5.8999999999999844</c:v>
                </c:pt>
                <c:pt idx="355">
                  <c:v>5.916666666666651</c:v>
                </c:pt>
                <c:pt idx="356">
                  <c:v>5.9333333333333176</c:v>
                </c:pt>
                <c:pt idx="357">
                  <c:v>5.9499999999999842</c:v>
                </c:pt>
                <c:pt idx="358">
                  <c:v>5.9666666666666508</c:v>
                </c:pt>
                <c:pt idx="359">
                  <c:v>5.9833333333333174</c:v>
                </c:pt>
                <c:pt idx="360">
                  <c:v>5.999999999999984</c:v>
                </c:pt>
                <c:pt idx="361">
                  <c:v>6.0166666666666506</c:v>
                </c:pt>
                <c:pt idx="362">
                  <c:v>6.0333333333333172</c:v>
                </c:pt>
                <c:pt idx="363">
                  <c:v>6.0499999999999838</c:v>
                </c:pt>
                <c:pt idx="364">
                  <c:v>6.0666666666666504</c:v>
                </c:pt>
                <c:pt idx="365">
                  <c:v>6.0833333333333171</c:v>
                </c:pt>
                <c:pt idx="366">
                  <c:v>6.0999999999999837</c:v>
                </c:pt>
                <c:pt idx="367">
                  <c:v>6.1166666666666503</c:v>
                </c:pt>
                <c:pt idx="368">
                  <c:v>6.1333333333333169</c:v>
                </c:pt>
                <c:pt idx="369">
                  <c:v>6.1499999999999835</c:v>
                </c:pt>
                <c:pt idx="370">
                  <c:v>6.1666666666666501</c:v>
                </c:pt>
                <c:pt idx="371">
                  <c:v>6.1833333333333167</c:v>
                </c:pt>
                <c:pt idx="372">
                  <c:v>6.1999999999999833</c:v>
                </c:pt>
                <c:pt idx="373">
                  <c:v>6.2166666666666499</c:v>
                </c:pt>
                <c:pt idx="374">
                  <c:v>6.2333333333333165</c:v>
                </c:pt>
                <c:pt idx="375">
                  <c:v>6.2499999999999831</c:v>
                </c:pt>
                <c:pt idx="376">
                  <c:v>6.2666666666666497</c:v>
                </c:pt>
                <c:pt idx="377">
                  <c:v>6.2833333333333163</c:v>
                </c:pt>
                <c:pt idx="378">
                  <c:v>6.2999999999999829</c:v>
                </c:pt>
                <c:pt idx="379">
                  <c:v>6.3166666666666496</c:v>
                </c:pt>
                <c:pt idx="380">
                  <c:v>6.3333333333333162</c:v>
                </c:pt>
                <c:pt idx="381">
                  <c:v>6.3499999999999828</c:v>
                </c:pt>
                <c:pt idx="382">
                  <c:v>6.3666666666666494</c:v>
                </c:pt>
                <c:pt idx="383">
                  <c:v>6.383333333333316</c:v>
                </c:pt>
                <c:pt idx="384">
                  <c:v>6.3999999999999826</c:v>
                </c:pt>
                <c:pt idx="385">
                  <c:v>6.4166666666666492</c:v>
                </c:pt>
                <c:pt idx="386">
                  <c:v>6.4333333333333158</c:v>
                </c:pt>
                <c:pt idx="387">
                  <c:v>6.4499999999999824</c:v>
                </c:pt>
                <c:pt idx="388">
                  <c:v>6.466666666666649</c:v>
                </c:pt>
                <c:pt idx="389">
                  <c:v>6.4833333333333156</c:v>
                </c:pt>
                <c:pt idx="390">
                  <c:v>6.4999999999999822</c:v>
                </c:pt>
                <c:pt idx="391">
                  <c:v>6.5166666666666488</c:v>
                </c:pt>
                <c:pt idx="392">
                  <c:v>6.5333333333333155</c:v>
                </c:pt>
                <c:pt idx="393">
                  <c:v>6.5499999999999821</c:v>
                </c:pt>
                <c:pt idx="394">
                  <c:v>6.5666666666666487</c:v>
                </c:pt>
                <c:pt idx="395">
                  <c:v>6.5833333333333153</c:v>
                </c:pt>
                <c:pt idx="396">
                  <c:v>6.5999999999999819</c:v>
                </c:pt>
                <c:pt idx="397">
                  <c:v>6.6166666666666485</c:v>
                </c:pt>
                <c:pt idx="398">
                  <c:v>6.6333333333333151</c:v>
                </c:pt>
                <c:pt idx="399">
                  <c:v>6.6499999999999817</c:v>
                </c:pt>
                <c:pt idx="400">
                  <c:v>6.6666666666666483</c:v>
                </c:pt>
                <c:pt idx="401">
                  <c:v>6.6833333333333149</c:v>
                </c:pt>
                <c:pt idx="402">
                  <c:v>6.6999999999999815</c:v>
                </c:pt>
                <c:pt idx="403">
                  <c:v>6.7166666666666481</c:v>
                </c:pt>
                <c:pt idx="404">
                  <c:v>6.7333333333333147</c:v>
                </c:pt>
                <c:pt idx="405">
                  <c:v>6.7499999999999813</c:v>
                </c:pt>
                <c:pt idx="406">
                  <c:v>6.766666666666648</c:v>
                </c:pt>
                <c:pt idx="407">
                  <c:v>6.7833333333333146</c:v>
                </c:pt>
                <c:pt idx="408">
                  <c:v>6.7999999999999812</c:v>
                </c:pt>
                <c:pt idx="409">
                  <c:v>6.8166666666666478</c:v>
                </c:pt>
                <c:pt idx="410">
                  <c:v>6.8333333333333144</c:v>
                </c:pt>
                <c:pt idx="411">
                  <c:v>6.849999999999981</c:v>
                </c:pt>
                <c:pt idx="412">
                  <c:v>6.8666666666666476</c:v>
                </c:pt>
                <c:pt idx="413">
                  <c:v>6.8833333333333142</c:v>
                </c:pt>
                <c:pt idx="414">
                  <c:v>6.8999999999999808</c:v>
                </c:pt>
                <c:pt idx="415">
                  <c:v>6.9166666666666474</c:v>
                </c:pt>
                <c:pt idx="416">
                  <c:v>6.933333333333314</c:v>
                </c:pt>
                <c:pt idx="417">
                  <c:v>6.9499999999999806</c:v>
                </c:pt>
                <c:pt idx="418">
                  <c:v>6.9666666666666472</c:v>
                </c:pt>
                <c:pt idx="419">
                  <c:v>6.9833333333333139</c:v>
                </c:pt>
                <c:pt idx="420">
                  <c:v>6.9999999999999805</c:v>
                </c:pt>
                <c:pt idx="421">
                  <c:v>7.0166666666666471</c:v>
                </c:pt>
                <c:pt idx="422">
                  <c:v>7.0333333333333137</c:v>
                </c:pt>
                <c:pt idx="423">
                  <c:v>7.0499999999999803</c:v>
                </c:pt>
                <c:pt idx="424">
                  <c:v>7.0666666666666469</c:v>
                </c:pt>
                <c:pt idx="425">
                  <c:v>7.0833333333333135</c:v>
                </c:pt>
                <c:pt idx="426">
                  <c:v>7.0999999999999801</c:v>
                </c:pt>
                <c:pt idx="427">
                  <c:v>7.1166666666666467</c:v>
                </c:pt>
                <c:pt idx="428">
                  <c:v>7.1333333333333133</c:v>
                </c:pt>
                <c:pt idx="429">
                  <c:v>7.1499999999999799</c:v>
                </c:pt>
                <c:pt idx="430">
                  <c:v>7.1666666666666465</c:v>
                </c:pt>
                <c:pt idx="431">
                  <c:v>7.1833333333333131</c:v>
                </c:pt>
                <c:pt idx="432">
                  <c:v>7.1999999999999797</c:v>
                </c:pt>
                <c:pt idx="433">
                  <c:v>7.2166666666666464</c:v>
                </c:pt>
                <c:pt idx="434">
                  <c:v>7.233333333333313</c:v>
                </c:pt>
                <c:pt idx="435">
                  <c:v>7.2499999999999796</c:v>
                </c:pt>
                <c:pt idx="436">
                  <c:v>7.2666666666666462</c:v>
                </c:pt>
                <c:pt idx="437">
                  <c:v>7.2833333333333128</c:v>
                </c:pt>
                <c:pt idx="438">
                  <c:v>7.2999999999999794</c:v>
                </c:pt>
                <c:pt idx="439">
                  <c:v>7.316666666666646</c:v>
                </c:pt>
                <c:pt idx="440">
                  <c:v>7.3333333333333126</c:v>
                </c:pt>
                <c:pt idx="441">
                  <c:v>7.3499999999999792</c:v>
                </c:pt>
                <c:pt idx="442">
                  <c:v>7.3666666666666458</c:v>
                </c:pt>
                <c:pt idx="443">
                  <c:v>7.3833333333333124</c:v>
                </c:pt>
                <c:pt idx="444">
                  <c:v>7.399999999999979</c:v>
                </c:pt>
                <c:pt idx="445">
                  <c:v>7.4166666666666456</c:v>
                </c:pt>
                <c:pt idx="446">
                  <c:v>7.4333333333333123</c:v>
                </c:pt>
                <c:pt idx="447">
                  <c:v>7.4499999999999789</c:v>
                </c:pt>
                <c:pt idx="448">
                  <c:v>7.4666666666666455</c:v>
                </c:pt>
                <c:pt idx="449">
                  <c:v>7.4833333333333121</c:v>
                </c:pt>
                <c:pt idx="450">
                  <c:v>7.4999999999999787</c:v>
                </c:pt>
                <c:pt idx="451">
                  <c:v>7.5166666666666453</c:v>
                </c:pt>
                <c:pt idx="452">
                  <c:v>7.5333333333333119</c:v>
                </c:pt>
                <c:pt idx="453">
                  <c:v>7.5499999999999785</c:v>
                </c:pt>
                <c:pt idx="454">
                  <c:v>7.5666666666666451</c:v>
                </c:pt>
                <c:pt idx="455">
                  <c:v>7.5833333333333117</c:v>
                </c:pt>
                <c:pt idx="456">
                  <c:v>7.5999999999999783</c:v>
                </c:pt>
                <c:pt idx="457">
                  <c:v>7.6166666666666449</c:v>
                </c:pt>
                <c:pt idx="458">
                  <c:v>7.6333333333333115</c:v>
                </c:pt>
                <c:pt idx="459">
                  <c:v>7.6499999999999782</c:v>
                </c:pt>
                <c:pt idx="460">
                  <c:v>7.6666666666666448</c:v>
                </c:pt>
                <c:pt idx="461">
                  <c:v>7.6833333333333114</c:v>
                </c:pt>
                <c:pt idx="462">
                  <c:v>7.699999999999978</c:v>
                </c:pt>
                <c:pt idx="463">
                  <c:v>7.7166666666666446</c:v>
                </c:pt>
                <c:pt idx="464">
                  <c:v>7.7333333333333112</c:v>
                </c:pt>
                <c:pt idx="465">
                  <c:v>7.7499999999999778</c:v>
                </c:pt>
                <c:pt idx="466">
                  <c:v>7.7666666666666444</c:v>
                </c:pt>
                <c:pt idx="467">
                  <c:v>7.783333333333311</c:v>
                </c:pt>
                <c:pt idx="468">
                  <c:v>7.7999999999999776</c:v>
                </c:pt>
                <c:pt idx="469">
                  <c:v>7.8166666666666442</c:v>
                </c:pt>
                <c:pt idx="470">
                  <c:v>7.8333333333333108</c:v>
                </c:pt>
                <c:pt idx="471">
                  <c:v>7.8499999999999774</c:v>
                </c:pt>
                <c:pt idx="472">
                  <c:v>7.866666666666644</c:v>
                </c:pt>
                <c:pt idx="473">
                  <c:v>7.8833333333333107</c:v>
                </c:pt>
                <c:pt idx="474">
                  <c:v>7.8999999999999773</c:v>
                </c:pt>
                <c:pt idx="475">
                  <c:v>7.9166666666666439</c:v>
                </c:pt>
                <c:pt idx="476">
                  <c:v>7.9333333333333105</c:v>
                </c:pt>
                <c:pt idx="477">
                  <c:v>7.9499999999999771</c:v>
                </c:pt>
                <c:pt idx="478">
                  <c:v>7.9666666666666437</c:v>
                </c:pt>
                <c:pt idx="479">
                  <c:v>7.9833333333333103</c:v>
                </c:pt>
                <c:pt idx="480">
                  <c:v>7.9999999999999769</c:v>
                </c:pt>
                <c:pt idx="481">
                  <c:v>8.0166666666666444</c:v>
                </c:pt>
                <c:pt idx="482">
                  <c:v>8.0333333333333119</c:v>
                </c:pt>
                <c:pt idx="483">
                  <c:v>8.0499999999999794</c:v>
                </c:pt>
                <c:pt idx="484">
                  <c:v>8.0666666666666469</c:v>
                </c:pt>
                <c:pt idx="485">
                  <c:v>8.0833333333333144</c:v>
                </c:pt>
                <c:pt idx="486">
                  <c:v>8.0999999999999819</c:v>
                </c:pt>
                <c:pt idx="487">
                  <c:v>8.1166666666666494</c:v>
                </c:pt>
                <c:pt idx="488">
                  <c:v>8.1333333333333169</c:v>
                </c:pt>
                <c:pt idx="489">
                  <c:v>8.1499999999999844</c:v>
                </c:pt>
                <c:pt idx="490">
                  <c:v>8.1666666666666519</c:v>
                </c:pt>
                <c:pt idx="491">
                  <c:v>8.1833333333333194</c:v>
                </c:pt>
                <c:pt idx="492">
                  <c:v>8.1999999999999869</c:v>
                </c:pt>
                <c:pt idx="493">
                  <c:v>8.2166666666666544</c:v>
                </c:pt>
                <c:pt idx="494">
                  <c:v>8.2333333333333218</c:v>
                </c:pt>
                <c:pt idx="495">
                  <c:v>8.2499999999999893</c:v>
                </c:pt>
                <c:pt idx="496">
                  <c:v>8.2666666666666568</c:v>
                </c:pt>
                <c:pt idx="497">
                  <c:v>8.2833333333333243</c:v>
                </c:pt>
                <c:pt idx="498">
                  <c:v>8.2999999999999918</c:v>
                </c:pt>
                <c:pt idx="499">
                  <c:v>8.3166666666666593</c:v>
                </c:pt>
                <c:pt idx="500">
                  <c:v>8.3333333333333268</c:v>
                </c:pt>
                <c:pt idx="501">
                  <c:v>8.3499999999999943</c:v>
                </c:pt>
                <c:pt idx="502">
                  <c:v>8.3666666666666618</c:v>
                </c:pt>
                <c:pt idx="503">
                  <c:v>8.3833333333333293</c:v>
                </c:pt>
                <c:pt idx="504">
                  <c:v>8.3999999999999968</c:v>
                </c:pt>
                <c:pt idx="505">
                  <c:v>8.4166666666666643</c:v>
                </c:pt>
                <c:pt idx="506">
                  <c:v>8.4333333333333318</c:v>
                </c:pt>
                <c:pt idx="507">
                  <c:v>8.4499999999999993</c:v>
                </c:pt>
                <c:pt idx="508">
                  <c:v>8.4666666666666668</c:v>
                </c:pt>
                <c:pt idx="509">
                  <c:v>8.4833333333333343</c:v>
                </c:pt>
                <c:pt idx="510">
                  <c:v>8.5000000000000018</c:v>
                </c:pt>
                <c:pt idx="511">
                  <c:v>8.5166666666666693</c:v>
                </c:pt>
                <c:pt idx="512">
                  <c:v>8.5333333333333368</c:v>
                </c:pt>
                <c:pt idx="513">
                  <c:v>8.5500000000000043</c:v>
                </c:pt>
                <c:pt idx="514">
                  <c:v>8.5666666666666718</c:v>
                </c:pt>
                <c:pt idx="515">
                  <c:v>8.5833333333333393</c:v>
                </c:pt>
                <c:pt idx="516">
                  <c:v>8.6000000000000068</c:v>
                </c:pt>
                <c:pt idx="517">
                  <c:v>8.6166666666666742</c:v>
                </c:pt>
                <c:pt idx="518">
                  <c:v>8.6333333333333417</c:v>
                </c:pt>
                <c:pt idx="519">
                  <c:v>8.6500000000000092</c:v>
                </c:pt>
                <c:pt idx="520">
                  <c:v>8.6666666666666767</c:v>
                </c:pt>
                <c:pt idx="521">
                  <c:v>8.6833333333333442</c:v>
                </c:pt>
                <c:pt idx="522">
                  <c:v>8.7000000000000117</c:v>
                </c:pt>
                <c:pt idx="523">
                  <c:v>8.7166666666666792</c:v>
                </c:pt>
                <c:pt idx="524">
                  <c:v>8.7333333333333467</c:v>
                </c:pt>
                <c:pt idx="525">
                  <c:v>8.7500000000000142</c:v>
                </c:pt>
                <c:pt idx="526">
                  <c:v>8.7666666666666817</c:v>
                </c:pt>
                <c:pt idx="527">
                  <c:v>8.7833333333333492</c:v>
                </c:pt>
                <c:pt idx="528">
                  <c:v>8.8000000000000167</c:v>
                </c:pt>
                <c:pt idx="529">
                  <c:v>8.8166666666666842</c:v>
                </c:pt>
                <c:pt idx="530">
                  <c:v>8.8333333333333517</c:v>
                </c:pt>
                <c:pt idx="531">
                  <c:v>8.8500000000000192</c:v>
                </c:pt>
                <c:pt idx="532">
                  <c:v>8.8666666666666867</c:v>
                </c:pt>
                <c:pt idx="533">
                  <c:v>8.8833333333333542</c:v>
                </c:pt>
                <c:pt idx="534">
                  <c:v>8.9000000000000217</c:v>
                </c:pt>
                <c:pt idx="535">
                  <c:v>8.9166666666666892</c:v>
                </c:pt>
                <c:pt idx="536">
                  <c:v>8.9333333333333567</c:v>
                </c:pt>
                <c:pt idx="537">
                  <c:v>8.9500000000000242</c:v>
                </c:pt>
                <c:pt idx="538">
                  <c:v>8.9666666666666917</c:v>
                </c:pt>
                <c:pt idx="539">
                  <c:v>8.9833333333333591</c:v>
                </c:pt>
                <c:pt idx="540">
                  <c:v>9.0000000000000266</c:v>
                </c:pt>
                <c:pt idx="541">
                  <c:v>9.0166666666666941</c:v>
                </c:pt>
                <c:pt idx="542">
                  <c:v>9.0333333333333616</c:v>
                </c:pt>
                <c:pt idx="543">
                  <c:v>9.0500000000000291</c:v>
                </c:pt>
                <c:pt idx="544">
                  <c:v>9.0666666666666966</c:v>
                </c:pt>
                <c:pt idx="545">
                  <c:v>9.0833333333333641</c:v>
                </c:pt>
                <c:pt idx="546">
                  <c:v>9.1000000000000316</c:v>
                </c:pt>
                <c:pt idx="547">
                  <c:v>9.1166666666666991</c:v>
                </c:pt>
                <c:pt idx="548">
                  <c:v>9.1333333333333666</c:v>
                </c:pt>
                <c:pt idx="549">
                  <c:v>9.1500000000000341</c:v>
                </c:pt>
                <c:pt idx="550">
                  <c:v>9.1666666666667016</c:v>
                </c:pt>
                <c:pt idx="551">
                  <c:v>9.1833333333333691</c:v>
                </c:pt>
                <c:pt idx="552">
                  <c:v>9.2000000000000366</c:v>
                </c:pt>
                <c:pt idx="553">
                  <c:v>9.2166666666667041</c:v>
                </c:pt>
                <c:pt idx="554">
                  <c:v>9.2333333333333716</c:v>
                </c:pt>
                <c:pt idx="555">
                  <c:v>9.2500000000000391</c:v>
                </c:pt>
                <c:pt idx="556">
                  <c:v>9.2666666666667066</c:v>
                </c:pt>
                <c:pt idx="557">
                  <c:v>9.2833333333333741</c:v>
                </c:pt>
                <c:pt idx="558">
                  <c:v>9.3000000000000416</c:v>
                </c:pt>
                <c:pt idx="559">
                  <c:v>9.3166666666667091</c:v>
                </c:pt>
                <c:pt idx="560">
                  <c:v>9.3333333333333766</c:v>
                </c:pt>
                <c:pt idx="561">
                  <c:v>9.3500000000000441</c:v>
                </c:pt>
                <c:pt idx="562">
                  <c:v>9.3666666666667115</c:v>
                </c:pt>
                <c:pt idx="563">
                  <c:v>9.383333333333379</c:v>
                </c:pt>
                <c:pt idx="564">
                  <c:v>9.4000000000000465</c:v>
                </c:pt>
                <c:pt idx="565">
                  <c:v>9.416666666666714</c:v>
                </c:pt>
                <c:pt idx="566">
                  <c:v>9.4333333333333815</c:v>
                </c:pt>
                <c:pt idx="567">
                  <c:v>9.450000000000049</c:v>
                </c:pt>
                <c:pt idx="568">
                  <c:v>9.4666666666667165</c:v>
                </c:pt>
                <c:pt idx="569">
                  <c:v>9.483333333333384</c:v>
                </c:pt>
                <c:pt idx="570">
                  <c:v>9.5000000000000515</c:v>
                </c:pt>
                <c:pt idx="571">
                  <c:v>9.516666666666719</c:v>
                </c:pt>
                <c:pt idx="572">
                  <c:v>9.5333333333333865</c:v>
                </c:pt>
                <c:pt idx="573">
                  <c:v>9.550000000000054</c:v>
                </c:pt>
                <c:pt idx="574">
                  <c:v>9.5666666666667215</c:v>
                </c:pt>
                <c:pt idx="575">
                  <c:v>9.583333333333389</c:v>
                </c:pt>
                <c:pt idx="576">
                  <c:v>9.6000000000000565</c:v>
                </c:pt>
                <c:pt idx="577">
                  <c:v>9.616666666666724</c:v>
                </c:pt>
                <c:pt idx="578">
                  <c:v>9.6333333333333915</c:v>
                </c:pt>
                <c:pt idx="579">
                  <c:v>9.650000000000059</c:v>
                </c:pt>
                <c:pt idx="580">
                  <c:v>9.6666666666667265</c:v>
                </c:pt>
                <c:pt idx="581">
                  <c:v>9.683333333333394</c:v>
                </c:pt>
                <c:pt idx="582">
                  <c:v>9.7000000000000615</c:v>
                </c:pt>
                <c:pt idx="583">
                  <c:v>9.716666666666729</c:v>
                </c:pt>
                <c:pt idx="584">
                  <c:v>9.7333333333333965</c:v>
                </c:pt>
                <c:pt idx="585">
                  <c:v>9.7500000000000639</c:v>
                </c:pt>
                <c:pt idx="586">
                  <c:v>9.7666666666667314</c:v>
                </c:pt>
                <c:pt idx="587">
                  <c:v>9.7833333333333989</c:v>
                </c:pt>
                <c:pt idx="588">
                  <c:v>9.8000000000000664</c:v>
                </c:pt>
                <c:pt idx="589">
                  <c:v>9.8166666666667339</c:v>
                </c:pt>
                <c:pt idx="590">
                  <c:v>9.8333333333334014</c:v>
                </c:pt>
                <c:pt idx="591">
                  <c:v>9.8500000000000689</c:v>
                </c:pt>
                <c:pt idx="592">
                  <c:v>9.8666666666667364</c:v>
                </c:pt>
                <c:pt idx="593">
                  <c:v>9.8833333333334039</c:v>
                </c:pt>
                <c:pt idx="594">
                  <c:v>9.9000000000000714</c:v>
                </c:pt>
                <c:pt idx="595">
                  <c:v>9.9166666666667389</c:v>
                </c:pt>
                <c:pt idx="596">
                  <c:v>9.9333333333334064</c:v>
                </c:pt>
                <c:pt idx="597">
                  <c:v>9.9500000000000739</c:v>
                </c:pt>
                <c:pt idx="598">
                  <c:v>9.9666666666667414</c:v>
                </c:pt>
                <c:pt idx="599">
                  <c:v>9.9833333333334089</c:v>
                </c:pt>
                <c:pt idx="600">
                  <c:v>10.000000000000076</c:v>
                </c:pt>
                <c:pt idx="601">
                  <c:v>10.016666666666744</c:v>
                </c:pt>
                <c:pt idx="602">
                  <c:v>10.033333333333411</c:v>
                </c:pt>
                <c:pt idx="603">
                  <c:v>10.050000000000079</c:v>
                </c:pt>
                <c:pt idx="604">
                  <c:v>10.066666666666746</c:v>
                </c:pt>
                <c:pt idx="605">
                  <c:v>10.083333333333414</c:v>
                </c:pt>
                <c:pt idx="606">
                  <c:v>10.100000000000081</c:v>
                </c:pt>
                <c:pt idx="607">
                  <c:v>10.116666666666749</c:v>
                </c:pt>
                <c:pt idx="608">
                  <c:v>10.133333333333416</c:v>
                </c:pt>
                <c:pt idx="609">
                  <c:v>10.150000000000084</c:v>
                </c:pt>
                <c:pt idx="610">
                  <c:v>10.166666666666751</c:v>
                </c:pt>
                <c:pt idx="611">
                  <c:v>10.183333333333419</c:v>
                </c:pt>
                <c:pt idx="612">
                  <c:v>10.200000000000086</c:v>
                </c:pt>
                <c:pt idx="613">
                  <c:v>10.216666666666754</c:v>
                </c:pt>
                <c:pt idx="614">
                  <c:v>10.233333333333421</c:v>
                </c:pt>
                <c:pt idx="615">
                  <c:v>10.250000000000089</c:v>
                </c:pt>
                <c:pt idx="616">
                  <c:v>10.266666666666756</c:v>
                </c:pt>
                <c:pt idx="617">
                  <c:v>10.283333333333424</c:v>
                </c:pt>
                <c:pt idx="618">
                  <c:v>10.300000000000091</c:v>
                </c:pt>
                <c:pt idx="619">
                  <c:v>10.316666666666759</c:v>
                </c:pt>
                <c:pt idx="620">
                  <c:v>10.333333333333426</c:v>
                </c:pt>
                <c:pt idx="621">
                  <c:v>10.350000000000094</c:v>
                </c:pt>
                <c:pt idx="622">
                  <c:v>10.366666666666761</c:v>
                </c:pt>
                <c:pt idx="623">
                  <c:v>10.383333333333429</c:v>
                </c:pt>
                <c:pt idx="624">
                  <c:v>10.400000000000096</c:v>
                </c:pt>
                <c:pt idx="625">
                  <c:v>10.416666666666764</c:v>
                </c:pt>
                <c:pt idx="626">
                  <c:v>10.433333333333431</c:v>
                </c:pt>
                <c:pt idx="627">
                  <c:v>10.450000000000099</c:v>
                </c:pt>
                <c:pt idx="628">
                  <c:v>10.466666666666766</c:v>
                </c:pt>
                <c:pt idx="629">
                  <c:v>10.483333333333434</c:v>
                </c:pt>
                <c:pt idx="630">
                  <c:v>10.500000000000101</c:v>
                </c:pt>
                <c:pt idx="631">
                  <c:v>10.516666666666769</c:v>
                </c:pt>
                <c:pt idx="632">
                  <c:v>10.533333333333436</c:v>
                </c:pt>
                <c:pt idx="633">
                  <c:v>10.550000000000104</c:v>
                </c:pt>
                <c:pt idx="634">
                  <c:v>10.566666666666771</c:v>
                </c:pt>
                <c:pt idx="635">
                  <c:v>10.583333333333439</c:v>
                </c:pt>
                <c:pt idx="636">
                  <c:v>10.600000000000106</c:v>
                </c:pt>
                <c:pt idx="637">
                  <c:v>10.616666666666774</c:v>
                </c:pt>
                <c:pt idx="638">
                  <c:v>10.633333333333441</c:v>
                </c:pt>
                <c:pt idx="639">
                  <c:v>10.650000000000109</c:v>
                </c:pt>
                <c:pt idx="640">
                  <c:v>10.666666666666776</c:v>
                </c:pt>
                <c:pt idx="641">
                  <c:v>10.683333333333444</c:v>
                </c:pt>
                <c:pt idx="642">
                  <c:v>10.700000000000111</c:v>
                </c:pt>
                <c:pt idx="643">
                  <c:v>10.716666666666779</c:v>
                </c:pt>
                <c:pt idx="644">
                  <c:v>10.733333333333446</c:v>
                </c:pt>
                <c:pt idx="645">
                  <c:v>10.750000000000114</c:v>
                </c:pt>
                <c:pt idx="646">
                  <c:v>10.766666666666781</c:v>
                </c:pt>
                <c:pt idx="647">
                  <c:v>10.783333333333449</c:v>
                </c:pt>
                <c:pt idx="648">
                  <c:v>10.800000000000116</c:v>
                </c:pt>
                <c:pt idx="649">
                  <c:v>10.816666666666784</c:v>
                </c:pt>
                <c:pt idx="650">
                  <c:v>10.833333333333451</c:v>
                </c:pt>
                <c:pt idx="651">
                  <c:v>10.850000000000119</c:v>
                </c:pt>
                <c:pt idx="652">
                  <c:v>10.866666666666786</c:v>
                </c:pt>
                <c:pt idx="653">
                  <c:v>10.883333333333454</c:v>
                </c:pt>
                <c:pt idx="654">
                  <c:v>10.900000000000121</c:v>
                </c:pt>
                <c:pt idx="655">
                  <c:v>10.916666666666789</c:v>
                </c:pt>
                <c:pt idx="656">
                  <c:v>10.933333333333456</c:v>
                </c:pt>
                <c:pt idx="657">
                  <c:v>10.950000000000124</c:v>
                </c:pt>
                <c:pt idx="658">
                  <c:v>10.966666666666791</c:v>
                </c:pt>
                <c:pt idx="659">
                  <c:v>10.983333333333459</c:v>
                </c:pt>
                <c:pt idx="660">
                  <c:v>11.000000000000126</c:v>
                </c:pt>
                <c:pt idx="661">
                  <c:v>11.016666666666794</c:v>
                </c:pt>
                <c:pt idx="662">
                  <c:v>11.033333333333461</c:v>
                </c:pt>
                <c:pt idx="663">
                  <c:v>11.050000000000129</c:v>
                </c:pt>
                <c:pt idx="664">
                  <c:v>11.066666666666796</c:v>
                </c:pt>
                <c:pt idx="665">
                  <c:v>11.083333333333464</c:v>
                </c:pt>
                <c:pt idx="666">
                  <c:v>11.100000000000131</c:v>
                </c:pt>
                <c:pt idx="667">
                  <c:v>11.116666666666799</c:v>
                </c:pt>
                <c:pt idx="668">
                  <c:v>11.133333333333466</c:v>
                </c:pt>
                <c:pt idx="669">
                  <c:v>11.150000000000134</c:v>
                </c:pt>
                <c:pt idx="670">
                  <c:v>11.166666666666801</c:v>
                </c:pt>
                <c:pt idx="671">
                  <c:v>11.183333333333469</c:v>
                </c:pt>
                <c:pt idx="672">
                  <c:v>11.200000000000136</c:v>
                </c:pt>
                <c:pt idx="673">
                  <c:v>11.216666666666804</c:v>
                </c:pt>
                <c:pt idx="674">
                  <c:v>11.233333333333471</c:v>
                </c:pt>
                <c:pt idx="675">
                  <c:v>11.250000000000139</c:v>
                </c:pt>
                <c:pt idx="676">
                  <c:v>11.266666666666806</c:v>
                </c:pt>
                <c:pt idx="677">
                  <c:v>11.283333333333474</c:v>
                </c:pt>
                <c:pt idx="678">
                  <c:v>11.300000000000141</c:v>
                </c:pt>
                <c:pt idx="679">
                  <c:v>11.316666666666809</c:v>
                </c:pt>
                <c:pt idx="680">
                  <c:v>11.333333333333476</c:v>
                </c:pt>
                <c:pt idx="681">
                  <c:v>11.350000000000144</c:v>
                </c:pt>
                <c:pt idx="682">
                  <c:v>11.366666666666811</c:v>
                </c:pt>
                <c:pt idx="683">
                  <c:v>11.383333333333479</c:v>
                </c:pt>
                <c:pt idx="684">
                  <c:v>11.400000000000146</c:v>
                </c:pt>
                <c:pt idx="685">
                  <c:v>11.416666666666814</c:v>
                </c:pt>
                <c:pt idx="686">
                  <c:v>11.433333333333481</c:v>
                </c:pt>
                <c:pt idx="687">
                  <c:v>11.450000000000149</c:v>
                </c:pt>
                <c:pt idx="688">
                  <c:v>11.466666666666816</c:v>
                </c:pt>
                <c:pt idx="689">
                  <c:v>11.483333333333483</c:v>
                </c:pt>
                <c:pt idx="690">
                  <c:v>11.500000000000151</c:v>
                </c:pt>
                <c:pt idx="691">
                  <c:v>11.516666666666818</c:v>
                </c:pt>
                <c:pt idx="692">
                  <c:v>11.533333333333486</c:v>
                </c:pt>
                <c:pt idx="693">
                  <c:v>11.550000000000153</c:v>
                </c:pt>
                <c:pt idx="694">
                  <c:v>11.566666666666821</c:v>
                </c:pt>
                <c:pt idx="695">
                  <c:v>11.583333333333488</c:v>
                </c:pt>
                <c:pt idx="696">
                  <c:v>11.600000000000156</c:v>
                </c:pt>
                <c:pt idx="697">
                  <c:v>11.616666666666823</c:v>
                </c:pt>
                <c:pt idx="698">
                  <c:v>11.633333333333491</c:v>
                </c:pt>
                <c:pt idx="699">
                  <c:v>11.650000000000158</c:v>
                </c:pt>
                <c:pt idx="700">
                  <c:v>11.666666666666826</c:v>
                </c:pt>
                <c:pt idx="701">
                  <c:v>11.683333333333493</c:v>
                </c:pt>
                <c:pt idx="702">
                  <c:v>11.700000000000161</c:v>
                </c:pt>
                <c:pt idx="703">
                  <c:v>11.716666666666828</c:v>
                </c:pt>
                <c:pt idx="704">
                  <c:v>11.733333333333496</c:v>
                </c:pt>
                <c:pt idx="705">
                  <c:v>11.750000000000163</c:v>
                </c:pt>
                <c:pt idx="706">
                  <c:v>11.766666666666831</c:v>
                </c:pt>
                <c:pt idx="707">
                  <c:v>11.783333333333498</c:v>
                </c:pt>
                <c:pt idx="708">
                  <c:v>11.800000000000166</c:v>
                </c:pt>
                <c:pt idx="709">
                  <c:v>11.816666666666833</c:v>
                </c:pt>
                <c:pt idx="710">
                  <c:v>11.833333333333501</c:v>
                </c:pt>
                <c:pt idx="711">
                  <c:v>11.850000000000168</c:v>
                </c:pt>
                <c:pt idx="712">
                  <c:v>11.866666666666836</c:v>
                </c:pt>
                <c:pt idx="713">
                  <c:v>11.883333333333503</c:v>
                </c:pt>
                <c:pt idx="714">
                  <c:v>11.900000000000171</c:v>
                </c:pt>
                <c:pt idx="715">
                  <c:v>11.916666666666838</c:v>
                </c:pt>
                <c:pt idx="716">
                  <c:v>11.933333333333506</c:v>
                </c:pt>
                <c:pt idx="717">
                  <c:v>11.950000000000173</c:v>
                </c:pt>
                <c:pt idx="718">
                  <c:v>11.966666666666841</c:v>
                </c:pt>
                <c:pt idx="719">
                  <c:v>11.983333333333508</c:v>
                </c:pt>
                <c:pt idx="720">
                  <c:v>12.000000000000176</c:v>
                </c:pt>
                <c:pt idx="721">
                  <c:v>12.016666666666843</c:v>
                </c:pt>
                <c:pt idx="722">
                  <c:v>12.033333333333511</c:v>
                </c:pt>
                <c:pt idx="723">
                  <c:v>12.050000000000178</c:v>
                </c:pt>
                <c:pt idx="724">
                  <c:v>12.066666666666846</c:v>
                </c:pt>
                <c:pt idx="725">
                  <c:v>12.083333333333513</c:v>
                </c:pt>
                <c:pt idx="726">
                  <c:v>12.100000000000181</c:v>
                </c:pt>
                <c:pt idx="727">
                  <c:v>12.116666666666848</c:v>
                </c:pt>
                <c:pt idx="728">
                  <c:v>12.133333333333516</c:v>
                </c:pt>
                <c:pt idx="729">
                  <c:v>12.150000000000183</c:v>
                </c:pt>
                <c:pt idx="730">
                  <c:v>12.166666666666851</c:v>
                </c:pt>
                <c:pt idx="731">
                  <c:v>12.183333333333518</c:v>
                </c:pt>
                <c:pt idx="732">
                  <c:v>12.200000000000186</c:v>
                </c:pt>
                <c:pt idx="733">
                  <c:v>12.216666666666853</c:v>
                </c:pt>
                <c:pt idx="734">
                  <c:v>12.233333333333521</c:v>
                </c:pt>
                <c:pt idx="735">
                  <c:v>12.250000000000188</c:v>
                </c:pt>
                <c:pt idx="736">
                  <c:v>12.266666666666856</c:v>
                </c:pt>
                <c:pt idx="737">
                  <c:v>12.283333333333523</c:v>
                </c:pt>
                <c:pt idx="738">
                  <c:v>12.300000000000191</c:v>
                </c:pt>
                <c:pt idx="739">
                  <c:v>12.316666666666858</c:v>
                </c:pt>
                <c:pt idx="740">
                  <c:v>12.333333333333526</c:v>
                </c:pt>
                <c:pt idx="741">
                  <c:v>12.350000000000193</c:v>
                </c:pt>
                <c:pt idx="742">
                  <c:v>12.366666666666861</c:v>
                </c:pt>
                <c:pt idx="743">
                  <c:v>12.383333333333528</c:v>
                </c:pt>
                <c:pt idx="744">
                  <c:v>12.400000000000196</c:v>
                </c:pt>
                <c:pt idx="745">
                  <c:v>12.416666666666863</c:v>
                </c:pt>
                <c:pt idx="746">
                  <c:v>12.433333333333531</c:v>
                </c:pt>
                <c:pt idx="747">
                  <c:v>12.450000000000198</c:v>
                </c:pt>
                <c:pt idx="748">
                  <c:v>12.466666666666866</c:v>
                </c:pt>
                <c:pt idx="749">
                  <c:v>12.483333333333533</c:v>
                </c:pt>
                <c:pt idx="750">
                  <c:v>12.500000000000201</c:v>
                </c:pt>
                <c:pt idx="751">
                  <c:v>12.516666666666868</c:v>
                </c:pt>
                <c:pt idx="752">
                  <c:v>12.533333333333536</c:v>
                </c:pt>
                <c:pt idx="753">
                  <c:v>12.550000000000203</c:v>
                </c:pt>
                <c:pt idx="754">
                  <c:v>12.566666666666871</c:v>
                </c:pt>
                <c:pt idx="755">
                  <c:v>12.583333333333538</c:v>
                </c:pt>
                <c:pt idx="756">
                  <c:v>12.600000000000206</c:v>
                </c:pt>
                <c:pt idx="757">
                  <c:v>12.616666666666873</c:v>
                </c:pt>
                <c:pt idx="758">
                  <c:v>12.633333333333541</c:v>
                </c:pt>
                <c:pt idx="759">
                  <c:v>12.650000000000208</c:v>
                </c:pt>
                <c:pt idx="760">
                  <c:v>12.666666666666876</c:v>
                </c:pt>
                <c:pt idx="761">
                  <c:v>12.683333333333543</c:v>
                </c:pt>
                <c:pt idx="762">
                  <c:v>12.700000000000211</c:v>
                </c:pt>
                <c:pt idx="763">
                  <c:v>12.716666666666878</c:v>
                </c:pt>
                <c:pt idx="764">
                  <c:v>12.733333333333546</c:v>
                </c:pt>
                <c:pt idx="765">
                  <c:v>12.750000000000213</c:v>
                </c:pt>
                <c:pt idx="766">
                  <c:v>12.766666666666881</c:v>
                </c:pt>
                <c:pt idx="767">
                  <c:v>12.783333333333548</c:v>
                </c:pt>
                <c:pt idx="768">
                  <c:v>12.800000000000216</c:v>
                </c:pt>
                <c:pt idx="769">
                  <c:v>12.816666666666883</c:v>
                </c:pt>
                <c:pt idx="770">
                  <c:v>12.833333333333551</c:v>
                </c:pt>
                <c:pt idx="771">
                  <c:v>12.850000000000218</c:v>
                </c:pt>
                <c:pt idx="772">
                  <c:v>12.866666666666886</c:v>
                </c:pt>
                <c:pt idx="773">
                  <c:v>12.883333333333553</c:v>
                </c:pt>
                <c:pt idx="774">
                  <c:v>12.900000000000221</c:v>
                </c:pt>
                <c:pt idx="775">
                  <c:v>12.916666666666888</c:v>
                </c:pt>
                <c:pt idx="776">
                  <c:v>12.933333333333556</c:v>
                </c:pt>
                <c:pt idx="777">
                  <c:v>12.950000000000223</c:v>
                </c:pt>
                <c:pt idx="778">
                  <c:v>12.966666666666891</c:v>
                </c:pt>
                <c:pt idx="779">
                  <c:v>12.983333333333558</c:v>
                </c:pt>
                <c:pt idx="780">
                  <c:v>13.000000000000226</c:v>
                </c:pt>
                <c:pt idx="781">
                  <c:v>13.016666666666893</c:v>
                </c:pt>
                <c:pt idx="782">
                  <c:v>13.033333333333561</c:v>
                </c:pt>
                <c:pt idx="783">
                  <c:v>13.050000000000228</c:v>
                </c:pt>
                <c:pt idx="784">
                  <c:v>13.066666666666896</c:v>
                </c:pt>
                <c:pt idx="785">
                  <c:v>13.083333333333563</c:v>
                </c:pt>
                <c:pt idx="786">
                  <c:v>13.100000000000231</c:v>
                </c:pt>
                <c:pt idx="787">
                  <c:v>13.116666666666898</c:v>
                </c:pt>
                <c:pt idx="788">
                  <c:v>13.133333333333566</c:v>
                </c:pt>
                <c:pt idx="789">
                  <c:v>13.150000000000233</c:v>
                </c:pt>
                <c:pt idx="790">
                  <c:v>13.166666666666901</c:v>
                </c:pt>
                <c:pt idx="791">
                  <c:v>13.183333333333568</c:v>
                </c:pt>
                <c:pt idx="792">
                  <c:v>13.200000000000236</c:v>
                </c:pt>
                <c:pt idx="793">
                  <c:v>13.216666666666903</c:v>
                </c:pt>
                <c:pt idx="794">
                  <c:v>13.233333333333571</c:v>
                </c:pt>
                <c:pt idx="795">
                  <c:v>13.250000000000238</c:v>
                </c:pt>
                <c:pt idx="796">
                  <c:v>13.266666666666906</c:v>
                </c:pt>
                <c:pt idx="797">
                  <c:v>13.283333333333573</c:v>
                </c:pt>
                <c:pt idx="798">
                  <c:v>13.300000000000241</c:v>
                </c:pt>
                <c:pt idx="799">
                  <c:v>13.316666666666908</c:v>
                </c:pt>
                <c:pt idx="800">
                  <c:v>13.333333333333576</c:v>
                </c:pt>
                <c:pt idx="801">
                  <c:v>13.350000000000243</c:v>
                </c:pt>
                <c:pt idx="802">
                  <c:v>13.366666666666911</c:v>
                </c:pt>
                <c:pt idx="803">
                  <c:v>13.383333333333578</c:v>
                </c:pt>
                <c:pt idx="804">
                  <c:v>13.400000000000245</c:v>
                </c:pt>
                <c:pt idx="805">
                  <c:v>13.416666666666913</c:v>
                </c:pt>
                <c:pt idx="806">
                  <c:v>13.43333333333358</c:v>
                </c:pt>
                <c:pt idx="807">
                  <c:v>13.450000000000248</c:v>
                </c:pt>
                <c:pt idx="808">
                  <c:v>13.466666666666915</c:v>
                </c:pt>
                <c:pt idx="809">
                  <c:v>13.483333333333583</c:v>
                </c:pt>
                <c:pt idx="810">
                  <c:v>13.50000000000025</c:v>
                </c:pt>
                <c:pt idx="811">
                  <c:v>13.516666666666918</c:v>
                </c:pt>
                <c:pt idx="812">
                  <c:v>13.533333333333585</c:v>
                </c:pt>
                <c:pt idx="813">
                  <c:v>13.550000000000253</c:v>
                </c:pt>
                <c:pt idx="814">
                  <c:v>13.56666666666692</c:v>
                </c:pt>
                <c:pt idx="815">
                  <c:v>13.583333333333588</c:v>
                </c:pt>
                <c:pt idx="816">
                  <c:v>13.600000000000255</c:v>
                </c:pt>
                <c:pt idx="817">
                  <c:v>13.616666666666923</c:v>
                </c:pt>
                <c:pt idx="818">
                  <c:v>13.63333333333359</c:v>
                </c:pt>
                <c:pt idx="819">
                  <c:v>13.650000000000258</c:v>
                </c:pt>
                <c:pt idx="820">
                  <c:v>13.666666666666925</c:v>
                </c:pt>
                <c:pt idx="821">
                  <c:v>13.683333333333593</c:v>
                </c:pt>
                <c:pt idx="822">
                  <c:v>13.70000000000026</c:v>
                </c:pt>
                <c:pt idx="823">
                  <c:v>13.716666666666928</c:v>
                </c:pt>
                <c:pt idx="824">
                  <c:v>13.733333333333595</c:v>
                </c:pt>
                <c:pt idx="825">
                  <c:v>13.750000000000263</c:v>
                </c:pt>
                <c:pt idx="826">
                  <c:v>13.76666666666693</c:v>
                </c:pt>
                <c:pt idx="827">
                  <c:v>13.783333333333598</c:v>
                </c:pt>
                <c:pt idx="828">
                  <c:v>13.800000000000265</c:v>
                </c:pt>
                <c:pt idx="829">
                  <c:v>13.816666666666933</c:v>
                </c:pt>
                <c:pt idx="830">
                  <c:v>13.8333333333336</c:v>
                </c:pt>
                <c:pt idx="831">
                  <c:v>13.850000000000268</c:v>
                </c:pt>
                <c:pt idx="832">
                  <c:v>13.866666666666935</c:v>
                </c:pt>
                <c:pt idx="833">
                  <c:v>13.883333333333603</c:v>
                </c:pt>
                <c:pt idx="834">
                  <c:v>13.90000000000027</c:v>
                </c:pt>
                <c:pt idx="835">
                  <c:v>13.916666666666938</c:v>
                </c:pt>
                <c:pt idx="836">
                  <c:v>13.933333333333605</c:v>
                </c:pt>
                <c:pt idx="837">
                  <c:v>13.950000000000273</c:v>
                </c:pt>
                <c:pt idx="838">
                  <c:v>13.96666666666694</c:v>
                </c:pt>
                <c:pt idx="839">
                  <c:v>13.983333333333608</c:v>
                </c:pt>
                <c:pt idx="840">
                  <c:v>14.000000000000275</c:v>
                </c:pt>
                <c:pt idx="841">
                  <c:v>14.016666666666943</c:v>
                </c:pt>
                <c:pt idx="842">
                  <c:v>14.03333333333361</c:v>
                </c:pt>
                <c:pt idx="843">
                  <c:v>14.050000000000278</c:v>
                </c:pt>
                <c:pt idx="844">
                  <c:v>14.066666666666945</c:v>
                </c:pt>
                <c:pt idx="845">
                  <c:v>14.083333333333613</c:v>
                </c:pt>
                <c:pt idx="846">
                  <c:v>14.10000000000028</c:v>
                </c:pt>
                <c:pt idx="847">
                  <c:v>14.116666666666948</c:v>
                </c:pt>
                <c:pt idx="848">
                  <c:v>14.133333333333615</c:v>
                </c:pt>
                <c:pt idx="849">
                  <c:v>14.150000000000283</c:v>
                </c:pt>
                <c:pt idx="850">
                  <c:v>14.16666666666695</c:v>
                </c:pt>
                <c:pt idx="851">
                  <c:v>14.183333333333618</c:v>
                </c:pt>
                <c:pt idx="852">
                  <c:v>14.200000000000285</c:v>
                </c:pt>
                <c:pt idx="853">
                  <c:v>14.216666666666953</c:v>
                </c:pt>
                <c:pt idx="854">
                  <c:v>14.23333333333362</c:v>
                </c:pt>
                <c:pt idx="855">
                  <c:v>14.250000000000288</c:v>
                </c:pt>
                <c:pt idx="856">
                  <c:v>14.266666666666955</c:v>
                </c:pt>
                <c:pt idx="857">
                  <c:v>14.283333333333623</c:v>
                </c:pt>
                <c:pt idx="858">
                  <c:v>14.30000000000029</c:v>
                </c:pt>
                <c:pt idx="859">
                  <c:v>14.316666666666958</c:v>
                </c:pt>
                <c:pt idx="860">
                  <c:v>14.333333333333625</c:v>
                </c:pt>
                <c:pt idx="861">
                  <c:v>14.350000000000293</c:v>
                </c:pt>
                <c:pt idx="862">
                  <c:v>14.36666666666696</c:v>
                </c:pt>
                <c:pt idx="863">
                  <c:v>14.383333333333628</c:v>
                </c:pt>
                <c:pt idx="864">
                  <c:v>14.400000000000295</c:v>
                </c:pt>
                <c:pt idx="865">
                  <c:v>14.416666666666963</c:v>
                </c:pt>
                <c:pt idx="866">
                  <c:v>14.43333333333363</c:v>
                </c:pt>
                <c:pt idx="867">
                  <c:v>14.450000000000298</c:v>
                </c:pt>
                <c:pt idx="868">
                  <c:v>14.466666666666965</c:v>
                </c:pt>
                <c:pt idx="869">
                  <c:v>14.483333333333633</c:v>
                </c:pt>
                <c:pt idx="870">
                  <c:v>14.5000000000003</c:v>
                </c:pt>
                <c:pt idx="871">
                  <c:v>14.516666666666968</c:v>
                </c:pt>
                <c:pt idx="872">
                  <c:v>14.533333333333635</c:v>
                </c:pt>
                <c:pt idx="873">
                  <c:v>14.550000000000303</c:v>
                </c:pt>
                <c:pt idx="874">
                  <c:v>14.56666666666697</c:v>
                </c:pt>
                <c:pt idx="875">
                  <c:v>14.583333333333638</c:v>
                </c:pt>
                <c:pt idx="876">
                  <c:v>14.600000000000305</c:v>
                </c:pt>
                <c:pt idx="877">
                  <c:v>14.616666666666973</c:v>
                </c:pt>
                <c:pt idx="878">
                  <c:v>14.63333333333364</c:v>
                </c:pt>
                <c:pt idx="879">
                  <c:v>14.650000000000308</c:v>
                </c:pt>
                <c:pt idx="880">
                  <c:v>14.666666666666975</c:v>
                </c:pt>
                <c:pt idx="881">
                  <c:v>14.683333333333643</c:v>
                </c:pt>
                <c:pt idx="882">
                  <c:v>14.70000000000031</c:v>
                </c:pt>
                <c:pt idx="883">
                  <c:v>14.716666666666978</c:v>
                </c:pt>
                <c:pt idx="884">
                  <c:v>14.733333333333645</c:v>
                </c:pt>
                <c:pt idx="885">
                  <c:v>14.750000000000313</c:v>
                </c:pt>
                <c:pt idx="886">
                  <c:v>14.76666666666698</c:v>
                </c:pt>
                <c:pt idx="887">
                  <c:v>14.783333333333648</c:v>
                </c:pt>
                <c:pt idx="888">
                  <c:v>14.800000000000315</c:v>
                </c:pt>
                <c:pt idx="889">
                  <c:v>14.816666666666983</c:v>
                </c:pt>
                <c:pt idx="890">
                  <c:v>14.83333333333365</c:v>
                </c:pt>
                <c:pt idx="891">
                  <c:v>14.850000000000318</c:v>
                </c:pt>
                <c:pt idx="892">
                  <c:v>14.866666666666985</c:v>
                </c:pt>
                <c:pt idx="893">
                  <c:v>14.883333333333653</c:v>
                </c:pt>
                <c:pt idx="894">
                  <c:v>14.90000000000032</c:v>
                </c:pt>
                <c:pt idx="895">
                  <c:v>14.916666666666988</c:v>
                </c:pt>
                <c:pt idx="896">
                  <c:v>14.933333333333655</c:v>
                </c:pt>
                <c:pt idx="897">
                  <c:v>14.950000000000323</c:v>
                </c:pt>
                <c:pt idx="898">
                  <c:v>14.96666666666699</c:v>
                </c:pt>
                <c:pt idx="899">
                  <c:v>14.983333333333658</c:v>
                </c:pt>
                <c:pt idx="900">
                  <c:v>15.000000000000325</c:v>
                </c:pt>
                <c:pt idx="901">
                  <c:v>15.016666666666993</c:v>
                </c:pt>
                <c:pt idx="902">
                  <c:v>15.03333333333366</c:v>
                </c:pt>
                <c:pt idx="903">
                  <c:v>15.050000000000328</c:v>
                </c:pt>
                <c:pt idx="904">
                  <c:v>15.066666666666995</c:v>
                </c:pt>
                <c:pt idx="905">
                  <c:v>15.083333333333663</c:v>
                </c:pt>
                <c:pt idx="906">
                  <c:v>15.10000000000033</c:v>
                </c:pt>
                <c:pt idx="907">
                  <c:v>15.116666666666998</c:v>
                </c:pt>
                <c:pt idx="908">
                  <c:v>15.133333333333665</c:v>
                </c:pt>
                <c:pt idx="909">
                  <c:v>15.150000000000333</c:v>
                </c:pt>
                <c:pt idx="910">
                  <c:v>15.166666666667</c:v>
                </c:pt>
                <c:pt idx="911">
                  <c:v>15.183333333333668</c:v>
                </c:pt>
                <c:pt idx="912">
                  <c:v>15.200000000000335</c:v>
                </c:pt>
                <c:pt idx="913">
                  <c:v>15.216666666667003</c:v>
                </c:pt>
                <c:pt idx="914">
                  <c:v>15.23333333333367</c:v>
                </c:pt>
                <c:pt idx="915">
                  <c:v>15.250000000000338</c:v>
                </c:pt>
                <c:pt idx="916">
                  <c:v>15.266666666667005</c:v>
                </c:pt>
                <c:pt idx="917">
                  <c:v>15.283333333333672</c:v>
                </c:pt>
                <c:pt idx="918">
                  <c:v>15.30000000000034</c:v>
                </c:pt>
                <c:pt idx="919">
                  <c:v>15.316666666667007</c:v>
                </c:pt>
                <c:pt idx="920">
                  <c:v>15.333333333333675</c:v>
                </c:pt>
                <c:pt idx="921">
                  <c:v>15.350000000000342</c:v>
                </c:pt>
                <c:pt idx="922">
                  <c:v>15.36666666666701</c:v>
                </c:pt>
                <c:pt idx="923">
                  <c:v>15.383333333333677</c:v>
                </c:pt>
                <c:pt idx="924">
                  <c:v>15.400000000000345</c:v>
                </c:pt>
                <c:pt idx="925">
                  <c:v>15.416666666667012</c:v>
                </c:pt>
                <c:pt idx="926">
                  <c:v>15.43333333333368</c:v>
                </c:pt>
                <c:pt idx="927">
                  <c:v>15.450000000000347</c:v>
                </c:pt>
                <c:pt idx="928">
                  <c:v>15.466666666667015</c:v>
                </c:pt>
                <c:pt idx="929">
                  <c:v>15.483333333333682</c:v>
                </c:pt>
                <c:pt idx="930">
                  <c:v>15.50000000000035</c:v>
                </c:pt>
                <c:pt idx="931">
                  <c:v>15.516666666667017</c:v>
                </c:pt>
                <c:pt idx="932">
                  <c:v>15.533333333333685</c:v>
                </c:pt>
                <c:pt idx="933">
                  <c:v>15.550000000000352</c:v>
                </c:pt>
                <c:pt idx="934">
                  <c:v>15.56666666666702</c:v>
                </c:pt>
                <c:pt idx="935">
                  <c:v>15.583333333333687</c:v>
                </c:pt>
                <c:pt idx="936">
                  <c:v>15.600000000000355</c:v>
                </c:pt>
                <c:pt idx="937">
                  <c:v>15.616666666667022</c:v>
                </c:pt>
                <c:pt idx="938">
                  <c:v>15.63333333333369</c:v>
                </c:pt>
                <c:pt idx="939">
                  <c:v>15.650000000000357</c:v>
                </c:pt>
                <c:pt idx="940">
                  <c:v>15.666666666667025</c:v>
                </c:pt>
                <c:pt idx="941">
                  <c:v>15.683333333333692</c:v>
                </c:pt>
                <c:pt idx="942">
                  <c:v>15.70000000000036</c:v>
                </c:pt>
                <c:pt idx="943">
                  <c:v>15.716666666667027</c:v>
                </c:pt>
                <c:pt idx="944">
                  <c:v>15.733333333333695</c:v>
                </c:pt>
                <c:pt idx="945">
                  <c:v>15.750000000000362</c:v>
                </c:pt>
                <c:pt idx="946">
                  <c:v>15.76666666666703</c:v>
                </c:pt>
                <c:pt idx="947">
                  <c:v>15.783333333333697</c:v>
                </c:pt>
                <c:pt idx="948">
                  <c:v>15.800000000000365</c:v>
                </c:pt>
                <c:pt idx="949">
                  <c:v>15.816666666667032</c:v>
                </c:pt>
                <c:pt idx="950">
                  <c:v>15.8333333333337</c:v>
                </c:pt>
                <c:pt idx="951">
                  <c:v>15.850000000000367</c:v>
                </c:pt>
                <c:pt idx="952">
                  <c:v>15.866666666667035</c:v>
                </c:pt>
                <c:pt idx="953">
                  <c:v>15.883333333333702</c:v>
                </c:pt>
                <c:pt idx="954">
                  <c:v>15.90000000000037</c:v>
                </c:pt>
                <c:pt idx="955">
                  <c:v>15.916666666667037</c:v>
                </c:pt>
                <c:pt idx="956">
                  <c:v>15.933333333333705</c:v>
                </c:pt>
                <c:pt idx="957">
                  <c:v>15.950000000000372</c:v>
                </c:pt>
                <c:pt idx="958">
                  <c:v>15.96666666666704</c:v>
                </c:pt>
                <c:pt idx="959">
                  <c:v>15.983333333333707</c:v>
                </c:pt>
                <c:pt idx="960">
                  <c:v>16.000000000000373</c:v>
                </c:pt>
                <c:pt idx="961">
                  <c:v>16.016666666667039</c:v>
                </c:pt>
                <c:pt idx="962">
                  <c:v>16.033333333333704</c:v>
                </c:pt>
                <c:pt idx="963">
                  <c:v>16.05000000000037</c:v>
                </c:pt>
                <c:pt idx="964">
                  <c:v>16.066666666667036</c:v>
                </c:pt>
                <c:pt idx="965">
                  <c:v>16.083333333333702</c:v>
                </c:pt>
                <c:pt idx="966">
                  <c:v>16.100000000000367</c:v>
                </c:pt>
                <c:pt idx="967">
                  <c:v>16.116666666667033</c:v>
                </c:pt>
                <c:pt idx="968">
                  <c:v>16.133333333333699</c:v>
                </c:pt>
                <c:pt idx="969">
                  <c:v>16.150000000000365</c:v>
                </c:pt>
                <c:pt idx="970">
                  <c:v>16.16666666666703</c:v>
                </c:pt>
                <c:pt idx="971">
                  <c:v>16.183333333333696</c:v>
                </c:pt>
                <c:pt idx="972">
                  <c:v>16.200000000000362</c:v>
                </c:pt>
                <c:pt idx="973">
                  <c:v>16.216666666667027</c:v>
                </c:pt>
                <c:pt idx="974">
                  <c:v>16.233333333333693</c:v>
                </c:pt>
                <c:pt idx="975">
                  <c:v>16.250000000000359</c:v>
                </c:pt>
                <c:pt idx="976">
                  <c:v>16.266666666667025</c:v>
                </c:pt>
                <c:pt idx="977">
                  <c:v>16.28333333333369</c:v>
                </c:pt>
                <c:pt idx="978">
                  <c:v>16.300000000000356</c:v>
                </c:pt>
                <c:pt idx="979">
                  <c:v>16.316666666667022</c:v>
                </c:pt>
                <c:pt idx="980">
                  <c:v>16.333333333333687</c:v>
                </c:pt>
                <c:pt idx="981">
                  <c:v>16.350000000000353</c:v>
                </c:pt>
                <c:pt idx="982">
                  <c:v>16.366666666667019</c:v>
                </c:pt>
                <c:pt idx="983">
                  <c:v>16.383333333333685</c:v>
                </c:pt>
                <c:pt idx="984">
                  <c:v>16.40000000000035</c:v>
                </c:pt>
                <c:pt idx="985">
                  <c:v>16.416666666667016</c:v>
                </c:pt>
                <c:pt idx="986">
                  <c:v>16.433333333333682</c:v>
                </c:pt>
                <c:pt idx="987">
                  <c:v>16.450000000000347</c:v>
                </c:pt>
                <c:pt idx="988">
                  <c:v>16.466666666667013</c:v>
                </c:pt>
                <c:pt idx="989">
                  <c:v>16.483333333333679</c:v>
                </c:pt>
                <c:pt idx="990">
                  <c:v>16.500000000000345</c:v>
                </c:pt>
                <c:pt idx="991">
                  <c:v>16.51666666666701</c:v>
                </c:pt>
                <c:pt idx="992">
                  <c:v>16.533333333333676</c:v>
                </c:pt>
                <c:pt idx="993">
                  <c:v>16.550000000000342</c:v>
                </c:pt>
                <c:pt idx="994">
                  <c:v>16.566666666667007</c:v>
                </c:pt>
                <c:pt idx="995">
                  <c:v>16.583333333333673</c:v>
                </c:pt>
                <c:pt idx="996">
                  <c:v>16.600000000000339</c:v>
                </c:pt>
                <c:pt idx="997">
                  <c:v>16.616666666667005</c:v>
                </c:pt>
                <c:pt idx="998">
                  <c:v>16.63333333333367</c:v>
                </c:pt>
                <c:pt idx="999">
                  <c:v>16.650000000000336</c:v>
                </c:pt>
                <c:pt idx="1000">
                  <c:v>16.666666666667002</c:v>
                </c:pt>
                <c:pt idx="1001">
                  <c:v>16.683333333333668</c:v>
                </c:pt>
                <c:pt idx="1002">
                  <c:v>16.700000000000333</c:v>
                </c:pt>
                <c:pt idx="1003">
                  <c:v>16.716666666666999</c:v>
                </c:pt>
                <c:pt idx="1004">
                  <c:v>16.733333333333665</c:v>
                </c:pt>
                <c:pt idx="1005">
                  <c:v>16.75000000000033</c:v>
                </c:pt>
                <c:pt idx="1006">
                  <c:v>16.766666666666996</c:v>
                </c:pt>
                <c:pt idx="1007">
                  <c:v>16.783333333333662</c:v>
                </c:pt>
                <c:pt idx="1008">
                  <c:v>16.800000000000328</c:v>
                </c:pt>
                <c:pt idx="1009">
                  <c:v>16.816666666666993</c:v>
                </c:pt>
                <c:pt idx="1010">
                  <c:v>16.833333333333659</c:v>
                </c:pt>
                <c:pt idx="1011">
                  <c:v>16.850000000000325</c:v>
                </c:pt>
                <c:pt idx="1012">
                  <c:v>16.86666666666699</c:v>
                </c:pt>
                <c:pt idx="1013">
                  <c:v>16.883333333333656</c:v>
                </c:pt>
                <c:pt idx="1014">
                  <c:v>16.900000000000322</c:v>
                </c:pt>
                <c:pt idx="1015">
                  <c:v>16.916666666666988</c:v>
                </c:pt>
                <c:pt idx="1016">
                  <c:v>16.933333333333653</c:v>
                </c:pt>
                <c:pt idx="1017">
                  <c:v>16.950000000000319</c:v>
                </c:pt>
                <c:pt idx="1018">
                  <c:v>16.966666666666985</c:v>
                </c:pt>
                <c:pt idx="1019">
                  <c:v>16.98333333333365</c:v>
                </c:pt>
                <c:pt idx="1020">
                  <c:v>17.000000000000316</c:v>
                </c:pt>
                <c:pt idx="1021">
                  <c:v>17.016666666666982</c:v>
                </c:pt>
                <c:pt idx="1022">
                  <c:v>17.033333333333648</c:v>
                </c:pt>
                <c:pt idx="1023">
                  <c:v>17.050000000000313</c:v>
                </c:pt>
                <c:pt idx="1024">
                  <c:v>17.066666666666979</c:v>
                </c:pt>
                <c:pt idx="1025">
                  <c:v>17.083333333333645</c:v>
                </c:pt>
                <c:pt idx="1026">
                  <c:v>17.100000000000311</c:v>
                </c:pt>
                <c:pt idx="1027">
                  <c:v>17.116666666666976</c:v>
                </c:pt>
                <c:pt idx="1028">
                  <c:v>17.133333333333642</c:v>
                </c:pt>
                <c:pt idx="1029">
                  <c:v>17.150000000000308</c:v>
                </c:pt>
                <c:pt idx="1030">
                  <c:v>17.166666666666973</c:v>
                </c:pt>
                <c:pt idx="1031">
                  <c:v>17.183333333333639</c:v>
                </c:pt>
                <c:pt idx="1032">
                  <c:v>17.200000000000305</c:v>
                </c:pt>
                <c:pt idx="1033">
                  <c:v>17.216666666666971</c:v>
                </c:pt>
                <c:pt idx="1034">
                  <c:v>17.233333333333636</c:v>
                </c:pt>
                <c:pt idx="1035">
                  <c:v>17.250000000000302</c:v>
                </c:pt>
                <c:pt idx="1036">
                  <c:v>17.266666666666968</c:v>
                </c:pt>
                <c:pt idx="1037">
                  <c:v>17.283333333333633</c:v>
                </c:pt>
                <c:pt idx="1038">
                  <c:v>17.300000000000299</c:v>
                </c:pt>
                <c:pt idx="1039">
                  <c:v>17.316666666666965</c:v>
                </c:pt>
                <c:pt idx="1040">
                  <c:v>17.333333333333631</c:v>
                </c:pt>
                <c:pt idx="1041">
                  <c:v>17.350000000000296</c:v>
                </c:pt>
                <c:pt idx="1042">
                  <c:v>17.366666666666962</c:v>
                </c:pt>
                <c:pt idx="1043">
                  <c:v>17.383333333333628</c:v>
                </c:pt>
                <c:pt idx="1044">
                  <c:v>17.400000000000293</c:v>
                </c:pt>
                <c:pt idx="1045">
                  <c:v>17.416666666666959</c:v>
                </c:pt>
                <c:pt idx="1046">
                  <c:v>17.433333333333625</c:v>
                </c:pt>
                <c:pt idx="1047">
                  <c:v>17.450000000000291</c:v>
                </c:pt>
                <c:pt idx="1048">
                  <c:v>17.466666666666956</c:v>
                </c:pt>
                <c:pt idx="1049">
                  <c:v>17.483333333333622</c:v>
                </c:pt>
                <c:pt idx="1050">
                  <c:v>17.500000000000288</c:v>
                </c:pt>
                <c:pt idx="1051">
                  <c:v>17.516666666666953</c:v>
                </c:pt>
                <c:pt idx="1052">
                  <c:v>17.533333333333619</c:v>
                </c:pt>
                <c:pt idx="1053">
                  <c:v>17.550000000000285</c:v>
                </c:pt>
                <c:pt idx="1054">
                  <c:v>17.566666666666951</c:v>
                </c:pt>
                <c:pt idx="1055">
                  <c:v>17.583333333333616</c:v>
                </c:pt>
                <c:pt idx="1056">
                  <c:v>17.600000000000282</c:v>
                </c:pt>
                <c:pt idx="1057">
                  <c:v>17.616666666666948</c:v>
                </c:pt>
                <c:pt idx="1058">
                  <c:v>17.633333333333614</c:v>
                </c:pt>
                <c:pt idx="1059">
                  <c:v>17.650000000000279</c:v>
                </c:pt>
                <c:pt idx="1060">
                  <c:v>17.666666666666945</c:v>
                </c:pt>
                <c:pt idx="1061">
                  <c:v>17.683333333333611</c:v>
                </c:pt>
                <c:pt idx="1062">
                  <c:v>17.700000000000276</c:v>
                </c:pt>
                <c:pt idx="1063">
                  <c:v>17.716666666666942</c:v>
                </c:pt>
                <c:pt idx="1064">
                  <c:v>17.733333333333608</c:v>
                </c:pt>
                <c:pt idx="1065">
                  <c:v>17.750000000000274</c:v>
                </c:pt>
                <c:pt idx="1066">
                  <c:v>17.766666666666939</c:v>
                </c:pt>
                <c:pt idx="1067">
                  <c:v>17.783333333333605</c:v>
                </c:pt>
                <c:pt idx="1068">
                  <c:v>17.800000000000271</c:v>
                </c:pt>
                <c:pt idx="1069">
                  <c:v>17.816666666666936</c:v>
                </c:pt>
                <c:pt idx="1070">
                  <c:v>17.833333333333602</c:v>
                </c:pt>
                <c:pt idx="1071">
                  <c:v>17.850000000000268</c:v>
                </c:pt>
                <c:pt idx="1072">
                  <c:v>17.866666666666934</c:v>
                </c:pt>
                <c:pt idx="1073">
                  <c:v>17.883333333333599</c:v>
                </c:pt>
                <c:pt idx="1074">
                  <c:v>17.900000000000265</c:v>
                </c:pt>
                <c:pt idx="1075">
                  <c:v>17.916666666666931</c:v>
                </c:pt>
                <c:pt idx="1076">
                  <c:v>17.933333333333596</c:v>
                </c:pt>
                <c:pt idx="1077">
                  <c:v>17.950000000000262</c:v>
                </c:pt>
                <c:pt idx="1078">
                  <c:v>17.966666666666928</c:v>
                </c:pt>
                <c:pt idx="1079">
                  <c:v>17.983333333333594</c:v>
                </c:pt>
                <c:pt idx="1080">
                  <c:v>18.000000000000259</c:v>
                </c:pt>
                <c:pt idx="1081">
                  <c:v>18.016666666666925</c:v>
                </c:pt>
                <c:pt idx="1082">
                  <c:v>18.033333333333591</c:v>
                </c:pt>
                <c:pt idx="1083">
                  <c:v>18.050000000000257</c:v>
                </c:pt>
                <c:pt idx="1084">
                  <c:v>18.066666666666922</c:v>
                </c:pt>
                <c:pt idx="1085">
                  <c:v>18.083333333333588</c:v>
                </c:pt>
                <c:pt idx="1086">
                  <c:v>18.100000000000254</c:v>
                </c:pt>
                <c:pt idx="1087">
                  <c:v>18.116666666666919</c:v>
                </c:pt>
                <c:pt idx="1088">
                  <c:v>18.133333333333585</c:v>
                </c:pt>
                <c:pt idx="1089">
                  <c:v>18.150000000000251</c:v>
                </c:pt>
                <c:pt idx="1090">
                  <c:v>18.166666666666917</c:v>
                </c:pt>
                <c:pt idx="1091">
                  <c:v>18.183333333333582</c:v>
                </c:pt>
                <c:pt idx="1092">
                  <c:v>18.200000000000248</c:v>
                </c:pt>
                <c:pt idx="1093">
                  <c:v>18.216666666666914</c:v>
                </c:pt>
                <c:pt idx="1094">
                  <c:v>18.233333333333579</c:v>
                </c:pt>
                <c:pt idx="1095">
                  <c:v>18.250000000000245</c:v>
                </c:pt>
                <c:pt idx="1096">
                  <c:v>18.266666666666911</c:v>
                </c:pt>
                <c:pt idx="1097">
                  <c:v>18.283333333333577</c:v>
                </c:pt>
                <c:pt idx="1098">
                  <c:v>18.300000000000242</c:v>
                </c:pt>
                <c:pt idx="1099">
                  <c:v>18.316666666666908</c:v>
                </c:pt>
                <c:pt idx="1100">
                  <c:v>18.333333333333574</c:v>
                </c:pt>
                <c:pt idx="1101">
                  <c:v>18.350000000000239</c:v>
                </c:pt>
                <c:pt idx="1102">
                  <c:v>18.366666666666905</c:v>
                </c:pt>
                <c:pt idx="1103">
                  <c:v>18.383333333333571</c:v>
                </c:pt>
                <c:pt idx="1104">
                  <c:v>18.400000000000237</c:v>
                </c:pt>
                <c:pt idx="1105">
                  <c:v>18.416666666666902</c:v>
                </c:pt>
                <c:pt idx="1106">
                  <c:v>18.433333333333568</c:v>
                </c:pt>
                <c:pt idx="1107">
                  <c:v>18.450000000000234</c:v>
                </c:pt>
                <c:pt idx="1108">
                  <c:v>18.466666666666899</c:v>
                </c:pt>
                <c:pt idx="1109">
                  <c:v>18.483333333333565</c:v>
                </c:pt>
                <c:pt idx="1110">
                  <c:v>18.500000000000231</c:v>
                </c:pt>
                <c:pt idx="1111">
                  <c:v>18.516666666666897</c:v>
                </c:pt>
                <c:pt idx="1112">
                  <c:v>18.533333333333562</c:v>
                </c:pt>
                <c:pt idx="1113">
                  <c:v>18.550000000000228</c:v>
                </c:pt>
                <c:pt idx="1114">
                  <c:v>18.566666666666894</c:v>
                </c:pt>
                <c:pt idx="1115">
                  <c:v>18.58333333333356</c:v>
                </c:pt>
                <c:pt idx="1116">
                  <c:v>18.600000000000225</c:v>
                </c:pt>
                <c:pt idx="1117">
                  <c:v>18.616666666666891</c:v>
                </c:pt>
                <c:pt idx="1118">
                  <c:v>18.633333333333557</c:v>
                </c:pt>
                <c:pt idx="1119">
                  <c:v>18.650000000000222</c:v>
                </c:pt>
                <c:pt idx="1120">
                  <c:v>18.666666666666888</c:v>
                </c:pt>
                <c:pt idx="1121">
                  <c:v>18.683333333333554</c:v>
                </c:pt>
                <c:pt idx="1122">
                  <c:v>18.70000000000022</c:v>
                </c:pt>
                <c:pt idx="1123">
                  <c:v>18.716666666666885</c:v>
                </c:pt>
                <c:pt idx="1124">
                  <c:v>18.733333333333551</c:v>
                </c:pt>
                <c:pt idx="1125">
                  <c:v>18.750000000000217</c:v>
                </c:pt>
                <c:pt idx="1126">
                  <c:v>18.766666666666882</c:v>
                </c:pt>
                <c:pt idx="1127">
                  <c:v>18.783333333333548</c:v>
                </c:pt>
                <c:pt idx="1128">
                  <c:v>18.800000000000214</c:v>
                </c:pt>
                <c:pt idx="1129">
                  <c:v>18.81666666666688</c:v>
                </c:pt>
                <c:pt idx="1130">
                  <c:v>18.833333333333545</c:v>
                </c:pt>
                <c:pt idx="1131">
                  <c:v>18.850000000000211</c:v>
                </c:pt>
                <c:pt idx="1132">
                  <c:v>18.866666666666877</c:v>
                </c:pt>
                <c:pt idx="1133">
                  <c:v>18.883333333333542</c:v>
                </c:pt>
                <c:pt idx="1134">
                  <c:v>18.900000000000208</c:v>
                </c:pt>
                <c:pt idx="1135">
                  <c:v>18.916666666666874</c:v>
                </c:pt>
                <c:pt idx="1136">
                  <c:v>18.93333333333354</c:v>
                </c:pt>
                <c:pt idx="1137">
                  <c:v>18.950000000000205</c:v>
                </c:pt>
                <c:pt idx="1138">
                  <c:v>18.966666666666871</c:v>
                </c:pt>
                <c:pt idx="1139">
                  <c:v>18.983333333333537</c:v>
                </c:pt>
                <c:pt idx="1140">
                  <c:v>19.000000000000203</c:v>
                </c:pt>
                <c:pt idx="1141">
                  <c:v>19.016666666666868</c:v>
                </c:pt>
                <c:pt idx="1142">
                  <c:v>19.033333333333534</c:v>
                </c:pt>
                <c:pt idx="1143">
                  <c:v>19.0500000000002</c:v>
                </c:pt>
                <c:pt idx="1144">
                  <c:v>19.066666666666865</c:v>
                </c:pt>
                <c:pt idx="1145">
                  <c:v>19.083333333333531</c:v>
                </c:pt>
                <c:pt idx="1146">
                  <c:v>19.100000000000197</c:v>
                </c:pt>
                <c:pt idx="1147">
                  <c:v>19.116666666666863</c:v>
                </c:pt>
                <c:pt idx="1148">
                  <c:v>19.133333333333528</c:v>
                </c:pt>
                <c:pt idx="1149">
                  <c:v>19.150000000000194</c:v>
                </c:pt>
                <c:pt idx="1150">
                  <c:v>19.16666666666686</c:v>
                </c:pt>
                <c:pt idx="1151">
                  <c:v>19.183333333333525</c:v>
                </c:pt>
                <c:pt idx="1152">
                  <c:v>19.200000000000191</c:v>
                </c:pt>
                <c:pt idx="1153">
                  <c:v>19.216666666666857</c:v>
                </c:pt>
                <c:pt idx="1154">
                  <c:v>19.233333333333523</c:v>
                </c:pt>
                <c:pt idx="1155">
                  <c:v>19.250000000000188</c:v>
                </c:pt>
                <c:pt idx="1156">
                  <c:v>19.266666666666854</c:v>
                </c:pt>
                <c:pt idx="1157">
                  <c:v>19.28333333333352</c:v>
                </c:pt>
                <c:pt idx="1158">
                  <c:v>19.300000000000185</c:v>
                </c:pt>
                <c:pt idx="1159">
                  <c:v>19.316666666666851</c:v>
                </c:pt>
                <c:pt idx="1160">
                  <c:v>19.333333333333517</c:v>
                </c:pt>
                <c:pt idx="1161">
                  <c:v>19.350000000000183</c:v>
                </c:pt>
                <c:pt idx="1162">
                  <c:v>19.366666666666848</c:v>
                </c:pt>
                <c:pt idx="1163">
                  <c:v>19.383333333333514</c:v>
                </c:pt>
                <c:pt idx="1164">
                  <c:v>19.40000000000018</c:v>
                </c:pt>
                <c:pt idx="1165">
                  <c:v>19.416666666666845</c:v>
                </c:pt>
                <c:pt idx="1166">
                  <c:v>19.433333333333511</c:v>
                </c:pt>
                <c:pt idx="1167">
                  <c:v>19.450000000000177</c:v>
                </c:pt>
                <c:pt idx="1168">
                  <c:v>19.466666666666843</c:v>
                </c:pt>
                <c:pt idx="1169">
                  <c:v>19.483333333333508</c:v>
                </c:pt>
                <c:pt idx="1170">
                  <c:v>19.500000000000174</c:v>
                </c:pt>
                <c:pt idx="1171">
                  <c:v>19.51666666666684</c:v>
                </c:pt>
                <c:pt idx="1172">
                  <c:v>19.533333333333506</c:v>
                </c:pt>
                <c:pt idx="1173">
                  <c:v>19.550000000000171</c:v>
                </c:pt>
                <c:pt idx="1174">
                  <c:v>19.566666666666837</c:v>
                </c:pt>
                <c:pt idx="1175">
                  <c:v>19.583333333333503</c:v>
                </c:pt>
                <c:pt idx="1176">
                  <c:v>19.600000000000168</c:v>
                </c:pt>
                <c:pt idx="1177">
                  <c:v>19.616666666666834</c:v>
                </c:pt>
                <c:pt idx="1178">
                  <c:v>19.6333333333335</c:v>
                </c:pt>
                <c:pt idx="1179">
                  <c:v>19.650000000000166</c:v>
                </c:pt>
                <c:pt idx="1180">
                  <c:v>19.666666666666831</c:v>
                </c:pt>
                <c:pt idx="1181">
                  <c:v>19.683333333333497</c:v>
                </c:pt>
                <c:pt idx="1182">
                  <c:v>19.700000000000163</c:v>
                </c:pt>
                <c:pt idx="1183">
                  <c:v>19.716666666666828</c:v>
                </c:pt>
                <c:pt idx="1184">
                  <c:v>19.733333333333494</c:v>
                </c:pt>
                <c:pt idx="1185">
                  <c:v>19.75000000000016</c:v>
                </c:pt>
                <c:pt idx="1186">
                  <c:v>19.766666666666826</c:v>
                </c:pt>
                <c:pt idx="1187">
                  <c:v>19.783333333333491</c:v>
                </c:pt>
                <c:pt idx="1188">
                  <c:v>19.800000000000157</c:v>
                </c:pt>
                <c:pt idx="1189">
                  <c:v>19.816666666666823</c:v>
                </c:pt>
                <c:pt idx="1190">
                  <c:v>19.833333333333488</c:v>
                </c:pt>
                <c:pt idx="1191">
                  <c:v>19.850000000000154</c:v>
                </c:pt>
                <c:pt idx="1192">
                  <c:v>19.86666666666682</c:v>
                </c:pt>
                <c:pt idx="1193">
                  <c:v>19.883333333333486</c:v>
                </c:pt>
                <c:pt idx="1194">
                  <c:v>19.900000000000151</c:v>
                </c:pt>
                <c:pt idx="1195">
                  <c:v>19.916666666666817</c:v>
                </c:pt>
                <c:pt idx="1196">
                  <c:v>19.933333333333483</c:v>
                </c:pt>
                <c:pt idx="1197">
                  <c:v>19.950000000000149</c:v>
                </c:pt>
                <c:pt idx="1198">
                  <c:v>19.966666666666814</c:v>
                </c:pt>
                <c:pt idx="1199">
                  <c:v>19.98333333333348</c:v>
                </c:pt>
                <c:pt idx="1200">
                  <c:v>20.000000000000146</c:v>
                </c:pt>
                <c:pt idx="1201">
                  <c:v>20.016666666666811</c:v>
                </c:pt>
                <c:pt idx="1202">
                  <c:v>20.033333333333477</c:v>
                </c:pt>
                <c:pt idx="1203">
                  <c:v>20.050000000000143</c:v>
                </c:pt>
                <c:pt idx="1204">
                  <c:v>20.066666666666809</c:v>
                </c:pt>
                <c:pt idx="1205">
                  <c:v>20.083333333333474</c:v>
                </c:pt>
                <c:pt idx="1206">
                  <c:v>20.10000000000014</c:v>
                </c:pt>
                <c:pt idx="1207">
                  <c:v>20.116666666666806</c:v>
                </c:pt>
                <c:pt idx="1208">
                  <c:v>20.133333333333471</c:v>
                </c:pt>
                <c:pt idx="1209">
                  <c:v>20.150000000000137</c:v>
                </c:pt>
                <c:pt idx="1210">
                  <c:v>20.166666666666803</c:v>
                </c:pt>
                <c:pt idx="1211">
                  <c:v>20.183333333333469</c:v>
                </c:pt>
                <c:pt idx="1212">
                  <c:v>20.200000000000134</c:v>
                </c:pt>
                <c:pt idx="1213">
                  <c:v>20.2166666666668</c:v>
                </c:pt>
                <c:pt idx="1214">
                  <c:v>20.233333333333466</c:v>
                </c:pt>
                <c:pt idx="1215">
                  <c:v>20.250000000000131</c:v>
                </c:pt>
                <c:pt idx="1216">
                  <c:v>20.266666666666797</c:v>
                </c:pt>
                <c:pt idx="1217">
                  <c:v>20.283333333333463</c:v>
                </c:pt>
                <c:pt idx="1218">
                  <c:v>20.300000000000129</c:v>
                </c:pt>
                <c:pt idx="1219">
                  <c:v>20.316666666666794</c:v>
                </c:pt>
                <c:pt idx="1220">
                  <c:v>20.33333333333346</c:v>
                </c:pt>
                <c:pt idx="1221">
                  <c:v>20.350000000000126</c:v>
                </c:pt>
                <c:pt idx="1222">
                  <c:v>20.366666666666791</c:v>
                </c:pt>
                <c:pt idx="1223">
                  <c:v>20.383333333333457</c:v>
                </c:pt>
                <c:pt idx="1224">
                  <c:v>20.400000000000123</c:v>
                </c:pt>
                <c:pt idx="1225">
                  <c:v>20.416666666666789</c:v>
                </c:pt>
                <c:pt idx="1226">
                  <c:v>20.433333333333454</c:v>
                </c:pt>
                <c:pt idx="1227">
                  <c:v>20.45000000000012</c:v>
                </c:pt>
                <c:pt idx="1228">
                  <c:v>20.466666666666786</c:v>
                </c:pt>
                <c:pt idx="1229">
                  <c:v>20.483333333333452</c:v>
                </c:pt>
                <c:pt idx="1230">
                  <c:v>20.500000000000117</c:v>
                </c:pt>
                <c:pt idx="1231">
                  <c:v>20.516666666666783</c:v>
                </c:pt>
                <c:pt idx="1232">
                  <c:v>20.533333333333449</c:v>
                </c:pt>
                <c:pt idx="1233">
                  <c:v>20.550000000000114</c:v>
                </c:pt>
                <c:pt idx="1234">
                  <c:v>20.56666666666678</c:v>
                </c:pt>
                <c:pt idx="1235">
                  <c:v>20.583333333333446</c:v>
                </c:pt>
                <c:pt idx="1236">
                  <c:v>20.600000000000112</c:v>
                </c:pt>
                <c:pt idx="1237">
                  <c:v>20.616666666666777</c:v>
                </c:pt>
                <c:pt idx="1238">
                  <c:v>20.633333333333443</c:v>
                </c:pt>
                <c:pt idx="1239">
                  <c:v>20.650000000000109</c:v>
                </c:pt>
                <c:pt idx="1240">
                  <c:v>20.666666666666774</c:v>
                </c:pt>
                <c:pt idx="1241">
                  <c:v>20.68333333333344</c:v>
                </c:pt>
                <c:pt idx="1242">
                  <c:v>20.700000000000106</c:v>
                </c:pt>
                <c:pt idx="1243">
                  <c:v>20.716666666666772</c:v>
                </c:pt>
                <c:pt idx="1244">
                  <c:v>20.733333333333437</c:v>
                </c:pt>
                <c:pt idx="1245">
                  <c:v>20.750000000000103</c:v>
                </c:pt>
                <c:pt idx="1246">
                  <c:v>20.766666666666769</c:v>
                </c:pt>
                <c:pt idx="1247">
                  <c:v>20.783333333333434</c:v>
                </c:pt>
                <c:pt idx="1248">
                  <c:v>20.8000000000001</c:v>
                </c:pt>
                <c:pt idx="1249">
                  <c:v>20.816666666666766</c:v>
                </c:pt>
                <c:pt idx="1250">
                  <c:v>20.833333333333432</c:v>
                </c:pt>
                <c:pt idx="1251">
                  <c:v>20.850000000000097</c:v>
                </c:pt>
                <c:pt idx="1252">
                  <c:v>20.866666666666763</c:v>
                </c:pt>
                <c:pt idx="1253">
                  <c:v>20.883333333333429</c:v>
                </c:pt>
                <c:pt idx="1254">
                  <c:v>20.900000000000095</c:v>
                </c:pt>
                <c:pt idx="1255">
                  <c:v>20.91666666666676</c:v>
                </c:pt>
                <c:pt idx="1256">
                  <c:v>20.933333333333426</c:v>
                </c:pt>
                <c:pt idx="1257">
                  <c:v>20.950000000000092</c:v>
                </c:pt>
                <c:pt idx="1258">
                  <c:v>20.966666666666757</c:v>
                </c:pt>
                <c:pt idx="1259">
                  <c:v>20.983333333333423</c:v>
                </c:pt>
                <c:pt idx="1260">
                  <c:v>21.000000000000089</c:v>
                </c:pt>
                <c:pt idx="1261">
                  <c:v>21.016666666666755</c:v>
                </c:pt>
                <c:pt idx="1262">
                  <c:v>21.03333333333342</c:v>
                </c:pt>
                <c:pt idx="1263">
                  <c:v>21.050000000000086</c:v>
                </c:pt>
                <c:pt idx="1264">
                  <c:v>21.066666666666752</c:v>
                </c:pt>
                <c:pt idx="1265">
                  <c:v>21.083333333333417</c:v>
                </c:pt>
                <c:pt idx="1266">
                  <c:v>21.100000000000083</c:v>
                </c:pt>
                <c:pt idx="1267">
                  <c:v>21.116666666666749</c:v>
                </c:pt>
                <c:pt idx="1268">
                  <c:v>21.133333333333415</c:v>
                </c:pt>
                <c:pt idx="1269">
                  <c:v>21.15000000000008</c:v>
                </c:pt>
                <c:pt idx="1270">
                  <c:v>21.166666666666746</c:v>
                </c:pt>
                <c:pt idx="1271">
                  <c:v>21.183333333333412</c:v>
                </c:pt>
                <c:pt idx="1272">
                  <c:v>21.200000000000077</c:v>
                </c:pt>
                <c:pt idx="1273">
                  <c:v>21.216666666666743</c:v>
                </c:pt>
                <c:pt idx="1274">
                  <c:v>21.233333333333409</c:v>
                </c:pt>
                <c:pt idx="1275">
                  <c:v>21.250000000000075</c:v>
                </c:pt>
                <c:pt idx="1276">
                  <c:v>21.26666666666674</c:v>
                </c:pt>
                <c:pt idx="1277">
                  <c:v>21.283333333333406</c:v>
                </c:pt>
                <c:pt idx="1278">
                  <c:v>21.300000000000072</c:v>
                </c:pt>
                <c:pt idx="1279">
                  <c:v>21.316666666666737</c:v>
                </c:pt>
                <c:pt idx="1280">
                  <c:v>21.333333333333403</c:v>
                </c:pt>
                <c:pt idx="1281">
                  <c:v>21.350000000000069</c:v>
                </c:pt>
                <c:pt idx="1282">
                  <c:v>21.366666666666735</c:v>
                </c:pt>
                <c:pt idx="1283">
                  <c:v>21.3833333333334</c:v>
                </c:pt>
                <c:pt idx="1284">
                  <c:v>21.400000000000066</c:v>
                </c:pt>
                <c:pt idx="1285">
                  <c:v>21.416666666666732</c:v>
                </c:pt>
                <c:pt idx="1286">
                  <c:v>21.433333333333398</c:v>
                </c:pt>
                <c:pt idx="1287">
                  <c:v>21.450000000000063</c:v>
                </c:pt>
                <c:pt idx="1288">
                  <c:v>21.466666666666729</c:v>
                </c:pt>
                <c:pt idx="1289">
                  <c:v>21.483333333333395</c:v>
                </c:pt>
                <c:pt idx="1290">
                  <c:v>21.50000000000006</c:v>
                </c:pt>
                <c:pt idx="1291">
                  <c:v>21.516666666666726</c:v>
                </c:pt>
                <c:pt idx="1292">
                  <c:v>21.533333333333392</c:v>
                </c:pt>
                <c:pt idx="1293">
                  <c:v>21.550000000000058</c:v>
                </c:pt>
                <c:pt idx="1294">
                  <c:v>21.566666666666723</c:v>
                </c:pt>
                <c:pt idx="1295">
                  <c:v>21.583333333333389</c:v>
                </c:pt>
                <c:pt idx="1296">
                  <c:v>21.600000000000055</c:v>
                </c:pt>
                <c:pt idx="1297">
                  <c:v>21.61666666666672</c:v>
                </c:pt>
                <c:pt idx="1298">
                  <c:v>21.633333333333386</c:v>
                </c:pt>
                <c:pt idx="1299">
                  <c:v>21.650000000000052</c:v>
                </c:pt>
                <c:pt idx="1300">
                  <c:v>21.666666666666718</c:v>
                </c:pt>
                <c:pt idx="1301">
                  <c:v>21.683333333333383</c:v>
                </c:pt>
                <c:pt idx="1302">
                  <c:v>21.700000000000049</c:v>
                </c:pt>
                <c:pt idx="1303">
                  <c:v>21.716666666666715</c:v>
                </c:pt>
                <c:pt idx="1304">
                  <c:v>21.73333333333338</c:v>
                </c:pt>
                <c:pt idx="1305">
                  <c:v>21.750000000000046</c:v>
                </c:pt>
                <c:pt idx="1306">
                  <c:v>21.766666666666712</c:v>
                </c:pt>
                <c:pt idx="1307">
                  <c:v>21.783333333333378</c:v>
                </c:pt>
                <c:pt idx="1308">
                  <c:v>21.800000000000043</c:v>
                </c:pt>
                <c:pt idx="1309">
                  <c:v>21.816666666666709</c:v>
                </c:pt>
                <c:pt idx="1310">
                  <c:v>21.833333333333375</c:v>
                </c:pt>
                <c:pt idx="1311">
                  <c:v>21.850000000000041</c:v>
                </c:pt>
                <c:pt idx="1312">
                  <c:v>21.866666666666706</c:v>
                </c:pt>
                <c:pt idx="1313">
                  <c:v>21.883333333333372</c:v>
                </c:pt>
                <c:pt idx="1314">
                  <c:v>21.900000000000038</c:v>
                </c:pt>
                <c:pt idx="1315">
                  <c:v>21.916666666666703</c:v>
                </c:pt>
                <c:pt idx="1316">
                  <c:v>21.933333333333369</c:v>
                </c:pt>
                <c:pt idx="1317">
                  <c:v>21.950000000000035</c:v>
                </c:pt>
                <c:pt idx="1318">
                  <c:v>21.966666666666701</c:v>
                </c:pt>
                <c:pt idx="1319">
                  <c:v>21.983333333333366</c:v>
                </c:pt>
                <c:pt idx="1320">
                  <c:v>22.000000000000032</c:v>
                </c:pt>
                <c:pt idx="1321">
                  <c:v>22.016666666666698</c:v>
                </c:pt>
                <c:pt idx="1322">
                  <c:v>22.033333333333363</c:v>
                </c:pt>
                <c:pt idx="1323">
                  <c:v>22.050000000000029</c:v>
                </c:pt>
                <c:pt idx="1324">
                  <c:v>22.066666666666695</c:v>
                </c:pt>
                <c:pt idx="1325">
                  <c:v>22.083333333333361</c:v>
                </c:pt>
                <c:pt idx="1326">
                  <c:v>22.100000000000026</c:v>
                </c:pt>
                <c:pt idx="1327">
                  <c:v>22.116666666666692</c:v>
                </c:pt>
                <c:pt idx="1328">
                  <c:v>22.133333333333358</c:v>
                </c:pt>
                <c:pt idx="1329">
                  <c:v>22.150000000000023</c:v>
                </c:pt>
                <c:pt idx="1330">
                  <c:v>22.166666666666689</c:v>
                </c:pt>
                <c:pt idx="1331">
                  <c:v>22.183333333333355</c:v>
                </c:pt>
                <c:pt idx="1332">
                  <c:v>22.200000000000021</c:v>
                </c:pt>
                <c:pt idx="1333">
                  <c:v>22.216666666666686</c:v>
                </c:pt>
                <c:pt idx="1334">
                  <c:v>22.233333333333352</c:v>
                </c:pt>
                <c:pt idx="1335">
                  <c:v>22.250000000000018</c:v>
                </c:pt>
                <c:pt idx="1336">
                  <c:v>22.266666666666683</c:v>
                </c:pt>
                <c:pt idx="1337">
                  <c:v>22.283333333333349</c:v>
                </c:pt>
                <c:pt idx="1338">
                  <c:v>22.300000000000015</c:v>
                </c:pt>
                <c:pt idx="1339">
                  <c:v>22.316666666666681</c:v>
                </c:pt>
                <c:pt idx="1340">
                  <c:v>22.333333333333346</c:v>
                </c:pt>
                <c:pt idx="1341">
                  <c:v>22.350000000000012</c:v>
                </c:pt>
                <c:pt idx="1342">
                  <c:v>22.366666666666678</c:v>
                </c:pt>
                <c:pt idx="1343">
                  <c:v>22.383333333333344</c:v>
                </c:pt>
                <c:pt idx="1344">
                  <c:v>22.400000000000009</c:v>
                </c:pt>
                <c:pt idx="1345">
                  <c:v>22.416666666666675</c:v>
                </c:pt>
                <c:pt idx="1346">
                  <c:v>22.433333333333341</c:v>
                </c:pt>
                <c:pt idx="1347">
                  <c:v>22.450000000000006</c:v>
                </c:pt>
                <c:pt idx="1348">
                  <c:v>22.466666666666672</c:v>
                </c:pt>
                <c:pt idx="1349">
                  <c:v>22.483333333333338</c:v>
                </c:pt>
                <c:pt idx="1350">
                  <c:v>22.500000000000004</c:v>
                </c:pt>
                <c:pt idx="1351">
                  <c:v>22.516666666666669</c:v>
                </c:pt>
                <c:pt idx="1352">
                  <c:v>22.533333333333335</c:v>
                </c:pt>
                <c:pt idx="1353">
                  <c:v>22.55</c:v>
                </c:pt>
                <c:pt idx="1354">
                  <c:v>22.566666666666666</c:v>
                </c:pt>
                <c:pt idx="1355">
                  <c:v>22.583333333333332</c:v>
                </c:pt>
                <c:pt idx="1356">
                  <c:v>22.599999999999998</c:v>
                </c:pt>
                <c:pt idx="1357">
                  <c:v>22.616666666666664</c:v>
                </c:pt>
                <c:pt idx="1358">
                  <c:v>22.633333333333329</c:v>
                </c:pt>
                <c:pt idx="1359">
                  <c:v>22.649999999999995</c:v>
                </c:pt>
                <c:pt idx="1360">
                  <c:v>22.666666666666661</c:v>
                </c:pt>
                <c:pt idx="1361">
                  <c:v>22.683333333333326</c:v>
                </c:pt>
                <c:pt idx="1362">
                  <c:v>22.699999999999992</c:v>
                </c:pt>
                <c:pt idx="1363">
                  <c:v>22.716666666666658</c:v>
                </c:pt>
                <c:pt idx="1364">
                  <c:v>22.733333333333324</c:v>
                </c:pt>
                <c:pt idx="1365">
                  <c:v>22.749999999999989</c:v>
                </c:pt>
                <c:pt idx="1366">
                  <c:v>22.766666666666655</c:v>
                </c:pt>
                <c:pt idx="1367">
                  <c:v>22.783333333333321</c:v>
                </c:pt>
                <c:pt idx="1368">
                  <c:v>22.799999999999986</c:v>
                </c:pt>
                <c:pt idx="1369">
                  <c:v>22.816666666666652</c:v>
                </c:pt>
                <c:pt idx="1370">
                  <c:v>22.833333333333318</c:v>
                </c:pt>
                <c:pt idx="1371">
                  <c:v>22.849999999999984</c:v>
                </c:pt>
                <c:pt idx="1372">
                  <c:v>22.866666666666649</c:v>
                </c:pt>
                <c:pt idx="1373">
                  <c:v>22.883333333333315</c:v>
                </c:pt>
                <c:pt idx="1374">
                  <c:v>22.899999999999981</c:v>
                </c:pt>
                <c:pt idx="1375">
                  <c:v>22.916666666666647</c:v>
                </c:pt>
                <c:pt idx="1376">
                  <c:v>22.933333333333312</c:v>
                </c:pt>
                <c:pt idx="1377">
                  <c:v>22.949999999999978</c:v>
                </c:pt>
                <c:pt idx="1378">
                  <c:v>22.966666666666644</c:v>
                </c:pt>
                <c:pt idx="1379">
                  <c:v>22.983333333333309</c:v>
                </c:pt>
                <c:pt idx="1380">
                  <c:v>22.999999999999975</c:v>
                </c:pt>
                <c:pt idx="1381">
                  <c:v>23.016666666666641</c:v>
                </c:pt>
                <c:pt idx="1382">
                  <c:v>23.033333333333307</c:v>
                </c:pt>
                <c:pt idx="1383">
                  <c:v>23.049999999999972</c:v>
                </c:pt>
                <c:pt idx="1384">
                  <c:v>23.066666666666638</c:v>
                </c:pt>
                <c:pt idx="1385">
                  <c:v>23.083333333333304</c:v>
                </c:pt>
                <c:pt idx="1386">
                  <c:v>23.099999999999969</c:v>
                </c:pt>
                <c:pt idx="1387">
                  <c:v>23.116666666666635</c:v>
                </c:pt>
                <c:pt idx="1388">
                  <c:v>23.133333333333301</c:v>
                </c:pt>
                <c:pt idx="1389">
                  <c:v>23.149999999999967</c:v>
                </c:pt>
                <c:pt idx="1390">
                  <c:v>23.166666666666632</c:v>
                </c:pt>
                <c:pt idx="1391">
                  <c:v>23.183333333333298</c:v>
                </c:pt>
                <c:pt idx="1392">
                  <c:v>23.199999999999964</c:v>
                </c:pt>
                <c:pt idx="1393">
                  <c:v>23.216666666666629</c:v>
                </c:pt>
                <c:pt idx="1394">
                  <c:v>23.233333333333295</c:v>
                </c:pt>
                <c:pt idx="1395">
                  <c:v>23.249999999999961</c:v>
                </c:pt>
                <c:pt idx="1396">
                  <c:v>23.266666666666627</c:v>
                </c:pt>
                <c:pt idx="1397">
                  <c:v>23.283333333333292</c:v>
                </c:pt>
                <c:pt idx="1398">
                  <c:v>23.299999999999958</c:v>
                </c:pt>
                <c:pt idx="1399">
                  <c:v>23.316666666666624</c:v>
                </c:pt>
                <c:pt idx="1400">
                  <c:v>23.33333333333329</c:v>
                </c:pt>
                <c:pt idx="1401">
                  <c:v>23.349999999999955</c:v>
                </c:pt>
                <c:pt idx="1402">
                  <c:v>23.366666666666621</c:v>
                </c:pt>
                <c:pt idx="1403">
                  <c:v>23.383333333333287</c:v>
                </c:pt>
                <c:pt idx="1404">
                  <c:v>23.399999999999952</c:v>
                </c:pt>
                <c:pt idx="1405">
                  <c:v>23.416666666666618</c:v>
                </c:pt>
                <c:pt idx="1406">
                  <c:v>23.433333333333284</c:v>
                </c:pt>
                <c:pt idx="1407">
                  <c:v>23.44999999999995</c:v>
                </c:pt>
                <c:pt idx="1408">
                  <c:v>23.466666666666615</c:v>
                </c:pt>
                <c:pt idx="1409">
                  <c:v>23.483333333333281</c:v>
                </c:pt>
                <c:pt idx="1410">
                  <c:v>23.499999999999947</c:v>
                </c:pt>
                <c:pt idx="1411">
                  <c:v>23.516666666666612</c:v>
                </c:pt>
                <c:pt idx="1412">
                  <c:v>23.533333333333278</c:v>
                </c:pt>
                <c:pt idx="1413">
                  <c:v>23.549999999999944</c:v>
                </c:pt>
                <c:pt idx="1414">
                  <c:v>23.56666666666661</c:v>
                </c:pt>
                <c:pt idx="1415">
                  <c:v>23.583333333333275</c:v>
                </c:pt>
                <c:pt idx="1416">
                  <c:v>23.599999999999941</c:v>
                </c:pt>
                <c:pt idx="1417">
                  <c:v>23.616666666666607</c:v>
                </c:pt>
                <c:pt idx="1418">
                  <c:v>23.633333333333272</c:v>
                </c:pt>
                <c:pt idx="1419">
                  <c:v>23.649999999999938</c:v>
                </c:pt>
                <c:pt idx="1420">
                  <c:v>23.666666666666604</c:v>
                </c:pt>
                <c:pt idx="1421">
                  <c:v>23.68333333333327</c:v>
                </c:pt>
                <c:pt idx="1422">
                  <c:v>23.699999999999935</c:v>
                </c:pt>
                <c:pt idx="1423">
                  <c:v>23.716666666666601</c:v>
                </c:pt>
                <c:pt idx="1424">
                  <c:v>23.733333333333267</c:v>
                </c:pt>
                <c:pt idx="1425">
                  <c:v>23.749999999999932</c:v>
                </c:pt>
                <c:pt idx="1426">
                  <c:v>23.766666666666598</c:v>
                </c:pt>
                <c:pt idx="1427">
                  <c:v>23.783333333333264</c:v>
                </c:pt>
                <c:pt idx="1428">
                  <c:v>23.79999999999993</c:v>
                </c:pt>
                <c:pt idx="1429">
                  <c:v>23.816666666666595</c:v>
                </c:pt>
                <c:pt idx="1430">
                  <c:v>23.833333333333261</c:v>
                </c:pt>
                <c:pt idx="1431">
                  <c:v>23.849999999999927</c:v>
                </c:pt>
                <c:pt idx="1432">
                  <c:v>23.866666666666593</c:v>
                </c:pt>
                <c:pt idx="1433">
                  <c:v>23.883333333333258</c:v>
                </c:pt>
                <c:pt idx="1434">
                  <c:v>23.899999999999924</c:v>
                </c:pt>
                <c:pt idx="1435">
                  <c:v>23.91666666666659</c:v>
                </c:pt>
                <c:pt idx="1436">
                  <c:v>23.933333333333255</c:v>
                </c:pt>
                <c:pt idx="1437">
                  <c:v>23.949999999999921</c:v>
                </c:pt>
                <c:pt idx="1438">
                  <c:v>23.966666666666587</c:v>
                </c:pt>
                <c:pt idx="1439">
                  <c:v>23.983333333333253</c:v>
                </c:pt>
                <c:pt idx="1440">
                  <c:v>23.999999999999918</c:v>
                </c:pt>
                <c:pt idx="1441">
                  <c:v>24.016666666666584</c:v>
                </c:pt>
                <c:pt idx="1442">
                  <c:v>24.03333333333325</c:v>
                </c:pt>
                <c:pt idx="1443">
                  <c:v>24.049999999999915</c:v>
                </c:pt>
                <c:pt idx="1444">
                  <c:v>24.066666666666581</c:v>
                </c:pt>
                <c:pt idx="1445">
                  <c:v>24.083333333333247</c:v>
                </c:pt>
                <c:pt idx="1446">
                  <c:v>24.099999999999913</c:v>
                </c:pt>
                <c:pt idx="1447">
                  <c:v>24.116666666666578</c:v>
                </c:pt>
                <c:pt idx="1448">
                  <c:v>24.133333333333244</c:v>
                </c:pt>
                <c:pt idx="1449">
                  <c:v>24.14999999999991</c:v>
                </c:pt>
                <c:pt idx="1450">
                  <c:v>24.166666666666575</c:v>
                </c:pt>
                <c:pt idx="1451">
                  <c:v>24.183333333333241</c:v>
                </c:pt>
                <c:pt idx="1452">
                  <c:v>24.199999999999907</c:v>
                </c:pt>
                <c:pt idx="1453">
                  <c:v>24.216666666666573</c:v>
                </c:pt>
                <c:pt idx="1454">
                  <c:v>24.233333333333238</c:v>
                </c:pt>
                <c:pt idx="1455">
                  <c:v>24.249999999999904</c:v>
                </c:pt>
                <c:pt idx="1456">
                  <c:v>24.26666666666657</c:v>
                </c:pt>
                <c:pt idx="1457">
                  <c:v>24.283333333333236</c:v>
                </c:pt>
                <c:pt idx="1458">
                  <c:v>24.299999999999901</c:v>
                </c:pt>
                <c:pt idx="1459">
                  <c:v>24.316666666666567</c:v>
                </c:pt>
                <c:pt idx="1460">
                  <c:v>24.333333333333233</c:v>
                </c:pt>
                <c:pt idx="1461">
                  <c:v>24.349999999999898</c:v>
                </c:pt>
                <c:pt idx="1462">
                  <c:v>24.366666666666564</c:v>
                </c:pt>
                <c:pt idx="1463">
                  <c:v>24.38333333333323</c:v>
                </c:pt>
                <c:pt idx="1464">
                  <c:v>24.399999999999896</c:v>
                </c:pt>
                <c:pt idx="1465">
                  <c:v>24.416666666666561</c:v>
                </c:pt>
                <c:pt idx="1466">
                  <c:v>24.433333333333227</c:v>
                </c:pt>
                <c:pt idx="1467">
                  <c:v>24.449999999999893</c:v>
                </c:pt>
                <c:pt idx="1468">
                  <c:v>24.466666666666558</c:v>
                </c:pt>
                <c:pt idx="1469">
                  <c:v>24.483333333333224</c:v>
                </c:pt>
                <c:pt idx="1470">
                  <c:v>24.49999999999989</c:v>
                </c:pt>
                <c:pt idx="1471">
                  <c:v>24.516666666666556</c:v>
                </c:pt>
                <c:pt idx="1472">
                  <c:v>24.533333333333221</c:v>
                </c:pt>
                <c:pt idx="1473">
                  <c:v>24.549999999999887</c:v>
                </c:pt>
                <c:pt idx="1474">
                  <c:v>24.566666666666553</c:v>
                </c:pt>
                <c:pt idx="1475">
                  <c:v>24.583333333333218</c:v>
                </c:pt>
                <c:pt idx="1476">
                  <c:v>24.599999999999884</c:v>
                </c:pt>
                <c:pt idx="1477">
                  <c:v>24.61666666666655</c:v>
                </c:pt>
                <c:pt idx="1478">
                  <c:v>24.633333333333216</c:v>
                </c:pt>
                <c:pt idx="1479">
                  <c:v>24.649999999999881</c:v>
                </c:pt>
                <c:pt idx="1480">
                  <c:v>24.666666666666547</c:v>
                </c:pt>
                <c:pt idx="1481">
                  <c:v>24.683333333333213</c:v>
                </c:pt>
                <c:pt idx="1482">
                  <c:v>24.699999999999878</c:v>
                </c:pt>
                <c:pt idx="1483">
                  <c:v>24.716666666666544</c:v>
                </c:pt>
                <c:pt idx="1484">
                  <c:v>24.73333333333321</c:v>
                </c:pt>
                <c:pt idx="1485">
                  <c:v>24.749999999999876</c:v>
                </c:pt>
                <c:pt idx="1486">
                  <c:v>24.766666666666541</c:v>
                </c:pt>
                <c:pt idx="1487">
                  <c:v>24.783333333333207</c:v>
                </c:pt>
                <c:pt idx="1488">
                  <c:v>24.799999999999873</c:v>
                </c:pt>
                <c:pt idx="1489">
                  <c:v>24.816666666666539</c:v>
                </c:pt>
                <c:pt idx="1490">
                  <c:v>24.833333333333204</c:v>
                </c:pt>
                <c:pt idx="1491">
                  <c:v>24.84999999999987</c:v>
                </c:pt>
                <c:pt idx="1492">
                  <c:v>24.866666666666536</c:v>
                </c:pt>
                <c:pt idx="1493">
                  <c:v>24.883333333333201</c:v>
                </c:pt>
                <c:pt idx="1494">
                  <c:v>24.899999999999867</c:v>
                </c:pt>
                <c:pt idx="1495">
                  <c:v>24.916666666666533</c:v>
                </c:pt>
                <c:pt idx="1496">
                  <c:v>24.933333333333199</c:v>
                </c:pt>
                <c:pt idx="1497">
                  <c:v>24.949999999999864</c:v>
                </c:pt>
                <c:pt idx="1498">
                  <c:v>24.96666666666653</c:v>
                </c:pt>
                <c:pt idx="1499">
                  <c:v>24.983333333333196</c:v>
                </c:pt>
                <c:pt idx="1500">
                  <c:v>24.999999999999861</c:v>
                </c:pt>
                <c:pt idx="1501">
                  <c:v>25.016666666666527</c:v>
                </c:pt>
                <c:pt idx="1502">
                  <c:v>25.033333333333193</c:v>
                </c:pt>
                <c:pt idx="1503">
                  <c:v>25.049999999999859</c:v>
                </c:pt>
                <c:pt idx="1504">
                  <c:v>25.066666666666524</c:v>
                </c:pt>
                <c:pt idx="1505">
                  <c:v>25.08333333333319</c:v>
                </c:pt>
                <c:pt idx="1506">
                  <c:v>25.099999999999856</c:v>
                </c:pt>
                <c:pt idx="1507">
                  <c:v>25.116666666666521</c:v>
                </c:pt>
                <c:pt idx="1508">
                  <c:v>25.133333333333187</c:v>
                </c:pt>
                <c:pt idx="1509">
                  <c:v>25.149999999999853</c:v>
                </c:pt>
                <c:pt idx="1510">
                  <c:v>25.166666666666519</c:v>
                </c:pt>
                <c:pt idx="1511">
                  <c:v>25.183333333333184</c:v>
                </c:pt>
                <c:pt idx="1512">
                  <c:v>25.19999999999985</c:v>
                </c:pt>
                <c:pt idx="1513">
                  <c:v>25.216666666666516</c:v>
                </c:pt>
                <c:pt idx="1514">
                  <c:v>25.233333333333182</c:v>
                </c:pt>
                <c:pt idx="1515">
                  <c:v>25.249999999999847</c:v>
                </c:pt>
                <c:pt idx="1516">
                  <c:v>25.266666666666513</c:v>
                </c:pt>
                <c:pt idx="1517">
                  <c:v>25.283333333333179</c:v>
                </c:pt>
                <c:pt idx="1518">
                  <c:v>25.299999999999844</c:v>
                </c:pt>
                <c:pt idx="1519">
                  <c:v>25.31666666666651</c:v>
                </c:pt>
                <c:pt idx="1520">
                  <c:v>25.333333333333176</c:v>
                </c:pt>
                <c:pt idx="1521">
                  <c:v>25.349999999999842</c:v>
                </c:pt>
                <c:pt idx="1522">
                  <c:v>25.366666666666507</c:v>
                </c:pt>
                <c:pt idx="1523">
                  <c:v>25.383333333333173</c:v>
                </c:pt>
                <c:pt idx="1524">
                  <c:v>25.399999999999839</c:v>
                </c:pt>
                <c:pt idx="1525">
                  <c:v>25.416666666666504</c:v>
                </c:pt>
                <c:pt idx="1526">
                  <c:v>25.43333333333317</c:v>
                </c:pt>
                <c:pt idx="1527">
                  <c:v>25.449999999999836</c:v>
                </c:pt>
                <c:pt idx="1528">
                  <c:v>25.466666666666502</c:v>
                </c:pt>
                <c:pt idx="1529">
                  <c:v>25.483333333333167</c:v>
                </c:pt>
                <c:pt idx="1530">
                  <c:v>25.499999999999833</c:v>
                </c:pt>
                <c:pt idx="1531">
                  <c:v>25.516666666666499</c:v>
                </c:pt>
                <c:pt idx="1532">
                  <c:v>25.533333333333164</c:v>
                </c:pt>
                <c:pt idx="1533">
                  <c:v>25.54999999999983</c:v>
                </c:pt>
                <c:pt idx="1534">
                  <c:v>25.566666666666496</c:v>
                </c:pt>
                <c:pt idx="1535">
                  <c:v>25.583333333333162</c:v>
                </c:pt>
                <c:pt idx="1536">
                  <c:v>25.599999999999827</c:v>
                </c:pt>
                <c:pt idx="1537">
                  <c:v>25.616666666666493</c:v>
                </c:pt>
                <c:pt idx="1538">
                  <c:v>25.633333333333159</c:v>
                </c:pt>
                <c:pt idx="1539">
                  <c:v>25.649999999999824</c:v>
                </c:pt>
                <c:pt idx="1540">
                  <c:v>25.66666666666649</c:v>
                </c:pt>
                <c:pt idx="1541">
                  <c:v>25.683333333333156</c:v>
                </c:pt>
                <c:pt idx="1542">
                  <c:v>25.699999999999822</c:v>
                </c:pt>
                <c:pt idx="1543">
                  <c:v>25.716666666666487</c:v>
                </c:pt>
                <c:pt idx="1544">
                  <c:v>25.733333333333153</c:v>
                </c:pt>
                <c:pt idx="1545">
                  <c:v>25.749999999999819</c:v>
                </c:pt>
                <c:pt idx="1546">
                  <c:v>25.766666666666485</c:v>
                </c:pt>
                <c:pt idx="1547">
                  <c:v>25.78333333333315</c:v>
                </c:pt>
                <c:pt idx="1548">
                  <c:v>25.799999999999816</c:v>
                </c:pt>
                <c:pt idx="1549">
                  <c:v>25.816666666666482</c:v>
                </c:pt>
                <c:pt idx="1550">
                  <c:v>25.833333333333147</c:v>
                </c:pt>
                <c:pt idx="1551">
                  <c:v>25.849999999999813</c:v>
                </c:pt>
                <c:pt idx="1552">
                  <c:v>25.866666666666479</c:v>
                </c:pt>
                <c:pt idx="1553">
                  <c:v>25.883333333333145</c:v>
                </c:pt>
                <c:pt idx="1554">
                  <c:v>25.89999999999981</c:v>
                </c:pt>
                <c:pt idx="1555">
                  <c:v>25.916666666666476</c:v>
                </c:pt>
                <c:pt idx="1556">
                  <c:v>25.933333333333142</c:v>
                </c:pt>
                <c:pt idx="1557">
                  <c:v>25.949999999999807</c:v>
                </c:pt>
                <c:pt idx="1558">
                  <c:v>25.966666666666473</c:v>
                </c:pt>
                <c:pt idx="1559">
                  <c:v>25.983333333333139</c:v>
                </c:pt>
                <c:pt idx="1560">
                  <c:v>25.999999999999805</c:v>
                </c:pt>
                <c:pt idx="1561">
                  <c:v>26.01666666666647</c:v>
                </c:pt>
                <c:pt idx="1562">
                  <c:v>26.033333333333136</c:v>
                </c:pt>
                <c:pt idx="1563">
                  <c:v>26.049999999999802</c:v>
                </c:pt>
                <c:pt idx="1564">
                  <c:v>26.066666666666467</c:v>
                </c:pt>
                <c:pt idx="1565">
                  <c:v>26.083333333333133</c:v>
                </c:pt>
                <c:pt idx="1566">
                  <c:v>26.099999999999799</c:v>
                </c:pt>
                <c:pt idx="1567">
                  <c:v>26.116666666666465</c:v>
                </c:pt>
                <c:pt idx="1568">
                  <c:v>26.13333333333313</c:v>
                </c:pt>
                <c:pt idx="1569">
                  <c:v>26.149999999999796</c:v>
                </c:pt>
                <c:pt idx="1570">
                  <c:v>26.166666666666462</c:v>
                </c:pt>
                <c:pt idx="1571">
                  <c:v>26.183333333333128</c:v>
                </c:pt>
                <c:pt idx="1572">
                  <c:v>26.199999999999793</c:v>
                </c:pt>
                <c:pt idx="1573">
                  <c:v>26.216666666666459</c:v>
                </c:pt>
                <c:pt idx="1574">
                  <c:v>26.233333333333125</c:v>
                </c:pt>
                <c:pt idx="1575">
                  <c:v>26.24999999999979</c:v>
                </c:pt>
                <c:pt idx="1576">
                  <c:v>26.266666666666456</c:v>
                </c:pt>
                <c:pt idx="1577">
                  <c:v>26.283333333333122</c:v>
                </c:pt>
                <c:pt idx="1578">
                  <c:v>26.299999999999788</c:v>
                </c:pt>
                <c:pt idx="1579">
                  <c:v>26.316666666666453</c:v>
                </c:pt>
                <c:pt idx="1580">
                  <c:v>26.333333333333119</c:v>
                </c:pt>
                <c:pt idx="1581">
                  <c:v>26.349999999999785</c:v>
                </c:pt>
                <c:pt idx="1582">
                  <c:v>26.36666666666645</c:v>
                </c:pt>
                <c:pt idx="1583">
                  <c:v>26.383333333333116</c:v>
                </c:pt>
                <c:pt idx="1584">
                  <c:v>26.399999999999782</c:v>
                </c:pt>
                <c:pt idx="1585">
                  <c:v>26.416666666666448</c:v>
                </c:pt>
                <c:pt idx="1586">
                  <c:v>26.433333333333113</c:v>
                </c:pt>
                <c:pt idx="1587">
                  <c:v>26.449999999999779</c:v>
                </c:pt>
                <c:pt idx="1588">
                  <c:v>26.466666666666445</c:v>
                </c:pt>
                <c:pt idx="1589">
                  <c:v>26.48333333333311</c:v>
                </c:pt>
                <c:pt idx="1590">
                  <c:v>26.499999999999776</c:v>
                </c:pt>
                <c:pt idx="1591">
                  <c:v>26.516666666666442</c:v>
                </c:pt>
                <c:pt idx="1592">
                  <c:v>26.533333333333108</c:v>
                </c:pt>
                <c:pt idx="1593">
                  <c:v>26.549999999999773</c:v>
                </c:pt>
                <c:pt idx="1594">
                  <c:v>26.566666666666439</c:v>
                </c:pt>
                <c:pt idx="1595">
                  <c:v>26.583333333333105</c:v>
                </c:pt>
                <c:pt idx="1596">
                  <c:v>26.59999999999977</c:v>
                </c:pt>
                <c:pt idx="1597">
                  <c:v>26.616666666666436</c:v>
                </c:pt>
                <c:pt idx="1598">
                  <c:v>26.633333333333102</c:v>
                </c:pt>
                <c:pt idx="1599">
                  <c:v>26.649999999999768</c:v>
                </c:pt>
                <c:pt idx="1600">
                  <c:v>26.666666666666433</c:v>
                </c:pt>
                <c:pt idx="1601">
                  <c:v>26.683333333333099</c:v>
                </c:pt>
                <c:pt idx="1602">
                  <c:v>26.699999999999765</c:v>
                </c:pt>
                <c:pt idx="1603">
                  <c:v>26.716666666666431</c:v>
                </c:pt>
                <c:pt idx="1604">
                  <c:v>26.733333333333096</c:v>
                </c:pt>
                <c:pt idx="1605">
                  <c:v>26.749999999999762</c:v>
                </c:pt>
                <c:pt idx="1606">
                  <c:v>26.766666666666428</c:v>
                </c:pt>
                <c:pt idx="1607">
                  <c:v>26.783333333333093</c:v>
                </c:pt>
                <c:pt idx="1608">
                  <c:v>26.799999999999759</c:v>
                </c:pt>
                <c:pt idx="1609">
                  <c:v>26.816666666666425</c:v>
                </c:pt>
                <c:pt idx="1610">
                  <c:v>26.833333333333091</c:v>
                </c:pt>
                <c:pt idx="1611">
                  <c:v>26.849999999999756</c:v>
                </c:pt>
                <c:pt idx="1612">
                  <c:v>26.866666666666422</c:v>
                </c:pt>
                <c:pt idx="1613">
                  <c:v>26.883333333333088</c:v>
                </c:pt>
                <c:pt idx="1614">
                  <c:v>26.899999999999753</c:v>
                </c:pt>
                <c:pt idx="1615">
                  <c:v>26.916666666666419</c:v>
                </c:pt>
                <c:pt idx="1616">
                  <c:v>26.933333333333085</c:v>
                </c:pt>
                <c:pt idx="1617">
                  <c:v>26.949999999999751</c:v>
                </c:pt>
                <c:pt idx="1618">
                  <c:v>26.966666666666416</c:v>
                </c:pt>
                <c:pt idx="1619">
                  <c:v>26.983333333333082</c:v>
                </c:pt>
                <c:pt idx="1620">
                  <c:v>26.999999999999748</c:v>
                </c:pt>
                <c:pt idx="1621">
                  <c:v>27.016666666666413</c:v>
                </c:pt>
                <c:pt idx="1622">
                  <c:v>27.033333333333079</c:v>
                </c:pt>
                <c:pt idx="1623">
                  <c:v>27.049999999999745</c:v>
                </c:pt>
                <c:pt idx="1624">
                  <c:v>27.066666666666411</c:v>
                </c:pt>
                <c:pt idx="1625">
                  <c:v>27.083333333333076</c:v>
                </c:pt>
                <c:pt idx="1626">
                  <c:v>27.099999999999742</c:v>
                </c:pt>
                <c:pt idx="1627">
                  <c:v>27.116666666666408</c:v>
                </c:pt>
                <c:pt idx="1628">
                  <c:v>27.133333333333074</c:v>
                </c:pt>
                <c:pt idx="1629">
                  <c:v>27.149999999999739</c:v>
                </c:pt>
                <c:pt idx="1630">
                  <c:v>27.166666666666405</c:v>
                </c:pt>
                <c:pt idx="1631">
                  <c:v>27.183333333333071</c:v>
                </c:pt>
                <c:pt idx="1632">
                  <c:v>27.199999999999736</c:v>
                </c:pt>
                <c:pt idx="1633">
                  <c:v>27.216666666666402</c:v>
                </c:pt>
                <c:pt idx="1634">
                  <c:v>27.233333333333068</c:v>
                </c:pt>
                <c:pt idx="1635">
                  <c:v>27.249999999999734</c:v>
                </c:pt>
                <c:pt idx="1636">
                  <c:v>27.266666666666399</c:v>
                </c:pt>
                <c:pt idx="1637">
                  <c:v>27.283333333333065</c:v>
                </c:pt>
                <c:pt idx="1638">
                  <c:v>27.299999999999731</c:v>
                </c:pt>
                <c:pt idx="1639">
                  <c:v>27.316666666666396</c:v>
                </c:pt>
                <c:pt idx="1640">
                  <c:v>27.333333333333062</c:v>
                </c:pt>
                <c:pt idx="1641">
                  <c:v>27.349999999999728</c:v>
                </c:pt>
                <c:pt idx="1642">
                  <c:v>27.366666666666394</c:v>
                </c:pt>
                <c:pt idx="1643">
                  <c:v>27.383333333333059</c:v>
                </c:pt>
                <c:pt idx="1644">
                  <c:v>27.399999999999725</c:v>
                </c:pt>
                <c:pt idx="1645">
                  <c:v>27.416666666666391</c:v>
                </c:pt>
                <c:pt idx="1646">
                  <c:v>27.433333333333056</c:v>
                </c:pt>
                <c:pt idx="1647">
                  <c:v>27.449999999999722</c:v>
                </c:pt>
                <c:pt idx="1648">
                  <c:v>27.466666666666388</c:v>
                </c:pt>
                <c:pt idx="1649">
                  <c:v>27.483333333333054</c:v>
                </c:pt>
                <c:pt idx="1650">
                  <c:v>27.499999999999719</c:v>
                </c:pt>
                <c:pt idx="1651">
                  <c:v>27.516666666666385</c:v>
                </c:pt>
                <c:pt idx="1652">
                  <c:v>27.533333333333051</c:v>
                </c:pt>
                <c:pt idx="1653">
                  <c:v>27.549999999999716</c:v>
                </c:pt>
                <c:pt idx="1654">
                  <c:v>27.566666666666382</c:v>
                </c:pt>
                <c:pt idx="1655">
                  <c:v>27.583333333333048</c:v>
                </c:pt>
                <c:pt idx="1656">
                  <c:v>27.599999999999714</c:v>
                </c:pt>
                <c:pt idx="1657">
                  <c:v>27.616666666666379</c:v>
                </c:pt>
                <c:pt idx="1658">
                  <c:v>27.633333333333045</c:v>
                </c:pt>
                <c:pt idx="1659">
                  <c:v>27.649999999999711</c:v>
                </c:pt>
                <c:pt idx="1660">
                  <c:v>27.666666666666377</c:v>
                </c:pt>
                <c:pt idx="1661">
                  <c:v>27.683333333333042</c:v>
                </c:pt>
                <c:pt idx="1662">
                  <c:v>27.699999999999708</c:v>
                </c:pt>
                <c:pt idx="1663">
                  <c:v>27.716666666666374</c:v>
                </c:pt>
                <c:pt idx="1664">
                  <c:v>27.733333333333039</c:v>
                </c:pt>
                <c:pt idx="1665">
                  <c:v>27.749999999999705</c:v>
                </c:pt>
                <c:pt idx="1666">
                  <c:v>27.766666666666371</c:v>
                </c:pt>
                <c:pt idx="1667">
                  <c:v>27.783333333333037</c:v>
                </c:pt>
                <c:pt idx="1668">
                  <c:v>27.799999999999702</c:v>
                </c:pt>
                <c:pt idx="1669">
                  <c:v>27.816666666666368</c:v>
                </c:pt>
                <c:pt idx="1670">
                  <c:v>27.833333333333034</c:v>
                </c:pt>
                <c:pt idx="1671">
                  <c:v>27.849999999999699</c:v>
                </c:pt>
                <c:pt idx="1672">
                  <c:v>27.866666666666365</c:v>
                </c:pt>
                <c:pt idx="1673">
                  <c:v>27.883333333333031</c:v>
                </c:pt>
                <c:pt idx="1674">
                  <c:v>27.899999999999697</c:v>
                </c:pt>
                <c:pt idx="1675">
                  <c:v>27.916666666666362</c:v>
                </c:pt>
                <c:pt idx="1676">
                  <c:v>27.933333333333028</c:v>
                </c:pt>
                <c:pt idx="1677">
                  <c:v>27.949999999999694</c:v>
                </c:pt>
                <c:pt idx="1678">
                  <c:v>27.966666666666359</c:v>
                </c:pt>
                <c:pt idx="1679">
                  <c:v>27.983333333333025</c:v>
                </c:pt>
                <c:pt idx="1680">
                  <c:v>27.999999999999691</c:v>
                </c:pt>
                <c:pt idx="1681">
                  <c:v>28.016666666666357</c:v>
                </c:pt>
                <c:pt idx="1682">
                  <c:v>28.033333333333022</c:v>
                </c:pt>
                <c:pt idx="1683">
                  <c:v>28.049999999999688</c:v>
                </c:pt>
                <c:pt idx="1684">
                  <c:v>28.066666666666354</c:v>
                </c:pt>
                <c:pt idx="1685">
                  <c:v>28.08333333333302</c:v>
                </c:pt>
                <c:pt idx="1686">
                  <c:v>28.099999999999685</c:v>
                </c:pt>
                <c:pt idx="1687">
                  <c:v>28.116666666666351</c:v>
                </c:pt>
                <c:pt idx="1688">
                  <c:v>28.133333333333017</c:v>
                </c:pt>
                <c:pt idx="1689">
                  <c:v>28.149999999999682</c:v>
                </c:pt>
                <c:pt idx="1690">
                  <c:v>28.166666666666348</c:v>
                </c:pt>
                <c:pt idx="1691">
                  <c:v>28.183333333333014</c:v>
                </c:pt>
                <c:pt idx="1692">
                  <c:v>28.19999999999968</c:v>
                </c:pt>
                <c:pt idx="1693">
                  <c:v>28.216666666666345</c:v>
                </c:pt>
                <c:pt idx="1694">
                  <c:v>28.233333333333011</c:v>
                </c:pt>
                <c:pt idx="1695">
                  <c:v>28.249999999999677</c:v>
                </c:pt>
                <c:pt idx="1696">
                  <c:v>28.266666666666342</c:v>
                </c:pt>
                <c:pt idx="1697">
                  <c:v>28.283333333333008</c:v>
                </c:pt>
                <c:pt idx="1698">
                  <c:v>28.299999999999674</c:v>
                </c:pt>
                <c:pt idx="1699">
                  <c:v>28.31666666666634</c:v>
                </c:pt>
                <c:pt idx="1700">
                  <c:v>28.333333333333005</c:v>
                </c:pt>
                <c:pt idx="1701">
                  <c:v>28.349999999999671</c:v>
                </c:pt>
                <c:pt idx="1702">
                  <c:v>28.366666666666337</c:v>
                </c:pt>
                <c:pt idx="1703">
                  <c:v>28.383333333333002</c:v>
                </c:pt>
                <c:pt idx="1704">
                  <c:v>28.399999999999668</c:v>
                </c:pt>
                <c:pt idx="1705">
                  <c:v>28.416666666666334</c:v>
                </c:pt>
                <c:pt idx="1706">
                  <c:v>28.433333333333</c:v>
                </c:pt>
                <c:pt idx="1707">
                  <c:v>28.449999999999665</c:v>
                </c:pt>
                <c:pt idx="1708">
                  <c:v>28.466666666666331</c:v>
                </c:pt>
                <c:pt idx="1709">
                  <c:v>28.483333333332997</c:v>
                </c:pt>
                <c:pt idx="1710">
                  <c:v>28.499999999999662</c:v>
                </c:pt>
                <c:pt idx="1711">
                  <c:v>28.516666666666328</c:v>
                </c:pt>
                <c:pt idx="1712">
                  <c:v>28.533333333332994</c:v>
                </c:pt>
                <c:pt idx="1713">
                  <c:v>28.54999999999966</c:v>
                </c:pt>
                <c:pt idx="1714">
                  <c:v>28.566666666666325</c:v>
                </c:pt>
                <c:pt idx="1715">
                  <c:v>28.583333333332991</c:v>
                </c:pt>
                <c:pt idx="1716">
                  <c:v>28.599999999999657</c:v>
                </c:pt>
                <c:pt idx="1717">
                  <c:v>28.616666666666323</c:v>
                </c:pt>
                <c:pt idx="1718">
                  <c:v>28.633333333332988</c:v>
                </c:pt>
                <c:pt idx="1719">
                  <c:v>28.649999999999654</c:v>
                </c:pt>
                <c:pt idx="1720">
                  <c:v>28.66666666666632</c:v>
                </c:pt>
                <c:pt idx="1721">
                  <c:v>28.683333333332985</c:v>
                </c:pt>
                <c:pt idx="1722">
                  <c:v>28.699999999999651</c:v>
                </c:pt>
                <c:pt idx="1723">
                  <c:v>28.716666666666317</c:v>
                </c:pt>
                <c:pt idx="1724">
                  <c:v>28.733333333332983</c:v>
                </c:pt>
                <c:pt idx="1725">
                  <c:v>28.749999999999648</c:v>
                </c:pt>
                <c:pt idx="1726">
                  <c:v>28.766666666666314</c:v>
                </c:pt>
                <c:pt idx="1727">
                  <c:v>28.78333333333298</c:v>
                </c:pt>
                <c:pt idx="1728">
                  <c:v>28.799999999999645</c:v>
                </c:pt>
                <c:pt idx="1729">
                  <c:v>28.816666666666311</c:v>
                </c:pt>
                <c:pt idx="1730">
                  <c:v>28.833333333332977</c:v>
                </c:pt>
                <c:pt idx="1731">
                  <c:v>28.849999999999643</c:v>
                </c:pt>
                <c:pt idx="1732">
                  <c:v>28.866666666666308</c:v>
                </c:pt>
                <c:pt idx="1733">
                  <c:v>28.883333333332974</c:v>
                </c:pt>
                <c:pt idx="1734">
                  <c:v>28.89999999999964</c:v>
                </c:pt>
                <c:pt idx="1735">
                  <c:v>28.916666666666305</c:v>
                </c:pt>
                <c:pt idx="1736">
                  <c:v>28.933333333332971</c:v>
                </c:pt>
                <c:pt idx="1737">
                  <c:v>28.949999999999637</c:v>
                </c:pt>
                <c:pt idx="1738">
                  <c:v>28.966666666666303</c:v>
                </c:pt>
                <c:pt idx="1739">
                  <c:v>28.983333333332968</c:v>
                </c:pt>
                <c:pt idx="1740">
                  <c:v>28.999999999999634</c:v>
                </c:pt>
                <c:pt idx="1741">
                  <c:v>29.0166666666663</c:v>
                </c:pt>
                <c:pt idx="1742">
                  <c:v>29.033333333332966</c:v>
                </c:pt>
                <c:pt idx="1743">
                  <c:v>29.049999999999631</c:v>
                </c:pt>
                <c:pt idx="1744">
                  <c:v>29.066666666666297</c:v>
                </c:pt>
                <c:pt idx="1745">
                  <c:v>29.083333333332963</c:v>
                </c:pt>
                <c:pt idx="1746">
                  <c:v>29.099999999999628</c:v>
                </c:pt>
                <c:pt idx="1747">
                  <c:v>29.116666666666294</c:v>
                </c:pt>
                <c:pt idx="1748">
                  <c:v>29.13333333333296</c:v>
                </c:pt>
                <c:pt idx="1749">
                  <c:v>29.149999999999626</c:v>
                </c:pt>
                <c:pt idx="1750">
                  <c:v>29.166666666666291</c:v>
                </c:pt>
                <c:pt idx="1751">
                  <c:v>29.183333333332957</c:v>
                </c:pt>
                <c:pt idx="1752">
                  <c:v>29.199999999999623</c:v>
                </c:pt>
                <c:pt idx="1753">
                  <c:v>29.216666666666288</c:v>
                </c:pt>
                <c:pt idx="1754">
                  <c:v>29.233333333332954</c:v>
                </c:pt>
                <c:pt idx="1755">
                  <c:v>29.24999999999962</c:v>
                </c:pt>
                <c:pt idx="1756">
                  <c:v>29.266666666666286</c:v>
                </c:pt>
                <c:pt idx="1757">
                  <c:v>29.283333333332951</c:v>
                </c:pt>
                <c:pt idx="1758">
                  <c:v>29.299999999999617</c:v>
                </c:pt>
                <c:pt idx="1759">
                  <c:v>29.316666666666283</c:v>
                </c:pt>
                <c:pt idx="1760">
                  <c:v>29.333333333332948</c:v>
                </c:pt>
                <c:pt idx="1761">
                  <c:v>29.349999999999614</c:v>
                </c:pt>
                <c:pt idx="1762">
                  <c:v>29.36666666666628</c:v>
                </c:pt>
                <c:pt idx="1763">
                  <c:v>29.383333333332946</c:v>
                </c:pt>
                <c:pt idx="1764">
                  <c:v>29.399999999999611</c:v>
                </c:pt>
                <c:pt idx="1765">
                  <c:v>29.416666666666277</c:v>
                </c:pt>
                <c:pt idx="1766">
                  <c:v>29.433333333332943</c:v>
                </c:pt>
                <c:pt idx="1767">
                  <c:v>29.449999999999608</c:v>
                </c:pt>
                <c:pt idx="1768">
                  <c:v>29.466666666666274</c:v>
                </c:pt>
                <c:pt idx="1769">
                  <c:v>29.48333333333294</c:v>
                </c:pt>
                <c:pt idx="1770">
                  <c:v>29.499999999999606</c:v>
                </c:pt>
                <c:pt idx="1771">
                  <c:v>29.516666666666271</c:v>
                </c:pt>
                <c:pt idx="1772">
                  <c:v>29.533333333332937</c:v>
                </c:pt>
                <c:pt idx="1773">
                  <c:v>29.549999999999603</c:v>
                </c:pt>
                <c:pt idx="1774">
                  <c:v>29.566666666666269</c:v>
                </c:pt>
                <c:pt idx="1775">
                  <c:v>29.583333333332934</c:v>
                </c:pt>
                <c:pt idx="1776">
                  <c:v>29.5999999999996</c:v>
                </c:pt>
                <c:pt idx="1777">
                  <c:v>29.616666666666266</c:v>
                </c:pt>
                <c:pt idx="1778">
                  <c:v>29.633333333332931</c:v>
                </c:pt>
                <c:pt idx="1779">
                  <c:v>29.649999999999597</c:v>
                </c:pt>
                <c:pt idx="1780">
                  <c:v>29.666666666666263</c:v>
                </c:pt>
                <c:pt idx="1781">
                  <c:v>29.683333333332929</c:v>
                </c:pt>
                <c:pt idx="1782">
                  <c:v>29.699999999999594</c:v>
                </c:pt>
                <c:pt idx="1783">
                  <c:v>29.71666666666626</c:v>
                </c:pt>
                <c:pt idx="1784">
                  <c:v>29.733333333332926</c:v>
                </c:pt>
                <c:pt idx="1785">
                  <c:v>29.749999999999591</c:v>
                </c:pt>
                <c:pt idx="1786">
                  <c:v>29.766666666666257</c:v>
                </c:pt>
                <c:pt idx="1787">
                  <c:v>29.783333333332923</c:v>
                </c:pt>
                <c:pt idx="1788">
                  <c:v>29.799999999999589</c:v>
                </c:pt>
                <c:pt idx="1789">
                  <c:v>29.816666666666254</c:v>
                </c:pt>
                <c:pt idx="1790">
                  <c:v>29.83333333333292</c:v>
                </c:pt>
                <c:pt idx="1791">
                  <c:v>29.849999999999586</c:v>
                </c:pt>
                <c:pt idx="1792">
                  <c:v>29.866666666666251</c:v>
                </c:pt>
                <c:pt idx="1793">
                  <c:v>29.883333333332917</c:v>
                </c:pt>
                <c:pt idx="1794">
                  <c:v>29.899999999999583</c:v>
                </c:pt>
                <c:pt idx="1795">
                  <c:v>29.916666666666249</c:v>
                </c:pt>
                <c:pt idx="1796">
                  <c:v>29.933333333332914</c:v>
                </c:pt>
                <c:pt idx="1797">
                  <c:v>29.94999999999958</c:v>
                </c:pt>
                <c:pt idx="1798">
                  <c:v>29.966666666666246</c:v>
                </c:pt>
                <c:pt idx="1799">
                  <c:v>29.983333333332912</c:v>
                </c:pt>
                <c:pt idx="1800">
                  <c:v>29.999999999999577</c:v>
                </c:pt>
                <c:pt idx="1801">
                  <c:v>30.016666666666243</c:v>
                </c:pt>
                <c:pt idx="1802">
                  <c:v>30.033333333332909</c:v>
                </c:pt>
                <c:pt idx="1803">
                  <c:v>30.049999999999574</c:v>
                </c:pt>
                <c:pt idx="1804">
                  <c:v>30.06666666666624</c:v>
                </c:pt>
                <c:pt idx="1805">
                  <c:v>30.083333333332906</c:v>
                </c:pt>
                <c:pt idx="1806">
                  <c:v>30.099999999999572</c:v>
                </c:pt>
                <c:pt idx="1807">
                  <c:v>30.116666666666237</c:v>
                </c:pt>
                <c:pt idx="1808">
                  <c:v>30.133333333332903</c:v>
                </c:pt>
                <c:pt idx="1809">
                  <c:v>30.149999999999569</c:v>
                </c:pt>
                <c:pt idx="1810">
                  <c:v>30.166666666666234</c:v>
                </c:pt>
                <c:pt idx="1811">
                  <c:v>30.1833333333329</c:v>
                </c:pt>
                <c:pt idx="1812">
                  <c:v>30.199999999999566</c:v>
                </c:pt>
                <c:pt idx="1813">
                  <c:v>30.216666666666232</c:v>
                </c:pt>
                <c:pt idx="1814">
                  <c:v>30.233333333332897</c:v>
                </c:pt>
                <c:pt idx="1815">
                  <c:v>30.249999999999563</c:v>
                </c:pt>
                <c:pt idx="1816">
                  <c:v>30.266666666666229</c:v>
                </c:pt>
                <c:pt idx="1817">
                  <c:v>30.283333333332894</c:v>
                </c:pt>
                <c:pt idx="1818">
                  <c:v>30.29999999999956</c:v>
                </c:pt>
                <c:pt idx="1819">
                  <c:v>30.316666666666226</c:v>
                </c:pt>
                <c:pt idx="1820">
                  <c:v>30.333333333332892</c:v>
                </c:pt>
                <c:pt idx="1821">
                  <c:v>30.349999999999557</c:v>
                </c:pt>
                <c:pt idx="1822">
                  <c:v>30.366666666666223</c:v>
                </c:pt>
                <c:pt idx="1823">
                  <c:v>30.383333333332889</c:v>
                </c:pt>
                <c:pt idx="1824">
                  <c:v>30.399999999999554</c:v>
                </c:pt>
                <c:pt idx="1825">
                  <c:v>30.41666666666622</c:v>
                </c:pt>
                <c:pt idx="1826">
                  <c:v>30.433333333332886</c:v>
                </c:pt>
                <c:pt idx="1827">
                  <c:v>30.449999999999552</c:v>
                </c:pt>
                <c:pt idx="1828">
                  <c:v>30.466666666666217</c:v>
                </c:pt>
                <c:pt idx="1829">
                  <c:v>30.483333333332883</c:v>
                </c:pt>
                <c:pt idx="1830">
                  <c:v>30.499999999999549</c:v>
                </c:pt>
                <c:pt idx="1831">
                  <c:v>30.516666666666215</c:v>
                </c:pt>
                <c:pt idx="1832">
                  <c:v>30.53333333333288</c:v>
                </c:pt>
                <c:pt idx="1833">
                  <c:v>30.549999999999546</c:v>
                </c:pt>
                <c:pt idx="1834">
                  <c:v>30.566666666666212</c:v>
                </c:pt>
                <c:pt idx="1835">
                  <c:v>30.583333333332877</c:v>
                </c:pt>
                <c:pt idx="1836">
                  <c:v>30.599999999999543</c:v>
                </c:pt>
                <c:pt idx="1837">
                  <c:v>30.616666666666209</c:v>
                </c:pt>
                <c:pt idx="1838">
                  <c:v>30.633333333332875</c:v>
                </c:pt>
                <c:pt idx="1839">
                  <c:v>30.64999999999954</c:v>
                </c:pt>
                <c:pt idx="1840">
                  <c:v>30.666666666666206</c:v>
                </c:pt>
                <c:pt idx="1841">
                  <c:v>30.683333333332872</c:v>
                </c:pt>
                <c:pt idx="1842">
                  <c:v>30.699999999999537</c:v>
                </c:pt>
                <c:pt idx="1843">
                  <c:v>30.716666666666203</c:v>
                </c:pt>
                <c:pt idx="1844">
                  <c:v>30.733333333332869</c:v>
                </c:pt>
                <c:pt idx="1845">
                  <c:v>30.749999999999535</c:v>
                </c:pt>
                <c:pt idx="1846">
                  <c:v>30.7666666666662</c:v>
                </c:pt>
                <c:pt idx="1847">
                  <c:v>30.783333333332866</c:v>
                </c:pt>
                <c:pt idx="1848">
                  <c:v>30.799999999999532</c:v>
                </c:pt>
                <c:pt idx="1849">
                  <c:v>30.816666666666197</c:v>
                </c:pt>
                <c:pt idx="1850">
                  <c:v>30.833333333332863</c:v>
                </c:pt>
                <c:pt idx="1851">
                  <c:v>30.849999999999529</c:v>
                </c:pt>
                <c:pt idx="1852">
                  <c:v>30.866666666666195</c:v>
                </c:pt>
                <c:pt idx="1853">
                  <c:v>30.88333333333286</c:v>
                </c:pt>
                <c:pt idx="1854">
                  <c:v>30.899999999999526</c:v>
                </c:pt>
                <c:pt idx="1855">
                  <c:v>30.916666666666192</c:v>
                </c:pt>
                <c:pt idx="1856">
                  <c:v>30.933333333332858</c:v>
                </c:pt>
                <c:pt idx="1857">
                  <c:v>30.949999999999523</c:v>
                </c:pt>
                <c:pt idx="1858">
                  <c:v>30.966666666666189</c:v>
                </c:pt>
                <c:pt idx="1859">
                  <c:v>30.983333333332855</c:v>
                </c:pt>
                <c:pt idx="1860">
                  <c:v>30.99999999999952</c:v>
                </c:pt>
                <c:pt idx="1861">
                  <c:v>31.016666666666186</c:v>
                </c:pt>
                <c:pt idx="1862">
                  <c:v>31.033333333332852</c:v>
                </c:pt>
                <c:pt idx="1863">
                  <c:v>31.049999999999518</c:v>
                </c:pt>
                <c:pt idx="1864">
                  <c:v>31.066666666666183</c:v>
                </c:pt>
                <c:pt idx="1865">
                  <c:v>31.083333333332849</c:v>
                </c:pt>
                <c:pt idx="1866">
                  <c:v>31.099999999999515</c:v>
                </c:pt>
                <c:pt idx="1867">
                  <c:v>31.11666666666618</c:v>
                </c:pt>
                <c:pt idx="1868">
                  <c:v>31.133333333332846</c:v>
                </c:pt>
                <c:pt idx="1869">
                  <c:v>31.149999999999512</c:v>
                </c:pt>
                <c:pt idx="1870">
                  <c:v>31.166666666666178</c:v>
                </c:pt>
                <c:pt idx="1871">
                  <c:v>31.183333333332843</c:v>
                </c:pt>
                <c:pt idx="1872">
                  <c:v>31.199999999999509</c:v>
                </c:pt>
                <c:pt idx="1873">
                  <c:v>31.216666666666175</c:v>
                </c:pt>
                <c:pt idx="1874">
                  <c:v>31.23333333333284</c:v>
                </c:pt>
                <c:pt idx="1875">
                  <c:v>31.249999999999506</c:v>
                </c:pt>
                <c:pt idx="1876">
                  <c:v>31.266666666666172</c:v>
                </c:pt>
                <c:pt idx="1877">
                  <c:v>31.283333333332838</c:v>
                </c:pt>
                <c:pt idx="1878">
                  <c:v>31.299999999999503</c:v>
                </c:pt>
                <c:pt idx="1879">
                  <c:v>31.316666666666169</c:v>
                </c:pt>
                <c:pt idx="1880">
                  <c:v>31.333333333332835</c:v>
                </c:pt>
                <c:pt idx="1881">
                  <c:v>31.3499999999995</c:v>
                </c:pt>
                <c:pt idx="1882">
                  <c:v>31.366666666666166</c:v>
                </c:pt>
                <c:pt idx="1883">
                  <c:v>31.383333333332832</c:v>
                </c:pt>
                <c:pt idx="1884">
                  <c:v>31.399999999999498</c:v>
                </c:pt>
                <c:pt idx="1885">
                  <c:v>31.416666666666163</c:v>
                </c:pt>
                <c:pt idx="1886">
                  <c:v>31.433333333332829</c:v>
                </c:pt>
                <c:pt idx="1887">
                  <c:v>31.449999999999495</c:v>
                </c:pt>
                <c:pt idx="1888">
                  <c:v>31.466666666666161</c:v>
                </c:pt>
                <c:pt idx="1889">
                  <c:v>31.483333333332826</c:v>
                </c:pt>
                <c:pt idx="1890">
                  <c:v>31.499999999999492</c:v>
                </c:pt>
                <c:pt idx="1891">
                  <c:v>31.516666666666158</c:v>
                </c:pt>
                <c:pt idx="1892">
                  <c:v>31.533333333332823</c:v>
                </c:pt>
                <c:pt idx="1893">
                  <c:v>31.549999999999489</c:v>
                </c:pt>
                <c:pt idx="1894">
                  <c:v>31.566666666666155</c:v>
                </c:pt>
                <c:pt idx="1895">
                  <c:v>31.583333333332821</c:v>
                </c:pt>
                <c:pt idx="1896">
                  <c:v>31.599999999999486</c:v>
                </c:pt>
                <c:pt idx="1897">
                  <c:v>31.616666666666152</c:v>
                </c:pt>
                <c:pt idx="1898">
                  <c:v>31.633333333332818</c:v>
                </c:pt>
                <c:pt idx="1899">
                  <c:v>31.649999999999483</c:v>
                </c:pt>
                <c:pt idx="1900">
                  <c:v>31.666666666666149</c:v>
                </c:pt>
                <c:pt idx="1901">
                  <c:v>31.683333333332815</c:v>
                </c:pt>
                <c:pt idx="1902">
                  <c:v>31.699999999999481</c:v>
                </c:pt>
                <c:pt idx="1903">
                  <c:v>31.716666666666146</c:v>
                </c:pt>
                <c:pt idx="1904">
                  <c:v>31.733333333332812</c:v>
                </c:pt>
                <c:pt idx="1905">
                  <c:v>31.749999999999478</c:v>
                </c:pt>
                <c:pt idx="1906">
                  <c:v>31.766666666666143</c:v>
                </c:pt>
                <c:pt idx="1907">
                  <c:v>31.783333333332809</c:v>
                </c:pt>
                <c:pt idx="1908">
                  <c:v>31.799999999999475</c:v>
                </c:pt>
                <c:pt idx="1909">
                  <c:v>31.816666666666141</c:v>
                </c:pt>
                <c:pt idx="1910">
                  <c:v>31.833333333332806</c:v>
                </c:pt>
                <c:pt idx="1911">
                  <c:v>31.849999999999472</c:v>
                </c:pt>
                <c:pt idx="1912">
                  <c:v>31.866666666666138</c:v>
                </c:pt>
                <c:pt idx="1913">
                  <c:v>31.883333333332804</c:v>
                </c:pt>
                <c:pt idx="1914">
                  <c:v>31.899999999999469</c:v>
                </c:pt>
                <c:pt idx="1915">
                  <c:v>31.916666666666135</c:v>
                </c:pt>
                <c:pt idx="1916">
                  <c:v>31.933333333332801</c:v>
                </c:pt>
                <c:pt idx="1917">
                  <c:v>31.949999999999466</c:v>
                </c:pt>
                <c:pt idx="1918">
                  <c:v>31.966666666666132</c:v>
                </c:pt>
                <c:pt idx="1919">
                  <c:v>31.983333333332798</c:v>
                </c:pt>
                <c:pt idx="1920">
                  <c:v>31.999999999999464</c:v>
                </c:pt>
                <c:pt idx="1921">
                  <c:v>32.016666666666133</c:v>
                </c:pt>
                <c:pt idx="1922">
                  <c:v>32.033333333332799</c:v>
                </c:pt>
                <c:pt idx="1923">
                  <c:v>32.049999999999464</c:v>
                </c:pt>
                <c:pt idx="1924">
                  <c:v>32.06666666666613</c:v>
                </c:pt>
                <c:pt idx="1925">
                  <c:v>32.083333333332796</c:v>
                </c:pt>
                <c:pt idx="1926">
                  <c:v>32.099999999999461</c:v>
                </c:pt>
                <c:pt idx="1927">
                  <c:v>32.116666666666127</c:v>
                </c:pt>
                <c:pt idx="1928">
                  <c:v>32.133333333332793</c:v>
                </c:pt>
                <c:pt idx="1929">
                  <c:v>32.149999999999459</c:v>
                </c:pt>
                <c:pt idx="1930">
                  <c:v>32.166666666666124</c:v>
                </c:pt>
                <c:pt idx="1931">
                  <c:v>32.18333333333279</c:v>
                </c:pt>
                <c:pt idx="1932">
                  <c:v>32.199999999999456</c:v>
                </c:pt>
                <c:pt idx="1933">
                  <c:v>32.216666666666121</c:v>
                </c:pt>
                <c:pt idx="1934">
                  <c:v>32.233333333332787</c:v>
                </c:pt>
                <c:pt idx="1935">
                  <c:v>32.249999999999453</c:v>
                </c:pt>
                <c:pt idx="1936">
                  <c:v>32.266666666666119</c:v>
                </c:pt>
                <c:pt idx="1937">
                  <c:v>32.283333333332784</c:v>
                </c:pt>
                <c:pt idx="1938">
                  <c:v>32.29999999999945</c:v>
                </c:pt>
                <c:pt idx="1939">
                  <c:v>32.316666666666116</c:v>
                </c:pt>
                <c:pt idx="1940">
                  <c:v>32.333333333332781</c:v>
                </c:pt>
                <c:pt idx="1941">
                  <c:v>32.349999999999447</c:v>
                </c:pt>
                <c:pt idx="1942">
                  <c:v>32.366666666666113</c:v>
                </c:pt>
                <c:pt idx="1943">
                  <c:v>32.383333333332779</c:v>
                </c:pt>
                <c:pt idx="1944">
                  <c:v>32.399999999999444</c:v>
                </c:pt>
                <c:pt idx="1945">
                  <c:v>32.41666666666611</c:v>
                </c:pt>
                <c:pt idx="1946">
                  <c:v>32.433333333332776</c:v>
                </c:pt>
                <c:pt idx="1947">
                  <c:v>32.449999999999442</c:v>
                </c:pt>
                <c:pt idx="1948">
                  <c:v>32.466666666666107</c:v>
                </c:pt>
                <c:pt idx="1949">
                  <c:v>32.483333333332773</c:v>
                </c:pt>
                <c:pt idx="1950">
                  <c:v>32.499999999999439</c:v>
                </c:pt>
                <c:pt idx="1951">
                  <c:v>32.516666666666104</c:v>
                </c:pt>
                <c:pt idx="1952">
                  <c:v>32.53333333333277</c:v>
                </c:pt>
                <c:pt idx="1953">
                  <c:v>32.549999999999436</c:v>
                </c:pt>
                <c:pt idx="1954">
                  <c:v>32.566666666666102</c:v>
                </c:pt>
                <c:pt idx="1955">
                  <c:v>32.583333333332767</c:v>
                </c:pt>
                <c:pt idx="1956">
                  <c:v>32.599999999999433</c:v>
                </c:pt>
                <c:pt idx="1957">
                  <c:v>32.616666666666099</c:v>
                </c:pt>
                <c:pt idx="1958">
                  <c:v>32.633333333332764</c:v>
                </c:pt>
                <c:pt idx="1959">
                  <c:v>32.64999999999943</c:v>
                </c:pt>
                <c:pt idx="1960">
                  <c:v>32.666666666666096</c:v>
                </c:pt>
                <c:pt idx="1961">
                  <c:v>32.683333333332762</c:v>
                </c:pt>
                <c:pt idx="1962">
                  <c:v>32.699999999999427</c:v>
                </c:pt>
                <c:pt idx="1963">
                  <c:v>32.716666666666093</c:v>
                </c:pt>
                <c:pt idx="1964">
                  <c:v>32.733333333332759</c:v>
                </c:pt>
                <c:pt idx="1965">
                  <c:v>32.749999999999424</c:v>
                </c:pt>
                <c:pt idx="1966">
                  <c:v>32.76666666666609</c:v>
                </c:pt>
                <c:pt idx="1967">
                  <c:v>32.783333333332756</c:v>
                </c:pt>
                <c:pt idx="1968">
                  <c:v>32.799999999999422</c:v>
                </c:pt>
                <c:pt idx="1969">
                  <c:v>32.816666666666087</c:v>
                </c:pt>
                <c:pt idx="1970">
                  <c:v>32.833333333332753</c:v>
                </c:pt>
                <c:pt idx="1971">
                  <c:v>32.849999999999419</c:v>
                </c:pt>
                <c:pt idx="1972">
                  <c:v>32.866666666666084</c:v>
                </c:pt>
                <c:pt idx="1973">
                  <c:v>32.88333333333275</c:v>
                </c:pt>
                <c:pt idx="1974">
                  <c:v>32.899999999999416</c:v>
                </c:pt>
                <c:pt idx="1975">
                  <c:v>32.916666666666082</c:v>
                </c:pt>
                <c:pt idx="1976">
                  <c:v>32.933333333332747</c:v>
                </c:pt>
                <c:pt idx="1977">
                  <c:v>32.949999999999413</c:v>
                </c:pt>
                <c:pt idx="1978">
                  <c:v>32.966666666666079</c:v>
                </c:pt>
                <c:pt idx="1979">
                  <c:v>32.983333333332745</c:v>
                </c:pt>
                <c:pt idx="1980">
                  <c:v>32.99999999999941</c:v>
                </c:pt>
                <c:pt idx="1981">
                  <c:v>33.016666666666076</c:v>
                </c:pt>
                <c:pt idx="1982">
                  <c:v>33.033333333332742</c:v>
                </c:pt>
                <c:pt idx="1983">
                  <c:v>33.049999999999407</c:v>
                </c:pt>
                <c:pt idx="1984">
                  <c:v>33.066666666666073</c:v>
                </c:pt>
                <c:pt idx="1985">
                  <c:v>33.083333333332739</c:v>
                </c:pt>
                <c:pt idx="1986">
                  <c:v>33.099999999999405</c:v>
                </c:pt>
                <c:pt idx="1987">
                  <c:v>33.11666666666607</c:v>
                </c:pt>
                <c:pt idx="1988">
                  <c:v>33.133333333332736</c:v>
                </c:pt>
                <c:pt idx="1989">
                  <c:v>33.149999999999402</c:v>
                </c:pt>
                <c:pt idx="1990">
                  <c:v>33.166666666666067</c:v>
                </c:pt>
                <c:pt idx="1991">
                  <c:v>33.183333333332733</c:v>
                </c:pt>
                <c:pt idx="1992">
                  <c:v>33.199999999999399</c:v>
                </c:pt>
                <c:pt idx="1993">
                  <c:v>33.216666666666065</c:v>
                </c:pt>
                <c:pt idx="1994">
                  <c:v>33.23333333333273</c:v>
                </c:pt>
                <c:pt idx="1995">
                  <c:v>33.249999999999396</c:v>
                </c:pt>
                <c:pt idx="1996">
                  <c:v>33.266666666666062</c:v>
                </c:pt>
                <c:pt idx="1997">
                  <c:v>33.283333333332727</c:v>
                </c:pt>
                <c:pt idx="1998">
                  <c:v>33.299999999999393</c:v>
                </c:pt>
                <c:pt idx="1999">
                  <c:v>33.316666666666059</c:v>
                </c:pt>
                <c:pt idx="2000">
                  <c:v>33.333333333332725</c:v>
                </c:pt>
                <c:pt idx="2001">
                  <c:v>33.34999999999939</c:v>
                </c:pt>
                <c:pt idx="2002">
                  <c:v>33.366666666666056</c:v>
                </c:pt>
                <c:pt idx="2003">
                  <c:v>33.383333333332722</c:v>
                </c:pt>
                <c:pt idx="2004">
                  <c:v>33.399999999999388</c:v>
                </c:pt>
                <c:pt idx="2005">
                  <c:v>33.416666666666053</c:v>
                </c:pt>
                <c:pt idx="2006">
                  <c:v>33.433333333332719</c:v>
                </c:pt>
                <c:pt idx="2007">
                  <c:v>33.449999999999385</c:v>
                </c:pt>
                <c:pt idx="2008">
                  <c:v>33.46666666666605</c:v>
                </c:pt>
                <c:pt idx="2009">
                  <c:v>33.483333333332716</c:v>
                </c:pt>
                <c:pt idx="2010">
                  <c:v>33.499999999999382</c:v>
                </c:pt>
                <c:pt idx="2011">
                  <c:v>33.516666666666048</c:v>
                </c:pt>
                <c:pt idx="2012">
                  <c:v>33.533333333332713</c:v>
                </c:pt>
                <c:pt idx="2013">
                  <c:v>33.549999999999379</c:v>
                </c:pt>
                <c:pt idx="2014">
                  <c:v>33.566666666666045</c:v>
                </c:pt>
                <c:pt idx="2015">
                  <c:v>33.58333333333271</c:v>
                </c:pt>
                <c:pt idx="2016">
                  <c:v>33.599999999999376</c:v>
                </c:pt>
                <c:pt idx="2017">
                  <c:v>33.616666666666042</c:v>
                </c:pt>
                <c:pt idx="2018">
                  <c:v>33.633333333332708</c:v>
                </c:pt>
                <c:pt idx="2019">
                  <c:v>33.649999999999373</c:v>
                </c:pt>
                <c:pt idx="2020">
                  <c:v>33.666666666666039</c:v>
                </c:pt>
                <c:pt idx="2021">
                  <c:v>33.683333333332705</c:v>
                </c:pt>
                <c:pt idx="2022">
                  <c:v>33.69999999999937</c:v>
                </c:pt>
                <c:pt idx="2023">
                  <c:v>33.716666666666036</c:v>
                </c:pt>
                <c:pt idx="2024">
                  <c:v>33.733333333332702</c:v>
                </c:pt>
                <c:pt idx="2025">
                  <c:v>33.749999999999368</c:v>
                </c:pt>
                <c:pt idx="2026">
                  <c:v>33.766666666666033</c:v>
                </c:pt>
                <c:pt idx="2027">
                  <c:v>33.783333333332699</c:v>
                </c:pt>
                <c:pt idx="2028">
                  <c:v>33.799999999999365</c:v>
                </c:pt>
                <c:pt idx="2029">
                  <c:v>33.81666666666603</c:v>
                </c:pt>
                <c:pt idx="2030">
                  <c:v>33.833333333332696</c:v>
                </c:pt>
                <c:pt idx="2031">
                  <c:v>33.849999999999362</c:v>
                </c:pt>
                <c:pt idx="2032">
                  <c:v>33.866666666666028</c:v>
                </c:pt>
                <c:pt idx="2033">
                  <c:v>33.883333333332693</c:v>
                </c:pt>
                <c:pt idx="2034">
                  <c:v>33.899999999999359</c:v>
                </c:pt>
                <c:pt idx="2035">
                  <c:v>33.916666666666025</c:v>
                </c:pt>
                <c:pt idx="2036">
                  <c:v>33.933333333332691</c:v>
                </c:pt>
                <c:pt idx="2037">
                  <c:v>33.949999999999356</c:v>
                </c:pt>
                <c:pt idx="2038">
                  <c:v>33.966666666666022</c:v>
                </c:pt>
                <c:pt idx="2039">
                  <c:v>33.983333333332688</c:v>
                </c:pt>
                <c:pt idx="2040">
                  <c:v>33.999999999999353</c:v>
                </c:pt>
                <c:pt idx="2041">
                  <c:v>34.016666666666019</c:v>
                </c:pt>
                <c:pt idx="2042">
                  <c:v>34.033333333332685</c:v>
                </c:pt>
                <c:pt idx="2043">
                  <c:v>34.049999999999351</c:v>
                </c:pt>
                <c:pt idx="2044">
                  <c:v>34.066666666666016</c:v>
                </c:pt>
                <c:pt idx="2045">
                  <c:v>34.083333333332682</c:v>
                </c:pt>
                <c:pt idx="2046">
                  <c:v>34.099999999999348</c:v>
                </c:pt>
                <c:pt idx="2047">
                  <c:v>34.116666666666013</c:v>
                </c:pt>
                <c:pt idx="2048">
                  <c:v>34.133333333332679</c:v>
                </c:pt>
                <c:pt idx="2049">
                  <c:v>34.149999999999345</c:v>
                </c:pt>
                <c:pt idx="2050">
                  <c:v>34.166666666666011</c:v>
                </c:pt>
                <c:pt idx="2051">
                  <c:v>34.183333333332676</c:v>
                </c:pt>
                <c:pt idx="2052">
                  <c:v>34.199999999999342</c:v>
                </c:pt>
                <c:pt idx="2053">
                  <c:v>34.216666666666008</c:v>
                </c:pt>
                <c:pt idx="2054">
                  <c:v>34.233333333332673</c:v>
                </c:pt>
                <c:pt idx="2055">
                  <c:v>34.249999999999339</c:v>
                </c:pt>
                <c:pt idx="2056">
                  <c:v>34.266666666666005</c:v>
                </c:pt>
                <c:pt idx="2057">
                  <c:v>34.283333333332671</c:v>
                </c:pt>
                <c:pt idx="2058">
                  <c:v>34.299999999999336</c:v>
                </c:pt>
                <c:pt idx="2059">
                  <c:v>34.316666666666002</c:v>
                </c:pt>
                <c:pt idx="2060">
                  <c:v>34.333333333332668</c:v>
                </c:pt>
                <c:pt idx="2061">
                  <c:v>34.349999999999334</c:v>
                </c:pt>
                <c:pt idx="2062">
                  <c:v>34.366666666665999</c:v>
                </c:pt>
                <c:pt idx="2063">
                  <c:v>34.383333333332665</c:v>
                </c:pt>
                <c:pt idx="2064">
                  <c:v>34.399999999999331</c:v>
                </c:pt>
                <c:pt idx="2065">
                  <c:v>34.416666666665996</c:v>
                </c:pt>
                <c:pt idx="2066">
                  <c:v>34.433333333332662</c:v>
                </c:pt>
                <c:pt idx="2067">
                  <c:v>34.449999999999328</c:v>
                </c:pt>
                <c:pt idx="2068">
                  <c:v>34.466666666665994</c:v>
                </c:pt>
                <c:pt idx="2069">
                  <c:v>34.483333333332659</c:v>
                </c:pt>
                <c:pt idx="2070">
                  <c:v>34.499999999999325</c:v>
                </c:pt>
                <c:pt idx="2071">
                  <c:v>34.516666666665991</c:v>
                </c:pt>
                <c:pt idx="2072">
                  <c:v>34.533333333332656</c:v>
                </c:pt>
                <c:pt idx="2073">
                  <c:v>34.549999999999322</c:v>
                </c:pt>
                <c:pt idx="2074">
                  <c:v>34.566666666665988</c:v>
                </c:pt>
                <c:pt idx="2075">
                  <c:v>34.583333333332654</c:v>
                </c:pt>
                <c:pt idx="2076">
                  <c:v>34.599999999999319</c:v>
                </c:pt>
                <c:pt idx="2077">
                  <c:v>34.616666666665985</c:v>
                </c:pt>
                <c:pt idx="2078">
                  <c:v>34.633333333332651</c:v>
                </c:pt>
                <c:pt idx="2079">
                  <c:v>34.649999999999316</c:v>
                </c:pt>
                <c:pt idx="2080">
                  <c:v>34.666666666665982</c:v>
                </c:pt>
                <c:pt idx="2081">
                  <c:v>34.683333333332648</c:v>
                </c:pt>
                <c:pt idx="2082">
                  <c:v>34.699999999999314</c:v>
                </c:pt>
                <c:pt idx="2083">
                  <c:v>34.716666666665979</c:v>
                </c:pt>
                <c:pt idx="2084">
                  <c:v>34.733333333332645</c:v>
                </c:pt>
                <c:pt idx="2085">
                  <c:v>34.749999999999311</c:v>
                </c:pt>
                <c:pt idx="2086">
                  <c:v>34.766666666665976</c:v>
                </c:pt>
                <c:pt idx="2087">
                  <c:v>34.783333333332642</c:v>
                </c:pt>
                <c:pt idx="2088">
                  <c:v>34.799999999999308</c:v>
                </c:pt>
                <c:pt idx="2089">
                  <c:v>34.816666666665974</c:v>
                </c:pt>
                <c:pt idx="2090">
                  <c:v>34.833333333332639</c:v>
                </c:pt>
                <c:pt idx="2091">
                  <c:v>34.849999999999305</c:v>
                </c:pt>
                <c:pt idx="2092">
                  <c:v>34.866666666665971</c:v>
                </c:pt>
                <c:pt idx="2093">
                  <c:v>34.883333333332637</c:v>
                </c:pt>
                <c:pt idx="2094">
                  <c:v>34.899999999999302</c:v>
                </c:pt>
                <c:pt idx="2095">
                  <c:v>34.916666666665968</c:v>
                </c:pt>
                <c:pt idx="2096">
                  <c:v>34.933333333332634</c:v>
                </c:pt>
                <c:pt idx="2097">
                  <c:v>34.949999999999299</c:v>
                </c:pt>
                <c:pt idx="2098">
                  <c:v>34.966666666665965</c:v>
                </c:pt>
                <c:pt idx="2099">
                  <c:v>34.983333333332631</c:v>
                </c:pt>
                <c:pt idx="2100">
                  <c:v>34.999999999999297</c:v>
                </c:pt>
                <c:pt idx="2101">
                  <c:v>35.016666666665962</c:v>
                </c:pt>
                <c:pt idx="2102">
                  <c:v>35.033333333332628</c:v>
                </c:pt>
                <c:pt idx="2103">
                  <c:v>35.049999999999294</c:v>
                </c:pt>
                <c:pt idx="2104">
                  <c:v>35.066666666665959</c:v>
                </c:pt>
                <c:pt idx="2105">
                  <c:v>35.083333333332625</c:v>
                </c:pt>
                <c:pt idx="2106">
                  <c:v>35.099999999999291</c:v>
                </c:pt>
                <c:pt idx="2107">
                  <c:v>35.116666666665957</c:v>
                </c:pt>
                <c:pt idx="2108">
                  <c:v>35.133333333332622</c:v>
                </c:pt>
                <c:pt idx="2109">
                  <c:v>35.149999999999288</c:v>
                </c:pt>
                <c:pt idx="2110">
                  <c:v>35.166666666665954</c:v>
                </c:pt>
                <c:pt idx="2111">
                  <c:v>35.183333333332619</c:v>
                </c:pt>
                <c:pt idx="2112">
                  <c:v>35.199999999999285</c:v>
                </c:pt>
                <c:pt idx="2113">
                  <c:v>35.216666666665951</c:v>
                </c:pt>
                <c:pt idx="2114">
                  <c:v>35.233333333332617</c:v>
                </c:pt>
                <c:pt idx="2115">
                  <c:v>35.249999999999282</c:v>
                </c:pt>
                <c:pt idx="2116">
                  <c:v>35.266666666665948</c:v>
                </c:pt>
                <c:pt idx="2117">
                  <c:v>35.283333333332614</c:v>
                </c:pt>
                <c:pt idx="2118">
                  <c:v>35.29999999999928</c:v>
                </c:pt>
                <c:pt idx="2119">
                  <c:v>35.316666666665945</c:v>
                </c:pt>
                <c:pt idx="2120">
                  <c:v>35.333333333332611</c:v>
                </c:pt>
                <c:pt idx="2121">
                  <c:v>35.349999999999277</c:v>
                </c:pt>
                <c:pt idx="2122">
                  <c:v>35.366666666665942</c:v>
                </c:pt>
                <c:pt idx="2123">
                  <c:v>35.383333333332608</c:v>
                </c:pt>
                <c:pt idx="2124">
                  <c:v>35.399999999999274</c:v>
                </c:pt>
                <c:pt idx="2125">
                  <c:v>35.41666666666594</c:v>
                </c:pt>
                <c:pt idx="2126">
                  <c:v>35.433333333332605</c:v>
                </c:pt>
                <c:pt idx="2127">
                  <c:v>35.449999999999271</c:v>
                </c:pt>
                <c:pt idx="2128">
                  <c:v>35.466666666665937</c:v>
                </c:pt>
                <c:pt idx="2129">
                  <c:v>35.483333333332602</c:v>
                </c:pt>
                <c:pt idx="2130">
                  <c:v>35.499999999999268</c:v>
                </c:pt>
                <c:pt idx="2131">
                  <c:v>35.516666666665934</c:v>
                </c:pt>
                <c:pt idx="2132">
                  <c:v>35.5333333333326</c:v>
                </c:pt>
                <c:pt idx="2133">
                  <c:v>35.549999999999265</c:v>
                </c:pt>
                <c:pt idx="2134">
                  <c:v>35.566666666665931</c:v>
                </c:pt>
                <c:pt idx="2135">
                  <c:v>35.583333333332597</c:v>
                </c:pt>
                <c:pt idx="2136">
                  <c:v>35.599999999999262</c:v>
                </c:pt>
                <c:pt idx="2137">
                  <c:v>35.616666666665928</c:v>
                </c:pt>
                <c:pt idx="2138">
                  <c:v>35.633333333332594</c:v>
                </c:pt>
                <c:pt idx="2139">
                  <c:v>35.64999999999926</c:v>
                </c:pt>
                <c:pt idx="2140">
                  <c:v>35.666666666665925</c:v>
                </c:pt>
                <c:pt idx="2141">
                  <c:v>35.683333333332591</c:v>
                </c:pt>
                <c:pt idx="2142">
                  <c:v>35.699999999999257</c:v>
                </c:pt>
                <c:pt idx="2143">
                  <c:v>35.716666666665922</c:v>
                </c:pt>
                <c:pt idx="2144">
                  <c:v>35.733333333332588</c:v>
                </c:pt>
                <c:pt idx="2145">
                  <c:v>35.749999999999254</c:v>
                </c:pt>
                <c:pt idx="2146">
                  <c:v>35.76666666666592</c:v>
                </c:pt>
                <c:pt idx="2147">
                  <c:v>35.783333333332585</c:v>
                </c:pt>
                <c:pt idx="2148">
                  <c:v>35.799999999999251</c:v>
                </c:pt>
                <c:pt idx="2149">
                  <c:v>35.816666666665917</c:v>
                </c:pt>
                <c:pt idx="2150">
                  <c:v>35.833333333332583</c:v>
                </c:pt>
                <c:pt idx="2151">
                  <c:v>35.849999999999248</c:v>
                </c:pt>
                <c:pt idx="2152">
                  <c:v>35.866666666665914</c:v>
                </c:pt>
                <c:pt idx="2153">
                  <c:v>35.88333333333258</c:v>
                </c:pt>
                <c:pt idx="2154">
                  <c:v>35.899999999999245</c:v>
                </c:pt>
                <c:pt idx="2155">
                  <c:v>35.916666666665911</c:v>
                </c:pt>
                <c:pt idx="2156">
                  <c:v>35.933333333332577</c:v>
                </c:pt>
                <c:pt idx="2157">
                  <c:v>35.949999999999243</c:v>
                </c:pt>
                <c:pt idx="2158">
                  <c:v>35.966666666665908</c:v>
                </c:pt>
                <c:pt idx="2159">
                  <c:v>35.983333333332574</c:v>
                </c:pt>
                <c:pt idx="2160">
                  <c:v>35.99999999999924</c:v>
                </c:pt>
                <c:pt idx="2161">
                  <c:v>36.016666666665905</c:v>
                </c:pt>
                <c:pt idx="2162">
                  <c:v>36.033333333332571</c:v>
                </c:pt>
                <c:pt idx="2163">
                  <c:v>36.049999999999237</c:v>
                </c:pt>
                <c:pt idx="2164">
                  <c:v>36.066666666665903</c:v>
                </c:pt>
                <c:pt idx="2165">
                  <c:v>36.083333333332568</c:v>
                </c:pt>
                <c:pt idx="2166">
                  <c:v>36.099999999999234</c:v>
                </c:pt>
                <c:pt idx="2167">
                  <c:v>36.1166666666659</c:v>
                </c:pt>
                <c:pt idx="2168">
                  <c:v>36.133333333332565</c:v>
                </c:pt>
                <c:pt idx="2169">
                  <c:v>36.149999999999231</c:v>
                </c:pt>
                <c:pt idx="2170">
                  <c:v>36.166666666665897</c:v>
                </c:pt>
                <c:pt idx="2171">
                  <c:v>36.183333333332563</c:v>
                </c:pt>
                <c:pt idx="2172">
                  <c:v>36.199999999999228</c:v>
                </c:pt>
                <c:pt idx="2173">
                  <c:v>36.216666666665894</c:v>
                </c:pt>
                <c:pt idx="2174">
                  <c:v>36.23333333333256</c:v>
                </c:pt>
                <c:pt idx="2175">
                  <c:v>36.249999999999226</c:v>
                </c:pt>
                <c:pt idx="2176">
                  <c:v>36.266666666665891</c:v>
                </c:pt>
                <c:pt idx="2177">
                  <c:v>36.283333333332557</c:v>
                </c:pt>
                <c:pt idx="2178">
                  <c:v>36.299999999999223</c:v>
                </c:pt>
                <c:pt idx="2179">
                  <c:v>36.316666666665888</c:v>
                </c:pt>
                <c:pt idx="2180">
                  <c:v>36.333333333332554</c:v>
                </c:pt>
                <c:pt idx="2181">
                  <c:v>36.34999999999922</c:v>
                </c:pt>
                <c:pt idx="2182">
                  <c:v>36.366666666665886</c:v>
                </c:pt>
                <c:pt idx="2183">
                  <c:v>36.383333333332551</c:v>
                </c:pt>
                <c:pt idx="2184">
                  <c:v>36.399999999999217</c:v>
                </c:pt>
                <c:pt idx="2185">
                  <c:v>36.416666666665883</c:v>
                </c:pt>
                <c:pt idx="2186">
                  <c:v>36.433333333332548</c:v>
                </c:pt>
                <c:pt idx="2187">
                  <c:v>36.449999999999214</c:v>
                </c:pt>
                <c:pt idx="2188">
                  <c:v>36.46666666666588</c:v>
                </c:pt>
                <c:pt idx="2189">
                  <c:v>36.483333333332546</c:v>
                </c:pt>
                <c:pt idx="2190">
                  <c:v>36.499999999999211</c:v>
                </c:pt>
                <c:pt idx="2191">
                  <c:v>36.516666666665877</c:v>
                </c:pt>
                <c:pt idx="2192">
                  <c:v>36.533333333332543</c:v>
                </c:pt>
                <c:pt idx="2193">
                  <c:v>36.549999999999208</c:v>
                </c:pt>
                <c:pt idx="2194">
                  <c:v>36.566666666665874</c:v>
                </c:pt>
                <c:pt idx="2195">
                  <c:v>36.58333333333254</c:v>
                </c:pt>
                <c:pt idx="2196">
                  <c:v>36.599999999999206</c:v>
                </c:pt>
                <c:pt idx="2197">
                  <c:v>36.616666666665871</c:v>
                </c:pt>
                <c:pt idx="2198">
                  <c:v>36.633333333332537</c:v>
                </c:pt>
                <c:pt idx="2199">
                  <c:v>36.649999999999203</c:v>
                </c:pt>
                <c:pt idx="2200">
                  <c:v>36.666666666665868</c:v>
                </c:pt>
                <c:pt idx="2201">
                  <c:v>36.683333333332534</c:v>
                </c:pt>
                <c:pt idx="2202">
                  <c:v>36.6999999999992</c:v>
                </c:pt>
                <c:pt idx="2203">
                  <c:v>36.716666666665866</c:v>
                </c:pt>
                <c:pt idx="2204">
                  <c:v>36.733333333332531</c:v>
                </c:pt>
                <c:pt idx="2205">
                  <c:v>36.749999999999197</c:v>
                </c:pt>
                <c:pt idx="2206">
                  <c:v>36.766666666665863</c:v>
                </c:pt>
                <c:pt idx="2207">
                  <c:v>36.783333333332529</c:v>
                </c:pt>
                <c:pt idx="2208">
                  <c:v>36.799999999999194</c:v>
                </c:pt>
                <c:pt idx="2209">
                  <c:v>36.81666666666586</c:v>
                </c:pt>
                <c:pt idx="2210">
                  <c:v>36.833333333332526</c:v>
                </c:pt>
                <c:pt idx="2211">
                  <c:v>36.849999999999191</c:v>
                </c:pt>
                <c:pt idx="2212">
                  <c:v>36.866666666665857</c:v>
                </c:pt>
                <c:pt idx="2213">
                  <c:v>36.883333333332523</c:v>
                </c:pt>
                <c:pt idx="2214">
                  <c:v>36.899999999999189</c:v>
                </c:pt>
                <c:pt idx="2215">
                  <c:v>36.916666666665854</c:v>
                </c:pt>
                <c:pt idx="2216">
                  <c:v>36.93333333333252</c:v>
                </c:pt>
                <c:pt idx="2217">
                  <c:v>36.949999999999186</c:v>
                </c:pt>
                <c:pt idx="2218">
                  <c:v>36.966666666665851</c:v>
                </c:pt>
                <c:pt idx="2219">
                  <c:v>36.983333333332517</c:v>
                </c:pt>
                <c:pt idx="2220">
                  <c:v>36.999999999999183</c:v>
                </c:pt>
                <c:pt idx="2221">
                  <c:v>37.016666666665849</c:v>
                </c:pt>
                <c:pt idx="2222">
                  <c:v>37.033333333332514</c:v>
                </c:pt>
                <c:pt idx="2223">
                  <c:v>37.04999999999918</c:v>
                </c:pt>
                <c:pt idx="2224">
                  <c:v>37.066666666665846</c:v>
                </c:pt>
                <c:pt idx="2225">
                  <c:v>37.083333333332511</c:v>
                </c:pt>
                <c:pt idx="2226">
                  <c:v>37.099999999999177</c:v>
                </c:pt>
                <c:pt idx="2227">
                  <c:v>37.116666666665843</c:v>
                </c:pt>
                <c:pt idx="2228">
                  <c:v>37.133333333332509</c:v>
                </c:pt>
                <c:pt idx="2229">
                  <c:v>37.149999999999174</c:v>
                </c:pt>
                <c:pt idx="2230">
                  <c:v>37.16666666666584</c:v>
                </c:pt>
                <c:pt idx="2231">
                  <c:v>37.183333333332506</c:v>
                </c:pt>
                <c:pt idx="2232">
                  <c:v>37.199999999999172</c:v>
                </c:pt>
                <c:pt idx="2233">
                  <c:v>37.216666666665837</c:v>
                </c:pt>
                <c:pt idx="2234">
                  <c:v>37.233333333332503</c:v>
                </c:pt>
                <c:pt idx="2235">
                  <c:v>37.249999999999169</c:v>
                </c:pt>
                <c:pt idx="2236">
                  <c:v>37.266666666665834</c:v>
                </c:pt>
                <c:pt idx="2237">
                  <c:v>37.2833333333325</c:v>
                </c:pt>
                <c:pt idx="2238">
                  <c:v>37.299999999999166</c:v>
                </c:pt>
                <c:pt idx="2239">
                  <c:v>37.316666666665832</c:v>
                </c:pt>
                <c:pt idx="2240">
                  <c:v>37.333333333332497</c:v>
                </c:pt>
                <c:pt idx="2241">
                  <c:v>37.349999999999163</c:v>
                </c:pt>
                <c:pt idx="2242">
                  <c:v>37.366666666665829</c:v>
                </c:pt>
                <c:pt idx="2243">
                  <c:v>37.383333333332494</c:v>
                </c:pt>
                <c:pt idx="2244">
                  <c:v>37.39999999999916</c:v>
                </c:pt>
                <c:pt idx="2245">
                  <c:v>37.416666666665826</c:v>
                </c:pt>
                <c:pt idx="2246">
                  <c:v>37.433333333332492</c:v>
                </c:pt>
                <c:pt idx="2247">
                  <c:v>37.449999999999157</c:v>
                </c:pt>
                <c:pt idx="2248">
                  <c:v>37.466666666665823</c:v>
                </c:pt>
                <c:pt idx="2249">
                  <c:v>37.483333333332489</c:v>
                </c:pt>
                <c:pt idx="2250">
                  <c:v>37.499999999999154</c:v>
                </c:pt>
                <c:pt idx="2251">
                  <c:v>37.51666666666582</c:v>
                </c:pt>
                <c:pt idx="2252">
                  <c:v>37.533333333332486</c:v>
                </c:pt>
                <c:pt idx="2253">
                  <c:v>37.549999999999152</c:v>
                </c:pt>
                <c:pt idx="2254">
                  <c:v>37.566666666665817</c:v>
                </c:pt>
                <c:pt idx="2255">
                  <c:v>37.583333333332483</c:v>
                </c:pt>
                <c:pt idx="2256">
                  <c:v>37.599999999999149</c:v>
                </c:pt>
                <c:pt idx="2257">
                  <c:v>37.616666666665814</c:v>
                </c:pt>
                <c:pt idx="2258">
                  <c:v>37.63333333333248</c:v>
                </c:pt>
                <c:pt idx="2259">
                  <c:v>37.649999999999146</c:v>
                </c:pt>
                <c:pt idx="2260">
                  <c:v>37.666666666665812</c:v>
                </c:pt>
                <c:pt idx="2261">
                  <c:v>37.683333333332477</c:v>
                </c:pt>
                <c:pt idx="2262">
                  <c:v>37.699999999999143</c:v>
                </c:pt>
                <c:pt idx="2263">
                  <c:v>37.716666666665809</c:v>
                </c:pt>
                <c:pt idx="2264">
                  <c:v>37.733333333332475</c:v>
                </c:pt>
                <c:pt idx="2265">
                  <c:v>37.74999999999914</c:v>
                </c:pt>
                <c:pt idx="2266">
                  <c:v>37.766666666665806</c:v>
                </c:pt>
                <c:pt idx="2267">
                  <c:v>37.783333333332472</c:v>
                </c:pt>
                <c:pt idx="2268">
                  <c:v>37.799999999999137</c:v>
                </c:pt>
                <c:pt idx="2269">
                  <c:v>37.816666666665803</c:v>
                </c:pt>
                <c:pt idx="2270">
                  <c:v>37.833333333332469</c:v>
                </c:pt>
                <c:pt idx="2271">
                  <c:v>37.849999999999135</c:v>
                </c:pt>
                <c:pt idx="2272">
                  <c:v>37.8666666666658</c:v>
                </c:pt>
                <c:pt idx="2273">
                  <c:v>37.883333333332466</c:v>
                </c:pt>
                <c:pt idx="2274">
                  <c:v>37.899999999999132</c:v>
                </c:pt>
                <c:pt idx="2275">
                  <c:v>37.916666666665797</c:v>
                </c:pt>
                <c:pt idx="2276">
                  <c:v>37.933333333332463</c:v>
                </c:pt>
                <c:pt idx="2277">
                  <c:v>37.949999999999129</c:v>
                </c:pt>
                <c:pt idx="2278">
                  <c:v>37.966666666665795</c:v>
                </c:pt>
                <c:pt idx="2279">
                  <c:v>37.98333333333246</c:v>
                </c:pt>
                <c:pt idx="2280">
                  <c:v>37.999999999999126</c:v>
                </c:pt>
                <c:pt idx="2281">
                  <c:v>38.016666666665792</c:v>
                </c:pt>
                <c:pt idx="2282">
                  <c:v>38.033333333332457</c:v>
                </c:pt>
                <c:pt idx="2283">
                  <c:v>38.049999999999123</c:v>
                </c:pt>
                <c:pt idx="2284">
                  <c:v>38.066666666665789</c:v>
                </c:pt>
                <c:pt idx="2285">
                  <c:v>38.083333333332455</c:v>
                </c:pt>
                <c:pt idx="2286">
                  <c:v>38.09999999999912</c:v>
                </c:pt>
                <c:pt idx="2287">
                  <c:v>38.116666666665786</c:v>
                </c:pt>
                <c:pt idx="2288">
                  <c:v>38.133333333332452</c:v>
                </c:pt>
                <c:pt idx="2289">
                  <c:v>38.149999999999118</c:v>
                </c:pt>
                <c:pt idx="2290">
                  <c:v>38.166666666665783</c:v>
                </c:pt>
                <c:pt idx="2291">
                  <c:v>38.183333333332449</c:v>
                </c:pt>
                <c:pt idx="2292">
                  <c:v>38.199999999999115</c:v>
                </c:pt>
                <c:pt idx="2293">
                  <c:v>38.21666666666578</c:v>
                </c:pt>
                <c:pt idx="2294">
                  <c:v>38.233333333332446</c:v>
                </c:pt>
                <c:pt idx="2295">
                  <c:v>38.249999999999112</c:v>
                </c:pt>
                <c:pt idx="2296">
                  <c:v>38.266666666665778</c:v>
                </c:pt>
                <c:pt idx="2297">
                  <c:v>38.283333333332443</c:v>
                </c:pt>
                <c:pt idx="2298">
                  <c:v>38.299999999999109</c:v>
                </c:pt>
                <c:pt idx="2299">
                  <c:v>38.316666666665775</c:v>
                </c:pt>
                <c:pt idx="2300">
                  <c:v>38.33333333333244</c:v>
                </c:pt>
                <c:pt idx="2301">
                  <c:v>38.349999999999106</c:v>
                </c:pt>
                <c:pt idx="2302">
                  <c:v>38.366666666665772</c:v>
                </c:pt>
                <c:pt idx="2303">
                  <c:v>38.383333333332438</c:v>
                </c:pt>
                <c:pt idx="2304">
                  <c:v>38.399999999999103</c:v>
                </c:pt>
                <c:pt idx="2305">
                  <c:v>38.416666666665769</c:v>
                </c:pt>
                <c:pt idx="2306">
                  <c:v>38.433333333332435</c:v>
                </c:pt>
                <c:pt idx="2307">
                  <c:v>38.4499999999991</c:v>
                </c:pt>
                <c:pt idx="2308">
                  <c:v>38.466666666665766</c:v>
                </c:pt>
                <c:pt idx="2309">
                  <c:v>38.483333333332432</c:v>
                </c:pt>
                <c:pt idx="2310">
                  <c:v>38.499999999999098</c:v>
                </c:pt>
                <c:pt idx="2311">
                  <c:v>38.516666666665763</c:v>
                </c:pt>
                <c:pt idx="2312">
                  <c:v>38.533333333332429</c:v>
                </c:pt>
                <c:pt idx="2313">
                  <c:v>38.549999999999095</c:v>
                </c:pt>
                <c:pt idx="2314">
                  <c:v>38.56666666666576</c:v>
                </c:pt>
                <c:pt idx="2315">
                  <c:v>38.583333333332426</c:v>
                </c:pt>
                <c:pt idx="2316">
                  <c:v>38.599999999999092</c:v>
                </c:pt>
                <c:pt idx="2317">
                  <c:v>38.616666666665758</c:v>
                </c:pt>
                <c:pt idx="2318">
                  <c:v>38.633333333332423</c:v>
                </c:pt>
                <c:pt idx="2319">
                  <c:v>38.649999999999089</c:v>
                </c:pt>
                <c:pt idx="2320">
                  <c:v>38.666666666665755</c:v>
                </c:pt>
                <c:pt idx="2321">
                  <c:v>38.683333333332421</c:v>
                </c:pt>
                <c:pt idx="2322">
                  <c:v>38.699999999999086</c:v>
                </c:pt>
                <c:pt idx="2323">
                  <c:v>38.716666666665752</c:v>
                </c:pt>
                <c:pt idx="2324">
                  <c:v>38.733333333332418</c:v>
                </c:pt>
                <c:pt idx="2325">
                  <c:v>38.749999999999083</c:v>
                </c:pt>
                <c:pt idx="2326">
                  <c:v>38.766666666665749</c:v>
                </c:pt>
                <c:pt idx="2327">
                  <c:v>38.783333333332415</c:v>
                </c:pt>
                <c:pt idx="2328">
                  <c:v>38.799999999999081</c:v>
                </c:pt>
                <c:pt idx="2329">
                  <c:v>38.816666666665746</c:v>
                </c:pt>
                <c:pt idx="2330">
                  <c:v>38.833333333332412</c:v>
                </c:pt>
                <c:pt idx="2331">
                  <c:v>38.849999999999078</c:v>
                </c:pt>
                <c:pt idx="2332">
                  <c:v>38.866666666665743</c:v>
                </c:pt>
                <c:pt idx="2333">
                  <c:v>38.883333333332409</c:v>
                </c:pt>
                <c:pt idx="2334">
                  <c:v>38.899999999999075</c:v>
                </c:pt>
                <c:pt idx="2335">
                  <c:v>38.916666666665741</c:v>
                </c:pt>
                <c:pt idx="2336">
                  <c:v>38.933333333332406</c:v>
                </c:pt>
                <c:pt idx="2337">
                  <c:v>38.949999999999072</c:v>
                </c:pt>
                <c:pt idx="2338">
                  <c:v>38.966666666665738</c:v>
                </c:pt>
                <c:pt idx="2339">
                  <c:v>38.983333333332403</c:v>
                </c:pt>
                <c:pt idx="2340">
                  <c:v>38.999999999999069</c:v>
                </c:pt>
                <c:pt idx="2341">
                  <c:v>39.016666666665735</c:v>
                </c:pt>
                <c:pt idx="2342">
                  <c:v>39.033333333332401</c:v>
                </c:pt>
                <c:pt idx="2343">
                  <c:v>39.049999999999066</c:v>
                </c:pt>
                <c:pt idx="2344">
                  <c:v>39.066666666665732</c:v>
                </c:pt>
                <c:pt idx="2345">
                  <c:v>39.083333333332398</c:v>
                </c:pt>
                <c:pt idx="2346">
                  <c:v>39.099999999999064</c:v>
                </c:pt>
                <c:pt idx="2347">
                  <c:v>39.116666666665729</c:v>
                </c:pt>
                <c:pt idx="2348">
                  <c:v>39.133333333332395</c:v>
                </c:pt>
                <c:pt idx="2349">
                  <c:v>39.149999999999061</c:v>
                </c:pt>
                <c:pt idx="2350">
                  <c:v>39.166666666665726</c:v>
                </c:pt>
                <c:pt idx="2351">
                  <c:v>39.183333333332392</c:v>
                </c:pt>
                <c:pt idx="2352">
                  <c:v>39.199999999999058</c:v>
                </c:pt>
                <c:pt idx="2353">
                  <c:v>39.216666666665724</c:v>
                </c:pt>
                <c:pt idx="2354">
                  <c:v>39.233333333332389</c:v>
                </c:pt>
                <c:pt idx="2355">
                  <c:v>39.249999999999055</c:v>
                </c:pt>
                <c:pt idx="2356">
                  <c:v>39.266666666665721</c:v>
                </c:pt>
                <c:pt idx="2357">
                  <c:v>39.283333333332386</c:v>
                </c:pt>
                <c:pt idx="2358">
                  <c:v>39.299999999999052</c:v>
                </c:pt>
                <c:pt idx="2359">
                  <c:v>39.316666666665718</c:v>
                </c:pt>
                <c:pt idx="2360">
                  <c:v>39.333333333332384</c:v>
                </c:pt>
                <c:pt idx="2361">
                  <c:v>39.349999999999049</c:v>
                </c:pt>
                <c:pt idx="2362">
                  <c:v>39.366666666665715</c:v>
                </c:pt>
                <c:pt idx="2363">
                  <c:v>39.383333333332381</c:v>
                </c:pt>
                <c:pt idx="2364">
                  <c:v>39.399999999999046</c:v>
                </c:pt>
                <c:pt idx="2365">
                  <c:v>39.416666666665712</c:v>
                </c:pt>
                <c:pt idx="2366">
                  <c:v>39.433333333332378</c:v>
                </c:pt>
                <c:pt idx="2367">
                  <c:v>39.449999999999044</c:v>
                </c:pt>
                <c:pt idx="2368">
                  <c:v>39.466666666665709</c:v>
                </c:pt>
                <c:pt idx="2369">
                  <c:v>39.483333333332375</c:v>
                </c:pt>
                <c:pt idx="2370">
                  <c:v>39.499999999999041</c:v>
                </c:pt>
                <c:pt idx="2371">
                  <c:v>39.516666666665706</c:v>
                </c:pt>
                <c:pt idx="2372">
                  <c:v>39.533333333332372</c:v>
                </c:pt>
                <c:pt idx="2373">
                  <c:v>39.549999999999038</c:v>
                </c:pt>
                <c:pt idx="2374">
                  <c:v>39.566666666665704</c:v>
                </c:pt>
                <c:pt idx="2375">
                  <c:v>39.583333333332369</c:v>
                </c:pt>
                <c:pt idx="2376">
                  <c:v>39.599999999999035</c:v>
                </c:pt>
                <c:pt idx="2377">
                  <c:v>39.616666666665701</c:v>
                </c:pt>
                <c:pt idx="2378">
                  <c:v>39.633333333332367</c:v>
                </c:pt>
                <c:pt idx="2379">
                  <c:v>39.649999999999032</c:v>
                </c:pt>
                <c:pt idx="2380">
                  <c:v>39.666666666665698</c:v>
                </c:pt>
                <c:pt idx="2381">
                  <c:v>39.683333333332364</c:v>
                </c:pt>
                <c:pt idx="2382">
                  <c:v>39.699999999999029</c:v>
                </c:pt>
                <c:pt idx="2383">
                  <c:v>39.716666666665695</c:v>
                </c:pt>
                <c:pt idx="2384">
                  <c:v>39.733333333332361</c:v>
                </c:pt>
                <c:pt idx="2385">
                  <c:v>39.749999999999027</c:v>
                </c:pt>
                <c:pt idx="2386">
                  <c:v>39.766666666665692</c:v>
                </c:pt>
                <c:pt idx="2387">
                  <c:v>39.783333333332358</c:v>
                </c:pt>
                <c:pt idx="2388">
                  <c:v>39.799999999999024</c:v>
                </c:pt>
                <c:pt idx="2389">
                  <c:v>39.816666666665689</c:v>
                </c:pt>
                <c:pt idx="2390">
                  <c:v>39.833333333332355</c:v>
                </c:pt>
                <c:pt idx="2391">
                  <c:v>39.849999999999021</c:v>
                </c:pt>
                <c:pt idx="2392">
                  <c:v>39.866666666665687</c:v>
                </c:pt>
                <c:pt idx="2393">
                  <c:v>39.883333333332352</c:v>
                </c:pt>
                <c:pt idx="2394">
                  <c:v>39.899999999999018</c:v>
                </c:pt>
                <c:pt idx="2395">
                  <c:v>39.916666666665684</c:v>
                </c:pt>
                <c:pt idx="2396">
                  <c:v>39.933333333332349</c:v>
                </c:pt>
                <c:pt idx="2397">
                  <c:v>39.949999999999015</c:v>
                </c:pt>
                <c:pt idx="2398">
                  <c:v>39.966666666665681</c:v>
                </c:pt>
                <c:pt idx="2399">
                  <c:v>39.983333333332347</c:v>
                </c:pt>
                <c:pt idx="2400">
                  <c:v>39.999999999999012</c:v>
                </c:pt>
                <c:pt idx="2401">
                  <c:v>40.016666666665678</c:v>
                </c:pt>
                <c:pt idx="2402">
                  <c:v>40.033333333332344</c:v>
                </c:pt>
                <c:pt idx="2403">
                  <c:v>40.04999999999901</c:v>
                </c:pt>
                <c:pt idx="2404">
                  <c:v>40.066666666665675</c:v>
                </c:pt>
                <c:pt idx="2405">
                  <c:v>40.083333333332341</c:v>
                </c:pt>
                <c:pt idx="2406">
                  <c:v>40.099999999999007</c:v>
                </c:pt>
                <c:pt idx="2407">
                  <c:v>40.116666666665672</c:v>
                </c:pt>
                <c:pt idx="2408">
                  <c:v>40.133333333332338</c:v>
                </c:pt>
                <c:pt idx="2409">
                  <c:v>40.149999999999004</c:v>
                </c:pt>
                <c:pt idx="2410">
                  <c:v>40.16666666666567</c:v>
                </c:pt>
                <c:pt idx="2411">
                  <c:v>40.183333333332335</c:v>
                </c:pt>
                <c:pt idx="2412">
                  <c:v>40.199999999999001</c:v>
                </c:pt>
                <c:pt idx="2413">
                  <c:v>40.216666666665667</c:v>
                </c:pt>
                <c:pt idx="2414">
                  <c:v>40.233333333332332</c:v>
                </c:pt>
                <c:pt idx="2415">
                  <c:v>40.249999999998998</c:v>
                </c:pt>
                <c:pt idx="2416">
                  <c:v>40.266666666665664</c:v>
                </c:pt>
                <c:pt idx="2417">
                  <c:v>40.28333333333233</c:v>
                </c:pt>
                <c:pt idx="2418">
                  <c:v>40.299999999998995</c:v>
                </c:pt>
                <c:pt idx="2419">
                  <c:v>40.316666666665661</c:v>
                </c:pt>
                <c:pt idx="2420">
                  <c:v>40.333333333332327</c:v>
                </c:pt>
                <c:pt idx="2421">
                  <c:v>40.349999999998992</c:v>
                </c:pt>
                <c:pt idx="2422">
                  <c:v>40.366666666665658</c:v>
                </c:pt>
                <c:pt idx="2423">
                  <c:v>40.383333333332324</c:v>
                </c:pt>
                <c:pt idx="2424">
                  <c:v>40.39999999999899</c:v>
                </c:pt>
                <c:pt idx="2425">
                  <c:v>40.416666666665655</c:v>
                </c:pt>
                <c:pt idx="2426">
                  <c:v>40.433333333332321</c:v>
                </c:pt>
                <c:pt idx="2427">
                  <c:v>40.449999999998987</c:v>
                </c:pt>
                <c:pt idx="2428">
                  <c:v>40.466666666665652</c:v>
                </c:pt>
                <c:pt idx="2429">
                  <c:v>40.483333333332318</c:v>
                </c:pt>
                <c:pt idx="2430">
                  <c:v>40.499999999998984</c:v>
                </c:pt>
                <c:pt idx="2431">
                  <c:v>40.51666666666565</c:v>
                </c:pt>
                <c:pt idx="2432">
                  <c:v>40.533333333332315</c:v>
                </c:pt>
                <c:pt idx="2433">
                  <c:v>40.549999999998981</c:v>
                </c:pt>
                <c:pt idx="2434">
                  <c:v>40.566666666665647</c:v>
                </c:pt>
                <c:pt idx="2435">
                  <c:v>40.583333333332313</c:v>
                </c:pt>
                <c:pt idx="2436">
                  <c:v>40.599999999998978</c:v>
                </c:pt>
                <c:pt idx="2437">
                  <c:v>40.616666666665644</c:v>
                </c:pt>
                <c:pt idx="2438">
                  <c:v>40.63333333333231</c:v>
                </c:pt>
                <c:pt idx="2439">
                  <c:v>40.649999999998975</c:v>
                </c:pt>
                <c:pt idx="2440">
                  <c:v>40.666666666665641</c:v>
                </c:pt>
                <c:pt idx="2441">
                  <c:v>40.683333333332307</c:v>
                </c:pt>
                <c:pt idx="2442">
                  <c:v>40.699999999998973</c:v>
                </c:pt>
                <c:pt idx="2443">
                  <c:v>40.716666666665638</c:v>
                </c:pt>
                <c:pt idx="2444">
                  <c:v>40.733333333332304</c:v>
                </c:pt>
                <c:pt idx="2445">
                  <c:v>40.74999999999897</c:v>
                </c:pt>
                <c:pt idx="2446">
                  <c:v>40.766666666665635</c:v>
                </c:pt>
                <c:pt idx="2447">
                  <c:v>40.783333333332301</c:v>
                </c:pt>
                <c:pt idx="2448">
                  <c:v>40.799999999998967</c:v>
                </c:pt>
                <c:pt idx="2449">
                  <c:v>40.816666666665633</c:v>
                </c:pt>
                <c:pt idx="2450">
                  <c:v>40.833333333332298</c:v>
                </c:pt>
                <c:pt idx="2451">
                  <c:v>40.849999999998964</c:v>
                </c:pt>
                <c:pt idx="2452">
                  <c:v>40.86666666666563</c:v>
                </c:pt>
                <c:pt idx="2453">
                  <c:v>40.883333333332295</c:v>
                </c:pt>
                <c:pt idx="2454">
                  <c:v>40.899999999998961</c:v>
                </c:pt>
                <c:pt idx="2455">
                  <c:v>40.916666666665627</c:v>
                </c:pt>
                <c:pt idx="2456">
                  <c:v>40.933333333332293</c:v>
                </c:pt>
                <c:pt idx="2457">
                  <c:v>40.949999999998958</c:v>
                </c:pt>
                <c:pt idx="2458">
                  <c:v>40.966666666665624</c:v>
                </c:pt>
                <c:pt idx="2459">
                  <c:v>40.98333333333229</c:v>
                </c:pt>
                <c:pt idx="2460">
                  <c:v>40.999999999998956</c:v>
                </c:pt>
                <c:pt idx="2461">
                  <c:v>41.016666666665621</c:v>
                </c:pt>
                <c:pt idx="2462">
                  <c:v>41.033333333332287</c:v>
                </c:pt>
                <c:pt idx="2463">
                  <c:v>41.049999999998953</c:v>
                </c:pt>
                <c:pt idx="2464">
                  <c:v>41.066666666665618</c:v>
                </c:pt>
                <c:pt idx="2465">
                  <c:v>41.083333333332284</c:v>
                </c:pt>
                <c:pt idx="2466">
                  <c:v>41.09999999999895</c:v>
                </c:pt>
                <c:pt idx="2467">
                  <c:v>41.116666666665616</c:v>
                </c:pt>
                <c:pt idx="2468">
                  <c:v>41.133333333332281</c:v>
                </c:pt>
                <c:pt idx="2469">
                  <c:v>41.149999999998947</c:v>
                </c:pt>
                <c:pt idx="2470">
                  <c:v>41.166666666665613</c:v>
                </c:pt>
                <c:pt idx="2471">
                  <c:v>41.183333333332278</c:v>
                </c:pt>
                <c:pt idx="2472">
                  <c:v>41.199999999998944</c:v>
                </c:pt>
                <c:pt idx="2473">
                  <c:v>41.21666666666561</c:v>
                </c:pt>
                <c:pt idx="2474">
                  <c:v>41.233333333332276</c:v>
                </c:pt>
                <c:pt idx="2475">
                  <c:v>41.249999999998941</c:v>
                </c:pt>
                <c:pt idx="2476">
                  <c:v>41.266666666665607</c:v>
                </c:pt>
                <c:pt idx="2477">
                  <c:v>41.283333333332273</c:v>
                </c:pt>
                <c:pt idx="2478">
                  <c:v>41.299999999998938</c:v>
                </c:pt>
                <c:pt idx="2479">
                  <c:v>41.316666666665604</c:v>
                </c:pt>
                <c:pt idx="2480">
                  <c:v>41.33333333333227</c:v>
                </c:pt>
                <c:pt idx="2481">
                  <c:v>41.349999999998936</c:v>
                </c:pt>
                <c:pt idx="2482">
                  <c:v>41.366666666665601</c:v>
                </c:pt>
                <c:pt idx="2483">
                  <c:v>41.383333333332267</c:v>
                </c:pt>
                <c:pt idx="2484">
                  <c:v>41.399999999998933</c:v>
                </c:pt>
                <c:pt idx="2485">
                  <c:v>41.416666666665598</c:v>
                </c:pt>
                <c:pt idx="2486">
                  <c:v>41.433333333332264</c:v>
                </c:pt>
                <c:pt idx="2487">
                  <c:v>41.44999999999893</c:v>
                </c:pt>
                <c:pt idx="2488">
                  <c:v>41.466666666665596</c:v>
                </c:pt>
                <c:pt idx="2489">
                  <c:v>41.483333333332261</c:v>
                </c:pt>
                <c:pt idx="2490">
                  <c:v>41.499999999998927</c:v>
                </c:pt>
                <c:pt idx="2491">
                  <c:v>41.516666666665593</c:v>
                </c:pt>
                <c:pt idx="2492">
                  <c:v>41.533333333332259</c:v>
                </c:pt>
                <c:pt idx="2493">
                  <c:v>41.549999999998924</c:v>
                </c:pt>
                <c:pt idx="2494">
                  <c:v>41.56666666666559</c:v>
                </c:pt>
                <c:pt idx="2495">
                  <c:v>41.583333333332256</c:v>
                </c:pt>
                <c:pt idx="2496">
                  <c:v>41.599999999998921</c:v>
                </c:pt>
                <c:pt idx="2497">
                  <c:v>41.616666666665587</c:v>
                </c:pt>
                <c:pt idx="2498">
                  <c:v>41.633333333332253</c:v>
                </c:pt>
                <c:pt idx="2499">
                  <c:v>41.649999999998919</c:v>
                </c:pt>
                <c:pt idx="2500">
                  <c:v>41.666666666665584</c:v>
                </c:pt>
                <c:pt idx="2501">
                  <c:v>41.68333333333225</c:v>
                </c:pt>
                <c:pt idx="2502">
                  <c:v>41.699999999998916</c:v>
                </c:pt>
                <c:pt idx="2503">
                  <c:v>41.716666666665581</c:v>
                </c:pt>
                <c:pt idx="2504">
                  <c:v>41.733333333332247</c:v>
                </c:pt>
                <c:pt idx="2505">
                  <c:v>41.749999999998913</c:v>
                </c:pt>
                <c:pt idx="2506">
                  <c:v>41.766666666665579</c:v>
                </c:pt>
                <c:pt idx="2507">
                  <c:v>41.783333333332244</c:v>
                </c:pt>
                <c:pt idx="2508">
                  <c:v>41.79999999999891</c:v>
                </c:pt>
                <c:pt idx="2509">
                  <c:v>41.816666666665576</c:v>
                </c:pt>
                <c:pt idx="2510">
                  <c:v>41.833333333332241</c:v>
                </c:pt>
                <c:pt idx="2511">
                  <c:v>41.849999999998907</c:v>
                </c:pt>
                <c:pt idx="2512">
                  <c:v>41.866666666665573</c:v>
                </c:pt>
                <c:pt idx="2513">
                  <c:v>41.883333333332239</c:v>
                </c:pt>
                <c:pt idx="2514">
                  <c:v>41.899999999998904</c:v>
                </c:pt>
                <c:pt idx="2515">
                  <c:v>41.91666666666557</c:v>
                </c:pt>
                <c:pt idx="2516">
                  <c:v>41.933333333332236</c:v>
                </c:pt>
                <c:pt idx="2517">
                  <c:v>41.949999999998902</c:v>
                </c:pt>
                <c:pt idx="2518">
                  <c:v>41.966666666665567</c:v>
                </c:pt>
                <c:pt idx="2519">
                  <c:v>41.983333333332233</c:v>
                </c:pt>
                <c:pt idx="2520">
                  <c:v>41.999999999998899</c:v>
                </c:pt>
                <c:pt idx="2521">
                  <c:v>42.016666666665564</c:v>
                </c:pt>
                <c:pt idx="2522">
                  <c:v>42.03333333333223</c:v>
                </c:pt>
                <c:pt idx="2523">
                  <c:v>42.049999999998896</c:v>
                </c:pt>
                <c:pt idx="2524">
                  <c:v>42.066666666665562</c:v>
                </c:pt>
                <c:pt idx="2525">
                  <c:v>42.083333333332227</c:v>
                </c:pt>
                <c:pt idx="2526">
                  <c:v>42.099999999998893</c:v>
                </c:pt>
                <c:pt idx="2527">
                  <c:v>42.116666666665559</c:v>
                </c:pt>
                <c:pt idx="2528">
                  <c:v>42.133333333332224</c:v>
                </c:pt>
                <c:pt idx="2529">
                  <c:v>42.14999999999889</c:v>
                </c:pt>
                <c:pt idx="2530">
                  <c:v>42.166666666665556</c:v>
                </c:pt>
                <c:pt idx="2531">
                  <c:v>42.183333333332222</c:v>
                </c:pt>
                <c:pt idx="2532">
                  <c:v>42.199999999998887</c:v>
                </c:pt>
                <c:pt idx="2533">
                  <c:v>42.216666666665553</c:v>
                </c:pt>
                <c:pt idx="2534">
                  <c:v>42.233333333332219</c:v>
                </c:pt>
                <c:pt idx="2535">
                  <c:v>42.249999999998884</c:v>
                </c:pt>
                <c:pt idx="2536">
                  <c:v>42.26666666666555</c:v>
                </c:pt>
                <c:pt idx="2537">
                  <c:v>42.283333333332216</c:v>
                </c:pt>
                <c:pt idx="2538">
                  <c:v>42.299999999998882</c:v>
                </c:pt>
                <c:pt idx="2539">
                  <c:v>42.316666666665547</c:v>
                </c:pt>
                <c:pt idx="2540">
                  <c:v>42.333333333332213</c:v>
                </c:pt>
                <c:pt idx="2541">
                  <c:v>42.349999999998879</c:v>
                </c:pt>
                <c:pt idx="2542">
                  <c:v>42.366666666665544</c:v>
                </c:pt>
                <c:pt idx="2543">
                  <c:v>42.38333333333221</c:v>
                </c:pt>
                <c:pt idx="2544">
                  <c:v>42.399999999998876</c:v>
                </c:pt>
                <c:pt idx="2545">
                  <c:v>42.416666666665542</c:v>
                </c:pt>
                <c:pt idx="2546">
                  <c:v>42.433333333332207</c:v>
                </c:pt>
                <c:pt idx="2547">
                  <c:v>42.449999999998873</c:v>
                </c:pt>
                <c:pt idx="2548">
                  <c:v>42.466666666665539</c:v>
                </c:pt>
                <c:pt idx="2549">
                  <c:v>42.483333333332205</c:v>
                </c:pt>
                <c:pt idx="2550">
                  <c:v>42.49999999999887</c:v>
                </c:pt>
                <c:pt idx="2551">
                  <c:v>42.516666666665536</c:v>
                </c:pt>
                <c:pt idx="2552">
                  <c:v>42.533333333332202</c:v>
                </c:pt>
                <c:pt idx="2553">
                  <c:v>42.549999999998867</c:v>
                </c:pt>
                <c:pt idx="2554">
                  <c:v>42.566666666665533</c:v>
                </c:pt>
                <c:pt idx="2555">
                  <c:v>42.583333333332199</c:v>
                </c:pt>
                <c:pt idx="2556">
                  <c:v>42.599999999998865</c:v>
                </c:pt>
                <c:pt idx="2557">
                  <c:v>42.61666666666553</c:v>
                </c:pt>
                <c:pt idx="2558">
                  <c:v>42.633333333332196</c:v>
                </c:pt>
                <c:pt idx="2559">
                  <c:v>42.649999999998862</c:v>
                </c:pt>
                <c:pt idx="2560">
                  <c:v>42.666666666665527</c:v>
                </c:pt>
                <c:pt idx="2561">
                  <c:v>42.683333333332193</c:v>
                </c:pt>
                <c:pt idx="2562">
                  <c:v>42.699999999998859</c:v>
                </c:pt>
                <c:pt idx="2563">
                  <c:v>42.716666666665525</c:v>
                </c:pt>
                <c:pt idx="2564">
                  <c:v>42.73333333333219</c:v>
                </c:pt>
                <c:pt idx="2565">
                  <c:v>42.749999999998856</c:v>
                </c:pt>
                <c:pt idx="2566">
                  <c:v>42.766666666665522</c:v>
                </c:pt>
                <c:pt idx="2567">
                  <c:v>42.783333333332187</c:v>
                </c:pt>
                <c:pt idx="2568">
                  <c:v>42.799999999998853</c:v>
                </c:pt>
                <c:pt idx="2569">
                  <c:v>42.816666666665519</c:v>
                </c:pt>
                <c:pt idx="2570">
                  <c:v>42.833333333332185</c:v>
                </c:pt>
                <c:pt idx="2571">
                  <c:v>42.84999999999885</c:v>
                </c:pt>
                <c:pt idx="2572">
                  <c:v>42.866666666665516</c:v>
                </c:pt>
                <c:pt idx="2573">
                  <c:v>42.883333333332182</c:v>
                </c:pt>
                <c:pt idx="2574">
                  <c:v>42.899999999998847</c:v>
                </c:pt>
                <c:pt idx="2575">
                  <c:v>42.916666666665513</c:v>
                </c:pt>
                <c:pt idx="2576">
                  <c:v>42.933333333332179</c:v>
                </c:pt>
                <c:pt idx="2577">
                  <c:v>42.949999999998845</c:v>
                </c:pt>
                <c:pt idx="2578">
                  <c:v>42.96666666666551</c:v>
                </c:pt>
                <c:pt idx="2579">
                  <c:v>42.983333333332176</c:v>
                </c:pt>
                <c:pt idx="2580">
                  <c:v>42.999999999998842</c:v>
                </c:pt>
                <c:pt idx="2581">
                  <c:v>43.016666666665508</c:v>
                </c:pt>
                <c:pt idx="2582">
                  <c:v>43.033333333332173</c:v>
                </c:pt>
                <c:pt idx="2583">
                  <c:v>43.049999999998839</c:v>
                </c:pt>
                <c:pt idx="2584">
                  <c:v>43.066666666665505</c:v>
                </c:pt>
                <c:pt idx="2585">
                  <c:v>43.08333333333217</c:v>
                </c:pt>
                <c:pt idx="2586">
                  <c:v>43.099999999998836</c:v>
                </c:pt>
                <c:pt idx="2587">
                  <c:v>43.116666666665502</c:v>
                </c:pt>
                <c:pt idx="2588">
                  <c:v>43.133333333332168</c:v>
                </c:pt>
                <c:pt idx="2589">
                  <c:v>43.149999999998833</c:v>
                </c:pt>
                <c:pt idx="2590">
                  <c:v>43.166666666665499</c:v>
                </c:pt>
                <c:pt idx="2591">
                  <c:v>43.183333333332165</c:v>
                </c:pt>
                <c:pt idx="2592">
                  <c:v>43.19999999999883</c:v>
                </c:pt>
                <c:pt idx="2593">
                  <c:v>43.216666666665496</c:v>
                </c:pt>
                <c:pt idx="2594">
                  <c:v>43.233333333332162</c:v>
                </c:pt>
                <c:pt idx="2595">
                  <c:v>43.249999999998828</c:v>
                </c:pt>
                <c:pt idx="2596">
                  <c:v>43.266666666665493</c:v>
                </c:pt>
                <c:pt idx="2597">
                  <c:v>43.283333333332159</c:v>
                </c:pt>
                <c:pt idx="2598">
                  <c:v>43.299999999998825</c:v>
                </c:pt>
                <c:pt idx="2599">
                  <c:v>43.31666666666549</c:v>
                </c:pt>
                <c:pt idx="2600">
                  <c:v>43.333333333332156</c:v>
                </c:pt>
                <c:pt idx="2601">
                  <c:v>43.349999999998822</c:v>
                </c:pt>
                <c:pt idx="2602">
                  <c:v>43.366666666665488</c:v>
                </c:pt>
                <c:pt idx="2603">
                  <c:v>43.383333333332153</c:v>
                </c:pt>
                <c:pt idx="2604">
                  <c:v>43.399999999998819</c:v>
                </c:pt>
                <c:pt idx="2605">
                  <c:v>43.416666666665485</c:v>
                </c:pt>
                <c:pt idx="2606">
                  <c:v>43.433333333332151</c:v>
                </c:pt>
                <c:pt idx="2607">
                  <c:v>43.449999999998816</c:v>
                </c:pt>
                <c:pt idx="2608">
                  <c:v>43.466666666665482</c:v>
                </c:pt>
                <c:pt idx="2609">
                  <c:v>43.483333333332148</c:v>
                </c:pt>
                <c:pt idx="2610">
                  <c:v>43.499999999998813</c:v>
                </c:pt>
                <c:pt idx="2611">
                  <c:v>43.516666666665479</c:v>
                </c:pt>
                <c:pt idx="2612">
                  <c:v>43.533333333332145</c:v>
                </c:pt>
                <c:pt idx="2613">
                  <c:v>43.549999999998811</c:v>
                </c:pt>
                <c:pt idx="2614">
                  <c:v>43.566666666665476</c:v>
                </c:pt>
                <c:pt idx="2615">
                  <c:v>43.583333333332142</c:v>
                </c:pt>
                <c:pt idx="2616">
                  <c:v>43.599999999998808</c:v>
                </c:pt>
                <c:pt idx="2617">
                  <c:v>43.616666666665473</c:v>
                </c:pt>
                <c:pt idx="2618">
                  <c:v>43.633333333332139</c:v>
                </c:pt>
                <c:pt idx="2619">
                  <c:v>43.649999999998805</c:v>
                </c:pt>
                <c:pt idx="2620">
                  <c:v>43.666666666665471</c:v>
                </c:pt>
                <c:pt idx="2621">
                  <c:v>43.683333333332136</c:v>
                </c:pt>
              </c:numCache>
            </c:numRef>
          </c:xVal>
          <c:yVal>
            <c:numRef>
              <c:f>'Reactor analysis'!$N$3:$N$2625</c:f>
              <c:numCache>
                <c:formatCode>General</c:formatCode>
                <c:ptCount val="2623"/>
                <c:pt idx="59">
                  <c:v>0.34</c:v>
                </c:pt>
                <c:pt idx="60">
                  <c:v>0.34</c:v>
                </c:pt>
                <c:pt idx="61">
                  <c:v>0.34</c:v>
                </c:pt>
                <c:pt idx="62">
                  <c:v>0.34</c:v>
                </c:pt>
                <c:pt idx="63">
                  <c:v>0.34</c:v>
                </c:pt>
                <c:pt idx="64">
                  <c:v>0.34</c:v>
                </c:pt>
                <c:pt idx="65">
                  <c:v>0.34</c:v>
                </c:pt>
                <c:pt idx="66">
                  <c:v>0.34</c:v>
                </c:pt>
                <c:pt idx="67">
                  <c:v>0.34</c:v>
                </c:pt>
                <c:pt idx="68">
                  <c:v>0.33</c:v>
                </c:pt>
                <c:pt idx="69">
                  <c:v>0.30249999999999999</c:v>
                </c:pt>
                <c:pt idx="70">
                  <c:v>0.31749999999999995</c:v>
                </c:pt>
                <c:pt idx="71">
                  <c:v>0.32250000000000001</c:v>
                </c:pt>
                <c:pt idx="72">
                  <c:v>0.33000000000000007</c:v>
                </c:pt>
                <c:pt idx="73">
                  <c:v>0.33750000000000002</c:v>
                </c:pt>
                <c:pt idx="74">
                  <c:v>0.34249999999999997</c:v>
                </c:pt>
                <c:pt idx="75">
                  <c:v>0.36249999999999993</c:v>
                </c:pt>
                <c:pt idx="76">
                  <c:v>0.36999999999999994</c:v>
                </c:pt>
                <c:pt idx="77">
                  <c:v>0.36999999999999994</c:v>
                </c:pt>
                <c:pt idx="78">
                  <c:v>0.36749999999999994</c:v>
                </c:pt>
                <c:pt idx="79">
                  <c:v>0.36499999999999994</c:v>
                </c:pt>
                <c:pt idx="80">
                  <c:v>0.36749999999999994</c:v>
                </c:pt>
                <c:pt idx="81">
                  <c:v>0.36749999999999994</c:v>
                </c:pt>
                <c:pt idx="82">
                  <c:v>0.36999999999999994</c:v>
                </c:pt>
                <c:pt idx="83">
                  <c:v>0.37249999999999989</c:v>
                </c:pt>
                <c:pt idx="84">
                  <c:v>0.37249999999999989</c:v>
                </c:pt>
                <c:pt idx="85">
                  <c:v>0.37249999999999989</c:v>
                </c:pt>
                <c:pt idx="86">
                  <c:v>0.37249999999999989</c:v>
                </c:pt>
                <c:pt idx="87">
                  <c:v>0.37249999999999989</c:v>
                </c:pt>
                <c:pt idx="88">
                  <c:v>0.37249999999999989</c:v>
                </c:pt>
                <c:pt idx="89">
                  <c:v>0.37249999999999989</c:v>
                </c:pt>
                <c:pt idx="90">
                  <c:v>0.37249999999999989</c:v>
                </c:pt>
                <c:pt idx="91">
                  <c:v>0.37249999999999989</c:v>
                </c:pt>
                <c:pt idx="92">
                  <c:v>0.37249999999999989</c:v>
                </c:pt>
                <c:pt idx="93">
                  <c:v>0.37249999999999989</c:v>
                </c:pt>
                <c:pt idx="94">
                  <c:v>0.37249999999999989</c:v>
                </c:pt>
                <c:pt idx="95">
                  <c:v>0.37249999999999989</c:v>
                </c:pt>
                <c:pt idx="96">
                  <c:v>0.36999999999999994</c:v>
                </c:pt>
                <c:pt idx="97">
                  <c:v>0.36749999999999994</c:v>
                </c:pt>
                <c:pt idx="98">
                  <c:v>0.36499999999999999</c:v>
                </c:pt>
                <c:pt idx="99">
                  <c:v>0.36249999999999999</c:v>
                </c:pt>
                <c:pt idx="100">
                  <c:v>0.35499999999999993</c:v>
                </c:pt>
                <c:pt idx="101">
                  <c:v>0.35250000000000004</c:v>
                </c:pt>
                <c:pt idx="102">
                  <c:v>0.35749999999999998</c:v>
                </c:pt>
                <c:pt idx="103">
                  <c:v>0.35749999999999998</c:v>
                </c:pt>
                <c:pt idx="104">
                  <c:v>0.36249999999999999</c:v>
                </c:pt>
                <c:pt idx="105">
                  <c:v>0.35750000000000004</c:v>
                </c:pt>
                <c:pt idx="106">
                  <c:v>0.36249999999999999</c:v>
                </c:pt>
                <c:pt idx="107">
                  <c:v>0.35749999999999998</c:v>
                </c:pt>
                <c:pt idx="108">
                  <c:v>0.35749999999999998</c:v>
                </c:pt>
                <c:pt idx="109">
                  <c:v>0.35749999999999998</c:v>
                </c:pt>
                <c:pt idx="110">
                  <c:v>0.35749999999999998</c:v>
                </c:pt>
                <c:pt idx="111">
                  <c:v>0.36</c:v>
                </c:pt>
                <c:pt idx="112">
                  <c:v>0.36</c:v>
                </c:pt>
                <c:pt idx="113">
                  <c:v>0.36</c:v>
                </c:pt>
                <c:pt idx="114">
                  <c:v>0.36</c:v>
                </c:pt>
                <c:pt idx="115">
                  <c:v>0.36</c:v>
                </c:pt>
                <c:pt idx="116">
                  <c:v>0.36</c:v>
                </c:pt>
                <c:pt idx="117">
                  <c:v>0.36</c:v>
                </c:pt>
                <c:pt idx="118">
                  <c:v>0.36</c:v>
                </c:pt>
                <c:pt idx="119">
                  <c:v>0.36</c:v>
                </c:pt>
                <c:pt idx="120">
                  <c:v>0.36</c:v>
                </c:pt>
                <c:pt idx="121">
                  <c:v>0.36</c:v>
                </c:pt>
                <c:pt idx="122">
                  <c:v>0.36</c:v>
                </c:pt>
                <c:pt idx="123">
                  <c:v>0.36</c:v>
                </c:pt>
                <c:pt idx="124">
                  <c:v>0.36</c:v>
                </c:pt>
                <c:pt idx="125">
                  <c:v>0.36</c:v>
                </c:pt>
                <c:pt idx="126">
                  <c:v>0.36</c:v>
                </c:pt>
                <c:pt idx="127">
                  <c:v>0.36</c:v>
                </c:pt>
                <c:pt idx="128">
                  <c:v>0.38249999999999995</c:v>
                </c:pt>
                <c:pt idx="129">
                  <c:v>0.41</c:v>
                </c:pt>
                <c:pt idx="130">
                  <c:v>0.39749999999999991</c:v>
                </c:pt>
                <c:pt idx="131">
                  <c:v>0.38749999999999996</c:v>
                </c:pt>
                <c:pt idx="132">
                  <c:v>0.38749999999999996</c:v>
                </c:pt>
                <c:pt idx="133">
                  <c:v>0.38499999999999995</c:v>
                </c:pt>
                <c:pt idx="134">
                  <c:v>0.3775</c:v>
                </c:pt>
                <c:pt idx="135">
                  <c:v>0.36999999999999994</c:v>
                </c:pt>
                <c:pt idx="136">
                  <c:v>0.35499999999999993</c:v>
                </c:pt>
                <c:pt idx="137">
                  <c:v>0.35</c:v>
                </c:pt>
                <c:pt idx="138">
                  <c:v>0.35500000000000004</c:v>
                </c:pt>
                <c:pt idx="139">
                  <c:v>0.35500000000000004</c:v>
                </c:pt>
                <c:pt idx="140">
                  <c:v>0.35249999999999998</c:v>
                </c:pt>
                <c:pt idx="141">
                  <c:v>0.35250000000000004</c:v>
                </c:pt>
                <c:pt idx="142">
                  <c:v>0.35000000000000003</c:v>
                </c:pt>
                <c:pt idx="143">
                  <c:v>0.35</c:v>
                </c:pt>
                <c:pt idx="144">
                  <c:v>0.35</c:v>
                </c:pt>
                <c:pt idx="145">
                  <c:v>0.35</c:v>
                </c:pt>
                <c:pt idx="146">
                  <c:v>0.35</c:v>
                </c:pt>
                <c:pt idx="147">
                  <c:v>0.35</c:v>
                </c:pt>
                <c:pt idx="148">
                  <c:v>0.35</c:v>
                </c:pt>
                <c:pt idx="149">
                  <c:v>0.35</c:v>
                </c:pt>
                <c:pt idx="150">
                  <c:v>0.35</c:v>
                </c:pt>
                <c:pt idx="151">
                  <c:v>0.35</c:v>
                </c:pt>
                <c:pt idx="152">
                  <c:v>0.35</c:v>
                </c:pt>
                <c:pt idx="153">
                  <c:v>0.35</c:v>
                </c:pt>
                <c:pt idx="154">
                  <c:v>0.35</c:v>
                </c:pt>
                <c:pt idx="155">
                  <c:v>0.35</c:v>
                </c:pt>
                <c:pt idx="156">
                  <c:v>0.35</c:v>
                </c:pt>
                <c:pt idx="157">
                  <c:v>0.35249999999999998</c:v>
                </c:pt>
                <c:pt idx="158">
                  <c:v>0.35249999999999998</c:v>
                </c:pt>
                <c:pt idx="159">
                  <c:v>0.34749999999999998</c:v>
                </c:pt>
                <c:pt idx="160">
                  <c:v>0.35499999999999993</c:v>
                </c:pt>
                <c:pt idx="161">
                  <c:v>0.36500000000000005</c:v>
                </c:pt>
                <c:pt idx="162">
                  <c:v>0.36500000000000005</c:v>
                </c:pt>
                <c:pt idx="163">
                  <c:v>0.36249999999999999</c:v>
                </c:pt>
                <c:pt idx="164">
                  <c:v>0.36000000000000004</c:v>
                </c:pt>
                <c:pt idx="165">
                  <c:v>0.36000000000000004</c:v>
                </c:pt>
                <c:pt idx="166">
                  <c:v>0.35750000000000004</c:v>
                </c:pt>
                <c:pt idx="167">
                  <c:v>0.36250000000000004</c:v>
                </c:pt>
                <c:pt idx="168">
                  <c:v>0.35749999999999998</c:v>
                </c:pt>
                <c:pt idx="169">
                  <c:v>0.35500000000000004</c:v>
                </c:pt>
                <c:pt idx="170">
                  <c:v>0.35250000000000004</c:v>
                </c:pt>
                <c:pt idx="171">
                  <c:v>0.34749999999999998</c:v>
                </c:pt>
                <c:pt idx="172">
                  <c:v>0.35249999999999998</c:v>
                </c:pt>
                <c:pt idx="173">
                  <c:v>0.35</c:v>
                </c:pt>
                <c:pt idx="174">
                  <c:v>0.35</c:v>
                </c:pt>
                <c:pt idx="175">
                  <c:v>0.35</c:v>
                </c:pt>
                <c:pt idx="176">
                  <c:v>0.35</c:v>
                </c:pt>
                <c:pt idx="177">
                  <c:v>0.35</c:v>
                </c:pt>
                <c:pt idx="178">
                  <c:v>0.35</c:v>
                </c:pt>
                <c:pt idx="179">
                  <c:v>0.35</c:v>
                </c:pt>
                <c:pt idx="180">
                  <c:v>0.35</c:v>
                </c:pt>
                <c:pt idx="181">
                  <c:v>0.35</c:v>
                </c:pt>
                <c:pt idx="182">
                  <c:v>0.35</c:v>
                </c:pt>
                <c:pt idx="183">
                  <c:v>0.35</c:v>
                </c:pt>
                <c:pt idx="184">
                  <c:v>0.35</c:v>
                </c:pt>
                <c:pt idx="185">
                  <c:v>0.35</c:v>
                </c:pt>
                <c:pt idx="186">
                  <c:v>0.35</c:v>
                </c:pt>
                <c:pt idx="187">
                  <c:v>0.35</c:v>
                </c:pt>
                <c:pt idx="188">
                  <c:v>0.32749999999999996</c:v>
                </c:pt>
                <c:pt idx="189">
                  <c:v>0.3299999999999999</c:v>
                </c:pt>
                <c:pt idx="190">
                  <c:v>0.34</c:v>
                </c:pt>
                <c:pt idx="191">
                  <c:v>0.34250000000000003</c:v>
                </c:pt>
                <c:pt idx="192">
                  <c:v>0.34249999999999997</c:v>
                </c:pt>
                <c:pt idx="193">
                  <c:v>0.34499999999999992</c:v>
                </c:pt>
                <c:pt idx="194">
                  <c:v>0.34499999999999986</c:v>
                </c:pt>
                <c:pt idx="195">
                  <c:v>0.33999999999999986</c:v>
                </c:pt>
                <c:pt idx="196">
                  <c:v>0.34499999999999986</c:v>
                </c:pt>
                <c:pt idx="197">
                  <c:v>0.34499999999999992</c:v>
                </c:pt>
                <c:pt idx="198">
                  <c:v>0.33749999999999997</c:v>
                </c:pt>
                <c:pt idx="199">
                  <c:v>0.33999999999999997</c:v>
                </c:pt>
                <c:pt idx="200">
                  <c:v>0.33499999999999996</c:v>
                </c:pt>
                <c:pt idx="201">
                  <c:v>0.33750000000000002</c:v>
                </c:pt>
                <c:pt idx="202">
                  <c:v>0.33499999999999996</c:v>
                </c:pt>
                <c:pt idx="203">
                  <c:v>0.33499999999999991</c:v>
                </c:pt>
                <c:pt idx="204">
                  <c:v>0.33499999999999991</c:v>
                </c:pt>
                <c:pt idx="205">
                  <c:v>0.33499999999999991</c:v>
                </c:pt>
                <c:pt idx="206">
                  <c:v>0.33499999999999991</c:v>
                </c:pt>
                <c:pt idx="207">
                  <c:v>0.33499999999999991</c:v>
                </c:pt>
                <c:pt idx="208">
                  <c:v>0.33499999999999991</c:v>
                </c:pt>
                <c:pt idx="209">
                  <c:v>0.33499999999999991</c:v>
                </c:pt>
                <c:pt idx="210">
                  <c:v>0.33499999999999991</c:v>
                </c:pt>
                <c:pt idx="211">
                  <c:v>0.33499999999999991</c:v>
                </c:pt>
                <c:pt idx="212">
                  <c:v>0.33499999999999991</c:v>
                </c:pt>
                <c:pt idx="213">
                  <c:v>0.33499999999999991</c:v>
                </c:pt>
                <c:pt idx="214">
                  <c:v>0.33499999999999991</c:v>
                </c:pt>
                <c:pt idx="215">
                  <c:v>0.33499999999999991</c:v>
                </c:pt>
                <c:pt idx="216">
                  <c:v>0.33499999999999991</c:v>
                </c:pt>
                <c:pt idx="217">
                  <c:v>0.34999999999999992</c:v>
                </c:pt>
                <c:pt idx="218">
                  <c:v>0.36499999999999994</c:v>
                </c:pt>
                <c:pt idx="219">
                  <c:v>0.36749999999999994</c:v>
                </c:pt>
                <c:pt idx="220">
                  <c:v>0.36749999999999994</c:v>
                </c:pt>
                <c:pt idx="221">
                  <c:v>0.34749999999999998</c:v>
                </c:pt>
                <c:pt idx="222">
                  <c:v>0.34499999999999997</c:v>
                </c:pt>
                <c:pt idx="223">
                  <c:v>0.35499999999999993</c:v>
                </c:pt>
                <c:pt idx="224">
                  <c:v>0.35749999999999998</c:v>
                </c:pt>
                <c:pt idx="225">
                  <c:v>0.36249999999999999</c:v>
                </c:pt>
                <c:pt idx="226">
                  <c:v>0.36750000000000005</c:v>
                </c:pt>
                <c:pt idx="227">
                  <c:v>0.36250000000000004</c:v>
                </c:pt>
                <c:pt idx="228">
                  <c:v>0.36250000000000004</c:v>
                </c:pt>
                <c:pt idx="229">
                  <c:v>0.36500000000000005</c:v>
                </c:pt>
                <c:pt idx="230">
                  <c:v>0.36750000000000005</c:v>
                </c:pt>
                <c:pt idx="231">
                  <c:v>0.37000000000000011</c:v>
                </c:pt>
                <c:pt idx="232">
                  <c:v>0.3650000000000001</c:v>
                </c:pt>
                <c:pt idx="233">
                  <c:v>0.3650000000000001</c:v>
                </c:pt>
                <c:pt idx="234">
                  <c:v>0.3650000000000001</c:v>
                </c:pt>
                <c:pt idx="235">
                  <c:v>0.3650000000000001</c:v>
                </c:pt>
                <c:pt idx="236">
                  <c:v>0.3650000000000001</c:v>
                </c:pt>
                <c:pt idx="237">
                  <c:v>0.3650000000000001</c:v>
                </c:pt>
                <c:pt idx="238">
                  <c:v>0.3650000000000001</c:v>
                </c:pt>
                <c:pt idx="239">
                  <c:v>0.3650000000000001</c:v>
                </c:pt>
                <c:pt idx="240">
                  <c:v>0.3650000000000001</c:v>
                </c:pt>
                <c:pt idx="241">
                  <c:v>0.3650000000000001</c:v>
                </c:pt>
                <c:pt idx="242">
                  <c:v>0.3650000000000001</c:v>
                </c:pt>
                <c:pt idx="243">
                  <c:v>0.3650000000000001</c:v>
                </c:pt>
                <c:pt idx="244">
                  <c:v>0.3650000000000001</c:v>
                </c:pt>
                <c:pt idx="245">
                  <c:v>0.3650000000000001</c:v>
                </c:pt>
                <c:pt idx="246">
                  <c:v>0.3650000000000001</c:v>
                </c:pt>
                <c:pt idx="247">
                  <c:v>0.37750000000000011</c:v>
                </c:pt>
                <c:pt idx="248">
                  <c:v>0.40750000000000003</c:v>
                </c:pt>
                <c:pt idx="249">
                  <c:v>0.39500000000000007</c:v>
                </c:pt>
                <c:pt idx="250">
                  <c:v>0.37999999999999989</c:v>
                </c:pt>
                <c:pt idx="251">
                  <c:v>0.37749999999999989</c:v>
                </c:pt>
                <c:pt idx="252">
                  <c:v>0.37249999999999994</c:v>
                </c:pt>
                <c:pt idx="253">
                  <c:v>0.36499999999999999</c:v>
                </c:pt>
                <c:pt idx="254">
                  <c:v>0.36249999999999999</c:v>
                </c:pt>
                <c:pt idx="255">
                  <c:v>0.36249999999999999</c:v>
                </c:pt>
                <c:pt idx="256">
                  <c:v>0.36499999999999999</c:v>
                </c:pt>
                <c:pt idx="257">
                  <c:v>0.36749999999999994</c:v>
                </c:pt>
                <c:pt idx="258">
                  <c:v>0.36749999999999994</c:v>
                </c:pt>
                <c:pt idx="259">
                  <c:v>0.36000000000000004</c:v>
                </c:pt>
                <c:pt idx="260">
                  <c:v>0.36249999999999999</c:v>
                </c:pt>
                <c:pt idx="261">
                  <c:v>0.36500000000000005</c:v>
                </c:pt>
                <c:pt idx="262">
                  <c:v>0.36499999999999999</c:v>
                </c:pt>
                <c:pt idx="263">
                  <c:v>0.36249999999999999</c:v>
                </c:pt>
                <c:pt idx="264">
                  <c:v>0.36249999999999999</c:v>
                </c:pt>
                <c:pt idx="265">
                  <c:v>0.36249999999999999</c:v>
                </c:pt>
                <c:pt idx="266">
                  <c:v>0.36249999999999999</c:v>
                </c:pt>
                <c:pt idx="267">
                  <c:v>0.36249999999999999</c:v>
                </c:pt>
                <c:pt idx="268">
                  <c:v>0.36249999999999999</c:v>
                </c:pt>
                <c:pt idx="269">
                  <c:v>0.36249999999999999</c:v>
                </c:pt>
                <c:pt idx="270">
                  <c:v>0.36249999999999999</c:v>
                </c:pt>
                <c:pt idx="271">
                  <c:v>0.36249999999999999</c:v>
                </c:pt>
                <c:pt idx="272">
                  <c:v>0.36249999999999999</c:v>
                </c:pt>
                <c:pt idx="273">
                  <c:v>0.36249999999999999</c:v>
                </c:pt>
                <c:pt idx="274">
                  <c:v>0.36249999999999999</c:v>
                </c:pt>
                <c:pt idx="275">
                  <c:v>0.36749999999999999</c:v>
                </c:pt>
                <c:pt idx="276">
                  <c:v>0.37</c:v>
                </c:pt>
                <c:pt idx="277">
                  <c:v>0.375</c:v>
                </c:pt>
                <c:pt idx="278">
                  <c:v>0.375</c:v>
                </c:pt>
                <c:pt idx="279">
                  <c:v>0.36499999999999999</c:v>
                </c:pt>
                <c:pt idx="280">
                  <c:v>0.36</c:v>
                </c:pt>
                <c:pt idx="281">
                  <c:v>0.36249999999999999</c:v>
                </c:pt>
                <c:pt idx="282">
                  <c:v>0.36499999999999999</c:v>
                </c:pt>
                <c:pt idx="283">
                  <c:v>0.35499999999999993</c:v>
                </c:pt>
                <c:pt idx="284">
                  <c:v>0.35500000000000004</c:v>
                </c:pt>
                <c:pt idx="285">
                  <c:v>0.35500000000000009</c:v>
                </c:pt>
                <c:pt idx="286">
                  <c:v>0.34750000000000003</c:v>
                </c:pt>
                <c:pt idx="287">
                  <c:v>0.35000000000000003</c:v>
                </c:pt>
                <c:pt idx="288">
                  <c:v>0.35250000000000004</c:v>
                </c:pt>
                <c:pt idx="289">
                  <c:v>0.35250000000000004</c:v>
                </c:pt>
                <c:pt idx="290">
                  <c:v>0.35000000000000003</c:v>
                </c:pt>
                <c:pt idx="291">
                  <c:v>0.34750000000000003</c:v>
                </c:pt>
                <c:pt idx="292">
                  <c:v>0.34500000000000003</c:v>
                </c:pt>
                <c:pt idx="293">
                  <c:v>0.34500000000000003</c:v>
                </c:pt>
                <c:pt idx="294">
                  <c:v>0.34500000000000003</c:v>
                </c:pt>
                <c:pt idx="295">
                  <c:v>0.34500000000000003</c:v>
                </c:pt>
                <c:pt idx="296">
                  <c:v>0.34500000000000003</c:v>
                </c:pt>
                <c:pt idx="297">
                  <c:v>0.34500000000000003</c:v>
                </c:pt>
                <c:pt idx="298">
                  <c:v>0.34500000000000003</c:v>
                </c:pt>
                <c:pt idx="299">
                  <c:v>0.34500000000000003</c:v>
                </c:pt>
                <c:pt idx="300">
                  <c:v>0.34500000000000003</c:v>
                </c:pt>
                <c:pt idx="301">
                  <c:v>0.34500000000000003</c:v>
                </c:pt>
                <c:pt idx="302">
                  <c:v>0.34500000000000003</c:v>
                </c:pt>
                <c:pt idx="303">
                  <c:v>0.34500000000000003</c:v>
                </c:pt>
                <c:pt idx="304">
                  <c:v>0.34500000000000003</c:v>
                </c:pt>
                <c:pt idx="305">
                  <c:v>0.34500000000000003</c:v>
                </c:pt>
                <c:pt idx="306">
                  <c:v>0.34500000000000003</c:v>
                </c:pt>
                <c:pt idx="307">
                  <c:v>0.35000000000000003</c:v>
                </c:pt>
                <c:pt idx="308">
                  <c:v>0.34250000000000003</c:v>
                </c:pt>
                <c:pt idx="309">
                  <c:v>0.34250000000000003</c:v>
                </c:pt>
                <c:pt idx="310">
                  <c:v>0.35000000000000003</c:v>
                </c:pt>
                <c:pt idx="311">
                  <c:v>0.34750000000000014</c:v>
                </c:pt>
                <c:pt idx="312">
                  <c:v>0.34500000000000008</c:v>
                </c:pt>
                <c:pt idx="313">
                  <c:v>0.34750000000000014</c:v>
                </c:pt>
                <c:pt idx="314">
                  <c:v>0.35000000000000014</c:v>
                </c:pt>
                <c:pt idx="315">
                  <c:v>0.34500000000000003</c:v>
                </c:pt>
                <c:pt idx="316">
                  <c:v>0.34</c:v>
                </c:pt>
                <c:pt idx="317">
                  <c:v>0.33750000000000008</c:v>
                </c:pt>
                <c:pt idx="318">
                  <c:v>0.33500000000000002</c:v>
                </c:pt>
                <c:pt idx="319">
                  <c:v>0.34</c:v>
                </c:pt>
                <c:pt idx="320">
                  <c:v>0.34250000000000003</c:v>
                </c:pt>
                <c:pt idx="321">
                  <c:v>0.33500000000000002</c:v>
                </c:pt>
                <c:pt idx="322">
                  <c:v>0.33499999999999996</c:v>
                </c:pt>
                <c:pt idx="323">
                  <c:v>0.33499999999999996</c:v>
                </c:pt>
                <c:pt idx="324">
                  <c:v>0.33499999999999996</c:v>
                </c:pt>
                <c:pt idx="325">
                  <c:v>0.33499999999999996</c:v>
                </c:pt>
                <c:pt idx="326">
                  <c:v>0.33499999999999996</c:v>
                </c:pt>
                <c:pt idx="327">
                  <c:v>0.33499999999999996</c:v>
                </c:pt>
                <c:pt idx="328">
                  <c:v>0.33499999999999996</c:v>
                </c:pt>
                <c:pt idx="329">
                  <c:v>0.33499999999999996</c:v>
                </c:pt>
                <c:pt idx="330">
                  <c:v>0.33499999999999996</c:v>
                </c:pt>
                <c:pt idx="331">
                  <c:v>0.33499999999999996</c:v>
                </c:pt>
                <c:pt idx="332">
                  <c:v>0.33499999999999996</c:v>
                </c:pt>
                <c:pt idx="333">
                  <c:v>0.33499999999999996</c:v>
                </c:pt>
                <c:pt idx="334">
                  <c:v>0.33499999999999996</c:v>
                </c:pt>
                <c:pt idx="335">
                  <c:v>0.33</c:v>
                </c:pt>
                <c:pt idx="336">
                  <c:v>0.32749999999999996</c:v>
                </c:pt>
                <c:pt idx="337">
                  <c:v>0.31249999999999994</c:v>
                </c:pt>
                <c:pt idx="338">
                  <c:v>0.3249999999999999</c:v>
                </c:pt>
                <c:pt idx="339">
                  <c:v>0.32749999999999996</c:v>
                </c:pt>
                <c:pt idx="340">
                  <c:v>0.32</c:v>
                </c:pt>
                <c:pt idx="341">
                  <c:v>0.31749999999999995</c:v>
                </c:pt>
                <c:pt idx="342">
                  <c:v>0.30999999999999994</c:v>
                </c:pt>
                <c:pt idx="343">
                  <c:v>0.30499999999999999</c:v>
                </c:pt>
                <c:pt idx="344">
                  <c:v>0.29749999999999999</c:v>
                </c:pt>
                <c:pt idx="345">
                  <c:v>0.29250000000000004</c:v>
                </c:pt>
                <c:pt idx="346">
                  <c:v>0.29250000000000004</c:v>
                </c:pt>
                <c:pt idx="347">
                  <c:v>0.29000000000000004</c:v>
                </c:pt>
                <c:pt idx="348">
                  <c:v>0.29000000000000004</c:v>
                </c:pt>
                <c:pt idx="349">
                  <c:v>0.28999999999999998</c:v>
                </c:pt>
                <c:pt idx="350">
                  <c:v>0.29250000000000004</c:v>
                </c:pt>
                <c:pt idx="351">
                  <c:v>0.29750000000000004</c:v>
                </c:pt>
                <c:pt idx="352">
                  <c:v>0.29750000000000004</c:v>
                </c:pt>
                <c:pt idx="353">
                  <c:v>0.29750000000000004</c:v>
                </c:pt>
                <c:pt idx="354">
                  <c:v>0.29750000000000004</c:v>
                </c:pt>
                <c:pt idx="355">
                  <c:v>0.29750000000000004</c:v>
                </c:pt>
                <c:pt idx="356">
                  <c:v>0.29750000000000004</c:v>
                </c:pt>
                <c:pt idx="357">
                  <c:v>0.29750000000000004</c:v>
                </c:pt>
                <c:pt idx="358">
                  <c:v>0.29750000000000004</c:v>
                </c:pt>
                <c:pt idx="359">
                  <c:v>0.29750000000000004</c:v>
                </c:pt>
                <c:pt idx="360">
                  <c:v>0.29750000000000004</c:v>
                </c:pt>
                <c:pt idx="361">
                  <c:v>0.29750000000000004</c:v>
                </c:pt>
                <c:pt idx="362">
                  <c:v>0.29750000000000004</c:v>
                </c:pt>
                <c:pt idx="363">
                  <c:v>0.29750000000000004</c:v>
                </c:pt>
                <c:pt idx="364">
                  <c:v>0.29750000000000004</c:v>
                </c:pt>
                <c:pt idx="365">
                  <c:v>0.29750000000000004</c:v>
                </c:pt>
                <c:pt idx="366">
                  <c:v>0.29750000000000004</c:v>
                </c:pt>
                <c:pt idx="367">
                  <c:v>0.3075</c:v>
                </c:pt>
                <c:pt idx="368">
                  <c:v>0.30250000000000005</c:v>
                </c:pt>
                <c:pt idx="369">
                  <c:v>0.30750000000000005</c:v>
                </c:pt>
                <c:pt idx="370">
                  <c:v>0.31</c:v>
                </c:pt>
                <c:pt idx="371">
                  <c:v>0.32000000000000006</c:v>
                </c:pt>
                <c:pt idx="372">
                  <c:v>0.33250000000000007</c:v>
                </c:pt>
                <c:pt idx="373">
                  <c:v>0.33500000000000002</c:v>
                </c:pt>
                <c:pt idx="374">
                  <c:v>0.33750000000000013</c:v>
                </c:pt>
                <c:pt idx="375">
                  <c:v>0.34</c:v>
                </c:pt>
                <c:pt idx="376">
                  <c:v>0.34750000000000009</c:v>
                </c:pt>
                <c:pt idx="377">
                  <c:v>0.35000000000000003</c:v>
                </c:pt>
                <c:pt idx="378">
                  <c:v>0.35500000000000009</c:v>
                </c:pt>
                <c:pt idx="379">
                  <c:v>0.35750000000000004</c:v>
                </c:pt>
                <c:pt idx="380">
                  <c:v>0.35750000000000004</c:v>
                </c:pt>
                <c:pt idx="381">
                  <c:v>0.3600000000000001</c:v>
                </c:pt>
                <c:pt idx="382">
                  <c:v>0.35750000000000004</c:v>
                </c:pt>
                <c:pt idx="383">
                  <c:v>0.35750000000000004</c:v>
                </c:pt>
                <c:pt idx="384">
                  <c:v>0.35750000000000004</c:v>
                </c:pt>
                <c:pt idx="385">
                  <c:v>0.35750000000000004</c:v>
                </c:pt>
                <c:pt idx="386">
                  <c:v>0.35750000000000004</c:v>
                </c:pt>
                <c:pt idx="387">
                  <c:v>0.35750000000000004</c:v>
                </c:pt>
                <c:pt idx="388">
                  <c:v>0.35750000000000004</c:v>
                </c:pt>
                <c:pt idx="389">
                  <c:v>0.35750000000000004</c:v>
                </c:pt>
                <c:pt idx="390">
                  <c:v>0.35750000000000004</c:v>
                </c:pt>
                <c:pt idx="391">
                  <c:v>0.35750000000000004</c:v>
                </c:pt>
                <c:pt idx="392">
                  <c:v>0.35750000000000004</c:v>
                </c:pt>
                <c:pt idx="393">
                  <c:v>0.35750000000000004</c:v>
                </c:pt>
                <c:pt idx="394">
                  <c:v>0.35750000000000004</c:v>
                </c:pt>
                <c:pt idx="395">
                  <c:v>0.35750000000000004</c:v>
                </c:pt>
                <c:pt idx="396">
                  <c:v>0.35750000000000004</c:v>
                </c:pt>
                <c:pt idx="397">
                  <c:v>0.36750000000000005</c:v>
                </c:pt>
                <c:pt idx="398">
                  <c:v>0.35499999999999993</c:v>
                </c:pt>
                <c:pt idx="399">
                  <c:v>0.35749999999999998</c:v>
                </c:pt>
                <c:pt idx="400">
                  <c:v>0.35499999999999993</c:v>
                </c:pt>
                <c:pt idx="401">
                  <c:v>0.35499999999999993</c:v>
                </c:pt>
                <c:pt idx="402">
                  <c:v>0.35749999999999998</c:v>
                </c:pt>
                <c:pt idx="403">
                  <c:v>0.35749999999999998</c:v>
                </c:pt>
                <c:pt idx="404">
                  <c:v>0.36000000000000004</c:v>
                </c:pt>
                <c:pt idx="405">
                  <c:v>0.36000000000000004</c:v>
                </c:pt>
                <c:pt idx="406">
                  <c:v>0.36000000000000004</c:v>
                </c:pt>
                <c:pt idx="407">
                  <c:v>0.36000000000000004</c:v>
                </c:pt>
                <c:pt idx="408">
                  <c:v>0.36000000000000004</c:v>
                </c:pt>
                <c:pt idx="409">
                  <c:v>0.35749999999999998</c:v>
                </c:pt>
                <c:pt idx="410">
                  <c:v>0.35500000000000004</c:v>
                </c:pt>
                <c:pt idx="411">
                  <c:v>0.35249999999999998</c:v>
                </c:pt>
                <c:pt idx="412">
                  <c:v>0.35249999999999998</c:v>
                </c:pt>
                <c:pt idx="413">
                  <c:v>0.35249999999999998</c:v>
                </c:pt>
                <c:pt idx="414">
                  <c:v>0.35249999999999998</c:v>
                </c:pt>
                <c:pt idx="415">
                  <c:v>0.35249999999999998</c:v>
                </c:pt>
                <c:pt idx="416">
                  <c:v>0.35249999999999998</c:v>
                </c:pt>
                <c:pt idx="417">
                  <c:v>0.35249999999999998</c:v>
                </c:pt>
                <c:pt idx="418">
                  <c:v>0.35249999999999998</c:v>
                </c:pt>
                <c:pt idx="419">
                  <c:v>0.35249999999999998</c:v>
                </c:pt>
                <c:pt idx="420">
                  <c:v>0.35249999999999998</c:v>
                </c:pt>
                <c:pt idx="421">
                  <c:v>0.35249999999999998</c:v>
                </c:pt>
                <c:pt idx="422">
                  <c:v>0.35249999999999998</c:v>
                </c:pt>
                <c:pt idx="423">
                  <c:v>0.35249999999999998</c:v>
                </c:pt>
                <c:pt idx="424">
                  <c:v>0.35249999999999998</c:v>
                </c:pt>
                <c:pt idx="425">
                  <c:v>0.35249999999999998</c:v>
                </c:pt>
                <c:pt idx="426">
                  <c:v>0.35249999999999998</c:v>
                </c:pt>
                <c:pt idx="427">
                  <c:v>0.34250000000000003</c:v>
                </c:pt>
                <c:pt idx="428">
                  <c:v>0.35249999999999998</c:v>
                </c:pt>
                <c:pt idx="429">
                  <c:v>0.34750000000000009</c:v>
                </c:pt>
                <c:pt idx="430">
                  <c:v>0.33500000000000008</c:v>
                </c:pt>
                <c:pt idx="431">
                  <c:v>0.32500000000000007</c:v>
                </c:pt>
                <c:pt idx="432">
                  <c:v>0.31000000000000016</c:v>
                </c:pt>
                <c:pt idx="433">
                  <c:v>0.3050000000000001</c:v>
                </c:pt>
                <c:pt idx="434">
                  <c:v>0.30250000000000005</c:v>
                </c:pt>
                <c:pt idx="435">
                  <c:v>0.30500000000000005</c:v>
                </c:pt>
                <c:pt idx="436">
                  <c:v>0.30000000000000004</c:v>
                </c:pt>
                <c:pt idx="437">
                  <c:v>0.29250000000000004</c:v>
                </c:pt>
                <c:pt idx="438">
                  <c:v>0.29000000000000004</c:v>
                </c:pt>
                <c:pt idx="439">
                  <c:v>0.29000000000000004</c:v>
                </c:pt>
                <c:pt idx="440">
                  <c:v>0.29250000000000004</c:v>
                </c:pt>
                <c:pt idx="441">
                  <c:v>0.29499999999999998</c:v>
                </c:pt>
                <c:pt idx="442">
                  <c:v>0.29749999999999999</c:v>
                </c:pt>
                <c:pt idx="443">
                  <c:v>0.29749999999999999</c:v>
                </c:pt>
                <c:pt idx="444">
                  <c:v>0.29749999999999999</c:v>
                </c:pt>
                <c:pt idx="445">
                  <c:v>0.29749999999999999</c:v>
                </c:pt>
                <c:pt idx="446">
                  <c:v>0.29749999999999999</c:v>
                </c:pt>
                <c:pt idx="447">
                  <c:v>0.29749999999999999</c:v>
                </c:pt>
                <c:pt idx="448">
                  <c:v>0.29749999999999999</c:v>
                </c:pt>
                <c:pt idx="449">
                  <c:v>0.29749999999999999</c:v>
                </c:pt>
                <c:pt idx="450">
                  <c:v>0.29749999999999999</c:v>
                </c:pt>
                <c:pt idx="451">
                  <c:v>0.29749999999999999</c:v>
                </c:pt>
                <c:pt idx="452">
                  <c:v>0.29749999999999999</c:v>
                </c:pt>
                <c:pt idx="453">
                  <c:v>0.29749999999999999</c:v>
                </c:pt>
                <c:pt idx="454">
                  <c:v>0.29749999999999999</c:v>
                </c:pt>
                <c:pt idx="455">
                  <c:v>0.29749999999999999</c:v>
                </c:pt>
                <c:pt idx="456">
                  <c:v>0.29999999999999993</c:v>
                </c:pt>
                <c:pt idx="457">
                  <c:v>0.30499999999999994</c:v>
                </c:pt>
                <c:pt idx="458">
                  <c:v>0.30249999999999999</c:v>
                </c:pt>
                <c:pt idx="459">
                  <c:v>0.29999999999999993</c:v>
                </c:pt>
                <c:pt idx="460">
                  <c:v>0.30499999999999994</c:v>
                </c:pt>
                <c:pt idx="461">
                  <c:v>0.30499999999999994</c:v>
                </c:pt>
                <c:pt idx="462">
                  <c:v>0.31249999999999994</c:v>
                </c:pt>
                <c:pt idx="463">
                  <c:v>0.31499999999999989</c:v>
                </c:pt>
                <c:pt idx="464">
                  <c:v>0.31749999999999995</c:v>
                </c:pt>
                <c:pt idx="465">
                  <c:v>0.31749999999999995</c:v>
                </c:pt>
                <c:pt idx="466">
                  <c:v>0.32249999999999995</c:v>
                </c:pt>
                <c:pt idx="467">
                  <c:v>0.32500000000000001</c:v>
                </c:pt>
                <c:pt idx="468">
                  <c:v>0.32500000000000001</c:v>
                </c:pt>
                <c:pt idx="469">
                  <c:v>0.32499999999999996</c:v>
                </c:pt>
                <c:pt idx="470">
                  <c:v>0.32249999999999995</c:v>
                </c:pt>
                <c:pt idx="471">
                  <c:v>0.31999999999999995</c:v>
                </c:pt>
                <c:pt idx="472">
                  <c:v>0.31999999999999995</c:v>
                </c:pt>
                <c:pt idx="473">
                  <c:v>0.31999999999999995</c:v>
                </c:pt>
                <c:pt idx="474">
                  <c:v>0.31999999999999995</c:v>
                </c:pt>
                <c:pt idx="475">
                  <c:v>0.31999999999999995</c:v>
                </c:pt>
                <c:pt idx="476">
                  <c:v>0.31999999999999995</c:v>
                </c:pt>
                <c:pt idx="477">
                  <c:v>0.31999999999999995</c:v>
                </c:pt>
                <c:pt idx="478">
                  <c:v>0.31999999999999995</c:v>
                </c:pt>
                <c:pt idx="479">
                  <c:v>0.31999999999999995</c:v>
                </c:pt>
                <c:pt idx="480">
                  <c:v>0.31999999999999995</c:v>
                </c:pt>
                <c:pt idx="481">
                  <c:v>0.31999999999999995</c:v>
                </c:pt>
                <c:pt idx="482">
                  <c:v>0.31999999999999995</c:v>
                </c:pt>
                <c:pt idx="483">
                  <c:v>0.31999999999999995</c:v>
                </c:pt>
                <c:pt idx="484">
                  <c:v>0.31999999999999995</c:v>
                </c:pt>
                <c:pt idx="485">
                  <c:v>0.31999999999999995</c:v>
                </c:pt>
                <c:pt idx="486">
                  <c:v>0.31999999999999995</c:v>
                </c:pt>
                <c:pt idx="487">
                  <c:v>0.315</c:v>
                </c:pt>
                <c:pt idx="488">
                  <c:v>0.31</c:v>
                </c:pt>
                <c:pt idx="489">
                  <c:v>0.30250000000000005</c:v>
                </c:pt>
                <c:pt idx="490">
                  <c:v>0.31250000000000006</c:v>
                </c:pt>
                <c:pt idx="491">
                  <c:v>0.31500000000000006</c:v>
                </c:pt>
                <c:pt idx="492">
                  <c:v>0.32250000000000001</c:v>
                </c:pt>
                <c:pt idx="493">
                  <c:v>0.32000000000000006</c:v>
                </c:pt>
                <c:pt idx="494">
                  <c:v>0.31750000000000006</c:v>
                </c:pt>
                <c:pt idx="495">
                  <c:v>0.3125</c:v>
                </c:pt>
                <c:pt idx="496">
                  <c:v>0.315</c:v>
                </c:pt>
                <c:pt idx="497">
                  <c:v>0.31749999999999995</c:v>
                </c:pt>
                <c:pt idx="498">
                  <c:v>0.31499999999999989</c:v>
                </c:pt>
                <c:pt idx="499">
                  <c:v>0.30999999999999989</c:v>
                </c:pt>
                <c:pt idx="500">
                  <c:v>0.30499999999999988</c:v>
                </c:pt>
                <c:pt idx="501">
                  <c:v>0.29999999999999988</c:v>
                </c:pt>
                <c:pt idx="502">
                  <c:v>0.29749999999999982</c:v>
                </c:pt>
                <c:pt idx="503">
                  <c:v>0.29749999999999982</c:v>
                </c:pt>
                <c:pt idx="504">
                  <c:v>0.29749999999999982</c:v>
                </c:pt>
                <c:pt idx="505">
                  <c:v>0.29749999999999982</c:v>
                </c:pt>
                <c:pt idx="506">
                  <c:v>0.29749999999999982</c:v>
                </c:pt>
                <c:pt idx="507">
                  <c:v>0.29749999999999982</c:v>
                </c:pt>
                <c:pt idx="508">
                  <c:v>0.29749999999999982</c:v>
                </c:pt>
                <c:pt idx="509">
                  <c:v>0.29749999999999982</c:v>
                </c:pt>
                <c:pt idx="510">
                  <c:v>0.29749999999999982</c:v>
                </c:pt>
                <c:pt idx="511">
                  <c:v>0.29749999999999982</c:v>
                </c:pt>
                <c:pt idx="512">
                  <c:v>0.29749999999999982</c:v>
                </c:pt>
                <c:pt idx="513">
                  <c:v>0.29749999999999982</c:v>
                </c:pt>
                <c:pt idx="514">
                  <c:v>0.29749999999999982</c:v>
                </c:pt>
                <c:pt idx="515">
                  <c:v>0.29749999999999982</c:v>
                </c:pt>
                <c:pt idx="516">
                  <c:v>0.29499999999999987</c:v>
                </c:pt>
                <c:pt idx="517">
                  <c:v>0.27999999999999997</c:v>
                </c:pt>
                <c:pt idx="518">
                  <c:v>0.28750000000000003</c:v>
                </c:pt>
                <c:pt idx="519">
                  <c:v>0.30000000000000004</c:v>
                </c:pt>
                <c:pt idx="520">
                  <c:v>0.30250000000000005</c:v>
                </c:pt>
                <c:pt idx="521">
                  <c:v>0.30499999999999999</c:v>
                </c:pt>
                <c:pt idx="522">
                  <c:v>0.30249999999999999</c:v>
                </c:pt>
                <c:pt idx="523">
                  <c:v>0.3075</c:v>
                </c:pt>
                <c:pt idx="524">
                  <c:v>0.31499999999999989</c:v>
                </c:pt>
                <c:pt idx="525">
                  <c:v>0.3274999999999999</c:v>
                </c:pt>
                <c:pt idx="526">
                  <c:v>0.31999999999999995</c:v>
                </c:pt>
                <c:pt idx="527">
                  <c:v>0.32999999999999996</c:v>
                </c:pt>
                <c:pt idx="528">
                  <c:v>0.33499999999999996</c:v>
                </c:pt>
                <c:pt idx="529">
                  <c:v>0.33750000000000002</c:v>
                </c:pt>
                <c:pt idx="530">
                  <c:v>0.34250000000000003</c:v>
                </c:pt>
                <c:pt idx="531">
                  <c:v>0.34750000000000003</c:v>
                </c:pt>
                <c:pt idx="532">
                  <c:v>0.34750000000000003</c:v>
                </c:pt>
                <c:pt idx="533">
                  <c:v>0.34750000000000003</c:v>
                </c:pt>
                <c:pt idx="534">
                  <c:v>0.34750000000000003</c:v>
                </c:pt>
                <c:pt idx="535">
                  <c:v>0.34750000000000003</c:v>
                </c:pt>
                <c:pt idx="536">
                  <c:v>0.34750000000000003</c:v>
                </c:pt>
                <c:pt idx="537">
                  <c:v>0.34750000000000003</c:v>
                </c:pt>
                <c:pt idx="538">
                  <c:v>0.34750000000000003</c:v>
                </c:pt>
                <c:pt idx="539">
                  <c:v>0.34750000000000003</c:v>
                </c:pt>
                <c:pt idx="540">
                  <c:v>0.34750000000000003</c:v>
                </c:pt>
                <c:pt idx="541">
                  <c:v>0.34750000000000003</c:v>
                </c:pt>
                <c:pt idx="542">
                  <c:v>0.34750000000000003</c:v>
                </c:pt>
                <c:pt idx="543">
                  <c:v>0.34750000000000003</c:v>
                </c:pt>
                <c:pt idx="544">
                  <c:v>0.34750000000000003</c:v>
                </c:pt>
                <c:pt idx="545">
                  <c:v>0.35</c:v>
                </c:pt>
                <c:pt idx="546">
                  <c:v>0.35</c:v>
                </c:pt>
                <c:pt idx="547">
                  <c:v>0.36249999999999999</c:v>
                </c:pt>
                <c:pt idx="548">
                  <c:v>0.3600000000000001</c:v>
                </c:pt>
                <c:pt idx="549">
                  <c:v>0.3650000000000001</c:v>
                </c:pt>
                <c:pt idx="550">
                  <c:v>0.3650000000000001</c:v>
                </c:pt>
                <c:pt idx="551">
                  <c:v>0.36750000000000005</c:v>
                </c:pt>
                <c:pt idx="552">
                  <c:v>0.36250000000000004</c:v>
                </c:pt>
                <c:pt idx="553">
                  <c:v>0.36500000000000005</c:v>
                </c:pt>
                <c:pt idx="554">
                  <c:v>0.36749999999999999</c:v>
                </c:pt>
                <c:pt idx="555">
                  <c:v>0.36749999999999999</c:v>
                </c:pt>
                <c:pt idx="556">
                  <c:v>0.36499999999999999</c:v>
                </c:pt>
                <c:pt idx="557">
                  <c:v>0.36749999999999999</c:v>
                </c:pt>
                <c:pt idx="558">
                  <c:v>0.36749999999999999</c:v>
                </c:pt>
                <c:pt idx="559">
                  <c:v>0.36749999999999999</c:v>
                </c:pt>
                <c:pt idx="560">
                  <c:v>0.36749999999999994</c:v>
                </c:pt>
                <c:pt idx="561">
                  <c:v>0.36749999999999994</c:v>
                </c:pt>
                <c:pt idx="562">
                  <c:v>0.36749999999999994</c:v>
                </c:pt>
                <c:pt idx="563">
                  <c:v>0.36749999999999994</c:v>
                </c:pt>
                <c:pt idx="564">
                  <c:v>0.36749999999999994</c:v>
                </c:pt>
                <c:pt idx="565">
                  <c:v>0.36749999999999994</c:v>
                </c:pt>
                <c:pt idx="566">
                  <c:v>0.36749999999999994</c:v>
                </c:pt>
                <c:pt idx="567">
                  <c:v>0.36749999999999994</c:v>
                </c:pt>
                <c:pt idx="568">
                  <c:v>0.36749999999999994</c:v>
                </c:pt>
                <c:pt idx="569">
                  <c:v>0.36749999999999994</c:v>
                </c:pt>
                <c:pt idx="570">
                  <c:v>0.36749999999999994</c:v>
                </c:pt>
                <c:pt idx="571">
                  <c:v>0.36749999999999994</c:v>
                </c:pt>
                <c:pt idx="572">
                  <c:v>0.36749999999999994</c:v>
                </c:pt>
                <c:pt idx="573">
                  <c:v>0.36749999999999994</c:v>
                </c:pt>
                <c:pt idx="574">
                  <c:v>0.36749999999999994</c:v>
                </c:pt>
                <c:pt idx="575">
                  <c:v>0.36749999999999994</c:v>
                </c:pt>
                <c:pt idx="576">
                  <c:v>0.36749999999999994</c:v>
                </c:pt>
                <c:pt idx="577">
                  <c:v>0.37499999999999989</c:v>
                </c:pt>
                <c:pt idx="578">
                  <c:v>0.37499999999999989</c:v>
                </c:pt>
                <c:pt idx="579">
                  <c:v>0.35999999999999993</c:v>
                </c:pt>
                <c:pt idx="580">
                  <c:v>0.35999999999999993</c:v>
                </c:pt>
                <c:pt idx="581">
                  <c:v>0.35749999999999998</c:v>
                </c:pt>
                <c:pt idx="582">
                  <c:v>0.35000000000000003</c:v>
                </c:pt>
                <c:pt idx="583">
                  <c:v>0.34250000000000003</c:v>
                </c:pt>
                <c:pt idx="584">
                  <c:v>0.33499999999999996</c:v>
                </c:pt>
                <c:pt idx="585">
                  <c:v>0.32250000000000001</c:v>
                </c:pt>
                <c:pt idx="586">
                  <c:v>0.32750000000000001</c:v>
                </c:pt>
                <c:pt idx="587">
                  <c:v>0.31500000000000006</c:v>
                </c:pt>
                <c:pt idx="588">
                  <c:v>0.31</c:v>
                </c:pt>
                <c:pt idx="589">
                  <c:v>0.30500000000000005</c:v>
                </c:pt>
                <c:pt idx="590">
                  <c:v>0.30000000000000004</c:v>
                </c:pt>
                <c:pt idx="591">
                  <c:v>0.29250000000000004</c:v>
                </c:pt>
                <c:pt idx="592">
                  <c:v>0.29250000000000004</c:v>
                </c:pt>
                <c:pt idx="593">
                  <c:v>0.29250000000000004</c:v>
                </c:pt>
                <c:pt idx="594">
                  <c:v>0.29250000000000004</c:v>
                </c:pt>
                <c:pt idx="595">
                  <c:v>0.29250000000000004</c:v>
                </c:pt>
                <c:pt idx="596">
                  <c:v>0.29250000000000004</c:v>
                </c:pt>
                <c:pt idx="597">
                  <c:v>0.29250000000000004</c:v>
                </c:pt>
                <c:pt idx="598">
                  <c:v>0.29250000000000004</c:v>
                </c:pt>
                <c:pt idx="599">
                  <c:v>0.29250000000000004</c:v>
                </c:pt>
                <c:pt idx="600">
                  <c:v>0.29250000000000004</c:v>
                </c:pt>
                <c:pt idx="601">
                  <c:v>0.29250000000000004</c:v>
                </c:pt>
                <c:pt idx="602">
                  <c:v>0.29250000000000004</c:v>
                </c:pt>
                <c:pt idx="603">
                  <c:v>0.29250000000000004</c:v>
                </c:pt>
                <c:pt idx="604">
                  <c:v>0.29250000000000004</c:v>
                </c:pt>
                <c:pt idx="605">
                  <c:v>0.29000000000000004</c:v>
                </c:pt>
                <c:pt idx="606">
                  <c:v>0.29000000000000004</c:v>
                </c:pt>
                <c:pt idx="607">
                  <c:v>0.27750000000000008</c:v>
                </c:pt>
                <c:pt idx="608">
                  <c:v>0.28500000000000003</c:v>
                </c:pt>
                <c:pt idx="609">
                  <c:v>0.29000000000000009</c:v>
                </c:pt>
                <c:pt idx="610">
                  <c:v>0.28000000000000003</c:v>
                </c:pt>
                <c:pt idx="611">
                  <c:v>0.27500000000000008</c:v>
                </c:pt>
                <c:pt idx="612">
                  <c:v>0.27750000000000002</c:v>
                </c:pt>
                <c:pt idx="613">
                  <c:v>0.27500000000000008</c:v>
                </c:pt>
                <c:pt idx="614">
                  <c:v>0.26999999999999996</c:v>
                </c:pt>
                <c:pt idx="615">
                  <c:v>0.27500000000000002</c:v>
                </c:pt>
                <c:pt idx="616">
                  <c:v>0.27000000000000007</c:v>
                </c:pt>
                <c:pt idx="617">
                  <c:v>0.26999999999999996</c:v>
                </c:pt>
                <c:pt idx="618">
                  <c:v>0.26750000000000002</c:v>
                </c:pt>
                <c:pt idx="619">
                  <c:v>0.26750000000000002</c:v>
                </c:pt>
                <c:pt idx="620">
                  <c:v>0.26750000000000002</c:v>
                </c:pt>
                <c:pt idx="621">
                  <c:v>0.26500000000000001</c:v>
                </c:pt>
                <c:pt idx="622">
                  <c:v>0.26750000000000002</c:v>
                </c:pt>
                <c:pt idx="623">
                  <c:v>0.26750000000000002</c:v>
                </c:pt>
                <c:pt idx="624">
                  <c:v>0.26750000000000002</c:v>
                </c:pt>
                <c:pt idx="625">
                  <c:v>0.26750000000000002</c:v>
                </c:pt>
                <c:pt idx="626">
                  <c:v>0.26750000000000002</c:v>
                </c:pt>
                <c:pt idx="627">
                  <c:v>0.26750000000000002</c:v>
                </c:pt>
                <c:pt idx="628">
                  <c:v>0.26750000000000002</c:v>
                </c:pt>
                <c:pt idx="629">
                  <c:v>0.26750000000000002</c:v>
                </c:pt>
                <c:pt idx="630">
                  <c:v>0.26750000000000002</c:v>
                </c:pt>
                <c:pt idx="631">
                  <c:v>0.26750000000000002</c:v>
                </c:pt>
                <c:pt idx="632">
                  <c:v>0.26750000000000002</c:v>
                </c:pt>
                <c:pt idx="633">
                  <c:v>0.26750000000000002</c:v>
                </c:pt>
                <c:pt idx="634">
                  <c:v>0.26750000000000002</c:v>
                </c:pt>
                <c:pt idx="635">
                  <c:v>0.26750000000000002</c:v>
                </c:pt>
                <c:pt idx="636">
                  <c:v>0.27500000000000002</c:v>
                </c:pt>
                <c:pt idx="637">
                  <c:v>0.26750000000000002</c:v>
                </c:pt>
                <c:pt idx="638">
                  <c:v>0.26999999999999996</c:v>
                </c:pt>
                <c:pt idx="639">
                  <c:v>0.27999999999999997</c:v>
                </c:pt>
                <c:pt idx="640">
                  <c:v>0.26999999999999996</c:v>
                </c:pt>
                <c:pt idx="641">
                  <c:v>0.26499999999999996</c:v>
                </c:pt>
                <c:pt idx="642">
                  <c:v>0.26499999999999996</c:v>
                </c:pt>
                <c:pt idx="643">
                  <c:v>0.26749999999999996</c:v>
                </c:pt>
                <c:pt idx="644">
                  <c:v>0.26499999999999996</c:v>
                </c:pt>
                <c:pt idx="645">
                  <c:v>0.26499999999999996</c:v>
                </c:pt>
                <c:pt idx="646">
                  <c:v>0.26749999999999996</c:v>
                </c:pt>
                <c:pt idx="647">
                  <c:v>0.26499999999999996</c:v>
                </c:pt>
                <c:pt idx="648">
                  <c:v>0.26249999999999996</c:v>
                </c:pt>
                <c:pt idx="649">
                  <c:v>0.26749999999999996</c:v>
                </c:pt>
                <c:pt idx="650">
                  <c:v>0.26999999999999991</c:v>
                </c:pt>
                <c:pt idx="651">
                  <c:v>0.26999999999999991</c:v>
                </c:pt>
                <c:pt idx="652">
                  <c:v>0.26999999999999991</c:v>
                </c:pt>
                <c:pt idx="653">
                  <c:v>0.26999999999999991</c:v>
                </c:pt>
                <c:pt idx="654">
                  <c:v>0.26999999999999991</c:v>
                </c:pt>
                <c:pt idx="655">
                  <c:v>0.26999999999999991</c:v>
                </c:pt>
                <c:pt idx="656">
                  <c:v>0.26999999999999991</c:v>
                </c:pt>
                <c:pt idx="657">
                  <c:v>0.41499999999999992</c:v>
                </c:pt>
                <c:pt idx="658">
                  <c:v>0.83499999999999985</c:v>
                </c:pt>
                <c:pt idx="659">
                  <c:v>0.83499999999999985</c:v>
                </c:pt>
                <c:pt idx="660">
                  <c:v>0.83499999999999985</c:v>
                </c:pt>
                <c:pt idx="661">
                  <c:v>0.83499999999999985</c:v>
                </c:pt>
                <c:pt idx="662">
                  <c:v>0.83499999999999985</c:v>
                </c:pt>
                <c:pt idx="663">
                  <c:v>0.83499999999999985</c:v>
                </c:pt>
                <c:pt idx="664">
                  <c:v>0.83749999999999991</c:v>
                </c:pt>
                <c:pt idx="665">
                  <c:v>0.90249999999999986</c:v>
                </c:pt>
                <c:pt idx="666">
                  <c:v>0.92999999999999983</c:v>
                </c:pt>
                <c:pt idx="667">
                  <c:v>1.64</c:v>
                </c:pt>
                <c:pt idx="668">
                  <c:v>1.7224999999999999</c:v>
                </c:pt>
                <c:pt idx="669">
                  <c:v>1.7549999999999999</c:v>
                </c:pt>
                <c:pt idx="670">
                  <c:v>1.7825</c:v>
                </c:pt>
                <c:pt idx="671">
                  <c:v>1.8050000000000002</c:v>
                </c:pt>
                <c:pt idx="672">
                  <c:v>1.82</c:v>
                </c:pt>
                <c:pt idx="673">
                  <c:v>1.8350000000000002</c:v>
                </c:pt>
                <c:pt idx="674">
                  <c:v>1.85</c:v>
                </c:pt>
                <c:pt idx="675">
                  <c:v>1.8625000000000003</c:v>
                </c:pt>
                <c:pt idx="676">
                  <c:v>1.8825000000000003</c:v>
                </c:pt>
                <c:pt idx="677">
                  <c:v>1.8875</c:v>
                </c:pt>
                <c:pt idx="678">
                  <c:v>1.9125000000000001</c:v>
                </c:pt>
                <c:pt idx="679">
                  <c:v>1.9225000000000001</c:v>
                </c:pt>
                <c:pt idx="680">
                  <c:v>1.9325000000000001</c:v>
                </c:pt>
                <c:pt idx="681">
                  <c:v>1.9350000000000001</c:v>
                </c:pt>
                <c:pt idx="682">
                  <c:v>1.9350000000000003</c:v>
                </c:pt>
                <c:pt idx="683">
                  <c:v>1.9425000000000003</c:v>
                </c:pt>
                <c:pt idx="684">
                  <c:v>1.9450000000000005</c:v>
                </c:pt>
                <c:pt idx="685">
                  <c:v>1.9500000000000004</c:v>
                </c:pt>
                <c:pt idx="686">
                  <c:v>1.9550000000000005</c:v>
                </c:pt>
                <c:pt idx="687">
                  <c:v>1.9675000000000005</c:v>
                </c:pt>
                <c:pt idx="688">
                  <c:v>1.9725000000000004</c:v>
                </c:pt>
                <c:pt idx="689">
                  <c:v>1.9825000000000004</c:v>
                </c:pt>
                <c:pt idx="690">
                  <c:v>1.9925000000000002</c:v>
                </c:pt>
                <c:pt idx="691">
                  <c:v>2.0000000000000004</c:v>
                </c:pt>
                <c:pt idx="692">
                  <c:v>2.0175000000000001</c:v>
                </c:pt>
                <c:pt idx="693">
                  <c:v>2.0250000000000004</c:v>
                </c:pt>
                <c:pt idx="694">
                  <c:v>2.0325000000000002</c:v>
                </c:pt>
                <c:pt idx="695">
                  <c:v>2.0400000000000005</c:v>
                </c:pt>
                <c:pt idx="696">
                  <c:v>2.0575000000000001</c:v>
                </c:pt>
                <c:pt idx="697">
                  <c:v>2.0775000000000001</c:v>
                </c:pt>
                <c:pt idx="698">
                  <c:v>2.0675000000000003</c:v>
                </c:pt>
                <c:pt idx="699">
                  <c:v>2.0675000000000003</c:v>
                </c:pt>
                <c:pt idx="700">
                  <c:v>2.0750000000000002</c:v>
                </c:pt>
                <c:pt idx="701">
                  <c:v>2.0800000000000005</c:v>
                </c:pt>
                <c:pt idx="702">
                  <c:v>2.0800000000000005</c:v>
                </c:pt>
                <c:pt idx="703">
                  <c:v>2.0825000000000005</c:v>
                </c:pt>
                <c:pt idx="704">
                  <c:v>2.0875000000000004</c:v>
                </c:pt>
                <c:pt idx="705">
                  <c:v>2.0975000000000006</c:v>
                </c:pt>
                <c:pt idx="706">
                  <c:v>2.1050000000000004</c:v>
                </c:pt>
                <c:pt idx="707">
                  <c:v>2.1250000000000004</c:v>
                </c:pt>
                <c:pt idx="708">
                  <c:v>2.1375000000000006</c:v>
                </c:pt>
                <c:pt idx="709">
                  <c:v>2.1450000000000009</c:v>
                </c:pt>
                <c:pt idx="710">
                  <c:v>2.1550000000000002</c:v>
                </c:pt>
                <c:pt idx="711">
                  <c:v>2.1550000000000002</c:v>
                </c:pt>
                <c:pt idx="712">
                  <c:v>2.1550000000000002</c:v>
                </c:pt>
                <c:pt idx="713">
                  <c:v>2.1550000000000002</c:v>
                </c:pt>
                <c:pt idx="714">
                  <c:v>2.1550000000000002</c:v>
                </c:pt>
                <c:pt idx="715">
                  <c:v>2.1625000000000001</c:v>
                </c:pt>
                <c:pt idx="716">
                  <c:v>2.1625000000000001</c:v>
                </c:pt>
                <c:pt idx="717">
                  <c:v>2.0225000000000004</c:v>
                </c:pt>
                <c:pt idx="718">
                  <c:v>1.6075000000000006</c:v>
                </c:pt>
                <c:pt idx="719">
                  <c:v>1.6150000000000007</c:v>
                </c:pt>
                <c:pt idx="720">
                  <c:v>1.6200000000000006</c:v>
                </c:pt>
                <c:pt idx="721">
                  <c:v>1.6275000000000006</c:v>
                </c:pt>
                <c:pt idx="722">
                  <c:v>1.6350000000000007</c:v>
                </c:pt>
                <c:pt idx="723">
                  <c:v>1.6450000000000005</c:v>
                </c:pt>
                <c:pt idx="724">
                  <c:v>1.6525000000000003</c:v>
                </c:pt>
                <c:pt idx="725">
                  <c:v>1.5900000000000003</c:v>
                </c:pt>
                <c:pt idx="726">
                  <c:v>1.6000000000000005</c:v>
                </c:pt>
                <c:pt idx="727">
                  <c:v>0.91000000000000014</c:v>
                </c:pt>
                <c:pt idx="728">
                  <c:v>0.82000000000000006</c:v>
                </c:pt>
                <c:pt idx="729">
                  <c:v>0.79000000000000015</c:v>
                </c:pt>
                <c:pt idx="730">
                  <c:v>0.77249999999999985</c:v>
                </c:pt>
                <c:pt idx="731">
                  <c:v>0.755</c:v>
                </c:pt>
                <c:pt idx="732">
                  <c:v>0.745</c:v>
                </c:pt>
                <c:pt idx="733">
                  <c:v>0.73249999999999993</c:v>
                </c:pt>
                <c:pt idx="734">
                  <c:v>0.72499999999999998</c:v>
                </c:pt>
                <c:pt idx="735">
                  <c:v>0.72</c:v>
                </c:pt>
                <c:pt idx="736">
                  <c:v>0.71249999999999991</c:v>
                </c:pt>
                <c:pt idx="737">
                  <c:v>0.71749999999999992</c:v>
                </c:pt>
                <c:pt idx="738">
                  <c:v>0.70499999999999996</c:v>
                </c:pt>
                <c:pt idx="739">
                  <c:v>0.71250000000000002</c:v>
                </c:pt>
                <c:pt idx="740">
                  <c:v>0.71749999999999992</c:v>
                </c:pt>
                <c:pt idx="741">
                  <c:v>0.71499999999999986</c:v>
                </c:pt>
                <c:pt idx="742">
                  <c:v>0.71250000000000002</c:v>
                </c:pt>
                <c:pt idx="743">
                  <c:v>0.70499999999999996</c:v>
                </c:pt>
                <c:pt idx="744">
                  <c:v>0.70749999999999991</c:v>
                </c:pt>
                <c:pt idx="745">
                  <c:v>0.7074999999999998</c:v>
                </c:pt>
                <c:pt idx="746">
                  <c:v>0.7074999999999998</c:v>
                </c:pt>
                <c:pt idx="747">
                  <c:v>0.7024999999999999</c:v>
                </c:pt>
                <c:pt idx="748">
                  <c:v>0.70499999999999996</c:v>
                </c:pt>
                <c:pt idx="749">
                  <c:v>0.70250000000000012</c:v>
                </c:pt>
                <c:pt idx="750">
                  <c:v>0.70250000000000012</c:v>
                </c:pt>
                <c:pt idx="751">
                  <c:v>0.70750000000000002</c:v>
                </c:pt>
                <c:pt idx="752">
                  <c:v>0.7</c:v>
                </c:pt>
                <c:pt idx="753">
                  <c:v>0.70250000000000001</c:v>
                </c:pt>
                <c:pt idx="754">
                  <c:v>0.71250000000000002</c:v>
                </c:pt>
                <c:pt idx="755">
                  <c:v>0.72</c:v>
                </c:pt>
                <c:pt idx="756">
                  <c:v>0.72499999999999998</c:v>
                </c:pt>
                <c:pt idx="757">
                  <c:v>0.73499999999999976</c:v>
                </c:pt>
                <c:pt idx="758">
                  <c:v>0.73749999999999993</c:v>
                </c:pt>
                <c:pt idx="759">
                  <c:v>0.73999999999999988</c:v>
                </c:pt>
                <c:pt idx="760">
                  <c:v>0.73999999999999988</c:v>
                </c:pt>
                <c:pt idx="761">
                  <c:v>0.74749999999999983</c:v>
                </c:pt>
                <c:pt idx="762">
                  <c:v>0.75499999999999967</c:v>
                </c:pt>
                <c:pt idx="763">
                  <c:v>0.76249999999999962</c:v>
                </c:pt>
                <c:pt idx="764">
                  <c:v>0.77249999999999974</c:v>
                </c:pt>
                <c:pt idx="765">
                  <c:v>0.78249999999999997</c:v>
                </c:pt>
                <c:pt idx="766">
                  <c:v>0.7799999999999998</c:v>
                </c:pt>
                <c:pt idx="767">
                  <c:v>0.77499999999999991</c:v>
                </c:pt>
                <c:pt idx="768">
                  <c:v>0.76999999999999991</c:v>
                </c:pt>
                <c:pt idx="769">
                  <c:v>0.76999999999999991</c:v>
                </c:pt>
                <c:pt idx="770">
                  <c:v>0.77249999999999985</c:v>
                </c:pt>
                <c:pt idx="771">
                  <c:v>0.77499999999999991</c:v>
                </c:pt>
                <c:pt idx="772">
                  <c:v>0.77499999999999991</c:v>
                </c:pt>
                <c:pt idx="773">
                  <c:v>0.77499999999999991</c:v>
                </c:pt>
                <c:pt idx="774">
                  <c:v>0.7799999999999998</c:v>
                </c:pt>
                <c:pt idx="775">
                  <c:v>0.77749999999999986</c:v>
                </c:pt>
                <c:pt idx="776">
                  <c:v>0.78749999999999987</c:v>
                </c:pt>
                <c:pt idx="777">
                  <c:v>0.79499999999999982</c:v>
                </c:pt>
                <c:pt idx="778">
                  <c:v>0.79999999999999993</c:v>
                </c:pt>
                <c:pt idx="779">
                  <c:v>0.80999999999999994</c:v>
                </c:pt>
                <c:pt idx="780">
                  <c:v>0.81999999999999984</c:v>
                </c:pt>
                <c:pt idx="781">
                  <c:v>0.8224999999999999</c:v>
                </c:pt>
                <c:pt idx="782">
                  <c:v>0.8324999999999998</c:v>
                </c:pt>
                <c:pt idx="783">
                  <c:v>0.8324999999999998</c:v>
                </c:pt>
                <c:pt idx="784">
                  <c:v>0.83499999999999985</c:v>
                </c:pt>
                <c:pt idx="785">
                  <c:v>0.84999999999999987</c:v>
                </c:pt>
                <c:pt idx="786">
                  <c:v>0.85999999999999988</c:v>
                </c:pt>
                <c:pt idx="787">
                  <c:v>0.86499999999999988</c:v>
                </c:pt>
                <c:pt idx="788">
                  <c:v>0.86999999999999977</c:v>
                </c:pt>
                <c:pt idx="789">
                  <c:v>0.86249999999999971</c:v>
                </c:pt>
                <c:pt idx="790">
                  <c:v>0.86999999999999966</c:v>
                </c:pt>
                <c:pt idx="791">
                  <c:v>0.87249999999999972</c:v>
                </c:pt>
                <c:pt idx="792">
                  <c:v>0.87249999999999972</c:v>
                </c:pt>
                <c:pt idx="793">
                  <c:v>0.88499999999999979</c:v>
                </c:pt>
                <c:pt idx="794">
                  <c:v>0.89249999999999985</c:v>
                </c:pt>
                <c:pt idx="795">
                  <c:v>0.89499999999999968</c:v>
                </c:pt>
                <c:pt idx="796">
                  <c:v>0.90999999999999981</c:v>
                </c:pt>
                <c:pt idx="797">
                  <c:v>0.91499999999999981</c:v>
                </c:pt>
                <c:pt idx="798">
                  <c:v>0.91749999999999976</c:v>
                </c:pt>
                <c:pt idx="799">
                  <c:v>0.9149999999999997</c:v>
                </c:pt>
                <c:pt idx="800">
                  <c:v>0.9149999999999997</c:v>
                </c:pt>
                <c:pt idx="801">
                  <c:v>0.9149999999999997</c:v>
                </c:pt>
                <c:pt idx="802">
                  <c:v>0.9149999999999997</c:v>
                </c:pt>
                <c:pt idx="803">
                  <c:v>0.91749999999999976</c:v>
                </c:pt>
                <c:pt idx="804">
                  <c:v>0.91749999999999976</c:v>
                </c:pt>
                <c:pt idx="805">
                  <c:v>0.92249999999999976</c:v>
                </c:pt>
                <c:pt idx="806">
                  <c:v>0.92999999999999972</c:v>
                </c:pt>
                <c:pt idx="807">
                  <c:v>0.93249999999999977</c:v>
                </c:pt>
                <c:pt idx="808">
                  <c:v>0.94499999999999984</c:v>
                </c:pt>
                <c:pt idx="809">
                  <c:v>0.9524999999999999</c:v>
                </c:pt>
                <c:pt idx="810">
                  <c:v>0.9524999999999999</c:v>
                </c:pt>
                <c:pt idx="811">
                  <c:v>0.95499999999999985</c:v>
                </c:pt>
                <c:pt idx="812">
                  <c:v>0.95999999999999974</c:v>
                </c:pt>
                <c:pt idx="813">
                  <c:v>0.9674999999999998</c:v>
                </c:pt>
                <c:pt idx="814">
                  <c:v>0.96749999999999969</c:v>
                </c:pt>
                <c:pt idx="815">
                  <c:v>0.96999999999999964</c:v>
                </c:pt>
                <c:pt idx="816">
                  <c:v>0.9824999999999996</c:v>
                </c:pt>
                <c:pt idx="817">
                  <c:v>0.99999999999999967</c:v>
                </c:pt>
                <c:pt idx="818">
                  <c:v>1.0074999999999996</c:v>
                </c:pt>
                <c:pt idx="819">
                  <c:v>1.0099999999999998</c:v>
                </c:pt>
                <c:pt idx="820">
                  <c:v>1.0249999999999999</c:v>
                </c:pt>
                <c:pt idx="821">
                  <c:v>1.0374999999999999</c:v>
                </c:pt>
                <c:pt idx="822">
                  <c:v>1.0549999999999999</c:v>
                </c:pt>
                <c:pt idx="823">
                  <c:v>1.0549999999999999</c:v>
                </c:pt>
                <c:pt idx="824">
                  <c:v>1.0524999999999998</c:v>
                </c:pt>
                <c:pt idx="825">
                  <c:v>1.0474999999999999</c:v>
                </c:pt>
                <c:pt idx="826">
                  <c:v>1.0599999999999998</c:v>
                </c:pt>
                <c:pt idx="827">
                  <c:v>1.0674999999999997</c:v>
                </c:pt>
                <c:pt idx="828">
                  <c:v>1.0824999999999998</c:v>
                </c:pt>
                <c:pt idx="829">
                  <c:v>1.085</c:v>
                </c:pt>
                <c:pt idx="830">
                  <c:v>1.0874999999999999</c:v>
                </c:pt>
                <c:pt idx="831">
                  <c:v>1.085</c:v>
                </c:pt>
                <c:pt idx="832">
                  <c:v>1.0899999999999999</c:v>
                </c:pt>
                <c:pt idx="833">
                  <c:v>1.0949999999999998</c:v>
                </c:pt>
                <c:pt idx="834">
                  <c:v>1.1024999999999998</c:v>
                </c:pt>
                <c:pt idx="835">
                  <c:v>1.105</c:v>
                </c:pt>
                <c:pt idx="836">
                  <c:v>1.1099999999999999</c:v>
                </c:pt>
                <c:pt idx="837">
                  <c:v>1.1074999999999997</c:v>
                </c:pt>
                <c:pt idx="838">
                  <c:v>1.1174999999999997</c:v>
                </c:pt>
                <c:pt idx="839">
                  <c:v>1.1124999999999998</c:v>
                </c:pt>
                <c:pt idx="840">
                  <c:v>1.1125</c:v>
                </c:pt>
                <c:pt idx="841">
                  <c:v>1.1149999999999998</c:v>
                </c:pt>
                <c:pt idx="842">
                  <c:v>1.1099999999999999</c:v>
                </c:pt>
                <c:pt idx="843">
                  <c:v>1.115</c:v>
                </c:pt>
                <c:pt idx="844">
                  <c:v>1.1175000000000002</c:v>
                </c:pt>
                <c:pt idx="845">
                  <c:v>1.1125000000000003</c:v>
                </c:pt>
                <c:pt idx="846">
                  <c:v>1.1125</c:v>
                </c:pt>
                <c:pt idx="847">
                  <c:v>1.1200000000000001</c:v>
                </c:pt>
                <c:pt idx="848">
                  <c:v>1.1275000000000002</c:v>
                </c:pt>
                <c:pt idx="849">
                  <c:v>1.1475</c:v>
                </c:pt>
                <c:pt idx="850">
                  <c:v>1.1400000000000001</c:v>
                </c:pt>
                <c:pt idx="851">
                  <c:v>1.1424999999999998</c:v>
                </c:pt>
                <c:pt idx="852">
                  <c:v>1.1499999999999997</c:v>
                </c:pt>
                <c:pt idx="853">
                  <c:v>1.1499999999999997</c:v>
                </c:pt>
                <c:pt idx="854">
                  <c:v>1.1549999999999998</c:v>
                </c:pt>
                <c:pt idx="855">
                  <c:v>1.1599999999999997</c:v>
                </c:pt>
                <c:pt idx="856">
                  <c:v>1.1475</c:v>
                </c:pt>
                <c:pt idx="857">
                  <c:v>1.1449999999999998</c:v>
                </c:pt>
                <c:pt idx="858">
                  <c:v>1.1475</c:v>
                </c:pt>
                <c:pt idx="859">
                  <c:v>1.155</c:v>
                </c:pt>
                <c:pt idx="860">
                  <c:v>1.165</c:v>
                </c:pt>
                <c:pt idx="861">
                  <c:v>1.165</c:v>
                </c:pt>
                <c:pt idx="862">
                  <c:v>1.1675000000000002</c:v>
                </c:pt>
                <c:pt idx="863">
                  <c:v>1.1700000000000004</c:v>
                </c:pt>
                <c:pt idx="864">
                  <c:v>1.1725000000000001</c:v>
                </c:pt>
                <c:pt idx="865">
                  <c:v>1.1675000000000002</c:v>
                </c:pt>
                <c:pt idx="866">
                  <c:v>1.1625000000000003</c:v>
                </c:pt>
                <c:pt idx="867">
                  <c:v>1.1625000000000003</c:v>
                </c:pt>
                <c:pt idx="868">
                  <c:v>1.1550000000000002</c:v>
                </c:pt>
                <c:pt idx="869">
                  <c:v>1.1499999999999999</c:v>
                </c:pt>
                <c:pt idx="870">
                  <c:v>1.1550000000000002</c:v>
                </c:pt>
                <c:pt idx="871">
                  <c:v>1.1525000000000001</c:v>
                </c:pt>
                <c:pt idx="872">
                  <c:v>1.1375</c:v>
                </c:pt>
                <c:pt idx="873">
                  <c:v>1.1375</c:v>
                </c:pt>
                <c:pt idx="874">
                  <c:v>1.1350000000000002</c:v>
                </c:pt>
                <c:pt idx="875">
                  <c:v>1.1325000000000003</c:v>
                </c:pt>
                <c:pt idx="876">
                  <c:v>1.1275000000000002</c:v>
                </c:pt>
                <c:pt idx="877">
                  <c:v>1.1224999999999998</c:v>
                </c:pt>
                <c:pt idx="878">
                  <c:v>1.1299999999999999</c:v>
                </c:pt>
                <c:pt idx="879">
                  <c:v>1.1224999999999998</c:v>
                </c:pt>
                <c:pt idx="880">
                  <c:v>1.1174999999999999</c:v>
                </c:pt>
                <c:pt idx="881">
                  <c:v>1.1074999999999997</c:v>
                </c:pt>
                <c:pt idx="882">
                  <c:v>1.1024999999999998</c:v>
                </c:pt>
                <c:pt idx="883">
                  <c:v>1.1000000000000001</c:v>
                </c:pt>
                <c:pt idx="884">
                  <c:v>1.1000000000000001</c:v>
                </c:pt>
                <c:pt idx="885">
                  <c:v>1.0949999999999998</c:v>
                </c:pt>
                <c:pt idx="886">
                  <c:v>1.0899999999999999</c:v>
                </c:pt>
                <c:pt idx="887">
                  <c:v>1.0874999999999997</c:v>
                </c:pt>
                <c:pt idx="888">
                  <c:v>1.0849999999999997</c:v>
                </c:pt>
                <c:pt idx="889">
                  <c:v>1.085</c:v>
                </c:pt>
                <c:pt idx="890">
                  <c:v>1.0825</c:v>
                </c:pt>
                <c:pt idx="891">
                  <c:v>1.0825</c:v>
                </c:pt>
                <c:pt idx="892">
                  <c:v>1.0774999999999999</c:v>
                </c:pt>
                <c:pt idx="893">
                  <c:v>1.0774999999999999</c:v>
                </c:pt>
                <c:pt idx="894">
                  <c:v>1.0725</c:v>
                </c:pt>
                <c:pt idx="895">
                  <c:v>1.0725</c:v>
                </c:pt>
                <c:pt idx="896">
                  <c:v>1.0624999999999998</c:v>
                </c:pt>
                <c:pt idx="897">
                  <c:v>1.0649999999999999</c:v>
                </c:pt>
                <c:pt idx="898">
                  <c:v>1.0524999999999998</c:v>
                </c:pt>
                <c:pt idx="899">
                  <c:v>1.0524999999999998</c:v>
                </c:pt>
                <c:pt idx="900">
                  <c:v>1.0525</c:v>
                </c:pt>
                <c:pt idx="901">
                  <c:v>1.0425</c:v>
                </c:pt>
                <c:pt idx="902">
                  <c:v>1.0474999999999999</c:v>
                </c:pt>
                <c:pt idx="903">
                  <c:v>1.0474999999999999</c:v>
                </c:pt>
                <c:pt idx="904">
                  <c:v>1.0449999999999997</c:v>
                </c:pt>
                <c:pt idx="905">
                  <c:v>1.0424999999999998</c:v>
                </c:pt>
                <c:pt idx="906">
                  <c:v>1.0324999999999998</c:v>
                </c:pt>
                <c:pt idx="907">
                  <c:v>1.0449999999999997</c:v>
                </c:pt>
                <c:pt idx="908">
                  <c:v>1.0325</c:v>
                </c:pt>
                <c:pt idx="909">
                  <c:v>1.0225</c:v>
                </c:pt>
                <c:pt idx="910">
                  <c:v>1.0225</c:v>
                </c:pt>
                <c:pt idx="911">
                  <c:v>1.0274999999999999</c:v>
                </c:pt>
                <c:pt idx="912">
                  <c:v>1.0274999999999999</c:v>
                </c:pt>
                <c:pt idx="913">
                  <c:v>1.0225</c:v>
                </c:pt>
                <c:pt idx="914">
                  <c:v>1.0174999999999998</c:v>
                </c:pt>
                <c:pt idx="915">
                  <c:v>1.0074999999999998</c:v>
                </c:pt>
                <c:pt idx="916">
                  <c:v>1.0099999999999998</c:v>
                </c:pt>
                <c:pt idx="917">
                  <c:v>1.0124999999999997</c:v>
                </c:pt>
                <c:pt idx="918">
                  <c:v>1.0174999999999998</c:v>
                </c:pt>
                <c:pt idx="919">
                  <c:v>1.0099999999999998</c:v>
                </c:pt>
                <c:pt idx="920">
                  <c:v>0.99749999999999972</c:v>
                </c:pt>
                <c:pt idx="921">
                  <c:v>0.99749999999999972</c:v>
                </c:pt>
                <c:pt idx="922">
                  <c:v>0.99499999999999977</c:v>
                </c:pt>
                <c:pt idx="923">
                  <c:v>0.99249999999999972</c:v>
                </c:pt>
                <c:pt idx="924">
                  <c:v>0.98999999999999966</c:v>
                </c:pt>
                <c:pt idx="925">
                  <c:v>0.9924999999999996</c:v>
                </c:pt>
                <c:pt idx="926">
                  <c:v>0.98999999999999966</c:v>
                </c:pt>
                <c:pt idx="927">
                  <c:v>0.98499999999999965</c:v>
                </c:pt>
                <c:pt idx="928">
                  <c:v>0.98499999999999965</c:v>
                </c:pt>
                <c:pt idx="929">
                  <c:v>0.98249999999999971</c:v>
                </c:pt>
                <c:pt idx="930">
                  <c:v>0.9774999999999997</c:v>
                </c:pt>
                <c:pt idx="931">
                  <c:v>0.98249999999999971</c:v>
                </c:pt>
                <c:pt idx="932">
                  <c:v>0.98499999999999965</c:v>
                </c:pt>
                <c:pt idx="933">
                  <c:v>0.9824999999999996</c:v>
                </c:pt>
                <c:pt idx="934">
                  <c:v>0.9774999999999997</c:v>
                </c:pt>
                <c:pt idx="935">
                  <c:v>0.97999999999999965</c:v>
                </c:pt>
                <c:pt idx="936">
                  <c:v>0.97499999999999964</c:v>
                </c:pt>
                <c:pt idx="937">
                  <c:v>0.9724999999999997</c:v>
                </c:pt>
                <c:pt idx="938">
                  <c:v>0.96999999999999964</c:v>
                </c:pt>
                <c:pt idx="939">
                  <c:v>0.96749999999999969</c:v>
                </c:pt>
                <c:pt idx="940">
                  <c:v>0.95749999999999968</c:v>
                </c:pt>
                <c:pt idx="941">
                  <c:v>0.9574999999999998</c:v>
                </c:pt>
                <c:pt idx="942">
                  <c:v>0.9524999999999999</c:v>
                </c:pt>
                <c:pt idx="943">
                  <c:v>0.95250000000000001</c:v>
                </c:pt>
                <c:pt idx="944">
                  <c:v>0.95499999999999996</c:v>
                </c:pt>
                <c:pt idx="945">
                  <c:v>0.95499999999999985</c:v>
                </c:pt>
                <c:pt idx="946">
                  <c:v>0.94999999999999984</c:v>
                </c:pt>
                <c:pt idx="947">
                  <c:v>0.9425</c:v>
                </c:pt>
                <c:pt idx="948">
                  <c:v>0.93749999999999989</c:v>
                </c:pt>
                <c:pt idx="949">
                  <c:v>0.9375</c:v>
                </c:pt>
                <c:pt idx="950">
                  <c:v>0.93749999999999989</c:v>
                </c:pt>
                <c:pt idx="951">
                  <c:v>0.93749999999999989</c:v>
                </c:pt>
                <c:pt idx="952">
                  <c:v>0.93749999999999989</c:v>
                </c:pt>
                <c:pt idx="953">
                  <c:v>0.93249999999999977</c:v>
                </c:pt>
                <c:pt idx="954">
                  <c:v>0.92999999999999983</c:v>
                </c:pt>
                <c:pt idx="955">
                  <c:v>0.93249999999999988</c:v>
                </c:pt>
                <c:pt idx="956">
                  <c:v>0.93749999999999989</c:v>
                </c:pt>
                <c:pt idx="957">
                  <c:v>0.9325</c:v>
                </c:pt>
                <c:pt idx="958">
                  <c:v>0.9325</c:v>
                </c:pt>
                <c:pt idx="959">
                  <c:v>0.93</c:v>
                </c:pt>
                <c:pt idx="960">
                  <c:v>0.9225000000000001</c:v>
                </c:pt>
                <c:pt idx="961">
                  <c:v>0.93000000000000016</c:v>
                </c:pt>
                <c:pt idx="962">
                  <c:v>0.92000000000000015</c:v>
                </c:pt>
                <c:pt idx="963">
                  <c:v>0.9175000000000002</c:v>
                </c:pt>
                <c:pt idx="964">
                  <c:v>0.91500000000000026</c:v>
                </c:pt>
                <c:pt idx="965">
                  <c:v>0.9175000000000002</c:v>
                </c:pt>
                <c:pt idx="966">
                  <c:v>0.92750000000000021</c:v>
                </c:pt>
                <c:pt idx="967">
                  <c:v>0.91000000000000025</c:v>
                </c:pt>
                <c:pt idx="968">
                  <c:v>0.91500000000000026</c:v>
                </c:pt>
                <c:pt idx="969">
                  <c:v>0.93000000000000016</c:v>
                </c:pt>
                <c:pt idx="970">
                  <c:v>0.93250000000000033</c:v>
                </c:pt>
                <c:pt idx="971">
                  <c:v>0.92500000000000016</c:v>
                </c:pt>
                <c:pt idx="972">
                  <c:v>0.92</c:v>
                </c:pt>
                <c:pt idx="973">
                  <c:v>0.92249999999999999</c:v>
                </c:pt>
                <c:pt idx="974">
                  <c:v>0.92500000000000016</c:v>
                </c:pt>
                <c:pt idx="975">
                  <c:v>0.9275000000000001</c:v>
                </c:pt>
                <c:pt idx="976">
                  <c:v>0.93000000000000016</c:v>
                </c:pt>
                <c:pt idx="977">
                  <c:v>0.9275000000000001</c:v>
                </c:pt>
                <c:pt idx="978">
                  <c:v>0.91749999999999998</c:v>
                </c:pt>
                <c:pt idx="979">
                  <c:v>0.90999999999999992</c:v>
                </c:pt>
                <c:pt idx="980">
                  <c:v>0.90749999999999986</c:v>
                </c:pt>
                <c:pt idx="981">
                  <c:v>0.90749999999999986</c:v>
                </c:pt>
                <c:pt idx="982">
                  <c:v>0.90749999999999986</c:v>
                </c:pt>
                <c:pt idx="983">
                  <c:v>0.9049999999999998</c:v>
                </c:pt>
                <c:pt idx="984">
                  <c:v>0.90749999999999997</c:v>
                </c:pt>
                <c:pt idx="985">
                  <c:v>0.9049999999999998</c:v>
                </c:pt>
                <c:pt idx="986">
                  <c:v>0.9049999999999998</c:v>
                </c:pt>
                <c:pt idx="987">
                  <c:v>0.90999999999999981</c:v>
                </c:pt>
                <c:pt idx="988">
                  <c:v>0.90749999999999986</c:v>
                </c:pt>
                <c:pt idx="989">
                  <c:v>0.90999999999999992</c:v>
                </c:pt>
                <c:pt idx="990">
                  <c:v>0.91499999999999981</c:v>
                </c:pt>
                <c:pt idx="991">
                  <c:v>0.90499999999999992</c:v>
                </c:pt>
                <c:pt idx="992">
                  <c:v>0.91</c:v>
                </c:pt>
                <c:pt idx="993">
                  <c:v>0.90250000000000008</c:v>
                </c:pt>
                <c:pt idx="994">
                  <c:v>0.90500000000000003</c:v>
                </c:pt>
                <c:pt idx="995">
                  <c:v>0.9</c:v>
                </c:pt>
                <c:pt idx="996">
                  <c:v>0.91250000000000009</c:v>
                </c:pt>
                <c:pt idx="997">
                  <c:v>0.90500000000000014</c:v>
                </c:pt>
                <c:pt idx="998">
                  <c:v>0.89000000000000024</c:v>
                </c:pt>
                <c:pt idx="999">
                  <c:v>0.8875000000000004</c:v>
                </c:pt>
                <c:pt idx="1000">
                  <c:v>0.89000000000000035</c:v>
                </c:pt>
                <c:pt idx="1001">
                  <c:v>0.89000000000000035</c:v>
                </c:pt>
                <c:pt idx="1002">
                  <c:v>0.88750000000000029</c:v>
                </c:pt>
                <c:pt idx="1003">
                  <c:v>0.88750000000000029</c:v>
                </c:pt>
                <c:pt idx="1004">
                  <c:v>0.88000000000000034</c:v>
                </c:pt>
                <c:pt idx="1005">
                  <c:v>0.87250000000000039</c:v>
                </c:pt>
                <c:pt idx="1006">
                  <c:v>0.87000000000000044</c:v>
                </c:pt>
                <c:pt idx="1007">
                  <c:v>0.87250000000000039</c:v>
                </c:pt>
                <c:pt idx="1008">
                  <c:v>0.86750000000000027</c:v>
                </c:pt>
                <c:pt idx="1009">
                  <c:v>0.86750000000000038</c:v>
                </c:pt>
                <c:pt idx="1010">
                  <c:v>0.86250000000000038</c:v>
                </c:pt>
                <c:pt idx="1011">
                  <c:v>0.86250000000000038</c:v>
                </c:pt>
                <c:pt idx="1012">
                  <c:v>0.86250000000000038</c:v>
                </c:pt>
                <c:pt idx="1013">
                  <c:v>0.86250000000000038</c:v>
                </c:pt>
                <c:pt idx="1014">
                  <c:v>0.85750000000000026</c:v>
                </c:pt>
                <c:pt idx="1015">
                  <c:v>0.85750000000000026</c:v>
                </c:pt>
                <c:pt idx="1016">
                  <c:v>0.85750000000000026</c:v>
                </c:pt>
                <c:pt idx="1017">
                  <c:v>0.85750000000000026</c:v>
                </c:pt>
                <c:pt idx="1018">
                  <c:v>0.86000000000000043</c:v>
                </c:pt>
                <c:pt idx="1019">
                  <c:v>0.85750000000000037</c:v>
                </c:pt>
                <c:pt idx="1020">
                  <c:v>0.85750000000000037</c:v>
                </c:pt>
                <c:pt idx="1021">
                  <c:v>0.85750000000000037</c:v>
                </c:pt>
                <c:pt idx="1022">
                  <c:v>0.86000000000000054</c:v>
                </c:pt>
                <c:pt idx="1023">
                  <c:v>0.85750000000000048</c:v>
                </c:pt>
                <c:pt idx="1024">
                  <c:v>0.86000000000000054</c:v>
                </c:pt>
                <c:pt idx="1025">
                  <c:v>0.86000000000000054</c:v>
                </c:pt>
                <c:pt idx="1026">
                  <c:v>0.86000000000000054</c:v>
                </c:pt>
                <c:pt idx="1027">
                  <c:v>0.86000000000000021</c:v>
                </c:pt>
                <c:pt idx="1028">
                  <c:v>0.85250000000000026</c:v>
                </c:pt>
                <c:pt idx="1029">
                  <c:v>0.83500000000000019</c:v>
                </c:pt>
                <c:pt idx="1030">
                  <c:v>0.81750000000000012</c:v>
                </c:pt>
                <c:pt idx="1031">
                  <c:v>0.82250000000000023</c:v>
                </c:pt>
                <c:pt idx="1032">
                  <c:v>0.82000000000000017</c:v>
                </c:pt>
                <c:pt idx="1033">
                  <c:v>0.81500000000000006</c:v>
                </c:pt>
                <c:pt idx="1034">
                  <c:v>0.80500000000000005</c:v>
                </c:pt>
                <c:pt idx="1035">
                  <c:v>0.8</c:v>
                </c:pt>
                <c:pt idx="1036">
                  <c:v>0.79000000000000015</c:v>
                </c:pt>
                <c:pt idx="1037">
                  <c:v>0.78500000000000014</c:v>
                </c:pt>
                <c:pt idx="1038">
                  <c:v>0.7825000000000002</c:v>
                </c:pt>
                <c:pt idx="1039">
                  <c:v>0.78750000000000009</c:v>
                </c:pt>
                <c:pt idx="1040">
                  <c:v>0.79000000000000015</c:v>
                </c:pt>
                <c:pt idx="1041">
                  <c:v>0.79000000000000015</c:v>
                </c:pt>
                <c:pt idx="1042">
                  <c:v>0.79000000000000015</c:v>
                </c:pt>
                <c:pt idx="1043">
                  <c:v>0.79000000000000015</c:v>
                </c:pt>
                <c:pt idx="1044">
                  <c:v>0.78500000000000003</c:v>
                </c:pt>
                <c:pt idx="1045">
                  <c:v>0.78500000000000003</c:v>
                </c:pt>
                <c:pt idx="1046">
                  <c:v>0.78499999999999992</c:v>
                </c:pt>
                <c:pt idx="1047">
                  <c:v>0.78250000000000008</c:v>
                </c:pt>
                <c:pt idx="1048">
                  <c:v>0.77500000000000002</c:v>
                </c:pt>
                <c:pt idx="1049">
                  <c:v>0.77250000000000008</c:v>
                </c:pt>
                <c:pt idx="1050">
                  <c:v>0.76249999999999996</c:v>
                </c:pt>
                <c:pt idx="1051">
                  <c:v>0.76250000000000007</c:v>
                </c:pt>
                <c:pt idx="1052">
                  <c:v>0.76500000000000012</c:v>
                </c:pt>
                <c:pt idx="1053">
                  <c:v>0.76250000000000007</c:v>
                </c:pt>
                <c:pt idx="1054">
                  <c:v>0.76000000000000012</c:v>
                </c:pt>
                <c:pt idx="1055">
                  <c:v>0.75750000000000017</c:v>
                </c:pt>
                <c:pt idx="1056">
                  <c:v>0.76000000000000012</c:v>
                </c:pt>
                <c:pt idx="1057">
                  <c:v>0.76249999999999996</c:v>
                </c:pt>
                <c:pt idx="1058">
                  <c:v>0.7599999999999999</c:v>
                </c:pt>
                <c:pt idx="1059">
                  <c:v>0.76249999999999996</c:v>
                </c:pt>
                <c:pt idx="1060">
                  <c:v>0.7599999999999999</c:v>
                </c:pt>
                <c:pt idx="1061">
                  <c:v>0.75749999999999995</c:v>
                </c:pt>
                <c:pt idx="1062">
                  <c:v>0.74999999999999989</c:v>
                </c:pt>
                <c:pt idx="1063">
                  <c:v>0.75</c:v>
                </c:pt>
                <c:pt idx="1064">
                  <c:v>0.745</c:v>
                </c:pt>
                <c:pt idx="1065">
                  <c:v>0.75000000000000011</c:v>
                </c:pt>
                <c:pt idx="1066">
                  <c:v>0.74750000000000016</c:v>
                </c:pt>
                <c:pt idx="1067">
                  <c:v>0.74500000000000022</c:v>
                </c:pt>
                <c:pt idx="1068">
                  <c:v>0.74250000000000016</c:v>
                </c:pt>
                <c:pt idx="1069">
                  <c:v>0.74000000000000021</c:v>
                </c:pt>
                <c:pt idx="1070">
                  <c:v>0.74000000000000021</c:v>
                </c:pt>
                <c:pt idx="1071">
                  <c:v>0.74000000000000021</c:v>
                </c:pt>
                <c:pt idx="1072">
                  <c:v>0.74000000000000021</c:v>
                </c:pt>
                <c:pt idx="1073">
                  <c:v>0.74000000000000021</c:v>
                </c:pt>
                <c:pt idx="1074">
                  <c:v>0.74000000000000021</c:v>
                </c:pt>
                <c:pt idx="1075">
                  <c:v>0.7300000000000002</c:v>
                </c:pt>
                <c:pt idx="1076">
                  <c:v>0.72250000000000014</c:v>
                </c:pt>
                <c:pt idx="1077">
                  <c:v>0.71750000000000014</c:v>
                </c:pt>
                <c:pt idx="1078">
                  <c:v>0.72250000000000014</c:v>
                </c:pt>
                <c:pt idx="1079">
                  <c:v>0.72500000000000009</c:v>
                </c:pt>
                <c:pt idx="1080">
                  <c:v>0.7250000000000002</c:v>
                </c:pt>
                <c:pt idx="1081">
                  <c:v>0.7250000000000002</c:v>
                </c:pt>
                <c:pt idx="1082">
                  <c:v>0.71750000000000014</c:v>
                </c:pt>
                <c:pt idx="1083">
                  <c:v>0.71250000000000013</c:v>
                </c:pt>
                <c:pt idx="1084">
                  <c:v>0.71000000000000019</c:v>
                </c:pt>
                <c:pt idx="1085">
                  <c:v>0.71000000000000019</c:v>
                </c:pt>
                <c:pt idx="1086">
                  <c:v>0.70500000000000007</c:v>
                </c:pt>
                <c:pt idx="1087">
                  <c:v>0.70500000000000007</c:v>
                </c:pt>
                <c:pt idx="1088">
                  <c:v>0.70500000000000007</c:v>
                </c:pt>
                <c:pt idx="1089">
                  <c:v>0.69749999999999979</c:v>
                </c:pt>
                <c:pt idx="1090">
                  <c:v>0.7074999999999998</c:v>
                </c:pt>
                <c:pt idx="1091">
                  <c:v>0.70499999999999996</c:v>
                </c:pt>
                <c:pt idx="1092">
                  <c:v>0.7</c:v>
                </c:pt>
                <c:pt idx="1093">
                  <c:v>0.70499999999999996</c:v>
                </c:pt>
                <c:pt idx="1094">
                  <c:v>0.70499999999999985</c:v>
                </c:pt>
                <c:pt idx="1095">
                  <c:v>0.70250000000000001</c:v>
                </c:pt>
                <c:pt idx="1096">
                  <c:v>0.70499999999999996</c:v>
                </c:pt>
                <c:pt idx="1097">
                  <c:v>0.70250000000000001</c:v>
                </c:pt>
                <c:pt idx="1098">
                  <c:v>0.70250000000000001</c:v>
                </c:pt>
                <c:pt idx="1099">
                  <c:v>0.69750000000000001</c:v>
                </c:pt>
                <c:pt idx="1100">
                  <c:v>0.69500000000000006</c:v>
                </c:pt>
                <c:pt idx="1101">
                  <c:v>0.69500000000000006</c:v>
                </c:pt>
                <c:pt idx="1102">
                  <c:v>0.69500000000000006</c:v>
                </c:pt>
                <c:pt idx="1103">
                  <c:v>0.69500000000000006</c:v>
                </c:pt>
                <c:pt idx="1104">
                  <c:v>0.69250000000000012</c:v>
                </c:pt>
                <c:pt idx="1105">
                  <c:v>0.69000000000000006</c:v>
                </c:pt>
                <c:pt idx="1106">
                  <c:v>0.69000000000000006</c:v>
                </c:pt>
                <c:pt idx="1107">
                  <c:v>0.6875</c:v>
                </c:pt>
                <c:pt idx="1108">
                  <c:v>0.69</c:v>
                </c:pt>
                <c:pt idx="1109">
                  <c:v>0.6925</c:v>
                </c:pt>
                <c:pt idx="1110">
                  <c:v>0.69500000000000006</c:v>
                </c:pt>
                <c:pt idx="1111">
                  <c:v>0.69500000000000006</c:v>
                </c:pt>
                <c:pt idx="1112">
                  <c:v>0.69750000000000001</c:v>
                </c:pt>
                <c:pt idx="1113">
                  <c:v>0.69750000000000001</c:v>
                </c:pt>
                <c:pt idx="1114">
                  <c:v>0.7</c:v>
                </c:pt>
                <c:pt idx="1115">
                  <c:v>0.69750000000000001</c:v>
                </c:pt>
                <c:pt idx="1116">
                  <c:v>0.6925</c:v>
                </c:pt>
                <c:pt idx="1117">
                  <c:v>0.6875</c:v>
                </c:pt>
                <c:pt idx="1118">
                  <c:v>0.69250000000000012</c:v>
                </c:pt>
                <c:pt idx="1119">
                  <c:v>0.68499999999999994</c:v>
                </c:pt>
                <c:pt idx="1120">
                  <c:v>0.68500000000000005</c:v>
                </c:pt>
                <c:pt idx="1121">
                  <c:v>0.6775000000000001</c:v>
                </c:pt>
                <c:pt idx="1122">
                  <c:v>0.67500000000000016</c:v>
                </c:pt>
                <c:pt idx="1123">
                  <c:v>0.67249999999999999</c:v>
                </c:pt>
                <c:pt idx="1124">
                  <c:v>0.6825</c:v>
                </c:pt>
                <c:pt idx="1125">
                  <c:v>0.6875</c:v>
                </c:pt>
                <c:pt idx="1126">
                  <c:v>0.69</c:v>
                </c:pt>
                <c:pt idx="1127">
                  <c:v>0.6875</c:v>
                </c:pt>
                <c:pt idx="1128">
                  <c:v>0.68500000000000016</c:v>
                </c:pt>
                <c:pt idx="1129">
                  <c:v>0.68</c:v>
                </c:pt>
                <c:pt idx="1130">
                  <c:v>0.6775000000000001</c:v>
                </c:pt>
                <c:pt idx="1131">
                  <c:v>0.6775000000000001</c:v>
                </c:pt>
                <c:pt idx="1132">
                  <c:v>0.6775000000000001</c:v>
                </c:pt>
                <c:pt idx="1133">
                  <c:v>0.6775000000000001</c:v>
                </c:pt>
                <c:pt idx="1134">
                  <c:v>0.6775000000000001</c:v>
                </c:pt>
                <c:pt idx="1135">
                  <c:v>0.6775000000000001</c:v>
                </c:pt>
                <c:pt idx="1136">
                  <c:v>0.6775000000000001</c:v>
                </c:pt>
                <c:pt idx="1137">
                  <c:v>0.6775000000000001</c:v>
                </c:pt>
                <c:pt idx="1138">
                  <c:v>0.66750000000000009</c:v>
                </c:pt>
                <c:pt idx="1139">
                  <c:v>0.66</c:v>
                </c:pt>
                <c:pt idx="1140">
                  <c:v>0.65749999999999997</c:v>
                </c:pt>
                <c:pt idx="1141">
                  <c:v>0.65749999999999997</c:v>
                </c:pt>
                <c:pt idx="1142">
                  <c:v>0.66499999999999992</c:v>
                </c:pt>
                <c:pt idx="1143">
                  <c:v>0.66749999999999998</c:v>
                </c:pt>
                <c:pt idx="1144">
                  <c:v>0.66750000000000009</c:v>
                </c:pt>
                <c:pt idx="1145">
                  <c:v>0.66500000000000015</c:v>
                </c:pt>
                <c:pt idx="1146">
                  <c:v>0.6675000000000002</c:v>
                </c:pt>
                <c:pt idx="1147">
                  <c:v>0.66000000000000014</c:v>
                </c:pt>
                <c:pt idx="1148">
                  <c:v>0.6575000000000002</c:v>
                </c:pt>
                <c:pt idx="1149">
                  <c:v>0.66000000000000014</c:v>
                </c:pt>
                <c:pt idx="1150">
                  <c:v>0.66250000000000009</c:v>
                </c:pt>
                <c:pt idx="1151">
                  <c:v>0.65500000000000014</c:v>
                </c:pt>
                <c:pt idx="1152">
                  <c:v>0.65500000000000014</c:v>
                </c:pt>
                <c:pt idx="1153">
                  <c:v>0.64500000000000024</c:v>
                </c:pt>
                <c:pt idx="1154">
                  <c:v>0.64500000000000024</c:v>
                </c:pt>
                <c:pt idx="1155">
                  <c:v>0.6475000000000003</c:v>
                </c:pt>
                <c:pt idx="1156">
                  <c:v>0.64500000000000024</c:v>
                </c:pt>
                <c:pt idx="1157">
                  <c:v>0.64750000000000041</c:v>
                </c:pt>
                <c:pt idx="1158">
                  <c:v>0.6475000000000003</c:v>
                </c:pt>
                <c:pt idx="1159">
                  <c:v>0.64750000000000041</c:v>
                </c:pt>
                <c:pt idx="1160">
                  <c:v>0.63750000000000029</c:v>
                </c:pt>
                <c:pt idx="1161">
                  <c:v>0.63750000000000029</c:v>
                </c:pt>
                <c:pt idx="1162">
                  <c:v>0.63750000000000029</c:v>
                </c:pt>
                <c:pt idx="1163">
                  <c:v>0.63750000000000029</c:v>
                </c:pt>
                <c:pt idx="1164">
                  <c:v>0.63750000000000029</c:v>
                </c:pt>
                <c:pt idx="1165">
                  <c:v>0.63500000000000012</c:v>
                </c:pt>
                <c:pt idx="1166">
                  <c:v>0.63750000000000029</c:v>
                </c:pt>
                <c:pt idx="1167">
                  <c:v>0.63750000000000007</c:v>
                </c:pt>
                <c:pt idx="1168">
                  <c:v>0.64000000000000024</c:v>
                </c:pt>
                <c:pt idx="1169">
                  <c:v>0.63750000000000029</c:v>
                </c:pt>
                <c:pt idx="1170">
                  <c:v>0.64250000000000029</c:v>
                </c:pt>
                <c:pt idx="1171">
                  <c:v>0.64250000000000018</c:v>
                </c:pt>
                <c:pt idx="1172">
                  <c:v>0.63500000000000012</c:v>
                </c:pt>
                <c:pt idx="1173">
                  <c:v>0.63750000000000029</c:v>
                </c:pt>
                <c:pt idx="1174">
                  <c:v>0.6325000000000004</c:v>
                </c:pt>
                <c:pt idx="1175">
                  <c:v>0.63500000000000034</c:v>
                </c:pt>
                <c:pt idx="1176">
                  <c:v>0.64000000000000035</c:v>
                </c:pt>
                <c:pt idx="1177">
                  <c:v>0.64000000000000012</c:v>
                </c:pt>
                <c:pt idx="1178">
                  <c:v>0.63250000000000006</c:v>
                </c:pt>
                <c:pt idx="1179">
                  <c:v>0.63750000000000007</c:v>
                </c:pt>
                <c:pt idx="1180">
                  <c:v>0.63500000000000012</c:v>
                </c:pt>
                <c:pt idx="1181">
                  <c:v>0.63750000000000007</c:v>
                </c:pt>
                <c:pt idx="1182">
                  <c:v>0.64000000000000012</c:v>
                </c:pt>
                <c:pt idx="1183">
                  <c:v>0.63750000000000007</c:v>
                </c:pt>
                <c:pt idx="1184">
                  <c:v>0.63750000000000007</c:v>
                </c:pt>
                <c:pt idx="1185">
                  <c:v>0.63249999999999995</c:v>
                </c:pt>
                <c:pt idx="1186">
                  <c:v>0.62749999999999995</c:v>
                </c:pt>
                <c:pt idx="1187">
                  <c:v>0.62749999999999995</c:v>
                </c:pt>
                <c:pt idx="1188">
                  <c:v>0.63000000000000012</c:v>
                </c:pt>
                <c:pt idx="1189">
                  <c:v>0.63250000000000006</c:v>
                </c:pt>
                <c:pt idx="1190">
                  <c:v>0.63250000000000006</c:v>
                </c:pt>
                <c:pt idx="1191">
                  <c:v>0.63250000000000006</c:v>
                </c:pt>
                <c:pt idx="1192">
                  <c:v>0.63250000000000006</c:v>
                </c:pt>
                <c:pt idx="1193">
                  <c:v>0.63500000000000001</c:v>
                </c:pt>
                <c:pt idx="1194">
                  <c:v>0.63500000000000001</c:v>
                </c:pt>
                <c:pt idx="1195">
                  <c:v>0.63500000000000001</c:v>
                </c:pt>
                <c:pt idx="1196">
                  <c:v>0.63250000000000006</c:v>
                </c:pt>
                <c:pt idx="1197">
                  <c:v>0.63500000000000001</c:v>
                </c:pt>
                <c:pt idx="1198">
                  <c:v>0.63749999999999996</c:v>
                </c:pt>
                <c:pt idx="1199">
                  <c:v>0.64250000000000007</c:v>
                </c:pt>
                <c:pt idx="1200">
                  <c:v>0.64500000000000002</c:v>
                </c:pt>
                <c:pt idx="1201">
                  <c:v>0.64500000000000013</c:v>
                </c:pt>
                <c:pt idx="1202">
                  <c:v>0.64250000000000018</c:v>
                </c:pt>
                <c:pt idx="1203">
                  <c:v>0.64250000000000029</c:v>
                </c:pt>
                <c:pt idx="1204">
                  <c:v>0.64250000000000029</c:v>
                </c:pt>
                <c:pt idx="1205">
                  <c:v>0.64500000000000024</c:v>
                </c:pt>
                <c:pt idx="1206">
                  <c:v>0.63750000000000029</c:v>
                </c:pt>
                <c:pt idx="1207">
                  <c:v>0.64250000000000007</c:v>
                </c:pt>
                <c:pt idx="1208">
                  <c:v>0.63749999999999996</c:v>
                </c:pt>
                <c:pt idx="1209">
                  <c:v>0.64</c:v>
                </c:pt>
                <c:pt idx="1210">
                  <c:v>0.63500000000000001</c:v>
                </c:pt>
                <c:pt idx="1211">
                  <c:v>0.63000000000000012</c:v>
                </c:pt>
                <c:pt idx="1212">
                  <c:v>0.63250000000000006</c:v>
                </c:pt>
                <c:pt idx="1213">
                  <c:v>0.63250000000000017</c:v>
                </c:pt>
                <c:pt idx="1214">
                  <c:v>0.63250000000000017</c:v>
                </c:pt>
                <c:pt idx="1215">
                  <c:v>0.63250000000000017</c:v>
                </c:pt>
                <c:pt idx="1216">
                  <c:v>0.63000000000000023</c:v>
                </c:pt>
                <c:pt idx="1217">
                  <c:v>0.63000000000000023</c:v>
                </c:pt>
                <c:pt idx="1218">
                  <c:v>0.63250000000000017</c:v>
                </c:pt>
                <c:pt idx="1219">
                  <c:v>0.63000000000000034</c:v>
                </c:pt>
                <c:pt idx="1220">
                  <c:v>0.64250000000000018</c:v>
                </c:pt>
                <c:pt idx="1221">
                  <c:v>0.64250000000000018</c:v>
                </c:pt>
                <c:pt idx="1222">
                  <c:v>0.64250000000000018</c:v>
                </c:pt>
                <c:pt idx="1223">
                  <c:v>0.64250000000000018</c:v>
                </c:pt>
                <c:pt idx="1224">
                  <c:v>0.64250000000000018</c:v>
                </c:pt>
                <c:pt idx="1225">
                  <c:v>0.64250000000000018</c:v>
                </c:pt>
                <c:pt idx="1226">
                  <c:v>0.64000000000000012</c:v>
                </c:pt>
                <c:pt idx="1227">
                  <c:v>0.64000000000000012</c:v>
                </c:pt>
                <c:pt idx="1228">
                  <c:v>0.64000000000000024</c:v>
                </c:pt>
                <c:pt idx="1229">
                  <c:v>0.63749999999999996</c:v>
                </c:pt>
                <c:pt idx="1230">
                  <c:v>0.63249999999999995</c:v>
                </c:pt>
                <c:pt idx="1231">
                  <c:v>0.63250000000000006</c:v>
                </c:pt>
                <c:pt idx="1232">
                  <c:v>0.63249999999999995</c:v>
                </c:pt>
                <c:pt idx="1233">
                  <c:v>0.62749999999999995</c:v>
                </c:pt>
                <c:pt idx="1234">
                  <c:v>0.63</c:v>
                </c:pt>
                <c:pt idx="1235">
                  <c:v>0.66249999999999987</c:v>
                </c:pt>
                <c:pt idx="1236">
                  <c:v>0.6549999999999998</c:v>
                </c:pt>
                <c:pt idx="1237">
                  <c:v>0.63499999999999979</c:v>
                </c:pt>
                <c:pt idx="1238">
                  <c:v>0.62999999999999967</c:v>
                </c:pt>
                <c:pt idx="1239">
                  <c:v>0.62499999999999978</c:v>
                </c:pt>
                <c:pt idx="1240">
                  <c:v>0.62499999999999989</c:v>
                </c:pt>
                <c:pt idx="1241">
                  <c:v>0.62249999999999994</c:v>
                </c:pt>
                <c:pt idx="1242">
                  <c:v>0.62249999999999994</c:v>
                </c:pt>
                <c:pt idx="1243">
                  <c:v>0.62249999999999994</c:v>
                </c:pt>
                <c:pt idx="1244">
                  <c:v>0.61499999999999999</c:v>
                </c:pt>
                <c:pt idx="1245">
                  <c:v>0.61</c:v>
                </c:pt>
                <c:pt idx="1246">
                  <c:v>0.61250000000000004</c:v>
                </c:pt>
                <c:pt idx="1247">
                  <c:v>0.60750000000000004</c:v>
                </c:pt>
                <c:pt idx="1248">
                  <c:v>0.60749999999999993</c:v>
                </c:pt>
                <c:pt idx="1249">
                  <c:v>0.60499999999999998</c:v>
                </c:pt>
                <c:pt idx="1250">
                  <c:v>0.59750000000000003</c:v>
                </c:pt>
                <c:pt idx="1251">
                  <c:v>0.59750000000000003</c:v>
                </c:pt>
                <c:pt idx="1252">
                  <c:v>0.59750000000000003</c:v>
                </c:pt>
                <c:pt idx="1253">
                  <c:v>0.59500000000000008</c:v>
                </c:pt>
                <c:pt idx="1254">
                  <c:v>0.59500000000000008</c:v>
                </c:pt>
                <c:pt idx="1255">
                  <c:v>0.59500000000000008</c:v>
                </c:pt>
                <c:pt idx="1256">
                  <c:v>0.59750000000000003</c:v>
                </c:pt>
                <c:pt idx="1257">
                  <c:v>0.59499999999999997</c:v>
                </c:pt>
                <c:pt idx="1258">
                  <c:v>0.5924999999999998</c:v>
                </c:pt>
                <c:pt idx="1259">
                  <c:v>0.58999999999999986</c:v>
                </c:pt>
                <c:pt idx="1260">
                  <c:v>0.58999999999999986</c:v>
                </c:pt>
                <c:pt idx="1261">
                  <c:v>0.58749999999999991</c:v>
                </c:pt>
                <c:pt idx="1262">
                  <c:v>0.58499999999999985</c:v>
                </c:pt>
                <c:pt idx="1263">
                  <c:v>0.58499999999999985</c:v>
                </c:pt>
                <c:pt idx="1264">
                  <c:v>0.58500000000000008</c:v>
                </c:pt>
                <c:pt idx="1265">
                  <c:v>0.60750000000000004</c:v>
                </c:pt>
                <c:pt idx="1266">
                  <c:v>0.60249999999999992</c:v>
                </c:pt>
                <c:pt idx="1267">
                  <c:v>0.59</c:v>
                </c:pt>
                <c:pt idx="1268">
                  <c:v>0.59750000000000003</c:v>
                </c:pt>
                <c:pt idx="1269">
                  <c:v>0.59999999999999987</c:v>
                </c:pt>
                <c:pt idx="1270">
                  <c:v>0.6</c:v>
                </c:pt>
                <c:pt idx="1271">
                  <c:v>0.60750000000000004</c:v>
                </c:pt>
                <c:pt idx="1272">
                  <c:v>0.60750000000000004</c:v>
                </c:pt>
                <c:pt idx="1273">
                  <c:v>0.61</c:v>
                </c:pt>
                <c:pt idx="1274">
                  <c:v>0.61250000000000016</c:v>
                </c:pt>
                <c:pt idx="1275">
                  <c:v>0.61250000000000004</c:v>
                </c:pt>
                <c:pt idx="1276">
                  <c:v>0.6150000000000001</c:v>
                </c:pt>
                <c:pt idx="1277">
                  <c:v>0.61250000000000016</c:v>
                </c:pt>
                <c:pt idx="1278">
                  <c:v>0.60750000000000015</c:v>
                </c:pt>
                <c:pt idx="1279">
                  <c:v>0.60750000000000015</c:v>
                </c:pt>
                <c:pt idx="1280">
                  <c:v>0.59250000000000003</c:v>
                </c:pt>
                <c:pt idx="1281">
                  <c:v>0.59250000000000003</c:v>
                </c:pt>
                <c:pt idx="1282">
                  <c:v>0.59250000000000003</c:v>
                </c:pt>
                <c:pt idx="1283">
                  <c:v>0.59250000000000003</c:v>
                </c:pt>
                <c:pt idx="1284">
                  <c:v>0.59250000000000003</c:v>
                </c:pt>
                <c:pt idx="1285">
                  <c:v>0.59750000000000003</c:v>
                </c:pt>
                <c:pt idx="1286">
                  <c:v>0.59500000000000008</c:v>
                </c:pt>
                <c:pt idx="1287">
                  <c:v>0.60000000000000009</c:v>
                </c:pt>
                <c:pt idx="1288">
                  <c:v>0.60250000000000015</c:v>
                </c:pt>
                <c:pt idx="1289">
                  <c:v>0.60500000000000009</c:v>
                </c:pt>
                <c:pt idx="1290">
                  <c:v>0.60250000000000015</c:v>
                </c:pt>
                <c:pt idx="1291">
                  <c:v>0.60250000000000015</c:v>
                </c:pt>
                <c:pt idx="1292">
                  <c:v>0.6050000000000002</c:v>
                </c:pt>
                <c:pt idx="1293">
                  <c:v>0.61000000000000021</c:v>
                </c:pt>
                <c:pt idx="1294">
                  <c:v>0.6100000000000001</c:v>
                </c:pt>
                <c:pt idx="1295">
                  <c:v>0.6050000000000002</c:v>
                </c:pt>
                <c:pt idx="1296">
                  <c:v>0.6</c:v>
                </c:pt>
                <c:pt idx="1297">
                  <c:v>0.61250000000000004</c:v>
                </c:pt>
                <c:pt idx="1298">
                  <c:v>0.60999999999999988</c:v>
                </c:pt>
                <c:pt idx="1299">
                  <c:v>0.60749999999999993</c:v>
                </c:pt>
                <c:pt idx="1300">
                  <c:v>0.60500000000000009</c:v>
                </c:pt>
                <c:pt idx="1301">
                  <c:v>0.59750000000000003</c:v>
                </c:pt>
                <c:pt idx="1302">
                  <c:v>0.59250000000000003</c:v>
                </c:pt>
                <c:pt idx="1303">
                  <c:v>0.59250000000000003</c:v>
                </c:pt>
                <c:pt idx="1304">
                  <c:v>0.58500000000000019</c:v>
                </c:pt>
                <c:pt idx="1305">
                  <c:v>0.58500000000000019</c:v>
                </c:pt>
                <c:pt idx="1306">
                  <c:v>0.58750000000000024</c:v>
                </c:pt>
                <c:pt idx="1307">
                  <c:v>0.59000000000000019</c:v>
                </c:pt>
                <c:pt idx="1308">
                  <c:v>0.59500000000000031</c:v>
                </c:pt>
                <c:pt idx="1309">
                  <c:v>0.59250000000000003</c:v>
                </c:pt>
                <c:pt idx="1310">
                  <c:v>0.59250000000000003</c:v>
                </c:pt>
                <c:pt idx="1311">
                  <c:v>0.59250000000000003</c:v>
                </c:pt>
                <c:pt idx="1312">
                  <c:v>0.59250000000000003</c:v>
                </c:pt>
                <c:pt idx="1313">
                  <c:v>0.59250000000000003</c:v>
                </c:pt>
                <c:pt idx="1314">
                  <c:v>0.59250000000000003</c:v>
                </c:pt>
                <c:pt idx="1315">
                  <c:v>0.59250000000000003</c:v>
                </c:pt>
                <c:pt idx="1316">
                  <c:v>0.59250000000000003</c:v>
                </c:pt>
                <c:pt idx="1317">
                  <c:v>0.59250000000000003</c:v>
                </c:pt>
                <c:pt idx="1318">
                  <c:v>0.59250000000000003</c:v>
                </c:pt>
                <c:pt idx="1319">
                  <c:v>0.59500000000000008</c:v>
                </c:pt>
                <c:pt idx="1320">
                  <c:v>0.5924999999999998</c:v>
                </c:pt>
                <c:pt idx="1321">
                  <c:v>0.58999999999999986</c:v>
                </c:pt>
                <c:pt idx="1322">
                  <c:v>0.5924999999999998</c:v>
                </c:pt>
                <c:pt idx="1323">
                  <c:v>0.58999999999999986</c:v>
                </c:pt>
                <c:pt idx="1324">
                  <c:v>0.59749999999999981</c:v>
                </c:pt>
                <c:pt idx="1325">
                  <c:v>0.61249999999999993</c:v>
                </c:pt>
                <c:pt idx="1326">
                  <c:v>0.60499999999999998</c:v>
                </c:pt>
                <c:pt idx="1327">
                  <c:v>0.59749999999999992</c:v>
                </c:pt>
                <c:pt idx="1328">
                  <c:v>0.5874999999999998</c:v>
                </c:pt>
                <c:pt idx="1329">
                  <c:v>0.57999999999999985</c:v>
                </c:pt>
                <c:pt idx="1330">
                  <c:v>0.57999999999999985</c:v>
                </c:pt>
                <c:pt idx="1331">
                  <c:v>0.5724999999999999</c:v>
                </c:pt>
                <c:pt idx="1332">
                  <c:v>0.57499999999999996</c:v>
                </c:pt>
                <c:pt idx="1333">
                  <c:v>0.57500000000000007</c:v>
                </c:pt>
                <c:pt idx="1334">
                  <c:v>0.57250000000000001</c:v>
                </c:pt>
                <c:pt idx="1335">
                  <c:v>0.57000000000000006</c:v>
                </c:pt>
                <c:pt idx="1336">
                  <c:v>0.57000000000000006</c:v>
                </c:pt>
                <c:pt idx="1337">
                  <c:v>0.56750000000000012</c:v>
                </c:pt>
                <c:pt idx="1338">
                  <c:v>0.57000000000000017</c:v>
                </c:pt>
                <c:pt idx="1339">
                  <c:v>0.56750000000000012</c:v>
                </c:pt>
                <c:pt idx="1340">
                  <c:v>0.56750000000000012</c:v>
                </c:pt>
                <c:pt idx="1341">
                  <c:v>0.56750000000000012</c:v>
                </c:pt>
                <c:pt idx="1342">
                  <c:v>0.56750000000000012</c:v>
                </c:pt>
                <c:pt idx="1343">
                  <c:v>0.56750000000000012</c:v>
                </c:pt>
                <c:pt idx="1344">
                  <c:v>0.56750000000000012</c:v>
                </c:pt>
                <c:pt idx="1345">
                  <c:v>0.5625</c:v>
                </c:pt>
                <c:pt idx="1346">
                  <c:v>0.5625</c:v>
                </c:pt>
                <c:pt idx="1347">
                  <c:v>0.55499999999999994</c:v>
                </c:pt>
                <c:pt idx="1348">
                  <c:v>0.55249999999999999</c:v>
                </c:pt>
                <c:pt idx="1349">
                  <c:v>0.55250000000000021</c:v>
                </c:pt>
                <c:pt idx="1350">
                  <c:v>0.5525000000000001</c:v>
                </c:pt>
                <c:pt idx="1351">
                  <c:v>0.55000000000000004</c:v>
                </c:pt>
                <c:pt idx="1352">
                  <c:v>0.55000000000000004</c:v>
                </c:pt>
                <c:pt idx="1353">
                  <c:v>0.54749999999999999</c:v>
                </c:pt>
                <c:pt idx="1354">
                  <c:v>0.54500000000000004</c:v>
                </c:pt>
                <c:pt idx="1355">
                  <c:v>0.5525000000000001</c:v>
                </c:pt>
                <c:pt idx="1356">
                  <c:v>0.54749999999999999</c:v>
                </c:pt>
                <c:pt idx="1357">
                  <c:v>0.54249999999999998</c:v>
                </c:pt>
                <c:pt idx="1358">
                  <c:v>0.54749999999999999</c:v>
                </c:pt>
                <c:pt idx="1359">
                  <c:v>0.54250000000000009</c:v>
                </c:pt>
                <c:pt idx="1360">
                  <c:v>0.54500000000000004</c:v>
                </c:pt>
                <c:pt idx="1361">
                  <c:v>0.55000000000000004</c:v>
                </c:pt>
                <c:pt idx="1362">
                  <c:v>0.55249999999999999</c:v>
                </c:pt>
                <c:pt idx="1363">
                  <c:v>0.55000000000000016</c:v>
                </c:pt>
                <c:pt idx="1364">
                  <c:v>0.55249999999999999</c:v>
                </c:pt>
                <c:pt idx="1365">
                  <c:v>0.55500000000000005</c:v>
                </c:pt>
                <c:pt idx="1366">
                  <c:v>0.55000000000000016</c:v>
                </c:pt>
                <c:pt idx="1367">
                  <c:v>0.55000000000000016</c:v>
                </c:pt>
                <c:pt idx="1368">
                  <c:v>0.53999999999999992</c:v>
                </c:pt>
                <c:pt idx="1369">
                  <c:v>0.54250000000000009</c:v>
                </c:pt>
                <c:pt idx="1370">
                  <c:v>0.54250000000000009</c:v>
                </c:pt>
                <c:pt idx="1371">
                  <c:v>0.54250000000000009</c:v>
                </c:pt>
                <c:pt idx="1372">
                  <c:v>0.54250000000000009</c:v>
                </c:pt>
                <c:pt idx="1373">
                  <c:v>0.54250000000000009</c:v>
                </c:pt>
                <c:pt idx="1374">
                  <c:v>0.54250000000000009</c:v>
                </c:pt>
                <c:pt idx="1375">
                  <c:v>0.54250000000000009</c:v>
                </c:pt>
                <c:pt idx="1376">
                  <c:v>0.53999999999999992</c:v>
                </c:pt>
                <c:pt idx="1377">
                  <c:v>0.53749999999999998</c:v>
                </c:pt>
                <c:pt idx="1378">
                  <c:v>0.53749999999999998</c:v>
                </c:pt>
                <c:pt idx="1379">
                  <c:v>0.53749999999999998</c:v>
                </c:pt>
                <c:pt idx="1380">
                  <c:v>0.53500000000000003</c:v>
                </c:pt>
                <c:pt idx="1381">
                  <c:v>0.53749999999999998</c:v>
                </c:pt>
                <c:pt idx="1382">
                  <c:v>0.53999999999999992</c:v>
                </c:pt>
                <c:pt idx="1383">
                  <c:v>0.54249999999999998</c:v>
                </c:pt>
                <c:pt idx="1384">
                  <c:v>0.54749999999999988</c:v>
                </c:pt>
                <c:pt idx="1385">
                  <c:v>0.53250000000000008</c:v>
                </c:pt>
                <c:pt idx="1386">
                  <c:v>0.54000000000000015</c:v>
                </c:pt>
                <c:pt idx="1387">
                  <c:v>0.55000000000000004</c:v>
                </c:pt>
                <c:pt idx="1388">
                  <c:v>0.54000000000000015</c:v>
                </c:pt>
                <c:pt idx="1389">
                  <c:v>0.53999999999999992</c:v>
                </c:pt>
                <c:pt idx="1390">
                  <c:v>0.53500000000000003</c:v>
                </c:pt>
                <c:pt idx="1391">
                  <c:v>0.54000000000000015</c:v>
                </c:pt>
                <c:pt idx="1392">
                  <c:v>0.53250000000000008</c:v>
                </c:pt>
                <c:pt idx="1393">
                  <c:v>0.53250000000000008</c:v>
                </c:pt>
                <c:pt idx="1394">
                  <c:v>0.52750000000000008</c:v>
                </c:pt>
                <c:pt idx="1395">
                  <c:v>0.52750000000000008</c:v>
                </c:pt>
                <c:pt idx="1396">
                  <c:v>0.52500000000000002</c:v>
                </c:pt>
                <c:pt idx="1397">
                  <c:v>0.52499999999999991</c:v>
                </c:pt>
                <c:pt idx="1398">
                  <c:v>0.52249999999999996</c:v>
                </c:pt>
                <c:pt idx="1399">
                  <c:v>0.52499999999999991</c:v>
                </c:pt>
                <c:pt idx="1400">
                  <c:v>0.52499999999999991</c:v>
                </c:pt>
                <c:pt idx="1401">
                  <c:v>0.52499999999999991</c:v>
                </c:pt>
                <c:pt idx="1402">
                  <c:v>0.52499999999999991</c:v>
                </c:pt>
                <c:pt idx="1403">
                  <c:v>0.52499999999999991</c:v>
                </c:pt>
                <c:pt idx="1404">
                  <c:v>0.52499999999999991</c:v>
                </c:pt>
                <c:pt idx="1405">
                  <c:v>0.52499999999999991</c:v>
                </c:pt>
                <c:pt idx="1406">
                  <c:v>0.52249999999999996</c:v>
                </c:pt>
                <c:pt idx="1407">
                  <c:v>0.52249999999999985</c:v>
                </c:pt>
                <c:pt idx="1408">
                  <c:v>0.52</c:v>
                </c:pt>
                <c:pt idx="1409">
                  <c:v>0.51749999999999996</c:v>
                </c:pt>
                <c:pt idx="1410">
                  <c:v>0.5149999999999999</c:v>
                </c:pt>
                <c:pt idx="1411">
                  <c:v>0.51749999999999985</c:v>
                </c:pt>
                <c:pt idx="1412">
                  <c:v>0.51999999999999991</c:v>
                </c:pt>
                <c:pt idx="1413">
                  <c:v>0.52249999999999985</c:v>
                </c:pt>
                <c:pt idx="1414">
                  <c:v>0.53249999999999997</c:v>
                </c:pt>
                <c:pt idx="1415">
                  <c:v>0.52499999999999991</c:v>
                </c:pt>
                <c:pt idx="1416">
                  <c:v>0.53249999999999997</c:v>
                </c:pt>
                <c:pt idx="1417">
                  <c:v>0.52999999999999992</c:v>
                </c:pt>
                <c:pt idx="1418">
                  <c:v>0.53749999999999998</c:v>
                </c:pt>
                <c:pt idx="1419">
                  <c:v>0.54500000000000004</c:v>
                </c:pt>
                <c:pt idx="1420">
                  <c:v>0.54749999999999988</c:v>
                </c:pt>
                <c:pt idx="1421">
                  <c:v>0.55249999999999999</c:v>
                </c:pt>
                <c:pt idx="1422">
                  <c:v>0.55749999999999988</c:v>
                </c:pt>
                <c:pt idx="1423">
                  <c:v>0.56749999999999978</c:v>
                </c:pt>
                <c:pt idx="1424">
                  <c:v>0.57999999999999985</c:v>
                </c:pt>
                <c:pt idx="1425">
                  <c:v>0.5774999999999999</c:v>
                </c:pt>
                <c:pt idx="1426">
                  <c:v>0.57999999999999996</c:v>
                </c:pt>
                <c:pt idx="1427">
                  <c:v>0.58499999999999985</c:v>
                </c:pt>
                <c:pt idx="1428">
                  <c:v>0.58750000000000002</c:v>
                </c:pt>
                <c:pt idx="1429">
                  <c:v>0.58500000000000008</c:v>
                </c:pt>
                <c:pt idx="1430">
                  <c:v>0.58500000000000008</c:v>
                </c:pt>
                <c:pt idx="1431">
                  <c:v>0.58500000000000008</c:v>
                </c:pt>
                <c:pt idx="1432">
                  <c:v>0.58500000000000008</c:v>
                </c:pt>
                <c:pt idx="1433">
                  <c:v>0.58500000000000008</c:v>
                </c:pt>
                <c:pt idx="1434">
                  <c:v>0.58500000000000008</c:v>
                </c:pt>
                <c:pt idx="1435">
                  <c:v>0.58500000000000008</c:v>
                </c:pt>
                <c:pt idx="1436">
                  <c:v>0.58500000000000008</c:v>
                </c:pt>
                <c:pt idx="1437">
                  <c:v>0.59</c:v>
                </c:pt>
                <c:pt idx="1438">
                  <c:v>0.58749999999999991</c:v>
                </c:pt>
                <c:pt idx="1439">
                  <c:v>0.58249999999999991</c:v>
                </c:pt>
                <c:pt idx="1440">
                  <c:v>0.58249999999999991</c:v>
                </c:pt>
                <c:pt idx="1441">
                  <c:v>0.5824999999999998</c:v>
                </c:pt>
                <c:pt idx="1442">
                  <c:v>0.57999999999999996</c:v>
                </c:pt>
                <c:pt idx="1443">
                  <c:v>0.5774999999999999</c:v>
                </c:pt>
                <c:pt idx="1444">
                  <c:v>0.57750000000000001</c:v>
                </c:pt>
                <c:pt idx="1445">
                  <c:v>0.5924999999999998</c:v>
                </c:pt>
                <c:pt idx="1446">
                  <c:v>0.58999999999999986</c:v>
                </c:pt>
                <c:pt idx="1447">
                  <c:v>0.58249999999999991</c:v>
                </c:pt>
                <c:pt idx="1448">
                  <c:v>0.59</c:v>
                </c:pt>
                <c:pt idx="1449">
                  <c:v>0.58499999999999985</c:v>
                </c:pt>
                <c:pt idx="1450">
                  <c:v>0.59</c:v>
                </c:pt>
                <c:pt idx="1451">
                  <c:v>0.58750000000000002</c:v>
                </c:pt>
                <c:pt idx="1452">
                  <c:v>0.59</c:v>
                </c:pt>
                <c:pt idx="1453">
                  <c:v>0.59</c:v>
                </c:pt>
                <c:pt idx="1454">
                  <c:v>0.59250000000000003</c:v>
                </c:pt>
                <c:pt idx="1455">
                  <c:v>0.5950000000000002</c:v>
                </c:pt>
                <c:pt idx="1456">
                  <c:v>0.5950000000000002</c:v>
                </c:pt>
                <c:pt idx="1457">
                  <c:v>0.59250000000000003</c:v>
                </c:pt>
                <c:pt idx="1458">
                  <c:v>0.59250000000000003</c:v>
                </c:pt>
                <c:pt idx="1459">
                  <c:v>0.59000000000000008</c:v>
                </c:pt>
                <c:pt idx="1460">
                  <c:v>0.59000000000000008</c:v>
                </c:pt>
                <c:pt idx="1461">
                  <c:v>0.59000000000000008</c:v>
                </c:pt>
                <c:pt idx="1462">
                  <c:v>0.59000000000000008</c:v>
                </c:pt>
                <c:pt idx="1463">
                  <c:v>0.59000000000000008</c:v>
                </c:pt>
                <c:pt idx="1464">
                  <c:v>0.59000000000000008</c:v>
                </c:pt>
                <c:pt idx="1465">
                  <c:v>0.59000000000000008</c:v>
                </c:pt>
                <c:pt idx="1466">
                  <c:v>0.59000000000000008</c:v>
                </c:pt>
                <c:pt idx="1467">
                  <c:v>0.59000000000000008</c:v>
                </c:pt>
                <c:pt idx="1468">
                  <c:v>0.58750000000000002</c:v>
                </c:pt>
                <c:pt idx="1469">
                  <c:v>0.58750000000000002</c:v>
                </c:pt>
                <c:pt idx="1470">
                  <c:v>0.59250000000000003</c:v>
                </c:pt>
                <c:pt idx="1471">
                  <c:v>0.59249999999999992</c:v>
                </c:pt>
                <c:pt idx="1472">
                  <c:v>0.58749999999999991</c:v>
                </c:pt>
                <c:pt idx="1473">
                  <c:v>0.58750000000000002</c:v>
                </c:pt>
                <c:pt idx="1474">
                  <c:v>0.58250000000000002</c:v>
                </c:pt>
                <c:pt idx="1475">
                  <c:v>0.58750000000000002</c:v>
                </c:pt>
                <c:pt idx="1476">
                  <c:v>0.57999999999999996</c:v>
                </c:pt>
                <c:pt idx="1477">
                  <c:v>0.57750000000000012</c:v>
                </c:pt>
                <c:pt idx="1478">
                  <c:v>0.56499999999999995</c:v>
                </c:pt>
                <c:pt idx="1479">
                  <c:v>0.5675</c:v>
                </c:pt>
                <c:pt idx="1480">
                  <c:v>0.56499999999999995</c:v>
                </c:pt>
                <c:pt idx="1481">
                  <c:v>0.5625</c:v>
                </c:pt>
                <c:pt idx="1482">
                  <c:v>0.55500000000000005</c:v>
                </c:pt>
                <c:pt idx="1483">
                  <c:v>0.54249999999999998</c:v>
                </c:pt>
                <c:pt idx="1484">
                  <c:v>0.52999999999999992</c:v>
                </c:pt>
                <c:pt idx="1485">
                  <c:v>0.52749999999999997</c:v>
                </c:pt>
                <c:pt idx="1486">
                  <c:v>0.52499999999999991</c:v>
                </c:pt>
                <c:pt idx="1487">
                  <c:v>0.51749999999999985</c:v>
                </c:pt>
                <c:pt idx="1488">
                  <c:v>0.51749999999999996</c:v>
                </c:pt>
                <c:pt idx="1489">
                  <c:v>0.51749999999999985</c:v>
                </c:pt>
                <c:pt idx="1490">
                  <c:v>0.51749999999999985</c:v>
                </c:pt>
                <c:pt idx="1491">
                  <c:v>0.51749999999999985</c:v>
                </c:pt>
                <c:pt idx="1492">
                  <c:v>0.51749999999999985</c:v>
                </c:pt>
                <c:pt idx="1493">
                  <c:v>0.51749999999999985</c:v>
                </c:pt>
                <c:pt idx="1494">
                  <c:v>0.51749999999999985</c:v>
                </c:pt>
                <c:pt idx="1495">
                  <c:v>0.51749999999999985</c:v>
                </c:pt>
                <c:pt idx="1496">
                  <c:v>0.51749999999999985</c:v>
                </c:pt>
                <c:pt idx="1497">
                  <c:v>0.51249999999999996</c:v>
                </c:pt>
                <c:pt idx="1498">
                  <c:v>0.51249999999999996</c:v>
                </c:pt>
                <c:pt idx="1499">
                  <c:v>0.51</c:v>
                </c:pt>
                <c:pt idx="1500">
                  <c:v>0.51249999999999996</c:v>
                </c:pt>
                <c:pt idx="1501">
                  <c:v>0.51249999999999996</c:v>
                </c:pt>
                <c:pt idx="1502">
                  <c:v>0.51249999999999996</c:v>
                </c:pt>
                <c:pt idx="1503">
                  <c:v>0.51249999999999996</c:v>
                </c:pt>
                <c:pt idx="1504">
                  <c:v>0.49749999999999994</c:v>
                </c:pt>
                <c:pt idx="1505">
                  <c:v>0.49249999999999994</c:v>
                </c:pt>
                <c:pt idx="1506">
                  <c:v>0.48999999999999994</c:v>
                </c:pt>
                <c:pt idx="1507">
                  <c:v>0.49249999999999994</c:v>
                </c:pt>
                <c:pt idx="1508">
                  <c:v>0.495</c:v>
                </c:pt>
                <c:pt idx="1509">
                  <c:v>0.50249999999999995</c:v>
                </c:pt>
                <c:pt idx="1510">
                  <c:v>0.4975</c:v>
                </c:pt>
                <c:pt idx="1511">
                  <c:v>0.50000000000000011</c:v>
                </c:pt>
                <c:pt idx="1512">
                  <c:v>0.5</c:v>
                </c:pt>
                <c:pt idx="1513">
                  <c:v>0.4975</c:v>
                </c:pt>
                <c:pt idx="1514">
                  <c:v>0.495</c:v>
                </c:pt>
                <c:pt idx="1515">
                  <c:v>0.49249999999999999</c:v>
                </c:pt>
                <c:pt idx="1516">
                  <c:v>0.49000000000000005</c:v>
                </c:pt>
                <c:pt idx="1517">
                  <c:v>0.49249999999999999</c:v>
                </c:pt>
                <c:pt idx="1518">
                  <c:v>0.4900000000000001</c:v>
                </c:pt>
                <c:pt idx="1519">
                  <c:v>0.4900000000000001</c:v>
                </c:pt>
                <c:pt idx="1520">
                  <c:v>0.4900000000000001</c:v>
                </c:pt>
                <c:pt idx="1521">
                  <c:v>0.4900000000000001</c:v>
                </c:pt>
                <c:pt idx="1522">
                  <c:v>0.4900000000000001</c:v>
                </c:pt>
                <c:pt idx="1523">
                  <c:v>0.4900000000000001</c:v>
                </c:pt>
                <c:pt idx="1524">
                  <c:v>0.4900000000000001</c:v>
                </c:pt>
                <c:pt idx="1525">
                  <c:v>0.4900000000000001</c:v>
                </c:pt>
                <c:pt idx="1526">
                  <c:v>0.4900000000000001</c:v>
                </c:pt>
                <c:pt idx="1527">
                  <c:v>0.4875000000000001</c:v>
                </c:pt>
                <c:pt idx="1528">
                  <c:v>0.48750000000000004</c:v>
                </c:pt>
                <c:pt idx="1529">
                  <c:v>0.48500000000000004</c:v>
                </c:pt>
                <c:pt idx="1530">
                  <c:v>0.48500000000000004</c:v>
                </c:pt>
                <c:pt idx="1531">
                  <c:v>0.48000000000000004</c:v>
                </c:pt>
                <c:pt idx="1532">
                  <c:v>0.48249999999999998</c:v>
                </c:pt>
                <c:pt idx="1533">
                  <c:v>0.48000000000000004</c:v>
                </c:pt>
                <c:pt idx="1534">
                  <c:v>0.48000000000000004</c:v>
                </c:pt>
                <c:pt idx="1535">
                  <c:v>0.48000000000000004</c:v>
                </c:pt>
                <c:pt idx="1536">
                  <c:v>0.47499999999999998</c:v>
                </c:pt>
                <c:pt idx="1537">
                  <c:v>0.47250000000000003</c:v>
                </c:pt>
                <c:pt idx="1538">
                  <c:v>0.47499999999999998</c:v>
                </c:pt>
                <c:pt idx="1539">
                  <c:v>0.46999999999999992</c:v>
                </c:pt>
                <c:pt idx="1540">
                  <c:v>0.46749999999999997</c:v>
                </c:pt>
                <c:pt idx="1541">
                  <c:v>0.46999999999999992</c:v>
                </c:pt>
                <c:pt idx="1542">
                  <c:v>0.47249999999999992</c:v>
                </c:pt>
                <c:pt idx="1543">
                  <c:v>0.47499999999999992</c:v>
                </c:pt>
                <c:pt idx="1544">
                  <c:v>0.47749999999999987</c:v>
                </c:pt>
                <c:pt idx="1545">
                  <c:v>0.47999999999999987</c:v>
                </c:pt>
                <c:pt idx="1546">
                  <c:v>0.47749999999999998</c:v>
                </c:pt>
                <c:pt idx="1547">
                  <c:v>0.47749999999999998</c:v>
                </c:pt>
                <c:pt idx="1548">
                  <c:v>0.47749999999999998</c:v>
                </c:pt>
                <c:pt idx="1549">
                  <c:v>0.47499999999999992</c:v>
                </c:pt>
                <c:pt idx="1550">
                  <c:v>0.47499999999999992</c:v>
                </c:pt>
                <c:pt idx="1551">
                  <c:v>0.47499999999999992</c:v>
                </c:pt>
                <c:pt idx="1552">
                  <c:v>0.47499999999999992</c:v>
                </c:pt>
                <c:pt idx="1553">
                  <c:v>0.47499999999999992</c:v>
                </c:pt>
                <c:pt idx="1554">
                  <c:v>0.47499999999999992</c:v>
                </c:pt>
                <c:pt idx="1555">
                  <c:v>0.47499999999999992</c:v>
                </c:pt>
                <c:pt idx="1556">
                  <c:v>0.47499999999999992</c:v>
                </c:pt>
                <c:pt idx="1557">
                  <c:v>0.47499999999999992</c:v>
                </c:pt>
                <c:pt idx="1558">
                  <c:v>0.47249999999999998</c:v>
                </c:pt>
                <c:pt idx="1559">
                  <c:v>0.47499999999999992</c:v>
                </c:pt>
                <c:pt idx="1560">
                  <c:v>0.47499999999999992</c:v>
                </c:pt>
                <c:pt idx="1561">
                  <c:v>0.47249999999999998</c:v>
                </c:pt>
                <c:pt idx="1562">
                  <c:v>0.46749999999999992</c:v>
                </c:pt>
                <c:pt idx="1563">
                  <c:v>0.46999999999999992</c:v>
                </c:pt>
                <c:pt idx="1564">
                  <c:v>0.48749999999999988</c:v>
                </c:pt>
                <c:pt idx="1565">
                  <c:v>0.47999999999999987</c:v>
                </c:pt>
                <c:pt idx="1566">
                  <c:v>0.47999999999999987</c:v>
                </c:pt>
                <c:pt idx="1567">
                  <c:v>0.48249999999999998</c:v>
                </c:pt>
                <c:pt idx="1568">
                  <c:v>0.49</c:v>
                </c:pt>
                <c:pt idx="1569">
                  <c:v>0.49499999999999994</c:v>
                </c:pt>
                <c:pt idx="1570">
                  <c:v>0.505</c:v>
                </c:pt>
                <c:pt idx="1571">
                  <c:v>0.50499999999999989</c:v>
                </c:pt>
                <c:pt idx="1572">
                  <c:v>0.50749999999999995</c:v>
                </c:pt>
                <c:pt idx="1573">
                  <c:v>0.51</c:v>
                </c:pt>
                <c:pt idx="1574">
                  <c:v>0.51249999999999996</c:v>
                </c:pt>
                <c:pt idx="1575">
                  <c:v>0.51500000000000001</c:v>
                </c:pt>
                <c:pt idx="1576">
                  <c:v>0.52</c:v>
                </c:pt>
                <c:pt idx="1577">
                  <c:v>0.52</c:v>
                </c:pt>
                <c:pt idx="1578">
                  <c:v>0.52250000000000008</c:v>
                </c:pt>
                <c:pt idx="1579">
                  <c:v>0.52500000000000002</c:v>
                </c:pt>
                <c:pt idx="1580">
                  <c:v>0.52500000000000002</c:v>
                </c:pt>
                <c:pt idx="1581">
                  <c:v>0.52500000000000002</c:v>
                </c:pt>
                <c:pt idx="1582">
                  <c:v>0.52500000000000002</c:v>
                </c:pt>
                <c:pt idx="1583">
                  <c:v>0.52500000000000002</c:v>
                </c:pt>
                <c:pt idx="1584">
                  <c:v>0.52500000000000002</c:v>
                </c:pt>
                <c:pt idx="1585">
                  <c:v>0.52500000000000002</c:v>
                </c:pt>
                <c:pt idx="1586">
                  <c:v>0.52500000000000002</c:v>
                </c:pt>
                <c:pt idx="1587">
                  <c:v>0.52500000000000002</c:v>
                </c:pt>
                <c:pt idx="1588">
                  <c:v>0.52749999999999997</c:v>
                </c:pt>
                <c:pt idx="1589">
                  <c:v>0.53249999999999997</c:v>
                </c:pt>
                <c:pt idx="1590">
                  <c:v>0.53499999999999992</c:v>
                </c:pt>
                <c:pt idx="1591">
                  <c:v>0.53999999999999992</c:v>
                </c:pt>
                <c:pt idx="1592">
                  <c:v>0.54000000000000015</c:v>
                </c:pt>
                <c:pt idx="1593">
                  <c:v>0.54250000000000009</c:v>
                </c:pt>
                <c:pt idx="1594">
                  <c:v>0.54749999999999988</c:v>
                </c:pt>
                <c:pt idx="1595">
                  <c:v>0.54249999999999998</c:v>
                </c:pt>
                <c:pt idx="1596">
                  <c:v>0.56000000000000005</c:v>
                </c:pt>
                <c:pt idx="1597">
                  <c:v>0.56000000000000005</c:v>
                </c:pt>
                <c:pt idx="1598">
                  <c:v>0.56000000000000005</c:v>
                </c:pt>
                <c:pt idx="1599">
                  <c:v>0.55750000000000022</c:v>
                </c:pt>
                <c:pt idx="1600">
                  <c:v>0.5525000000000001</c:v>
                </c:pt>
                <c:pt idx="1601">
                  <c:v>0.54500000000000015</c:v>
                </c:pt>
                <c:pt idx="1602">
                  <c:v>0.53999999999999992</c:v>
                </c:pt>
                <c:pt idx="1603">
                  <c:v>0.53999999999999992</c:v>
                </c:pt>
                <c:pt idx="1604">
                  <c:v>0.54249999999999998</c:v>
                </c:pt>
                <c:pt idx="1605">
                  <c:v>0.53999999999999992</c:v>
                </c:pt>
                <c:pt idx="1606">
                  <c:v>0.54749999999999999</c:v>
                </c:pt>
                <c:pt idx="1607">
                  <c:v>0.55000000000000004</c:v>
                </c:pt>
                <c:pt idx="1608">
                  <c:v>0.54249999999999998</c:v>
                </c:pt>
                <c:pt idx="1609">
                  <c:v>0.54499999999999993</c:v>
                </c:pt>
                <c:pt idx="1610">
                  <c:v>0.54499999999999993</c:v>
                </c:pt>
                <c:pt idx="1611">
                  <c:v>0.54499999999999993</c:v>
                </c:pt>
                <c:pt idx="1612">
                  <c:v>0.54499999999999993</c:v>
                </c:pt>
                <c:pt idx="1613">
                  <c:v>0.54499999999999993</c:v>
                </c:pt>
                <c:pt idx="1614">
                  <c:v>0.54499999999999993</c:v>
                </c:pt>
                <c:pt idx="1615">
                  <c:v>0.54499999999999993</c:v>
                </c:pt>
                <c:pt idx="1616">
                  <c:v>0.54499999999999993</c:v>
                </c:pt>
                <c:pt idx="1617">
                  <c:v>0.54999999999999993</c:v>
                </c:pt>
                <c:pt idx="1618">
                  <c:v>0.55999999999999994</c:v>
                </c:pt>
                <c:pt idx="1619">
                  <c:v>0.56249999999999989</c:v>
                </c:pt>
                <c:pt idx="1620">
                  <c:v>0.56499999999999995</c:v>
                </c:pt>
                <c:pt idx="1621">
                  <c:v>0.57000000000000006</c:v>
                </c:pt>
                <c:pt idx="1622">
                  <c:v>0.5724999999999999</c:v>
                </c:pt>
                <c:pt idx="1623">
                  <c:v>0.57250000000000001</c:v>
                </c:pt>
                <c:pt idx="1624">
                  <c:v>0.56750000000000012</c:v>
                </c:pt>
                <c:pt idx="1625">
                  <c:v>0.5675</c:v>
                </c:pt>
                <c:pt idx="1626">
                  <c:v>0.57000000000000006</c:v>
                </c:pt>
                <c:pt idx="1627">
                  <c:v>0.56499999999999995</c:v>
                </c:pt>
                <c:pt idx="1628">
                  <c:v>0.55500000000000005</c:v>
                </c:pt>
                <c:pt idx="1629">
                  <c:v>0.53749999999999998</c:v>
                </c:pt>
                <c:pt idx="1630">
                  <c:v>0.53</c:v>
                </c:pt>
                <c:pt idx="1631">
                  <c:v>0.52250000000000008</c:v>
                </c:pt>
                <c:pt idx="1632">
                  <c:v>0.51750000000000007</c:v>
                </c:pt>
                <c:pt idx="1633">
                  <c:v>0.51750000000000007</c:v>
                </c:pt>
                <c:pt idx="1634">
                  <c:v>0.52</c:v>
                </c:pt>
                <c:pt idx="1635">
                  <c:v>0.51750000000000007</c:v>
                </c:pt>
                <c:pt idx="1636">
                  <c:v>0.51500000000000001</c:v>
                </c:pt>
                <c:pt idx="1637">
                  <c:v>0.51</c:v>
                </c:pt>
                <c:pt idx="1638">
                  <c:v>0.51500000000000001</c:v>
                </c:pt>
                <c:pt idx="1639">
                  <c:v>0.51249999999999996</c:v>
                </c:pt>
                <c:pt idx="1640">
                  <c:v>0.51249999999999996</c:v>
                </c:pt>
                <c:pt idx="1641">
                  <c:v>0.51249999999999996</c:v>
                </c:pt>
                <c:pt idx="1642">
                  <c:v>0.51249999999999996</c:v>
                </c:pt>
                <c:pt idx="1643">
                  <c:v>0.51249999999999996</c:v>
                </c:pt>
                <c:pt idx="1644">
                  <c:v>0.51249999999999996</c:v>
                </c:pt>
                <c:pt idx="1645">
                  <c:v>0.51249999999999996</c:v>
                </c:pt>
                <c:pt idx="1646">
                  <c:v>0.51500000000000001</c:v>
                </c:pt>
                <c:pt idx="1647">
                  <c:v>0.51749999999999996</c:v>
                </c:pt>
                <c:pt idx="1648">
                  <c:v>0.51749999999999996</c:v>
                </c:pt>
                <c:pt idx="1649">
                  <c:v>0.52</c:v>
                </c:pt>
                <c:pt idx="1650">
                  <c:v>0.51249999999999996</c:v>
                </c:pt>
                <c:pt idx="1651">
                  <c:v>0.51249999999999984</c:v>
                </c:pt>
                <c:pt idx="1652">
                  <c:v>0.5099999999999999</c:v>
                </c:pt>
                <c:pt idx="1653">
                  <c:v>0.50749999999999995</c:v>
                </c:pt>
                <c:pt idx="1654">
                  <c:v>0.50749999999999995</c:v>
                </c:pt>
                <c:pt idx="1655">
                  <c:v>0.50749999999999995</c:v>
                </c:pt>
                <c:pt idx="1656">
                  <c:v>0.50249999999999995</c:v>
                </c:pt>
                <c:pt idx="1657">
                  <c:v>0.505</c:v>
                </c:pt>
                <c:pt idx="1658">
                  <c:v>0.50249999999999995</c:v>
                </c:pt>
                <c:pt idx="1659">
                  <c:v>0.49999999999999994</c:v>
                </c:pt>
                <c:pt idx="1660">
                  <c:v>0.49999999999999994</c:v>
                </c:pt>
                <c:pt idx="1661">
                  <c:v>0.49999999999999994</c:v>
                </c:pt>
                <c:pt idx="1662">
                  <c:v>0.49999999999999994</c:v>
                </c:pt>
                <c:pt idx="1663">
                  <c:v>0.49999999999999989</c:v>
                </c:pt>
                <c:pt idx="1664">
                  <c:v>0.50249999999999995</c:v>
                </c:pt>
                <c:pt idx="1665">
                  <c:v>0.50499999999999989</c:v>
                </c:pt>
                <c:pt idx="1666">
                  <c:v>0.49999999999999989</c:v>
                </c:pt>
                <c:pt idx="1667">
                  <c:v>0.49249999999999988</c:v>
                </c:pt>
                <c:pt idx="1668">
                  <c:v>0.49999999999999989</c:v>
                </c:pt>
                <c:pt idx="1669">
                  <c:v>0.50249999999999995</c:v>
                </c:pt>
                <c:pt idx="1670">
                  <c:v>0.50249999999999995</c:v>
                </c:pt>
                <c:pt idx="1671">
                  <c:v>0.50249999999999995</c:v>
                </c:pt>
                <c:pt idx="1672">
                  <c:v>0.50249999999999995</c:v>
                </c:pt>
                <c:pt idx="1673">
                  <c:v>0.50249999999999995</c:v>
                </c:pt>
                <c:pt idx="1674">
                  <c:v>0.50249999999999995</c:v>
                </c:pt>
                <c:pt idx="1675">
                  <c:v>0.50249999999999995</c:v>
                </c:pt>
                <c:pt idx="1676">
                  <c:v>0.50499999999999989</c:v>
                </c:pt>
                <c:pt idx="1677">
                  <c:v>0.50749999999999984</c:v>
                </c:pt>
                <c:pt idx="1678">
                  <c:v>0.50499999999999978</c:v>
                </c:pt>
                <c:pt idx="1679">
                  <c:v>0.50499999999999989</c:v>
                </c:pt>
                <c:pt idx="1680">
                  <c:v>0.50499999999999978</c:v>
                </c:pt>
                <c:pt idx="1681">
                  <c:v>0.49999999999999989</c:v>
                </c:pt>
                <c:pt idx="1682">
                  <c:v>0.50249999999999984</c:v>
                </c:pt>
                <c:pt idx="1683">
                  <c:v>0.49999999999999989</c:v>
                </c:pt>
                <c:pt idx="1684">
                  <c:v>0.49749999999999989</c:v>
                </c:pt>
                <c:pt idx="1685">
                  <c:v>0.49749999999999989</c:v>
                </c:pt>
                <c:pt idx="1686">
                  <c:v>0.49999999999999994</c:v>
                </c:pt>
                <c:pt idx="1687">
                  <c:v>0.49999999999999994</c:v>
                </c:pt>
                <c:pt idx="1688">
                  <c:v>0.49749999999999989</c:v>
                </c:pt>
                <c:pt idx="1689">
                  <c:v>0.49999999999999989</c:v>
                </c:pt>
                <c:pt idx="1690">
                  <c:v>0.49249999999999988</c:v>
                </c:pt>
                <c:pt idx="1691">
                  <c:v>0.49749999999999989</c:v>
                </c:pt>
                <c:pt idx="1692">
                  <c:v>0.49499999999999994</c:v>
                </c:pt>
                <c:pt idx="1693">
                  <c:v>0.49249999999999988</c:v>
                </c:pt>
                <c:pt idx="1694">
                  <c:v>0.49499999999999994</c:v>
                </c:pt>
                <c:pt idx="1695">
                  <c:v>0.49499999999999994</c:v>
                </c:pt>
                <c:pt idx="1696">
                  <c:v>0.49249999999999994</c:v>
                </c:pt>
                <c:pt idx="1697">
                  <c:v>0.49</c:v>
                </c:pt>
                <c:pt idx="1698">
                  <c:v>0.48249999999999993</c:v>
                </c:pt>
                <c:pt idx="1699">
                  <c:v>0.48499999999999999</c:v>
                </c:pt>
                <c:pt idx="1700">
                  <c:v>0.48499999999999999</c:v>
                </c:pt>
                <c:pt idx="1701">
                  <c:v>0.48499999999999999</c:v>
                </c:pt>
                <c:pt idx="1702">
                  <c:v>0.48499999999999999</c:v>
                </c:pt>
                <c:pt idx="1703">
                  <c:v>0.48499999999999999</c:v>
                </c:pt>
                <c:pt idx="1704">
                  <c:v>0.48499999999999999</c:v>
                </c:pt>
                <c:pt idx="1705">
                  <c:v>0.48499999999999999</c:v>
                </c:pt>
                <c:pt idx="1706">
                  <c:v>0.48249999999999998</c:v>
                </c:pt>
                <c:pt idx="1707">
                  <c:v>0.48499999999999999</c:v>
                </c:pt>
                <c:pt idx="1708">
                  <c:v>0.48249999999999993</c:v>
                </c:pt>
                <c:pt idx="1709">
                  <c:v>0.47999999999999987</c:v>
                </c:pt>
                <c:pt idx="1710">
                  <c:v>0.48499999999999993</c:v>
                </c:pt>
                <c:pt idx="1711">
                  <c:v>0.48499999999999993</c:v>
                </c:pt>
                <c:pt idx="1712">
                  <c:v>0.48499999999999993</c:v>
                </c:pt>
                <c:pt idx="1713">
                  <c:v>0.48249999999999993</c:v>
                </c:pt>
                <c:pt idx="1714">
                  <c:v>0.48249999999999998</c:v>
                </c:pt>
                <c:pt idx="1715">
                  <c:v>0.48000000000000004</c:v>
                </c:pt>
                <c:pt idx="1716">
                  <c:v>0.47499999999999998</c:v>
                </c:pt>
                <c:pt idx="1717">
                  <c:v>0.48000000000000004</c:v>
                </c:pt>
                <c:pt idx="1718">
                  <c:v>0.48749999999999993</c:v>
                </c:pt>
                <c:pt idx="1719">
                  <c:v>0.49249999999999994</c:v>
                </c:pt>
                <c:pt idx="1720">
                  <c:v>0.49749999999999994</c:v>
                </c:pt>
                <c:pt idx="1721">
                  <c:v>0.5099999999999999</c:v>
                </c:pt>
                <c:pt idx="1722">
                  <c:v>0.52249999999999985</c:v>
                </c:pt>
                <c:pt idx="1723">
                  <c:v>0.51999999999999991</c:v>
                </c:pt>
                <c:pt idx="1724">
                  <c:v>0.52249999999999985</c:v>
                </c:pt>
                <c:pt idx="1725">
                  <c:v>0.52999999999999992</c:v>
                </c:pt>
                <c:pt idx="1726">
                  <c:v>0.53249999999999997</c:v>
                </c:pt>
                <c:pt idx="1727">
                  <c:v>0.53999999999999992</c:v>
                </c:pt>
                <c:pt idx="1728">
                  <c:v>0.54249999999999998</c:v>
                </c:pt>
                <c:pt idx="1729">
                  <c:v>0.53749999999999987</c:v>
                </c:pt>
                <c:pt idx="1730">
                  <c:v>0.53749999999999987</c:v>
                </c:pt>
                <c:pt idx="1731">
                  <c:v>0.53749999999999987</c:v>
                </c:pt>
                <c:pt idx="1732">
                  <c:v>0.53749999999999987</c:v>
                </c:pt>
                <c:pt idx="1733">
                  <c:v>0.53749999999999987</c:v>
                </c:pt>
                <c:pt idx="1734">
                  <c:v>0.53749999999999987</c:v>
                </c:pt>
                <c:pt idx="1735">
                  <c:v>0.53749999999999987</c:v>
                </c:pt>
                <c:pt idx="1736">
                  <c:v>0.53749999999999998</c:v>
                </c:pt>
                <c:pt idx="1737">
                  <c:v>0.53249999999999986</c:v>
                </c:pt>
                <c:pt idx="1738">
                  <c:v>0.52999999999999992</c:v>
                </c:pt>
                <c:pt idx="1739">
                  <c:v>0.52999999999999992</c:v>
                </c:pt>
                <c:pt idx="1740">
                  <c:v>0.52749999999999997</c:v>
                </c:pt>
                <c:pt idx="1741">
                  <c:v>0.52499999999999991</c:v>
                </c:pt>
                <c:pt idx="1742">
                  <c:v>0.52499999999999991</c:v>
                </c:pt>
                <c:pt idx="1743">
                  <c:v>0.52749999999999997</c:v>
                </c:pt>
                <c:pt idx="1744">
                  <c:v>0.53499999999999992</c:v>
                </c:pt>
                <c:pt idx="1745">
                  <c:v>0.53499999999999992</c:v>
                </c:pt>
                <c:pt idx="1746">
                  <c:v>0.52749999999999997</c:v>
                </c:pt>
                <c:pt idx="1747">
                  <c:v>0.52249999999999985</c:v>
                </c:pt>
                <c:pt idx="1748">
                  <c:v>0.51999999999999991</c:v>
                </c:pt>
                <c:pt idx="1749">
                  <c:v>0.52749999999999997</c:v>
                </c:pt>
                <c:pt idx="1750">
                  <c:v>0.53249999999999997</c:v>
                </c:pt>
                <c:pt idx="1751">
                  <c:v>0.52499999999999991</c:v>
                </c:pt>
                <c:pt idx="1752">
                  <c:v>0.52749999999999986</c:v>
                </c:pt>
                <c:pt idx="1753">
                  <c:v>0.53249999999999986</c:v>
                </c:pt>
                <c:pt idx="1754">
                  <c:v>0.52749999999999997</c:v>
                </c:pt>
                <c:pt idx="1755">
                  <c:v>0.52999999999999992</c:v>
                </c:pt>
                <c:pt idx="1756">
                  <c:v>0.53249999999999997</c:v>
                </c:pt>
                <c:pt idx="1757">
                  <c:v>0.53749999999999987</c:v>
                </c:pt>
                <c:pt idx="1758">
                  <c:v>0.53749999999999998</c:v>
                </c:pt>
                <c:pt idx="1759">
                  <c:v>0.53249999999999997</c:v>
                </c:pt>
                <c:pt idx="1760">
                  <c:v>0.53249999999999997</c:v>
                </c:pt>
                <c:pt idx="1761">
                  <c:v>0.53249999999999997</c:v>
                </c:pt>
                <c:pt idx="1762">
                  <c:v>0.53249999999999997</c:v>
                </c:pt>
                <c:pt idx="1763">
                  <c:v>0.53249999999999997</c:v>
                </c:pt>
                <c:pt idx="1764">
                  <c:v>0.53249999999999997</c:v>
                </c:pt>
                <c:pt idx="1765">
                  <c:v>0.53249999999999997</c:v>
                </c:pt>
                <c:pt idx="1766">
                  <c:v>0.53249999999999997</c:v>
                </c:pt>
                <c:pt idx="1767">
                  <c:v>0.52999999999999992</c:v>
                </c:pt>
                <c:pt idx="1768">
                  <c:v>0.52999999999999992</c:v>
                </c:pt>
                <c:pt idx="1769">
                  <c:v>0.52499999999999991</c:v>
                </c:pt>
                <c:pt idx="1770">
                  <c:v>0.52249999999999985</c:v>
                </c:pt>
                <c:pt idx="1771">
                  <c:v>0.51999999999999991</c:v>
                </c:pt>
                <c:pt idx="1772">
                  <c:v>0.51999999999999991</c:v>
                </c:pt>
                <c:pt idx="1773">
                  <c:v>0.53499999999999992</c:v>
                </c:pt>
                <c:pt idx="1774">
                  <c:v>0.5625</c:v>
                </c:pt>
                <c:pt idx="1775">
                  <c:v>0.5575</c:v>
                </c:pt>
                <c:pt idx="1776">
                  <c:v>0.53749999999999998</c:v>
                </c:pt>
                <c:pt idx="1777">
                  <c:v>0.52250000000000008</c:v>
                </c:pt>
                <c:pt idx="1778">
                  <c:v>0.51500000000000001</c:v>
                </c:pt>
                <c:pt idx="1779">
                  <c:v>0.51</c:v>
                </c:pt>
                <c:pt idx="1780">
                  <c:v>0.51</c:v>
                </c:pt>
                <c:pt idx="1781">
                  <c:v>0.50000000000000011</c:v>
                </c:pt>
                <c:pt idx="1782">
                  <c:v>0.49000000000000005</c:v>
                </c:pt>
                <c:pt idx="1783">
                  <c:v>0.49249999999999999</c:v>
                </c:pt>
                <c:pt idx="1784">
                  <c:v>0.49</c:v>
                </c:pt>
                <c:pt idx="1785">
                  <c:v>0.48499999999999999</c:v>
                </c:pt>
                <c:pt idx="1786">
                  <c:v>0.4850000000000001</c:v>
                </c:pt>
                <c:pt idx="1787">
                  <c:v>0.4875000000000001</c:v>
                </c:pt>
                <c:pt idx="1788">
                  <c:v>0.48250000000000015</c:v>
                </c:pt>
                <c:pt idx="1789">
                  <c:v>0.48000000000000015</c:v>
                </c:pt>
                <c:pt idx="1790">
                  <c:v>0.48000000000000015</c:v>
                </c:pt>
                <c:pt idx="1791">
                  <c:v>0.48000000000000015</c:v>
                </c:pt>
                <c:pt idx="1792">
                  <c:v>0.48000000000000015</c:v>
                </c:pt>
                <c:pt idx="1793">
                  <c:v>0.48000000000000015</c:v>
                </c:pt>
                <c:pt idx="1794">
                  <c:v>0.48000000000000015</c:v>
                </c:pt>
                <c:pt idx="1795">
                  <c:v>0.48000000000000015</c:v>
                </c:pt>
                <c:pt idx="1796">
                  <c:v>0.48000000000000015</c:v>
                </c:pt>
                <c:pt idx="1797">
                  <c:v>0.4825000000000001</c:v>
                </c:pt>
                <c:pt idx="1798">
                  <c:v>0.48250000000000015</c:v>
                </c:pt>
                <c:pt idx="1799">
                  <c:v>0.48250000000000015</c:v>
                </c:pt>
                <c:pt idx="1800">
                  <c:v>0.48500000000000015</c:v>
                </c:pt>
                <c:pt idx="1801">
                  <c:v>0.48500000000000015</c:v>
                </c:pt>
                <c:pt idx="1802">
                  <c:v>0.48000000000000015</c:v>
                </c:pt>
                <c:pt idx="1803">
                  <c:v>0.4925000000000001</c:v>
                </c:pt>
                <c:pt idx="1804">
                  <c:v>0.51250000000000007</c:v>
                </c:pt>
                <c:pt idx="1805">
                  <c:v>0.50250000000000006</c:v>
                </c:pt>
                <c:pt idx="1806">
                  <c:v>0.49500000000000005</c:v>
                </c:pt>
                <c:pt idx="1807">
                  <c:v>0.49</c:v>
                </c:pt>
                <c:pt idx="1808">
                  <c:v>0.49249999999999999</c:v>
                </c:pt>
                <c:pt idx="1809">
                  <c:v>0.48249999999999998</c:v>
                </c:pt>
                <c:pt idx="1810">
                  <c:v>0.47999999999999993</c:v>
                </c:pt>
                <c:pt idx="1811">
                  <c:v>0.48999999999999994</c:v>
                </c:pt>
                <c:pt idx="1812">
                  <c:v>0.48249999999999993</c:v>
                </c:pt>
                <c:pt idx="1813">
                  <c:v>0.47249999999999986</c:v>
                </c:pt>
                <c:pt idx="1814">
                  <c:v>0.47749999999999987</c:v>
                </c:pt>
                <c:pt idx="1815">
                  <c:v>0.47749999999999987</c:v>
                </c:pt>
                <c:pt idx="1816">
                  <c:v>0.47749999999999987</c:v>
                </c:pt>
                <c:pt idx="1817">
                  <c:v>0.47999999999999987</c:v>
                </c:pt>
                <c:pt idx="1818">
                  <c:v>0.47499999999999987</c:v>
                </c:pt>
                <c:pt idx="1819">
                  <c:v>0.47249999999999992</c:v>
                </c:pt>
                <c:pt idx="1820">
                  <c:v>0.47249999999999992</c:v>
                </c:pt>
                <c:pt idx="1821">
                  <c:v>0.47249999999999992</c:v>
                </c:pt>
                <c:pt idx="1822">
                  <c:v>0.47249999999999992</c:v>
                </c:pt>
                <c:pt idx="1823">
                  <c:v>0.47249999999999992</c:v>
                </c:pt>
                <c:pt idx="1824">
                  <c:v>0.47249999999999992</c:v>
                </c:pt>
                <c:pt idx="1825">
                  <c:v>0.47249999999999992</c:v>
                </c:pt>
                <c:pt idx="1826">
                  <c:v>0.47499999999999987</c:v>
                </c:pt>
                <c:pt idx="1827">
                  <c:v>0.47499999999999981</c:v>
                </c:pt>
                <c:pt idx="1828">
                  <c:v>0.47749999999999987</c:v>
                </c:pt>
                <c:pt idx="1829">
                  <c:v>0.47749999999999992</c:v>
                </c:pt>
                <c:pt idx="1830">
                  <c:v>0.47499999999999987</c:v>
                </c:pt>
                <c:pt idx="1831">
                  <c:v>0.47499999999999987</c:v>
                </c:pt>
                <c:pt idx="1832">
                  <c:v>0.47249999999999986</c:v>
                </c:pt>
                <c:pt idx="1833">
                  <c:v>0.47249999999999992</c:v>
                </c:pt>
                <c:pt idx="1834">
                  <c:v>0.46749999999999992</c:v>
                </c:pt>
                <c:pt idx="1835">
                  <c:v>0.46999999999999986</c:v>
                </c:pt>
                <c:pt idx="1836">
                  <c:v>0.47249999999999981</c:v>
                </c:pt>
                <c:pt idx="1837">
                  <c:v>0.47249999999999986</c:v>
                </c:pt>
                <c:pt idx="1838">
                  <c:v>0.46999999999999986</c:v>
                </c:pt>
                <c:pt idx="1839">
                  <c:v>0.46999999999999986</c:v>
                </c:pt>
                <c:pt idx="1840">
                  <c:v>0.46249999999999986</c:v>
                </c:pt>
                <c:pt idx="1841">
                  <c:v>0.45749999999999991</c:v>
                </c:pt>
                <c:pt idx="1842">
                  <c:v>0.45749999999999985</c:v>
                </c:pt>
                <c:pt idx="1843">
                  <c:v>0.45749999999999985</c:v>
                </c:pt>
                <c:pt idx="1844">
                  <c:v>0.45249999999999985</c:v>
                </c:pt>
                <c:pt idx="1845">
                  <c:v>0.4524999999999999</c:v>
                </c:pt>
                <c:pt idx="1846">
                  <c:v>0.44500000000000001</c:v>
                </c:pt>
                <c:pt idx="1847">
                  <c:v>0.44249999999999995</c:v>
                </c:pt>
                <c:pt idx="1848">
                  <c:v>0.44249999999999995</c:v>
                </c:pt>
                <c:pt idx="1849">
                  <c:v>0.44249999999999995</c:v>
                </c:pt>
                <c:pt idx="1850">
                  <c:v>0.44249999999999995</c:v>
                </c:pt>
                <c:pt idx="1851">
                  <c:v>0.44249999999999995</c:v>
                </c:pt>
                <c:pt idx="1852">
                  <c:v>0.44249999999999995</c:v>
                </c:pt>
                <c:pt idx="1853">
                  <c:v>0.44249999999999995</c:v>
                </c:pt>
                <c:pt idx="1854">
                  <c:v>0.44249999999999995</c:v>
                </c:pt>
                <c:pt idx="1855">
                  <c:v>0.44499999999999995</c:v>
                </c:pt>
                <c:pt idx="1856">
                  <c:v>0.44749999999999995</c:v>
                </c:pt>
                <c:pt idx="1857">
                  <c:v>0.44750000000000001</c:v>
                </c:pt>
                <c:pt idx="1858">
                  <c:v>0.44750000000000001</c:v>
                </c:pt>
                <c:pt idx="1859">
                  <c:v>0.44750000000000001</c:v>
                </c:pt>
                <c:pt idx="1860">
                  <c:v>0.44500000000000006</c:v>
                </c:pt>
                <c:pt idx="1861">
                  <c:v>0.45</c:v>
                </c:pt>
                <c:pt idx="1862">
                  <c:v>0.45250000000000001</c:v>
                </c:pt>
                <c:pt idx="1863">
                  <c:v>0.45500000000000007</c:v>
                </c:pt>
                <c:pt idx="1864">
                  <c:v>0.44750000000000012</c:v>
                </c:pt>
                <c:pt idx="1865">
                  <c:v>0.45250000000000001</c:v>
                </c:pt>
                <c:pt idx="1866">
                  <c:v>0.45500000000000002</c:v>
                </c:pt>
                <c:pt idx="1867">
                  <c:v>0.46</c:v>
                </c:pt>
                <c:pt idx="1868">
                  <c:v>0.46249999999999997</c:v>
                </c:pt>
                <c:pt idx="1869">
                  <c:v>0.46749999999999997</c:v>
                </c:pt>
                <c:pt idx="1870">
                  <c:v>0.47999999999999993</c:v>
                </c:pt>
                <c:pt idx="1871">
                  <c:v>0.47999999999999993</c:v>
                </c:pt>
                <c:pt idx="1872">
                  <c:v>0.47999999999999993</c:v>
                </c:pt>
                <c:pt idx="1873">
                  <c:v>0.48999999999999994</c:v>
                </c:pt>
                <c:pt idx="1874">
                  <c:v>0.49249999999999994</c:v>
                </c:pt>
                <c:pt idx="1875">
                  <c:v>0.48999999999999994</c:v>
                </c:pt>
                <c:pt idx="1876">
                  <c:v>0.49249999999999994</c:v>
                </c:pt>
                <c:pt idx="1877">
                  <c:v>0.49</c:v>
                </c:pt>
                <c:pt idx="1878">
                  <c:v>0.495</c:v>
                </c:pt>
                <c:pt idx="1879">
                  <c:v>0.495</c:v>
                </c:pt>
                <c:pt idx="1880">
                  <c:v>0.495</c:v>
                </c:pt>
                <c:pt idx="1881">
                  <c:v>0.495</c:v>
                </c:pt>
                <c:pt idx="1882">
                  <c:v>0.495</c:v>
                </c:pt>
                <c:pt idx="1883">
                  <c:v>0.495</c:v>
                </c:pt>
                <c:pt idx="1884">
                  <c:v>0.495</c:v>
                </c:pt>
                <c:pt idx="1885">
                  <c:v>0.495</c:v>
                </c:pt>
                <c:pt idx="1886">
                  <c:v>0.49249999999999999</c:v>
                </c:pt>
                <c:pt idx="1887">
                  <c:v>0.49</c:v>
                </c:pt>
                <c:pt idx="1888">
                  <c:v>0.49</c:v>
                </c:pt>
                <c:pt idx="1889">
                  <c:v>0.48999999999999994</c:v>
                </c:pt>
                <c:pt idx="1890">
                  <c:v>0.49249999999999994</c:v>
                </c:pt>
                <c:pt idx="1891">
                  <c:v>0.49</c:v>
                </c:pt>
                <c:pt idx="1892">
                  <c:v>0.49249999999999994</c:v>
                </c:pt>
                <c:pt idx="1893">
                  <c:v>0.49749999999999994</c:v>
                </c:pt>
                <c:pt idx="1894">
                  <c:v>0.50249999999999995</c:v>
                </c:pt>
                <c:pt idx="1895">
                  <c:v>0.49999999999999994</c:v>
                </c:pt>
                <c:pt idx="1896">
                  <c:v>0.50249999999999995</c:v>
                </c:pt>
                <c:pt idx="1897">
                  <c:v>0.50250000000000006</c:v>
                </c:pt>
                <c:pt idx="1898">
                  <c:v>0.50250000000000006</c:v>
                </c:pt>
                <c:pt idx="1899">
                  <c:v>0.50000000000000011</c:v>
                </c:pt>
                <c:pt idx="1900">
                  <c:v>0.50500000000000012</c:v>
                </c:pt>
                <c:pt idx="1901">
                  <c:v>0.51250000000000007</c:v>
                </c:pt>
                <c:pt idx="1902">
                  <c:v>0.51500000000000012</c:v>
                </c:pt>
                <c:pt idx="1903">
                  <c:v>0.51000000000000012</c:v>
                </c:pt>
                <c:pt idx="1904">
                  <c:v>0.50750000000000006</c:v>
                </c:pt>
                <c:pt idx="1905">
                  <c:v>0.50500000000000012</c:v>
                </c:pt>
                <c:pt idx="1906">
                  <c:v>0.51250000000000007</c:v>
                </c:pt>
                <c:pt idx="1907">
                  <c:v>0.51500000000000024</c:v>
                </c:pt>
                <c:pt idx="1908">
                  <c:v>0.51500000000000024</c:v>
                </c:pt>
                <c:pt idx="1909">
                  <c:v>0.51500000000000024</c:v>
                </c:pt>
                <c:pt idx="1910">
                  <c:v>0.51500000000000024</c:v>
                </c:pt>
                <c:pt idx="1911">
                  <c:v>0.51500000000000024</c:v>
                </c:pt>
                <c:pt idx="1912">
                  <c:v>0.51500000000000024</c:v>
                </c:pt>
                <c:pt idx="1913">
                  <c:v>0.51500000000000024</c:v>
                </c:pt>
                <c:pt idx="1914">
                  <c:v>0.51500000000000024</c:v>
                </c:pt>
                <c:pt idx="1915">
                  <c:v>0.51750000000000018</c:v>
                </c:pt>
                <c:pt idx="1916">
                  <c:v>0.51500000000000012</c:v>
                </c:pt>
                <c:pt idx="1917">
                  <c:v>0.51500000000000012</c:v>
                </c:pt>
                <c:pt idx="1918">
                  <c:v>0.51500000000000012</c:v>
                </c:pt>
                <c:pt idx="1919">
                  <c:v>0.51500000000000024</c:v>
                </c:pt>
                <c:pt idx="1920">
                  <c:v>0.51500000000000024</c:v>
                </c:pt>
                <c:pt idx="1921">
                  <c:v>0.51250000000000029</c:v>
                </c:pt>
                <c:pt idx="1922">
                  <c:v>0.51500000000000024</c:v>
                </c:pt>
                <c:pt idx="1923">
                  <c:v>0.51250000000000029</c:v>
                </c:pt>
                <c:pt idx="1924">
                  <c:v>0.51750000000000029</c:v>
                </c:pt>
                <c:pt idx="1925">
                  <c:v>0.51250000000000029</c:v>
                </c:pt>
                <c:pt idx="1926">
                  <c:v>0.51000000000000023</c:v>
                </c:pt>
                <c:pt idx="1927">
                  <c:v>0.50750000000000006</c:v>
                </c:pt>
                <c:pt idx="1928">
                  <c:v>0.50000000000000011</c:v>
                </c:pt>
                <c:pt idx="1929">
                  <c:v>0.49500000000000011</c:v>
                </c:pt>
                <c:pt idx="1930">
                  <c:v>0.48750000000000004</c:v>
                </c:pt>
                <c:pt idx="1931">
                  <c:v>0.48250000000000004</c:v>
                </c:pt>
                <c:pt idx="1932">
                  <c:v>0.49250000000000005</c:v>
                </c:pt>
                <c:pt idx="1933">
                  <c:v>0.48500000000000004</c:v>
                </c:pt>
                <c:pt idx="1934">
                  <c:v>0.47000000000000003</c:v>
                </c:pt>
                <c:pt idx="1935">
                  <c:v>0.46750000000000008</c:v>
                </c:pt>
                <c:pt idx="1936">
                  <c:v>0.46750000000000008</c:v>
                </c:pt>
                <c:pt idx="1937">
                  <c:v>0.47250000000000009</c:v>
                </c:pt>
                <c:pt idx="1938">
                  <c:v>0.47250000000000014</c:v>
                </c:pt>
                <c:pt idx="1939">
                  <c:v>0.47250000000000014</c:v>
                </c:pt>
                <c:pt idx="1940">
                  <c:v>0.47250000000000014</c:v>
                </c:pt>
                <c:pt idx="1941">
                  <c:v>0.47250000000000014</c:v>
                </c:pt>
                <c:pt idx="1942">
                  <c:v>0.47250000000000014</c:v>
                </c:pt>
                <c:pt idx="1943">
                  <c:v>0.47250000000000014</c:v>
                </c:pt>
                <c:pt idx="1944">
                  <c:v>0.47250000000000014</c:v>
                </c:pt>
                <c:pt idx="1945">
                  <c:v>0.47250000000000014</c:v>
                </c:pt>
                <c:pt idx="1946">
                  <c:v>0.47500000000000014</c:v>
                </c:pt>
                <c:pt idx="1947">
                  <c:v>0.47750000000000009</c:v>
                </c:pt>
                <c:pt idx="1948">
                  <c:v>0.48000000000000009</c:v>
                </c:pt>
                <c:pt idx="1949">
                  <c:v>0.4825000000000001</c:v>
                </c:pt>
                <c:pt idx="1950">
                  <c:v>0.4825000000000001</c:v>
                </c:pt>
                <c:pt idx="1951">
                  <c:v>0.4825000000000001</c:v>
                </c:pt>
                <c:pt idx="1952">
                  <c:v>0.48000000000000009</c:v>
                </c:pt>
                <c:pt idx="1953">
                  <c:v>0.48249999999999998</c:v>
                </c:pt>
                <c:pt idx="1954">
                  <c:v>0.48000000000000004</c:v>
                </c:pt>
                <c:pt idx="1955">
                  <c:v>0.48249999999999998</c:v>
                </c:pt>
                <c:pt idx="1956">
                  <c:v>0.47749999999999998</c:v>
                </c:pt>
                <c:pt idx="1957">
                  <c:v>0.48000000000000004</c:v>
                </c:pt>
                <c:pt idx="1958">
                  <c:v>0.47499999999999998</c:v>
                </c:pt>
                <c:pt idx="1959">
                  <c:v>0.47750000000000004</c:v>
                </c:pt>
                <c:pt idx="1960">
                  <c:v>0.47249999999999998</c:v>
                </c:pt>
                <c:pt idx="1961">
                  <c:v>0.46749999999999997</c:v>
                </c:pt>
                <c:pt idx="1962">
                  <c:v>0.46499999999999991</c:v>
                </c:pt>
                <c:pt idx="1963">
                  <c:v>0.46749999999999992</c:v>
                </c:pt>
                <c:pt idx="1964">
                  <c:v>0.46999999999999986</c:v>
                </c:pt>
                <c:pt idx="1965">
                  <c:v>0.47249999999999992</c:v>
                </c:pt>
                <c:pt idx="1966">
                  <c:v>0.47</c:v>
                </c:pt>
                <c:pt idx="1967">
                  <c:v>0.45999999999999996</c:v>
                </c:pt>
                <c:pt idx="1968">
                  <c:v>0.46</c:v>
                </c:pt>
                <c:pt idx="1969">
                  <c:v>0.46</c:v>
                </c:pt>
                <c:pt idx="1970">
                  <c:v>0.46</c:v>
                </c:pt>
                <c:pt idx="1971">
                  <c:v>0.46</c:v>
                </c:pt>
                <c:pt idx="1972">
                  <c:v>0.46</c:v>
                </c:pt>
                <c:pt idx="1973">
                  <c:v>0.46</c:v>
                </c:pt>
                <c:pt idx="1974">
                  <c:v>0.46</c:v>
                </c:pt>
                <c:pt idx="1975">
                  <c:v>0.45500000000000002</c:v>
                </c:pt>
                <c:pt idx="1976">
                  <c:v>0.45500000000000002</c:v>
                </c:pt>
                <c:pt idx="1977">
                  <c:v>0.45749999999999996</c:v>
                </c:pt>
                <c:pt idx="1978">
                  <c:v>0.45749999999999996</c:v>
                </c:pt>
                <c:pt idx="1979">
                  <c:v>0.46</c:v>
                </c:pt>
                <c:pt idx="1980">
                  <c:v>0.46500000000000002</c:v>
                </c:pt>
                <c:pt idx="1981">
                  <c:v>0.46500000000000002</c:v>
                </c:pt>
                <c:pt idx="1982">
                  <c:v>0.46250000000000008</c:v>
                </c:pt>
                <c:pt idx="1983">
                  <c:v>0.46250000000000008</c:v>
                </c:pt>
                <c:pt idx="1984">
                  <c:v>0.45500000000000007</c:v>
                </c:pt>
                <c:pt idx="1985">
                  <c:v>0.45750000000000007</c:v>
                </c:pt>
                <c:pt idx="1986">
                  <c:v>0.45750000000000007</c:v>
                </c:pt>
                <c:pt idx="1987">
                  <c:v>0.45750000000000007</c:v>
                </c:pt>
                <c:pt idx="1988">
                  <c:v>0.46000000000000008</c:v>
                </c:pt>
                <c:pt idx="1989">
                  <c:v>0.46000000000000008</c:v>
                </c:pt>
                <c:pt idx="1990">
                  <c:v>0.45500000000000007</c:v>
                </c:pt>
                <c:pt idx="1991">
                  <c:v>0.45250000000000001</c:v>
                </c:pt>
                <c:pt idx="1992">
                  <c:v>0.45</c:v>
                </c:pt>
                <c:pt idx="1993">
                  <c:v>0.44750000000000001</c:v>
                </c:pt>
                <c:pt idx="1994">
                  <c:v>0.45</c:v>
                </c:pt>
                <c:pt idx="1995">
                  <c:v>0.45</c:v>
                </c:pt>
                <c:pt idx="1996">
                  <c:v>0.44500000000000001</c:v>
                </c:pt>
                <c:pt idx="1997">
                  <c:v>0.44249999999999995</c:v>
                </c:pt>
                <c:pt idx="1998">
                  <c:v>0.44</c:v>
                </c:pt>
                <c:pt idx="1999">
                  <c:v>0.44</c:v>
                </c:pt>
                <c:pt idx="2000">
                  <c:v>0.44</c:v>
                </c:pt>
                <c:pt idx="2001">
                  <c:v>0.44</c:v>
                </c:pt>
                <c:pt idx="2002">
                  <c:v>0.44</c:v>
                </c:pt>
                <c:pt idx="2003">
                  <c:v>0.44</c:v>
                </c:pt>
                <c:pt idx="2004">
                  <c:v>0.44</c:v>
                </c:pt>
                <c:pt idx="2005">
                  <c:v>0.44</c:v>
                </c:pt>
                <c:pt idx="2006">
                  <c:v>0.4375</c:v>
                </c:pt>
                <c:pt idx="2007">
                  <c:v>0.43499999999999994</c:v>
                </c:pt>
                <c:pt idx="2008">
                  <c:v>0.4325</c:v>
                </c:pt>
                <c:pt idx="2009">
                  <c:v>0.42749999999999999</c:v>
                </c:pt>
                <c:pt idx="2010">
                  <c:v>0.42499999999999993</c:v>
                </c:pt>
                <c:pt idx="2011">
                  <c:v>0.42499999999999988</c:v>
                </c:pt>
                <c:pt idx="2012">
                  <c:v>0.42749999999999994</c:v>
                </c:pt>
                <c:pt idx="2013">
                  <c:v>0.43499999999999989</c:v>
                </c:pt>
                <c:pt idx="2014">
                  <c:v>0.42499999999999988</c:v>
                </c:pt>
                <c:pt idx="2015">
                  <c:v>0.41999999999999987</c:v>
                </c:pt>
                <c:pt idx="2016">
                  <c:v>0.43499999999999978</c:v>
                </c:pt>
                <c:pt idx="2017">
                  <c:v>0.44499999999999995</c:v>
                </c:pt>
                <c:pt idx="2018">
                  <c:v>0.4549999999999999</c:v>
                </c:pt>
                <c:pt idx="2019">
                  <c:v>0.45999999999999991</c:v>
                </c:pt>
                <c:pt idx="2020">
                  <c:v>0.46749999999999992</c:v>
                </c:pt>
                <c:pt idx="2021">
                  <c:v>0.46999999999999992</c:v>
                </c:pt>
                <c:pt idx="2022">
                  <c:v>0.47250000000000003</c:v>
                </c:pt>
                <c:pt idx="2023">
                  <c:v>0.47750000000000009</c:v>
                </c:pt>
                <c:pt idx="2024">
                  <c:v>0.48250000000000004</c:v>
                </c:pt>
                <c:pt idx="2025">
                  <c:v>0.4825000000000001</c:v>
                </c:pt>
                <c:pt idx="2026">
                  <c:v>0.48000000000000009</c:v>
                </c:pt>
                <c:pt idx="2027">
                  <c:v>0.49250000000000005</c:v>
                </c:pt>
                <c:pt idx="2028">
                  <c:v>0.49000000000000005</c:v>
                </c:pt>
                <c:pt idx="2029">
                  <c:v>0.49000000000000005</c:v>
                </c:pt>
                <c:pt idx="2030">
                  <c:v>0.49000000000000005</c:v>
                </c:pt>
                <c:pt idx="2031">
                  <c:v>0.49000000000000005</c:v>
                </c:pt>
                <c:pt idx="2032">
                  <c:v>0.49000000000000005</c:v>
                </c:pt>
                <c:pt idx="2033">
                  <c:v>0.49000000000000005</c:v>
                </c:pt>
                <c:pt idx="2034">
                  <c:v>0.49000000000000005</c:v>
                </c:pt>
                <c:pt idx="2035">
                  <c:v>0.49249999999999999</c:v>
                </c:pt>
                <c:pt idx="2036">
                  <c:v>0.4975</c:v>
                </c:pt>
                <c:pt idx="2037">
                  <c:v>0.4975</c:v>
                </c:pt>
                <c:pt idx="2038">
                  <c:v>0.4975</c:v>
                </c:pt>
                <c:pt idx="2039">
                  <c:v>0.49500000000000005</c:v>
                </c:pt>
                <c:pt idx="2040">
                  <c:v>0.49000000000000005</c:v>
                </c:pt>
                <c:pt idx="2041">
                  <c:v>0.4900000000000001</c:v>
                </c:pt>
                <c:pt idx="2042">
                  <c:v>0.49250000000000005</c:v>
                </c:pt>
                <c:pt idx="2043">
                  <c:v>0.49500000000000011</c:v>
                </c:pt>
                <c:pt idx="2044">
                  <c:v>0.50000000000000011</c:v>
                </c:pt>
                <c:pt idx="2045">
                  <c:v>0.4975</c:v>
                </c:pt>
                <c:pt idx="2046">
                  <c:v>0.50000000000000011</c:v>
                </c:pt>
                <c:pt idx="2047">
                  <c:v>0.50000000000000011</c:v>
                </c:pt>
                <c:pt idx="2048">
                  <c:v>0.5</c:v>
                </c:pt>
                <c:pt idx="2049">
                  <c:v>0.49999999999999994</c:v>
                </c:pt>
                <c:pt idx="2050">
                  <c:v>0.49999999999999994</c:v>
                </c:pt>
                <c:pt idx="2051">
                  <c:v>0.50249999999999995</c:v>
                </c:pt>
                <c:pt idx="2052">
                  <c:v>0.505</c:v>
                </c:pt>
                <c:pt idx="2053">
                  <c:v>0.5099999999999999</c:v>
                </c:pt>
                <c:pt idx="2054">
                  <c:v>0.5149999999999999</c:v>
                </c:pt>
                <c:pt idx="2055">
                  <c:v>0.51249999999999984</c:v>
                </c:pt>
                <c:pt idx="2056">
                  <c:v>0.51249999999999984</c:v>
                </c:pt>
                <c:pt idx="2057">
                  <c:v>0.5149999999999999</c:v>
                </c:pt>
                <c:pt idx="2058">
                  <c:v>0.5149999999999999</c:v>
                </c:pt>
                <c:pt idx="2059">
                  <c:v>0.5149999999999999</c:v>
                </c:pt>
                <c:pt idx="2060">
                  <c:v>0.5149999999999999</c:v>
                </c:pt>
                <c:pt idx="2061">
                  <c:v>0.5149999999999999</c:v>
                </c:pt>
                <c:pt idx="2062">
                  <c:v>0.5149999999999999</c:v>
                </c:pt>
                <c:pt idx="2063">
                  <c:v>0.5149999999999999</c:v>
                </c:pt>
                <c:pt idx="2064">
                  <c:v>0.5149999999999999</c:v>
                </c:pt>
                <c:pt idx="2065">
                  <c:v>0.51749999999999985</c:v>
                </c:pt>
                <c:pt idx="2066">
                  <c:v>0.52249999999999985</c:v>
                </c:pt>
                <c:pt idx="2067">
                  <c:v>0.52749999999999986</c:v>
                </c:pt>
                <c:pt idx="2068">
                  <c:v>0.52499999999999991</c:v>
                </c:pt>
                <c:pt idx="2069">
                  <c:v>0.52999999999999992</c:v>
                </c:pt>
                <c:pt idx="2070">
                  <c:v>0.53249999999999997</c:v>
                </c:pt>
                <c:pt idx="2071">
                  <c:v>0.53499999999999992</c:v>
                </c:pt>
                <c:pt idx="2072">
                  <c:v>0.53249999999999997</c:v>
                </c:pt>
                <c:pt idx="2073">
                  <c:v>0.52749999999999997</c:v>
                </c:pt>
                <c:pt idx="2074">
                  <c:v>0.53749999999999987</c:v>
                </c:pt>
                <c:pt idx="2075">
                  <c:v>0.54249999999999998</c:v>
                </c:pt>
                <c:pt idx="2076">
                  <c:v>0.52999999999999992</c:v>
                </c:pt>
                <c:pt idx="2077">
                  <c:v>0.52</c:v>
                </c:pt>
                <c:pt idx="2078">
                  <c:v>0.5099999999999999</c:v>
                </c:pt>
                <c:pt idx="2079">
                  <c:v>0.50749999999999995</c:v>
                </c:pt>
                <c:pt idx="2080">
                  <c:v>0.49999999999999994</c:v>
                </c:pt>
                <c:pt idx="2081">
                  <c:v>0.49499999999999994</c:v>
                </c:pt>
                <c:pt idx="2082">
                  <c:v>0.49499999999999994</c:v>
                </c:pt>
                <c:pt idx="2083">
                  <c:v>0.49749999999999994</c:v>
                </c:pt>
                <c:pt idx="2084">
                  <c:v>0.495</c:v>
                </c:pt>
                <c:pt idx="2085">
                  <c:v>0.48749999999999999</c:v>
                </c:pt>
                <c:pt idx="2086">
                  <c:v>0.49</c:v>
                </c:pt>
                <c:pt idx="2087">
                  <c:v>0.49249999999999994</c:v>
                </c:pt>
                <c:pt idx="2088">
                  <c:v>0.49249999999999994</c:v>
                </c:pt>
                <c:pt idx="2089">
                  <c:v>0.49249999999999994</c:v>
                </c:pt>
                <c:pt idx="2090">
                  <c:v>0.49249999999999994</c:v>
                </c:pt>
                <c:pt idx="2091">
                  <c:v>0.49249999999999994</c:v>
                </c:pt>
                <c:pt idx="2092">
                  <c:v>0.49249999999999994</c:v>
                </c:pt>
                <c:pt idx="2093">
                  <c:v>0.49249999999999994</c:v>
                </c:pt>
                <c:pt idx="2094">
                  <c:v>0.49249999999999994</c:v>
                </c:pt>
                <c:pt idx="2095">
                  <c:v>0.49249999999999994</c:v>
                </c:pt>
                <c:pt idx="2096">
                  <c:v>0.49249999999999994</c:v>
                </c:pt>
                <c:pt idx="2097">
                  <c:v>0.49</c:v>
                </c:pt>
                <c:pt idx="2098">
                  <c:v>0.49</c:v>
                </c:pt>
                <c:pt idx="2099">
                  <c:v>0.49000000000000005</c:v>
                </c:pt>
                <c:pt idx="2100">
                  <c:v>0.49249999999999999</c:v>
                </c:pt>
                <c:pt idx="2101">
                  <c:v>0.49249999999999999</c:v>
                </c:pt>
                <c:pt idx="2102">
                  <c:v>0.49249999999999999</c:v>
                </c:pt>
                <c:pt idx="2103">
                  <c:v>0.50000000000000011</c:v>
                </c:pt>
                <c:pt idx="2104">
                  <c:v>0.50000000000000011</c:v>
                </c:pt>
                <c:pt idx="2105">
                  <c:v>0.4975</c:v>
                </c:pt>
                <c:pt idx="2106">
                  <c:v>0.495</c:v>
                </c:pt>
                <c:pt idx="2107">
                  <c:v>0.49</c:v>
                </c:pt>
                <c:pt idx="2108">
                  <c:v>0.48999999999999994</c:v>
                </c:pt>
                <c:pt idx="2109">
                  <c:v>0.48749999999999999</c:v>
                </c:pt>
                <c:pt idx="2110">
                  <c:v>0.48749999999999993</c:v>
                </c:pt>
                <c:pt idx="2111">
                  <c:v>0.48749999999999988</c:v>
                </c:pt>
                <c:pt idx="2112">
                  <c:v>0.48749999999999999</c:v>
                </c:pt>
                <c:pt idx="2113">
                  <c:v>0.48749999999999993</c:v>
                </c:pt>
                <c:pt idx="2114">
                  <c:v>0.48249999999999998</c:v>
                </c:pt>
                <c:pt idx="2115">
                  <c:v>0.48249999999999998</c:v>
                </c:pt>
                <c:pt idx="2116">
                  <c:v>0.49000000000000005</c:v>
                </c:pt>
                <c:pt idx="2117">
                  <c:v>0.49249999999999999</c:v>
                </c:pt>
                <c:pt idx="2118">
                  <c:v>0.49</c:v>
                </c:pt>
                <c:pt idx="2119">
                  <c:v>0.49</c:v>
                </c:pt>
                <c:pt idx="2120">
                  <c:v>0.49</c:v>
                </c:pt>
                <c:pt idx="2121">
                  <c:v>0.49</c:v>
                </c:pt>
                <c:pt idx="2122">
                  <c:v>0.49</c:v>
                </c:pt>
                <c:pt idx="2123">
                  <c:v>0.49</c:v>
                </c:pt>
                <c:pt idx="2124">
                  <c:v>0.49</c:v>
                </c:pt>
                <c:pt idx="2125">
                  <c:v>0.49</c:v>
                </c:pt>
                <c:pt idx="2126">
                  <c:v>0.48749999999999993</c:v>
                </c:pt>
                <c:pt idx="2127">
                  <c:v>0.49</c:v>
                </c:pt>
                <c:pt idx="2128">
                  <c:v>0.49249999999999994</c:v>
                </c:pt>
                <c:pt idx="2129">
                  <c:v>0.49</c:v>
                </c:pt>
                <c:pt idx="2130">
                  <c:v>0.49</c:v>
                </c:pt>
                <c:pt idx="2131">
                  <c:v>0.48999999999999994</c:v>
                </c:pt>
                <c:pt idx="2132">
                  <c:v>0.49249999999999994</c:v>
                </c:pt>
                <c:pt idx="2133">
                  <c:v>0.48749999999999999</c:v>
                </c:pt>
                <c:pt idx="2134">
                  <c:v>0.48499999999999999</c:v>
                </c:pt>
                <c:pt idx="2135">
                  <c:v>0.48249999999999998</c:v>
                </c:pt>
                <c:pt idx="2136">
                  <c:v>0.48249999999999993</c:v>
                </c:pt>
                <c:pt idx="2137">
                  <c:v>0.48249999999999993</c:v>
                </c:pt>
                <c:pt idx="2138">
                  <c:v>0.48499999999999993</c:v>
                </c:pt>
                <c:pt idx="2139">
                  <c:v>0.48249999999999987</c:v>
                </c:pt>
                <c:pt idx="2140">
                  <c:v>0.48499999999999982</c:v>
                </c:pt>
                <c:pt idx="2141">
                  <c:v>0.48749999999999982</c:v>
                </c:pt>
                <c:pt idx="2142">
                  <c:v>0.48499999999999982</c:v>
                </c:pt>
                <c:pt idx="2143">
                  <c:v>0.47999999999999982</c:v>
                </c:pt>
                <c:pt idx="2144">
                  <c:v>0.47999999999999982</c:v>
                </c:pt>
                <c:pt idx="2145">
                  <c:v>0.48249999999999987</c:v>
                </c:pt>
                <c:pt idx="2146">
                  <c:v>0.47999999999999993</c:v>
                </c:pt>
                <c:pt idx="2147">
                  <c:v>0.47999999999999993</c:v>
                </c:pt>
                <c:pt idx="2148">
                  <c:v>0.47999999999999993</c:v>
                </c:pt>
                <c:pt idx="2149">
                  <c:v>0.47999999999999993</c:v>
                </c:pt>
                <c:pt idx="2150">
                  <c:v>0.47999999999999993</c:v>
                </c:pt>
                <c:pt idx="2151">
                  <c:v>0.47999999999999993</c:v>
                </c:pt>
                <c:pt idx="2152">
                  <c:v>0.47999999999999993</c:v>
                </c:pt>
                <c:pt idx="2153">
                  <c:v>0.47999999999999993</c:v>
                </c:pt>
                <c:pt idx="2154">
                  <c:v>0.47999999999999993</c:v>
                </c:pt>
                <c:pt idx="2155">
                  <c:v>0.47749999999999992</c:v>
                </c:pt>
                <c:pt idx="2156">
                  <c:v>0.47499999999999992</c:v>
                </c:pt>
                <c:pt idx="2157">
                  <c:v>0.47749999999999992</c:v>
                </c:pt>
                <c:pt idx="2158">
                  <c:v>0.47999999999999987</c:v>
                </c:pt>
                <c:pt idx="2159">
                  <c:v>0.47999999999999993</c:v>
                </c:pt>
                <c:pt idx="2160">
                  <c:v>0.47749999999999992</c:v>
                </c:pt>
                <c:pt idx="2161">
                  <c:v>0.47999999999999993</c:v>
                </c:pt>
                <c:pt idx="2162">
                  <c:v>0.47749999999999992</c:v>
                </c:pt>
                <c:pt idx="2163">
                  <c:v>0.47999999999999993</c:v>
                </c:pt>
                <c:pt idx="2164">
                  <c:v>0.48249999999999998</c:v>
                </c:pt>
                <c:pt idx="2165">
                  <c:v>0.48249999999999998</c:v>
                </c:pt>
                <c:pt idx="2166">
                  <c:v>0.48249999999999998</c:v>
                </c:pt>
                <c:pt idx="2167">
                  <c:v>0.49</c:v>
                </c:pt>
                <c:pt idx="2168">
                  <c:v>0.49499999999999994</c:v>
                </c:pt>
                <c:pt idx="2169">
                  <c:v>0.5099999999999999</c:v>
                </c:pt>
                <c:pt idx="2170">
                  <c:v>0.51999999999999991</c:v>
                </c:pt>
                <c:pt idx="2171">
                  <c:v>0.51749999999999985</c:v>
                </c:pt>
                <c:pt idx="2172">
                  <c:v>0.52749999999999997</c:v>
                </c:pt>
                <c:pt idx="2173">
                  <c:v>0.53249999999999997</c:v>
                </c:pt>
                <c:pt idx="2174">
                  <c:v>0.53749999999999998</c:v>
                </c:pt>
                <c:pt idx="2175">
                  <c:v>0.54499999999999993</c:v>
                </c:pt>
                <c:pt idx="2176">
                  <c:v>0.53999999999999992</c:v>
                </c:pt>
                <c:pt idx="2177">
                  <c:v>0.53499999999999992</c:v>
                </c:pt>
                <c:pt idx="2178">
                  <c:v>0.53749999999999987</c:v>
                </c:pt>
                <c:pt idx="2179">
                  <c:v>0.53749999999999987</c:v>
                </c:pt>
                <c:pt idx="2180">
                  <c:v>0.53749999999999987</c:v>
                </c:pt>
                <c:pt idx="2181">
                  <c:v>0.53749999999999987</c:v>
                </c:pt>
                <c:pt idx="2182">
                  <c:v>0.53749999999999987</c:v>
                </c:pt>
                <c:pt idx="2183">
                  <c:v>0.53749999999999987</c:v>
                </c:pt>
                <c:pt idx="2184">
                  <c:v>0.53749999999999987</c:v>
                </c:pt>
                <c:pt idx="2185">
                  <c:v>0.53499999999999992</c:v>
                </c:pt>
                <c:pt idx="2186">
                  <c:v>0.53499999999999992</c:v>
                </c:pt>
                <c:pt idx="2187">
                  <c:v>0.5299999999999998</c:v>
                </c:pt>
                <c:pt idx="2188">
                  <c:v>0.52999999999999992</c:v>
                </c:pt>
                <c:pt idx="2189">
                  <c:v>0.53499999999999992</c:v>
                </c:pt>
                <c:pt idx="2190">
                  <c:v>0.53749999999999987</c:v>
                </c:pt>
                <c:pt idx="2191">
                  <c:v>0.53999999999999981</c:v>
                </c:pt>
                <c:pt idx="2192">
                  <c:v>0.56999999999999995</c:v>
                </c:pt>
                <c:pt idx="2193">
                  <c:v>0.58249999999999991</c:v>
                </c:pt>
                <c:pt idx="2194">
                  <c:v>0.5774999999999999</c:v>
                </c:pt>
                <c:pt idx="2195">
                  <c:v>0.56499999999999984</c:v>
                </c:pt>
                <c:pt idx="2196">
                  <c:v>0.56749999999999978</c:v>
                </c:pt>
                <c:pt idx="2197">
                  <c:v>0.56999999999999995</c:v>
                </c:pt>
                <c:pt idx="2198">
                  <c:v>0.57250000000000001</c:v>
                </c:pt>
                <c:pt idx="2199">
                  <c:v>0.57750000000000001</c:v>
                </c:pt>
                <c:pt idx="2200">
                  <c:v>0.58250000000000002</c:v>
                </c:pt>
                <c:pt idx="2201">
                  <c:v>0.58250000000000002</c:v>
                </c:pt>
                <c:pt idx="2202">
                  <c:v>0.58250000000000002</c:v>
                </c:pt>
                <c:pt idx="2203">
                  <c:v>0.58250000000000013</c:v>
                </c:pt>
                <c:pt idx="2204">
                  <c:v>0.58250000000000013</c:v>
                </c:pt>
                <c:pt idx="2205">
                  <c:v>0.58250000000000013</c:v>
                </c:pt>
                <c:pt idx="2206">
                  <c:v>0.5850000000000003</c:v>
                </c:pt>
                <c:pt idx="2207">
                  <c:v>0.57250000000000001</c:v>
                </c:pt>
                <c:pt idx="2208">
                  <c:v>0.57000000000000006</c:v>
                </c:pt>
                <c:pt idx="2209">
                  <c:v>0.57000000000000006</c:v>
                </c:pt>
                <c:pt idx="2210">
                  <c:v>0.57000000000000006</c:v>
                </c:pt>
                <c:pt idx="2211">
                  <c:v>0.57000000000000006</c:v>
                </c:pt>
                <c:pt idx="2212">
                  <c:v>0.57000000000000006</c:v>
                </c:pt>
                <c:pt idx="2213">
                  <c:v>0.57000000000000006</c:v>
                </c:pt>
                <c:pt idx="2214">
                  <c:v>0.57250000000000001</c:v>
                </c:pt>
                <c:pt idx="2215">
                  <c:v>0.57750000000000001</c:v>
                </c:pt>
                <c:pt idx="2216">
                  <c:v>0.57999999999999996</c:v>
                </c:pt>
                <c:pt idx="2217">
                  <c:v>0.5774999999999999</c:v>
                </c:pt>
                <c:pt idx="2218">
                  <c:v>0.57999999999999985</c:v>
                </c:pt>
                <c:pt idx="2219">
                  <c:v>0.58249999999999991</c:v>
                </c:pt>
                <c:pt idx="2220">
                  <c:v>0.58500000000000008</c:v>
                </c:pt>
                <c:pt idx="2221">
                  <c:v>0.58250000000000002</c:v>
                </c:pt>
                <c:pt idx="2222">
                  <c:v>0.61</c:v>
                </c:pt>
                <c:pt idx="2223">
                  <c:v>0.60749999999999993</c:v>
                </c:pt>
                <c:pt idx="2224">
                  <c:v>0.59</c:v>
                </c:pt>
                <c:pt idx="2225">
                  <c:v>0.58750000000000002</c:v>
                </c:pt>
                <c:pt idx="2226">
                  <c:v>0.57999999999999996</c:v>
                </c:pt>
                <c:pt idx="2227">
                  <c:v>0.57750000000000001</c:v>
                </c:pt>
                <c:pt idx="2228">
                  <c:v>0.57250000000000001</c:v>
                </c:pt>
                <c:pt idx="2229">
                  <c:v>0.56000000000000016</c:v>
                </c:pt>
                <c:pt idx="2230">
                  <c:v>0.55000000000000016</c:v>
                </c:pt>
                <c:pt idx="2231">
                  <c:v>0.55000000000000016</c:v>
                </c:pt>
                <c:pt idx="2232">
                  <c:v>0.53750000000000009</c:v>
                </c:pt>
                <c:pt idx="2233">
                  <c:v>0.53250000000000008</c:v>
                </c:pt>
                <c:pt idx="2234">
                  <c:v>0.53</c:v>
                </c:pt>
                <c:pt idx="2235">
                  <c:v>0.52500000000000002</c:v>
                </c:pt>
                <c:pt idx="2236">
                  <c:v>0.52250000000000008</c:v>
                </c:pt>
                <c:pt idx="2237">
                  <c:v>0.51500000000000001</c:v>
                </c:pt>
                <c:pt idx="2238">
                  <c:v>0.51250000000000007</c:v>
                </c:pt>
                <c:pt idx="2239">
                  <c:v>0.51250000000000007</c:v>
                </c:pt>
                <c:pt idx="2240">
                  <c:v>0.51250000000000007</c:v>
                </c:pt>
                <c:pt idx="2241">
                  <c:v>0.51250000000000007</c:v>
                </c:pt>
                <c:pt idx="2242">
                  <c:v>0.51250000000000007</c:v>
                </c:pt>
                <c:pt idx="2243">
                  <c:v>0.51250000000000007</c:v>
                </c:pt>
                <c:pt idx="2244">
                  <c:v>0.51250000000000007</c:v>
                </c:pt>
                <c:pt idx="2245">
                  <c:v>0.51500000000000001</c:v>
                </c:pt>
                <c:pt idx="2246">
                  <c:v>0.51500000000000001</c:v>
                </c:pt>
                <c:pt idx="2247">
                  <c:v>0.52</c:v>
                </c:pt>
                <c:pt idx="2248">
                  <c:v>0.51749999999999996</c:v>
                </c:pt>
                <c:pt idx="2249">
                  <c:v>0.51749999999999996</c:v>
                </c:pt>
                <c:pt idx="2250">
                  <c:v>0.51500000000000001</c:v>
                </c:pt>
                <c:pt idx="2251">
                  <c:v>0.51500000000000001</c:v>
                </c:pt>
                <c:pt idx="2252">
                  <c:v>0.51999999999999991</c:v>
                </c:pt>
                <c:pt idx="2253">
                  <c:v>0.51749999999999985</c:v>
                </c:pt>
                <c:pt idx="2254">
                  <c:v>0.50249999999999995</c:v>
                </c:pt>
                <c:pt idx="2255">
                  <c:v>0.50249999999999995</c:v>
                </c:pt>
                <c:pt idx="2256">
                  <c:v>0.50249999999999995</c:v>
                </c:pt>
                <c:pt idx="2257">
                  <c:v>0.49749999999999989</c:v>
                </c:pt>
                <c:pt idx="2258">
                  <c:v>0.50249999999999995</c:v>
                </c:pt>
                <c:pt idx="2259">
                  <c:v>0.49999999999999989</c:v>
                </c:pt>
                <c:pt idx="2260">
                  <c:v>0.49749999999999989</c:v>
                </c:pt>
                <c:pt idx="2261">
                  <c:v>0.49749999999999989</c:v>
                </c:pt>
                <c:pt idx="2262">
                  <c:v>0.49749999999999989</c:v>
                </c:pt>
                <c:pt idx="2263">
                  <c:v>0.49749999999999983</c:v>
                </c:pt>
                <c:pt idx="2264">
                  <c:v>0.49499999999999994</c:v>
                </c:pt>
                <c:pt idx="2265">
                  <c:v>0.49499999999999994</c:v>
                </c:pt>
                <c:pt idx="2266">
                  <c:v>0.495</c:v>
                </c:pt>
                <c:pt idx="2267">
                  <c:v>0.49499999999999994</c:v>
                </c:pt>
                <c:pt idx="2268">
                  <c:v>0.49499999999999994</c:v>
                </c:pt>
                <c:pt idx="2269">
                  <c:v>0.49499999999999994</c:v>
                </c:pt>
                <c:pt idx="2270">
                  <c:v>0.49499999999999994</c:v>
                </c:pt>
                <c:pt idx="2271">
                  <c:v>0.49499999999999994</c:v>
                </c:pt>
                <c:pt idx="2272">
                  <c:v>0.49499999999999994</c:v>
                </c:pt>
                <c:pt idx="2273">
                  <c:v>0.49499999999999994</c:v>
                </c:pt>
                <c:pt idx="2274">
                  <c:v>0.49499999999999988</c:v>
                </c:pt>
                <c:pt idx="2275">
                  <c:v>0.49249999999999988</c:v>
                </c:pt>
                <c:pt idx="2276">
                  <c:v>0.49249999999999988</c:v>
                </c:pt>
                <c:pt idx="2277">
                  <c:v>0.49499999999999988</c:v>
                </c:pt>
                <c:pt idx="2278">
                  <c:v>0.48999999999999994</c:v>
                </c:pt>
                <c:pt idx="2279">
                  <c:v>0.49249999999999988</c:v>
                </c:pt>
                <c:pt idx="2280">
                  <c:v>0.49249999999999988</c:v>
                </c:pt>
                <c:pt idx="2281">
                  <c:v>0.49749999999999989</c:v>
                </c:pt>
                <c:pt idx="2282">
                  <c:v>0.495</c:v>
                </c:pt>
                <c:pt idx="2283">
                  <c:v>0.49749999999999989</c:v>
                </c:pt>
                <c:pt idx="2284">
                  <c:v>0.495</c:v>
                </c:pt>
                <c:pt idx="2285">
                  <c:v>0.49249999999999994</c:v>
                </c:pt>
                <c:pt idx="2286">
                  <c:v>0.49</c:v>
                </c:pt>
                <c:pt idx="2287">
                  <c:v>0.48999999999999994</c:v>
                </c:pt>
                <c:pt idx="2288">
                  <c:v>0.49249999999999988</c:v>
                </c:pt>
                <c:pt idx="2289">
                  <c:v>0.49499999999999994</c:v>
                </c:pt>
                <c:pt idx="2290">
                  <c:v>0.49499999999999994</c:v>
                </c:pt>
                <c:pt idx="2291">
                  <c:v>0.49499999999999994</c:v>
                </c:pt>
                <c:pt idx="2292">
                  <c:v>0.49499999999999994</c:v>
                </c:pt>
                <c:pt idx="2293">
                  <c:v>0.49249999999999994</c:v>
                </c:pt>
                <c:pt idx="2294">
                  <c:v>0.495</c:v>
                </c:pt>
                <c:pt idx="2295">
                  <c:v>0.4975</c:v>
                </c:pt>
                <c:pt idx="2296">
                  <c:v>0.4975</c:v>
                </c:pt>
                <c:pt idx="2297">
                  <c:v>0.4975</c:v>
                </c:pt>
                <c:pt idx="2298">
                  <c:v>0.4975</c:v>
                </c:pt>
                <c:pt idx="2299">
                  <c:v>0.4975</c:v>
                </c:pt>
                <c:pt idx="2300">
                  <c:v>0.4975</c:v>
                </c:pt>
                <c:pt idx="2301">
                  <c:v>0.4975</c:v>
                </c:pt>
                <c:pt idx="2302">
                  <c:v>0.4975</c:v>
                </c:pt>
                <c:pt idx="2303">
                  <c:v>0.4975</c:v>
                </c:pt>
                <c:pt idx="2304">
                  <c:v>0.4975</c:v>
                </c:pt>
                <c:pt idx="2305">
                  <c:v>0.49500000000000005</c:v>
                </c:pt>
                <c:pt idx="2306">
                  <c:v>0.4975</c:v>
                </c:pt>
                <c:pt idx="2307">
                  <c:v>0.495</c:v>
                </c:pt>
                <c:pt idx="2308">
                  <c:v>0.5</c:v>
                </c:pt>
                <c:pt idx="2309">
                  <c:v>0.4975</c:v>
                </c:pt>
                <c:pt idx="2310">
                  <c:v>0.5</c:v>
                </c:pt>
                <c:pt idx="2311">
                  <c:v>0.49999999999999994</c:v>
                </c:pt>
                <c:pt idx="2312">
                  <c:v>0.49749999999999994</c:v>
                </c:pt>
                <c:pt idx="2313">
                  <c:v>0.495</c:v>
                </c:pt>
                <c:pt idx="2314">
                  <c:v>0.4975</c:v>
                </c:pt>
                <c:pt idx="2315">
                  <c:v>0.50750000000000006</c:v>
                </c:pt>
                <c:pt idx="2316">
                  <c:v>0.505</c:v>
                </c:pt>
                <c:pt idx="2317">
                  <c:v>0.51749999999999996</c:v>
                </c:pt>
                <c:pt idx="2318">
                  <c:v>0.51749999999999996</c:v>
                </c:pt>
                <c:pt idx="2319">
                  <c:v>0.52249999999999985</c:v>
                </c:pt>
                <c:pt idx="2320">
                  <c:v>0.52249999999999985</c:v>
                </c:pt>
                <c:pt idx="2321">
                  <c:v>0.52749999999999997</c:v>
                </c:pt>
                <c:pt idx="2322">
                  <c:v>0.53249999999999997</c:v>
                </c:pt>
                <c:pt idx="2323">
                  <c:v>0.53749999999999998</c:v>
                </c:pt>
                <c:pt idx="2324">
                  <c:v>0.54249999999999998</c:v>
                </c:pt>
                <c:pt idx="2325">
                  <c:v>0.55249999999999999</c:v>
                </c:pt>
                <c:pt idx="2326">
                  <c:v>0.55499999999999994</c:v>
                </c:pt>
                <c:pt idx="2327">
                  <c:v>0.55499999999999994</c:v>
                </c:pt>
                <c:pt idx="2328">
                  <c:v>0.55499999999999994</c:v>
                </c:pt>
                <c:pt idx="2329">
                  <c:v>0.55499999999999994</c:v>
                </c:pt>
                <c:pt idx="2330">
                  <c:v>0.55499999999999994</c:v>
                </c:pt>
                <c:pt idx="2331">
                  <c:v>0.55499999999999994</c:v>
                </c:pt>
                <c:pt idx="2332">
                  <c:v>0.55499999999999994</c:v>
                </c:pt>
                <c:pt idx="2333">
                  <c:v>0.55749999999999988</c:v>
                </c:pt>
                <c:pt idx="2334">
                  <c:v>0.55999999999999994</c:v>
                </c:pt>
                <c:pt idx="2335">
                  <c:v>0.56249999999999989</c:v>
                </c:pt>
                <c:pt idx="2336">
                  <c:v>0.55749999999999977</c:v>
                </c:pt>
                <c:pt idx="2337">
                  <c:v>0.55499999999999983</c:v>
                </c:pt>
                <c:pt idx="2338">
                  <c:v>0.55999999999999983</c:v>
                </c:pt>
                <c:pt idx="2339">
                  <c:v>0.55499999999999994</c:v>
                </c:pt>
                <c:pt idx="2340">
                  <c:v>0.54999999999999993</c:v>
                </c:pt>
                <c:pt idx="2341">
                  <c:v>0.54499999999999982</c:v>
                </c:pt>
                <c:pt idx="2342">
                  <c:v>0.54749999999999999</c:v>
                </c:pt>
                <c:pt idx="2343">
                  <c:v>0.54999999999999993</c:v>
                </c:pt>
                <c:pt idx="2344">
                  <c:v>0.55249999999999999</c:v>
                </c:pt>
                <c:pt idx="2345">
                  <c:v>0.54749999999999999</c:v>
                </c:pt>
                <c:pt idx="2346">
                  <c:v>0.55249999999999999</c:v>
                </c:pt>
                <c:pt idx="2347">
                  <c:v>0.55000000000000004</c:v>
                </c:pt>
                <c:pt idx="2348">
                  <c:v>0.54500000000000004</c:v>
                </c:pt>
                <c:pt idx="2349">
                  <c:v>0.54500000000000004</c:v>
                </c:pt>
                <c:pt idx="2350">
                  <c:v>0.54500000000000004</c:v>
                </c:pt>
                <c:pt idx="2351">
                  <c:v>0.55000000000000004</c:v>
                </c:pt>
                <c:pt idx="2352">
                  <c:v>0.5525000000000001</c:v>
                </c:pt>
                <c:pt idx="2353">
                  <c:v>0.5575</c:v>
                </c:pt>
                <c:pt idx="2354">
                  <c:v>0.56000000000000016</c:v>
                </c:pt>
                <c:pt idx="2355">
                  <c:v>0.56000000000000016</c:v>
                </c:pt>
                <c:pt idx="2356">
                  <c:v>0.56250000000000022</c:v>
                </c:pt>
                <c:pt idx="2357">
                  <c:v>0.56500000000000017</c:v>
                </c:pt>
                <c:pt idx="2358">
                  <c:v>0.56500000000000017</c:v>
                </c:pt>
                <c:pt idx="2359">
                  <c:v>0.56500000000000017</c:v>
                </c:pt>
                <c:pt idx="2360">
                  <c:v>0.56500000000000017</c:v>
                </c:pt>
                <c:pt idx="2361">
                  <c:v>0.56500000000000017</c:v>
                </c:pt>
                <c:pt idx="2362">
                  <c:v>0.56500000000000017</c:v>
                </c:pt>
                <c:pt idx="2363">
                  <c:v>0.56750000000000023</c:v>
                </c:pt>
                <c:pt idx="2364">
                  <c:v>0.57000000000000017</c:v>
                </c:pt>
                <c:pt idx="2365">
                  <c:v>0.57250000000000012</c:v>
                </c:pt>
                <c:pt idx="2366">
                  <c:v>0.57250000000000001</c:v>
                </c:pt>
                <c:pt idx="2367">
                  <c:v>0.57250000000000001</c:v>
                </c:pt>
                <c:pt idx="2368">
                  <c:v>0.5675</c:v>
                </c:pt>
                <c:pt idx="2369">
                  <c:v>0.56999999999999995</c:v>
                </c:pt>
                <c:pt idx="2370">
                  <c:v>0.56499999999999995</c:v>
                </c:pt>
                <c:pt idx="2371">
                  <c:v>0.56249999999999989</c:v>
                </c:pt>
                <c:pt idx="2372">
                  <c:v>0.5575</c:v>
                </c:pt>
                <c:pt idx="2373">
                  <c:v>0.56750000000000012</c:v>
                </c:pt>
                <c:pt idx="2374">
                  <c:v>0.57000000000000006</c:v>
                </c:pt>
                <c:pt idx="2375">
                  <c:v>0.55999999999999994</c:v>
                </c:pt>
                <c:pt idx="2376">
                  <c:v>0.55749999999999988</c:v>
                </c:pt>
                <c:pt idx="2377">
                  <c:v>0.54749999999999988</c:v>
                </c:pt>
                <c:pt idx="2378">
                  <c:v>0.54499999999999993</c:v>
                </c:pt>
                <c:pt idx="2379">
                  <c:v>0.54249999999999998</c:v>
                </c:pt>
                <c:pt idx="2380">
                  <c:v>0.54249999999999998</c:v>
                </c:pt>
                <c:pt idx="2381">
                  <c:v>0.53999999999999981</c:v>
                </c:pt>
                <c:pt idx="2382">
                  <c:v>0.53749999999999987</c:v>
                </c:pt>
                <c:pt idx="2383">
                  <c:v>0.53249999999999986</c:v>
                </c:pt>
                <c:pt idx="2384">
                  <c:v>0.52749999999999986</c:v>
                </c:pt>
                <c:pt idx="2385">
                  <c:v>0.51749999999999985</c:v>
                </c:pt>
                <c:pt idx="2386">
                  <c:v>0.5149999999999999</c:v>
                </c:pt>
                <c:pt idx="2387">
                  <c:v>0.51249999999999996</c:v>
                </c:pt>
                <c:pt idx="2388">
                  <c:v>0.51249999999999996</c:v>
                </c:pt>
                <c:pt idx="2389">
                  <c:v>0.51249999999999996</c:v>
                </c:pt>
                <c:pt idx="2390">
                  <c:v>0.51249999999999996</c:v>
                </c:pt>
                <c:pt idx="2391">
                  <c:v>0.51249999999999996</c:v>
                </c:pt>
                <c:pt idx="2392">
                  <c:v>0.51249999999999996</c:v>
                </c:pt>
                <c:pt idx="2393">
                  <c:v>0.5099999999999999</c:v>
                </c:pt>
                <c:pt idx="2394">
                  <c:v>0.51249999999999996</c:v>
                </c:pt>
                <c:pt idx="2395">
                  <c:v>0.51249999999999996</c:v>
                </c:pt>
                <c:pt idx="2396">
                  <c:v>0.51249999999999996</c:v>
                </c:pt>
                <c:pt idx="2397">
                  <c:v>0.51</c:v>
                </c:pt>
                <c:pt idx="2398">
                  <c:v>0.505</c:v>
                </c:pt>
                <c:pt idx="2399">
                  <c:v>0.50749999999999995</c:v>
                </c:pt>
                <c:pt idx="2400">
                  <c:v>0.50749999999999995</c:v>
                </c:pt>
                <c:pt idx="2401">
                  <c:v>0.51</c:v>
                </c:pt>
                <c:pt idx="2402">
                  <c:v>0.51</c:v>
                </c:pt>
                <c:pt idx="2403">
                  <c:v>0.51</c:v>
                </c:pt>
                <c:pt idx="2404">
                  <c:v>0.505</c:v>
                </c:pt>
                <c:pt idx="2405">
                  <c:v>0.505</c:v>
                </c:pt>
                <c:pt idx="2406">
                  <c:v>0.50250000000000006</c:v>
                </c:pt>
                <c:pt idx="2407">
                  <c:v>0.50250000000000006</c:v>
                </c:pt>
                <c:pt idx="2408">
                  <c:v>0.50500000000000012</c:v>
                </c:pt>
                <c:pt idx="2409">
                  <c:v>0.50750000000000006</c:v>
                </c:pt>
                <c:pt idx="2410">
                  <c:v>0.51</c:v>
                </c:pt>
                <c:pt idx="2411">
                  <c:v>0.51249999999999996</c:v>
                </c:pt>
                <c:pt idx="2412">
                  <c:v>0.51249999999999996</c:v>
                </c:pt>
                <c:pt idx="2413">
                  <c:v>0.51</c:v>
                </c:pt>
                <c:pt idx="2414">
                  <c:v>0.505</c:v>
                </c:pt>
                <c:pt idx="2415">
                  <c:v>0.50249999999999995</c:v>
                </c:pt>
                <c:pt idx="2416">
                  <c:v>0.5</c:v>
                </c:pt>
                <c:pt idx="2417">
                  <c:v>0.49749999999999994</c:v>
                </c:pt>
                <c:pt idx="2418">
                  <c:v>0.49749999999999994</c:v>
                </c:pt>
                <c:pt idx="2419">
                  <c:v>0.49749999999999994</c:v>
                </c:pt>
                <c:pt idx="2420">
                  <c:v>0.49749999999999994</c:v>
                </c:pt>
                <c:pt idx="2421">
                  <c:v>0.49749999999999994</c:v>
                </c:pt>
                <c:pt idx="2422">
                  <c:v>0.49749999999999994</c:v>
                </c:pt>
                <c:pt idx="2423">
                  <c:v>0.495</c:v>
                </c:pt>
                <c:pt idx="2424">
                  <c:v>0.49249999999999999</c:v>
                </c:pt>
                <c:pt idx="2425">
                  <c:v>0.49249999999999999</c:v>
                </c:pt>
                <c:pt idx="2426">
                  <c:v>0.49249999999999999</c:v>
                </c:pt>
                <c:pt idx="2427">
                  <c:v>0.49250000000000005</c:v>
                </c:pt>
                <c:pt idx="2428">
                  <c:v>0.49750000000000011</c:v>
                </c:pt>
                <c:pt idx="2429">
                  <c:v>0.49250000000000005</c:v>
                </c:pt>
                <c:pt idx="2430">
                  <c:v>0.49249999999999999</c:v>
                </c:pt>
                <c:pt idx="2431">
                  <c:v>0.495</c:v>
                </c:pt>
                <c:pt idx="2432">
                  <c:v>0.5</c:v>
                </c:pt>
                <c:pt idx="2433">
                  <c:v>0.5</c:v>
                </c:pt>
                <c:pt idx="2434">
                  <c:v>0.49249999999999999</c:v>
                </c:pt>
                <c:pt idx="2435">
                  <c:v>0.49249999999999999</c:v>
                </c:pt>
                <c:pt idx="2436">
                  <c:v>0.495</c:v>
                </c:pt>
                <c:pt idx="2437">
                  <c:v>0.49499999999999994</c:v>
                </c:pt>
                <c:pt idx="2438">
                  <c:v>0.49499999999999994</c:v>
                </c:pt>
                <c:pt idx="2439">
                  <c:v>0.49249999999999994</c:v>
                </c:pt>
                <c:pt idx="2440">
                  <c:v>0.49249999999999994</c:v>
                </c:pt>
                <c:pt idx="2441">
                  <c:v>0.48999999999999994</c:v>
                </c:pt>
                <c:pt idx="2442">
                  <c:v>0.49249999999999988</c:v>
                </c:pt>
                <c:pt idx="2443">
                  <c:v>0.49</c:v>
                </c:pt>
                <c:pt idx="2444">
                  <c:v>0.49249999999999999</c:v>
                </c:pt>
                <c:pt idx="2445">
                  <c:v>0.49249999999999999</c:v>
                </c:pt>
                <c:pt idx="2446">
                  <c:v>0.49250000000000005</c:v>
                </c:pt>
                <c:pt idx="2447">
                  <c:v>0.49250000000000005</c:v>
                </c:pt>
                <c:pt idx="2448">
                  <c:v>0.49250000000000005</c:v>
                </c:pt>
                <c:pt idx="2449">
                  <c:v>0.49250000000000005</c:v>
                </c:pt>
                <c:pt idx="2450">
                  <c:v>0.49250000000000005</c:v>
                </c:pt>
                <c:pt idx="2451">
                  <c:v>0.49250000000000005</c:v>
                </c:pt>
                <c:pt idx="2452">
                  <c:v>0.49250000000000005</c:v>
                </c:pt>
                <c:pt idx="2453">
                  <c:v>0.49250000000000005</c:v>
                </c:pt>
                <c:pt idx="2454">
                  <c:v>0.49000000000000005</c:v>
                </c:pt>
                <c:pt idx="2455">
                  <c:v>0.48750000000000004</c:v>
                </c:pt>
                <c:pt idx="2456">
                  <c:v>0.48750000000000004</c:v>
                </c:pt>
                <c:pt idx="2457">
                  <c:v>0.4900000000000001</c:v>
                </c:pt>
                <c:pt idx="2458">
                  <c:v>0.49000000000000005</c:v>
                </c:pt>
                <c:pt idx="2459">
                  <c:v>0.4850000000000001</c:v>
                </c:pt>
                <c:pt idx="2460">
                  <c:v>0.49000000000000005</c:v>
                </c:pt>
                <c:pt idx="2461">
                  <c:v>0.48750000000000004</c:v>
                </c:pt>
                <c:pt idx="2462">
                  <c:v>0.48749999999999999</c:v>
                </c:pt>
                <c:pt idx="2463">
                  <c:v>0.48750000000000004</c:v>
                </c:pt>
                <c:pt idx="2464">
                  <c:v>0.49250000000000005</c:v>
                </c:pt>
                <c:pt idx="2465">
                  <c:v>0.49500000000000011</c:v>
                </c:pt>
                <c:pt idx="2466">
                  <c:v>0.50250000000000006</c:v>
                </c:pt>
                <c:pt idx="2467">
                  <c:v>0.50750000000000006</c:v>
                </c:pt>
                <c:pt idx="2468">
                  <c:v>0.51500000000000001</c:v>
                </c:pt>
                <c:pt idx="2469">
                  <c:v>0.52</c:v>
                </c:pt>
                <c:pt idx="2470">
                  <c:v>0.51750000000000007</c:v>
                </c:pt>
                <c:pt idx="2471">
                  <c:v>0.51749999999999996</c:v>
                </c:pt>
                <c:pt idx="2472">
                  <c:v>0.51249999999999996</c:v>
                </c:pt>
                <c:pt idx="2473">
                  <c:v>0.51500000000000001</c:v>
                </c:pt>
                <c:pt idx="2474">
                  <c:v>0.51500000000000001</c:v>
                </c:pt>
                <c:pt idx="2475">
                  <c:v>0.51500000000000012</c:v>
                </c:pt>
                <c:pt idx="2476">
                  <c:v>0.52000000000000013</c:v>
                </c:pt>
                <c:pt idx="2477">
                  <c:v>0.52000000000000013</c:v>
                </c:pt>
                <c:pt idx="2478">
                  <c:v>0.52000000000000013</c:v>
                </c:pt>
                <c:pt idx="2479">
                  <c:v>0.52000000000000013</c:v>
                </c:pt>
                <c:pt idx="2480">
                  <c:v>0.52000000000000013</c:v>
                </c:pt>
                <c:pt idx="2481">
                  <c:v>0.52000000000000013</c:v>
                </c:pt>
                <c:pt idx="2482">
                  <c:v>0.52000000000000013</c:v>
                </c:pt>
                <c:pt idx="2483">
                  <c:v>0.52000000000000013</c:v>
                </c:pt>
                <c:pt idx="2484">
                  <c:v>0.52000000000000013</c:v>
                </c:pt>
                <c:pt idx="2485">
                  <c:v>0.51750000000000007</c:v>
                </c:pt>
                <c:pt idx="2486">
                  <c:v>0.51500000000000012</c:v>
                </c:pt>
                <c:pt idx="2487">
                  <c:v>0.51750000000000018</c:v>
                </c:pt>
                <c:pt idx="2488">
                  <c:v>0.51000000000000012</c:v>
                </c:pt>
                <c:pt idx="2489">
                  <c:v>0.52000000000000013</c:v>
                </c:pt>
                <c:pt idx="2490">
                  <c:v>0.52250000000000019</c:v>
                </c:pt>
                <c:pt idx="2491">
                  <c:v>0.52250000000000019</c:v>
                </c:pt>
                <c:pt idx="2492">
                  <c:v>0.51750000000000007</c:v>
                </c:pt>
                <c:pt idx="2493">
                  <c:v>0.51000000000000012</c:v>
                </c:pt>
                <c:pt idx="2494">
                  <c:v>0.51249999999999996</c:v>
                </c:pt>
                <c:pt idx="2495">
                  <c:v>0.51</c:v>
                </c:pt>
                <c:pt idx="2496">
                  <c:v>0.51249999999999996</c:v>
                </c:pt>
                <c:pt idx="2497">
                  <c:v>0.51500000000000001</c:v>
                </c:pt>
                <c:pt idx="2498">
                  <c:v>0.51500000000000001</c:v>
                </c:pt>
                <c:pt idx="2499">
                  <c:v>0.51500000000000001</c:v>
                </c:pt>
                <c:pt idx="2500">
                  <c:v>0.51500000000000012</c:v>
                </c:pt>
                <c:pt idx="2501">
                  <c:v>0.51500000000000001</c:v>
                </c:pt>
                <c:pt idx="2502">
                  <c:v>0.50750000000000006</c:v>
                </c:pt>
                <c:pt idx="2503">
                  <c:v>0.505</c:v>
                </c:pt>
                <c:pt idx="2504">
                  <c:v>0.50249999999999995</c:v>
                </c:pt>
                <c:pt idx="2505">
                  <c:v>0.505</c:v>
                </c:pt>
                <c:pt idx="2506">
                  <c:v>0.50249999999999995</c:v>
                </c:pt>
                <c:pt idx="2507">
                  <c:v>0.50249999999999995</c:v>
                </c:pt>
                <c:pt idx="2508">
                  <c:v>0.50249999999999995</c:v>
                </c:pt>
                <c:pt idx="2509">
                  <c:v>0.50249999999999995</c:v>
                </c:pt>
                <c:pt idx="2510">
                  <c:v>0.50249999999999995</c:v>
                </c:pt>
                <c:pt idx="2511">
                  <c:v>0.50249999999999995</c:v>
                </c:pt>
                <c:pt idx="2512">
                  <c:v>0.50249999999999995</c:v>
                </c:pt>
                <c:pt idx="2513">
                  <c:v>0.50249999999999995</c:v>
                </c:pt>
                <c:pt idx="2514">
                  <c:v>0.4975</c:v>
                </c:pt>
                <c:pt idx="2515">
                  <c:v>0.495</c:v>
                </c:pt>
                <c:pt idx="2516">
                  <c:v>0.4975</c:v>
                </c:pt>
                <c:pt idx="2517">
                  <c:v>0.49749999999999994</c:v>
                </c:pt>
                <c:pt idx="2518">
                  <c:v>0.4975</c:v>
                </c:pt>
                <c:pt idx="2519">
                  <c:v>0.50000000000000011</c:v>
                </c:pt>
                <c:pt idx="2520">
                  <c:v>0.5</c:v>
                </c:pt>
                <c:pt idx="2521">
                  <c:v>0.5</c:v>
                </c:pt>
                <c:pt idx="2522">
                  <c:v>0.505</c:v>
                </c:pt>
                <c:pt idx="2523">
                  <c:v>0.5</c:v>
                </c:pt>
                <c:pt idx="2524">
                  <c:v>0.495</c:v>
                </c:pt>
                <c:pt idx="2525">
                  <c:v>0.48749999999999999</c:v>
                </c:pt>
                <c:pt idx="2526">
                  <c:v>0.48000000000000009</c:v>
                </c:pt>
                <c:pt idx="2527">
                  <c:v>0.47500000000000014</c:v>
                </c:pt>
                <c:pt idx="2528">
                  <c:v>0.46250000000000013</c:v>
                </c:pt>
                <c:pt idx="2529">
                  <c:v>0.45750000000000013</c:v>
                </c:pt>
                <c:pt idx="2530">
                  <c:v>0.46000000000000013</c:v>
                </c:pt>
                <c:pt idx="2531">
                  <c:v>0.45750000000000018</c:v>
                </c:pt>
                <c:pt idx="2532">
                  <c:v>0.46000000000000013</c:v>
                </c:pt>
                <c:pt idx="2533">
                  <c:v>0.45750000000000018</c:v>
                </c:pt>
                <c:pt idx="2534">
                  <c:v>0.45750000000000018</c:v>
                </c:pt>
                <c:pt idx="2535">
                  <c:v>0.46000000000000019</c:v>
                </c:pt>
                <c:pt idx="2536">
                  <c:v>0.45500000000000013</c:v>
                </c:pt>
                <c:pt idx="2537">
                  <c:v>0.45500000000000013</c:v>
                </c:pt>
                <c:pt idx="2538">
                  <c:v>0.45500000000000013</c:v>
                </c:pt>
                <c:pt idx="2539">
                  <c:v>0.45500000000000013</c:v>
                </c:pt>
                <c:pt idx="2540">
                  <c:v>0.45500000000000013</c:v>
                </c:pt>
                <c:pt idx="2541">
                  <c:v>0.45500000000000013</c:v>
                </c:pt>
                <c:pt idx="2542">
                  <c:v>0.45500000000000013</c:v>
                </c:pt>
                <c:pt idx="2543">
                  <c:v>0.45500000000000013</c:v>
                </c:pt>
                <c:pt idx="2544">
                  <c:v>0.45500000000000013</c:v>
                </c:pt>
                <c:pt idx="2545">
                  <c:v>0.45500000000000013</c:v>
                </c:pt>
                <c:pt idx="2546">
                  <c:v>0.45500000000000013</c:v>
                </c:pt>
                <c:pt idx="2547">
                  <c:v>0.45250000000000018</c:v>
                </c:pt>
                <c:pt idx="2548">
                  <c:v>0.45500000000000013</c:v>
                </c:pt>
                <c:pt idx="2549">
                  <c:v>0.44750000000000012</c:v>
                </c:pt>
                <c:pt idx="2550">
                  <c:v>0.44500000000000012</c:v>
                </c:pt>
                <c:pt idx="2551">
                  <c:v>0.44250000000000012</c:v>
                </c:pt>
                <c:pt idx="2552">
                  <c:v>0.45500000000000007</c:v>
                </c:pt>
                <c:pt idx="2553">
                  <c:v>0.46000000000000008</c:v>
                </c:pt>
                <c:pt idx="2554">
                  <c:v>0.45999999999999996</c:v>
                </c:pt>
                <c:pt idx="2555">
                  <c:v>0.46249999999999997</c:v>
                </c:pt>
                <c:pt idx="2556">
                  <c:v>0.45999999999999991</c:v>
                </c:pt>
                <c:pt idx="2557">
                  <c:v>0.45749999999999991</c:v>
                </c:pt>
                <c:pt idx="2558">
                  <c:v>0.4524999999999999</c:v>
                </c:pt>
                <c:pt idx="2559">
                  <c:v>0.4499999999999999</c:v>
                </c:pt>
                <c:pt idx="2560">
                  <c:v>0.4524999999999999</c:v>
                </c:pt>
                <c:pt idx="2561">
                  <c:v>0.45999999999999991</c:v>
                </c:pt>
                <c:pt idx="2562">
                  <c:v>0.46749999999999997</c:v>
                </c:pt>
                <c:pt idx="2563">
                  <c:v>0.46749999999999997</c:v>
                </c:pt>
                <c:pt idx="2564">
                  <c:v>0.47</c:v>
                </c:pt>
                <c:pt idx="2565">
                  <c:v>0.46749999999999997</c:v>
                </c:pt>
                <c:pt idx="2566">
                  <c:v>0.46750000000000003</c:v>
                </c:pt>
                <c:pt idx="2567">
                  <c:v>0.46750000000000003</c:v>
                </c:pt>
                <c:pt idx="2568">
                  <c:v>0.46750000000000003</c:v>
                </c:pt>
                <c:pt idx="2569">
                  <c:v>0.46750000000000003</c:v>
                </c:pt>
                <c:pt idx="2570">
                  <c:v>0.46750000000000003</c:v>
                </c:pt>
                <c:pt idx="2571">
                  <c:v>0.46750000000000003</c:v>
                </c:pt>
                <c:pt idx="2572">
                  <c:v>0.46750000000000003</c:v>
                </c:pt>
                <c:pt idx="2573">
                  <c:v>0.46750000000000003</c:v>
                </c:pt>
                <c:pt idx="2574">
                  <c:v>0.46750000000000003</c:v>
                </c:pt>
                <c:pt idx="2575">
                  <c:v>0.46750000000000003</c:v>
                </c:pt>
                <c:pt idx="2576">
                  <c:v>0.46750000000000003</c:v>
                </c:pt>
                <c:pt idx="2577">
                  <c:v>0.46250000000000002</c:v>
                </c:pt>
                <c:pt idx="2578">
                  <c:v>0.46499999999999997</c:v>
                </c:pt>
                <c:pt idx="2579">
                  <c:v>0.46249999999999997</c:v>
                </c:pt>
                <c:pt idx="2580">
                  <c:v>0.46249999999999997</c:v>
                </c:pt>
                <c:pt idx="2581">
                  <c:v>0.46249999999999997</c:v>
                </c:pt>
                <c:pt idx="2582">
                  <c:v>0.46250000000000002</c:v>
                </c:pt>
                <c:pt idx="2583">
                  <c:v>0.46249999999999997</c:v>
                </c:pt>
                <c:pt idx="2584">
                  <c:v>0.46500000000000002</c:v>
                </c:pt>
                <c:pt idx="2585">
                  <c:v>0.46500000000000002</c:v>
                </c:pt>
                <c:pt idx="2586">
                  <c:v>0.46750000000000003</c:v>
                </c:pt>
                <c:pt idx="2587">
                  <c:v>0.47</c:v>
                </c:pt>
                <c:pt idx="2588">
                  <c:v>0.47250000000000003</c:v>
                </c:pt>
                <c:pt idx="2589">
                  <c:v>0.46750000000000003</c:v>
                </c:pt>
                <c:pt idx="2590">
                  <c:v>0.46250000000000002</c:v>
                </c:pt>
                <c:pt idx="2591">
                  <c:v>0.46</c:v>
                </c:pt>
                <c:pt idx="2592">
                  <c:v>0.46250000000000008</c:v>
                </c:pt>
                <c:pt idx="2593">
                  <c:v>0.46</c:v>
                </c:pt>
                <c:pt idx="2594">
                  <c:v>0.46500000000000008</c:v>
                </c:pt>
                <c:pt idx="2595">
                  <c:v>0.46500000000000008</c:v>
                </c:pt>
                <c:pt idx="2596">
                  <c:v>0.47000000000000014</c:v>
                </c:pt>
                <c:pt idx="2597">
                  <c:v>0.47000000000000014</c:v>
                </c:pt>
                <c:pt idx="2598">
                  <c:v>0.47000000000000014</c:v>
                </c:pt>
                <c:pt idx="2599">
                  <c:v>0.47000000000000014</c:v>
                </c:pt>
                <c:pt idx="2600">
                  <c:v>0.47000000000000014</c:v>
                </c:pt>
                <c:pt idx="2601">
                  <c:v>0.47000000000000014</c:v>
                </c:pt>
                <c:pt idx="2602">
                  <c:v>0.47000000000000014</c:v>
                </c:pt>
                <c:pt idx="2603">
                  <c:v>0.4750000000000002</c:v>
                </c:pt>
                <c:pt idx="2604">
                  <c:v>0.47750000000000015</c:v>
                </c:pt>
                <c:pt idx="2605">
                  <c:v>0.48000000000000015</c:v>
                </c:pt>
                <c:pt idx="2606">
                  <c:v>0.4825000000000001</c:v>
                </c:pt>
                <c:pt idx="2607">
                  <c:v>0.48000000000000009</c:v>
                </c:pt>
                <c:pt idx="2608">
                  <c:v>0.48250000000000004</c:v>
                </c:pt>
                <c:pt idx="2609">
                  <c:v>0.48000000000000009</c:v>
                </c:pt>
                <c:pt idx="2610">
                  <c:v>0.4825000000000001</c:v>
                </c:pt>
                <c:pt idx="2611">
                  <c:v>0.50750000000000006</c:v>
                </c:pt>
                <c:pt idx="2612">
                  <c:v>0.50500000000000012</c:v>
                </c:pt>
                <c:pt idx="2613">
                  <c:v>0.49750000000000011</c:v>
                </c:pt>
                <c:pt idx="2614">
                  <c:v>0.49249999999999999</c:v>
                </c:pt>
                <c:pt idx="2615">
                  <c:v>0.49</c:v>
                </c:pt>
                <c:pt idx="2616">
                  <c:v>0.49</c:v>
                </c:pt>
                <c:pt idx="2617">
                  <c:v>0.49749999999999994</c:v>
                </c:pt>
                <c:pt idx="2618">
                  <c:v>0.50499999999999989</c:v>
                </c:pt>
                <c:pt idx="2619">
                  <c:v>0.51749999999999985</c:v>
                </c:pt>
                <c:pt idx="2620">
                  <c:v>0.51749999999999985</c:v>
                </c:pt>
                <c:pt idx="2621">
                  <c:v>0.5099999999999999</c:v>
                </c:pt>
              </c:numCache>
            </c:numRef>
          </c:yVal>
          <c:smooth val="1"/>
          <c:extLst>
            <c:ext xmlns:c16="http://schemas.microsoft.com/office/drawing/2014/chart" uri="{C3380CC4-5D6E-409C-BE32-E72D297353CC}">
              <c16:uniqueId val="{00000000-166F-40AA-9BA8-1AB072D4631C}"/>
            </c:ext>
          </c:extLst>
        </c:ser>
        <c:dLbls>
          <c:showLegendKey val="0"/>
          <c:showVal val="0"/>
          <c:showCatName val="0"/>
          <c:showSerName val="0"/>
          <c:showPercent val="0"/>
          <c:showBubbleSize val="0"/>
        </c:dLbls>
        <c:axId val="1680101536"/>
        <c:axId val="939997648"/>
      </c:scatterChart>
      <c:valAx>
        <c:axId val="1680101536"/>
        <c:scaling>
          <c:orientation val="minMax"/>
          <c:max val="34"/>
          <c:min val="1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#hour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9997648"/>
        <c:crosses val="autoZero"/>
        <c:crossBetween val="midCat"/>
        <c:majorUnit val="1"/>
      </c:valAx>
      <c:valAx>
        <c:axId val="939997648"/>
        <c:scaling>
          <c:orientation val="minMax"/>
          <c:max val="5"/>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0101536"/>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R2 Rate [L/h]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strRef>
              <c:f>'Reactor analysis'!$U$1:$U$2</c:f>
              <c:strCache>
                <c:ptCount val="2"/>
                <c:pt idx="1">
                  <c:v>Rate</c:v>
                </c:pt>
              </c:strCache>
            </c:strRef>
          </c:tx>
          <c:spPr>
            <a:ln w="19050" cap="rnd">
              <a:solidFill>
                <a:schemeClr val="accent1"/>
              </a:solidFill>
              <a:round/>
            </a:ln>
            <a:effectLst/>
          </c:spPr>
          <c:marker>
            <c:symbol val="none"/>
          </c:marker>
          <c:xVal>
            <c:numRef>
              <c:f>'Reactor analysis'!$S$3:$S$2624</c:f>
              <c:numCache>
                <c:formatCode>General</c:formatCode>
                <c:ptCount val="2622"/>
                <c:pt idx="0">
                  <c:v>0</c:v>
                </c:pt>
                <c:pt idx="1">
                  <c:v>1.6666666666666666E-2</c:v>
                </c:pt>
                <c:pt idx="2">
                  <c:v>3.3333333333333333E-2</c:v>
                </c:pt>
                <c:pt idx="3">
                  <c:v>0.05</c:v>
                </c:pt>
                <c:pt idx="4">
                  <c:v>6.6666666666666666E-2</c:v>
                </c:pt>
                <c:pt idx="5">
                  <c:v>8.3333333333333329E-2</c:v>
                </c:pt>
                <c:pt idx="6">
                  <c:v>9.9999999999999992E-2</c:v>
                </c:pt>
                <c:pt idx="7">
                  <c:v>0.11666666666666665</c:v>
                </c:pt>
                <c:pt idx="8">
                  <c:v>0.13333333333333333</c:v>
                </c:pt>
                <c:pt idx="9">
                  <c:v>0.15</c:v>
                </c:pt>
                <c:pt idx="10">
                  <c:v>0.16666666666666666</c:v>
                </c:pt>
                <c:pt idx="11">
                  <c:v>0.18333333333333332</c:v>
                </c:pt>
                <c:pt idx="12">
                  <c:v>0.19999999999999998</c:v>
                </c:pt>
                <c:pt idx="13">
                  <c:v>0.21666666666666665</c:v>
                </c:pt>
                <c:pt idx="14">
                  <c:v>0.23333333333333331</c:v>
                </c:pt>
                <c:pt idx="15">
                  <c:v>0.24999999999999997</c:v>
                </c:pt>
                <c:pt idx="16">
                  <c:v>0.26666666666666666</c:v>
                </c:pt>
                <c:pt idx="17">
                  <c:v>0.28333333333333333</c:v>
                </c:pt>
                <c:pt idx="18">
                  <c:v>0.3</c:v>
                </c:pt>
                <c:pt idx="19">
                  <c:v>0.31666666666666665</c:v>
                </c:pt>
                <c:pt idx="20">
                  <c:v>0.33333333333333331</c:v>
                </c:pt>
                <c:pt idx="21">
                  <c:v>0.35</c:v>
                </c:pt>
                <c:pt idx="22">
                  <c:v>0.36666666666666664</c:v>
                </c:pt>
                <c:pt idx="23">
                  <c:v>0.3833333333333333</c:v>
                </c:pt>
                <c:pt idx="24">
                  <c:v>0.39999999999999997</c:v>
                </c:pt>
                <c:pt idx="25">
                  <c:v>0.41666666666666663</c:v>
                </c:pt>
                <c:pt idx="26">
                  <c:v>0.43333333333333329</c:v>
                </c:pt>
                <c:pt idx="27">
                  <c:v>0.44999999999999996</c:v>
                </c:pt>
                <c:pt idx="28">
                  <c:v>0.46666666666666662</c:v>
                </c:pt>
                <c:pt idx="29">
                  <c:v>0.48333333333333328</c:v>
                </c:pt>
                <c:pt idx="30">
                  <c:v>0.49999999999999994</c:v>
                </c:pt>
                <c:pt idx="31">
                  <c:v>0.51666666666666661</c:v>
                </c:pt>
                <c:pt idx="32">
                  <c:v>0.53333333333333333</c:v>
                </c:pt>
                <c:pt idx="33">
                  <c:v>0.55000000000000004</c:v>
                </c:pt>
                <c:pt idx="34">
                  <c:v>0.56666666666666676</c:v>
                </c:pt>
                <c:pt idx="35">
                  <c:v>0.58333333333333348</c:v>
                </c:pt>
                <c:pt idx="36">
                  <c:v>0.6000000000000002</c:v>
                </c:pt>
                <c:pt idx="37">
                  <c:v>0.61666666666666692</c:v>
                </c:pt>
                <c:pt idx="38">
                  <c:v>0.63333333333333364</c:v>
                </c:pt>
                <c:pt idx="39">
                  <c:v>0.65000000000000036</c:v>
                </c:pt>
                <c:pt idx="40">
                  <c:v>0.66666666666666707</c:v>
                </c:pt>
                <c:pt idx="41">
                  <c:v>0.68333333333333379</c:v>
                </c:pt>
                <c:pt idx="42">
                  <c:v>0.70000000000000051</c:v>
                </c:pt>
                <c:pt idx="43">
                  <c:v>0.71666666666666723</c:v>
                </c:pt>
                <c:pt idx="44">
                  <c:v>0.73333333333333395</c:v>
                </c:pt>
                <c:pt idx="45">
                  <c:v>0.75000000000000067</c:v>
                </c:pt>
                <c:pt idx="46">
                  <c:v>0.76666666666666738</c:v>
                </c:pt>
                <c:pt idx="47">
                  <c:v>0.7833333333333341</c:v>
                </c:pt>
                <c:pt idx="48">
                  <c:v>0.80000000000000082</c:v>
                </c:pt>
                <c:pt idx="49">
                  <c:v>0.81666666666666754</c:v>
                </c:pt>
                <c:pt idx="50">
                  <c:v>0.83333333333333426</c:v>
                </c:pt>
                <c:pt idx="51">
                  <c:v>0.85000000000000098</c:v>
                </c:pt>
                <c:pt idx="52">
                  <c:v>0.8666666666666677</c:v>
                </c:pt>
                <c:pt idx="53">
                  <c:v>0.88333333333333441</c:v>
                </c:pt>
                <c:pt idx="54">
                  <c:v>0.90000000000000113</c:v>
                </c:pt>
                <c:pt idx="55">
                  <c:v>0.91666666666666785</c:v>
                </c:pt>
                <c:pt idx="56">
                  <c:v>0.93333333333333457</c:v>
                </c:pt>
                <c:pt idx="57">
                  <c:v>0.95000000000000129</c:v>
                </c:pt>
                <c:pt idx="58">
                  <c:v>0.96666666666666801</c:v>
                </c:pt>
                <c:pt idx="59">
                  <c:v>0.98333333333333472</c:v>
                </c:pt>
                <c:pt idx="60">
                  <c:v>1.0000000000000013</c:v>
                </c:pt>
                <c:pt idx="61">
                  <c:v>1.0166666666666679</c:v>
                </c:pt>
                <c:pt idx="62">
                  <c:v>1.0333333333333345</c:v>
                </c:pt>
                <c:pt idx="63">
                  <c:v>1.0500000000000012</c:v>
                </c:pt>
                <c:pt idx="64">
                  <c:v>1.0666666666666678</c:v>
                </c:pt>
                <c:pt idx="65">
                  <c:v>1.0833333333333344</c:v>
                </c:pt>
                <c:pt idx="66">
                  <c:v>1.100000000000001</c:v>
                </c:pt>
                <c:pt idx="67">
                  <c:v>1.1166666666666676</c:v>
                </c:pt>
                <c:pt idx="68">
                  <c:v>1.1333333333333342</c:v>
                </c:pt>
                <c:pt idx="69">
                  <c:v>1.1500000000000008</c:v>
                </c:pt>
                <c:pt idx="70">
                  <c:v>1.1666666666666674</c:v>
                </c:pt>
                <c:pt idx="71">
                  <c:v>1.183333333333334</c:v>
                </c:pt>
                <c:pt idx="72">
                  <c:v>1.2000000000000006</c:v>
                </c:pt>
                <c:pt idx="73">
                  <c:v>1.2166666666666672</c:v>
                </c:pt>
                <c:pt idx="74">
                  <c:v>1.2333333333333338</c:v>
                </c:pt>
                <c:pt idx="75">
                  <c:v>1.2500000000000004</c:v>
                </c:pt>
                <c:pt idx="76">
                  <c:v>1.2666666666666671</c:v>
                </c:pt>
                <c:pt idx="77">
                  <c:v>1.2833333333333337</c:v>
                </c:pt>
                <c:pt idx="78">
                  <c:v>1.3000000000000003</c:v>
                </c:pt>
                <c:pt idx="79">
                  <c:v>1.3166666666666669</c:v>
                </c:pt>
                <c:pt idx="80">
                  <c:v>1.3333333333333335</c:v>
                </c:pt>
                <c:pt idx="81">
                  <c:v>1.35</c:v>
                </c:pt>
                <c:pt idx="82">
                  <c:v>1.3666666666666667</c:v>
                </c:pt>
                <c:pt idx="83">
                  <c:v>1.3833333333333333</c:v>
                </c:pt>
                <c:pt idx="84">
                  <c:v>1.4</c:v>
                </c:pt>
                <c:pt idx="85">
                  <c:v>1.4166666666666665</c:v>
                </c:pt>
                <c:pt idx="86">
                  <c:v>1.4333333333333331</c:v>
                </c:pt>
                <c:pt idx="87">
                  <c:v>1.4499999999999997</c:v>
                </c:pt>
                <c:pt idx="88">
                  <c:v>1.4666666666666663</c:v>
                </c:pt>
                <c:pt idx="89">
                  <c:v>1.4833333333333329</c:v>
                </c:pt>
                <c:pt idx="90">
                  <c:v>1.4999999999999996</c:v>
                </c:pt>
                <c:pt idx="91">
                  <c:v>1.5166666666666662</c:v>
                </c:pt>
                <c:pt idx="92">
                  <c:v>1.5333333333333328</c:v>
                </c:pt>
                <c:pt idx="93">
                  <c:v>1.5499999999999994</c:v>
                </c:pt>
                <c:pt idx="94">
                  <c:v>1.566666666666666</c:v>
                </c:pt>
                <c:pt idx="95">
                  <c:v>1.5833333333333326</c:v>
                </c:pt>
                <c:pt idx="96">
                  <c:v>1.5999999999999992</c:v>
                </c:pt>
                <c:pt idx="97">
                  <c:v>1.6166666666666658</c:v>
                </c:pt>
                <c:pt idx="98">
                  <c:v>1.6333333333333324</c:v>
                </c:pt>
                <c:pt idx="99">
                  <c:v>1.649999999999999</c:v>
                </c:pt>
                <c:pt idx="100">
                  <c:v>1.6666666666666656</c:v>
                </c:pt>
                <c:pt idx="101">
                  <c:v>1.6833333333333322</c:v>
                </c:pt>
                <c:pt idx="102">
                  <c:v>1.6999999999999988</c:v>
                </c:pt>
                <c:pt idx="103">
                  <c:v>1.7166666666666655</c:v>
                </c:pt>
                <c:pt idx="104">
                  <c:v>1.7333333333333321</c:v>
                </c:pt>
                <c:pt idx="105">
                  <c:v>1.7499999999999987</c:v>
                </c:pt>
                <c:pt idx="106">
                  <c:v>1.7666666666666653</c:v>
                </c:pt>
                <c:pt idx="107">
                  <c:v>1.7833333333333319</c:v>
                </c:pt>
                <c:pt idx="108">
                  <c:v>1.7999999999999985</c:v>
                </c:pt>
                <c:pt idx="109">
                  <c:v>1.8166666666666651</c:v>
                </c:pt>
                <c:pt idx="110">
                  <c:v>1.8333333333333317</c:v>
                </c:pt>
                <c:pt idx="111">
                  <c:v>1.8499999999999983</c:v>
                </c:pt>
                <c:pt idx="112">
                  <c:v>1.8666666666666649</c:v>
                </c:pt>
                <c:pt idx="113">
                  <c:v>1.8833333333333315</c:v>
                </c:pt>
                <c:pt idx="114">
                  <c:v>1.8999999999999981</c:v>
                </c:pt>
                <c:pt idx="115">
                  <c:v>1.9166666666666647</c:v>
                </c:pt>
                <c:pt idx="116">
                  <c:v>1.9333333333333313</c:v>
                </c:pt>
                <c:pt idx="117">
                  <c:v>1.949999999999998</c:v>
                </c:pt>
                <c:pt idx="118">
                  <c:v>1.9666666666666646</c:v>
                </c:pt>
                <c:pt idx="119">
                  <c:v>1.9833333333333312</c:v>
                </c:pt>
                <c:pt idx="120">
                  <c:v>1.9999999999999978</c:v>
                </c:pt>
                <c:pt idx="121">
                  <c:v>2.0166666666666644</c:v>
                </c:pt>
                <c:pt idx="122">
                  <c:v>2.033333333333331</c:v>
                </c:pt>
                <c:pt idx="123">
                  <c:v>2.0499999999999976</c:v>
                </c:pt>
                <c:pt idx="124">
                  <c:v>2.0666666666666642</c:v>
                </c:pt>
                <c:pt idx="125">
                  <c:v>2.0833333333333308</c:v>
                </c:pt>
                <c:pt idx="126">
                  <c:v>2.0999999999999974</c:v>
                </c:pt>
                <c:pt idx="127">
                  <c:v>2.116666666666664</c:v>
                </c:pt>
                <c:pt idx="128">
                  <c:v>2.1333333333333306</c:v>
                </c:pt>
                <c:pt idx="129">
                  <c:v>2.1499999999999972</c:v>
                </c:pt>
                <c:pt idx="130">
                  <c:v>2.1666666666666639</c:v>
                </c:pt>
                <c:pt idx="131">
                  <c:v>2.1833333333333305</c:v>
                </c:pt>
                <c:pt idx="132">
                  <c:v>2.1999999999999971</c:v>
                </c:pt>
                <c:pt idx="133">
                  <c:v>2.2166666666666637</c:v>
                </c:pt>
                <c:pt idx="134">
                  <c:v>2.2333333333333303</c:v>
                </c:pt>
                <c:pt idx="135">
                  <c:v>2.2499999999999969</c:v>
                </c:pt>
                <c:pt idx="136">
                  <c:v>2.2666666666666635</c:v>
                </c:pt>
                <c:pt idx="137">
                  <c:v>2.2833333333333301</c:v>
                </c:pt>
                <c:pt idx="138">
                  <c:v>2.2999999999999967</c:v>
                </c:pt>
                <c:pt idx="139">
                  <c:v>2.3166666666666633</c:v>
                </c:pt>
                <c:pt idx="140">
                  <c:v>2.3333333333333299</c:v>
                </c:pt>
                <c:pt idx="141">
                  <c:v>2.3499999999999965</c:v>
                </c:pt>
                <c:pt idx="142">
                  <c:v>2.3666666666666631</c:v>
                </c:pt>
                <c:pt idx="143">
                  <c:v>2.3833333333333298</c:v>
                </c:pt>
                <c:pt idx="144">
                  <c:v>2.3999999999999964</c:v>
                </c:pt>
                <c:pt idx="145">
                  <c:v>2.416666666666663</c:v>
                </c:pt>
                <c:pt idx="146">
                  <c:v>2.4333333333333296</c:v>
                </c:pt>
                <c:pt idx="147">
                  <c:v>2.4499999999999962</c:v>
                </c:pt>
                <c:pt idx="148">
                  <c:v>2.4666666666666628</c:v>
                </c:pt>
                <c:pt idx="149">
                  <c:v>2.4833333333333294</c:v>
                </c:pt>
                <c:pt idx="150">
                  <c:v>2.499999999999996</c:v>
                </c:pt>
                <c:pt idx="151">
                  <c:v>2.5166666666666626</c:v>
                </c:pt>
                <c:pt idx="152">
                  <c:v>2.5333333333333292</c:v>
                </c:pt>
                <c:pt idx="153">
                  <c:v>2.5499999999999958</c:v>
                </c:pt>
                <c:pt idx="154">
                  <c:v>2.5666666666666624</c:v>
                </c:pt>
                <c:pt idx="155">
                  <c:v>2.583333333333329</c:v>
                </c:pt>
                <c:pt idx="156">
                  <c:v>2.5999999999999956</c:v>
                </c:pt>
                <c:pt idx="157">
                  <c:v>2.6166666666666623</c:v>
                </c:pt>
                <c:pt idx="158">
                  <c:v>2.6333333333333289</c:v>
                </c:pt>
                <c:pt idx="159">
                  <c:v>2.6499999999999955</c:v>
                </c:pt>
                <c:pt idx="160">
                  <c:v>2.6666666666666621</c:v>
                </c:pt>
                <c:pt idx="161">
                  <c:v>2.6833333333333287</c:v>
                </c:pt>
                <c:pt idx="162">
                  <c:v>2.6999999999999953</c:v>
                </c:pt>
                <c:pt idx="163">
                  <c:v>2.7166666666666619</c:v>
                </c:pt>
                <c:pt idx="164">
                  <c:v>2.7333333333333285</c:v>
                </c:pt>
                <c:pt idx="165">
                  <c:v>2.7499999999999951</c:v>
                </c:pt>
                <c:pt idx="166">
                  <c:v>2.7666666666666617</c:v>
                </c:pt>
                <c:pt idx="167">
                  <c:v>2.7833333333333283</c:v>
                </c:pt>
                <c:pt idx="168">
                  <c:v>2.7999999999999949</c:v>
                </c:pt>
                <c:pt idx="169">
                  <c:v>2.8166666666666615</c:v>
                </c:pt>
                <c:pt idx="170">
                  <c:v>2.8333333333333282</c:v>
                </c:pt>
                <c:pt idx="171">
                  <c:v>2.8499999999999948</c:v>
                </c:pt>
                <c:pt idx="172">
                  <c:v>2.8666666666666614</c:v>
                </c:pt>
                <c:pt idx="173">
                  <c:v>2.883333333333328</c:v>
                </c:pt>
                <c:pt idx="174">
                  <c:v>2.8999999999999946</c:v>
                </c:pt>
                <c:pt idx="175">
                  <c:v>2.9166666666666612</c:v>
                </c:pt>
                <c:pt idx="176">
                  <c:v>2.9333333333333278</c:v>
                </c:pt>
                <c:pt idx="177">
                  <c:v>2.9499999999999944</c:v>
                </c:pt>
                <c:pt idx="178">
                  <c:v>2.966666666666661</c:v>
                </c:pt>
                <c:pt idx="179">
                  <c:v>2.9833333333333276</c:v>
                </c:pt>
                <c:pt idx="180">
                  <c:v>2.9999999999999942</c:v>
                </c:pt>
                <c:pt idx="181">
                  <c:v>3.0166666666666608</c:v>
                </c:pt>
                <c:pt idx="182">
                  <c:v>3.0333333333333274</c:v>
                </c:pt>
                <c:pt idx="183">
                  <c:v>3.049999999999994</c:v>
                </c:pt>
                <c:pt idx="184">
                  <c:v>3.0666666666666607</c:v>
                </c:pt>
                <c:pt idx="185">
                  <c:v>3.0833333333333273</c:v>
                </c:pt>
                <c:pt idx="186">
                  <c:v>3.0999999999999939</c:v>
                </c:pt>
                <c:pt idx="187">
                  <c:v>3.1166666666666605</c:v>
                </c:pt>
                <c:pt idx="188">
                  <c:v>3.1333333333333271</c:v>
                </c:pt>
                <c:pt idx="189">
                  <c:v>3.1499999999999937</c:v>
                </c:pt>
                <c:pt idx="190">
                  <c:v>3.1666666666666603</c:v>
                </c:pt>
                <c:pt idx="191">
                  <c:v>3.1833333333333269</c:v>
                </c:pt>
                <c:pt idx="192">
                  <c:v>3.1999999999999935</c:v>
                </c:pt>
                <c:pt idx="193">
                  <c:v>3.2166666666666601</c:v>
                </c:pt>
                <c:pt idx="194">
                  <c:v>3.2333333333333267</c:v>
                </c:pt>
                <c:pt idx="195">
                  <c:v>3.2499999999999933</c:v>
                </c:pt>
                <c:pt idx="196">
                  <c:v>3.2666666666666599</c:v>
                </c:pt>
                <c:pt idx="197">
                  <c:v>3.2833333333333266</c:v>
                </c:pt>
                <c:pt idx="198">
                  <c:v>3.2999999999999932</c:v>
                </c:pt>
                <c:pt idx="199">
                  <c:v>3.3166666666666598</c:v>
                </c:pt>
                <c:pt idx="200">
                  <c:v>3.3333333333333264</c:v>
                </c:pt>
                <c:pt idx="201">
                  <c:v>3.349999999999993</c:v>
                </c:pt>
                <c:pt idx="202">
                  <c:v>3.3666666666666596</c:v>
                </c:pt>
                <c:pt idx="203">
                  <c:v>3.3833333333333262</c:v>
                </c:pt>
                <c:pt idx="204">
                  <c:v>3.3999999999999928</c:v>
                </c:pt>
                <c:pt idx="205">
                  <c:v>3.4166666666666594</c:v>
                </c:pt>
                <c:pt idx="206">
                  <c:v>3.433333333333326</c:v>
                </c:pt>
                <c:pt idx="207">
                  <c:v>3.4499999999999926</c:v>
                </c:pt>
                <c:pt idx="208">
                  <c:v>3.4666666666666592</c:v>
                </c:pt>
                <c:pt idx="209">
                  <c:v>3.4833333333333258</c:v>
                </c:pt>
                <c:pt idx="210">
                  <c:v>3.4999999999999925</c:v>
                </c:pt>
                <c:pt idx="211">
                  <c:v>3.5166666666666591</c:v>
                </c:pt>
                <c:pt idx="212">
                  <c:v>3.5333333333333257</c:v>
                </c:pt>
                <c:pt idx="213">
                  <c:v>3.5499999999999923</c:v>
                </c:pt>
                <c:pt idx="214">
                  <c:v>3.5666666666666589</c:v>
                </c:pt>
                <c:pt idx="215">
                  <c:v>3.5833333333333255</c:v>
                </c:pt>
                <c:pt idx="216">
                  <c:v>3.5999999999999921</c:v>
                </c:pt>
                <c:pt idx="217">
                  <c:v>3.6166666666666587</c:v>
                </c:pt>
                <c:pt idx="218">
                  <c:v>3.6333333333333253</c:v>
                </c:pt>
                <c:pt idx="219">
                  <c:v>3.6499999999999919</c:v>
                </c:pt>
                <c:pt idx="220">
                  <c:v>3.6666666666666585</c:v>
                </c:pt>
                <c:pt idx="221">
                  <c:v>3.6833333333333251</c:v>
                </c:pt>
                <c:pt idx="222">
                  <c:v>3.6999999999999917</c:v>
                </c:pt>
                <c:pt idx="223">
                  <c:v>3.7166666666666583</c:v>
                </c:pt>
                <c:pt idx="224">
                  <c:v>3.733333333333325</c:v>
                </c:pt>
                <c:pt idx="225">
                  <c:v>3.7499999999999916</c:v>
                </c:pt>
                <c:pt idx="226">
                  <c:v>3.7666666666666582</c:v>
                </c:pt>
                <c:pt idx="227">
                  <c:v>3.7833333333333248</c:v>
                </c:pt>
                <c:pt idx="228">
                  <c:v>3.7999999999999914</c:v>
                </c:pt>
                <c:pt idx="229">
                  <c:v>3.816666666666658</c:v>
                </c:pt>
                <c:pt idx="230">
                  <c:v>3.8333333333333246</c:v>
                </c:pt>
                <c:pt idx="231">
                  <c:v>3.8499999999999912</c:v>
                </c:pt>
                <c:pt idx="232">
                  <c:v>3.8666666666666578</c:v>
                </c:pt>
                <c:pt idx="233">
                  <c:v>3.8833333333333244</c:v>
                </c:pt>
                <c:pt idx="234">
                  <c:v>3.899999999999991</c:v>
                </c:pt>
                <c:pt idx="235">
                  <c:v>3.9166666666666576</c:v>
                </c:pt>
                <c:pt idx="236">
                  <c:v>3.9333333333333242</c:v>
                </c:pt>
                <c:pt idx="237">
                  <c:v>3.9499999999999909</c:v>
                </c:pt>
                <c:pt idx="238">
                  <c:v>3.9666666666666575</c:v>
                </c:pt>
                <c:pt idx="239">
                  <c:v>3.9833333333333241</c:v>
                </c:pt>
                <c:pt idx="240">
                  <c:v>3.9999999999999907</c:v>
                </c:pt>
                <c:pt idx="241">
                  <c:v>4.0166666666666577</c:v>
                </c:pt>
                <c:pt idx="242">
                  <c:v>4.0333333333333243</c:v>
                </c:pt>
                <c:pt idx="243">
                  <c:v>4.0499999999999909</c:v>
                </c:pt>
                <c:pt idx="244">
                  <c:v>4.0666666666666575</c:v>
                </c:pt>
                <c:pt idx="245">
                  <c:v>4.0833333333333242</c:v>
                </c:pt>
                <c:pt idx="246">
                  <c:v>4.0999999999999908</c:v>
                </c:pt>
                <c:pt idx="247">
                  <c:v>4.1166666666666574</c:v>
                </c:pt>
                <c:pt idx="248">
                  <c:v>4.133333333333324</c:v>
                </c:pt>
                <c:pt idx="249">
                  <c:v>4.1499999999999906</c:v>
                </c:pt>
                <c:pt idx="250">
                  <c:v>4.1666666666666572</c:v>
                </c:pt>
                <c:pt idx="251">
                  <c:v>4.1833333333333238</c:v>
                </c:pt>
                <c:pt idx="252">
                  <c:v>4.1999999999999904</c:v>
                </c:pt>
                <c:pt idx="253">
                  <c:v>4.216666666666657</c:v>
                </c:pt>
                <c:pt idx="254">
                  <c:v>4.2333333333333236</c:v>
                </c:pt>
                <c:pt idx="255">
                  <c:v>4.2499999999999902</c:v>
                </c:pt>
                <c:pt idx="256">
                  <c:v>4.2666666666666568</c:v>
                </c:pt>
                <c:pt idx="257">
                  <c:v>4.2833333333333234</c:v>
                </c:pt>
                <c:pt idx="258">
                  <c:v>4.2999999999999901</c:v>
                </c:pt>
                <c:pt idx="259">
                  <c:v>4.3166666666666567</c:v>
                </c:pt>
                <c:pt idx="260">
                  <c:v>4.3333333333333233</c:v>
                </c:pt>
                <c:pt idx="261">
                  <c:v>4.3499999999999899</c:v>
                </c:pt>
                <c:pt idx="262">
                  <c:v>4.3666666666666565</c:v>
                </c:pt>
                <c:pt idx="263">
                  <c:v>4.3833333333333231</c:v>
                </c:pt>
                <c:pt idx="264">
                  <c:v>4.3999999999999897</c:v>
                </c:pt>
                <c:pt idx="265">
                  <c:v>4.4166666666666563</c:v>
                </c:pt>
                <c:pt idx="266">
                  <c:v>4.4333333333333229</c:v>
                </c:pt>
                <c:pt idx="267">
                  <c:v>4.4499999999999895</c:v>
                </c:pt>
                <c:pt idx="268">
                  <c:v>4.4666666666666561</c:v>
                </c:pt>
                <c:pt idx="269">
                  <c:v>4.4833333333333227</c:v>
                </c:pt>
                <c:pt idx="270">
                  <c:v>4.4999999999999893</c:v>
                </c:pt>
                <c:pt idx="271">
                  <c:v>4.5166666666666559</c:v>
                </c:pt>
                <c:pt idx="272">
                  <c:v>4.5333333333333226</c:v>
                </c:pt>
                <c:pt idx="273">
                  <c:v>4.5499999999999892</c:v>
                </c:pt>
                <c:pt idx="274">
                  <c:v>4.5666666666666558</c:v>
                </c:pt>
                <c:pt idx="275">
                  <c:v>4.5833333333333224</c:v>
                </c:pt>
                <c:pt idx="276">
                  <c:v>4.599999999999989</c:v>
                </c:pt>
                <c:pt idx="277">
                  <c:v>4.6166666666666556</c:v>
                </c:pt>
                <c:pt idx="278">
                  <c:v>4.6333333333333222</c:v>
                </c:pt>
                <c:pt idx="279">
                  <c:v>4.6499999999999888</c:v>
                </c:pt>
                <c:pt idx="280">
                  <c:v>4.6666666666666554</c:v>
                </c:pt>
                <c:pt idx="281">
                  <c:v>4.683333333333322</c:v>
                </c:pt>
                <c:pt idx="282">
                  <c:v>4.6999999999999886</c:v>
                </c:pt>
                <c:pt idx="283">
                  <c:v>4.7166666666666552</c:v>
                </c:pt>
                <c:pt idx="284">
                  <c:v>4.7333333333333218</c:v>
                </c:pt>
                <c:pt idx="285">
                  <c:v>4.7499999999999885</c:v>
                </c:pt>
                <c:pt idx="286">
                  <c:v>4.7666666666666551</c:v>
                </c:pt>
                <c:pt idx="287">
                  <c:v>4.7833333333333217</c:v>
                </c:pt>
                <c:pt idx="288">
                  <c:v>4.7999999999999883</c:v>
                </c:pt>
                <c:pt idx="289">
                  <c:v>4.8166666666666549</c:v>
                </c:pt>
                <c:pt idx="290">
                  <c:v>4.8333333333333215</c:v>
                </c:pt>
                <c:pt idx="291">
                  <c:v>4.8499999999999881</c:v>
                </c:pt>
                <c:pt idx="292">
                  <c:v>4.8666666666666547</c:v>
                </c:pt>
                <c:pt idx="293">
                  <c:v>4.8833333333333213</c:v>
                </c:pt>
                <c:pt idx="294">
                  <c:v>4.8999999999999879</c:v>
                </c:pt>
                <c:pt idx="295">
                  <c:v>4.9166666666666545</c:v>
                </c:pt>
                <c:pt idx="296">
                  <c:v>4.9333333333333211</c:v>
                </c:pt>
                <c:pt idx="297">
                  <c:v>4.9499999999999877</c:v>
                </c:pt>
                <c:pt idx="298">
                  <c:v>4.9666666666666544</c:v>
                </c:pt>
                <c:pt idx="299">
                  <c:v>4.983333333333321</c:v>
                </c:pt>
                <c:pt idx="300">
                  <c:v>4.9999999999999876</c:v>
                </c:pt>
                <c:pt idx="301">
                  <c:v>5.0166666666666542</c:v>
                </c:pt>
                <c:pt idx="302">
                  <c:v>5.0333333333333208</c:v>
                </c:pt>
                <c:pt idx="303">
                  <c:v>5.0499999999999874</c:v>
                </c:pt>
                <c:pt idx="304">
                  <c:v>5.066666666666654</c:v>
                </c:pt>
                <c:pt idx="305">
                  <c:v>5.0833333333333206</c:v>
                </c:pt>
                <c:pt idx="306">
                  <c:v>5.0999999999999872</c:v>
                </c:pt>
                <c:pt idx="307">
                  <c:v>5.1166666666666538</c:v>
                </c:pt>
                <c:pt idx="308">
                  <c:v>5.1333333333333204</c:v>
                </c:pt>
                <c:pt idx="309">
                  <c:v>5.149999999999987</c:v>
                </c:pt>
                <c:pt idx="310">
                  <c:v>5.1666666666666536</c:v>
                </c:pt>
                <c:pt idx="311">
                  <c:v>5.1833333333333202</c:v>
                </c:pt>
                <c:pt idx="312">
                  <c:v>5.1999999999999869</c:v>
                </c:pt>
                <c:pt idx="313">
                  <c:v>5.2166666666666535</c:v>
                </c:pt>
                <c:pt idx="314">
                  <c:v>5.2333333333333201</c:v>
                </c:pt>
                <c:pt idx="315">
                  <c:v>5.2499999999999867</c:v>
                </c:pt>
                <c:pt idx="316">
                  <c:v>5.2666666666666533</c:v>
                </c:pt>
                <c:pt idx="317">
                  <c:v>5.2833333333333199</c:v>
                </c:pt>
                <c:pt idx="318">
                  <c:v>5.2999999999999865</c:v>
                </c:pt>
                <c:pt idx="319">
                  <c:v>5.3166666666666531</c:v>
                </c:pt>
                <c:pt idx="320">
                  <c:v>5.3333333333333197</c:v>
                </c:pt>
                <c:pt idx="321">
                  <c:v>5.3499999999999863</c:v>
                </c:pt>
                <c:pt idx="322">
                  <c:v>5.3666666666666529</c:v>
                </c:pt>
                <c:pt idx="323">
                  <c:v>5.3833333333333195</c:v>
                </c:pt>
                <c:pt idx="324">
                  <c:v>5.3999999999999861</c:v>
                </c:pt>
                <c:pt idx="325">
                  <c:v>5.4166666666666528</c:v>
                </c:pt>
                <c:pt idx="326">
                  <c:v>5.4333333333333194</c:v>
                </c:pt>
                <c:pt idx="327">
                  <c:v>5.449999999999986</c:v>
                </c:pt>
                <c:pt idx="328">
                  <c:v>5.4666666666666526</c:v>
                </c:pt>
                <c:pt idx="329">
                  <c:v>5.4833333333333192</c:v>
                </c:pt>
                <c:pt idx="330">
                  <c:v>5.4999999999999858</c:v>
                </c:pt>
                <c:pt idx="331">
                  <c:v>5.5166666666666524</c:v>
                </c:pt>
                <c:pt idx="332">
                  <c:v>5.533333333333319</c:v>
                </c:pt>
                <c:pt idx="333">
                  <c:v>5.5499999999999856</c:v>
                </c:pt>
                <c:pt idx="334">
                  <c:v>5.5666666666666522</c:v>
                </c:pt>
                <c:pt idx="335">
                  <c:v>5.5833333333333188</c:v>
                </c:pt>
                <c:pt idx="336">
                  <c:v>5.5999999999999854</c:v>
                </c:pt>
                <c:pt idx="337">
                  <c:v>5.616666666666652</c:v>
                </c:pt>
                <c:pt idx="338">
                  <c:v>5.6333333333333186</c:v>
                </c:pt>
                <c:pt idx="339">
                  <c:v>5.6499999999999853</c:v>
                </c:pt>
                <c:pt idx="340">
                  <c:v>5.6666666666666519</c:v>
                </c:pt>
                <c:pt idx="341">
                  <c:v>5.6833333333333185</c:v>
                </c:pt>
                <c:pt idx="342">
                  <c:v>5.6999999999999851</c:v>
                </c:pt>
                <c:pt idx="343">
                  <c:v>5.7166666666666517</c:v>
                </c:pt>
                <c:pt idx="344">
                  <c:v>5.7333333333333183</c:v>
                </c:pt>
                <c:pt idx="345">
                  <c:v>5.7499999999999849</c:v>
                </c:pt>
                <c:pt idx="346">
                  <c:v>5.7666666666666515</c:v>
                </c:pt>
                <c:pt idx="347">
                  <c:v>5.7833333333333181</c:v>
                </c:pt>
                <c:pt idx="348">
                  <c:v>5.7999999999999847</c:v>
                </c:pt>
                <c:pt idx="349">
                  <c:v>5.8166666666666513</c:v>
                </c:pt>
                <c:pt idx="350">
                  <c:v>5.8333333333333179</c:v>
                </c:pt>
                <c:pt idx="351">
                  <c:v>5.8499999999999845</c:v>
                </c:pt>
                <c:pt idx="352">
                  <c:v>5.8666666666666512</c:v>
                </c:pt>
                <c:pt idx="353">
                  <c:v>5.8833333333333178</c:v>
                </c:pt>
                <c:pt idx="354">
                  <c:v>5.8999999999999844</c:v>
                </c:pt>
                <c:pt idx="355">
                  <c:v>5.916666666666651</c:v>
                </c:pt>
                <c:pt idx="356">
                  <c:v>5.9333333333333176</c:v>
                </c:pt>
                <c:pt idx="357">
                  <c:v>5.9499999999999842</c:v>
                </c:pt>
                <c:pt idx="358">
                  <c:v>5.9666666666666508</c:v>
                </c:pt>
                <c:pt idx="359">
                  <c:v>5.9833333333333174</c:v>
                </c:pt>
                <c:pt idx="360">
                  <c:v>5.999999999999984</c:v>
                </c:pt>
                <c:pt idx="361">
                  <c:v>6.0166666666666506</c:v>
                </c:pt>
                <c:pt idx="362">
                  <c:v>6.0333333333333172</c:v>
                </c:pt>
                <c:pt idx="363">
                  <c:v>6.0499999999999838</c:v>
                </c:pt>
                <c:pt idx="364">
                  <c:v>6.0666666666666504</c:v>
                </c:pt>
                <c:pt idx="365">
                  <c:v>6.0833333333333171</c:v>
                </c:pt>
                <c:pt idx="366">
                  <c:v>6.0999999999999837</c:v>
                </c:pt>
                <c:pt idx="367">
                  <c:v>6.1166666666666503</c:v>
                </c:pt>
                <c:pt idx="368">
                  <c:v>6.1333333333333169</c:v>
                </c:pt>
                <c:pt idx="369">
                  <c:v>6.1499999999999835</c:v>
                </c:pt>
                <c:pt idx="370">
                  <c:v>6.1666666666666501</c:v>
                </c:pt>
                <c:pt idx="371">
                  <c:v>6.1833333333333167</c:v>
                </c:pt>
                <c:pt idx="372">
                  <c:v>6.1999999999999833</c:v>
                </c:pt>
                <c:pt idx="373">
                  <c:v>6.2166666666666499</c:v>
                </c:pt>
                <c:pt idx="374">
                  <c:v>6.2333333333333165</c:v>
                </c:pt>
                <c:pt idx="375">
                  <c:v>6.2499999999999831</c:v>
                </c:pt>
                <c:pt idx="376">
                  <c:v>6.2666666666666497</c:v>
                </c:pt>
                <c:pt idx="377">
                  <c:v>6.2833333333333163</c:v>
                </c:pt>
                <c:pt idx="378">
                  <c:v>6.2999999999999829</c:v>
                </c:pt>
                <c:pt idx="379">
                  <c:v>6.3166666666666496</c:v>
                </c:pt>
                <c:pt idx="380">
                  <c:v>6.3333333333333162</c:v>
                </c:pt>
                <c:pt idx="381">
                  <c:v>6.3499999999999828</c:v>
                </c:pt>
                <c:pt idx="382">
                  <c:v>6.3666666666666494</c:v>
                </c:pt>
                <c:pt idx="383">
                  <c:v>6.383333333333316</c:v>
                </c:pt>
                <c:pt idx="384">
                  <c:v>6.3999999999999826</c:v>
                </c:pt>
                <c:pt idx="385">
                  <c:v>6.4166666666666492</c:v>
                </c:pt>
                <c:pt idx="386">
                  <c:v>6.4333333333333158</c:v>
                </c:pt>
                <c:pt idx="387">
                  <c:v>6.4499999999999824</c:v>
                </c:pt>
                <c:pt idx="388">
                  <c:v>6.466666666666649</c:v>
                </c:pt>
                <c:pt idx="389">
                  <c:v>6.4833333333333156</c:v>
                </c:pt>
                <c:pt idx="390">
                  <c:v>6.4999999999999822</c:v>
                </c:pt>
                <c:pt idx="391">
                  <c:v>6.5166666666666488</c:v>
                </c:pt>
                <c:pt idx="392">
                  <c:v>6.5333333333333155</c:v>
                </c:pt>
                <c:pt idx="393">
                  <c:v>6.5499999999999821</c:v>
                </c:pt>
                <c:pt idx="394">
                  <c:v>6.5666666666666487</c:v>
                </c:pt>
                <c:pt idx="395">
                  <c:v>6.5833333333333153</c:v>
                </c:pt>
                <c:pt idx="396">
                  <c:v>6.5999999999999819</c:v>
                </c:pt>
                <c:pt idx="397">
                  <c:v>6.6166666666666485</c:v>
                </c:pt>
                <c:pt idx="398">
                  <c:v>6.6333333333333151</c:v>
                </c:pt>
                <c:pt idx="399">
                  <c:v>6.6499999999999817</c:v>
                </c:pt>
                <c:pt idx="400">
                  <c:v>6.6666666666666483</c:v>
                </c:pt>
                <c:pt idx="401">
                  <c:v>6.6833333333333149</c:v>
                </c:pt>
                <c:pt idx="402">
                  <c:v>6.6999999999999815</c:v>
                </c:pt>
                <c:pt idx="403">
                  <c:v>6.7166666666666481</c:v>
                </c:pt>
                <c:pt idx="404">
                  <c:v>6.7333333333333147</c:v>
                </c:pt>
                <c:pt idx="405">
                  <c:v>6.7499999999999813</c:v>
                </c:pt>
                <c:pt idx="406">
                  <c:v>6.766666666666648</c:v>
                </c:pt>
                <c:pt idx="407">
                  <c:v>6.7833333333333146</c:v>
                </c:pt>
                <c:pt idx="408">
                  <c:v>6.7999999999999812</c:v>
                </c:pt>
                <c:pt idx="409">
                  <c:v>6.8166666666666478</c:v>
                </c:pt>
                <c:pt idx="410">
                  <c:v>6.8333333333333144</c:v>
                </c:pt>
                <c:pt idx="411">
                  <c:v>6.849999999999981</c:v>
                </c:pt>
                <c:pt idx="412">
                  <c:v>6.8666666666666476</c:v>
                </c:pt>
                <c:pt idx="413">
                  <c:v>6.8833333333333142</c:v>
                </c:pt>
                <c:pt idx="414">
                  <c:v>6.8999999999999808</c:v>
                </c:pt>
                <c:pt idx="415">
                  <c:v>6.9166666666666474</c:v>
                </c:pt>
                <c:pt idx="416">
                  <c:v>6.933333333333314</c:v>
                </c:pt>
                <c:pt idx="417">
                  <c:v>6.9499999999999806</c:v>
                </c:pt>
                <c:pt idx="418">
                  <c:v>6.9666666666666472</c:v>
                </c:pt>
                <c:pt idx="419">
                  <c:v>6.9833333333333139</c:v>
                </c:pt>
                <c:pt idx="420">
                  <c:v>6.9999999999999805</c:v>
                </c:pt>
                <c:pt idx="421">
                  <c:v>7.0166666666666471</c:v>
                </c:pt>
                <c:pt idx="422">
                  <c:v>7.0333333333333137</c:v>
                </c:pt>
                <c:pt idx="423">
                  <c:v>7.0499999999999803</c:v>
                </c:pt>
                <c:pt idx="424">
                  <c:v>7.0666666666666469</c:v>
                </c:pt>
                <c:pt idx="425">
                  <c:v>7.0833333333333135</c:v>
                </c:pt>
                <c:pt idx="426">
                  <c:v>7.0999999999999801</c:v>
                </c:pt>
                <c:pt idx="427">
                  <c:v>7.1166666666666467</c:v>
                </c:pt>
                <c:pt idx="428">
                  <c:v>7.1333333333333133</c:v>
                </c:pt>
                <c:pt idx="429">
                  <c:v>7.1499999999999799</c:v>
                </c:pt>
                <c:pt idx="430">
                  <c:v>7.1666666666666465</c:v>
                </c:pt>
                <c:pt idx="431">
                  <c:v>7.1833333333333131</c:v>
                </c:pt>
                <c:pt idx="432">
                  <c:v>7.1999999999999797</c:v>
                </c:pt>
                <c:pt idx="433">
                  <c:v>7.2166666666666464</c:v>
                </c:pt>
                <c:pt idx="434">
                  <c:v>7.233333333333313</c:v>
                </c:pt>
                <c:pt idx="435">
                  <c:v>7.2499999999999796</c:v>
                </c:pt>
                <c:pt idx="436">
                  <c:v>7.2666666666666462</c:v>
                </c:pt>
                <c:pt idx="437">
                  <c:v>7.2833333333333128</c:v>
                </c:pt>
                <c:pt idx="438">
                  <c:v>7.2999999999999794</c:v>
                </c:pt>
                <c:pt idx="439">
                  <c:v>7.316666666666646</c:v>
                </c:pt>
                <c:pt idx="440">
                  <c:v>7.3333333333333126</c:v>
                </c:pt>
                <c:pt idx="441">
                  <c:v>7.3499999999999792</c:v>
                </c:pt>
                <c:pt idx="442">
                  <c:v>7.3666666666666458</c:v>
                </c:pt>
                <c:pt idx="443">
                  <c:v>7.3833333333333124</c:v>
                </c:pt>
                <c:pt idx="444">
                  <c:v>7.399999999999979</c:v>
                </c:pt>
                <c:pt idx="445">
                  <c:v>7.4166666666666456</c:v>
                </c:pt>
                <c:pt idx="446">
                  <c:v>7.4333333333333123</c:v>
                </c:pt>
                <c:pt idx="447">
                  <c:v>7.4499999999999789</c:v>
                </c:pt>
                <c:pt idx="448">
                  <c:v>7.4666666666666455</c:v>
                </c:pt>
                <c:pt idx="449">
                  <c:v>7.4833333333333121</c:v>
                </c:pt>
                <c:pt idx="450">
                  <c:v>7.4999999999999787</c:v>
                </c:pt>
                <c:pt idx="451">
                  <c:v>7.5166666666666453</c:v>
                </c:pt>
                <c:pt idx="452">
                  <c:v>7.5333333333333119</c:v>
                </c:pt>
                <c:pt idx="453">
                  <c:v>7.5499999999999785</c:v>
                </c:pt>
                <c:pt idx="454">
                  <c:v>7.5666666666666451</c:v>
                </c:pt>
                <c:pt idx="455">
                  <c:v>7.5833333333333117</c:v>
                </c:pt>
                <c:pt idx="456">
                  <c:v>7.5999999999999783</c:v>
                </c:pt>
                <c:pt idx="457">
                  <c:v>7.6166666666666449</c:v>
                </c:pt>
                <c:pt idx="458">
                  <c:v>7.6333333333333115</c:v>
                </c:pt>
                <c:pt idx="459">
                  <c:v>7.6499999999999782</c:v>
                </c:pt>
                <c:pt idx="460">
                  <c:v>7.6666666666666448</c:v>
                </c:pt>
                <c:pt idx="461">
                  <c:v>7.6833333333333114</c:v>
                </c:pt>
                <c:pt idx="462">
                  <c:v>7.699999999999978</c:v>
                </c:pt>
                <c:pt idx="463">
                  <c:v>7.7166666666666446</c:v>
                </c:pt>
                <c:pt idx="464">
                  <c:v>7.7333333333333112</c:v>
                </c:pt>
                <c:pt idx="465">
                  <c:v>7.7499999999999778</c:v>
                </c:pt>
                <c:pt idx="466">
                  <c:v>7.7666666666666444</c:v>
                </c:pt>
                <c:pt idx="467">
                  <c:v>7.783333333333311</c:v>
                </c:pt>
                <c:pt idx="468">
                  <c:v>7.7999999999999776</c:v>
                </c:pt>
                <c:pt idx="469">
                  <c:v>7.8166666666666442</c:v>
                </c:pt>
                <c:pt idx="470">
                  <c:v>7.8333333333333108</c:v>
                </c:pt>
                <c:pt idx="471">
                  <c:v>7.8499999999999774</c:v>
                </c:pt>
                <c:pt idx="472">
                  <c:v>7.866666666666644</c:v>
                </c:pt>
                <c:pt idx="473">
                  <c:v>7.8833333333333107</c:v>
                </c:pt>
                <c:pt idx="474">
                  <c:v>7.8999999999999773</c:v>
                </c:pt>
                <c:pt idx="475">
                  <c:v>7.9166666666666439</c:v>
                </c:pt>
                <c:pt idx="476">
                  <c:v>7.9333333333333105</c:v>
                </c:pt>
                <c:pt idx="477">
                  <c:v>7.9499999999999771</c:v>
                </c:pt>
                <c:pt idx="478">
                  <c:v>7.9666666666666437</c:v>
                </c:pt>
                <c:pt idx="479">
                  <c:v>7.9833333333333103</c:v>
                </c:pt>
                <c:pt idx="480">
                  <c:v>7.9999999999999769</c:v>
                </c:pt>
                <c:pt idx="481">
                  <c:v>8.0166666666666444</c:v>
                </c:pt>
                <c:pt idx="482">
                  <c:v>8.0333333333333119</c:v>
                </c:pt>
                <c:pt idx="483">
                  <c:v>8.0499999999999794</c:v>
                </c:pt>
                <c:pt idx="484">
                  <c:v>8.0666666666666469</c:v>
                </c:pt>
                <c:pt idx="485">
                  <c:v>8.0833333333333144</c:v>
                </c:pt>
                <c:pt idx="486">
                  <c:v>8.0999999999999819</c:v>
                </c:pt>
                <c:pt idx="487">
                  <c:v>8.1166666666666494</c:v>
                </c:pt>
                <c:pt idx="488">
                  <c:v>8.1333333333333169</c:v>
                </c:pt>
                <c:pt idx="489">
                  <c:v>8.1499999999999844</c:v>
                </c:pt>
                <c:pt idx="490">
                  <c:v>8.1666666666666519</c:v>
                </c:pt>
                <c:pt idx="491">
                  <c:v>8.1833333333333194</c:v>
                </c:pt>
                <c:pt idx="492">
                  <c:v>8.1999999999999869</c:v>
                </c:pt>
                <c:pt idx="493">
                  <c:v>8.2166666666666544</c:v>
                </c:pt>
                <c:pt idx="494">
                  <c:v>8.2333333333333218</c:v>
                </c:pt>
                <c:pt idx="495">
                  <c:v>8.2499999999999893</c:v>
                </c:pt>
                <c:pt idx="496">
                  <c:v>8.2666666666666568</c:v>
                </c:pt>
                <c:pt idx="497">
                  <c:v>8.2833333333333243</c:v>
                </c:pt>
                <c:pt idx="498">
                  <c:v>8.2999999999999918</c:v>
                </c:pt>
                <c:pt idx="499">
                  <c:v>8.3166666666666593</c:v>
                </c:pt>
                <c:pt idx="500">
                  <c:v>8.3333333333333268</c:v>
                </c:pt>
                <c:pt idx="501">
                  <c:v>8.3499999999999943</c:v>
                </c:pt>
                <c:pt idx="502">
                  <c:v>8.3666666666666618</c:v>
                </c:pt>
                <c:pt idx="503">
                  <c:v>8.3833333333333293</c:v>
                </c:pt>
                <c:pt idx="504">
                  <c:v>8.3999999999999968</c:v>
                </c:pt>
                <c:pt idx="505">
                  <c:v>8.4166666666666643</c:v>
                </c:pt>
                <c:pt idx="506">
                  <c:v>8.4333333333333318</c:v>
                </c:pt>
                <c:pt idx="507">
                  <c:v>8.4499999999999993</c:v>
                </c:pt>
                <c:pt idx="508">
                  <c:v>8.4666666666666668</c:v>
                </c:pt>
                <c:pt idx="509">
                  <c:v>8.4833333333333343</c:v>
                </c:pt>
                <c:pt idx="510">
                  <c:v>8.5000000000000018</c:v>
                </c:pt>
                <c:pt idx="511">
                  <c:v>8.5166666666666693</c:v>
                </c:pt>
                <c:pt idx="512">
                  <c:v>8.5333333333333368</c:v>
                </c:pt>
                <c:pt idx="513">
                  <c:v>8.5500000000000043</c:v>
                </c:pt>
                <c:pt idx="514">
                  <c:v>8.5666666666666718</c:v>
                </c:pt>
                <c:pt idx="515">
                  <c:v>8.5833333333333393</c:v>
                </c:pt>
                <c:pt idx="516">
                  <c:v>8.6000000000000068</c:v>
                </c:pt>
                <c:pt idx="517">
                  <c:v>8.6166666666666742</c:v>
                </c:pt>
                <c:pt idx="518">
                  <c:v>8.6333333333333417</c:v>
                </c:pt>
                <c:pt idx="519">
                  <c:v>8.6500000000000092</c:v>
                </c:pt>
                <c:pt idx="520">
                  <c:v>8.6666666666666767</c:v>
                </c:pt>
                <c:pt idx="521">
                  <c:v>8.6833333333333442</c:v>
                </c:pt>
                <c:pt idx="522">
                  <c:v>8.7000000000000117</c:v>
                </c:pt>
                <c:pt idx="523">
                  <c:v>8.7166666666666792</c:v>
                </c:pt>
                <c:pt idx="524">
                  <c:v>8.7333333333333467</c:v>
                </c:pt>
                <c:pt idx="525">
                  <c:v>8.7500000000000142</c:v>
                </c:pt>
                <c:pt idx="526">
                  <c:v>8.7666666666666817</c:v>
                </c:pt>
                <c:pt idx="527">
                  <c:v>8.7833333333333492</c:v>
                </c:pt>
                <c:pt idx="528">
                  <c:v>8.8000000000000167</c:v>
                </c:pt>
                <c:pt idx="529">
                  <c:v>8.8166666666666842</c:v>
                </c:pt>
                <c:pt idx="530">
                  <c:v>8.8333333333333517</c:v>
                </c:pt>
                <c:pt idx="531">
                  <c:v>8.8500000000000192</c:v>
                </c:pt>
                <c:pt idx="532">
                  <c:v>8.8666666666666867</c:v>
                </c:pt>
                <c:pt idx="533">
                  <c:v>8.8833333333333542</c:v>
                </c:pt>
                <c:pt idx="534">
                  <c:v>8.9000000000000217</c:v>
                </c:pt>
                <c:pt idx="535">
                  <c:v>8.9166666666666892</c:v>
                </c:pt>
                <c:pt idx="536">
                  <c:v>8.9333333333333567</c:v>
                </c:pt>
                <c:pt idx="537">
                  <c:v>8.9500000000000242</c:v>
                </c:pt>
                <c:pt idx="538">
                  <c:v>8.9666666666666917</c:v>
                </c:pt>
                <c:pt idx="539">
                  <c:v>8.9833333333333591</c:v>
                </c:pt>
                <c:pt idx="540">
                  <c:v>9.0000000000000266</c:v>
                </c:pt>
                <c:pt idx="541">
                  <c:v>9.0166666666666941</c:v>
                </c:pt>
                <c:pt idx="542">
                  <c:v>9.0333333333333616</c:v>
                </c:pt>
                <c:pt idx="543">
                  <c:v>9.0500000000000291</c:v>
                </c:pt>
                <c:pt idx="544">
                  <c:v>9.0666666666666966</c:v>
                </c:pt>
                <c:pt idx="545">
                  <c:v>9.0833333333333641</c:v>
                </c:pt>
                <c:pt idx="546">
                  <c:v>9.1000000000000316</c:v>
                </c:pt>
                <c:pt idx="547">
                  <c:v>9.1166666666666991</c:v>
                </c:pt>
                <c:pt idx="548">
                  <c:v>9.1333333333333666</c:v>
                </c:pt>
                <c:pt idx="549">
                  <c:v>9.1500000000000341</c:v>
                </c:pt>
                <c:pt idx="550">
                  <c:v>9.1666666666667016</c:v>
                </c:pt>
                <c:pt idx="551">
                  <c:v>9.1833333333333691</c:v>
                </c:pt>
                <c:pt idx="552">
                  <c:v>9.2000000000000366</c:v>
                </c:pt>
                <c:pt idx="553">
                  <c:v>9.2166666666667041</c:v>
                </c:pt>
                <c:pt idx="554">
                  <c:v>9.2333333333333716</c:v>
                </c:pt>
                <c:pt idx="555">
                  <c:v>9.2500000000000391</c:v>
                </c:pt>
                <c:pt idx="556">
                  <c:v>9.2666666666667066</c:v>
                </c:pt>
                <c:pt idx="557">
                  <c:v>9.2833333333333741</c:v>
                </c:pt>
                <c:pt idx="558">
                  <c:v>9.3000000000000416</c:v>
                </c:pt>
                <c:pt idx="559">
                  <c:v>9.3166666666667091</c:v>
                </c:pt>
                <c:pt idx="560">
                  <c:v>9.3333333333333766</c:v>
                </c:pt>
                <c:pt idx="561">
                  <c:v>9.3500000000000441</c:v>
                </c:pt>
                <c:pt idx="562">
                  <c:v>9.3666666666667115</c:v>
                </c:pt>
                <c:pt idx="563">
                  <c:v>9.383333333333379</c:v>
                </c:pt>
                <c:pt idx="564">
                  <c:v>9.4000000000000465</c:v>
                </c:pt>
                <c:pt idx="565">
                  <c:v>9.416666666666714</c:v>
                </c:pt>
                <c:pt idx="566">
                  <c:v>9.4333333333333815</c:v>
                </c:pt>
                <c:pt idx="567">
                  <c:v>9.450000000000049</c:v>
                </c:pt>
                <c:pt idx="568">
                  <c:v>9.4666666666667165</c:v>
                </c:pt>
                <c:pt idx="569">
                  <c:v>9.483333333333384</c:v>
                </c:pt>
                <c:pt idx="570">
                  <c:v>9.5000000000000515</c:v>
                </c:pt>
                <c:pt idx="571">
                  <c:v>9.516666666666719</c:v>
                </c:pt>
                <c:pt idx="572">
                  <c:v>9.5333333333333865</c:v>
                </c:pt>
                <c:pt idx="573">
                  <c:v>9.550000000000054</c:v>
                </c:pt>
                <c:pt idx="574">
                  <c:v>9.5666666666667215</c:v>
                </c:pt>
                <c:pt idx="575">
                  <c:v>9.583333333333389</c:v>
                </c:pt>
                <c:pt idx="576">
                  <c:v>9.6000000000000565</c:v>
                </c:pt>
                <c:pt idx="577">
                  <c:v>9.616666666666724</c:v>
                </c:pt>
                <c:pt idx="578">
                  <c:v>9.6333333333333915</c:v>
                </c:pt>
                <c:pt idx="579">
                  <c:v>9.650000000000059</c:v>
                </c:pt>
                <c:pt idx="580">
                  <c:v>9.6666666666667265</c:v>
                </c:pt>
                <c:pt idx="581">
                  <c:v>9.683333333333394</c:v>
                </c:pt>
                <c:pt idx="582">
                  <c:v>9.7000000000000615</c:v>
                </c:pt>
                <c:pt idx="583">
                  <c:v>9.716666666666729</c:v>
                </c:pt>
                <c:pt idx="584">
                  <c:v>9.7333333333333965</c:v>
                </c:pt>
                <c:pt idx="585">
                  <c:v>9.7500000000000639</c:v>
                </c:pt>
                <c:pt idx="586">
                  <c:v>9.7666666666667314</c:v>
                </c:pt>
                <c:pt idx="587">
                  <c:v>9.7833333333333989</c:v>
                </c:pt>
                <c:pt idx="588">
                  <c:v>9.8000000000000664</c:v>
                </c:pt>
                <c:pt idx="589">
                  <c:v>9.8166666666667339</c:v>
                </c:pt>
                <c:pt idx="590">
                  <c:v>9.8333333333334014</c:v>
                </c:pt>
                <c:pt idx="591">
                  <c:v>9.8500000000000689</c:v>
                </c:pt>
                <c:pt idx="592">
                  <c:v>9.8666666666667364</c:v>
                </c:pt>
                <c:pt idx="593">
                  <c:v>9.8833333333334039</c:v>
                </c:pt>
                <c:pt idx="594">
                  <c:v>9.9000000000000714</c:v>
                </c:pt>
                <c:pt idx="595">
                  <c:v>9.9166666666667389</c:v>
                </c:pt>
                <c:pt idx="596">
                  <c:v>9.9333333333334064</c:v>
                </c:pt>
                <c:pt idx="597">
                  <c:v>9.9500000000000739</c:v>
                </c:pt>
                <c:pt idx="598">
                  <c:v>9.9666666666667414</c:v>
                </c:pt>
                <c:pt idx="599">
                  <c:v>9.9833333333334089</c:v>
                </c:pt>
                <c:pt idx="600">
                  <c:v>10.000000000000076</c:v>
                </c:pt>
                <c:pt idx="601">
                  <c:v>10.016666666666744</c:v>
                </c:pt>
                <c:pt idx="602">
                  <c:v>10.033333333333411</c:v>
                </c:pt>
                <c:pt idx="603">
                  <c:v>10.050000000000079</c:v>
                </c:pt>
                <c:pt idx="604">
                  <c:v>10.066666666666746</c:v>
                </c:pt>
                <c:pt idx="605">
                  <c:v>10.083333333333414</c:v>
                </c:pt>
                <c:pt idx="606">
                  <c:v>10.100000000000081</c:v>
                </c:pt>
                <c:pt idx="607">
                  <c:v>10.116666666666749</c:v>
                </c:pt>
                <c:pt idx="608">
                  <c:v>10.133333333333416</c:v>
                </c:pt>
                <c:pt idx="609">
                  <c:v>10.150000000000084</c:v>
                </c:pt>
                <c:pt idx="610">
                  <c:v>10.166666666666751</c:v>
                </c:pt>
                <c:pt idx="611">
                  <c:v>10.183333333333419</c:v>
                </c:pt>
                <c:pt idx="612">
                  <c:v>10.200000000000086</c:v>
                </c:pt>
                <c:pt idx="613">
                  <c:v>10.216666666666754</c:v>
                </c:pt>
                <c:pt idx="614">
                  <c:v>10.233333333333421</c:v>
                </c:pt>
                <c:pt idx="615">
                  <c:v>10.250000000000089</c:v>
                </c:pt>
                <c:pt idx="616">
                  <c:v>10.266666666666756</c:v>
                </c:pt>
                <c:pt idx="617">
                  <c:v>10.283333333333424</c:v>
                </c:pt>
                <c:pt idx="618">
                  <c:v>10.300000000000091</c:v>
                </c:pt>
                <c:pt idx="619">
                  <c:v>10.316666666666759</c:v>
                </c:pt>
                <c:pt idx="620">
                  <c:v>10.333333333333426</c:v>
                </c:pt>
                <c:pt idx="621">
                  <c:v>10.350000000000094</c:v>
                </c:pt>
                <c:pt idx="622">
                  <c:v>10.366666666666761</c:v>
                </c:pt>
                <c:pt idx="623">
                  <c:v>10.383333333333429</c:v>
                </c:pt>
                <c:pt idx="624">
                  <c:v>10.400000000000096</c:v>
                </c:pt>
                <c:pt idx="625">
                  <c:v>10.416666666666764</c:v>
                </c:pt>
                <c:pt idx="626">
                  <c:v>10.433333333333431</c:v>
                </c:pt>
                <c:pt idx="627">
                  <c:v>10.450000000000099</c:v>
                </c:pt>
                <c:pt idx="628">
                  <c:v>10.466666666666766</c:v>
                </c:pt>
                <c:pt idx="629">
                  <c:v>10.483333333333434</c:v>
                </c:pt>
                <c:pt idx="630">
                  <c:v>10.500000000000101</c:v>
                </c:pt>
                <c:pt idx="631">
                  <c:v>10.516666666666769</c:v>
                </c:pt>
                <c:pt idx="632">
                  <c:v>10.533333333333436</c:v>
                </c:pt>
                <c:pt idx="633">
                  <c:v>10.550000000000104</c:v>
                </c:pt>
                <c:pt idx="634">
                  <c:v>10.566666666666771</c:v>
                </c:pt>
                <c:pt idx="635">
                  <c:v>10.583333333333439</c:v>
                </c:pt>
                <c:pt idx="636">
                  <c:v>10.600000000000106</c:v>
                </c:pt>
                <c:pt idx="637">
                  <c:v>10.616666666666774</c:v>
                </c:pt>
                <c:pt idx="638">
                  <c:v>10.633333333333441</c:v>
                </c:pt>
                <c:pt idx="639">
                  <c:v>10.650000000000109</c:v>
                </c:pt>
                <c:pt idx="640">
                  <c:v>10.666666666666776</c:v>
                </c:pt>
                <c:pt idx="641">
                  <c:v>10.683333333333444</c:v>
                </c:pt>
                <c:pt idx="642">
                  <c:v>10.700000000000111</c:v>
                </c:pt>
                <c:pt idx="643">
                  <c:v>10.716666666666779</c:v>
                </c:pt>
                <c:pt idx="644">
                  <c:v>10.733333333333446</c:v>
                </c:pt>
                <c:pt idx="645">
                  <c:v>10.750000000000114</c:v>
                </c:pt>
                <c:pt idx="646">
                  <c:v>10.766666666666781</c:v>
                </c:pt>
                <c:pt idx="647">
                  <c:v>10.783333333333449</c:v>
                </c:pt>
                <c:pt idx="648">
                  <c:v>10.800000000000116</c:v>
                </c:pt>
                <c:pt idx="649">
                  <c:v>10.816666666666784</c:v>
                </c:pt>
                <c:pt idx="650">
                  <c:v>10.833333333333451</c:v>
                </c:pt>
                <c:pt idx="651">
                  <c:v>10.850000000000119</c:v>
                </c:pt>
                <c:pt idx="652">
                  <c:v>10.866666666666786</c:v>
                </c:pt>
                <c:pt idx="653">
                  <c:v>10.883333333333454</c:v>
                </c:pt>
                <c:pt idx="654">
                  <c:v>10.900000000000121</c:v>
                </c:pt>
                <c:pt idx="655">
                  <c:v>10.916666666666789</c:v>
                </c:pt>
                <c:pt idx="656">
                  <c:v>10.933333333333456</c:v>
                </c:pt>
                <c:pt idx="657">
                  <c:v>10.950000000000124</c:v>
                </c:pt>
                <c:pt idx="658">
                  <c:v>10.966666666666791</c:v>
                </c:pt>
                <c:pt idx="659">
                  <c:v>10.983333333333459</c:v>
                </c:pt>
                <c:pt idx="660">
                  <c:v>11.000000000000126</c:v>
                </c:pt>
                <c:pt idx="661">
                  <c:v>11.016666666666794</c:v>
                </c:pt>
                <c:pt idx="662">
                  <c:v>11.033333333333461</c:v>
                </c:pt>
                <c:pt idx="663">
                  <c:v>11.050000000000129</c:v>
                </c:pt>
                <c:pt idx="664">
                  <c:v>11.066666666666796</c:v>
                </c:pt>
                <c:pt idx="665">
                  <c:v>11.083333333333464</c:v>
                </c:pt>
                <c:pt idx="666">
                  <c:v>11.100000000000131</c:v>
                </c:pt>
                <c:pt idx="667">
                  <c:v>11.116666666666799</c:v>
                </c:pt>
                <c:pt idx="668">
                  <c:v>11.133333333333466</c:v>
                </c:pt>
                <c:pt idx="669">
                  <c:v>11.150000000000134</c:v>
                </c:pt>
                <c:pt idx="670">
                  <c:v>11.166666666666801</c:v>
                </c:pt>
                <c:pt idx="671">
                  <c:v>11.183333333333469</c:v>
                </c:pt>
                <c:pt idx="672">
                  <c:v>11.200000000000136</c:v>
                </c:pt>
                <c:pt idx="673">
                  <c:v>11.216666666666804</c:v>
                </c:pt>
                <c:pt idx="674">
                  <c:v>11.233333333333471</c:v>
                </c:pt>
                <c:pt idx="675">
                  <c:v>11.250000000000139</c:v>
                </c:pt>
                <c:pt idx="676">
                  <c:v>11.266666666666806</c:v>
                </c:pt>
                <c:pt idx="677">
                  <c:v>11.283333333333474</c:v>
                </c:pt>
                <c:pt idx="678">
                  <c:v>11.300000000000141</c:v>
                </c:pt>
                <c:pt idx="679">
                  <c:v>11.316666666666809</c:v>
                </c:pt>
                <c:pt idx="680">
                  <c:v>11.333333333333476</c:v>
                </c:pt>
                <c:pt idx="681">
                  <c:v>11.350000000000144</c:v>
                </c:pt>
                <c:pt idx="682">
                  <c:v>11.366666666666811</c:v>
                </c:pt>
                <c:pt idx="683">
                  <c:v>11.383333333333479</c:v>
                </c:pt>
                <c:pt idx="684">
                  <c:v>11.400000000000146</c:v>
                </c:pt>
                <c:pt idx="685">
                  <c:v>11.416666666666814</c:v>
                </c:pt>
                <c:pt idx="686">
                  <c:v>11.433333333333481</c:v>
                </c:pt>
                <c:pt idx="687">
                  <c:v>11.450000000000149</c:v>
                </c:pt>
                <c:pt idx="688">
                  <c:v>11.466666666666816</c:v>
                </c:pt>
                <c:pt idx="689">
                  <c:v>11.483333333333483</c:v>
                </c:pt>
                <c:pt idx="690">
                  <c:v>11.500000000000151</c:v>
                </c:pt>
                <c:pt idx="691">
                  <c:v>11.516666666666818</c:v>
                </c:pt>
                <c:pt idx="692">
                  <c:v>11.533333333333486</c:v>
                </c:pt>
                <c:pt idx="693">
                  <c:v>11.550000000000153</c:v>
                </c:pt>
                <c:pt idx="694">
                  <c:v>11.566666666666821</c:v>
                </c:pt>
                <c:pt idx="695">
                  <c:v>11.583333333333488</c:v>
                </c:pt>
                <c:pt idx="696">
                  <c:v>11.600000000000156</c:v>
                </c:pt>
                <c:pt idx="697">
                  <c:v>11.616666666666823</c:v>
                </c:pt>
                <c:pt idx="698">
                  <c:v>11.633333333333491</c:v>
                </c:pt>
                <c:pt idx="699">
                  <c:v>11.650000000000158</c:v>
                </c:pt>
                <c:pt idx="700">
                  <c:v>11.666666666666826</c:v>
                </c:pt>
                <c:pt idx="701">
                  <c:v>11.683333333333493</c:v>
                </c:pt>
                <c:pt idx="702">
                  <c:v>11.700000000000161</c:v>
                </c:pt>
                <c:pt idx="703">
                  <c:v>11.716666666666828</c:v>
                </c:pt>
                <c:pt idx="704">
                  <c:v>11.733333333333496</c:v>
                </c:pt>
                <c:pt idx="705">
                  <c:v>11.750000000000163</c:v>
                </c:pt>
                <c:pt idx="706">
                  <c:v>11.766666666666831</c:v>
                </c:pt>
                <c:pt idx="707">
                  <c:v>11.783333333333498</c:v>
                </c:pt>
                <c:pt idx="708">
                  <c:v>11.800000000000166</c:v>
                </c:pt>
                <c:pt idx="709">
                  <c:v>11.816666666666833</c:v>
                </c:pt>
                <c:pt idx="710">
                  <c:v>11.833333333333501</c:v>
                </c:pt>
                <c:pt idx="711">
                  <c:v>11.850000000000168</c:v>
                </c:pt>
                <c:pt idx="712">
                  <c:v>11.866666666666836</c:v>
                </c:pt>
                <c:pt idx="713">
                  <c:v>11.883333333333503</c:v>
                </c:pt>
                <c:pt idx="714">
                  <c:v>11.900000000000171</c:v>
                </c:pt>
                <c:pt idx="715">
                  <c:v>11.916666666666838</c:v>
                </c:pt>
                <c:pt idx="716">
                  <c:v>11.933333333333506</c:v>
                </c:pt>
                <c:pt idx="717">
                  <c:v>11.950000000000173</c:v>
                </c:pt>
                <c:pt idx="718">
                  <c:v>11.966666666666841</c:v>
                </c:pt>
                <c:pt idx="719">
                  <c:v>11.983333333333508</c:v>
                </c:pt>
                <c:pt idx="720">
                  <c:v>12.000000000000176</c:v>
                </c:pt>
                <c:pt idx="721">
                  <c:v>12.016666666666843</c:v>
                </c:pt>
                <c:pt idx="722">
                  <c:v>12.033333333333511</c:v>
                </c:pt>
                <c:pt idx="723">
                  <c:v>12.050000000000178</c:v>
                </c:pt>
                <c:pt idx="724">
                  <c:v>12.066666666666846</c:v>
                </c:pt>
                <c:pt idx="725">
                  <c:v>12.083333333333513</c:v>
                </c:pt>
                <c:pt idx="726">
                  <c:v>12.100000000000181</c:v>
                </c:pt>
                <c:pt idx="727">
                  <c:v>12.116666666666848</c:v>
                </c:pt>
                <c:pt idx="728">
                  <c:v>12.133333333333516</c:v>
                </c:pt>
                <c:pt idx="729">
                  <c:v>12.150000000000183</c:v>
                </c:pt>
                <c:pt idx="730">
                  <c:v>12.166666666666851</c:v>
                </c:pt>
                <c:pt idx="731">
                  <c:v>12.183333333333518</c:v>
                </c:pt>
                <c:pt idx="732">
                  <c:v>12.200000000000186</c:v>
                </c:pt>
                <c:pt idx="733">
                  <c:v>12.216666666666853</c:v>
                </c:pt>
                <c:pt idx="734">
                  <c:v>12.233333333333521</c:v>
                </c:pt>
                <c:pt idx="735">
                  <c:v>12.250000000000188</c:v>
                </c:pt>
                <c:pt idx="736">
                  <c:v>12.266666666666856</c:v>
                </c:pt>
                <c:pt idx="737">
                  <c:v>12.283333333333523</c:v>
                </c:pt>
                <c:pt idx="738">
                  <c:v>12.300000000000191</c:v>
                </c:pt>
                <c:pt idx="739">
                  <c:v>12.316666666666858</c:v>
                </c:pt>
                <c:pt idx="740">
                  <c:v>12.333333333333526</c:v>
                </c:pt>
                <c:pt idx="741">
                  <c:v>12.350000000000193</c:v>
                </c:pt>
                <c:pt idx="742">
                  <c:v>12.366666666666861</c:v>
                </c:pt>
                <c:pt idx="743">
                  <c:v>12.383333333333528</c:v>
                </c:pt>
                <c:pt idx="744">
                  <c:v>12.400000000000196</c:v>
                </c:pt>
                <c:pt idx="745">
                  <c:v>12.416666666666863</c:v>
                </c:pt>
                <c:pt idx="746">
                  <c:v>12.433333333333531</c:v>
                </c:pt>
                <c:pt idx="747">
                  <c:v>12.450000000000198</c:v>
                </c:pt>
                <c:pt idx="748">
                  <c:v>12.466666666666866</c:v>
                </c:pt>
                <c:pt idx="749">
                  <c:v>12.483333333333533</c:v>
                </c:pt>
                <c:pt idx="750">
                  <c:v>12.500000000000201</c:v>
                </c:pt>
                <c:pt idx="751">
                  <c:v>12.516666666666868</c:v>
                </c:pt>
                <c:pt idx="752">
                  <c:v>12.533333333333536</c:v>
                </c:pt>
                <c:pt idx="753">
                  <c:v>12.550000000000203</c:v>
                </c:pt>
                <c:pt idx="754">
                  <c:v>12.566666666666871</c:v>
                </c:pt>
                <c:pt idx="755">
                  <c:v>12.583333333333538</c:v>
                </c:pt>
                <c:pt idx="756">
                  <c:v>12.600000000000206</c:v>
                </c:pt>
                <c:pt idx="757">
                  <c:v>12.616666666666873</c:v>
                </c:pt>
                <c:pt idx="758">
                  <c:v>12.633333333333541</c:v>
                </c:pt>
                <c:pt idx="759">
                  <c:v>12.650000000000208</c:v>
                </c:pt>
                <c:pt idx="760">
                  <c:v>12.666666666666876</c:v>
                </c:pt>
                <c:pt idx="761">
                  <c:v>12.683333333333543</c:v>
                </c:pt>
                <c:pt idx="762">
                  <c:v>12.700000000000211</c:v>
                </c:pt>
                <c:pt idx="763">
                  <c:v>12.716666666666878</c:v>
                </c:pt>
                <c:pt idx="764">
                  <c:v>12.733333333333546</c:v>
                </c:pt>
                <c:pt idx="765">
                  <c:v>12.750000000000213</c:v>
                </c:pt>
                <c:pt idx="766">
                  <c:v>12.766666666666881</c:v>
                </c:pt>
                <c:pt idx="767">
                  <c:v>12.783333333333548</c:v>
                </c:pt>
                <c:pt idx="768">
                  <c:v>12.800000000000216</c:v>
                </c:pt>
                <c:pt idx="769">
                  <c:v>12.816666666666883</c:v>
                </c:pt>
                <c:pt idx="770">
                  <c:v>12.833333333333551</c:v>
                </c:pt>
                <c:pt idx="771">
                  <c:v>12.850000000000218</c:v>
                </c:pt>
                <c:pt idx="772">
                  <c:v>12.866666666666886</c:v>
                </c:pt>
                <c:pt idx="773">
                  <c:v>12.883333333333553</c:v>
                </c:pt>
                <c:pt idx="774">
                  <c:v>12.900000000000221</c:v>
                </c:pt>
                <c:pt idx="775">
                  <c:v>12.916666666666888</c:v>
                </c:pt>
                <c:pt idx="776">
                  <c:v>12.933333333333556</c:v>
                </c:pt>
                <c:pt idx="777">
                  <c:v>12.950000000000223</c:v>
                </c:pt>
                <c:pt idx="778">
                  <c:v>12.966666666666891</c:v>
                </c:pt>
                <c:pt idx="779">
                  <c:v>12.983333333333558</c:v>
                </c:pt>
                <c:pt idx="780">
                  <c:v>13.000000000000226</c:v>
                </c:pt>
                <c:pt idx="781">
                  <c:v>13.016666666666893</c:v>
                </c:pt>
                <c:pt idx="782">
                  <c:v>13.033333333333561</c:v>
                </c:pt>
                <c:pt idx="783">
                  <c:v>13.050000000000228</c:v>
                </c:pt>
                <c:pt idx="784">
                  <c:v>13.066666666666896</c:v>
                </c:pt>
                <c:pt idx="785">
                  <c:v>13.083333333333563</c:v>
                </c:pt>
                <c:pt idx="786">
                  <c:v>13.100000000000231</c:v>
                </c:pt>
                <c:pt idx="787">
                  <c:v>13.116666666666898</c:v>
                </c:pt>
                <c:pt idx="788">
                  <c:v>13.133333333333566</c:v>
                </c:pt>
                <c:pt idx="789">
                  <c:v>13.150000000000233</c:v>
                </c:pt>
                <c:pt idx="790">
                  <c:v>13.166666666666901</c:v>
                </c:pt>
                <c:pt idx="791">
                  <c:v>13.183333333333568</c:v>
                </c:pt>
                <c:pt idx="792">
                  <c:v>13.200000000000236</c:v>
                </c:pt>
                <c:pt idx="793">
                  <c:v>13.216666666666903</c:v>
                </c:pt>
                <c:pt idx="794">
                  <c:v>13.233333333333571</c:v>
                </c:pt>
                <c:pt idx="795">
                  <c:v>13.250000000000238</c:v>
                </c:pt>
                <c:pt idx="796">
                  <c:v>13.266666666666906</c:v>
                </c:pt>
                <c:pt idx="797">
                  <c:v>13.283333333333573</c:v>
                </c:pt>
                <c:pt idx="798">
                  <c:v>13.300000000000241</c:v>
                </c:pt>
                <c:pt idx="799">
                  <c:v>13.316666666666908</c:v>
                </c:pt>
                <c:pt idx="800">
                  <c:v>13.333333333333576</c:v>
                </c:pt>
                <c:pt idx="801">
                  <c:v>13.350000000000243</c:v>
                </c:pt>
                <c:pt idx="802">
                  <c:v>13.366666666666911</c:v>
                </c:pt>
                <c:pt idx="803">
                  <c:v>13.383333333333578</c:v>
                </c:pt>
                <c:pt idx="804">
                  <c:v>13.400000000000245</c:v>
                </c:pt>
                <c:pt idx="805">
                  <c:v>13.416666666666913</c:v>
                </c:pt>
                <c:pt idx="806">
                  <c:v>13.43333333333358</c:v>
                </c:pt>
                <c:pt idx="807">
                  <c:v>13.450000000000248</c:v>
                </c:pt>
                <c:pt idx="808">
                  <c:v>13.466666666666915</c:v>
                </c:pt>
                <c:pt idx="809">
                  <c:v>13.483333333333583</c:v>
                </c:pt>
                <c:pt idx="810">
                  <c:v>13.50000000000025</c:v>
                </c:pt>
                <c:pt idx="811">
                  <c:v>13.516666666666918</c:v>
                </c:pt>
                <c:pt idx="812">
                  <c:v>13.533333333333585</c:v>
                </c:pt>
                <c:pt idx="813">
                  <c:v>13.550000000000253</c:v>
                </c:pt>
                <c:pt idx="814">
                  <c:v>13.56666666666692</c:v>
                </c:pt>
                <c:pt idx="815">
                  <c:v>13.583333333333588</c:v>
                </c:pt>
                <c:pt idx="816">
                  <c:v>13.600000000000255</c:v>
                </c:pt>
                <c:pt idx="817">
                  <c:v>13.616666666666923</c:v>
                </c:pt>
                <c:pt idx="818">
                  <c:v>13.63333333333359</c:v>
                </c:pt>
                <c:pt idx="819">
                  <c:v>13.650000000000258</c:v>
                </c:pt>
                <c:pt idx="820">
                  <c:v>13.666666666666925</c:v>
                </c:pt>
                <c:pt idx="821">
                  <c:v>13.683333333333593</c:v>
                </c:pt>
                <c:pt idx="822">
                  <c:v>13.70000000000026</c:v>
                </c:pt>
                <c:pt idx="823">
                  <c:v>13.716666666666928</c:v>
                </c:pt>
                <c:pt idx="824">
                  <c:v>13.733333333333595</c:v>
                </c:pt>
                <c:pt idx="825">
                  <c:v>13.750000000000263</c:v>
                </c:pt>
                <c:pt idx="826">
                  <c:v>13.76666666666693</c:v>
                </c:pt>
                <c:pt idx="827">
                  <c:v>13.783333333333598</c:v>
                </c:pt>
                <c:pt idx="828">
                  <c:v>13.800000000000265</c:v>
                </c:pt>
                <c:pt idx="829">
                  <c:v>13.816666666666933</c:v>
                </c:pt>
                <c:pt idx="830">
                  <c:v>13.8333333333336</c:v>
                </c:pt>
                <c:pt idx="831">
                  <c:v>13.850000000000268</c:v>
                </c:pt>
                <c:pt idx="832">
                  <c:v>13.866666666666935</c:v>
                </c:pt>
                <c:pt idx="833">
                  <c:v>13.883333333333603</c:v>
                </c:pt>
                <c:pt idx="834">
                  <c:v>13.90000000000027</c:v>
                </c:pt>
                <c:pt idx="835">
                  <c:v>13.916666666666938</c:v>
                </c:pt>
                <c:pt idx="836">
                  <c:v>13.933333333333605</c:v>
                </c:pt>
                <c:pt idx="837">
                  <c:v>13.950000000000273</c:v>
                </c:pt>
                <c:pt idx="838">
                  <c:v>13.96666666666694</c:v>
                </c:pt>
                <c:pt idx="839">
                  <c:v>13.983333333333608</c:v>
                </c:pt>
                <c:pt idx="840">
                  <c:v>14.000000000000275</c:v>
                </c:pt>
                <c:pt idx="841">
                  <c:v>14.016666666666943</c:v>
                </c:pt>
                <c:pt idx="842">
                  <c:v>14.03333333333361</c:v>
                </c:pt>
                <c:pt idx="843">
                  <c:v>14.050000000000278</c:v>
                </c:pt>
                <c:pt idx="844">
                  <c:v>14.066666666666945</c:v>
                </c:pt>
                <c:pt idx="845">
                  <c:v>14.083333333333613</c:v>
                </c:pt>
                <c:pt idx="846">
                  <c:v>14.10000000000028</c:v>
                </c:pt>
                <c:pt idx="847">
                  <c:v>14.116666666666948</c:v>
                </c:pt>
                <c:pt idx="848">
                  <c:v>14.133333333333615</c:v>
                </c:pt>
                <c:pt idx="849">
                  <c:v>14.150000000000283</c:v>
                </c:pt>
                <c:pt idx="850">
                  <c:v>14.16666666666695</c:v>
                </c:pt>
                <c:pt idx="851">
                  <c:v>14.183333333333618</c:v>
                </c:pt>
                <c:pt idx="852">
                  <c:v>14.200000000000285</c:v>
                </c:pt>
                <c:pt idx="853">
                  <c:v>14.216666666666953</c:v>
                </c:pt>
                <c:pt idx="854">
                  <c:v>14.23333333333362</c:v>
                </c:pt>
                <c:pt idx="855">
                  <c:v>14.250000000000288</c:v>
                </c:pt>
                <c:pt idx="856">
                  <c:v>14.266666666666955</c:v>
                </c:pt>
                <c:pt idx="857">
                  <c:v>14.283333333333623</c:v>
                </c:pt>
                <c:pt idx="858">
                  <c:v>14.30000000000029</c:v>
                </c:pt>
                <c:pt idx="859">
                  <c:v>14.316666666666958</c:v>
                </c:pt>
                <c:pt idx="860">
                  <c:v>14.333333333333625</c:v>
                </c:pt>
                <c:pt idx="861">
                  <c:v>14.350000000000293</c:v>
                </c:pt>
                <c:pt idx="862">
                  <c:v>14.36666666666696</c:v>
                </c:pt>
                <c:pt idx="863">
                  <c:v>14.383333333333628</c:v>
                </c:pt>
                <c:pt idx="864">
                  <c:v>14.400000000000295</c:v>
                </c:pt>
                <c:pt idx="865">
                  <c:v>14.416666666666963</c:v>
                </c:pt>
                <c:pt idx="866">
                  <c:v>14.43333333333363</c:v>
                </c:pt>
                <c:pt idx="867">
                  <c:v>14.450000000000298</c:v>
                </c:pt>
                <c:pt idx="868">
                  <c:v>14.466666666666965</c:v>
                </c:pt>
                <c:pt idx="869">
                  <c:v>14.483333333333633</c:v>
                </c:pt>
                <c:pt idx="870">
                  <c:v>14.5000000000003</c:v>
                </c:pt>
                <c:pt idx="871">
                  <c:v>14.516666666666968</c:v>
                </c:pt>
                <c:pt idx="872">
                  <c:v>14.533333333333635</c:v>
                </c:pt>
                <c:pt idx="873">
                  <c:v>14.550000000000303</c:v>
                </c:pt>
                <c:pt idx="874">
                  <c:v>14.56666666666697</c:v>
                </c:pt>
                <c:pt idx="875">
                  <c:v>14.583333333333638</c:v>
                </c:pt>
                <c:pt idx="876">
                  <c:v>14.600000000000305</c:v>
                </c:pt>
                <c:pt idx="877">
                  <c:v>14.616666666666973</c:v>
                </c:pt>
                <c:pt idx="878">
                  <c:v>14.63333333333364</c:v>
                </c:pt>
                <c:pt idx="879">
                  <c:v>14.650000000000308</c:v>
                </c:pt>
                <c:pt idx="880">
                  <c:v>14.666666666666975</c:v>
                </c:pt>
                <c:pt idx="881">
                  <c:v>14.683333333333643</c:v>
                </c:pt>
                <c:pt idx="882">
                  <c:v>14.70000000000031</c:v>
                </c:pt>
                <c:pt idx="883">
                  <c:v>14.716666666666978</c:v>
                </c:pt>
                <c:pt idx="884">
                  <c:v>14.733333333333645</c:v>
                </c:pt>
                <c:pt idx="885">
                  <c:v>14.750000000000313</c:v>
                </c:pt>
                <c:pt idx="886">
                  <c:v>14.76666666666698</c:v>
                </c:pt>
                <c:pt idx="887">
                  <c:v>14.783333333333648</c:v>
                </c:pt>
                <c:pt idx="888">
                  <c:v>14.800000000000315</c:v>
                </c:pt>
                <c:pt idx="889">
                  <c:v>14.816666666666983</c:v>
                </c:pt>
                <c:pt idx="890">
                  <c:v>14.83333333333365</c:v>
                </c:pt>
                <c:pt idx="891">
                  <c:v>14.850000000000318</c:v>
                </c:pt>
                <c:pt idx="892">
                  <c:v>14.866666666666985</c:v>
                </c:pt>
                <c:pt idx="893">
                  <c:v>14.883333333333653</c:v>
                </c:pt>
                <c:pt idx="894">
                  <c:v>14.90000000000032</c:v>
                </c:pt>
                <c:pt idx="895">
                  <c:v>14.916666666666988</c:v>
                </c:pt>
                <c:pt idx="896">
                  <c:v>14.933333333333655</c:v>
                </c:pt>
                <c:pt idx="897">
                  <c:v>14.950000000000323</c:v>
                </c:pt>
                <c:pt idx="898">
                  <c:v>14.96666666666699</c:v>
                </c:pt>
                <c:pt idx="899">
                  <c:v>14.983333333333658</c:v>
                </c:pt>
                <c:pt idx="900">
                  <c:v>15.000000000000325</c:v>
                </c:pt>
                <c:pt idx="901">
                  <c:v>15.016666666666993</c:v>
                </c:pt>
                <c:pt idx="902">
                  <c:v>15.03333333333366</c:v>
                </c:pt>
                <c:pt idx="903">
                  <c:v>15.050000000000328</c:v>
                </c:pt>
                <c:pt idx="904">
                  <c:v>15.066666666666995</c:v>
                </c:pt>
                <c:pt idx="905">
                  <c:v>15.083333333333663</c:v>
                </c:pt>
                <c:pt idx="906">
                  <c:v>15.10000000000033</c:v>
                </c:pt>
                <c:pt idx="907">
                  <c:v>15.116666666666998</c:v>
                </c:pt>
                <c:pt idx="908">
                  <c:v>15.133333333333665</c:v>
                </c:pt>
                <c:pt idx="909">
                  <c:v>15.150000000000333</c:v>
                </c:pt>
                <c:pt idx="910">
                  <c:v>15.166666666667</c:v>
                </c:pt>
                <c:pt idx="911">
                  <c:v>15.183333333333668</c:v>
                </c:pt>
                <c:pt idx="912">
                  <c:v>15.200000000000335</c:v>
                </c:pt>
                <c:pt idx="913">
                  <c:v>15.216666666667003</c:v>
                </c:pt>
                <c:pt idx="914">
                  <c:v>15.23333333333367</c:v>
                </c:pt>
                <c:pt idx="915">
                  <c:v>15.250000000000338</c:v>
                </c:pt>
                <c:pt idx="916">
                  <c:v>15.266666666667005</c:v>
                </c:pt>
                <c:pt idx="917">
                  <c:v>15.283333333333672</c:v>
                </c:pt>
                <c:pt idx="918">
                  <c:v>15.30000000000034</c:v>
                </c:pt>
                <c:pt idx="919">
                  <c:v>15.316666666667007</c:v>
                </c:pt>
                <c:pt idx="920">
                  <c:v>15.333333333333675</c:v>
                </c:pt>
                <c:pt idx="921">
                  <c:v>15.350000000000342</c:v>
                </c:pt>
                <c:pt idx="922">
                  <c:v>15.36666666666701</c:v>
                </c:pt>
                <c:pt idx="923">
                  <c:v>15.383333333333677</c:v>
                </c:pt>
                <c:pt idx="924">
                  <c:v>15.400000000000345</c:v>
                </c:pt>
                <c:pt idx="925">
                  <c:v>15.416666666667012</c:v>
                </c:pt>
                <c:pt idx="926">
                  <c:v>15.43333333333368</c:v>
                </c:pt>
                <c:pt idx="927">
                  <c:v>15.450000000000347</c:v>
                </c:pt>
                <c:pt idx="928">
                  <c:v>15.466666666667015</c:v>
                </c:pt>
                <c:pt idx="929">
                  <c:v>15.483333333333682</c:v>
                </c:pt>
                <c:pt idx="930">
                  <c:v>15.50000000000035</c:v>
                </c:pt>
                <c:pt idx="931">
                  <c:v>15.516666666667017</c:v>
                </c:pt>
                <c:pt idx="932">
                  <c:v>15.533333333333685</c:v>
                </c:pt>
                <c:pt idx="933">
                  <c:v>15.550000000000352</c:v>
                </c:pt>
                <c:pt idx="934">
                  <c:v>15.56666666666702</c:v>
                </c:pt>
                <c:pt idx="935">
                  <c:v>15.583333333333687</c:v>
                </c:pt>
                <c:pt idx="936">
                  <c:v>15.600000000000355</c:v>
                </c:pt>
                <c:pt idx="937">
                  <c:v>15.616666666667022</c:v>
                </c:pt>
                <c:pt idx="938">
                  <c:v>15.63333333333369</c:v>
                </c:pt>
                <c:pt idx="939">
                  <c:v>15.650000000000357</c:v>
                </c:pt>
                <c:pt idx="940">
                  <c:v>15.666666666667025</c:v>
                </c:pt>
                <c:pt idx="941">
                  <c:v>15.683333333333692</c:v>
                </c:pt>
                <c:pt idx="942">
                  <c:v>15.70000000000036</c:v>
                </c:pt>
                <c:pt idx="943">
                  <c:v>15.716666666667027</c:v>
                </c:pt>
                <c:pt idx="944">
                  <c:v>15.733333333333695</c:v>
                </c:pt>
                <c:pt idx="945">
                  <c:v>15.750000000000362</c:v>
                </c:pt>
                <c:pt idx="946">
                  <c:v>15.76666666666703</c:v>
                </c:pt>
                <c:pt idx="947">
                  <c:v>15.783333333333697</c:v>
                </c:pt>
                <c:pt idx="948">
                  <c:v>15.800000000000365</c:v>
                </c:pt>
                <c:pt idx="949">
                  <c:v>15.816666666667032</c:v>
                </c:pt>
                <c:pt idx="950">
                  <c:v>15.8333333333337</c:v>
                </c:pt>
                <c:pt idx="951">
                  <c:v>15.850000000000367</c:v>
                </c:pt>
                <c:pt idx="952">
                  <c:v>15.866666666667035</c:v>
                </c:pt>
                <c:pt idx="953">
                  <c:v>15.883333333333702</c:v>
                </c:pt>
                <c:pt idx="954">
                  <c:v>15.90000000000037</c:v>
                </c:pt>
                <c:pt idx="955">
                  <c:v>15.916666666667037</c:v>
                </c:pt>
                <c:pt idx="956">
                  <c:v>15.933333333333705</c:v>
                </c:pt>
                <c:pt idx="957">
                  <c:v>15.950000000000372</c:v>
                </c:pt>
                <c:pt idx="958">
                  <c:v>15.96666666666704</c:v>
                </c:pt>
                <c:pt idx="959">
                  <c:v>15.983333333333707</c:v>
                </c:pt>
                <c:pt idx="960">
                  <c:v>16.000000000000373</c:v>
                </c:pt>
                <c:pt idx="961">
                  <c:v>16.016666666667039</c:v>
                </c:pt>
                <c:pt idx="962">
                  <c:v>16.033333333333704</c:v>
                </c:pt>
                <c:pt idx="963">
                  <c:v>16.05000000000037</c:v>
                </c:pt>
                <c:pt idx="964">
                  <c:v>16.066666666667036</c:v>
                </c:pt>
                <c:pt idx="965">
                  <c:v>16.083333333333702</c:v>
                </c:pt>
                <c:pt idx="966">
                  <c:v>16.100000000000367</c:v>
                </c:pt>
                <c:pt idx="967">
                  <c:v>16.116666666667033</c:v>
                </c:pt>
                <c:pt idx="968">
                  <c:v>16.133333333333699</c:v>
                </c:pt>
                <c:pt idx="969">
                  <c:v>16.150000000000365</c:v>
                </c:pt>
                <c:pt idx="970">
                  <c:v>16.16666666666703</c:v>
                </c:pt>
                <c:pt idx="971">
                  <c:v>16.183333333333696</c:v>
                </c:pt>
                <c:pt idx="972">
                  <c:v>16.200000000000362</c:v>
                </c:pt>
                <c:pt idx="973">
                  <c:v>16.216666666667027</c:v>
                </c:pt>
                <c:pt idx="974">
                  <c:v>16.233333333333693</c:v>
                </c:pt>
                <c:pt idx="975">
                  <c:v>16.250000000000359</c:v>
                </c:pt>
                <c:pt idx="976">
                  <c:v>16.266666666667025</c:v>
                </c:pt>
                <c:pt idx="977">
                  <c:v>16.28333333333369</c:v>
                </c:pt>
                <c:pt idx="978">
                  <c:v>16.300000000000356</c:v>
                </c:pt>
                <c:pt idx="979">
                  <c:v>16.316666666667022</c:v>
                </c:pt>
                <c:pt idx="980">
                  <c:v>16.333333333333687</c:v>
                </c:pt>
                <c:pt idx="981">
                  <c:v>16.350000000000353</c:v>
                </c:pt>
                <c:pt idx="982">
                  <c:v>16.366666666667019</c:v>
                </c:pt>
                <c:pt idx="983">
                  <c:v>16.383333333333685</c:v>
                </c:pt>
                <c:pt idx="984">
                  <c:v>16.40000000000035</c:v>
                </c:pt>
                <c:pt idx="985">
                  <c:v>16.416666666667016</c:v>
                </c:pt>
                <c:pt idx="986">
                  <c:v>16.433333333333682</c:v>
                </c:pt>
                <c:pt idx="987">
                  <c:v>16.450000000000347</c:v>
                </c:pt>
                <c:pt idx="988">
                  <c:v>16.466666666667013</c:v>
                </c:pt>
                <c:pt idx="989">
                  <c:v>16.483333333333679</c:v>
                </c:pt>
                <c:pt idx="990">
                  <c:v>16.500000000000345</c:v>
                </c:pt>
                <c:pt idx="991">
                  <c:v>16.51666666666701</c:v>
                </c:pt>
                <c:pt idx="992">
                  <c:v>16.533333333333676</c:v>
                </c:pt>
                <c:pt idx="993">
                  <c:v>16.550000000000342</c:v>
                </c:pt>
                <c:pt idx="994">
                  <c:v>16.566666666667007</c:v>
                </c:pt>
                <c:pt idx="995">
                  <c:v>16.583333333333673</c:v>
                </c:pt>
                <c:pt idx="996">
                  <c:v>16.600000000000339</c:v>
                </c:pt>
                <c:pt idx="997">
                  <c:v>16.616666666667005</c:v>
                </c:pt>
                <c:pt idx="998">
                  <c:v>16.63333333333367</c:v>
                </c:pt>
                <c:pt idx="999">
                  <c:v>16.650000000000336</c:v>
                </c:pt>
                <c:pt idx="1000">
                  <c:v>16.666666666667002</c:v>
                </c:pt>
                <c:pt idx="1001">
                  <c:v>16.683333333333668</c:v>
                </c:pt>
                <c:pt idx="1002">
                  <c:v>16.700000000000333</c:v>
                </c:pt>
                <c:pt idx="1003">
                  <c:v>16.716666666666999</c:v>
                </c:pt>
                <c:pt idx="1004">
                  <c:v>16.733333333333665</c:v>
                </c:pt>
                <c:pt idx="1005">
                  <c:v>16.75000000000033</c:v>
                </c:pt>
                <c:pt idx="1006">
                  <c:v>16.766666666666996</c:v>
                </c:pt>
                <c:pt idx="1007">
                  <c:v>16.783333333333662</c:v>
                </c:pt>
                <c:pt idx="1008">
                  <c:v>16.800000000000328</c:v>
                </c:pt>
                <c:pt idx="1009">
                  <c:v>16.816666666666993</c:v>
                </c:pt>
                <c:pt idx="1010">
                  <c:v>16.833333333333659</c:v>
                </c:pt>
                <c:pt idx="1011">
                  <c:v>16.850000000000325</c:v>
                </c:pt>
                <c:pt idx="1012">
                  <c:v>16.86666666666699</c:v>
                </c:pt>
                <c:pt idx="1013">
                  <c:v>16.883333333333656</c:v>
                </c:pt>
                <c:pt idx="1014">
                  <c:v>16.900000000000322</c:v>
                </c:pt>
                <c:pt idx="1015">
                  <c:v>16.916666666666988</c:v>
                </c:pt>
                <c:pt idx="1016">
                  <c:v>16.933333333333653</c:v>
                </c:pt>
                <c:pt idx="1017">
                  <c:v>16.950000000000319</c:v>
                </c:pt>
                <c:pt idx="1018">
                  <c:v>16.966666666666985</c:v>
                </c:pt>
                <c:pt idx="1019">
                  <c:v>16.98333333333365</c:v>
                </c:pt>
                <c:pt idx="1020">
                  <c:v>17.000000000000316</c:v>
                </c:pt>
                <c:pt idx="1021">
                  <c:v>17.016666666666982</c:v>
                </c:pt>
                <c:pt idx="1022">
                  <c:v>17.033333333333648</c:v>
                </c:pt>
                <c:pt idx="1023">
                  <c:v>17.050000000000313</c:v>
                </c:pt>
                <c:pt idx="1024">
                  <c:v>17.066666666666979</c:v>
                </c:pt>
                <c:pt idx="1025">
                  <c:v>17.083333333333645</c:v>
                </c:pt>
                <c:pt idx="1026">
                  <c:v>17.100000000000311</c:v>
                </c:pt>
                <c:pt idx="1027">
                  <c:v>17.116666666666976</c:v>
                </c:pt>
                <c:pt idx="1028">
                  <c:v>17.133333333333642</c:v>
                </c:pt>
                <c:pt idx="1029">
                  <c:v>17.150000000000308</c:v>
                </c:pt>
                <c:pt idx="1030">
                  <c:v>17.166666666666973</c:v>
                </c:pt>
                <c:pt idx="1031">
                  <c:v>17.183333333333639</c:v>
                </c:pt>
                <c:pt idx="1032">
                  <c:v>17.200000000000305</c:v>
                </c:pt>
                <c:pt idx="1033">
                  <c:v>17.216666666666971</c:v>
                </c:pt>
                <c:pt idx="1034">
                  <c:v>17.233333333333636</c:v>
                </c:pt>
                <c:pt idx="1035">
                  <c:v>17.250000000000302</c:v>
                </c:pt>
                <c:pt idx="1036">
                  <c:v>17.266666666666968</c:v>
                </c:pt>
                <c:pt idx="1037">
                  <c:v>17.283333333333633</c:v>
                </c:pt>
                <c:pt idx="1038">
                  <c:v>17.300000000000299</c:v>
                </c:pt>
                <c:pt idx="1039">
                  <c:v>17.316666666666965</c:v>
                </c:pt>
                <c:pt idx="1040">
                  <c:v>17.333333333333631</c:v>
                </c:pt>
                <c:pt idx="1041">
                  <c:v>17.350000000000296</c:v>
                </c:pt>
                <c:pt idx="1042">
                  <c:v>17.366666666666962</c:v>
                </c:pt>
                <c:pt idx="1043">
                  <c:v>17.383333333333628</c:v>
                </c:pt>
                <c:pt idx="1044">
                  <c:v>17.400000000000293</c:v>
                </c:pt>
                <c:pt idx="1045">
                  <c:v>17.416666666666959</c:v>
                </c:pt>
                <c:pt idx="1046">
                  <c:v>17.433333333333625</c:v>
                </c:pt>
                <c:pt idx="1047">
                  <c:v>17.450000000000291</c:v>
                </c:pt>
                <c:pt idx="1048">
                  <c:v>17.466666666666956</c:v>
                </c:pt>
                <c:pt idx="1049">
                  <c:v>17.483333333333622</c:v>
                </c:pt>
                <c:pt idx="1050">
                  <c:v>17.500000000000288</c:v>
                </c:pt>
                <c:pt idx="1051">
                  <c:v>17.516666666666953</c:v>
                </c:pt>
                <c:pt idx="1052">
                  <c:v>17.533333333333619</c:v>
                </c:pt>
                <c:pt idx="1053">
                  <c:v>17.550000000000285</c:v>
                </c:pt>
                <c:pt idx="1054">
                  <c:v>17.566666666666951</c:v>
                </c:pt>
                <c:pt idx="1055">
                  <c:v>17.583333333333616</c:v>
                </c:pt>
                <c:pt idx="1056">
                  <c:v>17.600000000000282</c:v>
                </c:pt>
                <c:pt idx="1057">
                  <c:v>17.616666666666948</c:v>
                </c:pt>
                <c:pt idx="1058">
                  <c:v>17.633333333333614</c:v>
                </c:pt>
                <c:pt idx="1059">
                  <c:v>17.650000000000279</c:v>
                </c:pt>
                <c:pt idx="1060">
                  <c:v>17.666666666666945</c:v>
                </c:pt>
                <c:pt idx="1061">
                  <c:v>17.683333333333611</c:v>
                </c:pt>
                <c:pt idx="1062">
                  <c:v>17.700000000000276</c:v>
                </c:pt>
                <c:pt idx="1063">
                  <c:v>17.716666666666942</c:v>
                </c:pt>
                <c:pt idx="1064">
                  <c:v>17.733333333333608</c:v>
                </c:pt>
                <c:pt idx="1065">
                  <c:v>17.750000000000274</c:v>
                </c:pt>
                <c:pt idx="1066">
                  <c:v>17.766666666666939</c:v>
                </c:pt>
                <c:pt idx="1067">
                  <c:v>17.783333333333605</c:v>
                </c:pt>
                <c:pt idx="1068">
                  <c:v>17.800000000000271</c:v>
                </c:pt>
                <c:pt idx="1069">
                  <c:v>17.816666666666936</c:v>
                </c:pt>
                <c:pt idx="1070">
                  <c:v>17.833333333333602</c:v>
                </c:pt>
                <c:pt idx="1071">
                  <c:v>17.850000000000268</c:v>
                </c:pt>
                <c:pt idx="1072">
                  <c:v>17.866666666666934</c:v>
                </c:pt>
                <c:pt idx="1073">
                  <c:v>17.883333333333599</c:v>
                </c:pt>
                <c:pt idx="1074">
                  <c:v>17.900000000000265</c:v>
                </c:pt>
                <c:pt idx="1075">
                  <c:v>17.916666666666931</c:v>
                </c:pt>
                <c:pt idx="1076">
                  <c:v>17.933333333333596</c:v>
                </c:pt>
                <c:pt idx="1077">
                  <c:v>17.950000000000262</c:v>
                </c:pt>
                <c:pt idx="1078">
                  <c:v>17.966666666666928</c:v>
                </c:pt>
                <c:pt idx="1079">
                  <c:v>17.983333333333594</c:v>
                </c:pt>
                <c:pt idx="1080">
                  <c:v>18.000000000000259</c:v>
                </c:pt>
                <c:pt idx="1081">
                  <c:v>18.016666666666925</c:v>
                </c:pt>
                <c:pt idx="1082">
                  <c:v>18.033333333333591</c:v>
                </c:pt>
                <c:pt idx="1083">
                  <c:v>18.050000000000257</c:v>
                </c:pt>
                <c:pt idx="1084">
                  <c:v>18.066666666666922</c:v>
                </c:pt>
                <c:pt idx="1085">
                  <c:v>18.083333333333588</c:v>
                </c:pt>
                <c:pt idx="1086">
                  <c:v>18.100000000000254</c:v>
                </c:pt>
                <c:pt idx="1087">
                  <c:v>18.116666666666919</c:v>
                </c:pt>
                <c:pt idx="1088">
                  <c:v>18.133333333333585</c:v>
                </c:pt>
                <c:pt idx="1089">
                  <c:v>18.150000000000251</c:v>
                </c:pt>
                <c:pt idx="1090">
                  <c:v>18.166666666666917</c:v>
                </c:pt>
                <c:pt idx="1091">
                  <c:v>18.183333333333582</c:v>
                </c:pt>
                <c:pt idx="1092">
                  <c:v>18.200000000000248</c:v>
                </c:pt>
                <c:pt idx="1093">
                  <c:v>18.216666666666914</c:v>
                </c:pt>
                <c:pt idx="1094">
                  <c:v>18.233333333333579</c:v>
                </c:pt>
                <c:pt idx="1095">
                  <c:v>18.250000000000245</c:v>
                </c:pt>
                <c:pt idx="1096">
                  <c:v>18.266666666666911</c:v>
                </c:pt>
                <c:pt idx="1097">
                  <c:v>18.283333333333577</c:v>
                </c:pt>
                <c:pt idx="1098">
                  <c:v>18.300000000000242</c:v>
                </c:pt>
                <c:pt idx="1099">
                  <c:v>18.316666666666908</c:v>
                </c:pt>
                <c:pt idx="1100">
                  <c:v>18.333333333333574</c:v>
                </c:pt>
                <c:pt idx="1101">
                  <c:v>18.350000000000239</c:v>
                </c:pt>
                <c:pt idx="1102">
                  <c:v>18.366666666666905</c:v>
                </c:pt>
                <c:pt idx="1103">
                  <c:v>18.383333333333571</c:v>
                </c:pt>
                <c:pt idx="1104">
                  <c:v>18.400000000000237</c:v>
                </c:pt>
                <c:pt idx="1105">
                  <c:v>18.416666666666902</c:v>
                </c:pt>
                <c:pt idx="1106">
                  <c:v>18.433333333333568</c:v>
                </c:pt>
                <c:pt idx="1107">
                  <c:v>18.450000000000234</c:v>
                </c:pt>
                <c:pt idx="1108">
                  <c:v>18.466666666666899</c:v>
                </c:pt>
                <c:pt idx="1109">
                  <c:v>18.483333333333565</c:v>
                </c:pt>
                <c:pt idx="1110">
                  <c:v>18.500000000000231</c:v>
                </c:pt>
                <c:pt idx="1111">
                  <c:v>18.516666666666897</c:v>
                </c:pt>
                <c:pt idx="1112">
                  <c:v>18.533333333333562</c:v>
                </c:pt>
                <c:pt idx="1113">
                  <c:v>18.550000000000228</c:v>
                </c:pt>
                <c:pt idx="1114">
                  <c:v>18.566666666666894</c:v>
                </c:pt>
                <c:pt idx="1115">
                  <c:v>18.58333333333356</c:v>
                </c:pt>
                <c:pt idx="1116">
                  <c:v>18.600000000000225</c:v>
                </c:pt>
                <c:pt idx="1117">
                  <c:v>18.616666666666891</c:v>
                </c:pt>
                <c:pt idx="1118">
                  <c:v>18.633333333333557</c:v>
                </c:pt>
                <c:pt idx="1119">
                  <c:v>18.650000000000222</c:v>
                </c:pt>
                <c:pt idx="1120">
                  <c:v>18.666666666666888</c:v>
                </c:pt>
                <c:pt idx="1121">
                  <c:v>18.683333333333554</c:v>
                </c:pt>
                <c:pt idx="1122">
                  <c:v>18.70000000000022</c:v>
                </c:pt>
                <c:pt idx="1123">
                  <c:v>18.716666666666885</c:v>
                </c:pt>
                <c:pt idx="1124">
                  <c:v>18.733333333333551</c:v>
                </c:pt>
                <c:pt idx="1125">
                  <c:v>18.750000000000217</c:v>
                </c:pt>
                <c:pt idx="1126">
                  <c:v>18.766666666666882</c:v>
                </c:pt>
                <c:pt idx="1127">
                  <c:v>18.783333333333548</c:v>
                </c:pt>
                <c:pt idx="1128">
                  <c:v>18.800000000000214</c:v>
                </c:pt>
                <c:pt idx="1129">
                  <c:v>18.81666666666688</c:v>
                </c:pt>
                <c:pt idx="1130">
                  <c:v>18.833333333333545</c:v>
                </c:pt>
                <c:pt idx="1131">
                  <c:v>18.850000000000211</c:v>
                </c:pt>
                <c:pt idx="1132">
                  <c:v>18.866666666666877</c:v>
                </c:pt>
                <c:pt idx="1133">
                  <c:v>18.883333333333542</c:v>
                </c:pt>
                <c:pt idx="1134">
                  <c:v>18.900000000000208</c:v>
                </c:pt>
                <c:pt idx="1135">
                  <c:v>18.916666666666874</c:v>
                </c:pt>
                <c:pt idx="1136">
                  <c:v>18.93333333333354</c:v>
                </c:pt>
                <c:pt idx="1137">
                  <c:v>18.950000000000205</c:v>
                </c:pt>
                <c:pt idx="1138">
                  <c:v>18.966666666666871</c:v>
                </c:pt>
                <c:pt idx="1139">
                  <c:v>18.983333333333537</c:v>
                </c:pt>
                <c:pt idx="1140">
                  <c:v>19.000000000000203</c:v>
                </c:pt>
                <c:pt idx="1141">
                  <c:v>19.016666666666868</c:v>
                </c:pt>
                <c:pt idx="1142">
                  <c:v>19.033333333333534</c:v>
                </c:pt>
                <c:pt idx="1143">
                  <c:v>19.0500000000002</c:v>
                </c:pt>
                <c:pt idx="1144">
                  <c:v>19.066666666666865</c:v>
                </c:pt>
                <c:pt idx="1145">
                  <c:v>19.083333333333531</c:v>
                </c:pt>
                <c:pt idx="1146">
                  <c:v>19.100000000000197</c:v>
                </c:pt>
                <c:pt idx="1147">
                  <c:v>19.116666666666863</c:v>
                </c:pt>
                <c:pt idx="1148">
                  <c:v>19.133333333333528</c:v>
                </c:pt>
                <c:pt idx="1149">
                  <c:v>19.150000000000194</c:v>
                </c:pt>
                <c:pt idx="1150">
                  <c:v>19.16666666666686</c:v>
                </c:pt>
                <c:pt idx="1151">
                  <c:v>19.183333333333525</c:v>
                </c:pt>
                <c:pt idx="1152">
                  <c:v>19.200000000000191</c:v>
                </c:pt>
                <c:pt idx="1153">
                  <c:v>19.216666666666857</c:v>
                </c:pt>
                <c:pt idx="1154">
                  <c:v>19.233333333333523</c:v>
                </c:pt>
                <c:pt idx="1155">
                  <c:v>19.250000000000188</c:v>
                </c:pt>
                <c:pt idx="1156">
                  <c:v>19.266666666666854</c:v>
                </c:pt>
                <c:pt idx="1157">
                  <c:v>19.28333333333352</c:v>
                </c:pt>
                <c:pt idx="1158">
                  <c:v>19.300000000000185</c:v>
                </c:pt>
                <c:pt idx="1159">
                  <c:v>19.316666666666851</c:v>
                </c:pt>
                <c:pt idx="1160">
                  <c:v>19.333333333333517</c:v>
                </c:pt>
                <c:pt idx="1161">
                  <c:v>19.350000000000183</c:v>
                </c:pt>
                <c:pt idx="1162">
                  <c:v>19.366666666666848</c:v>
                </c:pt>
                <c:pt idx="1163">
                  <c:v>19.383333333333514</c:v>
                </c:pt>
                <c:pt idx="1164">
                  <c:v>19.40000000000018</c:v>
                </c:pt>
                <c:pt idx="1165">
                  <c:v>19.416666666666845</c:v>
                </c:pt>
                <c:pt idx="1166">
                  <c:v>19.433333333333511</c:v>
                </c:pt>
                <c:pt idx="1167">
                  <c:v>19.450000000000177</c:v>
                </c:pt>
                <c:pt idx="1168">
                  <c:v>19.466666666666843</c:v>
                </c:pt>
                <c:pt idx="1169">
                  <c:v>19.483333333333508</c:v>
                </c:pt>
                <c:pt idx="1170">
                  <c:v>19.500000000000174</c:v>
                </c:pt>
                <c:pt idx="1171">
                  <c:v>19.51666666666684</c:v>
                </c:pt>
                <c:pt idx="1172">
                  <c:v>19.533333333333506</c:v>
                </c:pt>
                <c:pt idx="1173">
                  <c:v>19.550000000000171</c:v>
                </c:pt>
                <c:pt idx="1174">
                  <c:v>19.566666666666837</c:v>
                </c:pt>
                <c:pt idx="1175">
                  <c:v>19.583333333333503</c:v>
                </c:pt>
                <c:pt idx="1176">
                  <c:v>19.600000000000168</c:v>
                </c:pt>
                <c:pt idx="1177">
                  <c:v>19.616666666666834</c:v>
                </c:pt>
                <c:pt idx="1178">
                  <c:v>19.6333333333335</c:v>
                </c:pt>
                <c:pt idx="1179">
                  <c:v>19.650000000000166</c:v>
                </c:pt>
                <c:pt idx="1180">
                  <c:v>19.666666666666831</c:v>
                </c:pt>
                <c:pt idx="1181">
                  <c:v>19.683333333333497</c:v>
                </c:pt>
                <c:pt idx="1182">
                  <c:v>19.700000000000163</c:v>
                </c:pt>
                <c:pt idx="1183">
                  <c:v>19.716666666666828</c:v>
                </c:pt>
                <c:pt idx="1184">
                  <c:v>19.733333333333494</c:v>
                </c:pt>
                <c:pt idx="1185">
                  <c:v>19.75000000000016</c:v>
                </c:pt>
                <c:pt idx="1186">
                  <c:v>19.766666666666826</c:v>
                </c:pt>
                <c:pt idx="1187">
                  <c:v>19.783333333333491</c:v>
                </c:pt>
                <c:pt idx="1188">
                  <c:v>19.800000000000157</c:v>
                </c:pt>
                <c:pt idx="1189">
                  <c:v>19.816666666666823</c:v>
                </c:pt>
                <c:pt idx="1190">
                  <c:v>19.833333333333488</c:v>
                </c:pt>
                <c:pt idx="1191">
                  <c:v>19.850000000000154</c:v>
                </c:pt>
                <c:pt idx="1192">
                  <c:v>19.86666666666682</c:v>
                </c:pt>
                <c:pt idx="1193">
                  <c:v>19.883333333333486</c:v>
                </c:pt>
                <c:pt idx="1194">
                  <c:v>19.900000000000151</c:v>
                </c:pt>
                <c:pt idx="1195">
                  <c:v>19.916666666666817</c:v>
                </c:pt>
                <c:pt idx="1196">
                  <c:v>19.933333333333483</c:v>
                </c:pt>
                <c:pt idx="1197">
                  <c:v>19.950000000000149</c:v>
                </c:pt>
                <c:pt idx="1198">
                  <c:v>19.966666666666814</c:v>
                </c:pt>
                <c:pt idx="1199">
                  <c:v>19.98333333333348</c:v>
                </c:pt>
                <c:pt idx="1200">
                  <c:v>20.000000000000146</c:v>
                </c:pt>
                <c:pt idx="1201">
                  <c:v>20.016666666666811</c:v>
                </c:pt>
                <c:pt idx="1202">
                  <c:v>20.033333333333477</c:v>
                </c:pt>
                <c:pt idx="1203">
                  <c:v>20.050000000000143</c:v>
                </c:pt>
                <c:pt idx="1204">
                  <c:v>20.066666666666809</c:v>
                </c:pt>
                <c:pt idx="1205">
                  <c:v>20.083333333333474</c:v>
                </c:pt>
                <c:pt idx="1206">
                  <c:v>20.10000000000014</c:v>
                </c:pt>
                <c:pt idx="1207">
                  <c:v>20.116666666666806</c:v>
                </c:pt>
                <c:pt idx="1208">
                  <c:v>20.133333333333471</c:v>
                </c:pt>
                <c:pt idx="1209">
                  <c:v>20.150000000000137</c:v>
                </c:pt>
                <c:pt idx="1210">
                  <c:v>20.166666666666803</c:v>
                </c:pt>
                <c:pt idx="1211">
                  <c:v>20.183333333333469</c:v>
                </c:pt>
                <c:pt idx="1212">
                  <c:v>20.200000000000134</c:v>
                </c:pt>
                <c:pt idx="1213">
                  <c:v>20.2166666666668</c:v>
                </c:pt>
                <c:pt idx="1214">
                  <c:v>20.233333333333466</c:v>
                </c:pt>
                <c:pt idx="1215">
                  <c:v>20.250000000000131</c:v>
                </c:pt>
                <c:pt idx="1216">
                  <c:v>20.266666666666797</c:v>
                </c:pt>
                <c:pt idx="1217">
                  <c:v>20.283333333333463</c:v>
                </c:pt>
                <c:pt idx="1218">
                  <c:v>20.300000000000129</c:v>
                </c:pt>
                <c:pt idx="1219">
                  <c:v>20.316666666666794</c:v>
                </c:pt>
                <c:pt idx="1220">
                  <c:v>20.33333333333346</c:v>
                </c:pt>
                <c:pt idx="1221">
                  <c:v>20.350000000000126</c:v>
                </c:pt>
                <c:pt idx="1222">
                  <c:v>20.366666666666791</c:v>
                </c:pt>
                <c:pt idx="1223">
                  <c:v>20.383333333333457</c:v>
                </c:pt>
                <c:pt idx="1224">
                  <c:v>20.400000000000123</c:v>
                </c:pt>
                <c:pt idx="1225">
                  <c:v>20.416666666666789</c:v>
                </c:pt>
                <c:pt idx="1226">
                  <c:v>20.433333333333454</c:v>
                </c:pt>
                <c:pt idx="1227">
                  <c:v>20.45000000000012</c:v>
                </c:pt>
                <c:pt idx="1228">
                  <c:v>20.466666666666786</c:v>
                </c:pt>
                <c:pt idx="1229">
                  <c:v>20.483333333333452</c:v>
                </c:pt>
                <c:pt idx="1230">
                  <c:v>20.500000000000117</c:v>
                </c:pt>
                <c:pt idx="1231">
                  <c:v>20.516666666666783</c:v>
                </c:pt>
                <c:pt idx="1232">
                  <c:v>20.533333333333449</c:v>
                </c:pt>
                <c:pt idx="1233">
                  <c:v>20.550000000000114</c:v>
                </c:pt>
                <c:pt idx="1234">
                  <c:v>20.56666666666678</c:v>
                </c:pt>
                <c:pt idx="1235">
                  <c:v>20.583333333333446</c:v>
                </c:pt>
                <c:pt idx="1236">
                  <c:v>20.600000000000112</c:v>
                </c:pt>
                <c:pt idx="1237">
                  <c:v>20.616666666666777</c:v>
                </c:pt>
                <c:pt idx="1238">
                  <c:v>20.633333333333443</c:v>
                </c:pt>
                <c:pt idx="1239">
                  <c:v>20.650000000000109</c:v>
                </c:pt>
                <c:pt idx="1240">
                  <c:v>20.666666666666774</c:v>
                </c:pt>
                <c:pt idx="1241">
                  <c:v>20.68333333333344</c:v>
                </c:pt>
                <c:pt idx="1242">
                  <c:v>20.700000000000106</c:v>
                </c:pt>
                <c:pt idx="1243">
                  <c:v>20.716666666666772</c:v>
                </c:pt>
                <c:pt idx="1244">
                  <c:v>20.733333333333437</c:v>
                </c:pt>
                <c:pt idx="1245">
                  <c:v>20.750000000000103</c:v>
                </c:pt>
                <c:pt idx="1246">
                  <c:v>20.766666666666769</c:v>
                </c:pt>
                <c:pt idx="1247">
                  <c:v>20.783333333333434</c:v>
                </c:pt>
                <c:pt idx="1248">
                  <c:v>20.8000000000001</c:v>
                </c:pt>
                <c:pt idx="1249">
                  <c:v>20.816666666666766</c:v>
                </c:pt>
                <c:pt idx="1250">
                  <c:v>20.833333333333432</c:v>
                </c:pt>
                <c:pt idx="1251">
                  <c:v>20.850000000000097</c:v>
                </c:pt>
                <c:pt idx="1252">
                  <c:v>20.866666666666763</c:v>
                </c:pt>
                <c:pt idx="1253">
                  <c:v>20.883333333333429</c:v>
                </c:pt>
                <c:pt idx="1254">
                  <c:v>20.900000000000095</c:v>
                </c:pt>
                <c:pt idx="1255">
                  <c:v>20.91666666666676</c:v>
                </c:pt>
                <c:pt idx="1256">
                  <c:v>20.933333333333426</c:v>
                </c:pt>
                <c:pt idx="1257">
                  <c:v>20.950000000000092</c:v>
                </c:pt>
                <c:pt idx="1258">
                  <c:v>20.966666666666757</c:v>
                </c:pt>
                <c:pt idx="1259">
                  <c:v>20.983333333333423</c:v>
                </c:pt>
                <c:pt idx="1260">
                  <c:v>21.000000000000089</c:v>
                </c:pt>
                <c:pt idx="1261">
                  <c:v>21.016666666666755</c:v>
                </c:pt>
                <c:pt idx="1262">
                  <c:v>21.03333333333342</c:v>
                </c:pt>
                <c:pt idx="1263">
                  <c:v>21.050000000000086</c:v>
                </c:pt>
                <c:pt idx="1264">
                  <c:v>21.066666666666752</c:v>
                </c:pt>
                <c:pt idx="1265">
                  <c:v>21.083333333333417</c:v>
                </c:pt>
                <c:pt idx="1266">
                  <c:v>21.100000000000083</c:v>
                </c:pt>
                <c:pt idx="1267">
                  <c:v>21.116666666666749</c:v>
                </c:pt>
                <c:pt idx="1268">
                  <c:v>21.133333333333415</c:v>
                </c:pt>
                <c:pt idx="1269">
                  <c:v>21.15000000000008</c:v>
                </c:pt>
                <c:pt idx="1270">
                  <c:v>21.166666666666746</c:v>
                </c:pt>
                <c:pt idx="1271">
                  <c:v>21.183333333333412</c:v>
                </c:pt>
                <c:pt idx="1272">
                  <c:v>21.200000000000077</c:v>
                </c:pt>
                <c:pt idx="1273">
                  <c:v>21.216666666666743</c:v>
                </c:pt>
                <c:pt idx="1274">
                  <c:v>21.233333333333409</c:v>
                </c:pt>
                <c:pt idx="1275">
                  <c:v>21.250000000000075</c:v>
                </c:pt>
                <c:pt idx="1276">
                  <c:v>21.26666666666674</c:v>
                </c:pt>
                <c:pt idx="1277">
                  <c:v>21.283333333333406</c:v>
                </c:pt>
                <c:pt idx="1278">
                  <c:v>21.300000000000072</c:v>
                </c:pt>
                <c:pt idx="1279">
                  <c:v>21.316666666666737</c:v>
                </c:pt>
                <c:pt idx="1280">
                  <c:v>21.333333333333403</c:v>
                </c:pt>
                <c:pt idx="1281">
                  <c:v>21.350000000000069</c:v>
                </c:pt>
                <c:pt idx="1282">
                  <c:v>21.366666666666735</c:v>
                </c:pt>
                <c:pt idx="1283">
                  <c:v>21.3833333333334</c:v>
                </c:pt>
                <c:pt idx="1284">
                  <c:v>21.400000000000066</c:v>
                </c:pt>
                <c:pt idx="1285">
                  <c:v>21.416666666666732</c:v>
                </c:pt>
                <c:pt idx="1286">
                  <c:v>21.433333333333398</c:v>
                </c:pt>
                <c:pt idx="1287">
                  <c:v>21.450000000000063</c:v>
                </c:pt>
                <c:pt idx="1288">
                  <c:v>21.466666666666729</c:v>
                </c:pt>
                <c:pt idx="1289">
                  <c:v>21.483333333333395</c:v>
                </c:pt>
                <c:pt idx="1290">
                  <c:v>21.50000000000006</c:v>
                </c:pt>
                <c:pt idx="1291">
                  <c:v>21.516666666666726</c:v>
                </c:pt>
                <c:pt idx="1292">
                  <c:v>21.533333333333392</c:v>
                </c:pt>
                <c:pt idx="1293">
                  <c:v>21.550000000000058</c:v>
                </c:pt>
                <c:pt idx="1294">
                  <c:v>21.566666666666723</c:v>
                </c:pt>
                <c:pt idx="1295">
                  <c:v>21.583333333333389</c:v>
                </c:pt>
                <c:pt idx="1296">
                  <c:v>21.600000000000055</c:v>
                </c:pt>
                <c:pt idx="1297">
                  <c:v>21.61666666666672</c:v>
                </c:pt>
                <c:pt idx="1298">
                  <c:v>21.633333333333386</c:v>
                </c:pt>
                <c:pt idx="1299">
                  <c:v>21.650000000000052</c:v>
                </c:pt>
                <c:pt idx="1300">
                  <c:v>21.666666666666718</c:v>
                </c:pt>
                <c:pt idx="1301">
                  <c:v>21.683333333333383</c:v>
                </c:pt>
                <c:pt idx="1302">
                  <c:v>21.700000000000049</c:v>
                </c:pt>
                <c:pt idx="1303">
                  <c:v>21.716666666666715</c:v>
                </c:pt>
                <c:pt idx="1304">
                  <c:v>21.73333333333338</c:v>
                </c:pt>
                <c:pt idx="1305">
                  <c:v>21.750000000000046</c:v>
                </c:pt>
                <c:pt idx="1306">
                  <c:v>21.766666666666712</c:v>
                </c:pt>
                <c:pt idx="1307">
                  <c:v>21.783333333333378</c:v>
                </c:pt>
                <c:pt idx="1308">
                  <c:v>21.800000000000043</c:v>
                </c:pt>
                <c:pt idx="1309">
                  <c:v>21.816666666666709</c:v>
                </c:pt>
                <c:pt idx="1310">
                  <c:v>21.833333333333375</c:v>
                </c:pt>
                <c:pt idx="1311">
                  <c:v>21.850000000000041</c:v>
                </c:pt>
                <c:pt idx="1312">
                  <c:v>21.866666666666706</c:v>
                </c:pt>
                <c:pt idx="1313">
                  <c:v>21.883333333333372</c:v>
                </c:pt>
                <c:pt idx="1314">
                  <c:v>21.900000000000038</c:v>
                </c:pt>
                <c:pt idx="1315">
                  <c:v>21.916666666666703</c:v>
                </c:pt>
                <c:pt idx="1316">
                  <c:v>21.933333333333369</c:v>
                </c:pt>
                <c:pt idx="1317">
                  <c:v>21.950000000000035</c:v>
                </c:pt>
                <c:pt idx="1318">
                  <c:v>21.966666666666701</c:v>
                </c:pt>
                <c:pt idx="1319">
                  <c:v>21.983333333333366</c:v>
                </c:pt>
                <c:pt idx="1320">
                  <c:v>22.000000000000032</c:v>
                </c:pt>
                <c:pt idx="1321">
                  <c:v>22.016666666666698</c:v>
                </c:pt>
                <c:pt idx="1322">
                  <c:v>22.033333333333363</c:v>
                </c:pt>
                <c:pt idx="1323">
                  <c:v>22.050000000000029</c:v>
                </c:pt>
                <c:pt idx="1324">
                  <c:v>22.066666666666695</c:v>
                </c:pt>
                <c:pt idx="1325">
                  <c:v>22.083333333333361</c:v>
                </c:pt>
                <c:pt idx="1326">
                  <c:v>22.100000000000026</c:v>
                </c:pt>
                <c:pt idx="1327">
                  <c:v>22.116666666666692</c:v>
                </c:pt>
                <c:pt idx="1328">
                  <c:v>22.133333333333358</c:v>
                </c:pt>
                <c:pt idx="1329">
                  <c:v>22.150000000000023</c:v>
                </c:pt>
                <c:pt idx="1330">
                  <c:v>22.166666666666689</c:v>
                </c:pt>
                <c:pt idx="1331">
                  <c:v>22.183333333333355</c:v>
                </c:pt>
                <c:pt idx="1332">
                  <c:v>22.200000000000021</c:v>
                </c:pt>
                <c:pt idx="1333">
                  <c:v>22.216666666666686</c:v>
                </c:pt>
                <c:pt idx="1334">
                  <c:v>22.233333333333352</c:v>
                </c:pt>
                <c:pt idx="1335">
                  <c:v>22.250000000000018</c:v>
                </c:pt>
                <c:pt idx="1336">
                  <c:v>22.266666666666683</c:v>
                </c:pt>
                <c:pt idx="1337">
                  <c:v>22.283333333333349</c:v>
                </c:pt>
                <c:pt idx="1338">
                  <c:v>22.300000000000015</c:v>
                </c:pt>
                <c:pt idx="1339">
                  <c:v>22.316666666666681</c:v>
                </c:pt>
                <c:pt idx="1340">
                  <c:v>22.333333333333346</c:v>
                </c:pt>
                <c:pt idx="1341">
                  <c:v>22.350000000000012</c:v>
                </c:pt>
                <c:pt idx="1342">
                  <c:v>22.366666666666678</c:v>
                </c:pt>
                <c:pt idx="1343">
                  <c:v>22.383333333333344</c:v>
                </c:pt>
                <c:pt idx="1344">
                  <c:v>22.400000000000009</c:v>
                </c:pt>
                <c:pt idx="1345">
                  <c:v>22.416666666666675</c:v>
                </c:pt>
                <c:pt idx="1346">
                  <c:v>22.433333333333341</c:v>
                </c:pt>
                <c:pt idx="1347">
                  <c:v>22.450000000000006</c:v>
                </c:pt>
                <c:pt idx="1348">
                  <c:v>22.466666666666672</c:v>
                </c:pt>
                <c:pt idx="1349">
                  <c:v>22.483333333333338</c:v>
                </c:pt>
                <c:pt idx="1350">
                  <c:v>22.500000000000004</c:v>
                </c:pt>
                <c:pt idx="1351">
                  <c:v>22.516666666666669</c:v>
                </c:pt>
                <c:pt idx="1352">
                  <c:v>22.533333333333335</c:v>
                </c:pt>
                <c:pt idx="1353">
                  <c:v>22.55</c:v>
                </c:pt>
                <c:pt idx="1354">
                  <c:v>22.566666666666666</c:v>
                </c:pt>
                <c:pt idx="1355">
                  <c:v>22.583333333333332</c:v>
                </c:pt>
                <c:pt idx="1356">
                  <c:v>22.599999999999998</c:v>
                </c:pt>
                <c:pt idx="1357">
                  <c:v>22.616666666666664</c:v>
                </c:pt>
                <c:pt idx="1358">
                  <c:v>22.633333333333329</c:v>
                </c:pt>
                <c:pt idx="1359">
                  <c:v>22.649999999999995</c:v>
                </c:pt>
                <c:pt idx="1360">
                  <c:v>22.666666666666661</c:v>
                </c:pt>
                <c:pt idx="1361">
                  <c:v>22.683333333333326</c:v>
                </c:pt>
                <c:pt idx="1362">
                  <c:v>22.699999999999992</c:v>
                </c:pt>
                <c:pt idx="1363">
                  <c:v>22.716666666666658</c:v>
                </c:pt>
                <c:pt idx="1364">
                  <c:v>22.733333333333324</c:v>
                </c:pt>
                <c:pt idx="1365">
                  <c:v>22.749999999999989</c:v>
                </c:pt>
                <c:pt idx="1366">
                  <c:v>22.766666666666655</c:v>
                </c:pt>
                <c:pt idx="1367">
                  <c:v>22.783333333333321</c:v>
                </c:pt>
                <c:pt idx="1368">
                  <c:v>22.799999999999986</c:v>
                </c:pt>
                <c:pt idx="1369">
                  <c:v>22.816666666666652</c:v>
                </c:pt>
                <c:pt idx="1370">
                  <c:v>22.833333333333318</c:v>
                </c:pt>
                <c:pt idx="1371">
                  <c:v>22.849999999999984</c:v>
                </c:pt>
                <c:pt idx="1372">
                  <c:v>22.866666666666649</c:v>
                </c:pt>
                <c:pt idx="1373">
                  <c:v>22.883333333333315</c:v>
                </c:pt>
                <c:pt idx="1374">
                  <c:v>22.899999999999981</c:v>
                </c:pt>
                <c:pt idx="1375">
                  <c:v>22.916666666666647</c:v>
                </c:pt>
                <c:pt idx="1376">
                  <c:v>22.933333333333312</c:v>
                </c:pt>
                <c:pt idx="1377">
                  <c:v>22.949999999999978</c:v>
                </c:pt>
                <c:pt idx="1378">
                  <c:v>22.966666666666644</c:v>
                </c:pt>
                <c:pt idx="1379">
                  <c:v>22.983333333333309</c:v>
                </c:pt>
                <c:pt idx="1380">
                  <c:v>22.999999999999975</c:v>
                </c:pt>
                <c:pt idx="1381">
                  <c:v>23.016666666666641</c:v>
                </c:pt>
                <c:pt idx="1382">
                  <c:v>23.033333333333307</c:v>
                </c:pt>
                <c:pt idx="1383">
                  <c:v>23.049999999999972</c:v>
                </c:pt>
                <c:pt idx="1384">
                  <c:v>23.066666666666638</c:v>
                </c:pt>
                <c:pt idx="1385">
                  <c:v>23.083333333333304</c:v>
                </c:pt>
                <c:pt idx="1386">
                  <c:v>23.099999999999969</c:v>
                </c:pt>
                <c:pt idx="1387">
                  <c:v>23.116666666666635</c:v>
                </c:pt>
                <c:pt idx="1388">
                  <c:v>23.133333333333301</c:v>
                </c:pt>
                <c:pt idx="1389">
                  <c:v>23.149999999999967</c:v>
                </c:pt>
                <c:pt idx="1390">
                  <c:v>23.166666666666632</c:v>
                </c:pt>
                <c:pt idx="1391">
                  <c:v>23.183333333333298</c:v>
                </c:pt>
                <c:pt idx="1392">
                  <c:v>23.199999999999964</c:v>
                </c:pt>
                <c:pt idx="1393">
                  <c:v>23.216666666666629</c:v>
                </c:pt>
                <c:pt idx="1394">
                  <c:v>23.233333333333295</c:v>
                </c:pt>
                <c:pt idx="1395">
                  <c:v>23.249999999999961</c:v>
                </c:pt>
                <c:pt idx="1396">
                  <c:v>23.266666666666627</c:v>
                </c:pt>
                <c:pt idx="1397">
                  <c:v>23.283333333333292</c:v>
                </c:pt>
                <c:pt idx="1398">
                  <c:v>23.299999999999958</c:v>
                </c:pt>
                <c:pt idx="1399">
                  <c:v>23.316666666666624</c:v>
                </c:pt>
                <c:pt idx="1400">
                  <c:v>23.33333333333329</c:v>
                </c:pt>
                <c:pt idx="1401">
                  <c:v>23.349999999999955</c:v>
                </c:pt>
                <c:pt idx="1402">
                  <c:v>23.366666666666621</c:v>
                </c:pt>
                <c:pt idx="1403">
                  <c:v>23.383333333333287</c:v>
                </c:pt>
                <c:pt idx="1404">
                  <c:v>23.399999999999952</c:v>
                </c:pt>
                <c:pt idx="1405">
                  <c:v>23.416666666666618</c:v>
                </c:pt>
                <c:pt idx="1406">
                  <c:v>23.433333333333284</c:v>
                </c:pt>
                <c:pt idx="1407">
                  <c:v>23.44999999999995</c:v>
                </c:pt>
                <c:pt idx="1408">
                  <c:v>23.466666666666615</c:v>
                </c:pt>
                <c:pt idx="1409">
                  <c:v>23.483333333333281</c:v>
                </c:pt>
                <c:pt idx="1410">
                  <c:v>23.499999999999947</c:v>
                </c:pt>
                <c:pt idx="1411">
                  <c:v>23.516666666666612</c:v>
                </c:pt>
                <c:pt idx="1412">
                  <c:v>23.533333333333278</c:v>
                </c:pt>
                <c:pt idx="1413">
                  <c:v>23.549999999999944</c:v>
                </c:pt>
                <c:pt idx="1414">
                  <c:v>23.56666666666661</c:v>
                </c:pt>
                <c:pt idx="1415">
                  <c:v>23.583333333333275</c:v>
                </c:pt>
                <c:pt idx="1416">
                  <c:v>23.599999999999941</c:v>
                </c:pt>
                <c:pt idx="1417">
                  <c:v>23.616666666666607</c:v>
                </c:pt>
                <c:pt idx="1418">
                  <c:v>23.633333333333272</c:v>
                </c:pt>
                <c:pt idx="1419">
                  <c:v>23.649999999999938</c:v>
                </c:pt>
                <c:pt idx="1420">
                  <c:v>23.666666666666604</c:v>
                </c:pt>
                <c:pt idx="1421">
                  <c:v>23.68333333333327</c:v>
                </c:pt>
                <c:pt idx="1422">
                  <c:v>23.699999999999935</c:v>
                </c:pt>
                <c:pt idx="1423">
                  <c:v>23.716666666666601</c:v>
                </c:pt>
                <c:pt idx="1424">
                  <c:v>23.733333333333267</c:v>
                </c:pt>
                <c:pt idx="1425">
                  <c:v>23.749999999999932</c:v>
                </c:pt>
                <c:pt idx="1426">
                  <c:v>23.766666666666598</c:v>
                </c:pt>
                <c:pt idx="1427">
                  <c:v>23.783333333333264</c:v>
                </c:pt>
                <c:pt idx="1428">
                  <c:v>23.79999999999993</c:v>
                </c:pt>
                <c:pt idx="1429">
                  <c:v>23.816666666666595</c:v>
                </c:pt>
                <c:pt idx="1430">
                  <c:v>23.833333333333261</c:v>
                </c:pt>
                <c:pt idx="1431">
                  <c:v>23.849999999999927</c:v>
                </c:pt>
                <c:pt idx="1432">
                  <c:v>23.866666666666593</c:v>
                </c:pt>
                <c:pt idx="1433">
                  <c:v>23.883333333333258</c:v>
                </c:pt>
                <c:pt idx="1434">
                  <c:v>23.899999999999924</c:v>
                </c:pt>
                <c:pt idx="1435">
                  <c:v>23.91666666666659</c:v>
                </c:pt>
                <c:pt idx="1436">
                  <c:v>23.933333333333255</c:v>
                </c:pt>
                <c:pt idx="1437">
                  <c:v>23.949999999999921</c:v>
                </c:pt>
                <c:pt idx="1438">
                  <c:v>23.966666666666587</c:v>
                </c:pt>
                <c:pt idx="1439">
                  <c:v>23.983333333333253</c:v>
                </c:pt>
                <c:pt idx="1440">
                  <c:v>23.999999999999918</c:v>
                </c:pt>
                <c:pt idx="1441">
                  <c:v>24.016666666666584</c:v>
                </c:pt>
                <c:pt idx="1442">
                  <c:v>24.03333333333325</c:v>
                </c:pt>
                <c:pt idx="1443">
                  <c:v>24.049999999999915</c:v>
                </c:pt>
                <c:pt idx="1444">
                  <c:v>24.066666666666581</c:v>
                </c:pt>
                <c:pt idx="1445">
                  <c:v>24.083333333333247</c:v>
                </c:pt>
                <c:pt idx="1446">
                  <c:v>24.099999999999913</c:v>
                </c:pt>
                <c:pt idx="1447">
                  <c:v>24.116666666666578</c:v>
                </c:pt>
                <c:pt idx="1448">
                  <c:v>24.133333333333244</c:v>
                </c:pt>
                <c:pt idx="1449">
                  <c:v>24.14999999999991</c:v>
                </c:pt>
                <c:pt idx="1450">
                  <c:v>24.166666666666575</c:v>
                </c:pt>
                <c:pt idx="1451">
                  <c:v>24.183333333333241</c:v>
                </c:pt>
                <c:pt idx="1452">
                  <c:v>24.199999999999907</c:v>
                </c:pt>
                <c:pt idx="1453">
                  <c:v>24.216666666666573</c:v>
                </c:pt>
                <c:pt idx="1454">
                  <c:v>24.233333333333238</c:v>
                </c:pt>
                <c:pt idx="1455">
                  <c:v>24.249999999999904</c:v>
                </c:pt>
                <c:pt idx="1456">
                  <c:v>24.26666666666657</c:v>
                </c:pt>
                <c:pt idx="1457">
                  <c:v>24.283333333333236</c:v>
                </c:pt>
                <c:pt idx="1458">
                  <c:v>24.299999999999901</c:v>
                </c:pt>
                <c:pt idx="1459">
                  <c:v>24.316666666666567</c:v>
                </c:pt>
                <c:pt idx="1460">
                  <c:v>24.333333333333233</c:v>
                </c:pt>
                <c:pt idx="1461">
                  <c:v>24.349999999999898</c:v>
                </c:pt>
                <c:pt idx="1462">
                  <c:v>24.366666666666564</c:v>
                </c:pt>
                <c:pt idx="1463">
                  <c:v>24.38333333333323</c:v>
                </c:pt>
                <c:pt idx="1464">
                  <c:v>24.399999999999896</c:v>
                </c:pt>
                <c:pt idx="1465">
                  <c:v>24.416666666666561</c:v>
                </c:pt>
                <c:pt idx="1466">
                  <c:v>24.433333333333227</c:v>
                </c:pt>
                <c:pt idx="1467">
                  <c:v>24.449999999999893</c:v>
                </c:pt>
                <c:pt idx="1468">
                  <c:v>24.466666666666558</c:v>
                </c:pt>
                <c:pt idx="1469">
                  <c:v>24.483333333333224</c:v>
                </c:pt>
                <c:pt idx="1470">
                  <c:v>24.49999999999989</c:v>
                </c:pt>
                <c:pt idx="1471">
                  <c:v>24.516666666666556</c:v>
                </c:pt>
                <c:pt idx="1472">
                  <c:v>24.533333333333221</c:v>
                </c:pt>
                <c:pt idx="1473">
                  <c:v>24.549999999999887</c:v>
                </c:pt>
                <c:pt idx="1474">
                  <c:v>24.566666666666553</c:v>
                </c:pt>
                <c:pt idx="1475">
                  <c:v>24.583333333333218</c:v>
                </c:pt>
                <c:pt idx="1476">
                  <c:v>24.599999999999884</c:v>
                </c:pt>
                <c:pt idx="1477">
                  <c:v>24.61666666666655</c:v>
                </c:pt>
                <c:pt idx="1478">
                  <c:v>24.633333333333216</c:v>
                </c:pt>
                <c:pt idx="1479">
                  <c:v>24.649999999999881</c:v>
                </c:pt>
                <c:pt idx="1480">
                  <c:v>24.666666666666547</c:v>
                </c:pt>
                <c:pt idx="1481">
                  <c:v>24.683333333333213</c:v>
                </c:pt>
                <c:pt idx="1482">
                  <c:v>24.699999999999878</c:v>
                </c:pt>
                <c:pt idx="1483">
                  <c:v>24.716666666666544</c:v>
                </c:pt>
                <c:pt idx="1484">
                  <c:v>24.73333333333321</c:v>
                </c:pt>
                <c:pt idx="1485">
                  <c:v>24.749999999999876</c:v>
                </c:pt>
                <c:pt idx="1486">
                  <c:v>24.766666666666541</c:v>
                </c:pt>
                <c:pt idx="1487">
                  <c:v>24.783333333333207</c:v>
                </c:pt>
                <c:pt idx="1488">
                  <c:v>24.799999999999873</c:v>
                </c:pt>
                <c:pt idx="1489">
                  <c:v>24.816666666666539</c:v>
                </c:pt>
                <c:pt idx="1490">
                  <c:v>24.833333333333204</c:v>
                </c:pt>
                <c:pt idx="1491">
                  <c:v>24.84999999999987</c:v>
                </c:pt>
                <c:pt idx="1492">
                  <c:v>24.866666666666536</c:v>
                </c:pt>
                <c:pt idx="1493">
                  <c:v>24.883333333333201</c:v>
                </c:pt>
                <c:pt idx="1494">
                  <c:v>24.899999999999867</c:v>
                </c:pt>
                <c:pt idx="1495">
                  <c:v>24.916666666666533</c:v>
                </c:pt>
                <c:pt idx="1496">
                  <c:v>24.933333333333199</c:v>
                </c:pt>
                <c:pt idx="1497">
                  <c:v>24.949999999999864</c:v>
                </c:pt>
                <c:pt idx="1498">
                  <c:v>24.96666666666653</c:v>
                </c:pt>
                <c:pt idx="1499">
                  <c:v>24.983333333333196</c:v>
                </c:pt>
                <c:pt idx="1500">
                  <c:v>24.999999999999861</c:v>
                </c:pt>
                <c:pt idx="1501">
                  <c:v>25.016666666666527</c:v>
                </c:pt>
                <c:pt idx="1502">
                  <c:v>25.033333333333193</c:v>
                </c:pt>
                <c:pt idx="1503">
                  <c:v>25.049999999999859</c:v>
                </c:pt>
                <c:pt idx="1504">
                  <c:v>25.066666666666524</c:v>
                </c:pt>
                <c:pt idx="1505">
                  <c:v>25.08333333333319</c:v>
                </c:pt>
                <c:pt idx="1506">
                  <c:v>25.099999999999856</c:v>
                </c:pt>
                <c:pt idx="1507">
                  <c:v>25.116666666666521</c:v>
                </c:pt>
                <c:pt idx="1508">
                  <c:v>25.133333333333187</c:v>
                </c:pt>
                <c:pt idx="1509">
                  <c:v>25.149999999999853</c:v>
                </c:pt>
                <c:pt idx="1510">
                  <c:v>25.166666666666519</c:v>
                </c:pt>
                <c:pt idx="1511">
                  <c:v>25.183333333333184</c:v>
                </c:pt>
                <c:pt idx="1512">
                  <c:v>25.19999999999985</c:v>
                </c:pt>
                <c:pt idx="1513">
                  <c:v>25.216666666666516</c:v>
                </c:pt>
                <c:pt idx="1514">
                  <c:v>25.233333333333182</c:v>
                </c:pt>
                <c:pt idx="1515">
                  <c:v>25.249999999999847</c:v>
                </c:pt>
                <c:pt idx="1516">
                  <c:v>25.266666666666513</c:v>
                </c:pt>
                <c:pt idx="1517">
                  <c:v>25.283333333333179</c:v>
                </c:pt>
                <c:pt idx="1518">
                  <c:v>25.299999999999844</c:v>
                </c:pt>
                <c:pt idx="1519">
                  <c:v>25.31666666666651</c:v>
                </c:pt>
                <c:pt idx="1520">
                  <c:v>25.333333333333176</c:v>
                </c:pt>
                <c:pt idx="1521">
                  <c:v>25.349999999999842</c:v>
                </c:pt>
                <c:pt idx="1522">
                  <c:v>25.366666666666507</c:v>
                </c:pt>
                <c:pt idx="1523">
                  <c:v>25.383333333333173</c:v>
                </c:pt>
                <c:pt idx="1524">
                  <c:v>25.399999999999839</c:v>
                </c:pt>
                <c:pt idx="1525">
                  <c:v>25.416666666666504</c:v>
                </c:pt>
                <c:pt idx="1526">
                  <c:v>25.43333333333317</c:v>
                </c:pt>
                <c:pt idx="1527">
                  <c:v>25.449999999999836</c:v>
                </c:pt>
                <c:pt idx="1528">
                  <c:v>25.466666666666502</c:v>
                </c:pt>
                <c:pt idx="1529">
                  <c:v>25.483333333333167</c:v>
                </c:pt>
                <c:pt idx="1530">
                  <c:v>25.499999999999833</c:v>
                </c:pt>
                <c:pt idx="1531">
                  <c:v>25.516666666666499</c:v>
                </c:pt>
                <c:pt idx="1532">
                  <c:v>25.533333333333164</c:v>
                </c:pt>
                <c:pt idx="1533">
                  <c:v>25.54999999999983</c:v>
                </c:pt>
                <c:pt idx="1534">
                  <c:v>25.566666666666496</c:v>
                </c:pt>
                <c:pt idx="1535">
                  <c:v>25.583333333333162</c:v>
                </c:pt>
                <c:pt idx="1536">
                  <c:v>25.599999999999827</c:v>
                </c:pt>
                <c:pt idx="1537">
                  <c:v>25.616666666666493</c:v>
                </c:pt>
                <c:pt idx="1538">
                  <c:v>25.633333333333159</c:v>
                </c:pt>
                <c:pt idx="1539">
                  <c:v>25.649999999999824</c:v>
                </c:pt>
                <c:pt idx="1540">
                  <c:v>25.66666666666649</c:v>
                </c:pt>
                <c:pt idx="1541">
                  <c:v>25.683333333333156</c:v>
                </c:pt>
                <c:pt idx="1542">
                  <c:v>25.699999999999822</c:v>
                </c:pt>
                <c:pt idx="1543">
                  <c:v>25.716666666666487</c:v>
                </c:pt>
                <c:pt idx="1544">
                  <c:v>25.733333333333153</c:v>
                </c:pt>
                <c:pt idx="1545">
                  <c:v>25.749999999999819</c:v>
                </c:pt>
                <c:pt idx="1546">
                  <c:v>25.766666666666485</c:v>
                </c:pt>
                <c:pt idx="1547">
                  <c:v>25.78333333333315</c:v>
                </c:pt>
                <c:pt idx="1548">
                  <c:v>25.799999999999816</c:v>
                </c:pt>
                <c:pt idx="1549">
                  <c:v>25.816666666666482</c:v>
                </c:pt>
                <c:pt idx="1550">
                  <c:v>25.833333333333147</c:v>
                </c:pt>
                <c:pt idx="1551">
                  <c:v>25.849999999999813</c:v>
                </c:pt>
                <c:pt idx="1552">
                  <c:v>25.866666666666479</c:v>
                </c:pt>
                <c:pt idx="1553">
                  <c:v>25.883333333333145</c:v>
                </c:pt>
                <c:pt idx="1554">
                  <c:v>25.89999999999981</c:v>
                </c:pt>
                <c:pt idx="1555">
                  <c:v>25.916666666666476</c:v>
                </c:pt>
                <c:pt idx="1556">
                  <c:v>25.933333333333142</c:v>
                </c:pt>
                <c:pt idx="1557">
                  <c:v>25.949999999999807</c:v>
                </c:pt>
                <c:pt idx="1558">
                  <c:v>25.966666666666473</c:v>
                </c:pt>
                <c:pt idx="1559">
                  <c:v>25.983333333333139</c:v>
                </c:pt>
                <c:pt idx="1560">
                  <c:v>25.999999999999805</c:v>
                </c:pt>
                <c:pt idx="1561">
                  <c:v>26.01666666666647</c:v>
                </c:pt>
                <c:pt idx="1562">
                  <c:v>26.033333333333136</c:v>
                </c:pt>
                <c:pt idx="1563">
                  <c:v>26.049999999999802</c:v>
                </c:pt>
                <c:pt idx="1564">
                  <c:v>26.066666666666467</c:v>
                </c:pt>
                <c:pt idx="1565">
                  <c:v>26.083333333333133</c:v>
                </c:pt>
                <c:pt idx="1566">
                  <c:v>26.099999999999799</c:v>
                </c:pt>
                <c:pt idx="1567">
                  <c:v>26.116666666666465</c:v>
                </c:pt>
                <c:pt idx="1568">
                  <c:v>26.13333333333313</c:v>
                </c:pt>
                <c:pt idx="1569">
                  <c:v>26.149999999999796</c:v>
                </c:pt>
                <c:pt idx="1570">
                  <c:v>26.166666666666462</c:v>
                </c:pt>
                <c:pt idx="1571">
                  <c:v>26.183333333333128</c:v>
                </c:pt>
                <c:pt idx="1572">
                  <c:v>26.199999999999793</c:v>
                </c:pt>
                <c:pt idx="1573">
                  <c:v>26.216666666666459</c:v>
                </c:pt>
                <c:pt idx="1574">
                  <c:v>26.233333333333125</c:v>
                </c:pt>
                <c:pt idx="1575">
                  <c:v>26.24999999999979</c:v>
                </c:pt>
                <c:pt idx="1576">
                  <c:v>26.266666666666456</c:v>
                </c:pt>
                <c:pt idx="1577">
                  <c:v>26.283333333333122</c:v>
                </c:pt>
                <c:pt idx="1578">
                  <c:v>26.299999999999788</c:v>
                </c:pt>
                <c:pt idx="1579">
                  <c:v>26.316666666666453</c:v>
                </c:pt>
                <c:pt idx="1580">
                  <c:v>26.333333333333119</c:v>
                </c:pt>
                <c:pt idx="1581">
                  <c:v>26.349999999999785</c:v>
                </c:pt>
                <c:pt idx="1582">
                  <c:v>26.36666666666645</c:v>
                </c:pt>
                <c:pt idx="1583">
                  <c:v>26.383333333333116</c:v>
                </c:pt>
                <c:pt idx="1584">
                  <c:v>26.399999999999782</c:v>
                </c:pt>
                <c:pt idx="1585">
                  <c:v>26.416666666666448</c:v>
                </c:pt>
                <c:pt idx="1586">
                  <c:v>26.433333333333113</c:v>
                </c:pt>
                <c:pt idx="1587">
                  <c:v>26.449999999999779</c:v>
                </c:pt>
                <c:pt idx="1588">
                  <c:v>26.466666666666445</c:v>
                </c:pt>
                <c:pt idx="1589">
                  <c:v>26.48333333333311</c:v>
                </c:pt>
                <c:pt idx="1590">
                  <c:v>26.499999999999776</c:v>
                </c:pt>
                <c:pt idx="1591">
                  <c:v>26.516666666666442</c:v>
                </c:pt>
                <c:pt idx="1592">
                  <c:v>26.533333333333108</c:v>
                </c:pt>
                <c:pt idx="1593">
                  <c:v>26.549999999999773</c:v>
                </c:pt>
                <c:pt idx="1594">
                  <c:v>26.566666666666439</c:v>
                </c:pt>
                <c:pt idx="1595">
                  <c:v>26.583333333333105</c:v>
                </c:pt>
                <c:pt idx="1596">
                  <c:v>26.59999999999977</c:v>
                </c:pt>
                <c:pt idx="1597">
                  <c:v>26.616666666666436</c:v>
                </c:pt>
                <c:pt idx="1598">
                  <c:v>26.633333333333102</c:v>
                </c:pt>
                <c:pt idx="1599">
                  <c:v>26.649999999999768</c:v>
                </c:pt>
                <c:pt idx="1600">
                  <c:v>26.666666666666433</c:v>
                </c:pt>
                <c:pt idx="1601">
                  <c:v>26.683333333333099</c:v>
                </c:pt>
                <c:pt idx="1602">
                  <c:v>26.699999999999765</c:v>
                </c:pt>
                <c:pt idx="1603">
                  <c:v>26.716666666666431</c:v>
                </c:pt>
                <c:pt idx="1604">
                  <c:v>26.733333333333096</c:v>
                </c:pt>
                <c:pt idx="1605">
                  <c:v>26.749999999999762</c:v>
                </c:pt>
                <c:pt idx="1606">
                  <c:v>26.766666666666428</c:v>
                </c:pt>
                <c:pt idx="1607">
                  <c:v>26.783333333333093</c:v>
                </c:pt>
                <c:pt idx="1608">
                  <c:v>26.799999999999759</c:v>
                </c:pt>
                <c:pt idx="1609">
                  <c:v>26.816666666666425</c:v>
                </c:pt>
                <c:pt idx="1610">
                  <c:v>26.833333333333091</c:v>
                </c:pt>
                <c:pt idx="1611">
                  <c:v>26.849999999999756</c:v>
                </c:pt>
                <c:pt idx="1612">
                  <c:v>26.866666666666422</c:v>
                </c:pt>
                <c:pt idx="1613">
                  <c:v>26.883333333333088</c:v>
                </c:pt>
                <c:pt idx="1614">
                  <c:v>26.899999999999753</c:v>
                </c:pt>
                <c:pt idx="1615">
                  <c:v>26.916666666666419</c:v>
                </c:pt>
                <c:pt idx="1616">
                  <c:v>26.933333333333085</c:v>
                </c:pt>
                <c:pt idx="1617">
                  <c:v>26.949999999999751</c:v>
                </c:pt>
                <c:pt idx="1618">
                  <c:v>26.966666666666416</c:v>
                </c:pt>
                <c:pt idx="1619">
                  <c:v>26.983333333333082</c:v>
                </c:pt>
                <c:pt idx="1620">
                  <c:v>26.999999999999748</c:v>
                </c:pt>
                <c:pt idx="1621">
                  <c:v>27.016666666666413</c:v>
                </c:pt>
                <c:pt idx="1622">
                  <c:v>27.033333333333079</c:v>
                </c:pt>
                <c:pt idx="1623">
                  <c:v>27.049999999999745</c:v>
                </c:pt>
                <c:pt idx="1624">
                  <c:v>27.066666666666411</c:v>
                </c:pt>
                <c:pt idx="1625">
                  <c:v>27.083333333333076</c:v>
                </c:pt>
                <c:pt idx="1626">
                  <c:v>27.099999999999742</c:v>
                </c:pt>
                <c:pt idx="1627">
                  <c:v>27.116666666666408</c:v>
                </c:pt>
                <c:pt idx="1628">
                  <c:v>27.133333333333074</c:v>
                </c:pt>
                <c:pt idx="1629">
                  <c:v>27.149999999999739</c:v>
                </c:pt>
                <c:pt idx="1630">
                  <c:v>27.166666666666405</c:v>
                </c:pt>
                <c:pt idx="1631">
                  <c:v>27.183333333333071</c:v>
                </c:pt>
                <c:pt idx="1632">
                  <c:v>27.199999999999736</c:v>
                </c:pt>
                <c:pt idx="1633">
                  <c:v>27.216666666666402</c:v>
                </c:pt>
                <c:pt idx="1634">
                  <c:v>27.233333333333068</c:v>
                </c:pt>
                <c:pt idx="1635">
                  <c:v>27.249999999999734</c:v>
                </c:pt>
                <c:pt idx="1636">
                  <c:v>27.266666666666399</c:v>
                </c:pt>
                <c:pt idx="1637">
                  <c:v>27.283333333333065</c:v>
                </c:pt>
                <c:pt idx="1638">
                  <c:v>27.299999999999731</c:v>
                </c:pt>
                <c:pt idx="1639">
                  <c:v>27.316666666666396</c:v>
                </c:pt>
                <c:pt idx="1640">
                  <c:v>27.333333333333062</c:v>
                </c:pt>
                <c:pt idx="1641">
                  <c:v>27.349999999999728</c:v>
                </c:pt>
                <c:pt idx="1642">
                  <c:v>27.366666666666394</c:v>
                </c:pt>
                <c:pt idx="1643">
                  <c:v>27.383333333333059</c:v>
                </c:pt>
                <c:pt idx="1644">
                  <c:v>27.399999999999725</c:v>
                </c:pt>
                <c:pt idx="1645">
                  <c:v>27.416666666666391</c:v>
                </c:pt>
                <c:pt idx="1646">
                  <c:v>27.433333333333056</c:v>
                </c:pt>
                <c:pt idx="1647">
                  <c:v>27.449999999999722</c:v>
                </c:pt>
                <c:pt idx="1648">
                  <c:v>27.466666666666388</c:v>
                </c:pt>
                <c:pt idx="1649">
                  <c:v>27.483333333333054</c:v>
                </c:pt>
                <c:pt idx="1650">
                  <c:v>27.499999999999719</c:v>
                </c:pt>
                <c:pt idx="1651">
                  <c:v>27.516666666666385</c:v>
                </c:pt>
                <c:pt idx="1652">
                  <c:v>27.533333333333051</c:v>
                </c:pt>
                <c:pt idx="1653">
                  <c:v>27.549999999999716</c:v>
                </c:pt>
                <c:pt idx="1654">
                  <c:v>27.566666666666382</c:v>
                </c:pt>
                <c:pt idx="1655">
                  <c:v>27.583333333333048</c:v>
                </c:pt>
                <c:pt idx="1656">
                  <c:v>27.599999999999714</c:v>
                </c:pt>
                <c:pt idx="1657">
                  <c:v>27.616666666666379</c:v>
                </c:pt>
                <c:pt idx="1658">
                  <c:v>27.633333333333045</c:v>
                </c:pt>
                <c:pt idx="1659">
                  <c:v>27.649999999999711</c:v>
                </c:pt>
                <c:pt idx="1660">
                  <c:v>27.666666666666377</c:v>
                </c:pt>
                <c:pt idx="1661">
                  <c:v>27.683333333333042</c:v>
                </c:pt>
                <c:pt idx="1662">
                  <c:v>27.699999999999708</c:v>
                </c:pt>
                <c:pt idx="1663">
                  <c:v>27.716666666666374</c:v>
                </c:pt>
                <c:pt idx="1664">
                  <c:v>27.733333333333039</c:v>
                </c:pt>
                <c:pt idx="1665">
                  <c:v>27.749999999999705</c:v>
                </c:pt>
                <c:pt idx="1666">
                  <c:v>27.766666666666371</c:v>
                </c:pt>
                <c:pt idx="1667">
                  <c:v>27.783333333333037</c:v>
                </c:pt>
                <c:pt idx="1668">
                  <c:v>27.799999999999702</c:v>
                </c:pt>
                <c:pt idx="1669">
                  <c:v>27.816666666666368</c:v>
                </c:pt>
                <c:pt idx="1670">
                  <c:v>27.833333333333034</c:v>
                </c:pt>
                <c:pt idx="1671">
                  <c:v>27.849999999999699</c:v>
                </c:pt>
                <c:pt idx="1672">
                  <c:v>27.866666666666365</c:v>
                </c:pt>
                <c:pt idx="1673">
                  <c:v>27.883333333333031</c:v>
                </c:pt>
                <c:pt idx="1674">
                  <c:v>27.899999999999697</c:v>
                </c:pt>
                <c:pt idx="1675">
                  <c:v>27.916666666666362</c:v>
                </c:pt>
                <c:pt idx="1676">
                  <c:v>27.933333333333028</c:v>
                </c:pt>
                <c:pt idx="1677">
                  <c:v>27.949999999999694</c:v>
                </c:pt>
                <c:pt idx="1678">
                  <c:v>27.966666666666359</c:v>
                </c:pt>
                <c:pt idx="1679">
                  <c:v>27.983333333333025</c:v>
                </c:pt>
                <c:pt idx="1680">
                  <c:v>27.999999999999691</c:v>
                </c:pt>
                <c:pt idx="1681">
                  <c:v>28.016666666666357</c:v>
                </c:pt>
                <c:pt idx="1682">
                  <c:v>28.033333333333022</c:v>
                </c:pt>
                <c:pt idx="1683">
                  <c:v>28.049999999999688</c:v>
                </c:pt>
                <c:pt idx="1684">
                  <c:v>28.066666666666354</c:v>
                </c:pt>
                <c:pt idx="1685">
                  <c:v>28.08333333333302</c:v>
                </c:pt>
                <c:pt idx="1686">
                  <c:v>28.099999999999685</c:v>
                </c:pt>
                <c:pt idx="1687">
                  <c:v>28.116666666666351</c:v>
                </c:pt>
                <c:pt idx="1688">
                  <c:v>28.133333333333017</c:v>
                </c:pt>
                <c:pt idx="1689">
                  <c:v>28.149999999999682</c:v>
                </c:pt>
                <c:pt idx="1690">
                  <c:v>28.166666666666348</c:v>
                </c:pt>
                <c:pt idx="1691">
                  <c:v>28.183333333333014</c:v>
                </c:pt>
                <c:pt idx="1692">
                  <c:v>28.19999999999968</c:v>
                </c:pt>
                <c:pt idx="1693">
                  <c:v>28.216666666666345</c:v>
                </c:pt>
                <c:pt idx="1694">
                  <c:v>28.233333333333011</c:v>
                </c:pt>
                <c:pt idx="1695">
                  <c:v>28.249999999999677</c:v>
                </c:pt>
                <c:pt idx="1696">
                  <c:v>28.266666666666342</c:v>
                </c:pt>
                <c:pt idx="1697">
                  <c:v>28.283333333333008</c:v>
                </c:pt>
                <c:pt idx="1698">
                  <c:v>28.299999999999674</c:v>
                </c:pt>
                <c:pt idx="1699">
                  <c:v>28.31666666666634</c:v>
                </c:pt>
                <c:pt idx="1700">
                  <c:v>28.333333333333005</c:v>
                </c:pt>
                <c:pt idx="1701">
                  <c:v>28.349999999999671</c:v>
                </c:pt>
                <c:pt idx="1702">
                  <c:v>28.366666666666337</c:v>
                </c:pt>
                <c:pt idx="1703">
                  <c:v>28.383333333333002</c:v>
                </c:pt>
                <c:pt idx="1704">
                  <c:v>28.399999999999668</c:v>
                </c:pt>
                <c:pt idx="1705">
                  <c:v>28.416666666666334</c:v>
                </c:pt>
                <c:pt idx="1706">
                  <c:v>28.433333333333</c:v>
                </c:pt>
                <c:pt idx="1707">
                  <c:v>28.449999999999665</c:v>
                </c:pt>
                <c:pt idx="1708">
                  <c:v>28.466666666666331</c:v>
                </c:pt>
                <c:pt idx="1709">
                  <c:v>28.483333333332997</c:v>
                </c:pt>
                <c:pt idx="1710">
                  <c:v>28.499999999999662</c:v>
                </c:pt>
                <c:pt idx="1711">
                  <c:v>28.516666666666328</c:v>
                </c:pt>
                <c:pt idx="1712">
                  <c:v>28.533333333332994</c:v>
                </c:pt>
                <c:pt idx="1713">
                  <c:v>28.54999999999966</c:v>
                </c:pt>
                <c:pt idx="1714">
                  <c:v>28.566666666666325</c:v>
                </c:pt>
                <c:pt idx="1715">
                  <c:v>28.583333333332991</c:v>
                </c:pt>
                <c:pt idx="1716">
                  <c:v>28.599999999999657</c:v>
                </c:pt>
                <c:pt idx="1717">
                  <c:v>28.616666666666323</c:v>
                </c:pt>
                <c:pt idx="1718">
                  <c:v>28.633333333332988</c:v>
                </c:pt>
                <c:pt idx="1719">
                  <c:v>28.649999999999654</c:v>
                </c:pt>
                <c:pt idx="1720">
                  <c:v>28.66666666666632</c:v>
                </c:pt>
                <c:pt idx="1721">
                  <c:v>28.683333333332985</c:v>
                </c:pt>
                <c:pt idx="1722">
                  <c:v>28.699999999999651</c:v>
                </c:pt>
                <c:pt idx="1723">
                  <c:v>28.716666666666317</c:v>
                </c:pt>
                <c:pt idx="1724">
                  <c:v>28.733333333332983</c:v>
                </c:pt>
                <c:pt idx="1725">
                  <c:v>28.749999999999648</c:v>
                </c:pt>
                <c:pt idx="1726">
                  <c:v>28.766666666666314</c:v>
                </c:pt>
                <c:pt idx="1727">
                  <c:v>28.78333333333298</c:v>
                </c:pt>
                <c:pt idx="1728">
                  <c:v>28.799999999999645</c:v>
                </c:pt>
                <c:pt idx="1729">
                  <c:v>28.816666666666311</c:v>
                </c:pt>
                <c:pt idx="1730">
                  <c:v>28.833333333332977</c:v>
                </c:pt>
                <c:pt idx="1731">
                  <c:v>28.849999999999643</c:v>
                </c:pt>
                <c:pt idx="1732">
                  <c:v>28.866666666666308</c:v>
                </c:pt>
                <c:pt idx="1733">
                  <c:v>28.883333333332974</c:v>
                </c:pt>
                <c:pt idx="1734">
                  <c:v>28.89999999999964</c:v>
                </c:pt>
                <c:pt idx="1735">
                  <c:v>28.916666666666305</c:v>
                </c:pt>
                <c:pt idx="1736">
                  <c:v>28.933333333332971</c:v>
                </c:pt>
                <c:pt idx="1737">
                  <c:v>28.949999999999637</c:v>
                </c:pt>
                <c:pt idx="1738">
                  <c:v>28.966666666666303</c:v>
                </c:pt>
                <c:pt idx="1739">
                  <c:v>28.983333333332968</c:v>
                </c:pt>
                <c:pt idx="1740">
                  <c:v>28.999999999999634</c:v>
                </c:pt>
                <c:pt idx="1741">
                  <c:v>29.0166666666663</c:v>
                </c:pt>
                <c:pt idx="1742">
                  <c:v>29.033333333332966</c:v>
                </c:pt>
                <c:pt idx="1743">
                  <c:v>29.049999999999631</c:v>
                </c:pt>
                <c:pt idx="1744">
                  <c:v>29.066666666666297</c:v>
                </c:pt>
                <c:pt idx="1745">
                  <c:v>29.083333333332963</c:v>
                </c:pt>
                <c:pt idx="1746">
                  <c:v>29.099999999999628</c:v>
                </c:pt>
                <c:pt idx="1747">
                  <c:v>29.116666666666294</c:v>
                </c:pt>
                <c:pt idx="1748">
                  <c:v>29.13333333333296</c:v>
                </c:pt>
                <c:pt idx="1749">
                  <c:v>29.149999999999626</c:v>
                </c:pt>
                <c:pt idx="1750">
                  <c:v>29.166666666666291</c:v>
                </c:pt>
                <c:pt idx="1751">
                  <c:v>29.183333333332957</c:v>
                </c:pt>
                <c:pt idx="1752">
                  <c:v>29.199999999999623</c:v>
                </c:pt>
                <c:pt idx="1753">
                  <c:v>29.216666666666288</c:v>
                </c:pt>
                <c:pt idx="1754">
                  <c:v>29.233333333332954</c:v>
                </c:pt>
                <c:pt idx="1755">
                  <c:v>29.24999999999962</c:v>
                </c:pt>
                <c:pt idx="1756">
                  <c:v>29.266666666666286</c:v>
                </c:pt>
                <c:pt idx="1757">
                  <c:v>29.283333333332951</c:v>
                </c:pt>
                <c:pt idx="1758">
                  <c:v>29.299999999999617</c:v>
                </c:pt>
                <c:pt idx="1759">
                  <c:v>29.316666666666283</c:v>
                </c:pt>
                <c:pt idx="1760">
                  <c:v>29.333333333332948</c:v>
                </c:pt>
                <c:pt idx="1761">
                  <c:v>29.349999999999614</c:v>
                </c:pt>
                <c:pt idx="1762">
                  <c:v>29.36666666666628</c:v>
                </c:pt>
                <c:pt idx="1763">
                  <c:v>29.383333333332946</c:v>
                </c:pt>
                <c:pt idx="1764">
                  <c:v>29.399999999999611</c:v>
                </c:pt>
                <c:pt idx="1765">
                  <c:v>29.416666666666277</c:v>
                </c:pt>
                <c:pt idx="1766">
                  <c:v>29.433333333332943</c:v>
                </c:pt>
                <c:pt idx="1767">
                  <c:v>29.449999999999608</c:v>
                </c:pt>
                <c:pt idx="1768">
                  <c:v>29.466666666666274</c:v>
                </c:pt>
                <c:pt idx="1769">
                  <c:v>29.48333333333294</c:v>
                </c:pt>
                <c:pt idx="1770">
                  <c:v>29.499999999999606</c:v>
                </c:pt>
                <c:pt idx="1771">
                  <c:v>29.516666666666271</c:v>
                </c:pt>
                <c:pt idx="1772">
                  <c:v>29.533333333332937</c:v>
                </c:pt>
                <c:pt idx="1773">
                  <c:v>29.549999999999603</c:v>
                </c:pt>
                <c:pt idx="1774">
                  <c:v>29.566666666666269</c:v>
                </c:pt>
                <c:pt idx="1775">
                  <c:v>29.583333333332934</c:v>
                </c:pt>
                <c:pt idx="1776">
                  <c:v>29.5999999999996</c:v>
                </c:pt>
                <c:pt idx="1777">
                  <c:v>29.616666666666266</c:v>
                </c:pt>
                <c:pt idx="1778">
                  <c:v>29.633333333332931</c:v>
                </c:pt>
                <c:pt idx="1779">
                  <c:v>29.649999999999597</c:v>
                </c:pt>
                <c:pt idx="1780">
                  <c:v>29.666666666666263</c:v>
                </c:pt>
                <c:pt idx="1781">
                  <c:v>29.683333333332929</c:v>
                </c:pt>
                <c:pt idx="1782">
                  <c:v>29.699999999999594</c:v>
                </c:pt>
                <c:pt idx="1783">
                  <c:v>29.71666666666626</c:v>
                </c:pt>
                <c:pt idx="1784">
                  <c:v>29.733333333332926</c:v>
                </c:pt>
                <c:pt idx="1785">
                  <c:v>29.749999999999591</c:v>
                </c:pt>
                <c:pt idx="1786">
                  <c:v>29.766666666666257</c:v>
                </c:pt>
                <c:pt idx="1787">
                  <c:v>29.783333333332923</c:v>
                </c:pt>
                <c:pt idx="1788">
                  <c:v>29.799999999999589</c:v>
                </c:pt>
                <c:pt idx="1789">
                  <c:v>29.816666666666254</c:v>
                </c:pt>
                <c:pt idx="1790">
                  <c:v>29.83333333333292</c:v>
                </c:pt>
                <c:pt idx="1791">
                  <c:v>29.849999999999586</c:v>
                </c:pt>
                <c:pt idx="1792">
                  <c:v>29.866666666666251</c:v>
                </c:pt>
                <c:pt idx="1793">
                  <c:v>29.883333333332917</c:v>
                </c:pt>
                <c:pt idx="1794">
                  <c:v>29.899999999999583</c:v>
                </c:pt>
                <c:pt idx="1795">
                  <c:v>29.916666666666249</c:v>
                </c:pt>
                <c:pt idx="1796">
                  <c:v>29.933333333332914</c:v>
                </c:pt>
                <c:pt idx="1797">
                  <c:v>29.94999999999958</c:v>
                </c:pt>
                <c:pt idx="1798">
                  <c:v>29.966666666666246</c:v>
                </c:pt>
                <c:pt idx="1799">
                  <c:v>29.983333333332912</c:v>
                </c:pt>
                <c:pt idx="1800">
                  <c:v>29.999999999999577</c:v>
                </c:pt>
                <c:pt idx="1801">
                  <c:v>30.016666666666243</c:v>
                </c:pt>
                <c:pt idx="1802">
                  <c:v>30.033333333332909</c:v>
                </c:pt>
                <c:pt idx="1803">
                  <c:v>30.049999999999574</c:v>
                </c:pt>
                <c:pt idx="1804">
                  <c:v>30.06666666666624</c:v>
                </c:pt>
                <c:pt idx="1805">
                  <c:v>30.083333333332906</c:v>
                </c:pt>
                <c:pt idx="1806">
                  <c:v>30.099999999999572</c:v>
                </c:pt>
                <c:pt idx="1807">
                  <c:v>30.116666666666237</c:v>
                </c:pt>
                <c:pt idx="1808">
                  <c:v>30.133333333332903</c:v>
                </c:pt>
                <c:pt idx="1809">
                  <c:v>30.149999999999569</c:v>
                </c:pt>
                <c:pt idx="1810">
                  <c:v>30.166666666666234</c:v>
                </c:pt>
                <c:pt idx="1811">
                  <c:v>30.1833333333329</c:v>
                </c:pt>
                <c:pt idx="1812">
                  <c:v>30.199999999999566</c:v>
                </c:pt>
                <c:pt idx="1813">
                  <c:v>30.216666666666232</c:v>
                </c:pt>
                <c:pt idx="1814">
                  <c:v>30.233333333332897</c:v>
                </c:pt>
                <c:pt idx="1815">
                  <c:v>30.249999999999563</c:v>
                </c:pt>
                <c:pt idx="1816">
                  <c:v>30.266666666666229</c:v>
                </c:pt>
                <c:pt idx="1817">
                  <c:v>30.283333333332894</c:v>
                </c:pt>
                <c:pt idx="1818">
                  <c:v>30.29999999999956</c:v>
                </c:pt>
                <c:pt idx="1819">
                  <c:v>30.316666666666226</c:v>
                </c:pt>
                <c:pt idx="1820">
                  <c:v>30.333333333332892</c:v>
                </c:pt>
                <c:pt idx="1821">
                  <c:v>30.349999999999557</c:v>
                </c:pt>
                <c:pt idx="1822">
                  <c:v>30.366666666666223</c:v>
                </c:pt>
                <c:pt idx="1823">
                  <c:v>30.383333333332889</c:v>
                </c:pt>
                <c:pt idx="1824">
                  <c:v>30.399999999999554</c:v>
                </c:pt>
                <c:pt idx="1825">
                  <c:v>30.41666666666622</c:v>
                </c:pt>
                <c:pt idx="1826">
                  <c:v>30.433333333332886</c:v>
                </c:pt>
                <c:pt idx="1827">
                  <c:v>30.449999999999552</c:v>
                </c:pt>
                <c:pt idx="1828">
                  <c:v>30.466666666666217</c:v>
                </c:pt>
                <c:pt idx="1829">
                  <c:v>30.483333333332883</c:v>
                </c:pt>
                <c:pt idx="1830">
                  <c:v>30.499999999999549</c:v>
                </c:pt>
                <c:pt idx="1831">
                  <c:v>30.516666666666215</c:v>
                </c:pt>
                <c:pt idx="1832">
                  <c:v>30.53333333333288</c:v>
                </c:pt>
                <c:pt idx="1833">
                  <c:v>30.549999999999546</c:v>
                </c:pt>
                <c:pt idx="1834">
                  <c:v>30.566666666666212</c:v>
                </c:pt>
                <c:pt idx="1835">
                  <c:v>30.583333333332877</c:v>
                </c:pt>
                <c:pt idx="1836">
                  <c:v>30.599999999999543</c:v>
                </c:pt>
                <c:pt idx="1837">
                  <c:v>30.616666666666209</c:v>
                </c:pt>
                <c:pt idx="1838">
                  <c:v>30.633333333332875</c:v>
                </c:pt>
                <c:pt idx="1839">
                  <c:v>30.64999999999954</c:v>
                </c:pt>
                <c:pt idx="1840">
                  <c:v>30.666666666666206</c:v>
                </c:pt>
                <c:pt idx="1841">
                  <c:v>30.683333333332872</c:v>
                </c:pt>
                <c:pt idx="1842">
                  <c:v>30.699999999999537</c:v>
                </c:pt>
                <c:pt idx="1843">
                  <c:v>30.716666666666203</c:v>
                </c:pt>
                <c:pt idx="1844">
                  <c:v>30.733333333332869</c:v>
                </c:pt>
                <c:pt idx="1845">
                  <c:v>30.749999999999535</c:v>
                </c:pt>
                <c:pt idx="1846">
                  <c:v>30.7666666666662</c:v>
                </c:pt>
                <c:pt idx="1847">
                  <c:v>30.783333333332866</c:v>
                </c:pt>
                <c:pt idx="1848">
                  <c:v>30.799999999999532</c:v>
                </c:pt>
                <c:pt idx="1849">
                  <c:v>30.816666666666197</c:v>
                </c:pt>
                <c:pt idx="1850">
                  <c:v>30.833333333332863</c:v>
                </c:pt>
                <c:pt idx="1851">
                  <c:v>30.849999999999529</c:v>
                </c:pt>
                <c:pt idx="1852">
                  <c:v>30.866666666666195</c:v>
                </c:pt>
                <c:pt idx="1853">
                  <c:v>30.88333333333286</c:v>
                </c:pt>
                <c:pt idx="1854">
                  <c:v>30.899999999999526</c:v>
                </c:pt>
                <c:pt idx="1855">
                  <c:v>30.916666666666192</c:v>
                </c:pt>
                <c:pt idx="1856">
                  <c:v>30.933333333332858</c:v>
                </c:pt>
                <c:pt idx="1857">
                  <c:v>30.949999999999523</c:v>
                </c:pt>
                <c:pt idx="1858">
                  <c:v>30.966666666666189</c:v>
                </c:pt>
                <c:pt idx="1859">
                  <c:v>30.983333333332855</c:v>
                </c:pt>
                <c:pt idx="1860">
                  <c:v>30.99999999999952</c:v>
                </c:pt>
                <c:pt idx="1861">
                  <c:v>31.016666666666186</c:v>
                </c:pt>
                <c:pt idx="1862">
                  <c:v>31.033333333332852</c:v>
                </c:pt>
                <c:pt idx="1863">
                  <c:v>31.049999999999518</c:v>
                </c:pt>
                <c:pt idx="1864">
                  <c:v>31.066666666666183</c:v>
                </c:pt>
                <c:pt idx="1865">
                  <c:v>31.083333333332849</c:v>
                </c:pt>
                <c:pt idx="1866">
                  <c:v>31.099999999999515</c:v>
                </c:pt>
                <c:pt idx="1867">
                  <c:v>31.11666666666618</c:v>
                </c:pt>
                <c:pt idx="1868">
                  <c:v>31.133333333332846</c:v>
                </c:pt>
                <c:pt idx="1869">
                  <c:v>31.149999999999512</c:v>
                </c:pt>
                <c:pt idx="1870">
                  <c:v>31.166666666666178</c:v>
                </c:pt>
                <c:pt idx="1871">
                  <c:v>31.183333333332843</c:v>
                </c:pt>
                <c:pt idx="1872">
                  <c:v>31.199999999999509</c:v>
                </c:pt>
                <c:pt idx="1873">
                  <c:v>31.216666666666175</c:v>
                </c:pt>
                <c:pt idx="1874">
                  <c:v>31.23333333333284</c:v>
                </c:pt>
                <c:pt idx="1875">
                  <c:v>31.249999999999506</c:v>
                </c:pt>
                <c:pt idx="1876">
                  <c:v>31.266666666666172</c:v>
                </c:pt>
                <c:pt idx="1877">
                  <c:v>31.283333333332838</c:v>
                </c:pt>
                <c:pt idx="1878">
                  <c:v>31.299999999999503</c:v>
                </c:pt>
                <c:pt idx="1879">
                  <c:v>31.316666666666169</c:v>
                </c:pt>
                <c:pt idx="1880">
                  <c:v>31.333333333332835</c:v>
                </c:pt>
                <c:pt idx="1881">
                  <c:v>31.3499999999995</c:v>
                </c:pt>
                <c:pt idx="1882">
                  <c:v>31.366666666666166</c:v>
                </c:pt>
                <c:pt idx="1883">
                  <c:v>31.383333333332832</c:v>
                </c:pt>
                <c:pt idx="1884">
                  <c:v>31.399999999999498</c:v>
                </c:pt>
                <c:pt idx="1885">
                  <c:v>31.416666666666163</c:v>
                </c:pt>
                <c:pt idx="1886">
                  <c:v>31.433333333332829</c:v>
                </c:pt>
                <c:pt idx="1887">
                  <c:v>31.449999999999495</c:v>
                </c:pt>
                <c:pt idx="1888">
                  <c:v>31.466666666666161</c:v>
                </c:pt>
                <c:pt idx="1889">
                  <c:v>31.483333333332826</c:v>
                </c:pt>
                <c:pt idx="1890">
                  <c:v>31.499999999999492</c:v>
                </c:pt>
                <c:pt idx="1891">
                  <c:v>31.516666666666158</c:v>
                </c:pt>
                <c:pt idx="1892">
                  <c:v>31.533333333332823</c:v>
                </c:pt>
                <c:pt idx="1893">
                  <c:v>31.549999999999489</c:v>
                </c:pt>
                <c:pt idx="1894">
                  <c:v>31.566666666666155</c:v>
                </c:pt>
                <c:pt idx="1895">
                  <c:v>31.583333333332821</c:v>
                </c:pt>
                <c:pt idx="1896">
                  <c:v>31.599999999999486</c:v>
                </c:pt>
                <c:pt idx="1897">
                  <c:v>31.616666666666152</c:v>
                </c:pt>
                <c:pt idx="1898">
                  <c:v>31.633333333332818</c:v>
                </c:pt>
                <c:pt idx="1899">
                  <c:v>31.649999999999483</c:v>
                </c:pt>
                <c:pt idx="1900">
                  <c:v>31.666666666666149</c:v>
                </c:pt>
                <c:pt idx="1901">
                  <c:v>31.683333333332815</c:v>
                </c:pt>
                <c:pt idx="1902">
                  <c:v>31.699999999999481</c:v>
                </c:pt>
                <c:pt idx="1903">
                  <c:v>31.716666666666146</c:v>
                </c:pt>
                <c:pt idx="1904">
                  <c:v>31.733333333332812</c:v>
                </c:pt>
                <c:pt idx="1905">
                  <c:v>31.749999999999478</c:v>
                </c:pt>
                <c:pt idx="1906">
                  <c:v>31.766666666666143</c:v>
                </c:pt>
                <c:pt idx="1907">
                  <c:v>31.783333333332809</c:v>
                </c:pt>
                <c:pt idx="1908">
                  <c:v>31.799999999999475</c:v>
                </c:pt>
                <c:pt idx="1909">
                  <c:v>31.816666666666141</c:v>
                </c:pt>
                <c:pt idx="1910">
                  <c:v>31.833333333332806</c:v>
                </c:pt>
                <c:pt idx="1911">
                  <c:v>31.849999999999472</c:v>
                </c:pt>
                <c:pt idx="1912">
                  <c:v>31.866666666666138</c:v>
                </c:pt>
                <c:pt idx="1913">
                  <c:v>31.883333333332804</c:v>
                </c:pt>
                <c:pt idx="1914">
                  <c:v>31.899999999999469</c:v>
                </c:pt>
                <c:pt idx="1915">
                  <c:v>31.916666666666135</c:v>
                </c:pt>
                <c:pt idx="1916">
                  <c:v>31.933333333332801</c:v>
                </c:pt>
                <c:pt idx="1917">
                  <c:v>31.949999999999466</c:v>
                </c:pt>
                <c:pt idx="1918">
                  <c:v>31.966666666666132</c:v>
                </c:pt>
                <c:pt idx="1919">
                  <c:v>31.983333333332798</c:v>
                </c:pt>
                <c:pt idx="1920">
                  <c:v>31.999999999999464</c:v>
                </c:pt>
                <c:pt idx="1921">
                  <c:v>32.016666666666133</c:v>
                </c:pt>
                <c:pt idx="1922">
                  <c:v>32.033333333332799</c:v>
                </c:pt>
                <c:pt idx="1923">
                  <c:v>32.049999999999464</c:v>
                </c:pt>
                <c:pt idx="1924">
                  <c:v>32.06666666666613</c:v>
                </c:pt>
                <c:pt idx="1925">
                  <c:v>32.083333333332796</c:v>
                </c:pt>
                <c:pt idx="1926">
                  <c:v>32.099999999999461</c:v>
                </c:pt>
                <c:pt idx="1927">
                  <c:v>32.116666666666127</c:v>
                </c:pt>
                <c:pt idx="1928">
                  <c:v>32.133333333332793</c:v>
                </c:pt>
                <c:pt idx="1929">
                  <c:v>32.149999999999459</c:v>
                </c:pt>
                <c:pt idx="1930">
                  <c:v>32.166666666666124</c:v>
                </c:pt>
                <c:pt idx="1931">
                  <c:v>32.18333333333279</c:v>
                </c:pt>
                <c:pt idx="1932">
                  <c:v>32.199999999999456</c:v>
                </c:pt>
                <c:pt idx="1933">
                  <c:v>32.216666666666121</c:v>
                </c:pt>
                <c:pt idx="1934">
                  <c:v>32.233333333332787</c:v>
                </c:pt>
                <c:pt idx="1935">
                  <c:v>32.249999999999453</c:v>
                </c:pt>
                <c:pt idx="1936">
                  <c:v>32.266666666666119</c:v>
                </c:pt>
                <c:pt idx="1937">
                  <c:v>32.283333333332784</c:v>
                </c:pt>
                <c:pt idx="1938">
                  <c:v>32.29999999999945</c:v>
                </c:pt>
                <c:pt idx="1939">
                  <c:v>32.316666666666116</c:v>
                </c:pt>
                <c:pt idx="1940">
                  <c:v>32.333333333332781</c:v>
                </c:pt>
                <c:pt idx="1941">
                  <c:v>32.349999999999447</c:v>
                </c:pt>
                <c:pt idx="1942">
                  <c:v>32.366666666666113</c:v>
                </c:pt>
                <c:pt idx="1943">
                  <c:v>32.383333333332779</c:v>
                </c:pt>
                <c:pt idx="1944">
                  <c:v>32.399999999999444</c:v>
                </c:pt>
                <c:pt idx="1945">
                  <c:v>32.41666666666611</c:v>
                </c:pt>
                <c:pt idx="1946">
                  <c:v>32.433333333332776</c:v>
                </c:pt>
                <c:pt idx="1947">
                  <c:v>32.449999999999442</c:v>
                </c:pt>
                <c:pt idx="1948">
                  <c:v>32.466666666666107</c:v>
                </c:pt>
                <c:pt idx="1949">
                  <c:v>32.483333333332773</c:v>
                </c:pt>
                <c:pt idx="1950">
                  <c:v>32.499999999999439</c:v>
                </c:pt>
                <c:pt idx="1951">
                  <c:v>32.516666666666104</c:v>
                </c:pt>
                <c:pt idx="1952">
                  <c:v>32.53333333333277</c:v>
                </c:pt>
                <c:pt idx="1953">
                  <c:v>32.549999999999436</c:v>
                </c:pt>
                <c:pt idx="1954">
                  <c:v>32.566666666666102</c:v>
                </c:pt>
                <c:pt idx="1955">
                  <c:v>32.583333333332767</c:v>
                </c:pt>
                <c:pt idx="1956">
                  <c:v>32.599999999999433</c:v>
                </c:pt>
                <c:pt idx="1957">
                  <c:v>32.616666666666099</c:v>
                </c:pt>
                <c:pt idx="1958">
                  <c:v>32.633333333332764</c:v>
                </c:pt>
                <c:pt idx="1959">
                  <c:v>32.64999999999943</c:v>
                </c:pt>
                <c:pt idx="1960">
                  <c:v>32.666666666666096</c:v>
                </c:pt>
                <c:pt idx="1961">
                  <c:v>32.683333333332762</c:v>
                </c:pt>
                <c:pt idx="1962">
                  <c:v>32.699999999999427</c:v>
                </c:pt>
                <c:pt idx="1963">
                  <c:v>32.716666666666093</c:v>
                </c:pt>
                <c:pt idx="1964">
                  <c:v>32.733333333332759</c:v>
                </c:pt>
                <c:pt idx="1965">
                  <c:v>32.749999999999424</c:v>
                </c:pt>
                <c:pt idx="1966">
                  <c:v>32.76666666666609</c:v>
                </c:pt>
                <c:pt idx="1967">
                  <c:v>32.783333333332756</c:v>
                </c:pt>
                <c:pt idx="1968">
                  <c:v>32.799999999999422</c:v>
                </c:pt>
                <c:pt idx="1969">
                  <c:v>32.816666666666087</c:v>
                </c:pt>
                <c:pt idx="1970">
                  <c:v>32.833333333332753</c:v>
                </c:pt>
                <c:pt idx="1971">
                  <c:v>32.849999999999419</c:v>
                </c:pt>
                <c:pt idx="1972">
                  <c:v>32.866666666666084</c:v>
                </c:pt>
                <c:pt idx="1973">
                  <c:v>32.88333333333275</c:v>
                </c:pt>
                <c:pt idx="1974">
                  <c:v>32.899999999999416</c:v>
                </c:pt>
                <c:pt idx="1975">
                  <c:v>32.916666666666082</c:v>
                </c:pt>
                <c:pt idx="1976">
                  <c:v>32.933333333332747</c:v>
                </c:pt>
                <c:pt idx="1977">
                  <c:v>32.949999999999413</c:v>
                </c:pt>
                <c:pt idx="1978">
                  <c:v>32.966666666666079</c:v>
                </c:pt>
                <c:pt idx="1979">
                  <c:v>32.983333333332745</c:v>
                </c:pt>
                <c:pt idx="1980">
                  <c:v>32.99999999999941</c:v>
                </c:pt>
                <c:pt idx="1981">
                  <c:v>33.016666666666076</c:v>
                </c:pt>
                <c:pt idx="1982">
                  <c:v>33.033333333332742</c:v>
                </c:pt>
                <c:pt idx="1983">
                  <c:v>33.049999999999407</c:v>
                </c:pt>
                <c:pt idx="1984">
                  <c:v>33.066666666666073</c:v>
                </c:pt>
                <c:pt idx="1985">
                  <c:v>33.083333333332739</c:v>
                </c:pt>
                <c:pt idx="1986">
                  <c:v>33.099999999999405</c:v>
                </c:pt>
                <c:pt idx="1987">
                  <c:v>33.11666666666607</c:v>
                </c:pt>
                <c:pt idx="1988">
                  <c:v>33.133333333332736</c:v>
                </c:pt>
                <c:pt idx="1989">
                  <c:v>33.149999999999402</c:v>
                </c:pt>
                <c:pt idx="1990">
                  <c:v>33.166666666666067</c:v>
                </c:pt>
                <c:pt idx="1991">
                  <c:v>33.183333333332733</c:v>
                </c:pt>
                <c:pt idx="1992">
                  <c:v>33.199999999999399</c:v>
                </c:pt>
                <c:pt idx="1993">
                  <c:v>33.216666666666065</c:v>
                </c:pt>
                <c:pt idx="1994">
                  <c:v>33.23333333333273</c:v>
                </c:pt>
                <c:pt idx="1995">
                  <c:v>33.249999999999396</c:v>
                </c:pt>
                <c:pt idx="1996">
                  <c:v>33.266666666666062</c:v>
                </c:pt>
                <c:pt idx="1997">
                  <c:v>33.283333333332727</c:v>
                </c:pt>
                <c:pt idx="1998">
                  <c:v>33.299999999999393</c:v>
                </c:pt>
                <c:pt idx="1999">
                  <c:v>33.316666666666059</c:v>
                </c:pt>
                <c:pt idx="2000">
                  <c:v>33.333333333332725</c:v>
                </c:pt>
                <c:pt idx="2001">
                  <c:v>33.34999999999939</c:v>
                </c:pt>
                <c:pt idx="2002">
                  <c:v>33.366666666666056</c:v>
                </c:pt>
                <c:pt idx="2003">
                  <c:v>33.383333333332722</c:v>
                </c:pt>
                <c:pt idx="2004">
                  <c:v>33.399999999999388</c:v>
                </c:pt>
                <c:pt idx="2005">
                  <c:v>33.416666666666053</c:v>
                </c:pt>
                <c:pt idx="2006">
                  <c:v>33.433333333332719</c:v>
                </c:pt>
                <c:pt idx="2007">
                  <c:v>33.449999999999385</c:v>
                </c:pt>
                <c:pt idx="2008">
                  <c:v>33.46666666666605</c:v>
                </c:pt>
                <c:pt idx="2009">
                  <c:v>33.483333333332716</c:v>
                </c:pt>
                <c:pt idx="2010">
                  <c:v>33.499999999999382</c:v>
                </c:pt>
                <c:pt idx="2011">
                  <c:v>33.516666666666048</c:v>
                </c:pt>
                <c:pt idx="2012">
                  <c:v>33.533333333332713</c:v>
                </c:pt>
                <c:pt idx="2013">
                  <c:v>33.549999999999379</c:v>
                </c:pt>
                <c:pt idx="2014">
                  <c:v>33.566666666666045</c:v>
                </c:pt>
                <c:pt idx="2015">
                  <c:v>33.58333333333271</c:v>
                </c:pt>
                <c:pt idx="2016">
                  <c:v>33.599999999999376</c:v>
                </c:pt>
                <c:pt idx="2017">
                  <c:v>33.616666666666042</c:v>
                </c:pt>
                <c:pt idx="2018">
                  <c:v>33.633333333332708</c:v>
                </c:pt>
                <c:pt idx="2019">
                  <c:v>33.649999999999373</c:v>
                </c:pt>
                <c:pt idx="2020">
                  <c:v>33.666666666666039</c:v>
                </c:pt>
                <c:pt idx="2021">
                  <c:v>33.683333333332705</c:v>
                </c:pt>
                <c:pt idx="2022">
                  <c:v>33.69999999999937</c:v>
                </c:pt>
                <c:pt idx="2023">
                  <c:v>33.716666666666036</c:v>
                </c:pt>
                <c:pt idx="2024">
                  <c:v>33.733333333332702</c:v>
                </c:pt>
                <c:pt idx="2025">
                  <c:v>33.749999999999368</c:v>
                </c:pt>
                <c:pt idx="2026">
                  <c:v>33.766666666666033</c:v>
                </c:pt>
                <c:pt idx="2027">
                  <c:v>33.783333333332699</c:v>
                </c:pt>
                <c:pt idx="2028">
                  <c:v>33.799999999999365</c:v>
                </c:pt>
                <c:pt idx="2029">
                  <c:v>33.81666666666603</c:v>
                </c:pt>
                <c:pt idx="2030">
                  <c:v>33.833333333332696</c:v>
                </c:pt>
                <c:pt idx="2031">
                  <c:v>33.849999999999362</c:v>
                </c:pt>
                <c:pt idx="2032">
                  <c:v>33.866666666666028</c:v>
                </c:pt>
                <c:pt idx="2033">
                  <c:v>33.883333333332693</c:v>
                </c:pt>
                <c:pt idx="2034">
                  <c:v>33.899999999999359</c:v>
                </c:pt>
                <c:pt idx="2035">
                  <c:v>33.916666666666025</c:v>
                </c:pt>
                <c:pt idx="2036">
                  <c:v>33.933333333332691</c:v>
                </c:pt>
                <c:pt idx="2037">
                  <c:v>33.949999999999356</c:v>
                </c:pt>
                <c:pt idx="2038">
                  <c:v>33.966666666666022</c:v>
                </c:pt>
                <c:pt idx="2039">
                  <c:v>33.983333333332688</c:v>
                </c:pt>
                <c:pt idx="2040">
                  <c:v>33.999999999999353</c:v>
                </c:pt>
                <c:pt idx="2041">
                  <c:v>34.016666666666019</c:v>
                </c:pt>
                <c:pt idx="2042">
                  <c:v>34.033333333332685</c:v>
                </c:pt>
                <c:pt idx="2043">
                  <c:v>34.049999999999351</c:v>
                </c:pt>
                <c:pt idx="2044">
                  <c:v>34.066666666666016</c:v>
                </c:pt>
                <c:pt idx="2045">
                  <c:v>34.083333333332682</c:v>
                </c:pt>
                <c:pt idx="2046">
                  <c:v>34.099999999999348</c:v>
                </c:pt>
                <c:pt idx="2047">
                  <c:v>34.116666666666013</c:v>
                </c:pt>
                <c:pt idx="2048">
                  <c:v>34.133333333332679</c:v>
                </c:pt>
                <c:pt idx="2049">
                  <c:v>34.149999999999345</c:v>
                </c:pt>
                <c:pt idx="2050">
                  <c:v>34.166666666666011</c:v>
                </c:pt>
                <c:pt idx="2051">
                  <c:v>34.183333333332676</c:v>
                </c:pt>
                <c:pt idx="2052">
                  <c:v>34.199999999999342</c:v>
                </c:pt>
                <c:pt idx="2053">
                  <c:v>34.216666666666008</c:v>
                </c:pt>
                <c:pt idx="2054">
                  <c:v>34.233333333332673</c:v>
                </c:pt>
                <c:pt idx="2055">
                  <c:v>34.249999999999339</c:v>
                </c:pt>
                <c:pt idx="2056">
                  <c:v>34.266666666666005</c:v>
                </c:pt>
                <c:pt idx="2057">
                  <c:v>34.283333333332671</c:v>
                </c:pt>
                <c:pt idx="2058">
                  <c:v>34.299999999999336</c:v>
                </c:pt>
                <c:pt idx="2059">
                  <c:v>34.316666666666002</c:v>
                </c:pt>
                <c:pt idx="2060">
                  <c:v>34.333333333332668</c:v>
                </c:pt>
                <c:pt idx="2061">
                  <c:v>34.349999999999334</c:v>
                </c:pt>
                <c:pt idx="2062">
                  <c:v>34.366666666665999</c:v>
                </c:pt>
                <c:pt idx="2063">
                  <c:v>34.383333333332665</c:v>
                </c:pt>
                <c:pt idx="2064">
                  <c:v>34.399999999999331</c:v>
                </c:pt>
                <c:pt idx="2065">
                  <c:v>34.416666666665996</c:v>
                </c:pt>
                <c:pt idx="2066">
                  <c:v>34.433333333332662</c:v>
                </c:pt>
                <c:pt idx="2067">
                  <c:v>34.449999999999328</c:v>
                </c:pt>
                <c:pt idx="2068">
                  <c:v>34.466666666665994</c:v>
                </c:pt>
                <c:pt idx="2069">
                  <c:v>34.483333333332659</c:v>
                </c:pt>
                <c:pt idx="2070">
                  <c:v>34.499999999999325</c:v>
                </c:pt>
                <c:pt idx="2071">
                  <c:v>34.516666666665991</c:v>
                </c:pt>
                <c:pt idx="2072">
                  <c:v>34.533333333332656</c:v>
                </c:pt>
                <c:pt idx="2073">
                  <c:v>34.549999999999322</c:v>
                </c:pt>
                <c:pt idx="2074">
                  <c:v>34.566666666665988</c:v>
                </c:pt>
                <c:pt idx="2075">
                  <c:v>34.583333333332654</c:v>
                </c:pt>
                <c:pt idx="2076">
                  <c:v>34.599999999999319</c:v>
                </c:pt>
                <c:pt idx="2077">
                  <c:v>34.616666666665985</c:v>
                </c:pt>
                <c:pt idx="2078">
                  <c:v>34.633333333332651</c:v>
                </c:pt>
                <c:pt idx="2079">
                  <c:v>34.649999999999316</c:v>
                </c:pt>
                <c:pt idx="2080">
                  <c:v>34.666666666665982</c:v>
                </c:pt>
                <c:pt idx="2081">
                  <c:v>34.683333333332648</c:v>
                </c:pt>
                <c:pt idx="2082">
                  <c:v>34.699999999999314</c:v>
                </c:pt>
                <c:pt idx="2083">
                  <c:v>34.716666666665979</c:v>
                </c:pt>
                <c:pt idx="2084">
                  <c:v>34.733333333332645</c:v>
                </c:pt>
                <c:pt idx="2085">
                  <c:v>34.749999999999311</c:v>
                </c:pt>
                <c:pt idx="2086">
                  <c:v>34.766666666665976</c:v>
                </c:pt>
                <c:pt idx="2087">
                  <c:v>34.783333333332642</c:v>
                </c:pt>
                <c:pt idx="2088">
                  <c:v>34.799999999999308</c:v>
                </c:pt>
                <c:pt idx="2089">
                  <c:v>34.816666666665974</c:v>
                </c:pt>
                <c:pt idx="2090">
                  <c:v>34.833333333332639</c:v>
                </c:pt>
                <c:pt idx="2091">
                  <c:v>34.849999999999305</c:v>
                </c:pt>
                <c:pt idx="2092">
                  <c:v>34.866666666665971</c:v>
                </c:pt>
                <c:pt idx="2093">
                  <c:v>34.883333333332637</c:v>
                </c:pt>
                <c:pt idx="2094">
                  <c:v>34.899999999999302</c:v>
                </c:pt>
                <c:pt idx="2095">
                  <c:v>34.916666666665968</c:v>
                </c:pt>
                <c:pt idx="2096">
                  <c:v>34.933333333332634</c:v>
                </c:pt>
                <c:pt idx="2097">
                  <c:v>34.949999999999299</c:v>
                </c:pt>
                <c:pt idx="2098">
                  <c:v>34.966666666665965</c:v>
                </c:pt>
                <c:pt idx="2099">
                  <c:v>34.983333333332631</c:v>
                </c:pt>
                <c:pt idx="2100">
                  <c:v>34.999999999999297</c:v>
                </c:pt>
                <c:pt idx="2101">
                  <c:v>35.016666666665962</c:v>
                </c:pt>
                <c:pt idx="2102">
                  <c:v>35.033333333332628</c:v>
                </c:pt>
                <c:pt idx="2103">
                  <c:v>35.049999999999294</c:v>
                </c:pt>
                <c:pt idx="2104">
                  <c:v>35.066666666665959</c:v>
                </c:pt>
                <c:pt idx="2105">
                  <c:v>35.083333333332625</c:v>
                </c:pt>
                <c:pt idx="2106">
                  <c:v>35.099999999999291</c:v>
                </c:pt>
                <c:pt idx="2107">
                  <c:v>35.116666666665957</c:v>
                </c:pt>
                <c:pt idx="2108">
                  <c:v>35.133333333332622</c:v>
                </c:pt>
                <c:pt idx="2109">
                  <c:v>35.149999999999288</c:v>
                </c:pt>
                <c:pt idx="2110">
                  <c:v>35.166666666665954</c:v>
                </c:pt>
                <c:pt idx="2111">
                  <c:v>35.183333333332619</c:v>
                </c:pt>
                <c:pt idx="2112">
                  <c:v>35.199999999999285</c:v>
                </c:pt>
                <c:pt idx="2113">
                  <c:v>35.216666666665951</c:v>
                </c:pt>
                <c:pt idx="2114">
                  <c:v>35.233333333332617</c:v>
                </c:pt>
                <c:pt idx="2115">
                  <c:v>35.249999999999282</c:v>
                </c:pt>
                <c:pt idx="2116">
                  <c:v>35.266666666665948</c:v>
                </c:pt>
                <c:pt idx="2117">
                  <c:v>35.283333333332614</c:v>
                </c:pt>
                <c:pt idx="2118">
                  <c:v>35.29999999999928</c:v>
                </c:pt>
                <c:pt idx="2119">
                  <c:v>35.316666666665945</c:v>
                </c:pt>
                <c:pt idx="2120">
                  <c:v>35.333333333332611</c:v>
                </c:pt>
                <c:pt idx="2121">
                  <c:v>35.349999999999277</c:v>
                </c:pt>
                <c:pt idx="2122">
                  <c:v>35.366666666665942</c:v>
                </c:pt>
                <c:pt idx="2123">
                  <c:v>35.383333333332608</c:v>
                </c:pt>
                <c:pt idx="2124">
                  <c:v>35.399999999999274</c:v>
                </c:pt>
                <c:pt idx="2125">
                  <c:v>35.41666666666594</c:v>
                </c:pt>
                <c:pt idx="2126">
                  <c:v>35.433333333332605</c:v>
                </c:pt>
                <c:pt idx="2127">
                  <c:v>35.449999999999271</c:v>
                </c:pt>
                <c:pt idx="2128">
                  <c:v>35.466666666665937</c:v>
                </c:pt>
                <c:pt idx="2129">
                  <c:v>35.483333333332602</c:v>
                </c:pt>
                <c:pt idx="2130">
                  <c:v>35.499999999999268</c:v>
                </c:pt>
                <c:pt idx="2131">
                  <c:v>35.516666666665934</c:v>
                </c:pt>
                <c:pt idx="2132">
                  <c:v>35.5333333333326</c:v>
                </c:pt>
                <c:pt idx="2133">
                  <c:v>35.549999999999265</c:v>
                </c:pt>
                <c:pt idx="2134">
                  <c:v>35.566666666665931</c:v>
                </c:pt>
                <c:pt idx="2135">
                  <c:v>35.583333333332597</c:v>
                </c:pt>
                <c:pt idx="2136">
                  <c:v>35.599999999999262</c:v>
                </c:pt>
                <c:pt idx="2137">
                  <c:v>35.616666666665928</c:v>
                </c:pt>
                <c:pt idx="2138">
                  <c:v>35.633333333332594</c:v>
                </c:pt>
                <c:pt idx="2139">
                  <c:v>35.64999999999926</c:v>
                </c:pt>
                <c:pt idx="2140">
                  <c:v>35.666666666665925</c:v>
                </c:pt>
                <c:pt idx="2141">
                  <c:v>35.683333333332591</c:v>
                </c:pt>
                <c:pt idx="2142">
                  <c:v>35.699999999999257</c:v>
                </c:pt>
                <c:pt idx="2143">
                  <c:v>35.716666666665922</c:v>
                </c:pt>
                <c:pt idx="2144">
                  <c:v>35.733333333332588</c:v>
                </c:pt>
                <c:pt idx="2145">
                  <c:v>35.749999999999254</c:v>
                </c:pt>
                <c:pt idx="2146">
                  <c:v>35.76666666666592</c:v>
                </c:pt>
                <c:pt idx="2147">
                  <c:v>35.783333333332585</c:v>
                </c:pt>
                <c:pt idx="2148">
                  <c:v>35.799999999999251</c:v>
                </c:pt>
                <c:pt idx="2149">
                  <c:v>35.816666666665917</c:v>
                </c:pt>
                <c:pt idx="2150">
                  <c:v>35.833333333332583</c:v>
                </c:pt>
                <c:pt idx="2151">
                  <c:v>35.849999999999248</c:v>
                </c:pt>
                <c:pt idx="2152">
                  <c:v>35.866666666665914</c:v>
                </c:pt>
                <c:pt idx="2153">
                  <c:v>35.88333333333258</c:v>
                </c:pt>
                <c:pt idx="2154">
                  <c:v>35.899999999999245</c:v>
                </c:pt>
                <c:pt idx="2155">
                  <c:v>35.916666666665911</c:v>
                </c:pt>
                <c:pt idx="2156">
                  <c:v>35.933333333332577</c:v>
                </c:pt>
                <c:pt idx="2157">
                  <c:v>35.949999999999243</c:v>
                </c:pt>
                <c:pt idx="2158">
                  <c:v>35.966666666665908</c:v>
                </c:pt>
                <c:pt idx="2159">
                  <c:v>35.983333333332574</c:v>
                </c:pt>
                <c:pt idx="2160">
                  <c:v>35.99999999999924</c:v>
                </c:pt>
                <c:pt idx="2161">
                  <c:v>36.016666666665905</c:v>
                </c:pt>
                <c:pt idx="2162">
                  <c:v>36.033333333332571</c:v>
                </c:pt>
                <c:pt idx="2163">
                  <c:v>36.049999999999237</c:v>
                </c:pt>
                <c:pt idx="2164">
                  <c:v>36.066666666665903</c:v>
                </c:pt>
                <c:pt idx="2165">
                  <c:v>36.083333333332568</c:v>
                </c:pt>
                <c:pt idx="2166">
                  <c:v>36.099999999999234</c:v>
                </c:pt>
                <c:pt idx="2167">
                  <c:v>36.1166666666659</c:v>
                </c:pt>
                <c:pt idx="2168">
                  <c:v>36.133333333332565</c:v>
                </c:pt>
                <c:pt idx="2169">
                  <c:v>36.149999999999231</c:v>
                </c:pt>
                <c:pt idx="2170">
                  <c:v>36.166666666665897</c:v>
                </c:pt>
                <c:pt idx="2171">
                  <c:v>36.183333333332563</c:v>
                </c:pt>
                <c:pt idx="2172">
                  <c:v>36.199999999999228</c:v>
                </c:pt>
                <c:pt idx="2173">
                  <c:v>36.216666666665894</c:v>
                </c:pt>
                <c:pt idx="2174">
                  <c:v>36.23333333333256</c:v>
                </c:pt>
                <c:pt idx="2175">
                  <c:v>36.249999999999226</c:v>
                </c:pt>
                <c:pt idx="2176">
                  <c:v>36.266666666665891</c:v>
                </c:pt>
                <c:pt idx="2177">
                  <c:v>36.283333333332557</c:v>
                </c:pt>
                <c:pt idx="2178">
                  <c:v>36.299999999999223</c:v>
                </c:pt>
                <c:pt idx="2179">
                  <c:v>36.316666666665888</c:v>
                </c:pt>
                <c:pt idx="2180">
                  <c:v>36.333333333332554</c:v>
                </c:pt>
                <c:pt idx="2181">
                  <c:v>36.34999999999922</c:v>
                </c:pt>
                <c:pt idx="2182">
                  <c:v>36.366666666665886</c:v>
                </c:pt>
                <c:pt idx="2183">
                  <c:v>36.383333333332551</c:v>
                </c:pt>
                <c:pt idx="2184">
                  <c:v>36.399999999999217</c:v>
                </c:pt>
                <c:pt idx="2185">
                  <c:v>36.416666666665883</c:v>
                </c:pt>
                <c:pt idx="2186">
                  <c:v>36.433333333332548</c:v>
                </c:pt>
                <c:pt idx="2187">
                  <c:v>36.449999999999214</c:v>
                </c:pt>
                <c:pt idx="2188">
                  <c:v>36.46666666666588</c:v>
                </c:pt>
                <c:pt idx="2189">
                  <c:v>36.483333333332546</c:v>
                </c:pt>
                <c:pt idx="2190">
                  <c:v>36.499999999999211</c:v>
                </c:pt>
                <c:pt idx="2191">
                  <c:v>36.516666666665877</c:v>
                </c:pt>
                <c:pt idx="2192">
                  <c:v>36.533333333332543</c:v>
                </c:pt>
                <c:pt idx="2193">
                  <c:v>36.549999999999208</c:v>
                </c:pt>
                <c:pt idx="2194">
                  <c:v>36.566666666665874</c:v>
                </c:pt>
                <c:pt idx="2195">
                  <c:v>36.58333333333254</c:v>
                </c:pt>
                <c:pt idx="2196">
                  <c:v>36.599999999999206</c:v>
                </c:pt>
                <c:pt idx="2197">
                  <c:v>36.616666666665871</c:v>
                </c:pt>
                <c:pt idx="2198">
                  <c:v>36.633333333332537</c:v>
                </c:pt>
                <c:pt idx="2199">
                  <c:v>36.649999999999203</c:v>
                </c:pt>
                <c:pt idx="2200">
                  <c:v>36.666666666665868</c:v>
                </c:pt>
                <c:pt idx="2201">
                  <c:v>36.683333333332534</c:v>
                </c:pt>
                <c:pt idx="2202">
                  <c:v>36.6999999999992</c:v>
                </c:pt>
                <c:pt idx="2203">
                  <c:v>36.716666666665866</c:v>
                </c:pt>
                <c:pt idx="2204">
                  <c:v>36.733333333332531</c:v>
                </c:pt>
                <c:pt idx="2205">
                  <c:v>36.749999999999197</c:v>
                </c:pt>
                <c:pt idx="2206">
                  <c:v>36.766666666665863</c:v>
                </c:pt>
                <c:pt idx="2207">
                  <c:v>36.783333333332529</c:v>
                </c:pt>
                <c:pt idx="2208">
                  <c:v>36.799999999999194</c:v>
                </c:pt>
                <c:pt idx="2209">
                  <c:v>36.81666666666586</c:v>
                </c:pt>
                <c:pt idx="2210">
                  <c:v>36.833333333332526</c:v>
                </c:pt>
                <c:pt idx="2211">
                  <c:v>36.849999999999191</c:v>
                </c:pt>
                <c:pt idx="2212">
                  <c:v>36.866666666665857</c:v>
                </c:pt>
                <c:pt idx="2213">
                  <c:v>36.883333333332523</c:v>
                </c:pt>
                <c:pt idx="2214">
                  <c:v>36.899999999999189</c:v>
                </c:pt>
                <c:pt idx="2215">
                  <c:v>36.916666666665854</c:v>
                </c:pt>
                <c:pt idx="2216">
                  <c:v>36.93333333333252</c:v>
                </c:pt>
                <c:pt idx="2217">
                  <c:v>36.949999999999186</c:v>
                </c:pt>
                <c:pt idx="2218">
                  <c:v>36.966666666665851</c:v>
                </c:pt>
                <c:pt idx="2219">
                  <c:v>36.983333333332517</c:v>
                </c:pt>
                <c:pt idx="2220">
                  <c:v>36.999999999999183</c:v>
                </c:pt>
                <c:pt idx="2221">
                  <c:v>37.016666666665849</c:v>
                </c:pt>
                <c:pt idx="2222">
                  <c:v>37.033333333332514</c:v>
                </c:pt>
                <c:pt idx="2223">
                  <c:v>37.04999999999918</c:v>
                </c:pt>
                <c:pt idx="2224">
                  <c:v>37.066666666665846</c:v>
                </c:pt>
                <c:pt idx="2225">
                  <c:v>37.083333333332511</c:v>
                </c:pt>
                <c:pt idx="2226">
                  <c:v>37.099999999999177</c:v>
                </c:pt>
                <c:pt idx="2227">
                  <c:v>37.116666666665843</c:v>
                </c:pt>
                <c:pt idx="2228">
                  <c:v>37.133333333332509</c:v>
                </c:pt>
                <c:pt idx="2229">
                  <c:v>37.149999999999174</c:v>
                </c:pt>
                <c:pt idx="2230">
                  <c:v>37.16666666666584</c:v>
                </c:pt>
                <c:pt idx="2231">
                  <c:v>37.183333333332506</c:v>
                </c:pt>
                <c:pt idx="2232">
                  <c:v>37.199999999999172</c:v>
                </c:pt>
                <c:pt idx="2233">
                  <c:v>37.216666666665837</c:v>
                </c:pt>
                <c:pt idx="2234">
                  <c:v>37.233333333332503</c:v>
                </c:pt>
                <c:pt idx="2235">
                  <c:v>37.249999999999169</c:v>
                </c:pt>
                <c:pt idx="2236">
                  <c:v>37.266666666665834</c:v>
                </c:pt>
                <c:pt idx="2237">
                  <c:v>37.2833333333325</c:v>
                </c:pt>
                <c:pt idx="2238">
                  <c:v>37.299999999999166</c:v>
                </c:pt>
                <c:pt idx="2239">
                  <c:v>37.316666666665832</c:v>
                </c:pt>
                <c:pt idx="2240">
                  <c:v>37.333333333332497</c:v>
                </c:pt>
                <c:pt idx="2241">
                  <c:v>37.349999999999163</c:v>
                </c:pt>
                <c:pt idx="2242">
                  <c:v>37.366666666665829</c:v>
                </c:pt>
                <c:pt idx="2243">
                  <c:v>37.383333333332494</c:v>
                </c:pt>
                <c:pt idx="2244">
                  <c:v>37.39999999999916</c:v>
                </c:pt>
                <c:pt idx="2245">
                  <c:v>37.416666666665826</c:v>
                </c:pt>
                <c:pt idx="2246">
                  <c:v>37.433333333332492</c:v>
                </c:pt>
                <c:pt idx="2247">
                  <c:v>37.449999999999157</c:v>
                </c:pt>
                <c:pt idx="2248">
                  <c:v>37.466666666665823</c:v>
                </c:pt>
                <c:pt idx="2249">
                  <c:v>37.483333333332489</c:v>
                </c:pt>
                <c:pt idx="2250">
                  <c:v>37.499999999999154</c:v>
                </c:pt>
                <c:pt idx="2251">
                  <c:v>37.51666666666582</c:v>
                </c:pt>
                <c:pt idx="2252">
                  <c:v>37.533333333332486</c:v>
                </c:pt>
                <c:pt idx="2253">
                  <c:v>37.549999999999152</c:v>
                </c:pt>
                <c:pt idx="2254">
                  <c:v>37.566666666665817</c:v>
                </c:pt>
                <c:pt idx="2255">
                  <c:v>37.583333333332483</c:v>
                </c:pt>
                <c:pt idx="2256">
                  <c:v>37.599999999999149</c:v>
                </c:pt>
                <c:pt idx="2257">
                  <c:v>37.616666666665814</c:v>
                </c:pt>
                <c:pt idx="2258">
                  <c:v>37.63333333333248</c:v>
                </c:pt>
                <c:pt idx="2259">
                  <c:v>37.649999999999146</c:v>
                </c:pt>
                <c:pt idx="2260">
                  <c:v>37.666666666665812</c:v>
                </c:pt>
                <c:pt idx="2261">
                  <c:v>37.683333333332477</c:v>
                </c:pt>
                <c:pt idx="2262">
                  <c:v>37.699999999999143</c:v>
                </c:pt>
                <c:pt idx="2263">
                  <c:v>37.716666666665809</c:v>
                </c:pt>
                <c:pt idx="2264">
                  <c:v>37.733333333332475</c:v>
                </c:pt>
                <c:pt idx="2265">
                  <c:v>37.74999999999914</c:v>
                </c:pt>
                <c:pt idx="2266">
                  <c:v>37.766666666665806</c:v>
                </c:pt>
                <c:pt idx="2267">
                  <c:v>37.783333333332472</c:v>
                </c:pt>
                <c:pt idx="2268">
                  <c:v>37.799999999999137</c:v>
                </c:pt>
                <c:pt idx="2269">
                  <c:v>37.816666666665803</c:v>
                </c:pt>
                <c:pt idx="2270">
                  <c:v>37.833333333332469</c:v>
                </c:pt>
                <c:pt idx="2271">
                  <c:v>37.849999999999135</c:v>
                </c:pt>
                <c:pt idx="2272">
                  <c:v>37.8666666666658</c:v>
                </c:pt>
                <c:pt idx="2273">
                  <c:v>37.883333333332466</c:v>
                </c:pt>
                <c:pt idx="2274">
                  <c:v>37.899999999999132</c:v>
                </c:pt>
                <c:pt idx="2275">
                  <c:v>37.916666666665797</c:v>
                </c:pt>
                <c:pt idx="2276">
                  <c:v>37.933333333332463</c:v>
                </c:pt>
                <c:pt idx="2277">
                  <c:v>37.949999999999129</c:v>
                </c:pt>
                <c:pt idx="2278">
                  <c:v>37.966666666665795</c:v>
                </c:pt>
                <c:pt idx="2279">
                  <c:v>37.98333333333246</c:v>
                </c:pt>
                <c:pt idx="2280">
                  <c:v>37.999999999999126</c:v>
                </c:pt>
                <c:pt idx="2281">
                  <c:v>38.016666666665792</c:v>
                </c:pt>
                <c:pt idx="2282">
                  <c:v>38.033333333332457</c:v>
                </c:pt>
                <c:pt idx="2283">
                  <c:v>38.049999999999123</c:v>
                </c:pt>
                <c:pt idx="2284">
                  <c:v>38.066666666665789</c:v>
                </c:pt>
                <c:pt idx="2285">
                  <c:v>38.083333333332455</c:v>
                </c:pt>
                <c:pt idx="2286">
                  <c:v>38.09999999999912</c:v>
                </c:pt>
                <c:pt idx="2287">
                  <c:v>38.116666666665786</c:v>
                </c:pt>
                <c:pt idx="2288">
                  <c:v>38.133333333332452</c:v>
                </c:pt>
                <c:pt idx="2289">
                  <c:v>38.149999999999118</c:v>
                </c:pt>
                <c:pt idx="2290">
                  <c:v>38.166666666665783</c:v>
                </c:pt>
                <c:pt idx="2291">
                  <c:v>38.183333333332449</c:v>
                </c:pt>
                <c:pt idx="2292">
                  <c:v>38.199999999999115</c:v>
                </c:pt>
                <c:pt idx="2293">
                  <c:v>38.21666666666578</c:v>
                </c:pt>
                <c:pt idx="2294">
                  <c:v>38.233333333332446</c:v>
                </c:pt>
                <c:pt idx="2295">
                  <c:v>38.249999999999112</c:v>
                </c:pt>
                <c:pt idx="2296">
                  <c:v>38.266666666665778</c:v>
                </c:pt>
                <c:pt idx="2297">
                  <c:v>38.283333333332443</c:v>
                </c:pt>
                <c:pt idx="2298">
                  <c:v>38.299999999999109</c:v>
                </c:pt>
                <c:pt idx="2299">
                  <c:v>38.316666666665775</c:v>
                </c:pt>
                <c:pt idx="2300">
                  <c:v>38.33333333333244</c:v>
                </c:pt>
                <c:pt idx="2301">
                  <c:v>38.349999999999106</c:v>
                </c:pt>
                <c:pt idx="2302">
                  <c:v>38.366666666665772</c:v>
                </c:pt>
                <c:pt idx="2303">
                  <c:v>38.383333333332438</c:v>
                </c:pt>
                <c:pt idx="2304">
                  <c:v>38.399999999999103</c:v>
                </c:pt>
                <c:pt idx="2305">
                  <c:v>38.416666666665769</c:v>
                </c:pt>
                <c:pt idx="2306">
                  <c:v>38.433333333332435</c:v>
                </c:pt>
                <c:pt idx="2307">
                  <c:v>38.4499999999991</c:v>
                </c:pt>
                <c:pt idx="2308">
                  <c:v>38.466666666665766</c:v>
                </c:pt>
                <c:pt idx="2309">
                  <c:v>38.483333333332432</c:v>
                </c:pt>
                <c:pt idx="2310">
                  <c:v>38.499999999999098</c:v>
                </c:pt>
                <c:pt idx="2311">
                  <c:v>38.516666666665763</c:v>
                </c:pt>
                <c:pt idx="2312">
                  <c:v>38.533333333332429</c:v>
                </c:pt>
                <c:pt idx="2313">
                  <c:v>38.549999999999095</c:v>
                </c:pt>
                <c:pt idx="2314">
                  <c:v>38.56666666666576</c:v>
                </c:pt>
                <c:pt idx="2315">
                  <c:v>38.583333333332426</c:v>
                </c:pt>
                <c:pt idx="2316">
                  <c:v>38.599999999999092</c:v>
                </c:pt>
                <c:pt idx="2317">
                  <c:v>38.616666666665758</c:v>
                </c:pt>
                <c:pt idx="2318">
                  <c:v>38.633333333332423</c:v>
                </c:pt>
                <c:pt idx="2319">
                  <c:v>38.649999999999089</c:v>
                </c:pt>
                <c:pt idx="2320">
                  <c:v>38.666666666665755</c:v>
                </c:pt>
                <c:pt idx="2321">
                  <c:v>38.683333333332421</c:v>
                </c:pt>
                <c:pt idx="2322">
                  <c:v>38.699999999999086</c:v>
                </c:pt>
                <c:pt idx="2323">
                  <c:v>38.716666666665752</c:v>
                </c:pt>
                <c:pt idx="2324">
                  <c:v>38.733333333332418</c:v>
                </c:pt>
                <c:pt idx="2325">
                  <c:v>38.749999999999083</c:v>
                </c:pt>
                <c:pt idx="2326">
                  <c:v>38.766666666665749</c:v>
                </c:pt>
                <c:pt idx="2327">
                  <c:v>38.783333333332415</c:v>
                </c:pt>
                <c:pt idx="2328">
                  <c:v>38.799999999999081</c:v>
                </c:pt>
                <c:pt idx="2329">
                  <c:v>38.816666666665746</c:v>
                </c:pt>
                <c:pt idx="2330">
                  <c:v>38.833333333332412</c:v>
                </c:pt>
                <c:pt idx="2331">
                  <c:v>38.849999999999078</c:v>
                </c:pt>
                <c:pt idx="2332">
                  <c:v>38.866666666665743</c:v>
                </c:pt>
                <c:pt idx="2333">
                  <c:v>38.883333333332409</c:v>
                </c:pt>
                <c:pt idx="2334">
                  <c:v>38.899999999999075</c:v>
                </c:pt>
                <c:pt idx="2335">
                  <c:v>38.916666666665741</c:v>
                </c:pt>
                <c:pt idx="2336">
                  <c:v>38.933333333332406</c:v>
                </c:pt>
                <c:pt idx="2337">
                  <c:v>38.949999999999072</c:v>
                </c:pt>
                <c:pt idx="2338">
                  <c:v>38.966666666665738</c:v>
                </c:pt>
                <c:pt idx="2339">
                  <c:v>38.983333333332403</c:v>
                </c:pt>
                <c:pt idx="2340">
                  <c:v>38.999999999999069</c:v>
                </c:pt>
                <c:pt idx="2341">
                  <c:v>39.016666666665735</c:v>
                </c:pt>
                <c:pt idx="2342">
                  <c:v>39.033333333332401</c:v>
                </c:pt>
                <c:pt idx="2343">
                  <c:v>39.049999999999066</c:v>
                </c:pt>
                <c:pt idx="2344">
                  <c:v>39.066666666665732</c:v>
                </c:pt>
                <c:pt idx="2345">
                  <c:v>39.083333333332398</c:v>
                </c:pt>
                <c:pt idx="2346">
                  <c:v>39.099999999999064</c:v>
                </c:pt>
                <c:pt idx="2347">
                  <c:v>39.116666666665729</c:v>
                </c:pt>
                <c:pt idx="2348">
                  <c:v>39.133333333332395</c:v>
                </c:pt>
                <c:pt idx="2349">
                  <c:v>39.149999999999061</c:v>
                </c:pt>
                <c:pt idx="2350">
                  <c:v>39.166666666665726</c:v>
                </c:pt>
                <c:pt idx="2351">
                  <c:v>39.183333333332392</c:v>
                </c:pt>
                <c:pt idx="2352">
                  <c:v>39.199999999999058</c:v>
                </c:pt>
                <c:pt idx="2353">
                  <c:v>39.216666666665724</c:v>
                </c:pt>
                <c:pt idx="2354">
                  <c:v>39.233333333332389</c:v>
                </c:pt>
                <c:pt idx="2355">
                  <c:v>39.249999999999055</c:v>
                </c:pt>
                <c:pt idx="2356">
                  <c:v>39.266666666665721</c:v>
                </c:pt>
                <c:pt idx="2357">
                  <c:v>39.283333333332386</c:v>
                </c:pt>
                <c:pt idx="2358">
                  <c:v>39.299999999999052</c:v>
                </c:pt>
                <c:pt idx="2359">
                  <c:v>39.316666666665718</c:v>
                </c:pt>
                <c:pt idx="2360">
                  <c:v>39.333333333332384</c:v>
                </c:pt>
                <c:pt idx="2361">
                  <c:v>39.349999999999049</c:v>
                </c:pt>
                <c:pt idx="2362">
                  <c:v>39.366666666665715</c:v>
                </c:pt>
                <c:pt idx="2363">
                  <c:v>39.383333333332381</c:v>
                </c:pt>
                <c:pt idx="2364">
                  <c:v>39.399999999999046</c:v>
                </c:pt>
                <c:pt idx="2365">
                  <c:v>39.416666666665712</c:v>
                </c:pt>
                <c:pt idx="2366">
                  <c:v>39.433333333332378</c:v>
                </c:pt>
                <c:pt idx="2367">
                  <c:v>39.449999999999044</c:v>
                </c:pt>
                <c:pt idx="2368">
                  <c:v>39.466666666665709</c:v>
                </c:pt>
                <c:pt idx="2369">
                  <c:v>39.483333333332375</c:v>
                </c:pt>
                <c:pt idx="2370">
                  <c:v>39.499999999999041</c:v>
                </c:pt>
                <c:pt idx="2371">
                  <c:v>39.516666666665706</c:v>
                </c:pt>
                <c:pt idx="2372">
                  <c:v>39.533333333332372</c:v>
                </c:pt>
                <c:pt idx="2373">
                  <c:v>39.549999999999038</c:v>
                </c:pt>
                <c:pt idx="2374">
                  <c:v>39.566666666665704</c:v>
                </c:pt>
                <c:pt idx="2375">
                  <c:v>39.583333333332369</c:v>
                </c:pt>
                <c:pt idx="2376">
                  <c:v>39.599999999999035</c:v>
                </c:pt>
                <c:pt idx="2377">
                  <c:v>39.616666666665701</c:v>
                </c:pt>
                <c:pt idx="2378">
                  <c:v>39.633333333332367</c:v>
                </c:pt>
                <c:pt idx="2379">
                  <c:v>39.649999999999032</c:v>
                </c:pt>
                <c:pt idx="2380">
                  <c:v>39.666666666665698</c:v>
                </c:pt>
                <c:pt idx="2381">
                  <c:v>39.683333333332364</c:v>
                </c:pt>
                <c:pt idx="2382">
                  <c:v>39.699999999999029</c:v>
                </c:pt>
                <c:pt idx="2383">
                  <c:v>39.716666666665695</c:v>
                </c:pt>
                <c:pt idx="2384">
                  <c:v>39.733333333332361</c:v>
                </c:pt>
                <c:pt idx="2385">
                  <c:v>39.749999999999027</c:v>
                </c:pt>
                <c:pt idx="2386">
                  <c:v>39.766666666665692</c:v>
                </c:pt>
                <c:pt idx="2387">
                  <c:v>39.783333333332358</c:v>
                </c:pt>
                <c:pt idx="2388">
                  <c:v>39.799999999999024</c:v>
                </c:pt>
                <c:pt idx="2389">
                  <c:v>39.816666666665689</c:v>
                </c:pt>
                <c:pt idx="2390">
                  <c:v>39.833333333332355</c:v>
                </c:pt>
                <c:pt idx="2391">
                  <c:v>39.849999999999021</c:v>
                </c:pt>
                <c:pt idx="2392">
                  <c:v>39.866666666665687</c:v>
                </c:pt>
                <c:pt idx="2393">
                  <c:v>39.883333333332352</c:v>
                </c:pt>
                <c:pt idx="2394">
                  <c:v>39.899999999999018</c:v>
                </c:pt>
                <c:pt idx="2395">
                  <c:v>39.916666666665684</c:v>
                </c:pt>
                <c:pt idx="2396">
                  <c:v>39.933333333332349</c:v>
                </c:pt>
                <c:pt idx="2397">
                  <c:v>39.949999999999015</c:v>
                </c:pt>
                <c:pt idx="2398">
                  <c:v>39.966666666665681</c:v>
                </c:pt>
                <c:pt idx="2399">
                  <c:v>39.983333333332347</c:v>
                </c:pt>
                <c:pt idx="2400">
                  <c:v>39.999999999999012</c:v>
                </c:pt>
                <c:pt idx="2401">
                  <c:v>40.016666666665678</c:v>
                </c:pt>
                <c:pt idx="2402">
                  <c:v>40.033333333332344</c:v>
                </c:pt>
                <c:pt idx="2403">
                  <c:v>40.04999999999901</c:v>
                </c:pt>
                <c:pt idx="2404">
                  <c:v>40.066666666665675</c:v>
                </c:pt>
                <c:pt idx="2405">
                  <c:v>40.083333333332341</c:v>
                </c:pt>
                <c:pt idx="2406">
                  <c:v>40.099999999999007</c:v>
                </c:pt>
                <c:pt idx="2407">
                  <c:v>40.116666666665672</c:v>
                </c:pt>
                <c:pt idx="2408">
                  <c:v>40.133333333332338</c:v>
                </c:pt>
                <c:pt idx="2409">
                  <c:v>40.149999999999004</c:v>
                </c:pt>
                <c:pt idx="2410">
                  <c:v>40.16666666666567</c:v>
                </c:pt>
                <c:pt idx="2411">
                  <c:v>40.183333333332335</c:v>
                </c:pt>
                <c:pt idx="2412">
                  <c:v>40.199999999999001</c:v>
                </c:pt>
                <c:pt idx="2413">
                  <c:v>40.216666666665667</c:v>
                </c:pt>
                <c:pt idx="2414">
                  <c:v>40.233333333332332</c:v>
                </c:pt>
                <c:pt idx="2415">
                  <c:v>40.249999999998998</c:v>
                </c:pt>
                <c:pt idx="2416">
                  <c:v>40.266666666665664</c:v>
                </c:pt>
                <c:pt idx="2417">
                  <c:v>40.28333333333233</c:v>
                </c:pt>
                <c:pt idx="2418">
                  <c:v>40.299999999998995</c:v>
                </c:pt>
                <c:pt idx="2419">
                  <c:v>40.316666666665661</c:v>
                </c:pt>
                <c:pt idx="2420">
                  <c:v>40.333333333332327</c:v>
                </c:pt>
                <c:pt idx="2421">
                  <c:v>40.349999999998992</c:v>
                </c:pt>
                <c:pt idx="2422">
                  <c:v>40.366666666665658</c:v>
                </c:pt>
                <c:pt idx="2423">
                  <c:v>40.383333333332324</c:v>
                </c:pt>
                <c:pt idx="2424">
                  <c:v>40.39999999999899</c:v>
                </c:pt>
                <c:pt idx="2425">
                  <c:v>40.416666666665655</c:v>
                </c:pt>
                <c:pt idx="2426">
                  <c:v>40.433333333332321</c:v>
                </c:pt>
                <c:pt idx="2427">
                  <c:v>40.449999999998987</c:v>
                </c:pt>
                <c:pt idx="2428">
                  <c:v>40.466666666665652</c:v>
                </c:pt>
                <c:pt idx="2429">
                  <c:v>40.483333333332318</c:v>
                </c:pt>
                <c:pt idx="2430">
                  <c:v>40.499999999998984</c:v>
                </c:pt>
                <c:pt idx="2431">
                  <c:v>40.51666666666565</c:v>
                </c:pt>
                <c:pt idx="2432">
                  <c:v>40.533333333332315</c:v>
                </c:pt>
                <c:pt idx="2433">
                  <c:v>40.549999999998981</c:v>
                </c:pt>
                <c:pt idx="2434">
                  <c:v>40.566666666665647</c:v>
                </c:pt>
                <c:pt idx="2435">
                  <c:v>40.583333333332313</c:v>
                </c:pt>
                <c:pt idx="2436">
                  <c:v>40.599999999998978</c:v>
                </c:pt>
                <c:pt idx="2437">
                  <c:v>40.616666666665644</c:v>
                </c:pt>
                <c:pt idx="2438">
                  <c:v>40.63333333333231</c:v>
                </c:pt>
                <c:pt idx="2439">
                  <c:v>40.649999999998975</c:v>
                </c:pt>
                <c:pt idx="2440">
                  <c:v>40.666666666665641</c:v>
                </c:pt>
                <c:pt idx="2441">
                  <c:v>40.683333333332307</c:v>
                </c:pt>
                <c:pt idx="2442">
                  <c:v>40.699999999998973</c:v>
                </c:pt>
                <c:pt idx="2443">
                  <c:v>40.716666666665638</c:v>
                </c:pt>
                <c:pt idx="2444">
                  <c:v>40.733333333332304</c:v>
                </c:pt>
                <c:pt idx="2445">
                  <c:v>40.74999999999897</c:v>
                </c:pt>
                <c:pt idx="2446">
                  <c:v>40.766666666665635</c:v>
                </c:pt>
                <c:pt idx="2447">
                  <c:v>40.783333333332301</c:v>
                </c:pt>
                <c:pt idx="2448">
                  <c:v>40.799999999998967</c:v>
                </c:pt>
                <c:pt idx="2449">
                  <c:v>40.816666666665633</c:v>
                </c:pt>
                <c:pt idx="2450">
                  <c:v>40.833333333332298</c:v>
                </c:pt>
                <c:pt idx="2451">
                  <c:v>40.849999999998964</c:v>
                </c:pt>
                <c:pt idx="2452">
                  <c:v>40.86666666666563</c:v>
                </c:pt>
                <c:pt idx="2453">
                  <c:v>40.883333333332295</c:v>
                </c:pt>
                <c:pt idx="2454">
                  <c:v>40.899999999998961</c:v>
                </c:pt>
                <c:pt idx="2455">
                  <c:v>40.916666666665627</c:v>
                </c:pt>
                <c:pt idx="2456">
                  <c:v>40.933333333332293</c:v>
                </c:pt>
                <c:pt idx="2457">
                  <c:v>40.949999999998958</c:v>
                </c:pt>
                <c:pt idx="2458">
                  <c:v>40.966666666665624</c:v>
                </c:pt>
                <c:pt idx="2459">
                  <c:v>40.98333333333229</c:v>
                </c:pt>
                <c:pt idx="2460">
                  <c:v>40.999999999998956</c:v>
                </c:pt>
                <c:pt idx="2461">
                  <c:v>41.016666666665621</c:v>
                </c:pt>
                <c:pt idx="2462">
                  <c:v>41.033333333332287</c:v>
                </c:pt>
                <c:pt idx="2463">
                  <c:v>41.049999999998953</c:v>
                </c:pt>
                <c:pt idx="2464">
                  <c:v>41.066666666665618</c:v>
                </c:pt>
                <c:pt idx="2465">
                  <c:v>41.083333333332284</c:v>
                </c:pt>
                <c:pt idx="2466">
                  <c:v>41.09999999999895</c:v>
                </c:pt>
                <c:pt idx="2467">
                  <c:v>41.116666666665616</c:v>
                </c:pt>
                <c:pt idx="2468">
                  <c:v>41.133333333332281</c:v>
                </c:pt>
                <c:pt idx="2469">
                  <c:v>41.149999999998947</c:v>
                </c:pt>
                <c:pt idx="2470">
                  <c:v>41.166666666665613</c:v>
                </c:pt>
                <c:pt idx="2471">
                  <c:v>41.183333333332278</c:v>
                </c:pt>
                <c:pt idx="2472">
                  <c:v>41.199999999998944</c:v>
                </c:pt>
                <c:pt idx="2473">
                  <c:v>41.21666666666561</c:v>
                </c:pt>
                <c:pt idx="2474">
                  <c:v>41.233333333332276</c:v>
                </c:pt>
                <c:pt idx="2475">
                  <c:v>41.249999999998941</c:v>
                </c:pt>
                <c:pt idx="2476">
                  <c:v>41.266666666665607</c:v>
                </c:pt>
                <c:pt idx="2477">
                  <c:v>41.283333333332273</c:v>
                </c:pt>
                <c:pt idx="2478">
                  <c:v>41.299999999998938</c:v>
                </c:pt>
                <c:pt idx="2479">
                  <c:v>41.316666666665604</c:v>
                </c:pt>
                <c:pt idx="2480">
                  <c:v>41.33333333333227</c:v>
                </c:pt>
                <c:pt idx="2481">
                  <c:v>41.349999999998936</c:v>
                </c:pt>
                <c:pt idx="2482">
                  <c:v>41.366666666665601</c:v>
                </c:pt>
                <c:pt idx="2483">
                  <c:v>41.383333333332267</c:v>
                </c:pt>
                <c:pt idx="2484">
                  <c:v>41.399999999998933</c:v>
                </c:pt>
                <c:pt idx="2485">
                  <c:v>41.416666666665598</c:v>
                </c:pt>
                <c:pt idx="2486">
                  <c:v>41.433333333332264</c:v>
                </c:pt>
                <c:pt idx="2487">
                  <c:v>41.44999999999893</c:v>
                </c:pt>
                <c:pt idx="2488">
                  <c:v>41.466666666665596</c:v>
                </c:pt>
                <c:pt idx="2489">
                  <c:v>41.483333333332261</c:v>
                </c:pt>
                <c:pt idx="2490">
                  <c:v>41.499999999998927</c:v>
                </c:pt>
                <c:pt idx="2491">
                  <c:v>41.516666666665593</c:v>
                </c:pt>
                <c:pt idx="2492">
                  <c:v>41.533333333332259</c:v>
                </c:pt>
                <c:pt idx="2493">
                  <c:v>41.549999999998924</c:v>
                </c:pt>
                <c:pt idx="2494">
                  <c:v>41.56666666666559</c:v>
                </c:pt>
                <c:pt idx="2495">
                  <c:v>41.583333333332256</c:v>
                </c:pt>
                <c:pt idx="2496">
                  <c:v>41.599999999998921</c:v>
                </c:pt>
                <c:pt idx="2497">
                  <c:v>41.616666666665587</c:v>
                </c:pt>
                <c:pt idx="2498">
                  <c:v>41.633333333332253</c:v>
                </c:pt>
                <c:pt idx="2499">
                  <c:v>41.649999999998919</c:v>
                </c:pt>
                <c:pt idx="2500">
                  <c:v>41.666666666665584</c:v>
                </c:pt>
                <c:pt idx="2501">
                  <c:v>41.68333333333225</c:v>
                </c:pt>
                <c:pt idx="2502">
                  <c:v>41.699999999998916</c:v>
                </c:pt>
                <c:pt idx="2503">
                  <c:v>41.716666666665581</c:v>
                </c:pt>
                <c:pt idx="2504">
                  <c:v>41.733333333332247</c:v>
                </c:pt>
                <c:pt idx="2505">
                  <c:v>41.749999999998913</c:v>
                </c:pt>
                <c:pt idx="2506">
                  <c:v>41.766666666665579</c:v>
                </c:pt>
                <c:pt idx="2507">
                  <c:v>41.783333333332244</c:v>
                </c:pt>
                <c:pt idx="2508">
                  <c:v>41.79999999999891</c:v>
                </c:pt>
                <c:pt idx="2509">
                  <c:v>41.816666666665576</c:v>
                </c:pt>
                <c:pt idx="2510">
                  <c:v>41.833333333332241</c:v>
                </c:pt>
                <c:pt idx="2511">
                  <c:v>41.849999999998907</c:v>
                </c:pt>
                <c:pt idx="2512">
                  <c:v>41.866666666665573</c:v>
                </c:pt>
                <c:pt idx="2513">
                  <c:v>41.883333333332239</c:v>
                </c:pt>
                <c:pt idx="2514">
                  <c:v>41.899999999998904</c:v>
                </c:pt>
                <c:pt idx="2515">
                  <c:v>41.91666666666557</c:v>
                </c:pt>
                <c:pt idx="2516">
                  <c:v>41.933333333332236</c:v>
                </c:pt>
                <c:pt idx="2517">
                  <c:v>41.949999999998902</c:v>
                </c:pt>
                <c:pt idx="2518">
                  <c:v>41.966666666665567</c:v>
                </c:pt>
                <c:pt idx="2519">
                  <c:v>41.983333333332233</c:v>
                </c:pt>
                <c:pt idx="2520">
                  <c:v>41.999999999998899</c:v>
                </c:pt>
                <c:pt idx="2521">
                  <c:v>42.016666666665564</c:v>
                </c:pt>
                <c:pt idx="2522">
                  <c:v>42.03333333333223</c:v>
                </c:pt>
                <c:pt idx="2523">
                  <c:v>42.049999999998896</c:v>
                </c:pt>
                <c:pt idx="2524">
                  <c:v>42.066666666665562</c:v>
                </c:pt>
                <c:pt idx="2525">
                  <c:v>42.083333333332227</c:v>
                </c:pt>
                <c:pt idx="2526">
                  <c:v>42.099999999998893</c:v>
                </c:pt>
                <c:pt idx="2527">
                  <c:v>42.116666666665559</c:v>
                </c:pt>
                <c:pt idx="2528">
                  <c:v>42.133333333332224</c:v>
                </c:pt>
                <c:pt idx="2529">
                  <c:v>42.14999999999889</c:v>
                </c:pt>
                <c:pt idx="2530">
                  <c:v>42.166666666665556</c:v>
                </c:pt>
                <c:pt idx="2531">
                  <c:v>42.183333333332222</c:v>
                </c:pt>
                <c:pt idx="2532">
                  <c:v>42.199999999998887</c:v>
                </c:pt>
                <c:pt idx="2533">
                  <c:v>42.216666666665553</c:v>
                </c:pt>
                <c:pt idx="2534">
                  <c:v>42.233333333332219</c:v>
                </c:pt>
                <c:pt idx="2535">
                  <c:v>42.249999999998884</c:v>
                </c:pt>
                <c:pt idx="2536">
                  <c:v>42.26666666666555</c:v>
                </c:pt>
                <c:pt idx="2537">
                  <c:v>42.283333333332216</c:v>
                </c:pt>
                <c:pt idx="2538">
                  <c:v>42.299999999998882</c:v>
                </c:pt>
                <c:pt idx="2539">
                  <c:v>42.316666666665547</c:v>
                </c:pt>
                <c:pt idx="2540">
                  <c:v>42.333333333332213</c:v>
                </c:pt>
                <c:pt idx="2541">
                  <c:v>42.349999999998879</c:v>
                </c:pt>
                <c:pt idx="2542">
                  <c:v>42.366666666665544</c:v>
                </c:pt>
                <c:pt idx="2543">
                  <c:v>42.38333333333221</c:v>
                </c:pt>
                <c:pt idx="2544">
                  <c:v>42.399999999998876</c:v>
                </c:pt>
                <c:pt idx="2545">
                  <c:v>42.416666666665542</c:v>
                </c:pt>
                <c:pt idx="2546">
                  <c:v>42.433333333332207</c:v>
                </c:pt>
                <c:pt idx="2547">
                  <c:v>42.449999999998873</c:v>
                </c:pt>
                <c:pt idx="2548">
                  <c:v>42.466666666665539</c:v>
                </c:pt>
                <c:pt idx="2549">
                  <c:v>42.483333333332205</c:v>
                </c:pt>
                <c:pt idx="2550">
                  <c:v>42.49999999999887</c:v>
                </c:pt>
                <c:pt idx="2551">
                  <c:v>42.516666666665536</c:v>
                </c:pt>
                <c:pt idx="2552">
                  <c:v>42.533333333332202</c:v>
                </c:pt>
                <c:pt idx="2553">
                  <c:v>42.549999999998867</c:v>
                </c:pt>
                <c:pt idx="2554">
                  <c:v>42.566666666665533</c:v>
                </c:pt>
                <c:pt idx="2555">
                  <c:v>42.583333333332199</c:v>
                </c:pt>
                <c:pt idx="2556">
                  <c:v>42.599999999998865</c:v>
                </c:pt>
                <c:pt idx="2557">
                  <c:v>42.61666666666553</c:v>
                </c:pt>
                <c:pt idx="2558">
                  <c:v>42.633333333332196</c:v>
                </c:pt>
                <c:pt idx="2559">
                  <c:v>42.649999999998862</c:v>
                </c:pt>
                <c:pt idx="2560">
                  <c:v>42.666666666665527</c:v>
                </c:pt>
                <c:pt idx="2561">
                  <c:v>42.683333333332193</c:v>
                </c:pt>
                <c:pt idx="2562">
                  <c:v>42.699999999998859</c:v>
                </c:pt>
                <c:pt idx="2563">
                  <c:v>42.716666666665525</c:v>
                </c:pt>
                <c:pt idx="2564">
                  <c:v>42.73333333333219</c:v>
                </c:pt>
                <c:pt idx="2565">
                  <c:v>42.749999999998856</c:v>
                </c:pt>
                <c:pt idx="2566">
                  <c:v>42.766666666665522</c:v>
                </c:pt>
                <c:pt idx="2567">
                  <c:v>42.783333333332187</c:v>
                </c:pt>
                <c:pt idx="2568">
                  <c:v>42.799999999998853</c:v>
                </c:pt>
                <c:pt idx="2569">
                  <c:v>42.816666666665519</c:v>
                </c:pt>
                <c:pt idx="2570">
                  <c:v>42.833333333332185</c:v>
                </c:pt>
                <c:pt idx="2571">
                  <c:v>42.84999999999885</c:v>
                </c:pt>
                <c:pt idx="2572">
                  <c:v>42.866666666665516</c:v>
                </c:pt>
                <c:pt idx="2573">
                  <c:v>42.883333333332182</c:v>
                </c:pt>
                <c:pt idx="2574">
                  <c:v>42.899999999998847</c:v>
                </c:pt>
                <c:pt idx="2575">
                  <c:v>42.916666666665513</c:v>
                </c:pt>
                <c:pt idx="2576">
                  <c:v>42.933333333332179</c:v>
                </c:pt>
                <c:pt idx="2577">
                  <c:v>42.949999999998845</c:v>
                </c:pt>
                <c:pt idx="2578">
                  <c:v>42.96666666666551</c:v>
                </c:pt>
                <c:pt idx="2579">
                  <c:v>42.983333333332176</c:v>
                </c:pt>
                <c:pt idx="2580">
                  <c:v>42.999999999998842</c:v>
                </c:pt>
                <c:pt idx="2581">
                  <c:v>43.016666666665508</c:v>
                </c:pt>
                <c:pt idx="2582">
                  <c:v>43.033333333332173</c:v>
                </c:pt>
                <c:pt idx="2583">
                  <c:v>43.049999999998839</c:v>
                </c:pt>
                <c:pt idx="2584">
                  <c:v>43.066666666665505</c:v>
                </c:pt>
                <c:pt idx="2585">
                  <c:v>43.08333333333217</c:v>
                </c:pt>
                <c:pt idx="2586">
                  <c:v>43.099999999998836</c:v>
                </c:pt>
                <c:pt idx="2587">
                  <c:v>43.116666666665502</c:v>
                </c:pt>
                <c:pt idx="2588">
                  <c:v>43.133333333332168</c:v>
                </c:pt>
                <c:pt idx="2589">
                  <c:v>43.149999999998833</c:v>
                </c:pt>
                <c:pt idx="2590">
                  <c:v>43.166666666665499</c:v>
                </c:pt>
                <c:pt idx="2591">
                  <c:v>43.183333333332165</c:v>
                </c:pt>
                <c:pt idx="2592">
                  <c:v>43.19999999999883</c:v>
                </c:pt>
                <c:pt idx="2593">
                  <c:v>43.216666666665496</c:v>
                </c:pt>
                <c:pt idx="2594">
                  <c:v>43.233333333332162</c:v>
                </c:pt>
                <c:pt idx="2595">
                  <c:v>43.249999999998828</c:v>
                </c:pt>
                <c:pt idx="2596">
                  <c:v>43.266666666665493</c:v>
                </c:pt>
                <c:pt idx="2597">
                  <c:v>43.283333333332159</c:v>
                </c:pt>
                <c:pt idx="2598">
                  <c:v>43.299999999998825</c:v>
                </c:pt>
                <c:pt idx="2599">
                  <c:v>43.31666666666549</c:v>
                </c:pt>
                <c:pt idx="2600">
                  <c:v>43.333333333332156</c:v>
                </c:pt>
                <c:pt idx="2601">
                  <c:v>43.349999999998822</c:v>
                </c:pt>
                <c:pt idx="2602">
                  <c:v>43.366666666665488</c:v>
                </c:pt>
                <c:pt idx="2603">
                  <c:v>43.383333333332153</c:v>
                </c:pt>
                <c:pt idx="2604">
                  <c:v>43.399999999998819</c:v>
                </c:pt>
                <c:pt idx="2605">
                  <c:v>43.416666666665485</c:v>
                </c:pt>
                <c:pt idx="2606">
                  <c:v>43.433333333332151</c:v>
                </c:pt>
                <c:pt idx="2607">
                  <c:v>43.449999999998816</c:v>
                </c:pt>
                <c:pt idx="2608">
                  <c:v>43.466666666665482</c:v>
                </c:pt>
                <c:pt idx="2609">
                  <c:v>43.483333333332148</c:v>
                </c:pt>
                <c:pt idx="2610">
                  <c:v>43.499999999998813</c:v>
                </c:pt>
                <c:pt idx="2611">
                  <c:v>43.516666666665479</c:v>
                </c:pt>
                <c:pt idx="2612">
                  <c:v>43.533333333332145</c:v>
                </c:pt>
                <c:pt idx="2613">
                  <c:v>43.549999999998811</c:v>
                </c:pt>
                <c:pt idx="2614">
                  <c:v>43.566666666665476</c:v>
                </c:pt>
                <c:pt idx="2615">
                  <c:v>43.583333333332142</c:v>
                </c:pt>
                <c:pt idx="2616">
                  <c:v>43.599999999998808</c:v>
                </c:pt>
                <c:pt idx="2617">
                  <c:v>43.616666666665473</c:v>
                </c:pt>
                <c:pt idx="2618">
                  <c:v>43.633333333332139</c:v>
                </c:pt>
                <c:pt idx="2619">
                  <c:v>43.649999999998805</c:v>
                </c:pt>
                <c:pt idx="2620">
                  <c:v>43.666666666665471</c:v>
                </c:pt>
                <c:pt idx="2621">
                  <c:v>43.683333333332136</c:v>
                </c:pt>
              </c:numCache>
            </c:numRef>
          </c:xVal>
          <c:yVal>
            <c:numRef>
              <c:f>'Reactor analysis'!$V$3:$V$2625</c:f>
              <c:numCache>
                <c:formatCode>General</c:formatCode>
                <c:ptCount val="2623"/>
                <c:pt idx="59">
                  <c:v>0.5824999999999998</c:v>
                </c:pt>
                <c:pt idx="60">
                  <c:v>0.57999999999999974</c:v>
                </c:pt>
                <c:pt idx="61">
                  <c:v>0.57999999999999985</c:v>
                </c:pt>
                <c:pt idx="62">
                  <c:v>0.57749999999999979</c:v>
                </c:pt>
                <c:pt idx="63">
                  <c:v>0.57499999999999973</c:v>
                </c:pt>
                <c:pt idx="64">
                  <c:v>0.57249999999999968</c:v>
                </c:pt>
                <c:pt idx="65">
                  <c:v>0.56999999999999973</c:v>
                </c:pt>
                <c:pt idx="66">
                  <c:v>0.56999999999999984</c:v>
                </c:pt>
                <c:pt idx="67">
                  <c:v>0.56249999999999989</c:v>
                </c:pt>
                <c:pt idx="68">
                  <c:v>0.58500000000000008</c:v>
                </c:pt>
                <c:pt idx="69">
                  <c:v>0.59249999999999992</c:v>
                </c:pt>
                <c:pt idx="70">
                  <c:v>0.59249999999999992</c:v>
                </c:pt>
                <c:pt idx="71">
                  <c:v>0.59249999999999992</c:v>
                </c:pt>
                <c:pt idx="72">
                  <c:v>0.59499999999999997</c:v>
                </c:pt>
                <c:pt idx="73">
                  <c:v>0.60749999999999993</c:v>
                </c:pt>
                <c:pt idx="74">
                  <c:v>0.61249999999999971</c:v>
                </c:pt>
                <c:pt idx="75">
                  <c:v>0.61499999999999988</c:v>
                </c:pt>
                <c:pt idx="76">
                  <c:v>0.61999999999999977</c:v>
                </c:pt>
                <c:pt idx="77">
                  <c:v>0.61999999999999977</c:v>
                </c:pt>
                <c:pt idx="78">
                  <c:v>0.62249999999999994</c:v>
                </c:pt>
                <c:pt idx="79">
                  <c:v>0.62499999999999978</c:v>
                </c:pt>
                <c:pt idx="80">
                  <c:v>0.62749999999999984</c:v>
                </c:pt>
                <c:pt idx="81">
                  <c:v>0.63249999999999995</c:v>
                </c:pt>
                <c:pt idx="82">
                  <c:v>0.63249999999999995</c:v>
                </c:pt>
                <c:pt idx="83">
                  <c:v>0.63249999999999995</c:v>
                </c:pt>
                <c:pt idx="84">
                  <c:v>0.62999999999999978</c:v>
                </c:pt>
                <c:pt idx="85">
                  <c:v>0.62999999999999978</c:v>
                </c:pt>
                <c:pt idx="86">
                  <c:v>0.62999999999999978</c:v>
                </c:pt>
                <c:pt idx="87">
                  <c:v>0.62749999999999972</c:v>
                </c:pt>
                <c:pt idx="88">
                  <c:v>0.62499999999999978</c:v>
                </c:pt>
                <c:pt idx="89">
                  <c:v>0.62749999999999961</c:v>
                </c:pt>
                <c:pt idx="90">
                  <c:v>0.62749999999999972</c:v>
                </c:pt>
                <c:pt idx="91">
                  <c:v>0.62749999999999972</c:v>
                </c:pt>
                <c:pt idx="92">
                  <c:v>0.62499999999999978</c:v>
                </c:pt>
                <c:pt idx="93">
                  <c:v>0.62499999999999967</c:v>
                </c:pt>
                <c:pt idx="94">
                  <c:v>0.62499999999999978</c:v>
                </c:pt>
                <c:pt idx="95">
                  <c:v>0.62749999999999984</c:v>
                </c:pt>
                <c:pt idx="96">
                  <c:v>0.62999999999999978</c:v>
                </c:pt>
                <c:pt idx="97">
                  <c:v>0.63749999999999984</c:v>
                </c:pt>
                <c:pt idx="98">
                  <c:v>0.64749999999999985</c:v>
                </c:pt>
                <c:pt idx="99">
                  <c:v>0.63500000000000001</c:v>
                </c:pt>
                <c:pt idx="100">
                  <c:v>0.63</c:v>
                </c:pt>
                <c:pt idx="101">
                  <c:v>0.62749999999999995</c:v>
                </c:pt>
                <c:pt idx="102">
                  <c:v>0.625</c:v>
                </c:pt>
                <c:pt idx="103">
                  <c:v>0.625</c:v>
                </c:pt>
                <c:pt idx="104">
                  <c:v>0.63</c:v>
                </c:pt>
                <c:pt idx="105">
                  <c:v>0.63749999999999996</c:v>
                </c:pt>
                <c:pt idx="106">
                  <c:v>0.65</c:v>
                </c:pt>
                <c:pt idx="107">
                  <c:v>0.64750000000000008</c:v>
                </c:pt>
                <c:pt idx="108">
                  <c:v>0.64500000000000002</c:v>
                </c:pt>
                <c:pt idx="109">
                  <c:v>0.64000000000000012</c:v>
                </c:pt>
                <c:pt idx="110">
                  <c:v>0.64250000000000007</c:v>
                </c:pt>
                <c:pt idx="111">
                  <c:v>0.64500000000000024</c:v>
                </c:pt>
                <c:pt idx="112">
                  <c:v>0.64500000000000013</c:v>
                </c:pt>
                <c:pt idx="113">
                  <c:v>0.64750000000000019</c:v>
                </c:pt>
                <c:pt idx="114">
                  <c:v>0.64750000000000019</c:v>
                </c:pt>
                <c:pt idx="115">
                  <c:v>0.65000000000000013</c:v>
                </c:pt>
                <c:pt idx="116">
                  <c:v>0.65000000000000013</c:v>
                </c:pt>
                <c:pt idx="117">
                  <c:v>0.65</c:v>
                </c:pt>
                <c:pt idx="118">
                  <c:v>0.65249999999999997</c:v>
                </c:pt>
                <c:pt idx="119">
                  <c:v>0.65000000000000013</c:v>
                </c:pt>
                <c:pt idx="120">
                  <c:v>0.65</c:v>
                </c:pt>
                <c:pt idx="121">
                  <c:v>0.65000000000000013</c:v>
                </c:pt>
                <c:pt idx="122">
                  <c:v>0.65249999999999997</c:v>
                </c:pt>
                <c:pt idx="123">
                  <c:v>0.65500000000000003</c:v>
                </c:pt>
                <c:pt idx="124">
                  <c:v>0.65750000000000008</c:v>
                </c:pt>
                <c:pt idx="125">
                  <c:v>0.66</c:v>
                </c:pt>
                <c:pt idx="126">
                  <c:v>0.66499999999999992</c:v>
                </c:pt>
                <c:pt idx="127">
                  <c:v>0.67</c:v>
                </c:pt>
                <c:pt idx="128">
                  <c:v>0.64500000000000002</c:v>
                </c:pt>
                <c:pt idx="129">
                  <c:v>0.63</c:v>
                </c:pt>
                <c:pt idx="130">
                  <c:v>0.62999999999999978</c:v>
                </c:pt>
                <c:pt idx="131">
                  <c:v>0.62999999999999978</c:v>
                </c:pt>
                <c:pt idx="132">
                  <c:v>0.61499999999999988</c:v>
                </c:pt>
                <c:pt idx="133">
                  <c:v>0.61499999999999988</c:v>
                </c:pt>
                <c:pt idx="134">
                  <c:v>0.60999999999999988</c:v>
                </c:pt>
                <c:pt idx="135">
                  <c:v>0.60999999999999976</c:v>
                </c:pt>
                <c:pt idx="136">
                  <c:v>0.60749999999999982</c:v>
                </c:pt>
                <c:pt idx="137">
                  <c:v>0.60749999999999993</c:v>
                </c:pt>
                <c:pt idx="138">
                  <c:v>0.60749999999999982</c:v>
                </c:pt>
                <c:pt idx="139">
                  <c:v>0.60499999999999987</c:v>
                </c:pt>
                <c:pt idx="140">
                  <c:v>0.60249999999999981</c:v>
                </c:pt>
                <c:pt idx="141">
                  <c:v>0.59749999999999992</c:v>
                </c:pt>
                <c:pt idx="142">
                  <c:v>0.59749999999999981</c:v>
                </c:pt>
                <c:pt idx="143">
                  <c:v>0.59999999999999976</c:v>
                </c:pt>
                <c:pt idx="144">
                  <c:v>0.6024999999999997</c:v>
                </c:pt>
                <c:pt idx="145">
                  <c:v>0.59999999999999976</c:v>
                </c:pt>
                <c:pt idx="146">
                  <c:v>0.59999999999999976</c:v>
                </c:pt>
                <c:pt idx="147">
                  <c:v>0.6024999999999997</c:v>
                </c:pt>
                <c:pt idx="148">
                  <c:v>0.6024999999999997</c:v>
                </c:pt>
                <c:pt idx="149">
                  <c:v>0.5974999999999997</c:v>
                </c:pt>
                <c:pt idx="150">
                  <c:v>0.59999999999999976</c:v>
                </c:pt>
                <c:pt idx="151">
                  <c:v>0.59999999999999964</c:v>
                </c:pt>
                <c:pt idx="152">
                  <c:v>0.60249999999999959</c:v>
                </c:pt>
                <c:pt idx="153">
                  <c:v>0.59999999999999964</c:v>
                </c:pt>
                <c:pt idx="154">
                  <c:v>0.5974999999999997</c:v>
                </c:pt>
                <c:pt idx="155">
                  <c:v>0.59499999999999964</c:v>
                </c:pt>
                <c:pt idx="156">
                  <c:v>0.59249999999999958</c:v>
                </c:pt>
                <c:pt idx="157">
                  <c:v>0.5874999999999998</c:v>
                </c:pt>
                <c:pt idx="158">
                  <c:v>0.57000000000000006</c:v>
                </c:pt>
                <c:pt idx="159">
                  <c:v>0.58499999999999985</c:v>
                </c:pt>
                <c:pt idx="160">
                  <c:v>0.59249999999999992</c:v>
                </c:pt>
                <c:pt idx="161">
                  <c:v>0.59000000000000008</c:v>
                </c:pt>
                <c:pt idx="162">
                  <c:v>0.59250000000000003</c:v>
                </c:pt>
                <c:pt idx="163">
                  <c:v>0.59</c:v>
                </c:pt>
                <c:pt idx="164">
                  <c:v>0.58250000000000002</c:v>
                </c:pt>
                <c:pt idx="165">
                  <c:v>0.57250000000000012</c:v>
                </c:pt>
                <c:pt idx="166">
                  <c:v>0.56250000000000011</c:v>
                </c:pt>
                <c:pt idx="167">
                  <c:v>0.5675</c:v>
                </c:pt>
                <c:pt idx="168">
                  <c:v>0.56999999999999995</c:v>
                </c:pt>
                <c:pt idx="169">
                  <c:v>0.57499999999999984</c:v>
                </c:pt>
                <c:pt idx="170">
                  <c:v>0.57499999999999996</c:v>
                </c:pt>
                <c:pt idx="171">
                  <c:v>0.57750000000000001</c:v>
                </c:pt>
                <c:pt idx="172">
                  <c:v>0.57499999999999996</c:v>
                </c:pt>
                <c:pt idx="173">
                  <c:v>0.5724999999999999</c:v>
                </c:pt>
                <c:pt idx="174">
                  <c:v>0.57499999999999984</c:v>
                </c:pt>
                <c:pt idx="175">
                  <c:v>0.57250000000000001</c:v>
                </c:pt>
                <c:pt idx="176">
                  <c:v>0.57250000000000001</c:v>
                </c:pt>
                <c:pt idx="177">
                  <c:v>0.56999999999999995</c:v>
                </c:pt>
                <c:pt idx="178">
                  <c:v>0.56999999999999984</c:v>
                </c:pt>
                <c:pt idx="179">
                  <c:v>0.56999999999999984</c:v>
                </c:pt>
                <c:pt idx="180">
                  <c:v>0.5724999999999999</c:v>
                </c:pt>
                <c:pt idx="181">
                  <c:v>0.57249999999999979</c:v>
                </c:pt>
                <c:pt idx="182">
                  <c:v>0.56999999999999984</c:v>
                </c:pt>
                <c:pt idx="183">
                  <c:v>0.56499999999999972</c:v>
                </c:pt>
                <c:pt idx="184">
                  <c:v>0.56249999999999978</c:v>
                </c:pt>
                <c:pt idx="185">
                  <c:v>0.55999999999999994</c:v>
                </c:pt>
                <c:pt idx="186">
                  <c:v>0.55499999999999994</c:v>
                </c:pt>
                <c:pt idx="187">
                  <c:v>0.54500000000000004</c:v>
                </c:pt>
                <c:pt idx="188">
                  <c:v>0.5625</c:v>
                </c:pt>
                <c:pt idx="189">
                  <c:v>0.57499999999999996</c:v>
                </c:pt>
                <c:pt idx="190">
                  <c:v>0.57250000000000001</c:v>
                </c:pt>
                <c:pt idx="191">
                  <c:v>0.5625</c:v>
                </c:pt>
                <c:pt idx="192">
                  <c:v>0.56250000000000011</c:v>
                </c:pt>
                <c:pt idx="193">
                  <c:v>0.5525000000000001</c:v>
                </c:pt>
                <c:pt idx="194">
                  <c:v>0.55499999999999994</c:v>
                </c:pt>
                <c:pt idx="195">
                  <c:v>0.55499999999999994</c:v>
                </c:pt>
                <c:pt idx="196">
                  <c:v>0.55499999999999983</c:v>
                </c:pt>
                <c:pt idx="197">
                  <c:v>0.55499999999999994</c:v>
                </c:pt>
                <c:pt idx="198">
                  <c:v>0.55249999999999999</c:v>
                </c:pt>
                <c:pt idx="199">
                  <c:v>0.55000000000000004</c:v>
                </c:pt>
                <c:pt idx="200">
                  <c:v>0.54749999999999988</c:v>
                </c:pt>
                <c:pt idx="201">
                  <c:v>0.54249999999999998</c:v>
                </c:pt>
                <c:pt idx="202">
                  <c:v>0.54249999999999987</c:v>
                </c:pt>
                <c:pt idx="203">
                  <c:v>0.53999999999999981</c:v>
                </c:pt>
                <c:pt idx="204">
                  <c:v>0.53749999999999987</c:v>
                </c:pt>
                <c:pt idx="205">
                  <c:v>0.53749999999999987</c:v>
                </c:pt>
                <c:pt idx="206">
                  <c:v>0.53749999999999987</c:v>
                </c:pt>
                <c:pt idx="207">
                  <c:v>0.53499999999999981</c:v>
                </c:pt>
                <c:pt idx="208">
                  <c:v>0.53499999999999981</c:v>
                </c:pt>
                <c:pt idx="209">
                  <c:v>0.53749999999999976</c:v>
                </c:pt>
                <c:pt idx="210">
                  <c:v>0.5299999999999998</c:v>
                </c:pt>
                <c:pt idx="211">
                  <c:v>0.5299999999999998</c:v>
                </c:pt>
                <c:pt idx="212">
                  <c:v>0.52749999999999986</c:v>
                </c:pt>
                <c:pt idx="213">
                  <c:v>0.52749999999999986</c:v>
                </c:pt>
                <c:pt idx="214">
                  <c:v>0.5299999999999998</c:v>
                </c:pt>
                <c:pt idx="215">
                  <c:v>0.52999999999999992</c:v>
                </c:pt>
                <c:pt idx="216">
                  <c:v>0.53499999999999981</c:v>
                </c:pt>
                <c:pt idx="217">
                  <c:v>0.55249999999999988</c:v>
                </c:pt>
                <c:pt idx="218">
                  <c:v>0.56249999999999989</c:v>
                </c:pt>
                <c:pt idx="219">
                  <c:v>0.54749999999999988</c:v>
                </c:pt>
                <c:pt idx="220">
                  <c:v>0.54749999999999988</c:v>
                </c:pt>
                <c:pt idx="221">
                  <c:v>0.55999999999999994</c:v>
                </c:pt>
                <c:pt idx="222">
                  <c:v>0.56249999999999989</c:v>
                </c:pt>
                <c:pt idx="223">
                  <c:v>0.56499999999999995</c:v>
                </c:pt>
                <c:pt idx="224">
                  <c:v>0.57000000000000006</c:v>
                </c:pt>
                <c:pt idx="225">
                  <c:v>0.57000000000000006</c:v>
                </c:pt>
                <c:pt idx="226">
                  <c:v>0.57000000000000006</c:v>
                </c:pt>
                <c:pt idx="227">
                  <c:v>0.56999999999999995</c:v>
                </c:pt>
                <c:pt idx="228">
                  <c:v>0.57249999999999979</c:v>
                </c:pt>
                <c:pt idx="229">
                  <c:v>0.57499999999999984</c:v>
                </c:pt>
                <c:pt idx="230">
                  <c:v>0.5774999999999999</c:v>
                </c:pt>
                <c:pt idx="231">
                  <c:v>0.56999999999999995</c:v>
                </c:pt>
                <c:pt idx="232">
                  <c:v>0.56999999999999995</c:v>
                </c:pt>
                <c:pt idx="233">
                  <c:v>0.5724999999999999</c:v>
                </c:pt>
                <c:pt idx="234">
                  <c:v>0.56999999999999995</c:v>
                </c:pt>
                <c:pt idx="235">
                  <c:v>0.5724999999999999</c:v>
                </c:pt>
                <c:pt idx="236">
                  <c:v>0.5724999999999999</c:v>
                </c:pt>
                <c:pt idx="237">
                  <c:v>0.57499999999999984</c:v>
                </c:pt>
                <c:pt idx="238">
                  <c:v>0.57499999999999984</c:v>
                </c:pt>
                <c:pt idx="239">
                  <c:v>0.5774999999999999</c:v>
                </c:pt>
                <c:pt idx="240">
                  <c:v>0.5774999999999999</c:v>
                </c:pt>
                <c:pt idx="241">
                  <c:v>0.57749999999999979</c:v>
                </c:pt>
                <c:pt idx="242">
                  <c:v>0.57749999999999979</c:v>
                </c:pt>
                <c:pt idx="243">
                  <c:v>0.5824999999999998</c:v>
                </c:pt>
                <c:pt idx="244">
                  <c:v>0.58499999999999985</c:v>
                </c:pt>
                <c:pt idx="245">
                  <c:v>0.58499999999999974</c:v>
                </c:pt>
                <c:pt idx="246">
                  <c:v>0.60499999999999987</c:v>
                </c:pt>
                <c:pt idx="247">
                  <c:v>0.62249999999999994</c:v>
                </c:pt>
                <c:pt idx="248">
                  <c:v>0.60499999999999976</c:v>
                </c:pt>
                <c:pt idx="249">
                  <c:v>0.59499999999999964</c:v>
                </c:pt>
                <c:pt idx="250">
                  <c:v>0.58999999999999975</c:v>
                </c:pt>
                <c:pt idx="251">
                  <c:v>0.58999999999999975</c:v>
                </c:pt>
                <c:pt idx="252">
                  <c:v>0.58749999999999969</c:v>
                </c:pt>
                <c:pt idx="253">
                  <c:v>0.59749999999999981</c:v>
                </c:pt>
                <c:pt idx="254">
                  <c:v>0.59999999999999964</c:v>
                </c:pt>
                <c:pt idx="255">
                  <c:v>0.6024999999999997</c:v>
                </c:pt>
                <c:pt idx="256">
                  <c:v>0.59999999999999964</c:v>
                </c:pt>
                <c:pt idx="257">
                  <c:v>0.59749999999999981</c:v>
                </c:pt>
                <c:pt idx="258">
                  <c:v>0.59999999999999976</c:v>
                </c:pt>
                <c:pt idx="259">
                  <c:v>0.5974999999999997</c:v>
                </c:pt>
                <c:pt idx="260">
                  <c:v>0.59749999999999981</c:v>
                </c:pt>
                <c:pt idx="261">
                  <c:v>0.5924999999999998</c:v>
                </c:pt>
                <c:pt idx="262">
                  <c:v>0.58999999999999986</c:v>
                </c:pt>
                <c:pt idx="263">
                  <c:v>0.58999999999999986</c:v>
                </c:pt>
                <c:pt idx="264">
                  <c:v>0.58999999999999986</c:v>
                </c:pt>
                <c:pt idx="265">
                  <c:v>0.58999999999999986</c:v>
                </c:pt>
                <c:pt idx="266">
                  <c:v>0.58999999999999975</c:v>
                </c:pt>
                <c:pt idx="267">
                  <c:v>0.58999999999999975</c:v>
                </c:pt>
                <c:pt idx="268">
                  <c:v>0.59249999999999969</c:v>
                </c:pt>
                <c:pt idx="269">
                  <c:v>0.58999999999999975</c:v>
                </c:pt>
                <c:pt idx="270">
                  <c:v>0.59499999999999964</c:v>
                </c:pt>
                <c:pt idx="271">
                  <c:v>0.59249999999999969</c:v>
                </c:pt>
                <c:pt idx="272">
                  <c:v>0.59499999999999964</c:v>
                </c:pt>
                <c:pt idx="273">
                  <c:v>0.59749999999999959</c:v>
                </c:pt>
                <c:pt idx="274">
                  <c:v>0.59749999999999959</c:v>
                </c:pt>
                <c:pt idx="275">
                  <c:v>0.6074999999999996</c:v>
                </c:pt>
                <c:pt idx="276">
                  <c:v>0.62999999999999956</c:v>
                </c:pt>
                <c:pt idx="277">
                  <c:v>0.61749999999999994</c:v>
                </c:pt>
                <c:pt idx="278">
                  <c:v>0.59999999999999987</c:v>
                </c:pt>
                <c:pt idx="279">
                  <c:v>0.5924999999999998</c:v>
                </c:pt>
                <c:pt idx="280">
                  <c:v>0.58999999999999986</c:v>
                </c:pt>
                <c:pt idx="281">
                  <c:v>0.58249999999999991</c:v>
                </c:pt>
                <c:pt idx="282">
                  <c:v>0.58750000000000002</c:v>
                </c:pt>
                <c:pt idx="283">
                  <c:v>0.58750000000000002</c:v>
                </c:pt>
                <c:pt idx="284">
                  <c:v>0.58500000000000008</c:v>
                </c:pt>
                <c:pt idx="285">
                  <c:v>0.58500000000000008</c:v>
                </c:pt>
                <c:pt idx="286">
                  <c:v>0.58500000000000008</c:v>
                </c:pt>
                <c:pt idx="287">
                  <c:v>0.57750000000000001</c:v>
                </c:pt>
                <c:pt idx="288">
                  <c:v>0.57250000000000001</c:v>
                </c:pt>
                <c:pt idx="289">
                  <c:v>0.56500000000000006</c:v>
                </c:pt>
                <c:pt idx="290">
                  <c:v>0.56250000000000011</c:v>
                </c:pt>
                <c:pt idx="291">
                  <c:v>0.5625</c:v>
                </c:pt>
                <c:pt idx="292">
                  <c:v>0.56499999999999995</c:v>
                </c:pt>
                <c:pt idx="293">
                  <c:v>0.5625</c:v>
                </c:pt>
                <c:pt idx="294">
                  <c:v>0.56499999999999995</c:v>
                </c:pt>
                <c:pt idx="295">
                  <c:v>0.5625</c:v>
                </c:pt>
                <c:pt idx="296">
                  <c:v>0.56499999999999995</c:v>
                </c:pt>
                <c:pt idx="297">
                  <c:v>0.5625</c:v>
                </c:pt>
                <c:pt idx="298">
                  <c:v>0.5625</c:v>
                </c:pt>
                <c:pt idx="299">
                  <c:v>0.56249999999999989</c:v>
                </c:pt>
                <c:pt idx="300">
                  <c:v>0.56249999999999978</c:v>
                </c:pt>
                <c:pt idx="301">
                  <c:v>0.56499999999999972</c:v>
                </c:pt>
                <c:pt idx="302">
                  <c:v>0.56499999999999972</c:v>
                </c:pt>
                <c:pt idx="303">
                  <c:v>0.56499999999999984</c:v>
                </c:pt>
                <c:pt idx="304">
                  <c:v>0.56499999999999995</c:v>
                </c:pt>
                <c:pt idx="305">
                  <c:v>0.5724999999999999</c:v>
                </c:pt>
                <c:pt idx="306">
                  <c:v>0.5625</c:v>
                </c:pt>
                <c:pt idx="307">
                  <c:v>0.54749999999999999</c:v>
                </c:pt>
                <c:pt idx="308">
                  <c:v>0.54500000000000004</c:v>
                </c:pt>
                <c:pt idx="309">
                  <c:v>0.55500000000000005</c:v>
                </c:pt>
                <c:pt idx="310">
                  <c:v>0.56499999999999995</c:v>
                </c:pt>
                <c:pt idx="311">
                  <c:v>0.56749999999999978</c:v>
                </c:pt>
                <c:pt idx="312">
                  <c:v>0.56499999999999984</c:v>
                </c:pt>
                <c:pt idx="313">
                  <c:v>0.55249999999999999</c:v>
                </c:pt>
                <c:pt idx="314">
                  <c:v>0.54749999999999999</c:v>
                </c:pt>
                <c:pt idx="315">
                  <c:v>0.53999999999999992</c:v>
                </c:pt>
                <c:pt idx="316">
                  <c:v>0.53999999999999992</c:v>
                </c:pt>
                <c:pt idx="317">
                  <c:v>0.54249999999999998</c:v>
                </c:pt>
                <c:pt idx="318">
                  <c:v>0.54249999999999998</c:v>
                </c:pt>
                <c:pt idx="319">
                  <c:v>0.54749999999999988</c:v>
                </c:pt>
                <c:pt idx="320">
                  <c:v>0.55249999999999999</c:v>
                </c:pt>
                <c:pt idx="321">
                  <c:v>0.55499999999999983</c:v>
                </c:pt>
                <c:pt idx="322">
                  <c:v>0.55499999999999983</c:v>
                </c:pt>
                <c:pt idx="323">
                  <c:v>0.55749999999999977</c:v>
                </c:pt>
                <c:pt idx="324">
                  <c:v>0.55749999999999977</c:v>
                </c:pt>
                <c:pt idx="325">
                  <c:v>0.55749999999999977</c:v>
                </c:pt>
                <c:pt idx="326">
                  <c:v>0.55749999999999977</c:v>
                </c:pt>
                <c:pt idx="327">
                  <c:v>0.55999999999999983</c:v>
                </c:pt>
                <c:pt idx="328">
                  <c:v>0.55749999999999977</c:v>
                </c:pt>
                <c:pt idx="329">
                  <c:v>0.55749999999999977</c:v>
                </c:pt>
                <c:pt idx="330">
                  <c:v>0.55499999999999983</c:v>
                </c:pt>
                <c:pt idx="331">
                  <c:v>0.55499999999999983</c:v>
                </c:pt>
                <c:pt idx="332">
                  <c:v>0.55249999999999988</c:v>
                </c:pt>
                <c:pt idx="333">
                  <c:v>0.55249999999999999</c:v>
                </c:pt>
                <c:pt idx="334">
                  <c:v>0.54749999999999988</c:v>
                </c:pt>
                <c:pt idx="335">
                  <c:v>0.54249999999999998</c:v>
                </c:pt>
                <c:pt idx="336">
                  <c:v>0.52750000000000008</c:v>
                </c:pt>
                <c:pt idx="337">
                  <c:v>0.53</c:v>
                </c:pt>
                <c:pt idx="338">
                  <c:v>0.54249999999999998</c:v>
                </c:pt>
                <c:pt idx="339">
                  <c:v>0.55500000000000005</c:v>
                </c:pt>
                <c:pt idx="340">
                  <c:v>0.55000000000000004</c:v>
                </c:pt>
                <c:pt idx="341">
                  <c:v>0.54250000000000009</c:v>
                </c:pt>
                <c:pt idx="342">
                  <c:v>0.53999999999999992</c:v>
                </c:pt>
                <c:pt idx="343">
                  <c:v>0.53500000000000003</c:v>
                </c:pt>
                <c:pt idx="344">
                  <c:v>0.53499999999999992</c:v>
                </c:pt>
                <c:pt idx="345">
                  <c:v>0.53249999999999997</c:v>
                </c:pt>
                <c:pt idx="346">
                  <c:v>0.53249999999999997</c:v>
                </c:pt>
                <c:pt idx="347">
                  <c:v>0.53499999999999992</c:v>
                </c:pt>
                <c:pt idx="348">
                  <c:v>0.53749999999999998</c:v>
                </c:pt>
                <c:pt idx="349">
                  <c:v>0.53999999999999981</c:v>
                </c:pt>
                <c:pt idx="350">
                  <c:v>0.53999999999999992</c:v>
                </c:pt>
                <c:pt idx="351">
                  <c:v>0.53749999999999987</c:v>
                </c:pt>
                <c:pt idx="352">
                  <c:v>0.53749999999999987</c:v>
                </c:pt>
                <c:pt idx="353">
                  <c:v>0.53749999999999987</c:v>
                </c:pt>
                <c:pt idx="354">
                  <c:v>0.53499999999999992</c:v>
                </c:pt>
                <c:pt idx="355">
                  <c:v>0.53749999999999987</c:v>
                </c:pt>
                <c:pt idx="356">
                  <c:v>0.53499999999999992</c:v>
                </c:pt>
                <c:pt idx="357">
                  <c:v>0.53499999999999992</c:v>
                </c:pt>
                <c:pt idx="358">
                  <c:v>0.53249999999999986</c:v>
                </c:pt>
                <c:pt idx="359">
                  <c:v>0.53499999999999992</c:v>
                </c:pt>
                <c:pt idx="360">
                  <c:v>0.53249999999999997</c:v>
                </c:pt>
                <c:pt idx="361">
                  <c:v>0.52999999999999992</c:v>
                </c:pt>
                <c:pt idx="362">
                  <c:v>0.53</c:v>
                </c:pt>
                <c:pt idx="363">
                  <c:v>0.52750000000000008</c:v>
                </c:pt>
                <c:pt idx="364">
                  <c:v>0.52250000000000008</c:v>
                </c:pt>
                <c:pt idx="365">
                  <c:v>0.51749999999999996</c:v>
                </c:pt>
                <c:pt idx="366">
                  <c:v>0.52</c:v>
                </c:pt>
                <c:pt idx="367">
                  <c:v>0.52</c:v>
                </c:pt>
                <c:pt idx="368">
                  <c:v>0.53999999999999992</c:v>
                </c:pt>
                <c:pt idx="369">
                  <c:v>0.54250000000000009</c:v>
                </c:pt>
                <c:pt idx="370">
                  <c:v>0.54000000000000015</c:v>
                </c:pt>
                <c:pt idx="371">
                  <c:v>0.53749999999999998</c:v>
                </c:pt>
                <c:pt idx="372">
                  <c:v>0.54250000000000009</c:v>
                </c:pt>
                <c:pt idx="373">
                  <c:v>0.56000000000000005</c:v>
                </c:pt>
                <c:pt idx="374">
                  <c:v>0.5625</c:v>
                </c:pt>
                <c:pt idx="375">
                  <c:v>0.5675</c:v>
                </c:pt>
                <c:pt idx="376">
                  <c:v>0.5724999999999999</c:v>
                </c:pt>
                <c:pt idx="377">
                  <c:v>0.57249999999999979</c:v>
                </c:pt>
                <c:pt idx="378">
                  <c:v>0.56999999999999995</c:v>
                </c:pt>
                <c:pt idx="379">
                  <c:v>0.56999999999999984</c:v>
                </c:pt>
                <c:pt idx="380">
                  <c:v>0.56749999999999978</c:v>
                </c:pt>
                <c:pt idx="381">
                  <c:v>0.56499999999999984</c:v>
                </c:pt>
                <c:pt idx="382">
                  <c:v>0.56499999999999984</c:v>
                </c:pt>
                <c:pt idx="383">
                  <c:v>0.56499999999999984</c:v>
                </c:pt>
                <c:pt idx="384">
                  <c:v>0.56499999999999984</c:v>
                </c:pt>
                <c:pt idx="385">
                  <c:v>0.56499999999999984</c:v>
                </c:pt>
                <c:pt idx="386">
                  <c:v>0.56499999999999984</c:v>
                </c:pt>
                <c:pt idx="387">
                  <c:v>0.56249999999999989</c:v>
                </c:pt>
                <c:pt idx="388">
                  <c:v>0.56249999999999978</c:v>
                </c:pt>
                <c:pt idx="389">
                  <c:v>0.56499999999999972</c:v>
                </c:pt>
                <c:pt idx="390">
                  <c:v>0.56749999999999967</c:v>
                </c:pt>
                <c:pt idx="391">
                  <c:v>0.56749999999999967</c:v>
                </c:pt>
                <c:pt idx="392">
                  <c:v>0.56999999999999973</c:v>
                </c:pt>
                <c:pt idx="393">
                  <c:v>0.56999999999999973</c:v>
                </c:pt>
                <c:pt idx="394">
                  <c:v>0.57749999999999979</c:v>
                </c:pt>
                <c:pt idx="395">
                  <c:v>0.5874999999999998</c:v>
                </c:pt>
                <c:pt idx="396">
                  <c:v>0.59749999999999992</c:v>
                </c:pt>
                <c:pt idx="397">
                  <c:v>0.59749999999999992</c:v>
                </c:pt>
                <c:pt idx="398">
                  <c:v>0.59</c:v>
                </c:pt>
                <c:pt idx="399">
                  <c:v>0.58499999999999985</c:v>
                </c:pt>
                <c:pt idx="400">
                  <c:v>0.58999999999999986</c:v>
                </c:pt>
                <c:pt idx="401">
                  <c:v>0.59499999999999997</c:v>
                </c:pt>
                <c:pt idx="402">
                  <c:v>0.58750000000000002</c:v>
                </c:pt>
                <c:pt idx="403">
                  <c:v>0.59</c:v>
                </c:pt>
                <c:pt idx="404">
                  <c:v>0.58750000000000002</c:v>
                </c:pt>
                <c:pt idx="405">
                  <c:v>0.58500000000000008</c:v>
                </c:pt>
                <c:pt idx="406">
                  <c:v>0.58500000000000008</c:v>
                </c:pt>
                <c:pt idx="407">
                  <c:v>0.57999999999999996</c:v>
                </c:pt>
                <c:pt idx="408">
                  <c:v>0.57499999999999996</c:v>
                </c:pt>
                <c:pt idx="409">
                  <c:v>0.57250000000000001</c:v>
                </c:pt>
                <c:pt idx="410">
                  <c:v>0.57250000000000001</c:v>
                </c:pt>
                <c:pt idx="411">
                  <c:v>0.57250000000000001</c:v>
                </c:pt>
                <c:pt idx="412">
                  <c:v>0.57250000000000001</c:v>
                </c:pt>
                <c:pt idx="413">
                  <c:v>0.57250000000000001</c:v>
                </c:pt>
                <c:pt idx="414">
                  <c:v>0.57250000000000001</c:v>
                </c:pt>
                <c:pt idx="415">
                  <c:v>0.5724999999999999</c:v>
                </c:pt>
                <c:pt idx="416">
                  <c:v>0.57499999999999984</c:v>
                </c:pt>
                <c:pt idx="417">
                  <c:v>0.57499999999999984</c:v>
                </c:pt>
                <c:pt idx="418">
                  <c:v>0.5774999999999999</c:v>
                </c:pt>
                <c:pt idx="419">
                  <c:v>0.57499999999999996</c:v>
                </c:pt>
                <c:pt idx="420">
                  <c:v>0.5774999999999999</c:v>
                </c:pt>
                <c:pt idx="421">
                  <c:v>0.58249999999999991</c:v>
                </c:pt>
                <c:pt idx="422">
                  <c:v>0.58499999999999985</c:v>
                </c:pt>
                <c:pt idx="423">
                  <c:v>0.58749999999999991</c:v>
                </c:pt>
                <c:pt idx="424">
                  <c:v>0.59499999999999997</c:v>
                </c:pt>
                <c:pt idx="425">
                  <c:v>0.6024999999999997</c:v>
                </c:pt>
                <c:pt idx="426">
                  <c:v>0.59999999999999987</c:v>
                </c:pt>
                <c:pt idx="427">
                  <c:v>0.59499999999999997</c:v>
                </c:pt>
                <c:pt idx="428">
                  <c:v>0.57750000000000001</c:v>
                </c:pt>
                <c:pt idx="429">
                  <c:v>0.57499999999999996</c:v>
                </c:pt>
                <c:pt idx="430">
                  <c:v>0.57999999999999996</c:v>
                </c:pt>
                <c:pt idx="431">
                  <c:v>0.57499999999999996</c:v>
                </c:pt>
                <c:pt idx="432">
                  <c:v>0.57000000000000006</c:v>
                </c:pt>
                <c:pt idx="433">
                  <c:v>0.55000000000000004</c:v>
                </c:pt>
                <c:pt idx="434">
                  <c:v>0.54500000000000004</c:v>
                </c:pt>
                <c:pt idx="435">
                  <c:v>0.53999999999999992</c:v>
                </c:pt>
                <c:pt idx="436">
                  <c:v>0.53749999999999987</c:v>
                </c:pt>
                <c:pt idx="437">
                  <c:v>0.53499999999999992</c:v>
                </c:pt>
                <c:pt idx="438">
                  <c:v>0.53749999999999987</c:v>
                </c:pt>
                <c:pt idx="439">
                  <c:v>0.53749999999999987</c:v>
                </c:pt>
                <c:pt idx="440">
                  <c:v>0.54249999999999998</c:v>
                </c:pt>
                <c:pt idx="441">
                  <c:v>0.53999999999999981</c:v>
                </c:pt>
                <c:pt idx="442">
                  <c:v>0.53999999999999981</c:v>
                </c:pt>
                <c:pt idx="443">
                  <c:v>0.53749999999999987</c:v>
                </c:pt>
                <c:pt idx="444">
                  <c:v>0.53749999999999987</c:v>
                </c:pt>
                <c:pt idx="445">
                  <c:v>0.53749999999999987</c:v>
                </c:pt>
                <c:pt idx="446">
                  <c:v>0.53499999999999992</c:v>
                </c:pt>
                <c:pt idx="447">
                  <c:v>0.53999999999999981</c:v>
                </c:pt>
                <c:pt idx="448">
                  <c:v>0.53749999999999987</c:v>
                </c:pt>
                <c:pt idx="449">
                  <c:v>0.53749999999999987</c:v>
                </c:pt>
                <c:pt idx="450">
                  <c:v>0.53500000000000003</c:v>
                </c:pt>
                <c:pt idx="451">
                  <c:v>0.53499999999999992</c:v>
                </c:pt>
                <c:pt idx="452">
                  <c:v>0.53499999999999992</c:v>
                </c:pt>
                <c:pt idx="453">
                  <c:v>0.53999999999999992</c:v>
                </c:pt>
                <c:pt idx="454">
                  <c:v>0.53249999999999997</c:v>
                </c:pt>
                <c:pt idx="455">
                  <c:v>0.52249999999999996</c:v>
                </c:pt>
                <c:pt idx="456">
                  <c:v>0.51750000000000007</c:v>
                </c:pt>
                <c:pt idx="457">
                  <c:v>0.52249999999999996</c:v>
                </c:pt>
                <c:pt idx="458">
                  <c:v>0.52750000000000008</c:v>
                </c:pt>
                <c:pt idx="459">
                  <c:v>0.52750000000000008</c:v>
                </c:pt>
                <c:pt idx="460">
                  <c:v>0.52250000000000008</c:v>
                </c:pt>
                <c:pt idx="461">
                  <c:v>0.51749999999999996</c:v>
                </c:pt>
                <c:pt idx="462">
                  <c:v>0.51749999999999996</c:v>
                </c:pt>
                <c:pt idx="463">
                  <c:v>0.51749999999999996</c:v>
                </c:pt>
                <c:pt idx="464">
                  <c:v>0.51749999999999996</c:v>
                </c:pt>
                <c:pt idx="465">
                  <c:v>0.52249999999999996</c:v>
                </c:pt>
                <c:pt idx="466">
                  <c:v>0.52250000000000008</c:v>
                </c:pt>
                <c:pt idx="467">
                  <c:v>0.52750000000000008</c:v>
                </c:pt>
                <c:pt idx="468">
                  <c:v>0.53</c:v>
                </c:pt>
                <c:pt idx="469">
                  <c:v>0.53749999999999998</c:v>
                </c:pt>
                <c:pt idx="470">
                  <c:v>0.54249999999999998</c:v>
                </c:pt>
                <c:pt idx="471">
                  <c:v>0.54249999999999998</c:v>
                </c:pt>
                <c:pt idx="472">
                  <c:v>0.53999999999999992</c:v>
                </c:pt>
                <c:pt idx="473">
                  <c:v>0.53999999999999992</c:v>
                </c:pt>
                <c:pt idx="474">
                  <c:v>0.53999999999999992</c:v>
                </c:pt>
                <c:pt idx="475">
                  <c:v>0.53749999999999998</c:v>
                </c:pt>
                <c:pt idx="476">
                  <c:v>0.53500000000000003</c:v>
                </c:pt>
                <c:pt idx="477">
                  <c:v>0.53500000000000003</c:v>
                </c:pt>
                <c:pt idx="478">
                  <c:v>0.53500000000000003</c:v>
                </c:pt>
                <c:pt idx="479">
                  <c:v>0.53249999999999997</c:v>
                </c:pt>
                <c:pt idx="480">
                  <c:v>0.53250000000000008</c:v>
                </c:pt>
                <c:pt idx="481">
                  <c:v>0.52500000000000002</c:v>
                </c:pt>
                <c:pt idx="482">
                  <c:v>0.52500000000000002</c:v>
                </c:pt>
                <c:pt idx="483">
                  <c:v>0.52</c:v>
                </c:pt>
                <c:pt idx="484">
                  <c:v>0.51249999999999996</c:v>
                </c:pt>
                <c:pt idx="485">
                  <c:v>0.505</c:v>
                </c:pt>
                <c:pt idx="486">
                  <c:v>0.505</c:v>
                </c:pt>
                <c:pt idx="487">
                  <c:v>0.51749999999999996</c:v>
                </c:pt>
                <c:pt idx="488">
                  <c:v>0.52750000000000008</c:v>
                </c:pt>
                <c:pt idx="489">
                  <c:v>0.52250000000000008</c:v>
                </c:pt>
                <c:pt idx="490">
                  <c:v>0.51000000000000012</c:v>
                </c:pt>
                <c:pt idx="491">
                  <c:v>0.51000000000000012</c:v>
                </c:pt>
                <c:pt idx="492">
                  <c:v>0.51000000000000012</c:v>
                </c:pt>
                <c:pt idx="493">
                  <c:v>0.51000000000000012</c:v>
                </c:pt>
                <c:pt idx="494">
                  <c:v>0.51</c:v>
                </c:pt>
                <c:pt idx="495">
                  <c:v>0.51249999999999996</c:v>
                </c:pt>
                <c:pt idx="496">
                  <c:v>0.51249999999999996</c:v>
                </c:pt>
                <c:pt idx="497">
                  <c:v>0.51749999999999996</c:v>
                </c:pt>
                <c:pt idx="498">
                  <c:v>0.52500000000000002</c:v>
                </c:pt>
                <c:pt idx="499">
                  <c:v>0.52500000000000002</c:v>
                </c:pt>
                <c:pt idx="500">
                  <c:v>0.51749999999999996</c:v>
                </c:pt>
                <c:pt idx="501">
                  <c:v>0.51749999999999996</c:v>
                </c:pt>
                <c:pt idx="502">
                  <c:v>0.51749999999999996</c:v>
                </c:pt>
                <c:pt idx="503">
                  <c:v>0.51749999999999996</c:v>
                </c:pt>
                <c:pt idx="504">
                  <c:v>0.51749999999999996</c:v>
                </c:pt>
                <c:pt idx="505">
                  <c:v>0.51749999999999996</c:v>
                </c:pt>
                <c:pt idx="506">
                  <c:v>0.51749999999999996</c:v>
                </c:pt>
                <c:pt idx="507">
                  <c:v>0.51250000000000007</c:v>
                </c:pt>
                <c:pt idx="508">
                  <c:v>0.51250000000000007</c:v>
                </c:pt>
                <c:pt idx="509">
                  <c:v>0.51000000000000012</c:v>
                </c:pt>
                <c:pt idx="510">
                  <c:v>0.51</c:v>
                </c:pt>
                <c:pt idx="511">
                  <c:v>0.51</c:v>
                </c:pt>
                <c:pt idx="512">
                  <c:v>0.51000000000000012</c:v>
                </c:pt>
                <c:pt idx="513">
                  <c:v>0.50500000000000012</c:v>
                </c:pt>
                <c:pt idx="514">
                  <c:v>0.50500000000000012</c:v>
                </c:pt>
                <c:pt idx="515">
                  <c:v>0.50750000000000006</c:v>
                </c:pt>
                <c:pt idx="516">
                  <c:v>0.50500000000000012</c:v>
                </c:pt>
                <c:pt idx="517">
                  <c:v>0.50750000000000006</c:v>
                </c:pt>
                <c:pt idx="518">
                  <c:v>0.51500000000000012</c:v>
                </c:pt>
                <c:pt idx="519">
                  <c:v>0.51000000000000012</c:v>
                </c:pt>
                <c:pt idx="520">
                  <c:v>0.51250000000000007</c:v>
                </c:pt>
                <c:pt idx="521">
                  <c:v>0.51749999999999996</c:v>
                </c:pt>
                <c:pt idx="522">
                  <c:v>0.52500000000000002</c:v>
                </c:pt>
                <c:pt idx="523">
                  <c:v>0.52999999999999992</c:v>
                </c:pt>
                <c:pt idx="524">
                  <c:v>0.54499999999999993</c:v>
                </c:pt>
                <c:pt idx="525">
                  <c:v>0.54999999999999993</c:v>
                </c:pt>
                <c:pt idx="526">
                  <c:v>0.55249999999999999</c:v>
                </c:pt>
                <c:pt idx="527">
                  <c:v>0.55249999999999999</c:v>
                </c:pt>
                <c:pt idx="528">
                  <c:v>0.55000000000000004</c:v>
                </c:pt>
                <c:pt idx="529">
                  <c:v>0.54250000000000009</c:v>
                </c:pt>
                <c:pt idx="530">
                  <c:v>0.53500000000000003</c:v>
                </c:pt>
                <c:pt idx="531">
                  <c:v>0.53500000000000003</c:v>
                </c:pt>
                <c:pt idx="532">
                  <c:v>0.53500000000000003</c:v>
                </c:pt>
                <c:pt idx="533">
                  <c:v>0.53500000000000003</c:v>
                </c:pt>
                <c:pt idx="534">
                  <c:v>0.53749999999999998</c:v>
                </c:pt>
                <c:pt idx="535">
                  <c:v>0.53749999999999998</c:v>
                </c:pt>
                <c:pt idx="536">
                  <c:v>0.53749999999999998</c:v>
                </c:pt>
                <c:pt idx="537">
                  <c:v>0.53749999999999998</c:v>
                </c:pt>
                <c:pt idx="538">
                  <c:v>0.53749999999999998</c:v>
                </c:pt>
                <c:pt idx="539">
                  <c:v>0.53999999999999992</c:v>
                </c:pt>
                <c:pt idx="540">
                  <c:v>0.53499999999999992</c:v>
                </c:pt>
                <c:pt idx="541">
                  <c:v>0.53999999999999981</c:v>
                </c:pt>
                <c:pt idx="542">
                  <c:v>0.53749999999999987</c:v>
                </c:pt>
                <c:pt idx="543">
                  <c:v>0.53999999999999981</c:v>
                </c:pt>
                <c:pt idx="544">
                  <c:v>0.54499999999999993</c:v>
                </c:pt>
                <c:pt idx="545">
                  <c:v>0.55749999999999988</c:v>
                </c:pt>
                <c:pt idx="546">
                  <c:v>0.5675</c:v>
                </c:pt>
                <c:pt idx="547">
                  <c:v>0.56249999999999989</c:v>
                </c:pt>
                <c:pt idx="548">
                  <c:v>0.54999999999999971</c:v>
                </c:pt>
                <c:pt idx="549">
                  <c:v>0.54249999999999987</c:v>
                </c:pt>
                <c:pt idx="550">
                  <c:v>0.54749999999999976</c:v>
                </c:pt>
                <c:pt idx="551">
                  <c:v>0.55749999999999977</c:v>
                </c:pt>
                <c:pt idx="552">
                  <c:v>0.56499999999999984</c:v>
                </c:pt>
                <c:pt idx="553">
                  <c:v>0.57249999999999979</c:v>
                </c:pt>
                <c:pt idx="554">
                  <c:v>0.57499999999999984</c:v>
                </c:pt>
                <c:pt idx="555">
                  <c:v>0.5724999999999999</c:v>
                </c:pt>
                <c:pt idx="556">
                  <c:v>0.56999999999999995</c:v>
                </c:pt>
                <c:pt idx="557">
                  <c:v>0.56499999999999995</c:v>
                </c:pt>
                <c:pt idx="558">
                  <c:v>0.55499999999999994</c:v>
                </c:pt>
                <c:pt idx="559">
                  <c:v>0.55249999999999999</c:v>
                </c:pt>
                <c:pt idx="560">
                  <c:v>0.55249999999999999</c:v>
                </c:pt>
                <c:pt idx="561">
                  <c:v>0.55249999999999999</c:v>
                </c:pt>
                <c:pt idx="562">
                  <c:v>0.55249999999999999</c:v>
                </c:pt>
                <c:pt idx="563">
                  <c:v>0.55249999999999999</c:v>
                </c:pt>
                <c:pt idx="564">
                  <c:v>0.55499999999999994</c:v>
                </c:pt>
                <c:pt idx="565">
                  <c:v>0.55499999999999994</c:v>
                </c:pt>
                <c:pt idx="566">
                  <c:v>0.55499999999999994</c:v>
                </c:pt>
                <c:pt idx="567">
                  <c:v>0.55499999999999994</c:v>
                </c:pt>
                <c:pt idx="568">
                  <c:v>0.55499999999999994</c:v>
                </c:pt>
                <c:pt idx="569">
                  <c:v>0.55749999999999988</c:v>
                </c:pt>
                <c:pt idx="570">
                  <c:v>0.55749999999999977</c:v>
                </c:pt>
                <c:pt idx="571">
                  <c:v>0.55749999999999977</c:v>
                </c:pt>
                <c:pt idx="572">
                  <c:v>0.55749999999999966</c:v>
                </c:pt>
                <c:pt idx="573">
                  <c:v>0.55749999999999966</c:v>
                </c:pt>
                <c:pt idx="574">
                  <c:v>0.5599999999999995</c:v>
                </c:pt>
                <c:pt idx="575">
                  <c:v>0.56749999999999967</c:v>
                </c:pt>
                <c:pt idx="576">
                  <c:v>0.56999999999999995</c:v>
                </c:pt>
                <c:pt idx="577">
                  <c:v>0.55999999999999983</c:v>
                </c:pt>
                <c:pt idx="578">
                  <c:v>0.54499999999999993</c:v>
                </c:pt>
                <c:pt idx="579">
                  <c:v>0.54499999999999993</c:v>
                </c:pt>
                <c:pt idx="580">
                  <c:v>0.54499999999999993</c:v>
                </c:pt>
                <c:pt idx="581">
                  <c:v>0.54749999999999988</c:v>
                </c:pt>
                <c:pt idx="582">
                  <c:v>0.54749999999999988</c:v>
                </c:pt>
                <c:pt idx="583">
                  <c:v>0.54499999999999993</c:v>
                </c:pt>
                <c:pt idx="584">
                  <c:v>0.52999999999999992</c:v>
                </c:pt>
                <c:pt idx="585">
                  <c:v>0.52249999999999985</c:v>
                </c:pt>
                <c:pt idx="586">
                  <c:v>0.51999999999999991</c:v>
                </c:pt>
                <c:pt idx="587">
                  <c:v>0.51749999999999985</c:v>
                </c:pt>
                <c:pt idx="588">
                  <c:v>0.5149999999999999</c:v>
                </c:pt>
                <c:pt idx="589">
                  <c:v>0.51249999999999996</c:v>
                </c:pt>
                <c:pt idx="590">
                  <c:v>0.51500000000000001</c:v>
                </c:pt>
                <c:pt idx="591">
                  <c:v>0.51500000000000001</c:v>
                </c:pt>
                <c:pt idx="592">
                  <c:v>0.51500000000000001</c:v>
                </c:pt>
                <c:pt idx="593">
                  <c:v>0.51500000000000001</c:v>
                </c:pt>
                <c:pt idx="594">
                  <c:v>0.51249999999999996</c:v>
                </c:pt>
                <c:pt idx="595">
                  <c:v>0.51249999999999996</c:v>
                </c:pt>
                <c:pt idx="596">
                  <c:v>0.51249999999999996</c:v>
                </c:pt>
                <c:pt idx="597">
                  <c:v>0.51249999999999996</c:v>
                </c:pt>
                <c:pt idx="598">
                  <c:v>0.51</c:v>
                </c:pt>
                <c:pt idx="599">
                  <c:v>0.51</c:v>
                </c:pt>
                <c:pt idx="600">
                  <c:v>0.51</c:v>
                </c:pt>
                <c:pt idx="601">
                  <c:v>0.51</c:v>
                </c:pt>
                <c:pt idx="602">
                  <c:v>0.51250000000000007</c:v>
                </c:pt>
                <c:pt idx="603">
                  <c:v>0.51</c:v>
                </c:pt>
                <c:pt idx="604">
                  <c:v>0.51250000000000007</c:v>
                </c:pt>
                <c:pt idx="605">
                  <c:v>0.51500000000000012</c:v>
                </c:pt>
                <c:pt idx="606">
                  <c:v>0.50749999999999995</c:v>
                </c:pt>
                <c:pt idx="607">
                  <c:v>0.50500000000000012</c:v>
                </c:pt>
                <c:pt idx="608">
                  <c:v>0.50500000000000012</c:v>
                </c:pt>
                <c:pt idx="609">
                  <c:v>0.50750000000000006</c:v>
                </c:pt>
                <c:pt idx="610">
                  <c:v>0.51000000000000012</c:v>
                </c:pt>
                <c:pt idx="611">
                  <c:v>0.51500000000000012</c:v>
                </c:pt>
                <c:pt idx="612">
                  <c:v>0.51000000000000012</c:v>
                </c:pt>
                <c:pt idx="613">
                  <c:v>0.50750000000000006</c:v>
                </c:pt>
                <c:pt idx="614">
                  <c:v>0.50500000000000012</c:v>
                </c:pt>
                <c:pt idx="615">
                  <c:v>0.50750000000000006</c:v>
                </c:pt>
                <c:pt idx="616">
                  <c:v>0.50500000000000012</c:v>
                </c:pt>
                <c:pt idx="617">
                  <c:v>0.50750000000000006</c:v>
                </c:pt>
                <c:pt idx="618">
                  <c:v>0.51000000000000012</c:v>
                </c:pt>
                <c:pt idx="619">
                  <c:v>0.51000000000000012</c:v>
                </c:pt>
                <c:pt idx="620">
                  <c:v>0.50750000000000017</c:v>
                </c:pt>
                <c:pt idx="621">
                  <c:v>0.51000000000000012</c:v>
                </c:pt>
                <c:pt idx="622">
                  <c:v>0.51000000000000012</c:v>
                </c:pt>
                <c:pt idx="623">
                  <c:v>0.51000000000000012</c:v>
                </c:pt>
                <c:pt idx="624">
                  <c:v>0.50750000000000017</c:v>
                </c:pt>
                <c:pt idx="625">
                  <c:v>0.50750000000000017</c:v>
                </c:pt>
                <c:pt idx="626">
                  <c:v>0.50750000000000017</c:v>
                </c:pt>
                <c:pt idx="627">
                  <c:v>0.50750000000000017</c:v>
                </c:pt>
                <c:pt idx="628">
                  <c:v>0.50750000000000017</c:v>
                </c:pt>
                <c:pt idx="629">
                  <c:v>0.50500000000000012</c:v>
                </c:pt>
                <c:pt idx="630">
                  <c:v>0.50250000000000017</c:v>
                </c:pt>
                <c:pt idx="631">
                  <c:v>0.50750000000000006</c:v>
                </c:pt>
                <c:pt idx="632">
                  <c:v>0.50250000000000006</c:v>
                </c:pt>
                <c:pt idx="633">
                  <c:v>0.49750000000000011</c:v>
                </c:pt>
                <c:pt idx="634">
                  <c:v>0.50750000000000006</c:v>
                </c:pt>
                <c:pt idx="635">
                  <c:v>0.51500000000000001</c:v>
                </c:pt>
                <c:pt idx="636">
                  <c:v>0.51500000000000001</c:v>
                </c:pt>
                <c:pt idx="637">
                  <c:v>0.51</c:v>
                </c:pt>
                <c:pt idx="638">
                  <c:v>0.505</c:v>
                </c:pt>
                <c:pt idx="639">
                  <c:v>0.505</c:v>
                </c:pt>
                <c:pt idx="640">
                  <c:v>0.505</c:v>
                </c:pt>
                <c:pt idx="641">
                  <c:v>0.51249999999999996</c:v>
                </c:pt>
                <c:pt idx="642">
                  <c:v>0.505</c:v>
                </c:pt>
                <c:pt idx="643">
                  <c:v>0.50249999999999995</c:v>
                </c:pt>
                <c:pt idx="644">
                  <c:v>0.505</c:v>
                </c:pt>
                <c:pt idx="645">
                  <c:v>0.505</c:v>
                </c:pt>
                <c:pt idx="646">
                  <c:v>0.50249999999999995</c:v>
                </c:pt>
                <c:pt idx="647">
                  <c:v>0.49749999999999994</c:v>
                </c:pt>
                <c:pt idx="648">
                  <c:v>0.49749999999999994</c:v>
                </c:pt>
                <c:pt idx="649">
                  <c:v>0.49999999999999989</c:v>
                </c:pt>
                <c:pt idx="650">
                  <c:v>0.49249999999999994</c:v>
                </c:pt>
                <c:pt idx="651">
                  <c:v>0.49249999999999994</c:v>
                </c:pt>
                <c:pt idx="652">
                  <c:v>1.28</c:v>
                </c:pt>
                <c:pt idx="653">
                  <c:v>1.4950000000000001</c:v>
                </c:pt>
                <c:pt idx="654">
                  <c:v>1.4950000000000001</c:v>
                </c:pt>
                <c:pt idx="655">
                  <c:v>1.4975000000000001</c:v>
                </c:pt>
                <c:pt idx="656">
                  <c:v>1.5000000000000002</c:v>
                </c:pt>
                <c:pt idx="657">
                  <c:v>1.5025000000000004</c:v>
                </c:pt>
                <c:pt idx="658">
                  <c:v>1.5025000000000004</c:v>
                </c:pt>
                <c:pt idx="659">
                  <c:v>1.5000000000000002</c:v>
                </c:pt>
                <c:pt idx="660">
                  <c:v>1.5000000000000002</c:v>
                </c:pt>
                <c:pt idx="661">
                  <c:v>1.4950000000000003</c:v>
                </c:pt>
                <c:pt idx="662">
                  <c:v>1.5000000000000002</c:v>
                </c:pt>
                <c:pt idx="663">
                  <c:v>1.5075000000000001</c:v>
                </c:pt>
                <c:pt idx="664">
                  <c:v>1.6250000000000002</c:v>
                </c:pt>
                <c:pt idx="665">
                  <c:v>1.9500000000000004</c:v>
                </c:pt>
                <c:pt idx="666">
                  <c:v>2.4700000000000002</c:v>
                </c:pt>
                <c:pt idx="667">
                  <c:v>2.6925000000000003</c:v>
                </c:pt>
                <c:pt idx="668">
                  <c:v>2.7425000000000002</c:v>
                </c:pt>
                <c:pt idx="669">
                  <c:v>2.7550000000000003</c:v>
                </c:pt>
                <c:pt idx="670">
                  <c:v>2.7725000000000004</c:v>
                </c:pt>
                <c:pt idx="671">
                  <c:v>2.7850000000000006</c:v>
                </c:pt>
                <c:pt idx="672">
                  <c:v>2.7925</c:v>
                </c:pt>
                <c:pt idx="673">
                  <c:v>2.8</c:v>
                </c:pt>
                <c:pt idx="674">
                  <c:v>2.82</c:v>
                </c:pt>
                <c:pt idx="675">
                  <c:v>2.8374999999999999</c:v>
                </c:pt>
                <c:pt idx="676">
                  <c:v>2.8600000000000003</c:v>
                </c:pt>
                <c:pt idx="677">
                  <c:v>2.87</c:v>
                </c:pt>
                <c:pt idx="678">
                  <c:v>2.8774999999999999</c:v>
                </c:pt>
                <c:pt idx="679">
                  <c:v>2.8825000000000003</c:v>
                </c:pt>
                <c:pt idx="680">
                  <c:v>2.8875000000000002</c:v>
                </c:pt>
                <c:pt idx="681">
                  <c:v>2.9000000000000004</c:v>
                </c:pt>
                <c:pt idx="682">
                  <c:v>2.9150000000000005</c:v>
                </c:pt>
                <c:pt idx="683">
                  <c:v>2.9275000000000007</c:v>
                </c:pt>
                <c:pt idx="684">
                  <c:v>2.9425000000000008</c:v>
                </c:pt>
                <c:pt idx="685">
                  <c:v>2.9525000000000006</c:v>
                </c:pt>
                <c:pt idx="686">
                  <c:v>2.9650000000000007</c:v>
                </c:pt>
                <c:pt idx="687">
                  <c:v>2.9750000000000005</c:v>
                </c:pt>
                <c:pt idx="688">
                  <c:v>2.9875000000000003</c:v>
                </c:pt>
                <c:pt idx="689">
                  <c:v>3.0000000000000004</c:v>
                </c:pt>
                <c:pt idx="690">
                  <c:v>3.0175000000000005</c:v>
                </c:pt>
                <c:pt idx="691">
                  <c:v>3.0250000000000004</c:v>
                </c:pt>
                <c:pt idx="692">
                  <c:v>3.0425000000000009</c:v>
                </c:pt>
                <c:pt idx="693">
                  <c:v>3.0625000000000004</c:v>
                </c:pt>
                <c:pt idx="694">
                  <c:v>3.0650000000000004</c:v>
                </c:pt>
                <c:pt idx="695">
                  <c:v>3.0675000000000008</c:v>
                </c:pt>
                <c:pt idx="696">
                  <c:v>3.0875000000000008</c:v>
                </c:pt>
                <c:pt idx="697">
                  <c:v>3.1025000000000009</c:v>
                </c:pt>
                <c:pt idx="698">
                  <c:v>3.1075000000000008</c:v>
                </c:pt>
                <c:pt idx="699">
                  <c:v>3.1050000000000013</c:v>
                </c:pt>
                <c:pt idx="700">
                  <c:v>3.1025000000000009</c:v>
                </c:pt>
                <c:pt idx="701">
                  <c:v>3.097500000000001</c:v>
                </c:pt>
                <c:pt idx="702">
                  <c:v>3.1125000000000003</c:v>
                </c:pt>
                <c:pt idx="703">
                  <c:v>3.1275000000000004</c:v>
                </c:pt>
                <c:pt idx="704">
                  <c:v>3.1375000000000006</c:v>
                </c:pt>
                <c:pt idx="705">
                  <c:v>3.1475000000000009</c:v>
                </c:pt>
                <c:pt idx="706">
                  <c:v>3.1550000000000007</c:v>
                </c:pt>
                <c:pt idx="707">
                  <c:v>3.1700000000000008</c:v>
                </c:pt>
                <c:pt idx="708">
                  <c:v>3.1900000000000008</c:v>
                </c:pt>
                <c:pt idx="709">
                  <c:v>3.2075000000000009</c:v>
                </c:pt>
                <c:pt idx="710">
                  <c:v>3.2100000000000013</c:v>
                </c:pt>
                <c:pt idx="711">
                  <c:v>3.2150000000000016</c:v>
                </c:pt>
                <c:pt idx="712">
                  <c:v>2.4350000000000005</c:v>
                </c:pt>
                <c:pt idx="713">
                  <c:v>2.2275</c:v>
                </c:pt>
                <c:pt idx="714">
                  <c:v>2.2374999999999998</c:v>
                </c:pt>
                <c:pt idx="715">
                  <c:v>2.2450000000000001</c:v>
                </c:pt>
                <c:pt idx="716">
                  <c:v>2.2550000000000003</c:v>
                </c:pt>
                <c:pt idx="717">
                  <c:v>2.2650000000000001</c:v>
                </c:pt>
                <c:pt idx="718">
                  <c:v>2.2825000000000002</c:v>
                </c:pt>
                <c:pt idx="719">
                  <c:v>2.3000000000000003</c:v>
                </c:pt>
                <c:pt idx="720">
                  <c:v>2.3200000000000003</c:v>
                </c:pt>
                <c:pt idx="721">
                  <c:v>2.33</c:v>
                </c:pt>
                <c:pt idx="722">
                  <c:v>2.3325000000000005</c:v>
                </c:pt>
                <c:pt idx="723">
                  <c:v>2.3374999999999999</c:v>
                </c:pt>
                <c:pt idx="724">
                  <c:v>2.2349999999999999</c:v>
                </c:pt>
                <c:pt idx="725">
                  <c:v>1.9374999999999998</c:v>
                </c:pt>
                <c:pt idx="726">
                  <c:v>1.4324999999999997</c:v>
                </c:pt>
                <c:pt idx="727">
                  <c:v>1.2099999999999997</c:v>
                </c:pt>
                <c:pt idx="728">
                  <c:v>1.165</c:v>
                </c:pt>
                <c:pt idx="729">
                  <c:v>1.1675000000000002</c:v>
                </c:pt>
                <c:pt idx="730">
                  <c:v>1.1550000000000002</c:v>
                </c:pt>
                <c:pt idx="731">
                  <c:v>1.1325000000000001</c:v>
                </c:pt>
                <c:pt idx="732">
                  <c:v>1.1275000000000002</c:v>
                </c:pt>
                <c:pt idx="733">
                  <c:v>1.1250000000000002</c:v>
                </c:pt>
                <c:pt idx="734">
                  <c:v>1.1199999999999999</c:v>
                </c:pt>
                <c:pt idx="735">
                  <c:v>1.125</c:v>
                </c:pt>
                <c:pt idx="736">
                  <c:v>1.1224999999999998</c:v>
                </c:pt>
                <c:pt idx="737">
                  <c:v>1.1224999999999998</c:v>
                </c:pt>
                <c:pt idx="738">
                  <c:v>1.1299999999999999</c:v>
                </c:pt>
                <c:pt idx="739">
                  <c:v>1.135</c:v>
                </c:pt>
                <c:pt idx="740">
                  <c:v>1.135</c:v>
                </c:pt>
                <c:pt idx="741">
                  <c:v>1.1324999999999998</c:v>
                </c:pt>
                <c:pt idx="742">
                  <c:v>1.1325000000000001</c:v>
                </c:pt>
                <c:pt idx="743">
                  <c:v>1.1325000000000001</c:v>
                </c:pt>
                <c:pt idx="744">
                  <c:v>1.1274999999999999</c:v>
                </c:pt>
                <c:pt idx="745">
                  <c:v>1.1299999999999999</c:v>
                </c:pt>
                <c:pt idx="746">
                  <c:v>1.1325000000000001</c:v>
                </c:pt>
                <c:pt idx="747">
                  <c:v>1.1375000000000002</c:v>
                </c:pt>
                <c:pt idx="748">
                  <c:v>1.1475</c:v>
                </c:pt>
                <c:pt idx="749">
                  <c:v>1.165</c:v>
                </c:pt>
                <c:pt idx="750">
                  <c:v>1.1725000000000001</c:v>
                </c:pt>
                <c:pt idx="751">
                  <c:v>1.175</c:v>
                </c:pt>
                <c:pt idx="752">
                  <c:v>1.1724999999999999</c:v>
                </c:pt>
                <c:pt idx="753">
                  <c:v>1.1725000000000001</c:v>
                </c:pt>
                <c:pt idx="754">
                  <c:v>1.2000000000000002</c:v>
                </c:pt>
                <c:pt idx="755">
                  <c:v>1.2124999999999999</c:v>
                </c:pt>
                <c:pt idx="756">
                  <c:v>1.2074999999999998</c:v>
                </c:pt>
                <c:pt idx="757">
                  <c:v>1.2124999999999999</c:v>
                </c:pt>
                <c:pt idx="758">
                  <c:v>1.22</c:v>
                </c:pt>
                <c:pt idx="759">
                  <c:v>1.2275</c:v>
                </c:pt>
                <c:pt idx="760">
                  <c:v>1.2425000000000002</c:v>
                </c:pt>
                <c:pt idx="761">
                  <c:v>1.2500000000000002</c:v>
                </c:pt>
                <c:pt idx="762">
                  <c:v>1.2575000000000003</c:v>
                </c:pt>
                <c:pt idx="763">
                  <c:v>1.2549999999999999</c:v>
                </c:pt>
                <c:pt idx="764">
                  <c:v>1.2525000000000002</c:v>
                </c:pt>
                <c:pt idx="765">
                  <c:v>1.2674999999999998</c:v>
                </c:pt>
                <c:pt idx="766">
                  <c:v>1.2925</c:v>
                </c:pt>
                <c:pt idx="767">
                  <c:v>1.2974999999999999</c:v>
                </c:pt>
                <c:pt idx="768">
                  <c:v>1.2974999999999999</c:v>
                </c:pt>
                <c:pt idx="769">
                  <c:v>1.2949999999999995</c:v>
                </c:pt>
                <c:pt idx="770">
                  <c:v>1.2999999999999996</c:v>
                </c:pt>
                <c:pt idx="771">
                  <c:v>1.3174999999999994</c:v>
                </c:pt>
                <c:pt idx="772">
                  <c:v>1.3274999999999992</c:v>
                </c:pt>
                <c:pt idx="773">
                  <c:v>1.3349999999999995</c:v>
                </c:pt>
                <c:pt idx="774">
                  <c:v>1.3399999999999994</c:v>
                </c:pt>
                <c:pt idx="775">
                  <c:v>1.3474999999999995</c:v>
                </c:pt>
                <c:pt idx="776">
                  <c:v>1.3524999999999996</c:v>
                </c:pt>
                <c:pt idx="777">
                  <c:v>1.3674999999999997</c:v>
                </c:pt>
                <c:pt idx="778">
                  <c:v>1.3824999999999996</c:v>
                </c:pt>
                <c:pt idx="779">
                  <c:v>1.3874999999999995</c:v>
                </c:pt>
                <c:pt idx="780">
                  <c:v>1.3899999999999997</c:v>
                </c:pt>
                <c:pt idx="781">
                  <c:v>1.4049999999999996</c:v>
                </c:pt>
                <c:pt idx="782">
                  <c:v>1.4199999999999995</c:v>
                </c:pt>
                <c:pt idx="783">
                  <c:v>1.4374999999999998</c:v>
                </c:pt>
                <c:pt idx="784">
                  <c:v>1.4374999999999998</c:v>
                </c:pt>
                <c:pt idx="785">
                  <c:v>1.4400000000000002</c:v>
                </c:pt>
                <c:pt idx="786">
                  <c:v>1.4625000000000001</c:v>
                </c:pt>
                <c:pt idx="787">
                  <c:v>1.47</c:v>
                </c:pt>
                <c:pt idx="788">
                  <c:v>1.4800000000000002</c:v>
                </c:pt>
                <c:pt idx="789">
                  <c:v>1.4875</c:v>
                </c:pt>
                <c:pt idx="790">
                  <c:v>1.49</c:v>
                </c:pt>
                <c:pt idx="791">
                  <c:v>1.5050000000000001</c:v>
                </c:pt>
                <c:pt idx="792">
                  <c:v>1.5300000000000005</c:v>
                </c:pt>
                <c:pt idx="793">
                  <c:v>1.5450000000000006</c:v>
                </c:pt>
                <c:pt idx="794">
                  <c:v>1.5475000000000005</c:v>
                </c:pt>
                <c:pt idx="795">
                  <c:v>1.5450000000000006</c:v>
                </c:pt>
                <c:pt idx="796">
                  <c:v>1.5550000000000002</c:v>
                </c:pt>
                <c:pt idx="797">
                  <c:v>1.5600000000000003</c:v>
                </c:pt>
                <c:pt idx="798">
                  <c:v>1.5600000000000003</c:v>
                </c:pt>
                <c:pt idx="799">
                  <c:v>1.5675000000000001</c:v>
                </c:pt>
                <c:pt idx="800">
                  <c:v>1.5750000000000002</c:v>
                </c:pt>
                <c:pt idx="801">
                  <c:v>1.5850000000000002</c:v>
                </c:pt>
                <c:pt idx="802">
                  <c:v>1.59</c:v>
                </c:pt>
                <c:pt idx="803">
                  <c:v>1.5925000000000002</c:v>
                </c:pt>
                <c:pt idx="804">
                  <c:v>1.6</c:v>
                </c:pt>
                <c:pt idx="805">
                  <c:v>1.6075000000000002</c:v>
                </c:pt>
                <c:pt idx="806">
                  <c:v>1.6275000000000002</c:v>
                </c:pt>
                <c:pt idx="807">
                  <c:v>1.6424999999999998</c:v>
                </c:pt>
                <c:pt idx="808">
                  <c:v>1.6424999999999996</c:v>
                </c:pt>
                <c:pt idx="809">
                  <c:v>1.635</c:v>
                </c:pt>
                <c:pt idx="810">
                  <c:v>1.635</c:v>
                </c:pt>
                <c:pt idx="811">
                  <c:v>1.6549999999999998</c:v>
                </c:pt>
                <c:pt idx="812">
                  <c:v>1.6674999999999998</c:v>
                </c:pt>
                <c:pt idx="813">
                  <c:v>1.6724999999999999</c:v>
                </c:pt>
                <c:pt idx="814">
                  <c:v>1.6675</c:v>
                </c:pt>
                <c:pt idx="815">
                  <c:v>1.6849999999999996</c:v>
                </c:pt>
                <c:pt idx="816">
                  <c:v>1.7</c:v>
                </c:pt>
                <c:pt idx="817">
                  <c:v>1.7250000000000001</c:v>
                </c:pt>
                <c:pt idx="818">
                  <c:v>1.7324999999999997</c:v>
                </c:pt>
                <c:pt idx="819">
                  <c:v>1.7575000000000001</c:v>
                </c:pt>
                <c:pt idx="820">
                  <c:v>1.7725</c:v>
                </c:pt>
                <c:pt idx="821">
                  <c:v>1.7774999999999999</c:v>
                </c:pt>
                <c:pt idx="822">
                  <c:v>1.7925</c:v>
                </c:pt>
                <c:pt idx="823">
                  <c:v>1.8124999999999998</c:v>
                </c:pt>
                <c:pt idx="824">
                  <c:v>1.8299999999999996</c:v>
                </c:pt>
                <c:pt idx="825">
                  <c:v>1.8374999999999997</c:v>
                </c:pt>
                <c:pt idx="826">
                  <c:v>1.835</c:v>
                </c:pt>
                <c:pt idx="827">
                  <c:v>1.8424999999999998</c:v>
                </c:pt>
                <c:pt idx="828">
                  <c:v>1.8474999999999997</c:v>
                </c:pt>
                <c:pt idx="829">
                  <c:v>1.8624999999999998</c:v>
                </c:pt>
                <c:pt idx="830">
                  <c:v>1.8774999999999999</c:v>
                </c:pt>
                <c:pt idx="831">
                  <c:v>1.8649999999999998</c:v>
                </c:pt>
                <c:pt idx="832">
                  <c:v>1.8649999999999998</c:v>
                </c:pt>
                <c:pt idx="833">
                  <c:v>1.8674999999999997</c:v>
                </c:pt>
                <c:pt idx="834">
                  <c:v>1.88</c:v>
                </c:pt>
                <c:pt idx="835">
                  <c:v>1.8924999999999996</c:v>
                </c:pt>
                <c:pt idx="836">
                  <c:v>1.9024999999999996</c:v>
                </c:pt>
                <c:pt idx="837">
                  <c:v>1.8999999999999997</c:v>
                </c:pt>
                <c:pt idx="838">
                  <c:v>1.8899999999999997</c:v>
                </c:pt>
                <c:pt idx="839">
                  <c:v>1.9024999999999996</c:v>
                </c:pt>
                <c:pt idx="840">
                  <c:v>1.9199999999999995</c:v>
                </c:pt>
                <c:pt idx="841">
                  <c:v>1.9174999999999998</c:v>
                </c:pt>
                <c:pt idx="842">
                  <c:v>1.9174999999999995</c:v>
                </c:pt>
                <c:pt idx="843">
                  <c:v>1.9174999999999998</c:v>
                </c:pt>
                <c:pt idx="844">
                  <c:v>1.9349999999999996</c:v>
                </c:pt>
                <c:pt idx="845">
                  <c:v>1.9324999999999999</c:v>
                </c:pt>
                <c:pt idx="846">
                  <c:v>1.9474999999999993</c:v>
                </c:pt>
                <c:pt idx="847">
                  <c:v>1.9499999999999995</c:v>
                </c:pt>
                <c:pt idx="848">
                  <c:v>1.9549999999999994</c:v>
                </c:pt>
                <c:pt idx="849">
                  <c:v>1.9499999999999997</c:v>
                </c:pt>
                <c:pt idx="850">
                  <c:v>1.9524999999999997</c:v>
                </c:pt>
                <c:pt idx="851">
                  <c:v>1.9524999999999997</c:v>
                </c:pt>
                <c:pt idx="852">
                  <c:v>1.9549999999999994</c:v>
                </c:pt>
                <c:pt idx="853">
                  <c:v>1.9574999999999994</c:v>
                </c:pt>
                <c:pt idx="854">
                  <c:v>1.9574999999999994</c:v>
                </c:pt>
                <c:pt idx="855">
                  <c:v>1.9624999999999992</c:v>
                </c:pt>
                <c:pt idx="856">
                  <c:v>1.9699999999999991</c:v>
                </c:pt>
                <c:pt idx="857">
                  <c:v>1.9724999999999993</c:v>
                </c:pt>
                <c:pt idx="858">
                  <c:v>1.9749999999999992</c:v>
                </c:pt>
                <c:pt idx="859">
                  <c:v>1.9774999999999996</c:v>
                </c:pt>
                <c:pt idx="860">
                  <c:v>1.9799999999999998</c:v>
                </c:pt>
                <c:pt idx="861">
                  <c:v>1.9799999999999995</c:v>
                </c:pt>
                <c:pt idx="862">
                  <c:v>1.9749999999999994</c:v>
                </c:pt>
                <c:pt idx="863">
                  <c:v>1.9749999999999994</c:v>
                </c:pt>
                <c:pt idx="864">
                  <c:v>1.9749999999999992</c:v>
                </c:pt>
                <c:pt idx="865">
                  <c:v>1.9799999999999995</c:v>
                </c:pt>
                <c:pt idx="866">
                  <c:v>1.9774999999999994</c:v>
                </c:pt>
                <c:pt idx="867">
                  <c:v>1.9749999999999994</c:v>
                </c:pt>
                <c:pt idx="868">
                  <c:v>1.9699999999999995</c:v>
                </c:pt>
                <c:pt idx="869">
                  <c:v>1.9674999999999996</c:v>
                </c:pt>
                <c:pt idx="870">
                  <c:v>1.9724999999999997</c:v>
                </c:pt>
                <c:pt idx="871">
                  <c:v>1.9724999999999995</c:v>
                </c:pt>
                <c:pt idx="872">
                  <c:v>1.9699999999999995</c:v>
                </c:pt>
                <c:pt idx="873">
                  <c:v>1.9699999999999995</c:v>
                </c:pt>
                <c:pt idx="874">
                  <c:v>1.9674999999999996</c:v>
                </c:pt>
                <c:pt idx="875">
                  <c:v>1.9649999999999999</c:v>
                </c:pt>
                <c:pt idx="876">
                  <c:v>1.96</c:v>
                </c:pt>
                <c:pt idx="877">
                  <c:v>1.9525000000000001</c:v>
                </c:pt>
                <c:pt idx="878">
                  <c:v>1.9500000000000002</c:v>
                </c:pt>
                <c:pt idx="879">
                  <c:v>1.9300000000000002</c:v>
                </c:pt>
                <c:pt idx="880">
                  <c:v>1.9225000000000001</c:v>
                </c:pt>
                <c:pt idx="881">
                  <c:v>1.925</c:v>
                </c:pt>
                <c:pt idx="882">
                  <c:v>1.9025000000000003</c:v>
                </c:pt>
                <c:pt idx="883">
                  <c:v>1.8850000000000005</c:v>
                </c:pt>
                <c:pt idx="884">
                  <c:v>1.8875000000000002</c:v>
                </c:pt>
                <c:pt idx="885">
                  <c:v>1.8775000000000002</c:v>
                </c:pt>
                <c:pt idx="886">
                  <c:v>1.8674999999999999</c:v>
                </c:pt>
                <c:pt idx="887">
                  <c:v>1.8674999999999999</c:v>
                </c:pt>
                <c:pt idx="888">
                  <c:v>1.8699999999999999</c:v>
                </c:pt>
                <c:pt idx="889">
                  <c:v>1.8574999999999997</c:v>
                </c:pt>
                <c:pt idx="890">
                  <c:v>1.8449999999999998</c:v>
                </c:pt>
                <c:pt idx="891">
                  <c:v>1.8474999999999997</c:v>
                </c:pt>
                <c:pt idx="892">
                  <c:v>1.8424999999999998</c:v>
                </c:pt>
                <c:pt idx="893">
                  <c:v>1.8399999999999999</c:v>
                </c:pt>
                <c:pt idx="894">
                  <c:v>1.8299999999999996</c:v>
                </c:pt>
                <c:pt idx="895">
                  <c:v>1.8275000000000001</c:v>
                </c:pt>
                <c:pt idx="896">
                  <c:v>1.8299999999999998</c:v>
                </c:pt>
                <c:pt idx="897">
                  <c:v>1.825</c:v>
                </c:pt>
                <c:pt idx="898">
                  <c:v>1.8175000000000001</c:v>
                </c:pt>
                <c:pt idx="899">
                  <c:v>1.8050000000000002</c:v>
                </c:pt>
                <c:pt idx="900">
                  <c:v>1.7974999999999999</c:v>
                </c:pt>
                <c:pt idx="901">
                  <c:v>1.8025</c:v>
                </c:pt>
                <c:pt idx="902">
                  <c:v>1.7950000000000004</c:v>
                </c:pt>
                <c:pt idx="903">
                  <c:v>1.7825000000000002</c:v>
                </c:pt>
                <c:pt idx="904">
                  <c:v>1.7775000000000003</c:v>
                </c:pt>
                <c:pt idx="905">
                  <c:v>1.7850000000000004</c:v>
                </c:pt>
                <c:pt idx="906">
                  <c:v>1.7600000000000005</c:v>
                </c:pt>
                <c:pt idx="907">
                  <c:v>1.7725000000000004</c:v>
                </c:pt>
                <c:pt idx="908">
                  <c:v>1.7525000000000002</c:v>
                </c:pt>
                <c:pt idx="909">
                  <c:v>1.74</c:v>
                </c:pt>
                <c:pt idx="910">
                  <c:v>1.7425000000000002</c:v>
                </c:pt>
                <c:pt idx="911">
                  <c:v>1.7550000000000001</c:v>
                </c:pt>
                <c:pt idx="912">
                  <c:v>1.7375</c:v>
                </c:pt>
                <c:pt idx="913">
                  <c:v>1.7225000000000001</c:v>
                </c:pt>
                <c:pt idx="914">
                  <c:v>1.7275</c:v>
                </c:pt>
                <c:pt idx="915">
                  <c:v>1.7274999999999998</c:v>
                </c:pt>
                <c:pt idx="916">
                  <c:v>1.7174999999999998</c:v>
                </c:pt>
                <c:pt idx="917">
                  <c:v>1.7124999999999997</c:v>
                </c:pt>
                <c:pt idx="918">
                  <c:v>1.7124999999999997</c:v>
                </c:pt>
                <c:pt idx="919">
                  <c:v>1.7099999999999997</c:v>
                </c:pt>
                <c:pt idx="920">
                  <c:v>1.7099999999999997</c:v>
                </c:pt>
                <c:pt idx="921">
                  <c:v>1.7049999999999996</c:v>
                </c:pt>
                <c:pt idx="922">
                  <c:v>1.7049999999999996</c:v>
                </c:pt>
                <c:pt idx="923">
                  <c:v>1.7024999999999999</c:v>
                </c:pt>
                <c:pt idx="924">
                  <c:v>1.6974999999999996</c:v>
                </c:pt>
                <c:pt idx="925">
                  <c:v>1.6899999999999997</c:v>
                </c:pt>
                <c:pt idx="926">
                  <c:v>1.6799999999999995</c:v>
                </c:pt>
                <c:pt idx="927">
                  <c:v>1.6774999999999995</c:v>
                </c:pt>
                <c:pt idx="928">
                  <c:v>1.6799999999999995</c:v>
                </c:pt>
                <c:pt idx="929">
                  <c:v>1.6774999999999995</c:v>
                </c:pt>
                <c:pt idx="930">
                  <c:v>1.6674999999999998</c:v>
                </c:pt>
                <c:pt idx="931">
                  <c:v>1.6524999999999999</c:v>
                </c:pt>
                <c:pt idx="932">
                  <c:v>1.6574999999999998</c:v>
                </c:pt>
                <c:pt idx="933">
                  <c:v>1.6625000000000001</c:v>
                </c:pt>
                <c:pt idx="934">
                  <c:v>1.6524999999999999</c:v>
                </c:pt>
                <c:pt idx="935">
                  <c:v>1.645</c:v>
                </c:pt>
                <c:pt idx="936">
                  <c:v>1.6525000000000001</c:v>
                </c:pt>
                <c:pt idx="937">
                  <c:v>1.625</c:v>
                </c:pt>
                <c:pt idx="938">
                  <c:v>1.6274999999999999</c:v>
                </c:pt>
                <c:pt idx="939">
                  <c:v>1.6425000000000003</c:v>
                </c:pt>
                <c:pt idx="940">
                  <c:v>1.6274999999999999</c:v>
                </c:pt>
                <c:pt idx="941">
                  <c:v>1.6125</c:v>
                </c:pt>
                <c:pt idx="942">
                  <c:v>1.6124999999999998</c:v>
                </c:pt>
                <c:pt idx="943">
                  <c:v>1.6174999999999997</c:v>
                </c:pt>
                <c:pt idx="944">
                  <c:v>1.6074999999999997</c:v>
                </c:pt>
                <c:pt idx="945">
                  <c:v>1.5949999999999998</c:v>
                </c:pt>
                <c:pt idx="946">
                  <c:v>1.5899999999999999</c:v>
                </c:pt>
                <c:pt idx="947">
                  <c:v>1.5824999999999996</c:v>
                </c:pt>
                <c:pt idx="948">
                  <c:v>1.5874999999999997</c:v>
                </c:pt>
                <c:pt idx="949">
                  <c:v>1.5824999999999998</c:v>
                </c:pt>
                <c:pt idx="950">
                  <c:v>1.5799999999999996</c:v>
                </c:pt>
                <c:pt idx="951">
                  <c:v>1.5774999999999997</c:v>
                </c:pt>
                <c:pt idx="952">
                  <c:v>1.5749999999999995</c:v>
                </c:pt>
                <c:pt idx="953">
                  <c:v>1.5724999999999993</c:v>
                </c:pt>
                <c:pt idx="954">
                  <c:v>1.5724999999999993</c:v>
                </c:pt>
                <c:pt idx="955">
                  <c:v>1.5674999999999992</c:v>
                </c:pt>
                <c:pt idx="956">
                  <c:v>1.5624999999999993</c:v>
                </c:pt>
                <c:pt idx="957">
                  <c:v>1.5599999999999992</c:v>
                </c:pt>
                <c:pt idx="958">
                  <c:v>1.5624999999999993</c:v>
                </c:pt>
                <c:pt idx="959">
                  <c:v>1.557499999999999</c:v>
                </c:pt>
                <c:pt idx="960">
                  <c:v>1.544999999999999</c:v>
                </c:pt>
                <c:pt idx="961">
                  <c:v>1.5424999999999993</c:v>
                </c:pt>
                <c:pt idx="962">
                  <c:v>1.5524999999999991</c:v>
                </c:pt>
                <c:pt idx="963">
                  <c:v>1.554999999999999</c:v>
                </c:pt>
                <c:pt idx="964">
                  <c:v>1.544999999999999</c:v>
                </c:pt>
                <c:pt idx="965">
                  <c:v>1.5499999999999994</c:v>
                </c:pt>
                <c:pt idx="966">
                  <c:v>1.5499999999999992</c:v>
                </c:pt>
                <c:pt idx="967">
                  <c:v>1.5424999999999995</c:v>
                </c:pt>
                <c:pt idx="968">
                  <c:v>1.5749999999999993</c:v>
                </c:pt>
                <c:pt idx="969">
                  <c:v>1.5849999999999995</c:v>
                </c:pt>
                <c:pt idx="970">
                  <c:v>1.585</c:v>
                </c:pt>
                <c:pt idx="971">
                  <c:v>1.5825</c:v>
                </c:pt>
                <c:pt idx="972">
                  <c:v>1.5900000000000003</c:v>
                </c:pt>
                <c:pt idx="973">
                  <c:v>1.5950000000000002</c:v>
                </c:pt>
                <c:pt idx="974">
                  <c:v>1.5900000000000003</c:v>
                </c:pt>
                <c:pt idx="975">
                  <c:v>1.5875000000000001</c:v>
                </c:pt>
                <c:pt idx="976">
                  <c:v>1.5900000000000003</c:v>
                </c:pt>
                <c:pt idx="977">
                  <c:v>1.59</c:v>
                </c:pt>
                <c:pt idx="978">
                  <c:v>1.5874999999999999</c:v>
                </c:pt>
                <c:pt idx="979">
                  <c:v>1.5825</c:v>
                </c:pt>
                <c:pt idx="980">
                  <c:v>1.5725</c:v>
                </c:pt>
                <c:pt idx="981">
                  <c:v>1.57</c:v>
                </c:pt>
                <c:pt idx="982">
                  <c:v>1.5725000000000002</c:v>
                </c:pt>
                <c:pt idx="983">
                  <c:v>1.5725000000000002</c:v>
                </c:pt>
                <c:pt idx="984">
                  <c:v>1.57</c:v>
                </c:pt>
                <c:pt idx="985">
                  <c:v>1.5675000000000001</c:v>
                </c:pt>
                <c:pt idx="986">
                  <c:v>1.5575000000000001</c:v>
                </c:pt>
                <c:pt idx="987">
                  <c:v>1.5475000000000001</c:v>
                </c:pt>
                <c:pt idx="988">
                  <c:v>1.55</c:v>
                </c:pt>
                <c:pt idx="989">
                  <c:v>1.5650000000000002</c:v>
                </c:pt>
                <c:pt idx="990">
                  <c:v>1.5674999999999999</c:v>
                </c:pt>
                <c:pt idx="991">
                  <c:v>1.5625</c:v>
                </c:pt>
                <c:pt idx="992">
                  <c:v>1.5524999999999998</c:v>
                </c:pt>
                <c:pt idx="993">
                  <c:v>1.5399999999999998</c:v>
                </c:pt>
                <c:pt idx="994">
                  <c:v>1.5549999999999997</c:v>
                </c:pt>
                <c:pt idx="995">
                  <c:v>1.5524999999999995</c:v>
                </c:pt>
                <c:pt idx="996">
                  <c:v>1.5324999999999998</c:v>
                </c:pt>
                <c:pt idx="997">
                  <c:v>1.5499999999999998</c:v>
                </c:pt>
                <c:pt idx="998">
                  <c:v>1.5425</c:v>
                </c:pt>
                <c:pt idx="999">
                  <c:v>1.5249999999999999</c:v>
                </c:pt>
                <c:pt idx="1000">
                  <c:v>1.5275000000000001</c:v>
                </c:pt>
                <c:pt idx="1001">
                  <c:v>1.5375000000000001</c:v>
                </c:pt>
                <c:pt idx="1002">
                  <c:v>1.5375000000000001</c:v>
                </c:pt>
                <c:pt idx="1003">
                  <c:v>1.5249999999999997</c:v>
                </c:pt>
                <c:pt idx="1004">
                  <c:v>1.5199999999999998</c:v>
                </c:pt>
                <c:pt idx="1005">
                  <c:v>1.5199999999999998</c:v>
                </c:pt>
                <c:pt idx="1006">
                  <c:v>1.5274999999999999</c:v>
                </c:pt>
                <c:pt idx="1007">
                  <c:v>1.5349999999999999</c:v>
                </c:pt>
                <c:pt idx="1008">
                  <c:v>1.5149999999999999</c:v>
                </c:pt>
                <c:pt idx="1009">
                  <c:v>1.5099999999999996</c:v>
                </c:pt>
                <c:pt idx="1010">
                  <c:v>1.5099999999999996</c:v>
                </c:pt>
                <c:pt idx="1011">
                  <c:v>1.5099999999999996</c:v>
                </c:pt>
                <c:pt idx="1012">
                  <c:v>1.5124999999999995</c:v>
                </c:pt>
                <c:pt idx="1013">
                  <c:v>1.5149999999999997</c:v>
                </c:pt>
                <c:pt idx="1014">
                  <c:v>1.5174999999999996</c:v>
                </c:pt>
                <c:pt idx="1015">
                  <c:v>1.5124999999999997</c:v>
                </c:pt>
                <c:pt idx="1016">
                  <c:v>1.5024999999999999</c:v>
                </c:pt>
                <c:pt idx="1017">
                  <c:v>1.5</c:v>
                </c:pt>
                <c:pt idx="1018">
                  <c:v>1.4975000000000001</c:v>
                </c:pt>
                <c:pt idx="1019">
                  <c:v>1.4975000000000001</c:v>
                </c:pt>
                <c:pt idx="1020">
                  <c:v>1.4975000000000001</c:v>
                </c:pt>
                <c:pt idx="1021">
                  <c:v>1.5</c:v>
                </c:pt>
                <c:pt idx="1022">
                  <c:v>1.4950000000000001</c:v>
                </c:pt>
                <c:pt idx="1023">
                  <c:v>1.4875</c:v>
                </c:pt>
                <c:pt idx="1024">
                  <c:v>1.4875000000000003</c:v>
                </c:pt>
                <c:pt idx="1025">
                  <c:v>1.4800000000000004</c:v>
                </c:pt>
                <c:pt idx="1026">
                  <c:v>1.4725000000000004</c:v>
                </c:pt>
                <c:pt idx="1027">
                  <c:v>1.4600000000000004</c:v>
                </c:pt>
                <c:pt idx="1028">
                  <c:v>1.4350000000000003</c:v>
                </c:pt>
                <c:pt idx="1029">
                  <c:v>1.4400000000000006</c:v>
                </c:pt>
                <c:pt idx="1030">
                  <c:v>1.4275000000000004</c:v>
                </c:pt>
                <c:pt idx="1031">
                  <c:v>1.4075</c:v>
                </c:pt>
                <c:pt idx="1032">
                  <c:v>1.395</c:v>
                </c:pt>
                <c:pt idx="1033">
                  <c:v>1.395</c:v>
                </c:pt>
                <c:pt idx="1034">
                  <c:v>1.3975000000000002</c:v>
                </c:pt>
                <c:pt idx="1035">
                  <c:v>1.3875</c:v>
                </c:pt>
                <c:pt idx="1036">
                  <c:v>1.3699999999999999</c:v>
                </c:pt>
                <c:pt idx="1037">
                  <c:v>1.3649999999999995</c:v>
                </c:pt>
                <c:pt idx="1038">
                  <c:v>1.3599999999999997</c:v>
                </c:pt>
                <c:pt idx="1039">
                  <c:v>1.3599999999999997</c:v>
                </c:pt>
                <c:pt idx="1040">
                  <c:v>1.3624999999999998</c:v>
                </c:pt>
                <c:pt idx="1041">
                  <c:v>1.3574999999999995</c:v>
                </c:pt>
                <c:pt idx="1042">
                  <c:v>1.3524999999999996</c:v>
                </c:pt>
                <c:pt idx="1043">
                  <c:v>1.3499999999999999</c:v>
                </c:pt>
                <c:pt idx="1044">
                  <c:v>1.3499999999999992</c:v>
                </c:pt>
                <c:pt idx="1045">
                  <c:v>1.3474999999999997</c:v>
                </c:pt>
                <c:pt idx="1046">
                  <c:v>1.3499999999999994</c:v>
                </c:pt>
                <c:pt idx="1047">
                  <c:v>1.3549999999999998</c:v>
                </c:pt>
                <c:pt idx="1048">
                  <c:v>1.3474999999999997</c:v>
                </c:pt>
                <c:pt idx="1049">
                  <c:v>1.3374999999999997</c:v>
                </c:pt>
                <c:pt idx="1050">
                  <c:v>1.3349999999999997</c:v>
                </c:pt>
                <c:pt idx="1051">
                  <c:v>1.3299999999999996</c:v>
                </c:pt>
                <c:pt idx="1052">
                  <c:v>1.3274999999999999</c:v>
                </c:pt>
                <c:pt idx="1053">
                  <c:v>1.325</c:v>
                </c:pt>
                <c:pt idx="1054">
                  <c:v>1.3099999999999998</c:v>
                </c:pt>
                <c:pt idx="1055">
                  <c:v>1.3225000000000002</c:v>
                </c:pt>
                <c:pt idx="1056">
                  <c:v>1.3200000000000003</c:v>
                </c:pt>
                <c:pt idx="1057">
                  <c:v>1.3075000000000001</c:v>
                </c:pt>
                <c:pt idx="1058">
                  <c:v>1.3125</c:v>
                </c:pt>
                <c:pt idx="1059">
                  <c:v>1.3075000000000001</c:v>
                </c:pt>
                <c:pt idx="1060">
                  <c:v>1.2975000000000001</c:v>
                </c:pt>
                <c:pt idx="1061">
                  <c:v>1.2849999999999999</c:v>
                </c:pt>
                <c:pt idx="1062">
                  <c:v>1.2824999999999998</c:v>
                </c:pt>
                <c:pt idx="1063">
                  <c:v>1.2925</c:v>
                </c:pt>
                <c:pt idx="1064">
                  <c:v>1.2950000000000002</c:v>
                </c:pt>
                <c:pt idx="1065">
                  <c:v>1.2925000000000002</c:v>
                </c:pt>
                <c:pt idx="1066">
                  <c:v>1.2775000000000003</c:v>
                </c:pt>
                <c:pt idx="1067">
                  <c:v>1.2675000000000003</c:v>
                </c:pt>
                <c:pt idx="1068">
                  <c:v>1.2725000000000002</c:v>
                </c:pt>
                <c:pt idx="1069">
                  <c:v>1.2725000000000004</c:v>
                </c:pt>
                <c:pt idx="1070">
                  <c:v>1.2750000000000006</c:v>
                </c:pt>
                <c:pt idx="1071">
                  <c:v>1.2750000000000001</c:v>
                </c:pt>
                <c:pt idx="1072">
                  <c:v>1.2725000000000002</c:v>
                </c:pt>
                <c:pt idx="1073">
                  <c:v>1.2674999999999998</c:v>
                </c:pt>
                <c:pt idx="1074">
                  <c:v>1.2525000000000002</c:v>
                </c:pt>
                <c:pt idx="1075">
                  <c:v>1.2450000000000001</c:v>
                </c:pt>
                <c:pt idx="1076">
                  <c:v>1.2425000000000002</c:v>
                </c:pt>
                <c:pt idx="1077">
                  <c:v>1.24</c:v>
                </c:pt>
                <c:pt idx="1078">
                  <c:v>1.2424999999999999</c:v>
                </c:pt>
                <c:pt idx="1079">
                  <c:v>1.2524999999999999</c:v>
                </c:pt>
                <c:pt idx="1080">
                  <c:v>1.2524999999999997</c:v>
                </c:pt>
                <c:pt idx="1081">
                  <c:v>1.24</c:v>
                </c:pt>
                <c:pt idx="1082">
                  <c:v>1.2274999999999998</c:v>
                </c:pt>
                <c:pt idx="1083">
                  <c:v>1.2250000000000001</c:v>
                </c:pt>
                <c:pt idx="1084">
                  <c:v>1.2275</c:v>
                </c:pt>
                <c:pt idx="1085">
                  <c:v>1.2325000000000002</c:v>
                </c:pt>
                <c:pt idx="1086">
                  <c:v>1.2250000000000001</c:v>
                </c:pt>
                <c:pt idx="1087">
                  <c:v>1.2274999999999998</c:v>
                </c:pt>
                <c:pt idx="1088">
                  <c:v>1.2349999999999999</c:v>
                </c:pt>
                <c:pt idx="1089">
                  <c:v>1.2224999999999999</c:v>
                </c:pt>
                <c:pt idx="1090">
                  <c:v>1.2199999999999998</c:v>
                </c:pt>
                <c:pt idx="1091">
                  <c:v>1.2174999999999998</c:v>
                </c:pt>
                <c:pt idx="1092">
                  <c:v>1.2199999999999995</c:v>
                </c:pt>
                <c:pt idx="1093">
                  <c:v>1.2074999999999998</c:v>
                </c:pt>
                <c:pt idx="1094">
                  <c:v>1.2049999999999996</c:v>
                </c:pt>
                <c:pt idx="1095">
                  <c:v>1.2024999999999999</c:v>
                </c:pt>
                <c:pt idx="1096">
                  <c:v>1.2</c:v>
                </c:pt>
                <c:pt idx="1097">
                  <c:v>1.2</c:v>
                </c:pt>
                <c:pt idx="1098">
                  <c:v>1.1950000000000001</c:v>
                </c:pt>
                <c:pt idx="1099">
                  <c:v>1.1875000000000002</c:v>
                </c:pt>
                <c:pt idx="1100">
                  <c:v>1.1825000000000001</c:v>
                </c:pt>
                <c:pt idx="1101">
                  <c:v>1.1825000000000001</c:v>
                </c:pt>
                <c:pt idx="1102">
                  <c:v>1.1850000000000001</c:v>
                </c:pt>
                <c:pt idx="1103">
                  <c:v>1.1950000000000001</c:v>
                </c:pt>
                <c:pt idx="1104">
                  <c:v>1.1950000000000001</c:v>
                </c:pt>
                <c:pt idx="1105">
                  <c:v>1.1924999999999999</c:v>
                </c:pt>
                <c:pt idx="1106">
                  <c:v>1.19</c:v>
                </c:pt>
                <c:pt idx="1107">
                  <c:v>1.1824999999999999</c:v>
                </c:pt>
                <c:pt idx="1108">
                  <c:v>1.1774999999999995</c:v>
                </c:pt>
                <c:pt idx="1109">
                  <c:v>1.1699999999999997</c:v>
                </c:pt>
                <c:pt idx="1110">
                  <c:v>1.1699999999999997</c:v>
                </c:pt>
                <c:pt idx="1111">
                  <c:v>1.1824999999999999</c:v>
                </c:pt>
                <c:pt idx="1112">
                  <c:v>1.1825000000000001</c:v>
                </c:pt>
                <c:pt idx="1113">
                  <c:v>1.1800000000000002</c:v>
                </c:pt>
                <c:pt idx="1114">
                  <c:v>1.1775</c:v>
                </c:pt>
                <c:pt idx="1115">
                  <c:v>1.1775</c:v>
                </c:pt>
                <c:pt idx="1116">
                  <c:v>1.1900000000000002</c:v>
                </c:pt>
                <c:pt idx="1117">
                  <c:v>1.1900000000000002</c:v>
                </c:pt>
                <c:pt idx="1118">
                  <c:v>1.1949999999999998</c:v>
                </c:pt>
                <c:pt idx="1119">
                  <c:v>1.2049999999999998</c:v>
                </c:pt>
                <c:pt idx="1120">
                  <c:v>1.2150000000000001</c:v>
                </c:pt>
                <c:pt idx="1121">
                  <c:v>1.2150000000000001</c:v>
                </c:pt>
                <c:pt idx="1122">
                  <c:v>1.2175</c:v>
                </c:pt>
                <c:pt idx="1123">
                  <c:v>1.2275</c:v>
                </c:pt>
                <c:pt idx="1124">
                  <c:v>1.2250000000000001</c:v>
                </c:pt>
                <c:pt idx="1125">
                  <c:v>1.2275</c:v>
                </c:pt>
                <c:pt idx="1126">
                  <c:v>1.23</c:v>
                </c:pt>
                <c:pt idx="1127">
                  <c:v>1.2300000000000002</c:v>
                </c:pt>
                <c:pt idx="1128">
                  <c:v>1.23</c:v>
                </c:pt>
                <c:pt idx="1129">
                  <c:v>1.23</c:v>
                </c:pt>
                <c:pt idx="1130">
                  <c:v>1.2325000000000002</c:v>
                </c:pt>
                <c:pt idx="1131">
                  <c:v>1.2300000000000002</c:v>
                </c:pt>
                <c:pt idx="1132">
                  <c:v>1.2275000000000003</c:v>
                </c:pt>
                <c:pt idx="1133">
                  <c:v>1.2250000000000005</c:v>
                </c:pt>
                <c:pt idx="1134">
                  <c:v>1.2275000000000003</c:v>
                </c:pt>
                <c:pt idx="1135">
                  <c:v>1.2275000000000003</c:v>
                </c:pt>
                <c:pt idx="1136">
                  <c:v>1.2250000000000003</c:v>
                </c:pt>
                <c:pt idx="1137">
                  <c:v>1.2250000000000003</c:v>
                </c:pt>
                <c:pt idx="1138">
                  <c:v>1.2250000000000003</c:v>
                </c:pt>
                <c:pt idx="1139">
                  <c:v>1.22</c:v>
                </c:pt>
                <c:pt idx="1140">
                  <c:v>1.2224999999999999</c:v>
                </c:pt>
                <c:pt idx="1141">
                  <c:v>1.2275</c:v>
                </c:pt>
                <c:pt idx="1142">
                  <c:v>1.23</c:v>
                </c:pt>
                <c:pt idx="1143">
                  <c:v>1.2325000000000002</c:v>
                </c:pt>
                <c:pt idx="1144">
                  <c:v>1.2425000000000002</c:v>
                </c:pt>
                <c:pt idx="1145">
                  <c:v>1.2325000000000006</c:v>
                </c:pt>
                <c:pt idx="1146">
                  <c:v>1.2275000000000005</c:v>
                </c:pt>
                <c:pt idx="1147">
                  <c:v>1.2225000000000006</c:v>
                </c:pt>
                <c:pt idx="1148">
                  <c:v>1.2175000000000005</c:v>
                </c:pt>
                <c:pt idx="1149">
                  <c:v>1.2225000000000004</c:v>
                </c:pt>
                <c:pt idx="1150">
                  <c:v>1.2200000000000002</c:v>
                </c:pt>
                <c:pt idx="1151">
                  <c:v>1.2200000000000004</c:v>
                </c:pt>
                <c:pt idx="1152">
                  <c:v>1.2125000000000006</c:v>
                </c:pt>
                <c:pt idx="1153">
                  <c:v>1.2150000000000003</c:v>
                </c:pt>
                <c:pt idx="1154">
                  <c:v>1.2125000000000001</c:v>
                </c:pt>
                <c:pt idx="1155">
                  <c:v>1.2175000000000002</c:v>
                </c:pt>
                <c:pt idx="1156">
                  <c:v>1.2200000000000002</c:v>
                </c:pt>
                <c:pt idx="1157">
                  <c:v>1.2175000000000005</c:v>
                </c:pt>
                <c:pt idx="1158">
                  <c:v>1.2150000000000003</c:v>
                </c:pt>
                <c:pt idx="1159">
                  <c:v>1.2100000000000004</c:v>
                </c:pt>
                <c:pt idx="1160">
                  <c:v>1.2075000000000002</c:v>
                </c:pt>
                <c:pt idx="1161">
                  <c:v>1.2050000000000003</c:v>
                </c:pt>
                <c:pt idx="1162">
                  <c:v>1.1975000000000002</c:v>
                </c:pt>
                <c:pt idx="1163">
                  <c:v>1.1900000000000004</c:v>
                </c:pt>
                <c:pt idx="1164">
                  <c:v>1.1950000000000003</c:v>
                </c:pt>
                <c:pt idx="1165">
                  <c:v>1.2000000000000004</c:v>
                </c:pt>
                <c:pt idx="1166">
                  <c:v>1.2050000000000005</c:v>
                </c:pt>
                <c:pt idx="1167">
                  <c:v>1.2050000000000005</c:v>
                </c:pt>
                <c:pt idx="1168">
                  <c:v>1.2100000000000006</c:v>
                </c:pt>
                <c:pt idx="1169">
                  <c:v>1.2075000000000005</c:v>
                </c:pt>
                <c:pt idx="1170">
                  <c:v>1.2050000000000003</c:v>
                </c:pt>
                <c:pt idx="1171">
                  <c:v>1.1975000000000002</c:v>
                </c:pt>
                <c:pt idx="1172">
                  <c:v>1.1975</c:v>
                </c:pt>
                <c:pt idx="1173">
                  <c:v>1.2074999999999998</c:v>
                </c:pt>
                <c:pt idx="1174">
                  <c:v>1.21</c:v>
                </c:pt>
                <c:pt idx="1175">
                  <c:v>1.1949999999999998</c:v>
                </c:pt>
                <c:pt idx="1176">
                  <c:v>1.1999999999999997</c:v>
                </c:pt>
                <c:pt idx="1177">
                  <c:v>1.1924999999999997</c:v>
                </c:pt>
                <c:pt idx="1178">
                  <c:v>1.1724999999999997</c:v>
                </c:pt>
                <c:pt idx="1179">
                  <c:v>1.1574999999999998</c:v>
                </c:pt>
                <c:pt idx="1180">
                  <c:v>1.1549999999999996</c:v>
                </c:pt>
                <c:pt idx="1181">
                  <c:v>1.1649999999999994</c:v>
                </c:pt>
                <c:pt idx="1182">
                  <c:v>1.1599999999999997</c:v>
                </c:pt>
                <c:pt idx="1183">
                  <c:v>1.1374999999999997</c:v>
                </c:pt>
                <c:pt idx="1184">
                  <c:v>1.1274999999999999</c:v>
                </c:pt>
                <c:pt idx="1185">
                  <c:v>1.1249999999999998</c:v>
                </c:pt>
                <c:pt idx="1186">
                  <c:v>1.1224999999999998</c:v>
                </c:pt>
                <c:pt idx="1187">
                  <c:v>1.1249999999999998</c:v>
                </c:pt>
                <c:pt idx="1188">
                  <c:v>1.1249999999999996</c:v>
                </c:pt>
                <c:pt idx="1189">
                  <c:v>1.1199999999999997</c:v>
                </c:pt>
                <c:pt idx="1190">
                  <c:v>1.1124999999999996</c:v>
                </c:pt>
                <c:pt idx="1191">
                  <c:v>1.1124999999999998</c:v>
                </c:pt>
                <c:pt idx="1192">
                  <c:v>1.1099999999999997</c:v>
                </c:pt>
                <c:pt idx="1193">
                  <c:v>1.1099999999999997</c:v>
                </c:pt>
                <c:pt idx="1194">
                  <c:v>1.1124999999999996</c:v>
                </c:pt>
                <c:pt idx="1195">
                  <c:v>1.1124999999999996</c:v>
                </c:pt>
                <c:pt idx="1196">
                  <c:v>1.1149999999999995</c:v>
                </c:pt>
                <c:pt idx="1197">
                  <c:v>1.1199999999999997</c:v>
                </c:pt>
                <c:pt idx="1198">
                  <c:v>1.1174999999999999</c:v>
                </c:pt>
                <c:pt idx="1199">
                  <c:v>1.1125</c:v>
                </c:pt>
                <c:pt idx="1200">
                  <c:v>1.1074999999999997</c:v>
                </c:pt>
                <c:pt idx="1201">
                  <c:v>1.0999999999999999</c:v>
                </c:pt>
                <c:pt idx="1202">
                  <c:v>1.0974999999999999</c:v>
                </c:pt>
                <c:pt idx="1203">
                  <c:v>1.0974999999999999</c:v>
                </c:pt>
                <c:pt idx="1204">
                  <c:v>1.0874999999999999</c:v>
                </c:pt>
                <c:pt idx="1205">
                  <c:v>1.0974999999999999</c:v>
                </c:pt>
                <c:pt idx="1206">
                  <c:v>1.0999999999999999</c:v>
                </c:pt>
                <c:pt idx="1207">
                  <c:v>1.0949999999999998</c:v>
                </c:pt>
                <c:pt idx="1208">
                  <c:v>1.0899999999999999</c:v>
                </c:pt>
                <c:pt idx="1209">
                  <c:v>1.0874999999999999</c:v>
                </c:pt>
                <c:pt idx="1210">
                  <c:v>1.0899999999999999</c:v>
                </c:pt>
                <c:pt idx="1211">
                  <c:v>1.085</c:v>
                </c:pt>
                <c:pt idx="1212">
                  <c:v>1.085</c:v>
                </c:pt>
                <c:pt idx="1213">
                  <c:v>1.0825</c:v>
                </c:pt>
                <c:pt idx="1214">
                  <c:v>1.0774999999999999</c:v>
                </c:pt>
                <c:pt idx="1215">
                  <c:v>1.0749999999999997</c:v>
                </c:pt>
                <c:pt idx="1216">
                  <c:v>1.0824999999999998</c:v>
                </c:pt>
                <c:pt idx="1217">
                  <c:v>1.0799999999999996</c:v>
                </c:pt>
                <c:pt idx="1218">
                  <c:v>1.0849999999999997</c:v>
                </c:pt>
                <c:pt idx="1219">
                  <c:v>1.085</c:v>
                </c:pt>
                <c:pt idx="1220">
                  <c:v>1.0849999999999997</c:v>
                </c:pt>
                <c:pt idx="1221">
                  <c:v>1.0824999999999996</c:v>
                </c:pt>
                <c:pt idx="1222">
                  <c:v>1.0849999999999997</c:v>
                </c:pt>
                <c:pt idx="1223">
                  <c:v>1.0824999999999996</c:v>
                </c:pt>
                <c:pt idx="1224">
                  <c:v>1.0824999999999996</c:v>
                </c:pt>
                <c:pt idx="1225">
                  <c:v>1.0799999999999996</c:v>
                </c:pt>
                <c:pt idx="1226">
                  <c:v>1.0774999999999997</c:v>
                </c:pt>
                <c:pt idx="1227">
                  <c:v>1.0799999999999996</c:v>
                </c:pt>
                <c:pt idx="1228">
                  <c:v>1.0799999999999996</c:v>
                </c:pt>
                <c:pt idx="1229">
                  <c:v>1.0799999999999996</c:v>
                </c:pt>
                <c:pt idx="1230">
                  <c:v>1.0724999999999996</c:v>
                </c:pt>
                <c:pt idx="1231">
                  <c:v>1.0699999999999998</c:v>
                </c:pt>
                <c:pt idx="1232">
                  <c:v>1.0724999999999996</c:v>
                </c:pt>
                <c:pt idx="1233">
                  <c:v>1.0949999999999998</c:v>
                </c:pt>
                <c:pt idx="1234">
                  <c:v>1.1099999999999997</c:v>
                </c:pt>
                <c:pt idx="1235">
                  <c:v>1.1024999999999998</c:v>
                </c:pt>
                <c:pt idx="1236">
                  <c:v>1.0899999999999999</c:v>
                </c:pt>
                <c:pt idx="1237">
                  <c:v>1.0824999999999998</c:v>
                </c:pt>
                <c:pt idx="1238">
                  <c:v>1.0799999999999998</c:v>
                </c:pt>
                <c:pt idx="1239">
                  <c:v>1.0774999999999999</c:v>
                </c:pt>
                <c:pt idx="1240">
                  <c:v>1.0674999999999997</c:v>
                </c:pt>
                <c:pt idx="1241">
                  <c:v>1.0549999999999999</c:v>
                </c:pt>
                <c:pt idx="1242">
                  <c:v>1.0549999999999999</c:v>
                </c:pt>
                <c:pt idx="1243">
                  <c:v>1.06</c:v>
                </c:pt>
                <c:pt idx="1244">
                  <c:v>1.0674999999999999</c:v>
                </c:pt>
                <c:pt idx="1245">
                  <c:v>1.0649999999999999</c:v>
                </c:pt>
                <c:pt idx="1246">
                  <c:v>1.0650000000000002</c:v>
                </c:pt>
                <c:pt idx="1247">
                  <c:v>1.0575000000000001</c:v>
                </c:pt>
                <c:pt idx="1248">
                  <c:v>1.04</c:v>
                </c:pt>
                <c:pt idx="1249">
                  <c:v>1.0375000000000001</c:v>
                </c:pt>
                <c:pt idx="1250">
                  <c:v>1.0349999999999999</c:v>
                </c:pt>
                <c:pt idx="1251">
                  <c:v>1.0349999999999999</c:v>
                </c:pt>
                <c:pt idx="1252">
                  <c:v>1.0425</c:v>
                </c:pt>
                <c:pt idx="1253">
                  <c:v>1.0450000000000002</c:v>
                </c:pt>
                <c:pt idx="1254">
                  <c:v>1.05</c:v>
                </c:pt>
                <c:pt idx="1255">
                  <c:v>1.05</c:v>
                </c:pt>
                <c:pt idx="1256">
                  <c:v>1.0475000000000001</c:v>
                </c:pt>
                <c:pt idx="1257">
                  <c:v>1.0425000000000002</c:v>
                </c:pt>
                <c:pt idx="1258">
                  <c:v>1.0400000000000003</c:v>
                </c:pt>
                <c:pt idx="1259">
                  <c:v>1.0325000000000002</c:v>
                </c:pt>
                <c:pt idx="1260">
                  <c:v>1.0275000000000003</c:v>
                </c:pt>
                <c:pt idx="1261">
                  <c:v>1.0400000000000003</c:v>
                </c:pt>
                <c:pt idx="1262">
                  <c:v>1.0525000000000002</c:v>
                </c:pt>
                <c:pt idx="1263">
                  <c:v>1.0675000000000001</c:v>
                </c:pt>
                <c:pt idx="1264">
                  <c:v>1.0775000000000001</c:v>
                </c:pt>
                <c:pt idx="1265">
                  <c:v>1.0650000000000002</c:v>
                </c:pt>
                <c:pt idx="1266">
                  <c:v>1.07</c:v>
                </c:pt>
                <c:pt idx="1267">
                  <c:v>1.075</c:v>
                </c:pt>
                <c:pt idx="1268">
                  <c:v>1.075</c:v>
                </c:pt>
                <c:pt idx="1269">
                  <c:v>1.0725</c:v>
                </c:pt>
                <c:pt idx="1270">
                  <c:v>1.0850000000000002</c:v>
                </c:pt>
                <c:pt idx="1271">
                  <c:v>1.0875000000000001</c:v>
                </c:pt>
                <c:pt idx="1272">
                  <c:v>1.0899999999999999</c:v>
                </c:pt>
                <c:pt idx="1273">
                  <c:v>1.0974999999999999</c:v>
                </c:pt>
                <c:pt idx="1274">
                  <c:v>1.0999999999999999</c:v>
                </c:pt>
                <c:pt idx="1275">
                  <c:v>1.0974999999999999</c:v>
                </c:pt>
                <c:pt idx="1276">
                  <c:v>1.0925</c:v>
                </c:pt>
                <c:pt idx="1277">
                  <c:v>1.095</c:v>
                </c:pt>
                <c:pt idx="1278">
                  <c:v>1.0825</c:v>
                </c:pt>
                <c:pt idx="1279">
                  <c:v>1.0825</c:v>
                </c:pt>
                <c:pt idx="1280">
                  <c:v>1.0825</c:v>
                </c:pt>
                <c:pt idx="1281">
                  <c:v>1.085</c:v>
                </c:pt>
                <c:pt idx="1282">
                  <c:v>1.0825</c:v>
                </c:pt>
                <c:pt idx="1283">
                  <c:v>1.0799999999999998</c:v>
                </c:pt>
                <c:pt idx="1284">
                  <c:v>1.0725</c:v>
                </c:pt>
                <c:pt idx="1285">
                  <c:v>1.0725</c:v>
                </c:pt>
                <c:pt idx="1286">
                  <c:v>1.0725000000000002</c:v>
                </c:pt>
                <c:pt idx="1287">
                  <c:v>1.0850000000000002</c:v>
                </c:pt>
                <c:pt idx="1288">
                  <c:v>1.0825</c:v>
                </c:pt>
                <c:pt idx="1289">
                  <c:v>1.0825</c:v>
                </c:pt>
                <c:pt idx="1290">
                  <c:v>1.0850000000000002</c:v>
                </c:pt>
                <c:pt idx="1291">
                  <c:v>1.0825</c:v>
                </c:pt>
                <c:pt idx="1292">
                  <c:v>1.075</c:v>
                </c:pt>
                <c:pt idx="1293">
                  <c:v>1.0700000000000003</c:v>
                </c:pt>
                <c:pt idx="1294">
                  <c:v>1.0800000000000003</c:v>
                </c:pt>
                <c:pt idx="1295">
                  <c:v>1.0700000000000003</c:v>
                </c:pt>
                <c:pt idx="1296">
                  <c:v>1.0575000000000001</c:v>
                </c:pt>
                <c:pt idx="1297">
                  <c:v>1.0650000000000002</c:v>
                </c:pt>
                <c:pt idx="1298">
                  <c:v>1.0775000000000001</c:v>
                </c:pt>
                <c:pt idx="1299">
                  <c:v>1.0800000000000003</c:v>
                </c:pt>
                <c:pt idx="1300">
                  <c:v>1.0825000000000002</c:v>
                </c:pt>
                <c:pt idx="1301">
                  <c:v>1.0799999999999998</c:v>
                </c:pt>
                <c:pt idx="1302">
                  <c:v>1.0799999999999998</c:v>
                </c:pt>
                <c:pt idx="1303">
                  <c:v>1.075</c:v>
                </c:pt>
                <c:pt idx="1304">
                  <c:v>1.075</c:v>
                </c:pt>
                <c:pt idx="1305">
                  <c:v>1.0825</c:v>
                </c:pt>
                <c:pt idx="1306">
                  <c:v>1.0799999999999998</c:v>
                </c:pt>
                <c:pt idx="1307">
                  <c:v>1.0799999999999998</c:v>
                </c:pt>
                <c:pt idx="1308">
                  <c:v>1.0799999999999998</c:v>
                </c:pt>
                <c:pt idx="1309">
                  <c:v>1.0774999999999999</c:v>
                </c:pt>
                <c:pt idx="1310">
                  <c:v>1.0774999999999999</c:v>
                </c:pt>
                <c:pt idx="1311">
                  <c:v>1.0749999999999997</c:v>
                </c:pt>
                <c:pt idx="1312">
                  <c:v>1.0699999999999998</c:v>
                </c:pt>
                <c:pt idx="1313">
                  <c:v>1.0674999999999997</c:v>
                </c:pt>
                <c:pt idx="1314">
                  <c:v>1.0649999999999999</c:v>
                </c:pt>
                <c:pt idx="1315">
                  <c:v>1.0749999999999997</c:v>
                </c:pt>
                <c:pt idx="1316">
                  <c:v>1.0849999999999997</c:v>
                </c:pt>
                <c:pt idx="1317">
                  <c:v>1.0849999999999997</c:v>
                </c:pt>
                <c:pt idx="1318">
                  <c:v>1.085</c:v>
                </c:pt>
                <c:pt idx="1319">
                  <c:v>1.0849999999999997</c:v>
                </c:pt>
                <c:pt idx="1320">
                  <c:v>1.0849999999999997</c:v>
                </c:pt>
                <c:pt idx="1321">
                  <c:v>1.0725</c:v>
                </c:pt>
                <c:pt idx="1322">
                  <c:v>1.0599999999999998</c:v>
                </c:pt>
                <c:pt idx="1323">
                  <c:v>1.0774999999999999</c:v>
                </c:pt>
                <c:pt idx="1324">
                  <c:v>1.0774999999999999</c:v>
                </c:pt>
                <c:pt idx="1325">
                  <c:v>1.0599999999999998</c:v>
                </c:pt>
                <c:pt idx="1326">
                  <c:v>1.0574999999999999</c:v>
                </c:pt>
                <c:pt idx="1327">
                  <c:v>1.0599999999999998</c:v>
                </c:pt>
                <c:pt idx="1328">
                  <c:v>1.0525</c:v>
                </c:pt>
                <c:pt idx="1329">
                  <c:v>1.04</c:v>
                </c:pt>
                <c:pt idx="1330">
                  <c:v>1.0225</c:v>
                </c:pt>
                <c:pt idx="1331">
                  <c:v>1.0275000000000001</c:v>
                </c:pt>
                <c:pt idx="1332">
                  <c:v>1.0249999999999999</c:v>
                </c:pt>
                <c:pt idx="1333">
                  <c:v>1.0275000000000001</c:v>
                </c:pt>
                <c:pt idx="1334">
                  <c:v>1.0275000000000001</c:v>
                </c:pt>
                <c:pt idx="1335">
                  <c:v>1.02</c:v>
                </c:pt>
                <c:pt idx="1336">
                  <c:v>1.0125000000000002</c:v>
                </c:pt>
                <c:pt idx="1337">
                  <c:v>1.0125000000000002</c:v>
                </c:pt>
                <c:pt idx="1338">
                  <c:v>1.0100000000000002</c:v>
                </c:pt>
                <c:pt idx="1339">
                  <c:v>1.0075000000000001</c:v>
                </c:pt>
                <c:pt idx="1340">
                  <c:v>1.0100000000000002</c:v>
                </c:pt>
                <c:pt idx="1341">
                  <c:v>1.0075000000000001</c:v>
                </c:pt>
                <c:pt idx="1342">
                  <c:v>1.0075000000000001</c:v>
                </c:pt>
                <c:pt idx="1343">
                  <c:v>1.0125000000000002</c:v>
                </c:pt>
                <c:pt idx="1344">
                  <c:v>1.0225</c:v>
                </c:pt>
                <c:pt idx="1345">
                  <c:v>1.0249999999999999</c:v>
                </c:pt>
                <c:pt idx="1346">
                  <c:v>1.0249999999999999</c:v>
                </c:pt>
                <c:pt idx="1347">
                  <c:v>1.01</c:v>
                </c:pt>
                <c:pt idx="1348">
                  <c:v>1.0074999999999998</c:v>
                </c:pt>
                <c:pt idx="1349">
                  <c:v>1.0075000000000001</c:v>
                </c:pt>
                <c:pt idx="1350">
                  <c:v>1.0074999999999998</c:v>
                </c:pt>
                <c:pt idx="1351">
                  <c:v>1.0074999999999998</c:v>
                </c:pt>
                <c:pt idx="1352">
                  <c:v>1.0125</c:v>
                </c:pt>
                <c:pt idx="1353">
                  <c:v>1.0149999999999999</c:v>
                </c:pt>
                <c:pt idx="1354">
                  <c:v>0.99999999999999989</c:v>
                </c:pt>
                <c:pt idx="1355">
                  <c:v>1.0024999999999999</c:v>
                </c:pt>
                <c:pt idx="1356">
                  <c:v>1.01</c:v>
                </c:pt>
                <c:pt idx="1357">
                  <c:v>1.01</c:v>
                </c:pt>
                <c:pt idx="1358">
                  <c:v>0.99749999999999983</c:v>
                </c:pt>
                <c:pt idx="1359">
                  <c:v>0.99499999999999966</c:v>
                </c:pt>
                <c:pt idx="1360">
                  <c:v>0.9974999999999995</c:v>
                </c:pt>
                <c:pt idx="1361">
                  <c:v>1.0049999999999997</c:v>
                </c:pt>
                <c:pt idx="1362">
                  <c:v>1.0024999999999997</c:v>
                </c:pt>
                <c:pt idx="1363">
                  <c:v>1.0049999999999994</c:v>
                </c:pt>
                <c:pt idx="1364">
                  <c:v>1.0049999999999997</c:v>
                </c:pt>
                <c:pt idx="1365">
                  <c:v>0.99749999999999972</c:v>
                </c:pt>
                <c:pt idx="1366">
                  <c:v>0.99999999999999967</c:v>
                </c:pt>
                <c:pt idx="1367">
                  <c:v>0.9974999999999995</c:v>
                </c:pt>
                <c:pt idx="1368">
                  <c:v>0.99499999999999955</c:v>
                </c:pt>
                <c:pt idx="1369">
                  <c:v>0.99499999999999955</c:v>
                </c:pt>
                <c:pt idx="1370">
                  <c:v>0.99499999999999944</c:v>
                </c:pt>
                <c:pt idx="1371">
                  <c:v>0.9974999999999995</c:v>
                </c:pt>
                <c:pt idx="1372">
                  <c:v>0.99749999999999972</c:v>
                </c:pt>
                <c:pt idx="1373">
                  <c:v>1.0024999999999997</c:v>
                </c:pt>
                <c:pt idx="1374">
                  <c:v>1.0049999999999997</c:v>
                </c:pt>
                <c:pt idx="1375">
                  <c:v>1.0049999999999997</c:v>
                </c:pt>
                <c:pt idx="1376">
                  <c:v>0.99749999999999972</c:v>
                </c:pt>
                <c:pt idx="1377">
                  <c:v>0.99499999999999966</c:v>
                </c:pt>
                <c:pt idx="1378">
                  <c:v>0.99499999999999966</c:v>
                </c:pt>
                <c:pt idx="1379">
                  <c:v>0.99749999999999983</c:v>
                </c:pt>
                <c:pt idx="1380">
                  <c:v>0.99499999999999977</c:v>
                </c:pt>
                <c:pt idx="1381">
                  <c:v>0.99749999999999983</c:v>
                </c:pt>
                <c:pt idx="1382">
                  <c:v>1.0024999999999997</c:v>
                </c:pt>
                <c:pt idx="1383">
                  <c:v>0.99499999999999977</c:v>
                </c:pt>
                <c:pt idx="1384">
                  <c:v>0.99249999999999983</c:v>
                </c:pt>
                <c:pt idx="1385">
                  <c:v>0.99249999999999983</c:v>
                </c:pt>
                <c:pt idx="1386">
                  <c:v>0.98999999999999988</c:v>
                </c:pt>
                <c:pt idx="1387">
                  <c:v>0.99249999999999983</c:v>
                </c:pt>
                <c:pt idx="1388">
                  <c:v>0.99249999999999983</c:v>
                </c:pt>
                <c:pt idx="1389">
                  <c:v>0.99499999999999977</c:v>
                </c:pt>
                <c:pt idx="1390">
                  <c:v>0.99499999999999977</c:v>
                </c:pt>
                <c:pt idx="1391">
                  <c:v>0.99499999999999977</c:v>
                </c:pt>
                <c:pt idx="1392">
                  <c:v>0.99499999999999977</c:v>
                </c:pt>
                <c:pt idx="1393">
                  <c:v>0.99249999999999983</c:v>
                </c:pt>
                <c:pt idx="1394">
                  <c:v>0.98999999999999988</c:v>
                </c:pt>
                <c:pt idx="1395">
                  <c:v>0.98999999999999988</c:v>
                </c:pt>
                <c:pt idx="1396">
                  <c:v>0.98999999999999988</c:v>
                </c:pt>
                <c:pt idx="1397">
                  <c:v>0.98749999999999993</c:v>
                </c:pt>
                <c:pt idx="1398">
                  <c:v>0.98749999999999971</c:v>
                </c:pt>
                <c:pt idx="1399">
                  <c:v>0.98499999999999976</c:v>
                </c:pt>
                <c:pt idx="1400">
                  <c:v>0.98249999999999971</c:v>
                </c:pt>
                <c:pt idx="1401">
                  <c:v>0.9824999999999996</c:v>
                </c:pt>
                <c:pt idx="1402">
                  <c:v>0.98249999999999971</c:v>
                </c:pt>
                <c:pt idx="1403">
                  <c:v>0.97999999999999965</c:v>
                </c:pt>
                <c:pt idx="1404">
                  <c:v>0.97499999999999964</c:v>
                </c:pt>
                <c:pt idx="1405">
                  <c:v>0.97749999999999959</c:v>
                </c:pt>
                <c:pt idx="1406">
                  <c:v>0.98249999999999971</c:v>
                </c:pt>
                <c:pt idx="1407">
                  <c:v>0.98249999999999971</c:v>
                </c:pt>
                <c:pt idx="1408">
                  <c:v>0.98249999999999982</c:v>
                </c:pt>
                <c:pt idx="1409">
                  <c:v>0.98249999999999982</c:v>
                </c:pt>
                <c:pt idx="1410">
                  <c:v>0.98249999999999982</c:v>
                </c:pt>
                <c:pt idx="1411">
                  <c:v>0.97999999999999987</c:v>
                </c:pt>
                <c:pt idx="1412">
                  <c:v>0.97499999999999987</c:v>
                </c:pt>
                <c:pt idx="1413">
                  <c:v>0.98249999999999993</c:v>
                </c:pt>
                <c:pt idx="1414">
                  <c:v>0.98750000000000004</c:v>
                </c:pt>
                <c:pt idx="1415">
                  <c:v>0.9900000000000001</c:v>
                </c:pt>
                <c:pt idx="1416">
                  <c:v>1</c:v>
                </c:pt>
                <c:pt idx="1417">
                  <c:v>0.99999999999999989</c:v>
                </c:pt>
                <c:pt idx="1418">
                  <c:v>1.0074999999999998</c:v>
                </c:pt>
                <c:pt idx="1419">
                  <c:v>1.0149999999999999</c:v>
                </c:pt>
                <c:pt idx="1420">
                  <c:v>1.0224999999999997</c:v>
                </c:pt>
                <c:pt idx="1421">
                  <c:v>1.0274999999999999</c:v>
                </c:pt>
                <c:pt idx="1422">
                  <c:v>1.0274999999999999</c:v>
                </c:pt>
                <c:pt idx="1423">
                  <c:v>1.0225</c:v>
                </c:pt>
                <c:pt idx="1424">
                  <c:v>1.0174999999999998</c:v>
                </c:pt>
                <c:pt idx="1425">
                  <c:v>1.0174999999999998</c:v>
                </c:pt>
                <c:pt idx="1426">
                  <c:v>1.0199999999999998</c:v>
                </c:pt>
                <c:pt idx="1427">
                  <c:v>1.0299999999999998</c:v>
                </c:pt>
                <c:pt idx="1428">
                  <c:v>1.0324999999999998</c:v>
                </c:pt>
                <c:pt idx="1429">
                  <c:v>1.0299999999999998</c:v>
                </c:pt>
                <c:pt idx="1430">
                  <c:v>1.0325</c:v>
                </c:pt>
                <c:pt idx="1431">
                  <c:v>1.0374999999999999</c:v>
                </c:pt>
                <c:pt idx="1432">
                  <c:v>1.0349999999999997</c:v>
                </c:pt>
                <c:pt idx="1433">
                  <c:v>1.0299999999999998</c:v>
                </c:pt>
                <c:pt idx="1434">
                  <c:v>1.0249999999999999</c:v>
                </c:pt>
                <c:pt idx="1435">
                  <c:v>1.0125</c:v>
                </c:pt>
                <c:pt idx="1436">
                  <c:v>1.01</c:v>
                </c:pt>
                <c:pt idx="1437">
                  <c:v>1.0125</c:v>
                </c:pt>
                <c:pt idx="1438">
                  <c:v>1.01</c:v>
                </c:pt>
                <c:pt idx="1439">
                  <c:v>1.0149999999999999</c:v>
                </c:pt>
                <c:pt idx="1440">
                  <c:v>1.0275000000000001</c:v>
                </c:pt>
                <c:pt idx="1441">
                  <c:v>1.03</c:v>
                </c:pt>
                <c:pt idx="1442">
                  <c:v>1.03</c:v>
                </c:pt>
                <c:pt idx="1443">
                  <c:v>1.02</c:v>
                </c:pt>
                <c:pt idx="1444">
                  <c:v>1.0225</c:v>
                </c:pt>
                <c:pt idx="1445">
                  <c:v>1.0399999999999998</c:v>
                </c:pt>
                <c:pt idx="1446">
                  <c:v>1.0349999999999999</c:v>
                </c:pt>
                <c:pt idx="1447">
                  <c:v>1.0224999999999997</c:v>
                </c:pt>
                <c:pt idx="1448">
                  <c:v>1.0225</c:v>
                </c:pt>
                <c:pt idx="1449">
                  <c:v>1.0249999999999999</c:v>
                </c:pt>
                <c:pt idx="1450">
                  <c:v>1.0299999999999998</c:v>
                </c:pt>
                <c:pt idx="1451">
                  <c:v>1.0299999999999998</c:v>
                </c:pt>
                <c:pt idx="1452">
                  <c:v>1.0274999999999999</c:v>
                </c:pt>
                <c:pt idx="1453">
                  <c:v>1.0224999999999997</c:v>
                </c:pt>
                <c:pt idx="1454">
                  <c:v>1.0149999999999999</c:v>
                </c:pt>
                <c:pt idx="1455">
                  <c:v>1.0149999999999999</c:v>
                </c:pt>
                <c:pt idx="1456">
                  <c:v>1.0149999999999999</c:v>
                </c:pt>
                <c:pt idx="1457">
                  <c:v>1.0225</c:v>
                </c:pt>
                <c:pt idx="1458">
                  <c:v>1.0225</c:v>
                </c:pt>
                <c:pt idx="1459">
                  <c:v>1.02</c:v>
                </c:pt>
                <c:pt idx="1460">
                  <c:v>1.0225</c:v>
                </c:pt>
                <c:pt idx="1461">
                  <c:v>1.0275000000000001</c:v>
                </c:pt>
                <c:pt idx="1462">
                  <c:v>1.03</c:v>
                </c:pt>
                <c:pt idx="1463">
                  <c:v>1.0325</c:v>
                </c:pt>
                <c:pt idx="1464">
                  <c:v>1.03</c:v>
                </c:pt>
                <c:pt idx="1465">
                  <c:v>1.02</c:v>
                </c:pt>
                <c:pt idx="1466">
                  <c:v>1.01</c:v>
                </c:pt>
                <c:pt idx="1467">
                  <c:v>1.0050000000000001</c:v>
                </c:pt>
                <c:pt idx="1468">
                  <c:v>1.0075000000000001</c:v>
                </c:pt>
                <c:pt idx="1469">
                  <c:v>1.0075000000000001</c:v>
                </c:pt>
                <c:pt idx="1470">
                  <c:v>1.0125000000000002</c:v>
                </c:pt>
                <c:pt idx="1471">
                  <c:v>1.02</c:v>
                </c:pt>
                <c:pt idx="1472">
                  <c:v>1.0275000000000001</c:v>
                </c:pt>
                <c:pt idx="1473">
                  <c:v>1.0100000000000005</c:v>
                </c:pt>
                <c:pt idx="1474">
                  <c:v>1.0075000000000003</c:v>
                </c:pt>
                <c:pt idx="1475">
                  <c:v>1.0175000000000003</c:v>
                </c:pt>
                <c:pt idx="1476">
                  <c:v>1.0025000000000004</c:v>
                </c:pt>
                <c:pt idx="1477">
                  <c:v>0.99250000000000016</c:v>
                </c:pt>
                <c:pt idx="1478">
                  <c:v>0.98750000000000016</c:v>
                </c:pt>
                <c:pt idx="1479">
                  <c:v>0.98000000000000009</c:v>
                </c:pt>
                <c:pt idx="1480">
                  <c:v>0.97000000000000008</c:v>
                </c:pt>
                <c:pt idx="1481">
                  <c:v>0.96500000000000008</c:v>
                </c:pt>
                <c:pt idx="1482">
                  <c:v>0.96499999999999997</c:v>
                </c:pt>
                <c:pt idx="1483">
                  <c:v>0.97000000000000008</c:v>
                </c:pt>
                <c:pt idx="1484">
                  <c:v>0.96499999999999997</c:v>
                </c:pt>
                <c:pt idx="1485">
                  <c:v>0.96499999999999986</c:v>
                </c:pt>
                <c:pt idx="1486">
                  <c:v>0.95999999999999985</c:v>
                </c:pt>
                <c:pt idx="1487">
                  <c:v>0.9524999999999999</c:v>
                </c:pt>
                <c:pt idx="1488">
                  <c:v>0.94999999999999984</c:v>
                </c:pt>
                <c:pt idx="1489">
                  <c:v>0.9474999999999999</c:v>
                </c:pt>
                <c:pt idx="1490">
                  <c:v>0.94749999999999979</c:v>
                </c:pt>
                <c:pt idx="1491">
                  <c:v>0.93999999999999972</c:v>
                </c:pt>
                <c:pt idx="1492">
                  <c:v>0.94499999999999984</c:v>
                </c:pt>
                <c:pt idx="1493">
                  <c:v>0.94749999999999979</c:v>
                </c:pt>
                <c:pt idx="1494">
                  <c:v>0.94999999999999973</c:v>
                </c:pt>
                <c:pt idx="1495">
                  <c:v>0.9574999999999998</c:v>
                </c:pt>
                <c:pt idx="1496">
                  <c:v>0.9574999999999998</c:v>
                </c:pt>
                <c:pt idx="1497">
                  <c:v>0.95499999999999985</c:v>
                </c:pt>
                <c:pt idx="1498">
                  <c:v>0.9574999999999998</c:v>
                </c:pt>
                <c:pt idx="1499">
                  <c:v>0.94999999999999984</c:v>
                </c:pt>
                <c:pt idx="1500">
                  <c:v>0.93999999999999984</c:v>
                </c:pt>
                <c:pt idx="1501">
                  <c:v>0.93749999999999989</c:v>
                </c:pt>
                <c:pt idx="1502">
                  <c:v>0.93749999999999978</c:v>
                </c:pt>
                <c:pt idx="1503">
                  <c:v>0.95499999999999985</c:v>
                </c:pt>
                <c:pt idx="1504">
                  <c:v>0.94999999999999984</c:v>
                </c:pt>
                <c:pt idx="1505">
                  <c:v>0.93499999999999994</c:v>
                </c:pt>
                <c:pt idx="1506">
                  <c:v>0.94250000000000012</c:v>
                </c:pt>
                <c:pt idx="1507">
                  <c:v>0.9474999999999999</c:v>
                </c:pt>
                <c:pt idx="1508">
                  <c:v>0.9425</c:v>
                </c:pt>
                <c:pt idx="1509">
                  <c:v>0.94</c:v>
                </c:pt>
                <c:pt idx="1510">
                  <c:v>0.9375</c:v>
                </c:pt>
                <c:pt idx="1511">
                  <c:v>0.93500000000000005</c:v>
                </c:pt>
                <c:pt idx="1512">
                  <c:v>0.94</c:v>
                </c:pt>
                <c:pt idx="1513">
                  <c:v>0.94499999999999995</c:v>
                </c:pt>
                <c:pt idx="1514">
                  <c:v>0.95</c:v>
                </c:pt>
                <c:pt idx="1515">
                  <c:v>0.94750000000000001</c:v>
                </c:pt>
                <c:pt idx="1516">
                  <c:v>0.94750000000000001</c:v>
                </c:pt>
                <c:pt idx="1517">
                  <c:v>0.94</c:v>
                </c:pt>
                <c:pt idx="1518">
                  <c:v>0.94</c:v>
                </c:pt>
                <c:pt idx="1519">
                  <c:v>0.94</c:v>
                </c:pt>
                <c:pt idx="1520">
                  <c:v>0.93749999999999989</c:v>
                </c:pt>
                <c:pt idx="1521">
                  <c:v>0.93249999999999988</c:v>
                </c:pt>
                <c:pt idx="1522">
                  <c:v>0.92999999999999994</c:v>
                </c:pt>
                <c:pt idx="1523">
                  <c:v>0.92749999999999999</c:v>
                </c:pt>
                <c:pt idx="1524">
                  <c:v>0.92749999999999999</c:v>
                </c:pt>
                <c:pt idx="1525">
                  <c:v>0.93500000000000005</c:v>
                </c:pt>
                <c:pt idx="1526">
                  <c:v>0.94500000000000006</c:v>
                </c:pt>
                <c:pt idx="1527">
                  <c:v>0.95250000000000012</c:v>
                </c:pt>
                <c:pt idx="1528">
                  <c:v>0.94750000000000012</c:v>
                </c:pt>
                <c:pt idx="1529">
                  <c:v>0.94750000000000012</c:v>
                </c:pt>
                <c:pt idx="1530">
                  <c:v>0.94000000000000006</c:v>
                </c:pt>
                <c:pt idx="1531">
                  <c:v>0.93500000000000016</c:v>
                </c:pt>
                <c:pt idx="1532">
                  <c:v>0.92500000000000016</c:v>
                </c:pt>
                <c:pt idx="1533">
                  <c:v>0.93500000000000016</c:v>
                </c:pt>
                <c:pt idx="1534">
                  <c:v>0.9375</c:v>
                </c:pt>
                <c:pt idx="1535">
                  <c:v>0.92249999999999999</c:v>
                </c:pt>
                <c:pt idx="1536">
                  <c:v>0.91749999999999998</c:v>
                </c:pt>
                <c:pt idx="1537">
                  <c:v>0.92999999999999983</c:v>
                </c:pt>
                <c:pt idx="1538">
                  <c:v>0.93249999999999988</c:v>
                </c:pt>
                <c:pt idx="1539">
                  <c:v>0.92999999999999994</c:v>
                </c:pt>
                <c:pt idx="1540">
                  <c:v>0.93249999999999988</c:v>
                </c:pt>
                <c:pt idx="1541">
                  <c:v>0.92749999999999988</c:v>
                </c:pt>
                <c:pt idx="1542">
                  <c:v>0.92249999999999988</c:v>
                </c:pt>
                <c:pt idx="1543">
                  <c:v>0.92249999999999988</c:v>
                </c:pt>
                <c:pt idx="1544">
                  <c:v>0.92749999999999988</c:v>
                </c:pt>
                <c:pt idx="1545">
                  <c:v>0.93499999999999994</c:v>
                </c:pt>
                <c:pt idx="1546">
                  <c:v>0.93749999999999989</c:v>
                </c:pt>
                <c:pt idx="1547">
                  <c:v>0.92999999999999983</c:v>
                </c:pt>
                <c:pt idx="1548">
                  <c:v>0.92999999999999983</c:v>
                </c:pt>
                <c:pt idx="1549">
                  <c:v>0.92999999999999983</c:v>
                </c:pt>
                <c:pt idx="1550">
                  <c:v>0.92749999999999988</c:v>
                </c:pt>
                <c:pt idx="1551">
                  <c:v>0.92749999999999977</c:v>
                </c:pt>
                <c:pt idx="1552">
                  <c:v>0.92249999999999965</c:v>
                </c:pt>
                <c:pt idx="1553">
                  <c:v>0.9199999999999996</c:v>
                </c:pt>
                <c:pt idx="1554">
                  <c:v>0.91499999999999959</c:v>
                </c:pt>
                <c:pt idx="1555">
                  <c:v>0.90749999999999964</c:v>
                </c:pt>
                <c:pt idx="1556">
                  <c:v>0.90999999999999981</c:v>
                </c:pt>
                <c:pt idx="1557">
                  <c:v>0.91749999999999976</c:v>
                </c:pt>
                <c:pt idx="1558">
                  <c:v>0.92499999999999993</c:v>
                </c:pt>
                <c:pt idx="1559">
                  <c:v>0.93249999999999977</c:v>
                </c:pt>
                <c:pt idx="1560">
                  <c:v>0.92749999999999988</c:v>
                </c:pt>
                <c:pt idx="1561">
                  <c:v>0.92499999999999993</c:v>
                </c:pt>
                <c:pt idx="1562">
                  <c:v>0.91749999999999998</c:v>
                </c:pt>
                <c:pt idx="1563">
                  <c:v>0.90499999999999992</c:v>
                </c:pt>
                <c:pt idx="1564">
                  <c:v>0.9275000000000001</c:v>
                </c:pt>
                <c:pt idx="1565">
                  <c:v>0.92500000000000004</c:v>
                </c:pt>
                <c:pt idx="1566">
                  <c:v>0.92</c:v>
                </c:pt>
                <c:pt idx="1567">
                  <c:v>0.93</c:v>
                </c:pt>
                <c:pt idx="1568">
                  <c:v>0.94750000000000012</c:v>
                </c:pt>
                <c:pt idx="1569">
                  <c:v>0.95250000000000024</c:v>
                </c:pt>
                <c:pt idx="1570">
                  <c:v>0.95750000000000013</c:v>
                </c:pt>
                <c:pt idx="1571">
                  <c:v>0.9600000000000003</c:v>
                </c:pt>
                <c:pt idx="1572">
                  <c:v>0.96250000000000024</c:v>
                </c:pt>
                <c:pt idx="1573">
                  <c:v>0.9600000000000003</c:v>
                </c:pt>
                <c:pt idx="1574">
                  <c:v>0.96500000000000019</c:v>
                </c:pt>
                <c:pt idx="1575">
                  <c:v>0.97000000000000031</c:v>
                </c:pt>
                <c:pt idx="1576">
                  <c:v>0.96750000000000014</c:v>
                </c:pt>
                <c:pt idx="1577">
                  <c:v>0.97000000000000031</c:v>
                </c:pt>
                <c:pt idx="1578">
                  <c:v>0.96750000000000014</c:v>
                </c:pt>
                <c:pt idx="1579">
                  <c:v>0.9700000000000002</c:v>
                </c:pt>
                <c:pt idx="1580">
                  <c:v>0.9700000000000002</c:v>
                </c:pt>
                <c:pt idx="1581">
                  <c:v>0.97000000000000008</c:v>
                </c:pt>
                <c:pt idx="1582">
                  <c:v>0.96750000000000003</c:v>
                </c:pt>
                <c:pt idx="1583">
                  <c:v>0.96750000000000003</c:v>
                </c:pt>
                <c:pt idx="1584">
                  <c:v>0.96500000000000008</c:v>
                </c:pt>
                <c:pt idx="1585">
                  <c:v>0.96250000000000013</c:v>
                </c:pt>
                <c:pt idx="1586">
                  <c:v>0.96250000000000013</c:v>
                </c:pt>
                <c:pt idx="1587">
                  <c:v>0.96250000000000013</c:v>
                </c:pt>
                <c:pt idx="1588">
                  <c:v>0.96500000000000008</c:v>
                </c:pt>
                <c:pt idx="1589">
                  <c:v>0.96500000000000008</c:v>
                </c:pt>
                <c:pt idx="1590">
                  <c:v>0.96250000000000013</c:v>
                </c:pt>
                <c:pt idx="1591">
                  <c:v>0.96250000000000013</c:v>
                </c:pt>
                <c:pt idx="1592">
                  <c:v>0.96500000000000019</c:v>
                </c:pt>
                <c:pt idx="1593">
                  <c:v>0.96750000000000036</c:v>
                </c:pt>
                <c:pt idx="1594">
                  <c:v>0.96750000000000036</c:v>
                </c:pt>
                <c:pt idx="1595">
                  <c:v>0.9700000000000002</c:v>
                </c:pt>
                <c:pt idx="1596">
                  <c:v>0.97250000000000014</c:v>
                </c:pt>
                <c:pt idx="1597">
                  <c:v>0.97250000000000003</c:v>
                </c:pt>
                <c:pt idx="1598">
                  <c:v>0.97250000000000003</c:v>
                </c:pt>
                <c:pt idx="1599">
                  <c:v>0.97499999999999987</c:v>
                </c:pt>
                <c:pt idx="1600">
                  <c:v>0.96999999999999986</c:v>
                </c:pt>
                <c:pt idx="1601">
                  <c:v>0.9674999999999998</c:v>
                </c:pt>
                <c:pt idx="1602">
                  <c:v>0.97249999999999981</c:v>
                </c:pt>
                <c:pt idx="1603">
                  <c:v>0.9674999999999998</c:v>
                </c:pt>
                <c:pt idx="1604">
                  <c:v>0.97249999999999981</c:v>
                </c:pt>
                <c:pt idx="1605">
                  <c:v>0.9674999999999998</c:v>
                </c:pt>
                <c:pt idx="1606">
                  <c:v>0.96749999999999992</c:v>
                </c:pt>
                <c:pt idx="1607">
                  <c:v>0.97249999999999992</c:v>
                </c:pt>
                <c:pt idx="1608">
                  <c:v>0.97</c:v>
                </c:pt>
                <c:pt idx="1609">
                  <c:v>0.97</c:v>
                </c:pt>
                <c:pt idx="1610">
                  <c:v>0.97</c:v>
                </c:pt>
                <c:pt idx="1611">
                  <c:v>0.96999999999999986</c:v>
                </c:pt>
                <c:pt idx="1612">
                  <c:v>0.96999999999999964</c:v>
                </c:pt>
                <c:pt idx="1613">
                  <c:v>0.96999999999999986</c:v>
                </c:pt>
                <c:pt idx="1614">
                  <c:v>0.97</c:v>
                </c:pt>
                <c:pt idx="1615">
                  <c:v>0.97249999999999992</c:v>
                </c:pt>
                <c:pt idx="1616">
                  <c:v>0.97</c:v>
                </c:pt>
                <c:pt idx="1617">
                  <c:v>0.96499999999999997</c:v>
                </c:pt>
                <c:pt idx="1618">
                  <c:v>0.96499999999999986</c:v>
                </c:pt>
                <c:pt idx="1619">
                  <c:v>0.9674999999999998</c:v>
                </c:pt>
                <c:pt idx="1620">
                  <c:v>0.97499999999999987</c:v>
                </c:pt>
                <c:pt idx="1621">
                  <c:v>0.97249999999999992</c:v>
                </c:pt>
                <c:pt idx="1622">
                  <c:v>0.97499999999999987</c:v>
                </c:pt>
                <c:pt idx="1623">
                  <c:v>0.9674999999999998</c:v>
                </c:pt>
                <c:pt idx="1624">
                  <c:v>0.97</c:v>
                </c:pt>
                <c:pt idx="1625">
                  <c:v>0.96500000000000008</c:v>
                </c:pt>
                <c:pt idx="1626">
                  <c:v>0.95750000000000013</c:v>
                </c:pt>
                <c:pt idx="1627">
                  <c:v>0.93750000000000011</c:v>
                </c:pt>
                <c:pt idx="1628">
                  <c:v>0.92500000000000027</c:v>
                </c:pt>
                <c:pt idx="1629">
                  <c:v>0.92500000000000027</c:v>
                </c:pt>
                <c:pt idx="1630">
                  <c:v>0.92500000000000027</c:v>
                </c:pt>
                <c:pt idx="1631">
                  <c:v>0.92000000000000015</c:v>
                </c:pt>
                <c:pt idx="1632">
                  <c:v>0.91250000000000009</c:v>
                </c:pt>
                <c:pt idx="1633">
                  <c:v>0.90750000000000031</c:v>
                </c:pt>
                <c:pt idx="1634">
                  <c:v>0.90000000000000024</c:v>
                </c:pt>
                <c:pt idx="1635">
                  <c:v>0.90250000000000019</c:v>
                </c:pt>
                <c:pt idx="1636">
                  <c:v>0.91000000000000025</c:v>
                </c:pt>
                <c:pt idx="1637">
                  <c:v>0.91000000000000014</c:v>
                </c:pt>
                <c:pt idx="1638">
                  <c:v>0.91250000000000009</c:v>
                </c:pt>
                <c:pt idx="1639">
                  <c:v>0.91500000000000015</c:v>
                </c:pt>
                <c:pt idx="1640">
                  <c:v>0.91750000000000009</c:v>
                </c:pt>
                <c:pt idx="1641">
                  <c:v>0.91749999999999998</c:v>
                </c:pt>
                <c:pt idx="1642">
                  <c:v>0.92</c:v>
                </c:pt>
                <c:pt idx="1643">
                  <c:v>0.91750000000000009</c:v>
                </c:pt>
                <c:pt idx="1644">
                  <c:v>0.91500000000000015</c:v>
                </c:pt>
                <c:pt idx="1645">
                  <c:v>0.91249999999999998</c:v>
                </c:pt>
                <c:pt idx="1646">
                  <c:v>0.9</c:v>
                </c:pt>
                <c:pt idx="1647">
                  <c:v>0.89500000000000013</c:v>
                </c:pt>
                <c:pt idx="1648">
                  <c:v>0.89500000000000013</c:v>
                </c:pt>
                <c:pt idx="1649">
                  <c:v>0.89500000000000002</c:v>
                </c:pt>
                <c:pt idx="1650">
                  <c:v>0.90000000000000013</c:v>
                </c:pt>
                <c:pt idx="1651">
                  <c:v>0.90500000000000003</c:v>
                </c:pt>
                <c:pt idx="1652">
                  <c:v>0.91250000000000009</c:v>
                </c:pt>
                <c:pt idx="1653">
                  <c:v>0.90250000000000019</c:v>
                </c:pt>
                <c:pt idx="1654">
                  <c:v>0.89500000000000013</c:v>
                </c:pt>
                <c:pt idx="1655">
                  <c:v>0.90499999999999992</c:v>
                </c:pt>
                <c:pt idx="1656">
                  <c:v>0.90749999999999997</c:v>
                </c:pt>
                <c:pt idx="1657">
                  <c:v>0.89750000000000008</c:v>
                </c:pt>
                <c:pt idx="1658">
                  <c:v>0.89</c:v>
                </c:pt>
                <c:pt idx="1659">
                  <c:v>0.88749999999999996</c:v>
                </c:pt>
                <c:pt idx="1660">
                  <c:v>0.88500000000000001</c:v>
                </c:pt>
                <c:pt idx="1661">
                  <c:v>0.89000000000000012</c:v>
                </c:pt>
                <c:pt idx="1662">
                  <c:v>0.89500000000000002</c:v>
                </c:pt>
                <c:pt idx="1663">
                  <c:v>0.9</c:v>
                </c:pt>
                <c:pt idx="1664">
                  <c:v>0.89749999999999985</c:v>
                </c:pt>
                <c:pt idx="1665">
                  <c:v>0.89249999999999985</c:v>
                </c:pt>
                <c:pt idx="1666">
                  <c:v>0.89</c:v>
                </c:pt>
                <c:pt idx="1667">
                  <c:v>0.88749999999999996</c:v>
                </c:pt>
                <c:pt idx="1668">
                  <c:v>0.89</c:v>
                </c:pt>
                <c:pt idx="1669">
                  <c:v>0.89249999999999996</c:v>
                </c:pt>
                <c:pt idx="1670">
                  <c:v>0.89249999999999996</c:v>
                </c:pt>
                <c:pt idx="1671">
                  <c:v>0.89249999999999985</c:v>
                </c:pt>
                <c:pt idx="1672">
                  <c:v>0.8949999999999998</c:v>
                </c:pt>
                <c:pt idx="1673">
                  <c:v>0.89499999999999991</c:v>
                </c:pt>
                <c:pt idx="1674">
                  <c:v>0.89750000000000008</c:v>
                </c:pt>
                <c:pt idx="1675">
                  <c:v>0.9</c:v>
                </c:pt>
                <c:pt idx="1676">
                  <c:v>0.90249999999999997</c:v>
                </c:pt>
                <c:pt idx="1677">
                  <c:v>0.9</c:v>
                </c:pt>
                <c:pt idx="1678">
                  <c:v>0.89</c:v>
                </c:pt>
                <c:pt idx="1679">
                  <c:v>0.88</c:v>
                </c:pt>
                <c:pt idx="1680">
                  <c:v>0.875</c:v>
                </c:pt>
                <c:pt idx="1681">
                  <c:v>0.87750000000000006</c:v>
                </c:pt>
                <c:pt idx="1682">
                  <c:v>0.87500000000000011</c:v>
                </c:pt>
                <c:pt idx="1683">
                  <c:v>0.89500000000000013</c:v>
                </c:pt>
                <c:pt idx="1684">
                  <c:v>0.87750000000000006</c:v>
                </c:pt>
                <c:pt idx="1685">
                  <c:v>0.88000000000000012</c:v>
                </c:pt>
                <c:pt idx="1686">
                  <c:v>0.88250000000000006</c:v>
                </c:pt>
                <c:pt idx="1687">
                  <c:v>0.89750000000000008</c:v>
                </c:pt>
                <c:pt idx="1688">
                  <c:v>0.90250000000000008</c:v>
                </c:pt>
                <c:pt idx="1689">
                  <c:v>0.89500000000000002</c:v>
                </c:pt>
                <c:pt idx="1690">
                  <c:v>0.88750000000000007</c:v>
                </c:pt>
                <c:pt idx="1691">
                  <c:v>0.88250000000000017</c:v>
                </c:pt>
                <c:pt idx="1692">
                  <c:v>0.88000000000000034</c:v>
                </c:pt>
                <c:pt idx="1693">
                  <c:v>0.88000000000000023</c:v>
                </c:pt>
                <c:pt idx="1694">
                  <c:v>0.88250000000000006</c:v>
                </c:pt>
                <c:pt idx="1695">
                  <c:v>0.88500000000000012</c:v>
                </c:pt>
                <c:pt idx="1696">
                  <c:v>0.89000000000000024</c:v>
                </c:pt>
                <c:pt idx="1697">
                  <c:v>0.89000000000000024</c:v>
                </c:pt>
                <c:pt idx="1698">
                  <c:v>0.89000000000000024</c:v>
                </c:pt>
                <c:pt idx="1699">
                  <c:v>0.89000000000000012</c:v>
                </c:pt>
                <c:pt idx="1700">
                  <c:v>0.88500000000000012</c:v>
                </c:pt>
                <c:pt idx="1701">
                  <c:v>0.88500000000000012</c:v>
                </c:pt>
                <c:pt idx="1702">
                  <c:v>0.88250000000000006</c:v>
                </c:pt>
                <c:pt idx="1703">
                  <c:v>0.88250000000000006</c:v>
                </c:pt>
                <c:pt idx="1704">
                  <c:v>0.88500000000000012</c:v>
                </c:pt>
                <c:pt idx="1705">
                  <c:v>0.88000000000000012</c:v>
                </c:pt>
                <c:pt idx="1706">
                  <c:v>0.88250000000000006</c:v>
                </c:pt>
                <c:pt idx="1707">
                  <c:v>0.88500000000000001</c:v>
                </c:pt>
                <c:pt idx="1708">
                  <c:v>0.89</c:v>
                </c:pt>
                <c:pt idx="1709">
                  <c:v>0.89250000000000007</c:v>
                </c:pt>
                <c:pt idx="1710">
                  <c:v>0.89750000000000008</c:v>
                </c:pt>
                <c:pt idx="1711">
                  <c:v>0.89249999999999996</c:v>
                </c:pt>
                <c:pt idx="1712">
                  <c:v>0.88250000000000006</c:v>
                </c:pt>
                <c:pt idx="1713">
                  <c:v>0.88000000000000012</c:v>
                </c:pt>
                <c:pt idx="1714">
                  <c:v>0.89250000000000018</c:v>
                </c:pt>
                <c:pt idx="1715">
                  <c:v>0.88750000000000007</c:v>
                </c:pt>
                <c:pt idx="1716">
                  <c:v>0.88250000000000006</c:v>
                </c:pt>
                <c:pt idx="1717">
                  <c:v>0.88749999999999996</c:v>
                </c:pt>
                <c:pt idx="1718">
                  <c:v>0.90249999999999986</c:v>
                </c:pt>
                <c:pt idx="1719">
                  <c:v>0.91999999999999982</c:v>
                </c:pt>
                <c:pt idx="1720">
                  <c:v>0.92749999999999977</c:v>
                </c:pt>
                <c:pt idx="1721">
                  <c:v>0.92749999999999977</c:v>
                </c:pt>
                <c:pt idx="1722">
                  <c:v>0.91499999999999981</c:v>
                </c:pt>
                <c:pt idx="1723">
                  <c:v>0.90999999999999981</c:v>
                </c:pt>
                <c:pt idx="1724">
                  <c:v>0.90999999999999981</c:v>
                </c:pt>
                <c:pt idx="1725">
                  <c:v>0.92249999999999976</c:v>
                </c:pt>
                <c:pt idx="1726">
                  <c:v>0.92999999999999994</c:v>
                </c:pt>
                <c:pt idx="1727">
                  <c:v>0.94</c:v>
                </c:pt>
                <c:pt idx="1728">
                  <c:v>0.9375</c:v>
                </c:pt>
                <c:pt idx="1729">
                  <c:v>0.9375</c:v>
                </c:pt>
                <c:pt idx="1730">
                  <c:v>0.93749999999999989</c:v>
                </c:pt>
                <c:pt idx="1731">
                  <c:v>0.93749999999999989</c:v>
                </c:pt>
                <c:pt idx="1732">
                  <c:v>0.93499999999999983</c:v>
                </c:pt>
                <c:pt idx="1733">
                  <c:v>0.93499999999999994</c:v>
                </c:pt>
                <c:pt idx="1734">
                  <c:v>0.93249999999999988</c:v>
                </c:pt>
                <c:pt idx="1735">
                  <c:v>0.92499999999999993</c:v>
                </c:pt>
                <c:pt idx="1736">
                  <c:v>0.91999999999999993</c:v>
                </c:pt>
                <c:pt idx="1737">
                  <c:v>0.92249999999999999</c:v>
                </c:pt>
                <c:pt idx="1738">
                  <c:v>0.92749999999999988</c:v>
                </c:pt>
                <c:pt idx="1739">
                  <c:v>0.93249999999999977</c:v>
                </c:pt>
                <c:pt idx="1740">
                  <c:v>0.94249999999999978</c:v>
                </c:pt>
                <c:pt idx="1741">
                  <c:v>0.93999999999999984</c:v>
                </c:pt>
                <c:pt idx="1742">
                  <c:v>0.94</c:v>
                </c:pt>
                <c:pt idx="1743">
                  <c:v>0.92749999999999988</c:v>
                </c:pt>
                <c:pt idx="1744">
                  <c:v>0.9375</c:v>
                </c:pt>
                <c:pt idx="1745">
                  <c:v>0.94500000000000006</c:v>
                </c:pt>
                <c:pt idx="1746">
                  <c:v>0.9375</c:v>
                </c:pt>
                <c:pt idx="1747">
                  <c:v>0.92750000000000021</c:v>
                </c:pt>
                <c:pt idx="1748">
                  <c:v>0.9225000000000001</c:v>
                </c:pt>
                <c:pt idx="1749">
                  <c:v>0.93000000000000027</c:v>
                </c:pt>
                <c:pt idx="1750">
                  <c:v>0.93750000000000033</c:v>
                </c:pt>
                <c:pt idx="1751">
                  <c:v>0.94250000000000034</c:v>
                </c:pt>
                <c:pt idx="1752">
                  <c:v>0.94500000000000028</c:v>
                </c:pt>
                <c:pt idx="1753">
                  <c:v>0.94250000000000034</c:v>
                </c:pt>
                <c:pt idx="1754">
                  <c:v>0.94000000000000017</c:v>
                </c:pt>
                <c:pt idx="1755">
                  <c:v>0.92750000000000021</c:v>
                </c:pt>
                <c:pt idx="1756">
                  <c:v>0.91500000000000026</c:v>
                </c:pt>
                <c:pt idx="1757">
                  <c:v>0.91500000000000026</c:v>
                </c:pt>
                <c:pt idx="1758">
                  <c:v>0.9125000000000002</c:v>
                </c:pt>
                <c:pt idx="1759">
                  <c:v>0.90750000000000031</c:v>
                </c:pt>
                <c:pt idx="1760">
                  <c:v>0.91000000000000014</c:v>
                </c:pt>
                <c:pt idx="1761">
                  <c:v>0.91500000000000026</c:v>
                </c:pt>
                <c:pt idx="1762">
                  <c:v>0.92000000000000026</c:v>
                </c:pt>
                <c:pt idx="1763">
                  <c:v>0.92250000000000021</c:v>
                </c:pt>
                <c:pt idx="1764">
                  <c:v>0.92750000000000032</c:v>
                </c:pt>
                <c:pt idx="1765">
                  <c:v>0.93000000000000027</c:v>
                </c:pt>
                <c:pt idx="1766">
                  <c:v>0.93000000000000027</c:v>
                </c:pt>
                <c:pt idx="1767">
                  <c:v>0.92750000000000032</c:v>
                </c:pt>
                <c:pt idx="1768">
                  <c:v>0.92250000000000021</c:v>
                </c:pt>
                <c:pt idx="1769">
                  <c:v>0.92000000000000026</c:v>
                </c:pt>
                <c:pt idx="1770">
                  <c:v>0.91500000000000037</c:v>
                </c:pt>
                <c:pt idx="1771">
                  <c:v>0.92000000000000026</c:v>
                </c:pt>
                <c:pt idx="1772">
                  <c:v>0.95000000000000029</c:v>
                </c:pt>
                <c:pt idx="1773">
                  <c:v>0.9500000000000004</c:v>
                </c:pt>
                <c:pt idx="1774">
                  <c:v>0.93250000000000033</c:v>
                </c:pt>
                <c:pt idx="1775">
                  <c:v>0.93250000000000033</c:v>
                </c:pt>
                <c:pt idx="1776">
                  <c:v>0.93250000000000022</c:v>
                </c:pt>
                <c:pt idx="1777">
                  <c:v>0.92000000000000015</c:v>
                </c:pt>
                <c:pt idx="1778">
                  <c:v>0.9075000000000002</c:v>
                </c:pt>
                <c:pt idx="1779">
                  <c:v>0.89000000000000012</c:v>
                </c:pt>
                <c:pt idx="1780">
                  <c:v>0.88500000000000001</c:v>
                </c:pt>
                <c:pt idx="1781">
                  <c:v>0.88250000000000006</c:v>
                </c:pt>
                <c:pt idx="1782">
                  <c:v>0.89</c:v>
                </c:pt>
                <c:pt idx="1783">
                  <c:v>0.9</c:v>
                </c:pt>
                <c:pt idx="1784">
                  <c:v>0.89500000000000002</c:v>
                </c:pt>
                <c:pt idx="1785">
                  <c:v>0.8849999999999999</c:v>
                </c:pt>
                <c:pt idx="1786">
                  <c:v>0.87750000000000006</c:v>
                </c:pt>
                <c:pt idx="1787">
                  <c:v>0.85750000000000004</c:v>
                </c:pt>
                <c:pt idx="1788">
                  <c:v>0.85750000000000004</c:v>
                </c:pt>
                <c:pt idx="1789">
                  <c:v>0.85750000000000004</c:v>
                </c:pt>
                <c:pt idx="1790">
                  <c:v>0.85749999999999993</c:v>
                </c:pt>
                <c:pt idx="1791">
                  <c:v>0.85499999999999998</c:v>
                </c:pt>
                <c:pt idx="1792">
                  <c:v>0.85499999999999998</c:v>
                </c:pt>
                <c:pt idx="1793">
                  <c:v>0.85500000000000009</c:v>
                </c:pt>
                <c:pt idx="1794">
                  <c:v>0.85500000000000009</c:v>
                </c:pt>
                <c:pt idx="1795">
                  <c:v>0.86250000000000016</c:v>
                </c:pt>
                <c:pt idx="1796">
                  <c:v>0.8650000000000001</c:v>
                </c:pt>
                <c:pt idx="1797">
                  <c:v>0.87250000000000016</c:v>
                </c:pt>
                <c:pt idx="1798">
                  <c:v>0.87750000000000006</c:v>
                </c:pt>
                <c:pt idx="1799">
                  <c:v>0.87500000000000011</c:v>
                </c:pt>
                <c:pt idx="1800">
                  <c:v>0.8650000000000001</c:v>
                </c:pt>
                <c:pt idx="1801">
                  <c:v>0.86500000000000021</c:v>
                </c:pt>
                <c:pt idx="1802">
                  <c:v>0.89750000000000019</c:v>
                </c:pt>
                <c:pt idx="1803">
                  <c:v>0.91000000000000014</c:v>
                </c:pt>
                <c:pt idx="1804">
                  <c:v>0.88250000000000006</c:v>
                </c:pt>
                <c:pt idx="1805">
                  <c:v>0.86499999999999999</c:v>
                </c:pt>
                <c:pt idx="1806">
                  <c:v>0.86499999999999999</c:v>
                </c:pt>
                <c:pt idx="1807">
                  <c:v>0.86749999999999994</c:v>
                </c:pt>
                <c:pt idx="1808">
                  <c:v>0.86499999999999999</c:v>
                </c:pt>
                <c:pt idx="1809">
                  <c:v>0.87</c:v>
                </c:pt>
                <c:pt idx="1810">
                  <c:v>0.8650000000000001</c:v>
                </c:pt>
                <c:pt idx="1811">
                  <c:v>0.86</c:v>
                </c:pt>
                <c:pt idx="1812">
                  <c:v>0.86</c:v>
                </c:pt>
                <c:pt idx="1813">
                  <c:v>0.86</c:v>
                </c:pt>
                <c:pt idx="1814">
                  <c:v>0.86</c:v>
                </c:pt>
                <c:pt idx="1815">
                  <c:v>0.86749999999999994</c:v>
                </c:pt>
                <c:pt idx="1816">
                  <c:v>0.87249999999999994</c:v>
                </c:pt>
                <c:pt idx="1817">
                  <c:v>0.85749999999999993</c:v>
                </c:pt>
                <c:pt idx="1818">
                  <c:v>0.85749999999999993</c:v>
                </c:pt>
                <c:pt idx="1819">
                  <c:v>0.86249999999999993</c:v>
                </c:pt>
                <c:pt idx="1820">
                  <c:v>0.86499999999999988</c:v>
                </c:pt>
                <c:pt idx="1821">
                  <c:v>0.85999999999999976</c:v>
                </c:pt>
                <c:pt idx="1822">
                  <c:v>0.86249999999999993</c:v>
                </c:pt>
                <c:pt idx="1823">
                  <c:v>0.85999999999999988</c:v>
                </c:pt>
                <c:pt idx="1824">
                  <c:v>0.85499999999999998</c:v>
                </c:pt>
                <c:pt idx="1825">
                  <c:v>0.85750000000000004</c:v>
                </c:pt>
                <c:pt idx="1826">
                  <c:v>0.85500000000000009</c:v>
                </c:pt>
                <c:pt idx="1827">
                  <c:v>0.85500000000000009</c:v>
                </c:pt>
                <c:pt idx="1828">
                  <c:v>0.85500000000000009</c:v>
                </c:pt>
                <c:pt idx="1829">
                  <c:v>0.85250000000000015</c:v>
                </c:pt>
                <c:pt idx="1830">
                  <c:v>0.85250000000000015</c:v>
                </c:pt>
                <c:pt idx="1831">
                  <c:v>0.85000000000000009</c:v>
                </c:pt>
                <c:pt idx="1832">
                  <c:v>0.86250000000000027</c:v>
                </c:pt>
                <c:pt idx="1833">
                  <c:v>0.86750000000000016</c:v>
                </c:pt>
                <c:pt idx="1834">
                  <c:v>0.87000000000000022</c:v>
                </c:pt>
                <c:pt idx="1835">
                  <c:v>0.86500000000000021</c:v>
                </c:pt>
                <c:pt idx="1836">
                  <c:v>0.8600000000000001</c:v>
                </c:pt>
                <c:pt idx="1837">
                  <c:v>0.85750000000000004</c:v>
                </c:pt>
                <c:pt idx="1838">
                  <c:v>0.85500000000000009</c:v>
                </c:pt>
                <c:pt idx="1839">
                  <c:v>0.85250000000000015</c:v>
                </c:pt>
                <c:pt idx="1840">
                  <c:v>0.85250000000000015</c:v>
                </c:pt>
                <c:pt idx="1841">
                  <c:v>0.85250000000000015</c:v>
                </c:pt>
                <c:pt idx="1842">
                  <c:v>0.85249999999999992</c:v>
                </c:pt>
                <c:pt idx="1843">
                  <c:v>0.84749999999999981</c:v>
                </c:pt>
                <c:pt idx="1844">
                  <c:v>0.8524999999999997</c:v>
                </c:pt>
                <c:pt idx="1845">
                  <c:v>0.84999999999999976</c:v>
                </c:pt>
                <c:pt idx="1846">
                  <c:v>0.84749999999999992</c:v>
                </c:pt>
                <c:pt idx="1847">
                  <c:v>0.84749999999999992</c:v>
                </c:pt>
                <c:pt idx="1848">
                  <c:v>0.84749999999999992</c:v>
                </c:pt>
                <c:pt idx="1849">
                  <c:v>0.84749999999999992</c:v>
                </c:pt>
                <c:pt idx="1850">
                  <c:v>0.84749999999999981</c:v>
                </c:pt>
                <c:pt idx="1851">
                  <c:v>0.84749999999999981</c:v>
                </c:pt>
                <c:pt idx="1852">
                  <c:v>0.84749999999999981</c:v>
                </c:pt>
                <c:pt idx="1853">
                  <c:v>0.84749999999999981</c:v>
                </c:pt>
                <c:pt idx="1854">
                  <c:v>0.84749999999999992</c:v>
                </c:pt>
                <c:pt idx="1855">
                  <c:v>0.84499999999999997</c:v>
                </c:pt>
                <c:pt idx="1856">
                  <c:v>0.84999999999999987</c:v>
                </c:pt>
                <c:pt idx="1857">
                  <c:v>0.84499999999999986</c:v>
                </c:pt>
                <c:pt idx="1858">
                  <c:v>0.84499999999999986</c:v>
                </c:pt>
                <c:pt idx="1859">
                  <c:v>0.84499999999999986</c:v>
                </c:pt>
                <c:pt idx="1860">
                  <c:v>0.84749999999999981</c:v>
                </c:pt>
                <c:pt idx="1861">
                  <c:v>0.84749999999999981</c:v>
                </c:pt>
                <c:pt idx="1862">
                  <c:v>0.83249999999999991</c:v>
                </c:pt>
                <c:pt idx="1863">
                  <c:v>0.84499999999999997</c:v>
                </c:pt>
                <c:pt idx="1864">
                  <c:v>0.85499999999999998</c:v>
                </c:pt>
                <c:pt idx="1865">
                  <c:v>0.86499999999999988</c:v>
                </c:pt>
                <c:pt idx="1866">
                  <c:v>0.875</c:v>
                </c:pt>
                <c:pt idx="1867">
                  <c:v>0.88500000000000001</c:v>
                </c:pt>
                <c:pt idx="1868">
                  <c:v>0.89</c:v>
                </c:pt>
                <c:pt idx="1869">
                  <c:v>0.88000000000000023</c:v>
                </c:pt>
                <c:pt idx="1870">
                  <c:v>0.87750000000000006</c:v>
                </c:pt>
                <c:pt idx="1871">
                  <c:v>0.88250000000000006</c:v>
                </c:pt>
                <c:pt idx="1872">
                  <c:v>0.88500000000000001</c:v>
                </c:pt>
                <c:pt idx="1873">
                  <c:v>0.89250000000000007</c:v>
                </c:pt>
                <c:pt idx="1874">
                  <c:v>0.90249999999999997</c:v>
                </c:pt>
                <c:pt idx="1875">
                  <c:v>0.90750000000000008</c:v>
                </c:pt>
                <c:pt idx="1876">
                  <c:v>0.90249999999999997</c:v>
                </c:pt>
                <c:pt idx="1877">
                  <c:v>0.90249999999999997</c:v>
                </c:pt>
                <c:pt idx="1878">
                  <c:v>0.90249999999999997</c:v>
                </c:pt>
                <c:pt idx="1879">
                  <c:v>0.89999999999999991</c:v>
                </c:pt>
                <c:pt idx="1880">
                  <c:v>0.89749999999999985</c:v>
                </c:pt>
                <c:pt idx="1881">
                  <c:v>0.89749999999999985</c:v>
                </c:pt>
                <c:pt idx="1882">
                  <c:v>0.8899999999999999</c:v>
                </c:pt>
                <c:pt idx="1883">
                  <c:v>0.8899999999999999</c:v>
                </c:pt>
                <c:pt idx="1884">
                  <c:v>0.88749999999999973</c:v>
                </c:pt>
                <c:pt idx="1885">
                  <c:v>0.88749999999999973</c:v>
                </c:pt>
                <c:pt idx="1886">
                  <c:v>0.89249999999999985</c:v>
                </c:pt>
                <c:pt idx="1887">
                  <c:v>0.8949999999999998</c:v>
                </c:pt>
                <c:pt idx="1888">
                  <c:v>0.8999999999999998</c:v>
                </c:pt>
                <c:pt idx="1889">
                  <c:v>0.90999999999999981</c:v>
                </c:pt>
                <c:pt idx="1890">
                  <c:v>0.90999999999999981</c:v>
                </c:pt>
                <c:pt idx="1891">
                  <c:v>0.9049999999999998</c:v>
                </c:pt>
                <c:pt idx="1892">
                  <c:v>0.8849999999999999</c:v>
                </c:pt>
                <c:pt idx="1893">
                  <c:v>0.89999999999999991</c:v>
                </c:pt>
                <c:pt idx="1894">
                  <c:v>0.90500000000000003</c:v>
                </c:pt>
                <c:pt idx="1895">
                  <c:v>0.89249999999999996</c:v>
                </c:pt>
                <c:pt idx="1896">
                  <c:v>0.8899999999999999</c:v>
                </c:pt>
                <c:pt idx="1897">
                  <c:v>0.89999999999999991</c:v>
                </c:pt>
                <c:pt idx="1898">
                  <c:v>0.9049999999999998</c:v>
                </c:pt>
                <c:pt idx="1899">
                  <c:v>0.91249999999999987</c:v>
                </c:pt>
                <c:pt idx="1900">
                  <c:v>0.91999999999999993</c:v>
                </c:pt>
                <c:pt idx="1901">
                  <c:v>0.91499999999999992</c:v>
                </c:pt>
                <c:pt idx="1902">
                  <c:v>0.90749999999999997</c:v>
                </c:pt>
                <c:pt idx="1903">
                  <c:v>0.90250000000000008</c:v>
                </c:pt>
                <c:pt idx="1904">
                  <c:v>0.89750000000000008</c:v>
                </c:pt>
                <c:pt idx="1905">
                  <c:v>0.89750000000000008</c:v>
                </c:pt>
                <c:pt idx="1906">
                  <c:v>0.90250000000000008</c:v>
                </c:pt>
                <c:pt idx="1907">
                  <c:v>0.90250000000000008</c:v>
                </c:pt>
                <c:pt idx="1908">
                  <c:v>0.90250000000000008</c:v>
                </c:pt>
                <c:pt idx="1909">
                  <c:v>0.90249999999999997</c:v>
                </c:pt>
                <c:pt idx="1910">
                  <c:v>0.90249999999999997</c:v>
                </c:pt>
                <c:pt idx="1911">
                  <c:v>0.90750000000000008</c:v>
                </c:pt>
                <c:pt idx="1912">
                  <c:v>0.91500000000000015</c:v>
                </c:pt>
                <c:pt idx="1913">
                  <c:v>0.92249999999999999</c:v>
                </c:pt>
                <c:pt idx="1914">
                  <c:v>0.92500000000000004</c:v>
                </c:pt>
                <c:pt idx="1915">
                  <c:v>0.92500000000000004</c:v>
                </c:pt>
                <c:pt idx="1916">
                  <c:v>0.92</c:v>
                </c:pt>
                <c:pt idx="1917">
                  <c:v>0.91500000000000015</c:v>
                </c:pt>
                <c:pt idx="1918">
                  <c:v>0.90250000000000008</c:v>
                </c:pt>
                <c:pt idx="1919">
                  <c:v>0.89500000000000002</c:v>
                </c:pt>
                <c:pt idx="1920">
                  <c:v>0.89500000000000002</c:v>
                </c:pt>
                <c:pt idx="1921">
                  <c:v>0.90249999999999997</c:v>
                </c:pt>
                <c:pt idx="1922">
                  <c:v>0.91749999999999998</c:v>
                </c:pt>
                <c:pt idx="1923">
                  <c:v>0.89000000000000012</c:v>
                </c:pt>
                <c:pt idx="1924">
                  <c:v>0.87750000000000006</c:v>
                </c:pt>
                <c:pt idx="1925">
                  <c:v>0.88000000000000012</c:v>
                </c:pt>
                <c:pt idx="1926">
                  <c:v>0.88250000000000006</c:v>
                </c:pt>
                <c:pt idx="1927">
                  <c:v>0.86999999999999988</c:v>
                </c:pt>
                <c:pt idx="1928">
                  <c:v>0.86249999999999993</c:v>
                </c:pt>
                <c:pt idx="1929">
                  <c:v>0.85749999999999993</c:v>
                </c:pt>
                <c:pt idx="1930">
                  <c:v>0.85999999999999988</c:v>
                </c:pt>
                <c:pt idx="1931">
                  <c:v>0.85749999999999982</c:v>
                </c:pt>
                <c:pt idx="1932">
                  <c:v>0.85499999999999998</c:v>
                </c:pt>
                <c:pt idx="1933">
                  <c:v>0.85749999999999993</c:v>
                </c:pt>
                <c:pt idx="1934">
                  <c:v>0.85249999999999981</c:v>
                </c:pt>
                <c:pt idx="1935">
                  <c:v>0.84999999999999987</c:v>
                </c:pt>
                <c:pt idx="1936">
                  <c:v>0.84499999999999986</c:v>
                </c:pt>
                <c:pt idx="1937">
                  <c:v>0.84749999999999981</c:v>
                </c:pt>
                <c:pt idx="1938">
                  <c:v>0.84749999999999981</c:v>
                </c:pt>
                <c:pt idx="1939">
                  <c:v>0.84749999999999981</c:v>
                </c:pt>
                <c:pt idx="1940">
                  <c:v>0.84749999999999981</c:v>
                </c:pt>
                <c:pt idx="1941">
                  <c:v>0.84499999999999986</c:v>
                </c:pt>
                <c:pt idx="1942">
                  <c:v>0.84499999999999986</c:v>
                </c:pt>
                <c:pt idx="1943">
                  <c:v>0.84499999999999986</c:v>
                </c:pt>
                <c:pt idx="1944">
                  <c:v>0.84749999999999992</c:v>
                </c:pt>
                <c:pt idx="1945">
                  <c:v>0.84499999999999997</c:v>
                </c:pt>
                <c:pt idx="1946">
                  <c:v>0.84249999999999992</c:v>
                </c:pt>
                <c:pt idx="1947">
                  <c:v>0.84249999999999992</c:v>
                </c:pt>
                <c:pt idx="1948">
                  <c:v>0.84249999999999992</c:v>
                </c:pt>
                <c:pt idx="1949">
                  <c:v>0.8424999999999998</c:v>
                </c:pt>
                <c:pt idx="1950">
                  <c:v>0.84749999999999992</c:v>
                </c:pt>
                <c:pt idx="1951">
                  <c:v>0.84999999999999987</c:v>
                </c:pt>
                <c:pt idx="1952">
                  <c:v>0.84499999999999997</c:v>
                </c:pt>
                <c:pt idx="1953">
                  <c:v>0.83750000000000002</c:v>
                </c:pt>
                <c:pt idx="1954">
                  <c:v>0.83999999999999986</c:v>
                </c:pt>
                <c:pt idx="1955">
                  <c:v>0.83999999999999975</c:v>
                </c:pt>
                <c:pt idx="1956">
                  <c:v>0.83999999999999975</c:v>
                </c:pt>
                <c:pt idx="1957">
                  <c:v>0.82999999999999985</c:v>
                </c:pt>
                <c:pt idx="1958">
                  <c:v>0.82750000000000001</c:v>
                </c:pt>
                <c:pt idx="1959">
                  <c:v>0.82750000000000001</c:v>
                </c:pt>
                <c:pt idx="1960">
                  <c:v>0.8274999999999999</c:v>
                </c:pt>
                <c:pt idx="1961">
                  <c:v>0.83499999999999974</c:v>
                </c:pt>
                <c:pt idx="1962">
                  <c:v>0.83999999999999975</c:v>
                </c:pt>
                <c:pt idx="1963">
                  <c:v>0.83999999999999975</c:v>
                </c:pt>
                <c:pt idx="1964">
                  <c:v>0.83999999999999964</c:v>
                </c:pt>
                <c:pt idx="1965">
                  <c:v>0.8374999999999998</c:v>
                </c:pt>
                <c:pt idx="1966">
                  <c:v>0.82999999999999985</c:v>
                </c:pt>
                <c:pt idx="1967">
                  <c:v>0.82999999999999985</c:v>
                </c:pt>
                <c:pt idx="1968">
                  <c:v>0.82999999999999985</c:v>
                </c:pt>
                <c:pt idx="1969">
                  <c:v>0.82999999999999985</c:v>
                </c:pt>
                <c:pt idx="1970">
                  <c:v>0.82999999999999985</c:v>
                </c:pt>
                <c:pt idx="1971">
                  <c:v>0.8324999999999998</c:v>
                </c:pt>
                <c:pt idx="1972">
                  <c:v>0.82499999999999973</c:v>
                </c:pt>
                <c:pt idx="1973">
                  <c:v>0.81749999999999978</c:v>
                </c:pt>
                <c:pt idx="1974">
                  <c:v>0.81999999999999984</c:v>
                </c:pt>
                <c:pt idx="1975">
                  <c:v>0.82249999999999979</c:v>
                </c:pt>
                <c:pt idx="1976">
                  <c:v>0.82499999999999984</c:v>
                </c:pt>
                <c:pt idx="1977">
                  <c:v>0.82499999999999984</c:v>
                </c:pt>
                <c:pt idx="1978">
                  <c:v>0.8274999999999999</c:v>
                </c:pt>
                <c:pt idx="1979">
                  <c:v>0.83249999999999991</c:v>
                </c:pt>
                <c:pt idx="1980">
                  <c:v>0.83</c:v>
                </c:pt>
                <c:pt idx="1981">
                  <c:v>0.82</c:v>
                </c:pt>
                <c:pt idx="1982">
                  <c:v>0.82250000000000001</c:v>
                </c:pt>
                <c:pt idx="1983">
                  <c:v>0.83500000000000019</c:v>
                </c:pt>
                <c:pt idx="1984">
                  <c:v>0.84000000000000019</c:v>
                </c:pt>
                <c:pt idx="1985">
                  <c:v>0.82750000000000024</c:v>
                </c:pt>
                <c:pt idx="1986">
                  <c:v>0.82250000000000012</c:v>
                </c:pt>
                <c:pt idx="1987">
                  <c:v>0.82750000000000012</c:v>
                </c:pt>
                <c:pt idx="1988">
                  <c:v>0.83500000000000019</c:v>
                </c:pt>
                <c:pt idx="1989">
                  <c:v>0.8350000000000003</c:v>
                </c:pt>
                <c:pt idx="1990">
                  <c:v>0.83250000000000013</c:v>
                </c:pt>
                <c:pt idx="1991">
                  <c:v>0.83000000000000018</c:v>
                </c:pt>
                <c:pt idx="1992">
                  <c:v>0.82750000000000024</c:v>
                </c:pt>
                <c:pt idx="1993">
                  <c:v>0.82000000000000028</c:v>
                </c:pt>
                <c:pt idx="1994">
                  <c:v>0.81750000000000023</c:v>
                </c:pt>
                <c:pt idx="1995">
                  <c:v>0.82000000000000028</c:v>
                </c:pt>
                <c:pt idx="1996">
                  <c:v>0.83000000000000018</c:v>
                </c:pt>
                <c:pt idx="1997">
                  <c:v>0.82750000000000024</c:v>
                </c:pt>
                <c:pt idx="1998">
                  <c:v>0.82750000000000024</c:v>
                </c:pt>
                <c:pt idx="1999">
                  <c:v>0.82750000000000024</c:v>
                </c:pt>
                <c:pt idx="2000">
                  <c:v>0.82500000000000007</c:v>
                </c:pt>
                <c:pt idx="2001">
                  <c:v>0.83000000000000018</c:v>
                </c:pt>
                <c:pt idx="2002">
                  <c:v>0.83250000000000024</c:v>
                </c:pt>
                <c:pt idx="2003">
                  <c:v>0.83250000000000024</c:v>
                </c:pt>
                <c:pt idx="2004">
                  <c:v>0.83250000000000035</c:v>
                </c:pt>
                <c:pt idx="2005">
                  <c:v>0.83250000000000035</c:v>
                </c:pt>
                <c:pt idx="2006">
                  <c:v>0.83500000000000041</c:v>
                </c:pt>
                <c:pt idx="2007">
                  <c:v>0.8300000000000004</c:v>
                </c:pt>
                <c:pt idx="2008">
                  <c:v>0.82750000000000035</c:v>
                </c:pt>
                <c:pt idx="2009">
                  <c:v>0.8200000000000004</c:v>
                </c:pt>
                <c:pt idx="2010">
                  <c:v>0.8200000000000004</c:v>
                </c:pt>
                <c:pt idx="2011">
                  <c:v>0.8250000000000004</c:v>
                </c:pt>
                <c:pt idx="2012">
                  <c:v>0.83000000000000029</c:v>
                </c:pt>
                <c:pt idx="2013">
                  <c:v>0.81750000000000045</c:v>
                </c:pt>
                <c:pt idx="2014">
                  <c:v>0.81250000000000033</c:v>
                </c:pt>
                <c:pt idx="2015">
                  <c:v>0.83500000000000041</c:v>
                </c:pt>
                <c:pt idx="2016">
                  <c:v>0.84250000000000036</c:v>
                </c:pt>
                <c:pt idx="2017">
                  <c:v>0.85250000000000037</c:v>
                </c:pt>
                <c:pt idx="2018">
                  <c:v>0.85750000000000037</c:v>
                </c:pt>
                <c:pt idx="2019">
                  <c:v>0.86750000000000027</c:v>
                </c:pt>
                <c:pt idx="2020">
                  <c:v>0.87250000000000016</c:v>
                </c:pt>
                <c:pt idx="2021">
                  <c:v>0.87250000000000005</c:v>
                </c:pt>
                <c:pt idx="2022">
                  <c:v>0.86999999999999988</c:v>
                </c:pt>
                <c:pt idx="2023">
                  <c:v>0.87249999999999994</c:v>
                </c:pt>
                <c:pt idx="2024">
                  <c:v>0.87</c:v>
                </c:pt>
                <c:pt idx="2025">
                  <c:v>0.875</c:v>
                </c:pt>
                <c:pt idx="2026">
                  <c:v>0.88500000000000001</c:v>
                </c:pt>
                <c:pt idx="2027">
                  <c:v>0.89</c:v>
                </c:pt>
                <c:pt idx="2028">
                  <c:v>0.89249999999999996</c:v>
                </c:pt>
                <c:pt idx="2029">
                  <c:v>0.89750000000000008</c:v>
                </c:pt>
                <c:pt idx="2030">
                  <c:v>0.89749999999999985</c:v>
                </c:pt>
                <c:pt idx="2031">
                  <c:v>0.9</c:v>
                </c:pt>
                <c:pt idx="2032">
                  <c:v>0.89999999999999991</c:v>
                </c:pt>
                <c:pt idx="2033">
                  <c:v>0.9049999999999998</c:v>
                </c:pt>
                <c:pt idx="2034">
                  <c:v>0.89999999999999991</c:v>
                </c:pt>
                <c:pt idx="2035">
                  <c:v>0.89499999999999991</c:v>
                </c:pt>
                <c:pt idx="2036">
                  <c:v>0.89249999999999996</c:v>
                </c:pt>
                <c:pt idx="2037">
                  <c:v>0.88749999999999973</c:v>
                </c:pt>
                <c:pt idx="2038">
                  <c:v>0.88999999999999979</c:v>
                </c:pt>
                <c:pt idx="2039">
                  <c:v>0.89249999999999974</c:v>
                </c:pt>
                <c:pt idx="2040">
                  <c:v>0.89749999999999963</c:v>
                </c:pt>
                <c:pt idx="2041">
                  <c:v>0.90749999999999964</c:v>
                </c:pt>
                <c:pt idx="2042">
                  <c:v>0.90249999999999975</c:v>
                </c:pt>
                <c:pt idx="2043">
                  <c:v>0.88999999999999979</c:v>
                </c:pt>
                <c:pt idx="2044">
                  <c:v>0.8949999999999998</c:v>
                </c:pt>
                <c:pt idx="2045">
                  <c:v>0.91249999999999976</c:v>
                </c:pt>
                <c:pt idx="2046">
                  <c:v>0.91749999999999987</c:v>
                </c:pt>
                <c:pt idx="2047">
                  <c:v>0.90999999999999981</c:v>
                </c:pt>
                <c:pt idx="2048">
                  <c:v>0.89999999999999991</c:v>
                </c:pt>
                <c:pt idx="2049">
                  <c:v>0.90249999999999997</c:v>
                </c:pt>
                <c:pt idx="2050">
                  <c:v>0.9</c:v>
                </c:pt>
                <c:pt idx="2051">
                  <c:v>0.90499999999999992</c:v>
                </c:pt>
                <c:pt idx="2052">
                  <c:v>0.91249999999999987</c:v>
                </c:pt>
                <c:pt idx="2053">
                  <c:v>0.92249999999999999</c:v>
                </c:pt>
                <c:pt idx="2054">
                  <c:v>0.92249999999999988</c:v>
                </c:pt>
                <c:pt idx="2055">
                  <c:v>0.91249999999999998</c:v>
                </c:pt>
                <c:pt idx="2056">
                  <c:v>0.90999999999999981</c:v>
                </c:pt>
                <c:pt idx="2057">
                  <c:v>0.90999999999999981</c:v>
                </c:pt>
                <c:pt idx="2058">
                  <c:v>0.90999999999999981</c:v>
                </c:pt>
                <c:pt idx="2059">
                  <c:v>0.90999999999999981</c:v>
                </c:pt>
                <c:pt idx="2060">
                  <c:v>0.90999999999999992</c:v>
                </c:pt>
                <c:pt idx="2061">
                  <c:v>0.90749999999999986</c:v>
                </c:pt>
                <c:pt idx="2062">
                  <c:v>0.90499999999999969</c:v>
                </c:pt>
                <c:pt idx="2063">
                  <c:v>0.90249999999999975</c:v>
                </c:pt>
                <c:pt idx="2064">
                  <c:v>0.90249999999999986</c:v>
                </c:pt>
                <c:pt idx="2065">
                  <c:v>0.90749999999999986</c:v>
                </c:pt>
                <c:pt idx="2066">
                  <c:v>0.90999999999999981</c:v>
                </c:pt>
                <c:pt idx="2067">
                  <c:v>0.91749999999999987</c:v>
                </c:pt>
                <c:pt idx="2068">
                  <c:v>0.92249999999999976</c:v>
                </c:pt>
                <c:pt idx="2069">
                  <c:v>0.92499999999999971</c:v>
                </c:pt>
                <c:pt idx="2070">
                  <c:v>0.91749999999999987</c:v>
                </c:pt>
                <c:pt idx="2071">
                  <c:v>0.91249999999999976</c:v>
                </c:pt>
                <c:pt idx="2072">
                  <c:v>0.91999999999999971</c:v>
                </c:pt>
                <c:pt idx="2073">
                  <c:v>0.93499999999999972</c:v>
                </c:pt>
                <c:pt idx="2074">
                  <c:v>0.92499999999999971</c:v>
                </c:pt>
                <c:pt idx="2075">
                  <c:v>0.90249999999999964</c:v>
                </c:pt>
                <c:pt idx="2076">
                  <c:v>0.89499999999999968</c:v>
                </c:pt>
                <c:pt idx="2077">
                  <c:v>0.88999999999999957</c:v>
                </c:pt>
                <c:pt idx="2078">
                  <c:v>0.89249999999999963</c:v>
                </c:pt>
                <c:pt idx="2079">
                  <c:v>0.88749999999999973</c:v>
                </c:pt>
                <c:pt idx="2080">
                  <c:v>0.87999999999999967</c:v>
                </c:pt>
                <c:pt idx="2081">
                  <c:v>0.87249999999999994</c:v>
                </c:pt>
                <c:pt idx="2082">
                  <c:v>0.87249999999999983</c:v>
                </c:pt>
                <c:pt idx="2083">
                  <c:v>0.86999999999999977</c:v>
                </c:pt>
                <c:pt idx="2084">
                  <c:v>0.86999999999999988</c:v>
                </c:pt>
                <c:pt idx="2085">
                  <c:v>0.87249999999999983</c:v>
                </c:pt>
                <c:pt idx="2086">
                  <c:v>0.86749999999999983</c:v>
                </c:pt>
                <c:pt idx="2087">
                  <c:v>0.86249999999999993</c:v>
                </c:pt>
                <c:pt idx="2088">
                  <c:v>0.86249999999999993</c:v>
                </c:pt>
                <c:pt idx="2089">
                  <c:v>0.85999999999999976</c:v>
                </c:pt>
                <c:pt idx="2090">
                  <c:v>0.86249999999999971</c:v>
                </c:pt>
                <c:pt idx="2091">
                  <c:v>0.85749999999999982</c:v>
                </c:pt>
                <c:pt idx="2092">
                  <c:v>0.86249999999999993</c:v>
                </c:pt>
                <c:pt idx="2093">
                  <c:v>0.86</c:v>
                </c:pt>
                <c:pt idx="2094">
                  <c:v>0.86250000000000004</c:v>
                </c:pt>
                <c:pt idx="2095">
                  <c:v>0.86250000000000004</c:v>
                </c:pt>
                <c:pt idx="2096">
                  <c:v>0.86250000000000016</c:v>
                </c:pt>
                <c:pt idx="2097">
                  <c:v>0.8650000000000001</c:v>
                </c:pt>
                <c:pt idx="2098">
                  <c:v>0.86250000000000016</c:v>
                </c:pt>
                <c:pt idx="2099">
                  <c:v>0.8600000000000001</c:v>
                </c:pt>
                <c:pt idx="2100">
                  <c:v>0.85750000000000015</c:v>
                </c:pt>
                <c:pt idx="2101">
                  <c:v>0.8600000000000001</c:v>
                </c:pt>
                <c:pt idx="2102">
                  <c:v>0.87000000000000033</c:v>
                </c:pt>
                <c:pt idx="2103">
                  <c:v>0.87000000000000033</c:v>
                </c:pt>
                <c:pt idx="2104">
                  <c:v>0.86750000000000027</c:v>
                </c:pt>
                <c:pt idx="2105">
                  <c:v>0.86000000000000043</c:v>
                </c:pt>
                <c:pt idx="2106">
                  <c:v>0.85500000000000043</c:v>
                </c:pt>
                <c:pt idx="2107">
                  <c:v>0.85250000000000048</c:v>
                </c:pt>
                <c:pt idx="2108">
                  <c:v>0.85250000000000048</c:v>
                </c:pt>
                <c:pt idx="2109">
                  <c:v>0.85250000000000048</c:v>
                </c:pt>
                <c:pt idx="2110">
                  <c:v>0.85500000000000032</c:v>
                </c:pt>
                <c:pt idx="2111">
                  <c:v>0.85250000000000037</c:v>
                </c:pt>
                <c:pt idx="2112">
                  <c:v>0.8500000000000002</c:v>
                </c:pt>
                <c:pt idx="2113">
                  <c:v>0.84750000000000025</c:v>
                </c:pt>
                <c:pt idx="2114">
                  <c:v>0.85000000000000009</c:v>
                </c:pt>
                <c:pt idx="2115">
                  <c:v>0.8550000000000002</c:v>
                </c:pt>
                <c:pt idx="2116">
                  <c:v>0.85250000000000015</c:v>
                </c:pt>
                <c:pt idx="2117">
                  <c:v>0.85250000000000015</c:v>
                </c:pt>
                <c:pt idx="2118">
                  <c:v>0.85250000000000015</c:v>
                </c:pt>
                <c:pt idx="2119">
                  <c:v>0.85500000000000009</c:v>
                </c:pt>
                <c:pt idx="2120">
                  <c:v>0.85750000000000004</c:v>
                </c:pt>
                <c:pt idx="2121">
                  <c:v>0.85500000000000009</c:v>
                </c:pt>
                <c:pt idx="2122">
                  <c:v>0.85750000000000004</c:v>
                </c:pt>
                <c:pt idx="2123">
                  <c:v>0.85750000000000004</c:v>
                </c:pt>
                <c:pt idx="2124">
                  <c:v>0.85750000000000004</c:v>
                </c:pt>
                <c:pt idx="2125">
                  <c:v>0.85500000000000009</c:v>
                </c:pt>
                <c:pt idx="2126">
                  <c:v>0.85249999999999992</c:v>
                </c:pt>
                <c:pt idx="2127">
                  <c:v>0.85249999999999992</c:v>
                </c:pt>
                <c:pt idx="2128">
                  <c:v>0.85500000000000009</c:v>
                </c:pt>
                <c:pt idx="2129">
                  <c:v>0.85499999999999998</c:v>
                </c:pt>
                <c:pt idx="2130">
                  <c:v>0.85750000000000004</c:v>
                </c:pt>
                <c:pt idx="2131">
                  <c:v>0.85749999999999993</c:v>
                </c:pt>
                <c:pt idx="2132">
                  <c:v>0.85000000000000009</c:v>
                </c:pt>
                <c:pt idx="2133">
                  <c:v>0.85249999999999992</c:v>
                </c:pt>
                <c:pt idx="2134">
                  <c:v>0.86</c:v>
                </c:pt>
                <c:pt idx="2135">
                  <c:v>0.85999999999999988</c:v>
                </c:pt>
                <c:pt idx="2136">
                  <c:v>0.86499999999999999</c:v>
                </c:pt>
                <c:pt idx="2137">
                  <c:v>0.86749999999999983</c:v>
                </c:pt>
                <c:pt idx="2138">
                  <c:v>0.86249999999999993</c:v>
                </c:pt>
                <c:pt idx="2139">
                  <c:v>0.85499999999999998</c:v>
                </c:pt>
                <c:pt idx="2140">
                  <c:v>0.85750000000000004</c:v>
                </c:pt>
                <c:pt idx="2141">
                  <c:v>0.85749999999999993</c:v>
                </c:pt>
                <c:pt idx="2142">
                  <c:v>0.85750000000000004</c:v>
                </c:pt>
                <c:pt idx="2143">
                  <c:v>0.85750000000000004</c:v>
                </c:pt>
                <c:pt idx="2144">
                  <c:v>0.85750000000000004</c:v>
                </c:pt>
                <c:pt idx="2145">
                  <c:v>0.85250000000000015</c:v>
                </c:pt>
                <c:pt idx="2146">
                  <c:v>0.85000000000000009</c:v>
                </c:pt>
                <c:pt idx="2147">
                  <c:v>0.85000000000000009</c:v>
                </c:pt>
                <c:pt idx="2148">
                  <c:v>0.84750000000000003</c:v>
                </c:pt>
                <c:pt idx="2149">
                  <c:v>0.84750000000000003</c:v>
                </c:pt>
                <c:pt idx="2150">
                  <c:v>0.84499999999999997</c:v>
                </c:pt>
                <c:pt idx="2151">
                  <c:v>0.84749999999999992</c:v>
                </c:pt>
                <c:pt idx="2152">
                  <c:v>0.84750000000000003</c:v>
                </c:pt>
                <c:pt idx="2153">
                  <c:v>0.85</c:v>
                </c:pt>
                <c:pt idx="2154">
                  <c:v>0.85249999999999992</c:v>
                </c:pt>
                <c:pt idx="2155">
                  <c:v>0.85500000000000009</c:v>
                </c:pt>
                <c:pt idx="2156">
                  <c:v>0.85500000000000009</c:v>
                </c:pt>
                <c:pt idx="2157">
                  <c:v>0.85750000000000004</c:v>
                </c:pt>
                <c:pt idx="2158">
                  <c:v>0.85750000000000004</c:v>
                </c:pt>
                <c:pt idx="2159">
                  <c:v>0.85750000000000004</c:v>
                </c:pt>
                <c:pt idx="2160">
                  <c:v>0.85500000000000009</c:v>
                </c:pt>
                <c:pt idx="2161">
                  <c:v>0.85750000000000004</c:v>
                </c:pt>
                <c:pt idx="2162">
                  <c:v>0.85750000000000015</c:v>
                </c:pt>
                <c:pt idx="2163">
                  <c:v>0.8600000000000001</c:v>
                </c:pt>
                <c:pt idx="2164">
                  <c:v>0.85750000000000015</c:v>
                </c:pt>
                <c:pt idx="2165">
                  <c:v>0.86750000000000016</c:v>
                </c:pt>
                <c:pt idx="2166">
                  <c:v>0.87500000000000011</c:v>
                </c:pt>
                <c:pt idx="2167">
                  <c:v>0.88250000000000017</c:v>
                </c:pt>
                <c:pt idx="2168">
                  <c:v>0.88750000000000007</c:v>
                </c:pt>
                <c:pt idx="2169">
                  <c:v>0.89500000000000024</c:v>
                </c:pt>
                <c:pt idx="2170">
                  <c:v>0.90000000000000024</c:v>
                </c:pt>
                <c:pt idx="2171">
                  <c:v>0.91000000000000025</c:v>
                </c:pt>
                <c:pt idx="2172">
                  <c:v>0.91500000000000037</c:v>
                </c:pt>
                <c:pt idx="2173">
                  <c:v>0.90500000000000036</c:v>
                </c:pt>
                <c:pt idx="2174">
                  <c:v>0.90500000000000036</c:v>
                </c:pt>
                <c:pt idx="2175">
                  <c:v>0.90250000000000019</c:v>
                </c:pt>
                <c:pt idx="2176">
                  <c:v>0.90000000000000036</c:v>
                </c:pt>
                <c:pt idx="2177">
                  <c:v>0.90000000000000036</c:v>
                </c:pt>
                <c:pt idx="2178">
                  <c:v>0.9025000000000003</c:v>
                </c:pt>
                <c:pt idx="2179">
                  <c:v>0.90500000000000036</c:v>
                </c:pt>
                <c:pt idx="2180">
                  <c:v>0.90500000000000036</c:v>
                </c:pt>
                <c:pt idx="2181">
                  <c:v>0.91000000000000036</c:v>
                </c:pt>
                <c:pt idx="2182">
                  <c:v>0.91500000000000037</c:v>
                </c:pt>
                <c:pt idx="2183">
                  <c:v>0.92250000000000043</c:v>
                </c:pt>
                <c:pt idx="2184">
                  <c:v>0.93000000000000038</c:v>
                </c:pt>
                <c:pt idx="2185">
                  <c:v>0.93250000000000033</c:v>
                </c:pt>
                <c:pt idx="2186">
                  <c:v>0.93000000000000027</c:v>
                </c:pt>
                <c:pt idx="2187">
                  <c:v>0.92500000000000049</c:v>
                </c:pt>
                <c:pt idx="2188">
                  <c:v>0.91500000000000048</c:v>
                </c:pt>
                <c:pt idx="2189">
                  <c:v>0.91250000000000042</c:v>
                </c:pt>
                <c:pt idx="2190">
                  <c:v>0.92000000000000048</c:v>
                </c:pt>
                <c:pt idx="2191">
                  <c:v>0.92750000000000055</c:v>
                </c:pt>
                <c:pt idx="2192">
                  <c:v>0.9450000000000004</c:v>
                </c:pt>
                <c:pt idx="2193">
                  <c:v>0.92000000000000037</c:v>
                </c:pt>
                <c:pt idx="2194">
                  <c:v>0.91000000000000036</c:v>
                </c:pt>
                <c:pt idx="2195">
                  <c:v>0.92000000000000026</c:v>
                </c:pt>
                <c:pt idx="2196">
                  <c:v>0.92750000000000021</c:v>
                </c:pt>
                <c:pt idx="2197">
                  <c:v>0.92500000000000016</c:v>
                </c:pt>
                <c:pt idx="2198">
                  <c:v>0.92</c:v>
                </c:pt>
                <c:pt idx="2199">
                  <c:v>0.91750000000000009</c:v>
                </c:pt>
                <c:pt idx="2200">
                  <c:v>0.91000000000000014</c:v>
                </c:pt>
                <c:pt idx="2201">
                  <c:v>0.91250000000000009</c:v>
                </c:pt>
                <c:pt idx="2202">
                  <c:v>0.91500000000000015</c:v>
                </c:pt>
                <c:pt idx="2203">
                  <c:v>0.92</c:v>
                </c:pt>
                <c:pt idx="2204">
                  <c:v>0.92749999999999999</c:v>
                </c:pt>
                <c:pt idx="2205">
                  <c:v>0.92249999999999988</c:v>
                </c:pt>
                <c:pt idx="2206">
                  <c:v>0.91249999999999998</c:v>
                </c:pt>
                <c:pt idx="2207">
                  <c:v>0.91499999999999992</c:v>
                </c:pt>
                <c:pt idx="2208">
                  <c:v>0.91499999999999992</c:v>
                </c:pt>
                <c:pt idx="2209">
                  <c:v>0.91999999999999993</c:v>
                </c:pt>
                <c:pt idx="2210">
                  <c:v>0.91999999999999993</c:v>
                </c:pt>
                <c:pt idx="2211">
                  <c:v>0.91499999999999981</c:v>
                </c:pt>
                <c:pt idx="2212">
                  <c:v>0.91249999999999987</c:v>
                </c:pt>
                <c:pt idx="2213">
                  <c:v>0.90749999999999997</c:v>
                </c:pt>
                <c:pt idx="2214">
                  <c:v>0.90499999999999992</c:v>
                </c:pt>
                <c:pt idx="2215">
                  <c:v>0.90500000000000003</c:v>
                </c:pt>
                <c:pt idx="2216">
                  <c:v>0.90999999999999992</c:v>
                </c:pt>
                <c:pt idx="2217">
                  <c:v>0.91999999999999993</c:v>
                </c:pt>
                <c:pt idx="2218">
                  <c:v>0.92999999999999994</c:v>
                </c:pt>
                <c:pt idx="2219">
                  <c:v>0.9325</c:v>
                </c:pt>
                <c:pt idx="2220">
                  <c:v>0.9425</c:v>
                </c:pt>
                <c:pt idx="2221">
                  <c:v>0.95</c:v>
                </c:pt>
                <c:pt idx="2222">
                  <c:v>0.9524999999999999</c:v>
                </c:pt>
                <c:pt idx="2223">
                  <c:v>0.9474999999999999</c:v>
                </c:pt>
                <c:pt idx="2224">
                  <c:v>0.93499999999999983</c:v>
                </c:pt>
                <c:pt idx="2225">
                  <c:v>0.91249999999999987</c:v>
                </c:pt>
                <c:pt idx="2226">
                  <c:v>0.89249999999999974</c:v>
                </c:pt>
                <c:pt idx="2227">
                  <c:v>0.88749999999999973</c:v>
                </c:pt>
                <c:pt idx="2228">
                  <c:v>0.8899999999999999</c:v>
                </c:pt>
                <c:pt idx="2229">
                  <c:v>0.88749999999999984</c:v>
                </c:pt>
                <c:pt idx="2230">
                  <c:v>0.88749999999999984</c:v>
                </c:pt>
                <c:pt idx="2231">
                  <c:v>0.87749999999999995</c:v>
                </c:pt>
                <c:pt idx="2232">
                  <c:v>0.86999999999999977</c:v>
                </c:pt>
                <c:pt idx="2233">
                  <c:v>0.87249999999999994</c:v>
                </c:pt>
                <c:pt idx="2234">
                  <c:v>0.86749999999999983</c:v>
                </c:pt>
                <c:pt idx="2235">
                  <c:v>0.86749999999999983</c:v>
                </c:pt>
                <c:pt idx="2236">
                  <c:v>0.85999999999999976</c:v>
                </c:pt>
                <c:pt idx="2237">
                  <c:v>0.86249999999999971</c:v>
                </c:pt>
                <c:pt idx="2238">
                  <c:v>0.86499999999999977</c:v>
                </c:pt>
                <c:pt idx="2239">
                  <c:v>0.86499999999999977</c:v>
                </c:pt>
                <c:pt idx="2240">
                  <c:v>0.86499999999999966</c:v>
                </c:pt>
                <c:pt idx="2241">
                  <c:v>0.86749999999999972</c:v>
                </c:pt>
                <c:pt idx="2242">
                  <c:v>0.86499999999999977</c:v>
                </c:pt>
                <c:pt idx="2243">
                  <c:v>0.86749999999999983</c:v>
                </c:pt>
                <c:pt idx="2244">
                  <c:v>0.85749999999999971</c:v>
                </c:pt>
                <c:pt idx="2245">
                  <c:v>0.85499999999999987</c:v>
                </c:pt>
                <c:pt idx="2246">
                  <c:v>0.85499999999999987</c:v>
                </c:pt>
                <c:pt idx="2247">
                  <c:v>0.85499999999999987</c:v>
                </c:pt>
                <c:pt idx="2248">
                  <c:v>0.85499999999999998</c:v>
                </c:pt>
                <c:pt idx="2249">
                  <c:v>0.85249999999999992</c:v>
                </c:pt>
                <c:pt idx="2250">
                  <c:v>0.84999999999999987</c:v>
                </c:pt>
                <c:pt idx="2251">
                  <c:v>0.88249999999999995</c:v>
                </c:pt>
                <c:pt idx="2252">
                  <c:v>0.86749999999999994</c:v>
                </c:pt>
                <c:pt idx="2253">
                  <c:v>0.86249999999999993</c:v>
                </c:pt>
                <c:pt idx="2254">
                  <c:v>0.86250000000000004</c:v>
                </c:pt>
                <c:pt idx="2255">
                  <c:v>0.86</c:v>
                </c:pt>
                <c:pt idx="2256">
                  <c:v>0.84999999999999987</c:v>
                </c:pt>
                <c:pt idx="2257">
                  <c:v>0.84999999999999987</c:v>
                </c:pt>
                <c:pt idx="2258">
                  <c:v>0.84999999999999987</c:v>
                </c:pt>
                <c:pt idx="2259">
                  <c:v>0.84750000000000003</c:v>
                </c:pt>
                <c:pt idx="2260">
                  <c:v>0.84249999999999992</c:v>
                </c:pt>
                <c:pt idx="2261">
                  <c:v>0.84250000000000003</c:v>
                </c:pt>
                <c:pt idx="2262">
                  <c:v>0.84500000000000008</c:v>
                </c:pt>
                <c:pt idx="2263">
                  <c:v>0.84750000000000014</c:v>
                </c:pt>
                <c:pt idx="2264">
                  <c:v>0.8500000000000002</c:v>
                </c:pt>
                <c:pt idx="2265">
                  <c:v>0.8550000000000002</c:v>
                </c:pt>
                <c:pt idx="2266">
                  <c:v>0.8550000000000002</c:v>
                </c:pt>
                <c:pt idx="2267">
                  <c:v>0.8550000000000002</c:v>
                </c:pt>
                <c:pt idx="2268">
                  <c:v>0.8600000000000001</c:v>
                </c:pt>
                <c:pt idx="2269">
                  <c:v>0.8550000000000002</c:v>
                </c:pt>
                <c:pt idx="2270">
                  <c:v>0.8550000000000002</c:v>
                </c:pt>
                <c:pt idx="2271">
                  <c:v>0.85750000000000015</c:v>
                </c:pt>
                <c:pt idx="2272">
                  <c:v>0.85750000000000026</c:v>
                </c:pt>
                <c:pt idx="2273">
                  <c:v>0.85750000000000026</c:v>
                </c:pt>
                <c:pt idx="2274">
                  <c:v>0.85750000000000037</c:v>
                </c:pt>
                <c:pt idx="2275">
                  <c:v>0.86000000000000043</c:v>
                </c:pt>
                <c:pt idx="2276">
                  <c:v>0.85750000000000026</c:v>
                </c:pt>
                <c:pt idx="2277">
                  <c:v>0.8550000000000002</c:v>
                </c:pt>
                <c:pt idx="2278">
                  <c:v>0.84750000000000025</c:v>
                </c:pt>
                <c:pt idx="2279">
                  <c:v>0.85250000000000026</c:v>
                </c:pt>
                <c:pt idx="2280">
                  <c:v>0.8450000000000002</c:v>
                </c:pt>
                <c:pt idx="2281">
                  <c:v>0.84250000000000014</c:v>
                </c:pt>
                <c:pt idx="2282">
                  <c:v>0.81750000000000012</c:v>
                </c:pt>
                <c:pt idx="2283">
                  <c:v>0.83250000000000002</c:v>
                </c:pt>
                <c:pt idx="2284">
                  <c:v>0.84000000000000008</c:v>
                </c:pt>
                <c:pt idx="2285">
                  <c:v>0.84</c:v>
                </c:pt>
                <c:pt idx="2286">
                  <c:v>0.84249999999999992</c:v>
                </c:pt>
                <c:pt idx="2287">
                  <c:v>0.8424999999999998</c:v>
                </c:pt>
                <c:pt idx="2288">
                  <c:v>0.84</c:v>
                </c:pt>
                <c:pt idx="2289">
                  <c:v>0.83999999999999986</c:v>
                </c:pt>
                <c:pt idx="2290">
                  <c:v>0.8424999999999998</c:v>
                </c:pt>
                <c:pt idx="2291">
                  <c:v>0.8424999999999998</c:v>
                </c:pt>
                <c:pt idx="2292">
                  <c:v>0.8424999999999998</c:v>
                </c:pt>
                <c:pt idx="2293">
                  <c:v>0.83999999999999986</c:v>
                </c:pt>
                <c:pt idx="2294">
                  <c:v>0.83749999999999991</c:v>
                </c:pt>
                <c:pt idx="2295">
                  <c:v>0.83499999999999985</c:v>
                </c:pt>
                <c:pt idx="2296">
                  <c:v>0.83499999999999985</c:v>
                </c:pt>
                <c:pt idx="2297">
                  <c:v>0.83499999999999985</c:v>
                </c:pt>
                <c:pt idx="2298">
                  <c:v>0.83499999999999985</c:v>
                </c:pt>
                <c:pt idx="2299">
                  <c:v>0.83500000000000008</c:v>
                </c:pt>
                <c:pt idx="2300">
                  <c:v>0.83499999999999985</c:v>
                </c:pt>
                <c:pt idx="2301">
                  <c:v>0.83500000000000008</c:v>
                </c:pt>
                <c:pt idx="2302">
                  <c:v>0.83750000000000002</c:v>
                </c:pt>
                <c:pt idx="2303">
                  <c:v>0.83500000000000008</c:v>
                </c:pt>
                <c:pt idx="2304">
                  <c:v>0.84</c:v>
                </c:pt>
                <c:pt idx="2305">
                  <c:v>0.84500000000000008</c:v>
                </c:pt>
                <c:pt idx="2306">
                  <c:v>0.84500000000000008</c:v>
                </c:pt>
                <c:pt idx="2307">
                  <c:v>0.84749999999999992</c:v>
                </c:pt>
                <c:pt idx="2308">
                  <c:v>0.84750000000000003</c:v>
                </c:pt>
                <c:pt idx="2309">
                  <c:v>0.85</c:v>
                </c:pt>
                <c:pt idx="2310">
                  <c:v>0.85249999999999992</c:v>
                </c:pt>
                <c:pt idx="2311">
                  <c:v>0.84249999999999992</c:v>
                </c:pt>
                <c:pt idx="2312">
                  <c:v>0.84000000000000008</c:v>
                </c:pt>
                <c:pt idx="2313">
                  <c:v>0.84750000000000003</c:v>
                </c:pt>
                <c:pt idx="2314">
                  <c:v>0.85</c:v>
                </c:pt>
                <c:pt idx="2315">
                  <c:v>0.86250000000000004</c:v>
                </c:pt>
                <c:pt idx="2316">
                  <c:v>0.86750000000000005</c:v>
                </c:pt>
                <c:pt idx="2317">
                  <c:v>0.87</c:v>
                </c:pt>
                <c:pt idx="2318">
                  <c:v>0.875</c:v>
                </c:pt>
                <c:pt idx="2319">
                  <c:v>0.88000000000000012</c:v>
                </c:pt>
                <c:pt idx="2320">
                  <c:v>0.89250000000000007</c:v>
                </c:pt>
                <c:pt idx="2321">
                  <c:v>0.90250000000000008</c:v>
                </c:pt>
                <c:pt idx="2322">
                  <c:v>0.90250000000000008</c:v>
                </c:pt>
                <c:pt idx="2323">
                  <c:v>0.89500000000000002</c:v>
                </c:pt>
                <c:pt idx="2324">
                  <c:v>0.88749999999999996</c:v>
                </c:pt>
                <c:pt idx="2325">
                  <c:v>0.88750000000000007</c:v>
                </c:pt>
                <c:pt idx="2326">
                  <c:v>0.89000000000000012</c:v>
                </c:pt>
                <c:pt idx="2327">
                  <c:v>0.89</c:v>
                </c:pt>
                <c:pt idx="2328">
                  <c:v>0.89</c:v>
                </c:pt>
                <c:pt idx="2329">
                  <c:v>0.89</c:v>
                </c:pt>
                <c:pt idx="2330">
                  <c:v>0.8899999999999999</c:v>
                </c:pt>
                <c:pt idx="2331">
                  <c:v>0.89</c:v>
                </c:pt>
                <c:pt idx="2332">
                  <c:v>0.89499999999999991</c:v>
                </c:pt>
                <c:pt idx="2333">
                  <c:v>0.89999999999999991</c:v>
                </c:pt>
                <c:pt idx="2334">
                  <c:v>0.90499999999999992</c:v>
                </c:pt>
                <c:pt idx="2335">
                  <c:v>0.90999999999999992</c:v>
                </c:pt>
                <c:pt idx="2336">
                  <c:v>0.90749999999999997</c:v>
                </c:pt>
                <c:pt idx="2337">
                  <c:v>0.90249999999999986</c:v>
                </c:pt>
                <c:pt idx="2338">
                  <c:v>0.89999999999999991</c:v>
                </c:pt>
                <c:pt idx="2339">
                  <c:v>0.89499999999999991</c:v>
                </c:pt>
                <c:pt idx="2340">
                  <c:v>0.89749999999999974</c:v>
                </c:pt>
                <c:pt idx="2341">
                  <c:v>0.90999999999999981</c:v>
                </c:pt>
                <c:pt idx="2342">
                  <c:v>0.9149999999999997</c:v>
                </c:pt>
                <c:pt idx="2343">
                  <c:v>0.8949999999999998</c:v>
                </c:pt>
                <c:pt idx="2344">
                  <c:v>0.8899999999999999</c:v>
                </c:pt>
                <c:pt idx="2345">
                  <c:v>0.89749999999999974</c:v>
                </c:pt>
                <c:pt idx="2346">
                  <c:v>0.90749999999999986</c:v>
                </c:pt>
                <c:pt idx="2347">
                  <c:v>0.91249999999999976</c:v>
                </c:pt>
                <c:pt idx="2348">
                  <c:v>0.90749999999999986</c:v>
                </c:pt>
                <c:pt idx="2349">
                  <c:v>0.90249999999999986</c:v>
                </c:pt>
                <c:pt idx="2350">
                  <c:v>0.89499999999999991</c:v>
                </c:pt>
                <c:pt idx="2351">
                  <c:v>0.89249999999999996</c:v>
                </c:pt>
                <c:pt idx="2352">
                  <c:v>0.89250000000000007</c:v>
                </c:pt>
                <c:pt idx="2353">
                  <c:v>0.9</c:v>
                </c:pt>
                <c:pt idx="2354">
                  <c:v>0.90749999999999997</c:v>
                </c:pt>
                <c:pt idx="2355">
                  <c:v>0.91</c:v>
                </c:pt>
                <c:pt idx="2356">
                  <c:v>0.91499999999999992</c:v>
                </c:pt>
                <c:pt idx="2357">
                  <c:v>0.91749999999999987</c:v>
                </c:pt>
                <c:pt idx="2358">
                  <c:v>0.91999999999999993</c:v>
                </c:pt>
                <c:pt idx="2359">
                  <c:v>0.91499999999999992</c:v>
                </c:pt>
                <c:pt idx="2360">
                  <c:v>0.91749999999999998</c:v>
                </c:pt>
                <c:pt idx="2361">
                  <c:v>0.91249999999999987</c:v>
                </c:pt>
                <c:pt idx="2362">
                  <c:v>0.90749999999999997</c:v>
                </c:pt>
                <c:pt idx="2363">
                  <c:v>0.90250000000000008</c:v>
                </c:pt>
                <c:pt idx="2364">
                  <c:v>0.90250000000000008</c:v>
                </c:pt>
                <c:pt idx="2365">
                  <c:v>0.89500000000000013</c:v>
                </c:pt>
                <c:pt idx="2366">
                  <c:v>0.89500000000000013</c:v>
                </c:pt>
                <c:pt idx="2367">
                  <c:v>0.89250000000000018</c:v>
                </c:pt>
                <c:pt idx="2368">
                  <c:v>0.90000000000000013</c:v>
                </c:pt>
                <c:pt idx="2369">
                  <c:v>0.90500000000000014</c:v>
                </c:pt>
                <c:pt idx="2370">
                  <c:v>0.91249999999999998</c:v>
                </c:pt>
                <c:pt idx="2371">
                  <c:v>0.90250000000000008</c:v>
                </c:pt>
                <c:pt idx="2372">
                  <c:v>0.90750000000000008</c:v>
                </c:pt>
                <c:pt idx="2373">
                  <c:v>0.90500000000000003</c:v>
                </c:pt>
                <c:pt idx="2374">
                  <c:v>0.90500000000000003</c:v>
                </c:pt>
                <c:pt idx="2375">
                  <c:v>0.88249999999999995</c:v>
                </c:pt>
                <c:pt idx="2376">
                  <c:v>0.87</c:v>
                </c:pt>
                <c:pt idx="2377">
                  <c:v>0.8650000000000001</c:v>
                </c:pt>
                <c:pt idx="2378">
                  <c:v>0.8550000000000002</c:v>
                </c:pt>
                <c:pt idx="2379">
                  <c:v>0.85500000000000032</c:v>
                </c:pt>
                <c:pt idx="2380">
                  <c:v>0.85250000000000026</c:v>
                </c:pt>
                <c:pt idx="2381">
                  <c:v>0.85000000000000009</c:v>
                </c:pt>
                <c:pt idx="2382">
                  <c:v>0.85</c:v>
                </c:pt>
                <c:pt idx="2383">
                  <c:v>0.85</c:v>
                </c:pt>
                <c:pt idx="2384">
                  <c:v>0.85</c:v>
                </c:pt>
                <c:pt idx="2385">
                  <c:v>0.84750000000000003</c:v>
                </c:pt>
                <c:pt idx="2386">
                  <c:v>0.84750000000000014</c:v>
                </c:pt>
                <c:pt idx="2387">
                  <c:v>0.84750000000000003</c:v>
                </c:pt>
                <c:pt idx="2388">
                  <c:v>0.84750000000000003</c:v>
                </c:pt>
                <c:pt idx="2389">
                  <c:v>0.84750000000000003</c:v>
                </c:pt>
                <c:pt idx="2390">
                  <c:v>0.84750000000000003</c:v>
                </c:pt>
                <c:pt idx="2391">
                  <c:v>0.84750000000000003</c:v>
                </c:pt>
                <c:pt idx="2392">
                  <c:v>0.84250000000000003</c:v>
                </c:pt>
                <c:pt idx="2393">
                  <c:v>0.84250000000000003</c:v>
                </c:pt>
                <c:pt idx="2394">
                  <c:v>0.84</c:v>
                </c:pt>
                <c:pt idx="2395">
                  <c:v>0.83750000000000002</c:v>
                </c:pt>
                <c:pt idx="2396">
                  <c:v>0.84249999999999992</c:v>
                </c:pt>
                <c:pt idx="2397">
                  <c:v>0.83999999999999986</c:v>
                </c:pt>
                <c:pt idx="2398">
                  <c:v>0.84</c:v>
                </c:pt>
                <c:pt idx="2399">
                  <c:v>0.83750000000000002</c:v>
                </c:pt>
                <c:pt idx="2400">
                  <c:v>0.83999999999999986</c:v>
                </c:pt>
                <c:pt idx="2401">
                  <c:v>0.8424999999999998</c:v>
                </c:pt>
                <c:pt idx="2402">
                  <c:v>0.85499999999999998</c:v>
                </c:pt>
                <c:pt idx="2403">
                  <c:v>0.85499999999999987</c:v>
                </c:pt>
                <c:pt idx="2404">
                  <c:v>0.85249999999999981</c:v>
                </c:pt>
                <c:pt idx="2405">
                  <c:v>0.84749999999999981</c:v>
                </c:pt>
                <c:pt idx="2406">
                  <c:v>0.84249999999999969</c:v>
                </c:pt>
                <c:pt idx="2407">
                  <c:v>0.83999999999999975</c:v>
                </c:pt>
                <c:pt idx="2408">
                  <c:v>0.84749999999999992</c:v>
                </c:pt>
                <c:pt idx="2409">
                  <c:v>0.84749999999999981</c:v>
                </c:pt>
                <c:pt idx="2410">
                  <c:v>0.84499999999999986</c:v>
                </c:pt>
                <c:pt idx="2411">
                  <c:v>0.84499999999999986</c:v>
                </c:pt>
                <c:pt idx="2412">
                  <c:v>0.84499999999999986</c:v>
                </c:pt>
                <c:pt idx="2413">
                  <c:v>0.83749999999999991</c:v>
                </c:pt>
                <c:pt idx="2414">
                  <c:v>0.83499999999999974</c:v>
                </c:pt>
                <c:pt idx="2415">
                  <c:v>0.8374999999999998</c:v>
                </c:pt>
                <c:pt idx="2416">
                  <c:v>0.8324999999999998</c:v>
                </c:pt>
                <c:pt idx="2417">
                  <c:v>0.83749999999999991</c:v>
                </c:pt>
                <c:pt idx="2418">
                  <c:v>0.8324999999999998</c:v>
                </c:pt>
                <c:pt idx="2419">
                  <c:v>0.84249999999999992</c:v>
                </c:pt>
                <c:pt idx="2420">
                  <c:v>0.84249999999999992</c:v>
                </c:pt>
                <c:pt idx="2421">
                  <c:v>0.84750000000000003</c:v>
                </c:pt>
                <c:pt idx="2422">
                  <c:v>0.84499999999999997</c:v>
                </c:pt>
                <c:pt idx="2423">
                  <c:v>0.84499999999999997</c:v>
                </c:pt>
                <c:pt idx="2424">
                  <c:v>0.84500000000000008</c:v>
                </c:pt>
                <c:pt idx="2425">
                  <c:v>0.84750000000000003</c:v>
                </c:pt>
                <c:pt idx="2426">
                  <c:v>0.84500000000000008</c:v>
                </c:pt>
                <c:pt idx="2427">
                  <c:v>0.8450000000000002</c:v>
                </c:pt>
                <c:pt idx="2428">
                  <c:v>0.84000000000000008</c:v>
                </c:pt>
                <c:pt idx="2429">
                  <c:v>0.84000000000000008</c:v>
                </c:pt>
                <c:pt idx="2430">
                  <c:v>0.84250000000000003</c:v>
                </c:pt>
                <c:pt idx="2431">
                  <c:v>0.84000000000000008</c:v>
                </c:pt>
                <c:pt idx="2432">
                  <c:v>0.82750000000000024</c:v>
                </c:pt>
                <c:pt idx="2433">
                  <c:v>0.83500000000000019</c:v>
                </c:pt>
                <c:pt idx="2434">
                  <c:v>0.84000000000000008</c:v>
                </c:pt>
                <c:pt idx="2435">
                  <c:v>0.84250000000000003</c:v>
                </c:pt>
                <c:pt idx="2436">
                  <c:v>0.84750000000000003</c:v>
                </c:pt>
                <c:pt idx="2437">
                  <c:v>0.84999999999999987</c:v>
                </c:pt>
                <c:pt idx="2438">
                  <c:v>0.85499999999999998</c:v>
                </c:pt>
                <c:pt idx="2439">
                  <c:v>0.85499999999999998</c:v>
                </c:pt>
                <c:pt idx="2440">
                  <c:v>0.85249999999999981</c:v>
                </c:pt>
                <c:pt idx="2441">
                  <c:v>0.84749999999999981</c:v>
                </c:pt>
                <c:pt idx="2442">
                  <c:v>0.8424999999999998</c:v>
                </c:pt>
                <c:pt idx="2443">
                  <c:v>0.84249999999999969</c:v>
                </c:pt>
                <c:pt idx="2444">
                  <c:v>0.84499999999999986</c:v>
                </c:pt>
                <c:pt idx="2445">
                  <c:v>0.84499999999999986</c:v>
                </c:pt>
                <c:pt idx="2446">
                  <c:v>0.8424999999999998</c:v>
                </c:pt>
                <c:pt idx="2447">
                  <c:v>0.84499999999999986</c:v>
                </c:pt>
                <c:pt idx="2448">
                  <c:v>0.84249999999999969</c:v>
                </c:pt>
                <c:pt idx="2449">
                  <c:v>0.84499999999999986</c:v>
                </c:pt>
                <c:pt idx="2450">
                  <c:v>0.8424999999999998</c:v>
                </c:pt>
                <c:pt idx="2451">
                  <c:v>0.8424999999999998</c:v>
                </c:pt>
                <c:pt idx="2452">
                  <c:v>0.83999999999999986</c:v>
                </c:pt>
                <c:pt idx="2453">
                  <c:v>0.83499999999999985</c:v>
                </c:pt>
                <c:pt idx="2454">
                  <c:v>0.83250000000000002</c:v>
                </c:pt>
                <c:pt idx="2455">
                  <c:v>0.82750000000000012</c:v>
                </c:pt>
                <c:pt idx="2456">
                  <c:v>0.83250000000000002</c:v>
                </c:pt>
                <c:pt idx="2457">
                  <c:v>0.83750000000000002</c:v>
                </c:pt>
                <c:pt idx="2458">
                  <c:v>0.84</c:v>
                </c:pt>
                <c:pt idx="2459">
                  <c:v>0.84249999999999992</c:v>
                </c:pt>
                <c:pt idx="2460">
                  <c:v>0.84249999999999992</c:v>
                </c:pt>
                <c:pt idx="2461">
                  <c:v>0.82750000000000001</c:v>
                </c:pt>
                <c:pt idx="2462">
                  <c:v>0.82750000000000001</c:v>
                </c:pt>
                <c:pt idx="2463">
                  <c:v>0.83750000000000002</c:v>
                </c:pt>
                <c:pt idx="2464">
                  <c:v>0.84249999999999992</c:v>
                </c:pt>
                <c:pt idx="2465">
                  <c:v>0.84249999999999992</c:v>
                </c:pt>
                <c:pt idx="2466">
                  <c:v>0.85249999999999992</c:v>
                </c:pt>
                <c:pt idx="2467">
                  <c:v>0.86250000000000004</c:v>
                </c:pt>
                <c:pt idx="2468">
                  <c:v>0.86749999999999983</c:v>
                </c:pt>
                <c:pt idx="2469">
                  <c:v>0.86999999999999977</c:v>
                </c:pt>
                <c:pt idx="2470">
                  <c:v>0.87499999999999978</c:v>
                </c:pt>
                <c:pt idx="2471">
                  <c:v>0.87749999999999972</c:v>
                </c:pt>
                <c:pt idx="2472">
                  <c:v>0.88249999999999973</c:v>
                </c:pt>
                <c:pt idx="2473">
                  <c:v>0.88999999999999957</c:v>
                </c:pt>
                <c:pt idx="2474">
                  <c:v>0.89249999999999963</c:v>
                </c:pt>
                <c:pt idx="2475">
                  <c:v>0.88999999999999957</c:v>
                </c:pt>
                <c:pt idx="2476">
                  <c:v>0.89499999999999957</c:v>
                </c:pt>
                <c:pt idx="2477">
                  <c:v>0.88749999999999951</c:v>
                </c:pt>
                <c:pt idx="2478">
                  <c:v>0.88999999999999946</c:v>
                </c:pt>
                <c:pt idx="2479">
                  <c:v>0.88249999999999951</c:v>
                </c:pt>
                <c:pt idx="2480">
                  <c:v>0.87999999999999945</c:v>
                </c:pt>
                <c:pt idx="2481">
                  <c:v>0.87249999999999939</c:v>
                </c:pt>
                <c:pt idx="2482">
                  <c:v>0.8774999999999995</c:v>
                </c:pt>
                <c:pt idx="2483">
                  <c:v>0.87499999999999944</c:v>
                </c:pt>
                <c:pt idx="2484">
                  <c:v>0.87249999999999939</c:v>
                </c:pt>
                <c:pt idx="2485">
                  <c:v>0.8724999999999995</c:v>
                </c:pt>
                <c:pt idx="2486">
                  <c:v>0.8774999999999995</c:v>
                </c:pt>
                <c:pt idx="2487">
                  <c:v>0.88249999999999951</c:v>
                </c:pt>
                <c:pt idx="2488">
                  <c:v>0.88999999999999946</c:v>
                </c:pt>
                <c:pt idx="2489">
                  <c:v>0.88999999999999946</c:v>
                </c:pt>
                <c:pt idx="2490">
                  <c:v>0.87999999999999956</c:v>
                </c:pt>
                <c:pt idx="2491">
                  <c:v>0.87999999999999956</c:v>
                </c:pt>
                <c:pt idx="2492">
                  <c:v>0.88749999999999962</c:v>
                </c:pt>
                <c:pt idx="2493">
                  <c:v>0.89499999999999957</c:v>
                </c:pt>
                <c:pt idx="2494">
                  <c:v>0.88499999999999968</c:v>
                </c:pt>
                <c:pt idx="2495">
                  <c:v>0.88249999999999962</c:v>
                </c:pt>
                <c:pt idx="2496">
                  <c:v>0.87999999999999956</c:v>
                </c:pt>
                <c:pt idx="2497">
                  <c:v>0.87749999999999972</c:v>
                </c:pt>
                <c:pt idx="2498">
                  <c:v>0.87999999999999978</c:v>
                </c:pt>
                <c:pt idx="2499">
                  <c:v>0.87749999999999984</c:v>
                </c:pt>
                <c:pt idx="2500">
                  <c:v>0.88249999999999995</c:v>
                </c:pt>
                <c:pt idx="2501">
                  <c:v>0.88250000000000006</c:v>
                </c:pt>
                <c:pt idx="2502">
                  <c:v>0.88749999999999996</c:v>
                </c:pt>
                <c:pt idx="2503">
                  <c:v>0.88500000000000001</c:v>
                </c:pt>
                <c:pt idx="2504">
                  <c:v>0.88000000000000012</c:v>
                </c:pt>
                <c:pt idx="2505">
                  <c:v>0.88000000000000012</c:v>
                </c:pt>
                <c:pt idx="2506">
                  <c:v>0.88250000000000006</c:v>
                </c:pt>
                <c:pt idx="2507">
                  <c:v>0.88249999999999995</c:v>
                </c:pt>
                <c:pt idx="2508">
                  <c:v>0.8849999999999999</c:v>
                </c:pt>
                <c:pt idx="2509">
                  <c:v>0.88249999999999995</c:v>
                </c:pt>
                <c:pt idx="2510">
                  <c:v>0.8849999999999999</c:v>
                </c:pt>
                <c:pt idx="2511">
                  <c:v>0.88749999999999984</c:v>
                </c:pt>
                <c:pt idx="2512">
                  <c:v>0.89249999999999985</c:v>
                </c:pt>
                <c:pt idx="2513">
                  <c:v>0.89499999999999991</c:v>
                </c:pt>
                <c:pt idx="2514">
                  <c:v>0.89499999999999991</c:v>
                </c:pt>
                <c:pt idx="2515">
                  <c:v>0.89499999999999991</c:v>
                </c:pt>
                <c:pt idx="2516">
                  <c:v>0.89</c:v>
                </c:pt>
                <c:pt idx="2517">
                  <c:v>0.88500000000000001</c:v>
                </c:pt>
                <c:pt idx="2518">
                  <c:v>0.88250000000000006</c:v>
                </c:pt>
                <c:pt idx="2519">
                  <c:v>0.88000000000000012</c:v>
                </c:pt>
                <c:pt idx="2520">
                  <c:v>0.88000000000000012</c:v>
                </c:pt>
                <c:pt idx="2521">
                  <c:v>0.89250000000000007</c:v>
                </c:pt>
                <c:pt idx="2522">
                  <c:v>0.89250000000000007</c:v>
                </c:pt>
                <c:pt idx="2523">
                  <c:v>0.88000000000000012</c:v>
                </c:pt>
                <c:pt idx="2524">
                  <c:v>0.87749999999999995</c:v>
                </c:pt>
                <c:pt idx="2525">
                  <c:v>0.87749999999999984</c:v>
                </c:pt>
                <c:pt idx="2526">
                  <c:v>0.87249999999999994</c:v>
                </c:pt>
                <c:pt idx="2527">
                  <c:v>0.86249999999999993</c:v>
                </c:pt>
                <c:pt idx="2528">
                  <c:v>0.85499999999999987</c:v>
                </c:pt>
                <c:pt idx="2529">
                  <c:v>0.84999999999999987</c:v>
                </c:pt>
                <c:pt idx="2530">
                  <c:v>0.84499999999999997</c:v>
                </c:pt>
                <c:pt idx="2531">
                  <c:v>0.84249999999999992</c:v>
                </c:pt>
                <c:pt idx="2532">
                  <c:v>0.83500000000000008</c:v>
                </c:pt>
                <c:pt idx="2533">
                  <c:v>0.83000000000000007</c:v>
                </c:pt>
                <c:pt idx="2534">
                  <c:v>0.82750000000000012</c:v>
                </c:pt>
                <c:pt idx="2535">
                  <c:v>0.82500000000000007</c:v>
                </c:pt>
                <c:pt idx="2536">
                  <c:v>0.82500000000000007</c:v>
                </c:pt>
                <c:pt idx="2537">
                  <c:v>0.82750000000000001</c:v>
                </c:pt>
                <c:pt idx="2538">
                  <c:v>0.82750000000000001</c:v>
                </c:pt>
                <c:pt idx="2539">
                  <c:v>0.83000000000000007</c:v>
                </c:pt>
                <c:pt idx="2540">
                  <c:v>0.83000000000000007</c:v>
                </c:pt>
                <c:pt idx="2541">
                  <c:v>0.83750000000000002</c:v>
                </c:pt>
                <c:pt idx="2542">
                  <c:v>0.83500000000000019</c:v>
                </c:pt>
                <c:pt idx="2543">
                  <c:v>0.84000000000000019</c:v>
                </c:pt>
                <c:pt idx="2544">
                  <c:v>0.84000000000000019</c:v>
                </c:pt>
                <c:pt idx="2545">
                  <c:v>0.84250000000000014</c:v>
                </c:pt>
                <c:pt idx="2546">
                  <c:v>0.83750000000000024</c:v>
                </c:pt>
                <c:pt idx="2547">
                  <c:v>0.83250000000000024</c:v>
                </c:pt>
                <c:pt idx="2548">
                  <c:v>0.82500000000000029</c:v>
                </c:pt>
                <c:pt idx="2549">
                  <c:v>0.82500000000000029</c:v>
                </c:pt>
                <c:pt idx="2550">
                  <c:v>0.82500000000000029</c:v>
                </c:pt>
                <c:pt idx="2551">
                  <c:v>0.82750000000000035</c:v>
                </c:pt>
                <c:pt idx="2552">
                  <c:v>0.82250000000000034</c:v>
                </c:pt>
                <c:pt idx="2553">
                  <c:v>0.80750000000000033</c:v>
                </c:pt>
                <c:pt idx="2554">
                  <c:v>0.81500000000000017</c:v>
                </c:pt>
                <c:pt idx="2555">
                  <c:v>0.83000000000000018</c:v>
                </c:pt>
                <c:pt idx="2556">
                  <c:v>0.83250000000000013</c:v>
                </c:pt>
                <c:pt idx="2557">
                  <c:v>0.83000000000000029</c:v>
                </c:pt>
                <c:pt idx="2558">
                  <c:v>0.8250000000000004</c:v>
                </c:pt>
                <c:pt idx="2559">
                  <c:v>0.8250000000000004</c:v>
                </c:pt>
                <c:pt idx="2560">
                  <c:v>0.81500000000000028</c:v>
                </c:pt>
                <c:pt idx="2561">
                  <c:v>0.81500000000000017</c:v>
                </c:pt>
                <c:pt idx="2562">
                  <c:v>0.81250000000000022</c:v>
                </c:pt>
                <c:pt idx="2563">
                  <c:v>0.82250000000000012</c:v>
                </c:pt>
                <c:pt idx="2564">
                  <c:v>0.82500000000000029</c:v>
                </c:pt>
                <c:pt idx="2565">
                  <c:v>0.82500000000000029</c:v>
                </c:pt>
                <c:pt idx="2566">
                  <c:v>0.82500000000000029</c:v>
                </c:pt>
                <c:pt idx="2567">
                  <c:v>0.82250000000000023</c:v>
                </c:pt>
                <c:pt idx="2568">
                  <c:v>0.82000000000000017</c:v>
                </c:pt>
                <c:pt idx="2569">
                  <c:v>0.82000000000000017</c:v>
                </c:pt>
                <c:pt idx="2570">
                  <c:v>0.82000000000000006</c:v>
                </c:pt>
                <c:pt idx="2571">
                  <c:v>0.81499999999999995</c:v>
                </c:pt>
                <c:pt idx="2572">
                  <c:v>0.8125</c:v>
                </c:pt>
                <c:pt idx="2573">
                  <c:v>0.8075</c:v>
                </c:pt>
                <c:pt idx="2574">
                  <c:v>0.8075</c:v>
                </c:pt>
                <c:pt idx="2575">
                  <c:v>0.80500000000000005</c:v>
                </c:pt>
                <c:pt idx="2576">
                  <c:v>0.80499999999999994</c:v>
                </c:pt>
                <c:pt idx="2577">
                  <c:v>0.8125</c:v>
                </c:pt>
                <c:pt idx="2578">
                  <c:v>0.81749999999999978</c:v>
                </c:pt>
                <c:pt idx="2579">
                  <c:v>0.82</c:v>
                </c:pt>
                <c:pt idx="2580">
                  <c:v>0.8224999999999999</c:v>
                </c:pt>
                <c:pt idx="2581">
                  <c:v>0.81249999999999989</c:v>
                </c:pt>
                <c:pt idx="2582">
                  <c:v>0.80249999999999977</c:v>
                </c:pt>
                <c:pt idx="2583">
                  <c:v>0.81499999999999984</c:v>
                </c:pt>
                <c:pt idx="2584">
                  <c:v>0.81499999999999972</c:v>
                </c:pt>
                <c:pt idx="2585">
                  <c:v>0.80749999999999966</c:v>
                </c:pt>
                <c:pt idx="2586">
                  <c:v>0.79499999999999971</c:v>
                </c:pt>
                <c:pt idx="2587">
                  <c:v>0.78999999999999981</c:v>
                </c:pt>
                <c:pt idx="2588">
                  <c:v>0.78499999999999992</c:v>
                </c:pt>
                <c:pt idx="2589">
                  <c:v>0.78999999999999981</c:v>
                </c:pt>
                <c:pt idx="2590">
                  <c:v>0.79999999999999993</c:v>
                </c:pt>
                <c:pt idx="2591">
                  <c:v>0.80749999999999988</c:v>
                </c:pt>
                <c:pt idx="2592">
                  <c:v>0.80999999999999994</c:v>
                </c:pt>
                <c:pt idx="2593">
                  <c:v>0.80749999999999988</c:v>
                </c:pt>
                <c:pt idx="2594">
                  <c:v>0.80249999999999999</c:v>
                </c:pt>
                <c:pt idx="2595">
                  <c:v>0.79249999999999998</c:v>
                </c:pt>
                <c:pt idx="2596">
                  <c:v>0.78749999999999998</c:v>
                </c:pt>
                <c:pt idx="2597">
                  <c:v>0.78749999999999987</c:v>
                </c:pt>
                <c:pt idx="2598">
                  <c:v>0.78499999999999992</c:v>
                </c:pt>
                <c:pt idx="2599">
                  <c:v>0.78249999999999997</c:v>
                </c:pt>
                <c:pt idx="2600">
                  <c:v>0.7799999999999998</c:v>
                </c:pt>
                <c:pt idx="2601">
                  <c:v>0.7749999999999998</c:v>
                </c:pt>
                <c:pt idx="2602">
                  <c:v>0.77499999999999991</c:v>
                </c:pt>
                <c:pt idx="2603">
                  <c:v>0.77749999999999975</c:v>
                </c:pt>
                <c:pt idx="2604">
                  <c:v>0.78249999999999986</c:v>
                </c:pt>
                <c:pt idx="2605">
                  <c:v>0.78499999999999981</c:v>
                </c:pt>
                <c:pt idx="2606">
                  <c:v>0.7899999999999997</c:v>
                </c:pt>
                <c:pt idx="2607">
                  <c:v>0.79249999999999987</c:v>
                </c:pt>
                <c:pt idx="2608">
                  <c:v>0.78749999999999987</c:v>
                </c:pt>
                <c:pt idx="2609">
                  <c:v>0.78749999999999987</c:v>
                </c:pt>
                <c:pt idx="2610">
                  <c:v>0.79249999999999987</c:v>
                </c:pt>
                <c:pt idx="2611">
                  <c:v>0.8075</c:v>
                </c:pt>
                <c:pt idx="2612">
                  <c:v>0.80749999999999988</c:v>
                </c:pt>
                <c:pt idx="2613">
                  <c:v>0.80499999999999994</c:v>
                </c:pt>
                <c:pt idx="2614">
                  <c:v>0.8</c:v>
                </c:pt>
                <c:pt idx="2615">
                  <c:v>0.79500000000000015</c:v>
                </c:pt>
                <c:pt idx="2616">
                  <c:v>0.80500000000000005</c:v>
                </c:pt>
                <c:pt idx="2617">
                  <c:v>0.81500000000000017</c:v>
                </c:pt>
                <c:pt idx="2618">
                  <c:v>0.81750000000000023</c:v>
                </c:pt>
                <c:pt idx="2619">
                  <c:v>0.82000000000000017</c:v>
                </c:pt>
                <c:pt idx="2620">
                  <c:v>0.82000000000000017</c:v>
                </c:pt>
                <c:pt idx="2621">
                  <c:v>0.82000000000000006</c:v>
                </c:pt>
              </c:numCache>
            </c:numRef>
          </c:yVal>
          <c:smooth val="1"/>
          <c:extLst>
            <c:ext xmlns:c16="http://schemas.microsoft.com/office/drawing/2014/chart" uri="{C3380CC4-5D6E-409C-BE32-E72D297353CC}">
              <c16:uniqueId val="{00000000-A411-4679-B1BD-53AE11859990}"/>
            </c:ext>
          </c:extLst>
        </c:ser>
        <c:dLbls>
          <c:showLegendKey val="0"/>
          <c:showVal val="0"/>
          <c:showCatName val="0"/>
          <c:showSerName val="0"/>
          <c:showPercent val="0"/>
          <c:showBubbleSize val="0"/>
        </c:dLbls>
        <c:axId val="1680101536"/>
        <c:axId val="939997648"/>
      </c:scatterChart>
      <c:valAx>
        <c:axId val="1680101536"/>
        <c:scaling>
          <c:orientation val="minMax"/>
          <c:max val="34"/>
          <c:min val="1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#hour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9997648"/>
        <c:crosses val="autoZero"/>
        <c:crossBetween val="midCat"/>
        <c:majorUnit val="1"/>
      </c:valAx>
      <c:valAx>
        <c:axId val="939997648"/>
        <c:scaling>
          <c:orientation val="minMax"/>
          <c:max val="5"/>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0101536"/>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strRef>
              <c:f>'Reactor analysis'!$AP$2</c:f>
              <c:strCache>
                <c:ptCount val="1"/>
                <c:pt idx="0">
                  <c:v>2F1.2 [L]</c:v>
                </c:pt>
              </c:strCache>
            </c:strRef>
          </c:tx>
          <c:spPr>
            <a:ln w="19050" cap="rnd">
              <a:solidFill>
                <a:schemeClr val="accent1"/>
              </a:solidFill>
              <a:round/>
            </a:ln>
            <a:effectLst/>
          </c:spPr>
          <c:marker>
            <c:symbol val="none"/>
          </c:marker>
          <c:xVal>
            <c:numRef>
              <c:f>'Reactor analysis'!$AT$3:$AT$1439</c:f>
              <c:numCache>
                <c:formatCode>General</c:formatCode>
                <c:ptCount val="1437"/>
                <c:pt idx="0">
                  <c:v>0</c:v>
                </c:pt>
                <c:pt idx="1">
                  <c:v>1.6666666666666666E-2</c:v>
                </c:pt>
                <c:pt idx="2">
                  <c:v>3.3333333333333333E-2</c:v>
                </c:pt>
                <c:pt idx="3">
                  <c:v>0.05</c:v>
                </c:pt>
                <c:pt idx="4">
                  <c:v>6.6666666666666666E-2</c:v>
                </c:pt>
                <c:pt idx="5">
                  <c:v>8.3333333333333329E-2</c:v>
                </c:pt>
                <c:pt idx="6">
                  <c:v>9.9999999999999992E-2</c:v>
                </c:pt>
                <c:pt idx="7">
                  <c:v>0.11666666666666665</c:v>
                </c:pt>
                <c:pt idx="8">
                  <c:v>0.13333333333333333</c:v>
                </c:pt>
                <c:pt idx="9">
                  <c:v>0.15</c:v>
                </c:pt>
                <c:pt idx="10">
                  <c:v>0.16666666666666666</c:v>
                </c:pt>
                <c:pt idx="11">
                  <c:v>0.18333333333333332</c:v>
                </c:pt>
                <c:pt idx="12">
                  <c:v>0.19999999999999998</c:v>
                </c:pt>
                <c:pt idx="13">
                  <c:v>0.21666666666666665</c:v>
                </c:pt>
                <c:pt idx="14">
                  <c:v>0.23333333333333331</c:v>
                </c:pt>
                <c:pt idx="15">
                  <c:v>0.24999999999999997</c:v>
                </c:pt>
                <c:pt idx="16">
                  <c:v>0.26666666666666666</c:v>
                </c:pt>
                <c:pt idx="17">
                  <c:v>0.28333333333333333</c:v>
                </c:pt>
                <c:pt idx="18">
                  <c:v>0.3</c:v>
                </c:pt>
                <c:pt idx="19">
                  <c:v>0.31666666666666665</c:v>
                </c:pt>
                <c:pt idx="20">
                  <c:v>0.33333333333333331</c:v>
                </c:pt>
                <c:pt idx="21">
                  <c:v>0.35</c:v>
                </c:pt>
                <c:pt idx="22">
                  <c:v>0.36666666666666664</c:v>
                </c:pt>
                <c:pt idx="23">
                  <c:v>0.3833333333333333</c:v>
                </c:pt>
                <c:pt idx="24">
                  <c:v>0.39999999999999997</c:v>
                </c:pt>
                <c:pt idx="25">
                  <c:v>0.41666666666666663</c:v>
                </c:pt>
                <c:pt idx="26">
                  <c:v>0.43333333333333329</c:v>
                </c:pt>
                <c:pt idx="27">
                  <c:v>0.44999999999999996</c:v>
                </c:pt>
                <c:pt idx="28">
                  <c:v>0.46666666666666662</c:v>
                </c:pt>
                <c:pt idx="29">
                  <c:v>0.48333333333333328</c:v>
                </c:pt>
                <c:pt idx="30">
                  <c:v>0.49999999999999994</c:v>
                </c:pt>
                <c:pt idx="31">
                  <c:v>0.51666666666666661</c:v>
                </c:pt>
                <c:pt idx="32">
                  <c:v>0.53333333333333333</c:v>
                </c:pt>
                <c:pt idx="33">
                  <c:v>0.55000000000000004</c:v>
                </c:pt>
                <c:pt idx="34">
                  <c:v>0.56666666666666676</c:v>
                </c:pt>
                <c:pt idx="35">
                  <c:v>0.58333333333333348</c:v>
                </c:pt>
                <c:pt idx="36">
                  <c:v>0.6000000000000002</c:v>
                </c:pt>
                <c:pt idx="37">
                  <c:v>0.61666666666666692</c:v>
                </c:pt>
                <c:pt idx="38">
                  <c:v>0.63333333333333364</c:v>
                </c:pt>
                <c:pt idx="39">
                  <c:v>0.65000000000000036</c:v>
                </c:pt>
                <c:pt idx="40">
                  <c:v>0.66666666666666707</c:v>
                </c:pt>
                <c:pt idx="41">
                  <c:v>0.68333333333333379</c:v>
                </c:pt>
                <c:pt idx="42">
                  <c:v>0.70000000000000051</c:v>
                </c:pt>
                <c:pt idx="43">
                  <c:v>0.71666666666666723</c:v>
                </c:pt>
                <c:pt idx="44">
                  <c:v>0.73333333333333395</c:v>
                </c:pt>
                <c:pt idx="45">
                  <c:v>0.75000000000000067</c:v>
                </c:pt>
                <c:pt idx="46">
                  <c:v>0.76666666666666738</c:v>
                </c:pt>
                <c:pt idx="47">
                  <c:v>0.7833333333333341</c:v>
                </c:pt>
                <c:pt idx="48">
                  <c:v>0.80000000000000082</c:v>
                </c:pt>
                <c:pt idx="49">
                  <c:v>0.81666666666666754</c:v>
                </c:pt>
                <c:pt idx="50">
                  <c:v>0.83333333333333426</c:v>
                </c:pt>
                <c:pt idx="51">
                  <c:v>0.85000000000000098</c:v>
                </c:pt>
                <c:pt idx="52">
                  <c:v>0.8666666666666677</c:v>
                </c:pt>
                <c:pt idx="53">
                  <c:v>0.88333333333333441</c:v>
                </c:pt>
                <c:pt idx="54">
                  <c:v>0.90000000000000113</c:v>
                </c:pt>
                <c:pt idx="55">
                  <c:v>0.91666666666666785</c:v>
                </c:pt>
                <c:pt idx="56">
                  <c:v>0.93333333333333457</c:v>
                </c:pt>
                <c:pt idx="57">
                  <c:v>0.95000000000000129</c:v>
                </c:pt>
                <c:pt idx="58">
                  <c:v>0.96666666666666801</c:v>
                </c:pt>
                <c:pt idx="59">
                  <c:v>0.98333333333333472</c:v>
                </c:pt>
                <c:pt idx="60">
                  <c:v>1.0000000000000013</c:v>
                </c:pt>
                <c:pt idx="61">
                  <c:v>1.0166666666666679</c:v>
                </c:pt>
                <c:pt idx="62">
                  <c:v>1.0333333333333345</c:v>
                </c:pt>
                <c:pt idx="63">
                  <c:v>1.0500000000000012</c:v>
                </c:pt>
                <c:pt idx="64">
                  <c:v>1.0666666666666678</c:v>
                </c:pt>
                <c:pt idx="65">
                  <c:v>1.0833333333333344</c:v>
                </c:pt>
                <c:pt idx="66">
                  <c:v>1.100000000000001</c:v>
                </c:pt>
                <c:pt idx="67">
                  <c:v>1.1166666666666676</c:v>
                </c:pt>
                <c:pt idx="68">
                  <c:v>1.1333333333333342</c:v>
                </c:pt>
                <c:pt idx="69">
                  <c:v>1.1500000000000008</c:v>
                </c:pt>
                <c:pt idx="70">
                  <c:v>1.1666666666666674</c:v>
                </c:pt>
                <c:pt idx="71">
                  <c:v>1.183333333333334</c:v>
                </c:pt>
                <c:pt idx="72">
                  <c:v>1.2000000000000006</c:v>
                </c:pt>
                <c:pt idx="73">
                  <c:v>1.2166666666666672</c:v>
                </c:pt>
                <c:pt idx="74">
                  <c:v>1.2333333333333338</c:v>
                </c:pt>
                <c:pt idx="75">
                  <c:v>1.2500000000000004</c:v>
                </c:pt>
                <c:pt idx="76">
                  <c:v>1.2666666666666671</c:v>
                </c:pt>
                <c:pt idx="77">
                  <c:v>1.2833333333333337</c:v>
                </c:pt>
                <c:pt idx="78">
                  <c:v>1.3000000000000003</c:v>
                </c:pt>
                <c:pt idx="79">
                  <c:v>1.3166666666666669</c:v>
                </c:pt>
                <c:pt idx="80">
                  <c:v>1.3333333333333335</c:v>
                </c:pt>
                <c:pt idx="81">
                  <c:v>1.35</c:v>
                </c:pt>
                <c:pt idx="82">
                  <c:v>1.3666666666666667</c:v>
                </c:pt>
                <c:pt idx="83">
                  <c:v>1.3833333333333333</c:v>
                </c:pt>
                <c:pt idx="84">
                  <c:v>1.4</c:v>
                </c:pt>
                <c:pt idx="85">
                  <c:v>1.4166666666666665</c:v>
                </c:pt>
                <c:pt idx="86">
                  <c:v>1.4333333333333331</c:v>
                </c:pt>
                <c:pt idx="87">
                  <c:v>1.4499999999999997</c:v>
                </c:pt>
                <c:pt idx="88">
                  <c:v>1.4666666666666663</c:v>
                </c:pt>
                <c:pt idx="89">
                  <c:v>1.4833333333333329</c:v>
                </c:pt>
                <c:pt idx="90">
                  <c:v>1.4999999999999996</c:v>
                </c:pt>
                <c:pt idx="91">
                  <c:v>1.5166666666666662</c:v>
                </c:pt>
                <c:pt idx="92">
                  <c:v>1.5333333333333328</c:v>
                </c:pt>
                <c:pt idx="93">
                  <c:v>1.5499999999999994</c:v>
                </c:pt>
                <c:pt idx="94">
                  <c:v>1.566666666666666</c:v>
                </c:pt>
                <c:pt idx="95">
                  <c:v>1.5833333333333326</c:v>
                </c:pt>
                <c:pt idx="96">
                  <c:v>1.5999999999999992</c:v>
                </c:pt>
                <c:pt idx="97">
                  <c:v>1.6166666666666658</c:v>
                </c:pt>
                <c:pt idx="98">
                  <c:v>1.6333333333333324</c:v>
                </c:pt>
                <c:pt idx="99">
                  <c:v>1.649999999999999</c:v>
                </c:pt>
                <c:pt idx="100">
                  <c:v>1.6666666666666656</c:v>
                </c:pt>
                <c:pt idx="101">
                  <c:v>1.6833333333333322</c:v>
                </c:pt>
                <c:pt idx="102">
                  <c:v>1.6999999999999988</c:v>
                </c:pt>
                <c:pt idx="103">
                  <c:v>1.7166666666666655</c:v>
                </c:pt>
                <c:pt idx="104">
                  <c:v>1.7333333333333321</c:v>
                </c:pt>
                <c:pt idx="105">
                  <c:v>1.7499999999999987</c:v>
                </c:pt>
                <c:pt idx="106">
                  <c:v>1.7666666666666653</c:v>
                </c:pt>
                <c:pt idx="107">
                  <c:v>1.7833333333333319</c:v>
                </c:pt>
                <c:pt idx="108">
                  <c:v>1.7999999999999985</c:v>
                </c:pt>
                <c:pt idx="109">
                  <c:v>1.8166666666666651</c:v>
                </c:pt>
                <c:pt idx="110">
                  <c:v>1.8333333333333317</c:v>
                </c:pt>
                <c:pt idx="111">
                  <c:v>1.8499999999999983</c:v>
                </c:pt>
                <c:pt idx="112">
                  <c:v>1.8666666666666649</c:v>
                </c:pt>
                <c:pt idx="113">
                  <c:v>1.8833333333333315</c:v>
                </c:pt>
                <c:pt idx="114">
                  <c:v>1.8999999999999981</c:v>
                </c:pt>
                <c:pt idx="115">
                  <c:v>1.9166666666666647</c:v>
                </c:pt>
                <c:pt idx="116">
                  <c:v>1.9333333333333313</c:v>
                </c:pt>
                <c:pt idx="117">
                  <c:v>1.949999999999998</c:v>
                </c:pt>
                <c:pt idx="118">
                  <c:v>1.9666666666666646</c:v>
                </c:pt>
                <c:pt idx="119">
                  <c:v>1.9833333333333312</c:v>
                </c:pt>
                <c:pt idx="120">
                  <c:v>1.9999999999999978</c:v>
                </c:pt>
                <c:pt idx="121">
                  <c:v>2.0166666666666644</c:v>
                </c:pt>
                <c:pt idx="122">
                  <c:v>2.033333333333331</c:v>
                </c:pt>
                <c:pt idx="123">
                  <c:v>2.0499999999999976</c:v>
                </c:pt>
                <c:pt idx="124">
                  <c:v>2.0666666666666642</c:v>
                </c:pt>
                <c:pt idx="125">
                  <c:v>2.0833333333333308</c:v>
                </c:pt>
                <c:pt idx="126">
                  <c:v>2.0999999999999974</c:v>
                </c:pt>
                <c:pt idx="127">
                  <c:v>2.116666666666664</c:v>
                </c:pt>
                <c:pt idx="128">
                  <c:v>2.1333333333333306</c:v>
                </c:pt>
                <c:pt idx="129">
                  <c:v>2.1499999999999972</c:v>
                </c:pt>
                <c:pt idx="130">
                  <c:v>2.1666666666666639</c:v>
                </c:pt>
                <c:pt idx="131">
                  <c:v>2.1833333333333305</c:v>
                </c:pt>
                <c:pt idx="132">
                  <c:v>2.1999999999999971</c:v>
                </c:pt>
                <c:pt idx="133">
                  <c:v>2.2166666666666637</c:v>
                </c:pt>
                <c:pt idx="134">
                  <c:v>2.2333333333333303</c:v>
                </c:pt>
                <c:pt idx="135">
                  <c:v>2.2499999999999969</c:v>
                </c:pt>
                <c:pt idx="136">
                  <c:v>2.2666666666666635</c:v>
                </c:pt>
                <c:pt idx="137">
                  <c:v>2.2833333333333301</c:v>
                </c:pt>
                <c:pt idx="138">
                  <c:v>2.2999999999999967</c:v>
                </c:pt>
                <c:pt idx="139">
                  <c:v>2.3166666666666633</c:v>
                </c:pt>
                <c:pt idx="140">
                  <c:v>2.3333333333333299</c:v>
                </c:pt>
                <c:pt idx="141">
                  <c:v>2.3499999999999965</c:v>
                </c:pt>
                <c:pt idx="142">
                  <c:v>2.3666666666666631</c:v>
                </c:pt>
                <c:pt idx="143">
                  <c:v>2.3833333333333298</c:v>
                </c:pt>
                <c:pt idx="144">
                  <c:v>2.3999999999999964</c:v>
                </c:pt>
                <c:pt idx="145">
                  <c:v>2.416666666666663</c:v>
                </c:pt>
                <c:pt idx="146">
                  <c:v>2.4333333333333296</c:v>
                </c:pt>
                <c:pt idx="147">
                  <c:v>2.4499999999999962</c:v>
                </c:pt>
                <c:pt idx="148">
                  <c:v>2.4666666666666628</c:v>
                </c:pt>
                <c:pt idx="149">
                  <c:v>2.4833333333333294</c:v>
                </c:pt>
                <c:pt idx="150">
                  <c:v>2.499999999999996</c:v>
                </c:pt>
                <c:pt idx="151">
                  <c:v>2.5166666666666626</c:v>
                </c:pt>
                <c:pt idx="152">
                  <c:v>2.5333333333333292</c:v>
                </c:pt>
                <c:pt idx="153">
                  <c:v>2.5499999999999958</c:v>
                </c:pt>
                <c:pt idx="154">
                  <c:v>2.5666666666666624</c:v>
                </c:pt>
                <c:pt idx="155">
                  <c:v>2.583333333333329</c:v>
                </c:pt>
                <c:pt idx="156">
                  <c:v>2.5999999999999956</c:v>
                </c:pt>
                <c:pt idx="157">
                  <c:v>2.6166666666666623</c:v>
                </c:pt>
                <c:pt idx="158">
                  <c:v>2.6333333333333289</c:v>
                </c:pt>
                <c:pt idx="159">
                  <c:v>2.6499999999999955</c:v>
                </c:pt>
                <c:pt idx="160">
                  <c:v>2.6666666666666621</c:v>
                </c:pt>
                <c:pt idx="161">
                  <c:v>2.6833333333333287</c:v>
                </c:pt>
                <c:pt idx="162">
                  <c:v>2.6999999999999953</c:v>
                </c:pt>
                <c:pt idx="163">
                  <c:v>2.7166666666666619</c:v>
                </c:pt>
                <c:pt idx="164">
                  <c:v>2.7333333333333285</c:v>
                </c:pt>
                <c:pt idx="165">
                  <c:v>2.7499999999999951</c:v>
                </c:pt>
                <c:pt idx="166">
                  <c:v>2.7666666666666617</c:v>
                </c:pt>
                <c:pt idx="167">
                  <c:v>2.7833333333333283</c:v>
                </c:pt>
                <c:pt idx="168">
                  <c:v>2.7999999999999949</c:v>
                </c:pt>
                <c:pt idx="169">
                  <c:v>2.8166666666666615</c:v>
                </c:pt>
                <c:pt idx="170">
                  <c:v>2.8333333333333282</c:v>
                </c:pt>
                <c:pt idx="171">
                  <c:v>2.8499999999999948</c:v>
                </c:pt>
                <c:pt idx="172">
                  <c:v>2.8666666666666614</c:v>
                </c:pt>
                <c:pt idx="173">
                  <c:v>2.883333333333328</c:v>
                </c:pt>
                <c:pt idx="174">
                  <c:v>2.8999999999999946</c:v>
                </c:pt>
                <c:pt idx="175">
                  <c:v>2.9166666666666612</c:v>
                </c:pt>
                <c:pt idx="176">
                  <c:v>2.9333333333333278</c:v>
                </c:pt>
                <c:pt idx="177">
                  <c:v>2.9499999999999944</c:v>
                </c:pt>
                <c:pt idx="178">
                  <c:v>2.966666666666661</c:v>
                </c:pt>
                <c:pt idx="179">
                  <c:v>2.9833333333333276</c:v>
                </c:pt>
                <c:pt idx="180">
                  <c:v>2.9999999999999942</c:v>
                </c:pt>
                <c:pt idx="181">
                  <c:v>3.0166666666666608</c:v>
                </c:pt>
                <c:pt idx="182">
                  <c:v>3.0333333333333274</c:v>
                </c:pt>
                <c:pt idx="183">
                  <c:v>3.049999999999994</c:v>
                </c:pt>
                <c:pt idx="184">
                  <c:v>3.0666666666666607</c:v>
                </c:pt>
                <c:pt idx="185">
                  <c:v>3.0833333333333273</c:v>
                </c:pt>
                <c:pt idx="186">
                  <c:v>3.0999999999999939</c:v>
                </c:pt>
                <c:pt idx="187">
                  <c:v>3.1166666666666605</c:v>
                </c:pt>
                <c:pt idx="188">
                  <c:v>3.1333333333333271</c:v>
                </c:pt>
                <c:pt idx="189">
                  <c:v>3.1499999999999937</c:v>
                </c:pt>
                <c:pt idx="190">
                  <c:v>3.1666666666666603</c:v>
                </c:pt>
                <c:pt idx="191">
                  <c:v>3.1833333333333269</c:v>
                </c:pt>
                <c:pt idx="192">
                  <c:v>3.1999999999999935</c:v>
                </c:pt>
                <c:pt idx="193">
                  <c:v>3.2166666666666601</c:v>
                </c:pt>
                <c:pt idx="194">
                  <c:v>3.2333333333333267</c:v>
                </c:pt>
                <c:pt idx="195">
                  <c:v>3.2499999999999933</c:v>
                </c:pt>
                <c:pt idx="196">
                  <c:v>3.2666666666666599</c:v>
                </c:pt>
                <c:pt idx="197">
                  <c:v>3.2833333333333266</c:v>
                </c:pt>
                <c:pt idx="198">
                  <c:v>3.2999999999999932</c:v>
                </c:pt>
                <c:pt idx="199">
                  <c:v>3.3166666666666598</c:v>
                </c:pt>
                <c:pt idx="200">
                  <c:v>3.3333333333333264</c:v>
                </c:pt>
                <c:pt idx="201">
                  <c:v>3.349999999999993</c:v>
                </c:pt>
                <c:pt idx="202">
                  <c:v>3.3666666666666596</c:v>
                </c:pt>
                <c:pt idx="203">
                  <c:v>3.3833333333333262</c:v>
                </c:pt>
                <c:pt idx="204">
                  <c:v>3.3999999999999928</c:v>
                </c:pt>
                <c:pt idx="205">
                  <c:v>3.4166666666666594</c:v>
                </c:pt>
                <c:pt idx="206">
                  <c:v>3.433333333333326</c:v>
                </c:pt>
                <c:pt idx="207">
                  <c:v>3.4499999999999926</c:v>
                </c:pt>
                <c:pt idx="208">
                  <c:v>3.4666666666666592</c:v>
                </c:pt>
                <c:pt idx="209">
                  <c:v>3.4833333333333258</c:v>
                </c:pt>
                <c:pt idx="210">
                  <c:v>3.4999999999999925</c:v>
                </c:pt>
                <c:pt idx="211">
                  <c:v>3.5166666666666591</c:v>
                </c:pt>
                <c:pt idx="212">
                  <c:v>3.5333333333333257</c:v>
                </c:pt>
                <c:pt idx="213">
                  <c:v>3.5499999999999923</c:v>
                </c:pt>
                <c:pt idx="214">
                  <c:v>3.5666666666666589</c:v>
                </c:pt>
                <c:pt idx="215">
                  <c:v>3.5833333333333255</c:v>
                </c:pt>
                <c:pt idx="216">
                  <c:v>3.5999999999999921</c:v>
                </c:pt>
                <c:pt idx="217">
                  <c:v>3.6166666666666587</c:v>
                </c:pt>
                <c:pt idx="218">
                  <c:v>3.6333333333333253</c:v>
                </c:pt>
                <c:pt idx="219">
                  <c:v>3.6499999999999919</c:v>
                </c:pt>
                <c:pt idx="220">
                  <c:v>3.6666666666666585</c:v>
                </c:pt>
                <c:pt idx="221">
                  <c:v>3.6833333333333251</c:v>
                </c:pt>
                <c:pt idx="222">
                  <c:v>3.6999999999999917</c:v>
                </c:pt>
                <c:pt idx="223">
                  <c:v>3.7166666666666583</c:v>
                </c:pt>
                <c:pt idx="224">
                  <c:v>3.733333333333325</c:v>
                </c:pt>
                <c:pt idx="225">
                  <c:v>3.7499999999999916</c:v>
                </c:pt>
                <c:pt idx="226">
                  <c:v>3.7666666666666582</c:v>
                </c:pt>
                <c:pt idx="227">
                  <c:v>3.7833333333333248</c:v>
                </c:pt>
                <c:pt idx="228">
                  <c:v>3.7999999999999914</c:v>
                </c:pt>
                <c:pt idx="229">
                  <c:v>3.816666666666658</c:v>
                </c:pt>
                <c:pt idx="230">
                  <c:v>3.8333333333333246</c:v>
                </c:pt>
                <c:pt idx="231">
                  <c:v>3.8499999999999912</c:v>
                </c:pt>
                <c:pt idx="232">
                  <c:v>3.8666666666666578</c:v>
                </c:pt>
                <c:pt idx="233">
                  <c:v>3.8833333333333244</c:v>
                </c:pt>
                <c:pt idx="234">
                  <c:v>3.899999999999991</c:v>
                </c:pt>
                <c:pt idx="235">
                  <c:v>3.9166666666666576</c:v>
                </c:pt>
                <c:pt idx="236">
                  <c:v>3.9333333333333242</c:v>
                </c:pt>
                <c:pt idx="237">
                  <c:v>3.9499999999999909</c:v>
                </c:pt>
                <c:pt idx="238">
                  <c:v>3.9666666666666575</c:v>
                </c:pt>
                <c:pt idx="239">
                  <c:v>3.9833333333333241</c:v>
                </c:pt>
                <c:pt idx="240">
                  <c:v>3.9999999999999907</c:v>
                </c:pt>
                <c:pt idx="241">
                  <c:v>4.0166666666666577</c:v>
                </c:pt>
                <c:pt idx="242">
                  <c:v>4.0333333333333243</c:v>
                </c:pt>
                <c:pt idx="243">
                  <c:v>4.0499999999999909</c:v>
                </c:pt>
                <c:pt idx="244">
                  <c:v>4.0666666666666575</c:v>
                </c:pt>
                <c:pt idx="245">
                  <c:v>4.0833333333333242</c:v>
                </c:pt>
                <c:pt idx="246">
                  <c:v>4.0999999999999908</c:v>
                </c:pt>
                <c:pt idx="247">
                  <c:v>4.1166666666666574</c:v>
                </c:pt>
                <c:pt idx="248">
                  <c:v>4.133333333333324</c:v>
                </c:pt>
                <c:pt idx="249">
                  <c:v>4.1499999999999906</c:v>
                </c:pt>
                <c:pt idx="250">
                  <c:v>4.1666666666666572</c:v>
                </c:pt>
                <c:pt idx="251">
                  <c:v>4.1833333333333238</c:v>
                </c:pt>
                <c:pt idx="252">
                  <c:v>4.1999999999999904</c:v>
                </c:pt>
                <c:pt idx="253">
                  <c:v>4.216666666666657</c:v>
                </c:pt>
                <c:pt idx="254">
                  <c:v>4.2333333333333236</c:v>
                </c:pt>
                <c:pt idx="255">
                  <c:v>4.2499999999999902</c:v>
                </c:pt>
                <c:pt idx="256">
                  <c:v>4.2666666666666568</c:v>
                </c:pt>
                <c:pt idx="257">
                  <c:v>4.2833333333333234</c:v>
                </c:pt>
                <c:pt idx="258">
                  <c:v>4.2999999999999901</c:v>
                </c:pt>
                <c:pt idx="259">
                  <c:v>4.3166666666666567</c:v>
                </c:pt>
                <c:pt idx="260">
                  <c:v>4.3333333333333233</c:v>
                </c:pt>
                <c:pt idx="261">
                  <c:v>4.3499999999999899</c:v>
                </c:pt>
                <c:pt idx="262">
                  <c:v>4.3666666666666565</c:v>
                </c:pt>
                <c:pt idx="263">
                  <c:v>4.3833333333333231</c:v>
                </c:pt>
                <c:pt idx="264">
                  <c:v>4.3999999999999897</c:v>
                </c:pt>
                <c:pt idx="265">
                  <c:v>4.4166666666666563</c:v>
                </c:pt>
                <c:pt idx="266">
                  <c:v>4.4333333333333229</c:v>
                </c:pt>
                <c:pt idx="267">
                  <c:v>4.4499999999999895</c:v>
                </c:pt>
                <c:pt idx="268">
                  <c:v>4.4666666666666561</c:v>
                </c:pt>
                <c:pt idx="269">
                  <c:v>4.4833333333333227</c:v>
                </c:pt>
                <c:pt idx="270">
                  <c:v>4.4999999999999893</c:v>
                </c:pt>
                <c:pt idx="271">
                  <c:v>4.5166666666666559</c:v>
                </c:pt>
                <c:pt idx="272">
                  <c:v>4.5333333333333226</c:v>
                </c:pt>
                <c:pt idx="273">
                  <c:v>4.5499999999999892</c:v>
                </c:pt>
                <c:pt idx="274">
                  <c:v>4.5666666666666558</c:v>
                </c:pt>
                <c:pt idx="275">
                  <c:v>4.5833333333333224</c:v>
                </c:pt>
                <c:pt idx="276">
                  <c:v>4.599999999999989</c:v>
                </c:pt>
                <c:pt idx="277">
                  <c:v>4.6166666666666556</c:v>
                </c:pt>
                <c:pt idx="278">
                  <c:v>4.6333333333333222</c:v>
                </c:pt>
                <c:pt idx="279">
                  <c:v>4.6499999999999888</c:v>
                </c:pt>
                <c:pt idx="280">
                  <c:v>4.6666666666666554</c:v>
                </c:pt>
                <c:pt idx="281">
                  <c:v>4.683333333333322</c:v>
                </c:pt>
                <c:pt idx="282">
                  <c:v>4.6999999999999886</c:v>
                </c:pt>
                <c:pt idx="283">
                  <c:v>4.7166666666666552</c:v>
                </c:pt>
                <c:pt idx="284">
                  <c:v>4.7333333333333218</c:v>
                </c:pt>
                <c:pt idx="285">
                  <c:v>4.7499999999999885</c:v>
                </c:pt>
                <c:pt idx="286">
                  <c:v>4.7666666666666551</c:v>
                </c:pt>
                <c:pt idx="287">
                  <c:v>4.7833333333333217</c:v>
                </c:pt>
                <c:pt idx="288">
                  <c:v>4.7999999999999883</c:v>
                </c:pt>
                <c:pt idx="289">
                  <c:v>4.8166666666666549</c:v>
                </c:pt>
                <c:pt idx="290">
                  <c:v>4.8333333333333215</c:v>
                </c:pt>
                <c:pt idx="291">
                  <c:v>4.8499999999999881</c:v>
                </c:pt>
                <c:pt idx="292">
                  <c:v>4.8666666666666547</c:v>
                </c:pt>
                <c:pt idx="293">
                  <c:v>4.8833333333333213</c:v>
                </c:pt>
                <c:pt idx="294">
                  <c:v>4.8999999999999879</c:v>
                </c:pt>
                <c:pt idx="295">
                  <c:v>4.9166666666666545</c:v>
                </c:pt>
                <c:pt idx="296">
                  <c:v>4.9333333333333211</c:v>
                </c:pt>
                <c:pt idx="297">
                  <c:v>4.9499999999999877</c:v>
                </c:pt>
                <c:pt idx="298">
                  <c:v>4.9666666666666544</c:v>
                </c:pt>
                <c:pt idx="299">
                  <c:v>4.983333333333321</c:v>
                </c:pt>
                <c:pt idx="300">
                  <c:v>4.9999999999999876</c:v>
                </c:pt>
                <c:pt idx="301">
                  <c:v>5.0166666666666542</c:v>
                </c:pt>
                <c:pt idx="302">
                  <c:v>5.0333333333333208</c:v>
                </c:pt>
                <c:pt idx="303">
                  <c:v>5.0499999999999874</c:v>
                </c:pt>
                <c:pt idx="304">
                  <c:v>5.066666666666654</c:v>
                </c:pt>
                <c:pt idx="305">
                  <c:v>5.0833333333333206</c:v>
                </c:pt>
                <c:pt idx="306">
                  <c:v>5.0999999999999872</c:v>
                </c:pt>
                <c:pt idx="307">
                  <c:v>5.1166666666666538</c:v>
                </c:pt>
                <c:pt idx="308">
                  <c:v>5.1333333333333204</c:v>
                </c:pt>
                <c:pt idx="309">
                  <c:v>5.149999999999987</c:v>
                </c:pt>
                <c:pt idx="310">
                  <c:v>5.1666666666666536</c:v>
                </c:pt>
                <c:pt idx="311">
                  <c:v>5.1833333333333202</c:v>
                </c:pt>
                <c:pt idx="312">
                  <c:v>5.1999999999999869</c:v>
                </c:pt>
                <c:pt idx="313">
                  <c:v>5.2166666666666535</c:v>
                </c:pt>
                <c:pt idx="314">
                  <c:v>5.2333333333333201</c:v>
                </c:pt>
                <c:pt idx="315">
                  <c:v>5.2499999999999867</c:v>
                </c:pt>
                <c:pt idx="316">
                  <c:v>5.2666666666666533</c:v>
                </c:pt>
                <c:pt idx="317">
                  <c:v>5.2833333333333199</c:v>
                </c:pt>
                <c:pt idx="318">
                  <c:v>5.2999999999999865</c:v>
                </c:pt>
                <c:pt idx="319">
                  <c:v>5.3166666666666531</c:v>
                </c:pt>
                <c:pt idx="320">
                  <c:v>5.3333333333333197</c:v>
                </c:pt>
                <c:pt idx="321">
                  <c:v>5.3499999999999863</c:v>
                </c:pt>
                <c:pt idx="322">
                  <c:v>5.3666666666666529</c:v>
                </c:pt>
                <c:pt idx="323">
                  <c:v>5.3833333333333195</c:v>
                </c:pt>
                <c:pt idx="324">
                  <c:v>5.3999999999999861</c:v>
                </c:pt>
                <c:pt idx="325">
                  <c:v>5.4166666666666528</c:v>
                </c:pt>
                <c:pt idx="326">
                  <c:v>5.4333333333333194</c:v>
                </c:pt>
                <c:pt idx="327">
                  <c:v>5.449999999999986</c:v>
                </c:pt>
                <c:pt idx="328">
                  <c:v>5.4666666666666526</c:v>
                </c:pt>
                <c:pt idx="329">
                  <c:v>5.4833333333333192</c:v>
                </c:pt>
                <c:pt idx="330">
                  <c:v>5.4999999999999858</c:v>
                </c:pt>
                <c:pt idx="331">
                  <c:v>5.5166666666666524</c:v>
                </c:pt>
                <c:pt idx="332">
                  <c:v>5.533333333333319</c:v>
                </c:pt>
                <c:pt idx="333">
                  <c:v>5.5499999999999856</c:v>
                </c:pt>
                <c:pt idx="334">
                  <c:v>5.5666666666666522</c:v>
                </c:pt>
                <c:pt idx="335">
                  <c:v>5.5833333333333188</c:v>
                </c:pt>
                <c:pt idx="336">
                  <c:v>5.5999999999999854</c:v>
                </c:pt>
                <c:pt idx="337">
                  <c:v>5.616666666666652</c:v>
                </c:pt>
                <c:pt idx="338">
                  <c:v>5.6333333333333186</c:v>
                </c:pt>
                <c:pt idx="339">
                  <c:v>5.6499999999999853</c:v>
                </c:pt>
                <c:pt idx="340">
                  <c:v>5.6666666666666519</c:v>
                </c:pt>
                <c:pt idx="341">
                  <c:v>5.6833333333333185</c:v>
                </c:pt>
                <c:pt idx="342">
                  <c:v>5.6999999999999851</c:v>
                </c:pt>
                <c:pt idx="343">
                  <c:v>5.7166666666666517</c:v>
                </c:pt>
                <c:pt idx="344">
                  <c:v>5.7333333333333183</c:v>
                </c:pt>
                <c:pt idx="345">
                  <c:v>5.7499999999999849</c:v>
                </c:pt>
                <c:pt idx="346">
                  <c:v>5.7666666666666515</c:v>
                </c:pt>
                <c:pt idx="347">
                  <c:v>5.7833333333333181</c:v>
                </c:pt>
                <c:pt idx="348">
                  <c:v>5.7999999999999847</c:v>
                </c:pt>
                <c:pt idx="349">
                  <c:v>5.8166666666666513</c:v>
                </c:pt>
                <c:pt idx="350">
                  <c:v>5.8333333333333179</c:v>
                </c:pt>
                <c:pt idx="351">
                  <c:v>5.8499999999999845</c:v>
                </c:pt>
                <c:pt idx="352">
                  <c:v>5.8666666666666512</c:v>
                </c:pt>
                <c:pt idx="353">
                  <c:v>5.8833333333333178</c:v>
                </c:pt>
                <c:pt idx="354">
                  <c:v>5.8999999999999844</c:v>
                </c:pt>
                <c:pt idx="355">
                  <c:v>5.916666666666651</c:v>
                </c:pt>
                <c:pt idx="356">
                  <c:v>5.9333333333333176</c:v>
                </c:pt>
                <c:pt idx="357">
                  <c:v>5.9499999999999842</c:v>
                </c:pt>
                <c:pt idx="358">
                  <c:v>5.9666666666666508</c:v>
                </c:pt>
                <c:pt idx="359">
                  <c:v>5.9833333333333174</c:v>
                </c:pt>
                <c:pt idx="360">
                  <c:v>5.999999999999984</c:v>
                </c:pt>
                <c:pt idx="361">
                  <c:v>6.0166666666666506</c:v>
                </c:pt>
                <c:pt idx="362">
                  <c:v>6.0333333333333172</c:v>
                </c:pt>
                <c:pt idx="363">
                  <c:v>6.0499999999999838</c:v>
                </c:pt>
                <c:pt idx="364">
                  <c:v>6.0666666666666504</c:v>
                </c:pt>
                <c:pt idx="365">
                  <c:v>6.0833333333333171</c:v>
                </c:pt>
                <c:pt idx="366">
                  <c:v>6.0999999999999837</c:v>
                </c:pt>
                <c:pt idx="367">
                  <c:v>6.1166666666666503</c:v>
                </c:pt>
                <c:pt idx="368">
                  <c:v>6.1333333333333169</c:v>
                </c:pt>
                <c:pt idx="369">
                  <c:v>6.1499999999999835</c:v>
                </c:pt>
                <c:pt idx="370">
                  <c:v>6.1666666666666501</c:v>
                </c:pt>
                <c:pt idx="371">
                  <c:v>6.1833333333333167</c:v>
                </c:pt>
                <c:pt idx="372">
                  <c:v>6.1999999999999833</c:v>
                </c:pt>
                <c:pt idx="373">
                  <c:v>6.2166666666666499</c:v>
                </c:pt>
                <c:pt idx="374">
                  <c:v>6.2333333333333165</c:v>
                </c:pt>
                <c:pt idx="375">
                  <c:v>6.2499999999999831</c:v>
                </c:pt>
                <c:pt idx="376">
                  <c:v>6.2666666666666497</c:v>
                </c:pt>
                <c:pt idx="377">
                  <c:v>6.2833333333333163</c:v>
                </c:pt>
                <c:pt idx="378">
                  <c:v>6.2999999999999829</c:v>
                </c:pt>
                <c:pt idx="379">
                  <c:v>6.3166666666666496</c:v>
                </c:pt>
                <c:pt idx="380">
                  <c:v>6.3333333333333162</c:v>
                </c:pt>
                <c:pt idx="381">
                  <c:v>6.3499999999999828</c:v>
                </c:pt>
                <c:pt idx="382">
                  <c:v>6.3666666666666494</c:v>
                </c:pt>
                <c:pt idx="383">
                  <c:v>6.383333333333316</c:v>
                </c:pt>
                <c:pt idx="384">
                  <c:v>6.3999999999999826</c:v>
                </c:pt>
                <c:pt idx="385">
                  <c:v>6.4166666666666492</c:v>
                </c:pt>
                <c:pt idx="386">
                  <c:v>6.4333333333333158</c:v>
                </c:pt>
                <c:pt idx="387">
                  <c:v>6.4499999999999824</c:v>
                </c:pt>
                <c:pt idx="388">
                  <c:v>6.466666666666649</c:v>
                </c:pt>
                <c:pt idx="389">
                  <c:v>6.4833333333333156</c:v>
                </c:pt>
                <c:pt idx="390">
                  <c:v>6.4999999999999822</c:v>
                </c:pt>
                <c:pt idx="391">
                  <c:v>6.5166666666666488</c:v>
                </c:pt>
                <c:pt idx="392">
                  <c:v>6.5333333333333155</c:v>
                </c:pt>
                <c:pt idx="393">
                  <c:v>6.5499999999999821</c:v>
                </c:pt>
                <c:pt idx="394">
                  <c:v>6.5666666666666487</c:v>
                </c:pt>
                <c:pt idx="395">
                  <c:v>6.5833333333333153</c:v>
                </c:pt>
                <c:pt idx="396">
                  <c:v>6.5999999999999819</c:v>
                </c:pt>
                <c:pt idx="397">
                  <c:v>6.6166666666666485</c:v>
                </c:pt>
                <c:pt idx="398">
                  <c:v>6.6333333333333151</c:v>
                </c:pt>
                <c:pt idx="399">
                  <c:v>6.6499999999999817</c:v>
                </c:pt>
                <c:pt idx="400">
                  <c:v>6.6666666666666483</c:v>
                </c:pt>
                <c:pt idx="401">
                  <c:v>6.6833333333333149</c:v>
                </c:pt>
                <c:pt idx="402">
                  <c:v>6.6999999999999815</c:v>
                </c:pt>
                <c:pt idx="403">
                  <c:v>6.7166666666666481</c:v>
                </c:pt>
                <c:pt idx="404">
                  <c:v>6.7333333333333147</c:v>
                </c:pt>
                <c:pt idx="405">
                  <c:v>6.7499999999999813</c:v>
                </c:pt>
                <c:pt idx="406">
                  <c:v>6.766666666666648</c:v>
                </c:pt>
                <c:pt idx="407">
                  <c:v>6.7833333333333146</c:v>
                </c:pt>
                <c:pt idx="408">
                  <c:v>6.7999999999999812</c:v>
                </c:pt>
                <c:pt idx="409">
                  <c:v>6.8166666666666478</c:v>
                </c:pt>
                <c:pt idx="410">
                  <c:v>6.8333333333333144</c:v>
                </c:pt>
                <c:pt idx="411">
                  <c:v>6.849999999999981</c:v>
                </c:pt>
                <c:pt idx="412">
                  <c:v>6.8666666666666476</c:v>
                </c:pt>
                <c:pt idx="413">
                  <c:v>6.8833333333333142</c:v>
                </c:pt>
                <c:pt idx="414">
                  <c:v>6.8999999999999808</c:v>
                </c:pt>
                <c:pt idx="415">
                  <c:v>6.9166666666666474</c:v>
                </c:pt>
                <c:pt idx="416">
                  <c:v>6.933333333333314</c:v>
                </c:pt>
                <c:pt idx="417">
                  <c:v>6.9499999999999806</c:v>
                </c:pt>
                <c:pt idx="418">
                  <c:v>6.9666666666666472</c:v>
                </c:pt>
                <c:pt idx="419">
                  <c:v>6.9833333333333139</c:v>
                </c:pt>
                <c:pt idx="420">
                  <c:v>6.9999999999999805</c:v>
                </c:pt>
                <c:pt idx="421">
                  <c:v>7.0166666666666471</c:v>
                </c:pt>
                <c:pt idx="422">
                  <c:v>7.0333333333333137</c:v>
                </c:pt>
                <c:pt idx="423">
                  <c:v>7.0499999999999803</c:v>
                </c:pt>
                <c:pt idx="424">
                  <c:v>7.0666666666666469</c:v>
                </c:pt>
                <c:pt idx="425">
                  <c:v>7.0833333333333135</c:v>
                </c:pt>
                <c:pt idx="426">
                  <c:v>7.0999999999999801</c:v>
                </c:pt>
                <c:pt idx="427">
                  <c:v>7.1166666666666467</c:v>
                </c:pt>
                <c:pt idx="428">
                  <c:v>7.1333333333333133</c:v>
                </c:pt>
                <c:pt idx="429">
                  <c:v>7.1499999999999799</c:v>
                </c:pt>
                <c:pt idx="430">
                  <c:v>7.1666666666666465</c:v>
                </c:pt>
                <c:pt idx="431">
                  <c:v>7.1833333333333131</c:v>
                </c:pt>
                <c:pt idx="432">
                  <c:v>7.1999999999999797</c:v>
                </c:pt>
                <c:pt idx="433">
                  <c:v>7.2166666666666464</c:v>
                </c:pt>
                <c:pt idx="434">
                  <c:v>7.233333333333313</c:v>
                </c:pt>
                <c:pt idx="435">
                  <c:v>7.2499999999999796</c:v>
                </c:pt>
                <c:pt idx="436">
                  <c:v>7.2666666666666462</c:v>
                </c:pt>
                <c:pt idx="437">
                  <c:v>7.2833333333333128</c:v>
                </c:pt>
                <c:pt idx="438">
                  <c:v>7.2999999999999794</c:v>
                </c:pt>
                <c:pt idx="439">
                  <c:v>7.316666666666646</c:v>
                </c:pt>
                <c:pt idx="440">
                  <c:v>7.3333333333333126</c:v>
                </c:pt>
                <c:pt idx="441">
                  <c:v>7.3499999999999792</c:v>
                </c:pt>
                <c:pt idx="442">
                  <c:v>7.3666666666666458</c:v>
                </c:pt>
                <c:pt idx="443">
                  <c:v>7.3833333333333124</c:v>
                </c:pt>
                <c:pt idx="444">
                  <c:v>7.399999999999979</c:v>
                </c:pt>
                <c:pt idx="445">
                  <c:v>7.4166666666666456</c:v>
                </c:pt>
                <c:pt idx="446">
                  <c:v>7.4333333333333123</c:v>
                </c:pt>
                <c:pt idx="447">
                  <c:v>7.4499999999999789</c:v>
                </c:pt>
                <c:pt idx="448">
                  <c:v>7.4666666666666455</c:v>
                </c:pt>
                <c:pt idx="449">
                  <c:v>7.4833333333333121</c:v>
                </c:pt>
                <c:pt idx="450">
                  <c:v>7.4999999999999787</c:v>
                </c:pt>
                <c:pt idx="451">
                  <c:v>7.5166666666666453</c:v>
                </c:pt>
                <c:pt idx="452">
                  <c:v>7.5333333333333119</c:v>
                </c:pt>
                <c:pt idx="453">
                  <c:v>7.5499999999999785</c:v>
                </c:pt>
                <c:pt idx="454">
                  <c:v>7.5666666666666451</c:v>
                </c:pt>
                <c:pt idx="455">
                  <c:v>7.5833333333333117</c:v>
                </c:pt>
                <c:pt idx="456">
                  <c:v>7.5999999999999783</c:v>
                </c:pt>
                <c:pt idx="457">
                  <c:v>7.6166666666666449</c:v>
                </c:pt>
                <c:pt idx="458">
                  <c:v>7.6333333333333115</c:v>
                </c:pt>
                <c:pt idx="459">
                  <c:v>7.6499999999999782</c:v>
                </c:pt>
                <c:pt idx="460">
                  <c:v>7.6666666666666448</c:v>
                </c:pt>
                <c:pt idx="461">
                  <c:v>7.6833333333333114</c:v>
                </c:pt>
                <c:pt idx="462">
                  <c:v>7.699999999999978</c:v>
                </c:pt>
                <c:pt idx="463">
                  <c:v>7.7166666666666446</c:v>
                </c:pt>
                <c:pt idx="464">
                  <c:v>7.7333333333333112</c:v>
                </c:pt>
                <c:pt idx="465">
                  <c:v>7.7499999999999778</c:v>
                </c:pt>
                <c:pt idx="466">
                  <c:v>7.7666666666666444</c:v>
                </c:pt>
                <c:pt idx="467">
                  <c:v>7.783333333333311</c:v>
                </c:pt>
                <c:pt idx="468">
                  <c:v>7.7999999999999776</c:v>
                </c:pt>
                <c:pt idx="469">
                  <c:v>7.8166666666666442</c:v>
                </c:pt>
                <c:pt idx="470">
                  <c:v>7.8333333333333108</c:v>
                </c:pt>
                <c:pt idx="471">
                  <c:v>7.8499999999999774</c:v>
                </c:pt>
                <c:pt idx="472">
                  <c:v>7.866666666666644</c:v>
                </c:pt>
                <c:pt idx="473">
                  <c:v>7.8833333333333107</c:v>
                </c:pt>
                <c:pt idx="474">
                  <c:v>7.8999999999999773</c:v>
                </c:pt>
                <c:pt idx="475">
                  <c:v>7.9166666666666439</c:v>
                </c:pt>
                <c:pt idx="476">
                  <c:v>7.9333333333333105</c:v>
                </c:pt>
                <c:pt idx="477">
                  <c:v>7.9499999999999771</c:v>
                </c:pt>
                <c:pt idx="478">
                  <c:v>7.9666666666666437</c:v>
                </c:pt>
                <c:pt idx="479">
                  <c:v>7.9833333333333103</c:v>
                </c:pt>
                <c:pt idx="480">
                  <c:v>7.9999999999999769</c:v>
                </c:pt>
                <c:pt idx="481">
                  <c:v>8.0166666666666444</c:v>
                </c:pt>
                <c:pt idx="482">
                  <c:v>8.0333333333333119</c:v>
                </c:pt>
                <c:pt idx="483">
                  <c:v>8.0499999999999794</c:v>
                </c:pt>
                <c:pt idx="484">
                  <c:v>8.0666666666666469</c:v>
                </c:pt>
                <c:pt idx="485">
                  <c:v>8.0833333333333144</c:v>
                </c:pt>
                <c:pt idx="486">
                  <c:v>8.0999999999999819</c:v>
                </c:pt>
                <c:pt idx="487">
                  <c:v>8.1166666666666494</c:v>
                </c:pt>
                <c:pt idx="488">
                  <c:v>8.1333333333333169</c:v>
                </c:pt>
                <c:pt idx="489">
                  <c:v>8.1499999999999844</c:v>
                </c:pt>
                <c:pt idx="490">
                  <c:v>8.1666666666666519</c:v>
                </c:pt>
                <c:pt idx="491">
                  <c:v>8.1833333333333194</c:v>
                </c:pt>
                <c:pt idx="492">
                  <c:v>8.1999999999999869</c:v>
                </c:pt>
                <c:pt idx="493">
                  <c:v>8.2166666666666544</c:v>
                </c:pt>
                <c:pt idx="494">
                  <c:v>8.2333333333333218</c:v>
                </c:pt>
                <c:pt idx="495">
                  <c:v>8.2499999999999893</c:v>
                </c:pt>
                <c:pt idx="496">
                  <c:v>8.2666666666666568</c:v>
                </c:pt>
                <c:pt idx="497">
                  <c:v>8.2833333333333243</c:v>
                </c:pt>
                <c:pt idx="498">
                  <c:v>8.2999999999999918</c:v>
                </c:pt>
                <c:pt idx="499">
                  <c:v>8.3166666666666593</c:v>
                </c:pt>
                <c:pt idx="500">
                  <c:v>8.3333333333333268</c:v>
                </c:pt>
                <c:pt idx="501">
                  <c:v>8.3499999999999943</c:v>
                </c:pt>
                <c:pt idx="502">
                  <c:v>8.3666666666666618</c:v>
                </c:pt>
                <c:pt idx="503">
                  <c:v>8.3833333333333293</c:v>
                </c:pt>
                <c:pt idx="504">
                  <c:v>8.3999999999999968</c:v>
                </c:pt>
                <c:pt idx="505">
                  <c:v>8.4166666666666643</c:v>
                </c:pt>
                <c:pt idx="506">
                  <c:v>8.4333333333333318</c:v>
                </c:pt>
                <c:pt idx="507">
                  <c:v>8.4499999999999993</c:v>
                </c:pt>
                <c:pt idx="508">
                  <c:v>8.4666666666666668</c:v>
                </c:pt>
                <c:pt idx="509">
                  <c:v>8.4833333333333343</c:v>
                </c:pt>
                <c:pt idx="510">
                  <c:v>8.5000000000000018</c:v>
                </c:pt>
                <c:pt idx="511">
                  <c:v>8.5166666666666693</c:v>
                </c:pt>
                <c:pt idx="512">
                  <c:v>8.5333333333333368</c:v>
                </c:pt>
                <c:pt idx="513">
                  <c:v>8.5500000000000043</c:v>
                </c:pt>
                <c:pt idx="514">
                  <c:v>8.5666666666666718</c:v>
                </c:pt>
                <c:pt idx="515">
                  <c:v>8.5833333333333393</c:v>
                </c:pt>
                <c:pt idx="516">
                  <c:v>8.6000000000000068</c:v>
                </c:pt>
                <c:pt idx="517">
                  <c:v>8.6166666666666742</c:v>
                </c:pt>
                <c:pt idx="518">
                  <c:v>8.6333333333333417</c:v>
                </c:pt>
                <c:pt idx="519">
                  <c:v>8.6500000000000092</c:v>
                </c:pt>
                <c:pt idx="520">
                  <c:v>8.6666666666666767</c:v>
                </c:pt>
                <c:pt idx="521">
                  <c:v>8.6833333333333442</c:v>
                </c:pt>
                <c:pt idx="522">
                  <c:v>8.7000000000000117</c:v>
                </c:pt>
                <c:pt idx="523">
                  <c:v>8.7166666666666792</c:v>
                </c:pt>
                <c:pt idx="524">
                  <c:v>8.7333333333333467</c:v>
                </c:pt>
                <c:pt idx="525">
                  <c:v>8.7500000000000142</c:v>
                </c:pt>
                <c:pt idx="526">
                  <c:v>8.7666666666666817</c:v>
                </c:pt>
                <c:pt idx="527">
                  <c:v>8.7833333333333492</c:v>
                </c:pt>
                <c:pt idx="528">
                  <c:v>8.8000000000000167</c:v>
                </c:pt>
                <c:pt idx="529">
                  <c:v>8.8166666666666842</c:v>
                </c:pt>
                <c:pt idx="530">
                  <c:v>8.8333333333333517</c:v>
                </c:pt>
                <c:pt idx="531">
                  <c:v>8.8500000000000192</c:v>
                </c:pt>
                <c:pt idx="532">
                  <c:v>8.8666666666666867</c:v>
                </c:pt>
                <c:pt idx="533">
                  <c:v>8.8833333333333542</c:v>
                </c:pt>
                <c:pt idx="534">
                  <c:v>8.9000000000000217</c:v>
                </c:pt>
                <c:pt idx="535">
                  <c:v>8.9166666666666892</c:v>
                </c:pt>
                <c:pt idx="536">
                  <c:v>8.9333333333333567</c:v>
                </c:pt>
                <c:pt idx="537">
                  <c:v>8.9500000000000242</c:v>
                </c:pt>
                <c:pt idx="538">
                  <c:v>8.9666666666666917</c:v>
                </c:pt>
                <c:pt idx="539">
                  <c:v>8.9833333333333591</c:v>
                </c:pt>
                <c:pt idx="540">
                  <c:v>9.0000000000000266</c:v>
                </c:pt>
                <c:pt idx="541">
                  <c:v>9.0166666666666941</c:v>
                </c:pt>
                <c:pt idx="542">
                  <c:v>9.0333333333333616</c:v>
                </c:pt>
                <c:pt idx="543">
                  <c:v>9.0500000000000291</c:v>
                </c:pt>
                <c:pt idx="544">
                  <c:v>9.0666666666666966</c:v>
                </c:pt>
                <c:pt idx="545">
                  <c:v>9.0833333333333641</c:v>
                </c:pt>
                <c:pt idx="546">
                  <c:v>9.1000000000000316</c:v>
                </c:pt>
                <c:pt idx="547">
                  <c:v>9.1166666666666991</c:v>
                </c:pt>
                <c:pt idx="548">
                  <c:v>9.1333333333333666</c:v>
                </c:pt>
                <c:pt idx="549">
                  <c:v>9.1500000000000341</c:v>
                </c:pt>
                <c:pt idx="550">
                  <c:v>9.1666666666667016</c:v>
                </c:pt>
                <c:pt idx="551">
                  <c:v>9.1833333333333691</c:v>
                </c:pt>
                <c:pt idx="552">
                  <c:v>9.2000000000000366</c:v>
                </c:pt>
                <c:pt idx="553">
                  <c:v>9.2166666666667041</c:v>
                </c:pt>
                <c:pt idx="554">
                  <c:v>9.2333333333333716</c:v>
                </c:pt>
                <c:pt idx="555">
                  <c:v>9.2500000000000391</c:v>
                </c:pt>
                <c:pt idx="556">
                  <c:v>9.2666666666667066</c:v>
                </c:pt>
                <c:pt idx="557">
                  <c:v>9.2833333333333741</c:v>
                </c:pt>
                <c:pt idx="558">
                  <c:v>9.3000000000000416</c:v>
                </c:pt>
                <c:pt idx="559">
                  <c:v>9.3166666666667091</c:v>
                </c:pt>
                <c:pt idx="560">
                  <c:v>9.3333333333333766</c:v>
                </c:pt>
                <c:pt idx="561">
                  <c:v>9.3500000000000441</c:v>
                </c:pt>
                <c:pt idx="562">
                  <c:v>9.3666666666667115</c:v>
                </c:pt>
                <c:pt idx="563">
                  <c:v>9.383333333333379</c:v>
                </c:pt>
                <c:pt idx="564">
                  <c:v>9.4000000000000465</c:v>
                </c:pt>
                <c:pt idx="565">
                  <c:v>9.416666666666714</c:v>
                </c:pt>
                <c:pt idx="566">
                  <c:v>9.4333333333333815</c:v>
                </c:pt>
                <c:pt idx="567">
                  <c:v>9.450000000000049</c:v>
                </c:pt>
                <c:pt idx="568">
                  <c:v>9.4666666666667165</c:v>
                </c:pt>
                <c:pt idx="569">
                  <c:v>9.483333333333384</c:v>
                </c:pt>
                <c:pt idx="570">
                  <c:v>9.5000000000000515</c:v>
                </c:pt>
                <c:pt idx="571">
                  <c:v>9.516666666666719</c:v>
                </c:pt>
                <c:pt idx="572">
                  <c:v>9.5333333333333865</c:v>
                </c:pt>
                <c:pt idx="573">
                  <c:v>9.550000000000054</c:v>
                </c:pt>
                <c:pt idx="574">
                  <c:v>9.5666666666667215</c:v>
                </c:pt>
                <c:pt idx="575">
                  <c:v>9.583333333333389</c:v>
                </c:pt>
                <c:pt idx="576">
                  <c:v>9.6000000000000565</c:v>
                </c:pt>
                <c:pt idx="577">
                  <c:v>9.616666666666724</c:v>
                </c:pt>
                <c:pt idx="578">
                  <c:v>9.6333333333333915</c:v>
                </c:pt>
                <c:pt idx="579">
                  <c:v>9.650000000000059</c:v>
                </c:pt>
                <c:pt idx="580">
                  <c:v>9.6666666666667265</c:v>
                </c:pt>
                <c:pt idx="581">
                  <c:v>9.683333333333394</c:v>
                </c:pt>
                <c:pt idx="582">
                  <c:v>9.7000000000000615</c:v>
                </c:pt>
                <c:pt idx="583">
                  <c:v>9.716666666666729</c:v>
                </c:pt>
                <c:pt idx="584">
                  <c:v>9.7333333333333965</c:v>
                </c:pt>
                <c:pt idx="585">
                  <c:v>9.7500000000000639</c:v>
                </c:pt>
                <c:pt idx="586">
                  <c:v>9.7666666666667314</c:v>
                </c:pt>
                <c:pt idx="587">
                  <c:v>9.7833333333333989</c:v>
                </c:pt>
                <c:pt idx="588">
                  <c:v>9.8000000000000664</c:v>
                </c:pt>
                <c:pt idx="589">
                  <c:v>9.8166666666667339</c:v>
                </c:pt>
                <c:pt idx="590">
                  <c:v>9.8333333333334014</c:v>
                </c:pt>
                <c:pt idx="591">
                  <c:v>9.8500000000000689</c:v>
                </c:pt>
                <c:pt idx="592">
                  <c:v>9.8666666666667364</c:v>
                </c:pt>
                <c:pt idx="593">
                  <c:v>9.8833333333334039</c:v>
                </c:pt>
                <c:pt idx="594">
                  <c:v>9.9000000000000714</c:v>
                </c:pt>
                <c:pt idx="595">
                  <c:v>9.9166666666667389</c:v>
                </c:pt>
                <c:pt idx="596">
                  <c:v>9.9333333333334064</c:v>
                </c:pt>
                <c:pt idx="597">
                  <c:v>9.9500000000000739</c:v>
                </c:pt>
                <c:pt idx="598">
                  <c:v>9.9666666666667414</c:v>
                </c:pt>
                <c:pt idx="599">
                  <c:v>9.9833333333334089</c:v>
                </c:pt>
                <c:pt idx="600">
                  <c:v>10.000000000000076</c:v>
                </c:pt>
                <c:pt idx="601">
                  <c:v>10.016666666666744</c:v>
                </c:pt>
                <c:pt idx="602">
                  <c:v>10.033333333333411</c:v>
                </c:pt>
                <c:pt idx="603">
                  <c:v>10.050000000000079</c:v>
                </c:pt>
                <c:pt idx="604">
                  <c:v>10.066666666666746</c:v>
                </c:pt>
                <c:pt idx="605">
                  <c:v>10.083333333333414</c:v>
                </c:pt>
                <c:pt idx="606">
                  <c:v>10.100000000000081</c:v>
                </c:pt>
                <c:pt idx="607">
                  <c:v>10.116666666666749</c:v>
                </c:pt>
                <c:pt idx="608">
                  <c:v>10.133333333333416</c:v>
                </c:pt>
                <c:pt idx="609">
                  <c:v>10.150000000000084</c:v>
                </c:pt>
                <c:pt idx="610">
                  <c:v>10.166666666666751</c:v>
                </c:pt>
                <c:pt idx="611">
                  <c:v>10.183333333333419</c:v>
                </c:pt>
                <c:pt idx="612">
                  <c:v>10.200000000000086</c:v>
                </c:pt>
                <c:pt idx="613">
                  <c:v>10.216666666666754</c:v>
                </c:pt>
                <c:pt idx="614">
                  <c:v>10.233333333333421</c:v>
                </c:pt>
                <c:pt idx="615">
                  <c:v>10.250000000000089</c:v>
                </c:pt>
                <c:pt idx="616">
                  <c:v>10.266666666666756</c:v>
                </c:pt>
                <c:pt idx="617">
                  <c:v>10.283333333333424</c:v>
                </c:pt>
                <c:pt idx="618">
                  <c:v>10.300000000000091</c:v>
                </c:pt>
                <c:pt idx="619">
                  <c:v>10.316666666666759</c:v>
                </c:pt>
                <c:pt idx="620">
                  <c:v>10.333333333333426</c:v>
                </c:pt>
                <c:pt idx="621">
                  <c:v>10.350000000000094</c:v>
                </c:pt>
                <c:pt idx="622">
                  <c:v>10.366666666666761</c:v>
                </c:pt>
                <c:pt idx="623">
                  <c:v>10.383333333333429</c:v>
                </c:pt>
                <c:pt idx="624">
                  <c:v>10.400000000000096</c:v>
                </c:pt>
                <c:pt idx="625">
                  <c:v>10.416666666666764</c:v>
                </c:pt>
                <c:pt idx="626">
                  <c:v>10.433333333333431</c:v>
                </c:pt>
                <c:pt idx="627">
                  <c:v>10.450000000000099</c:v>
                </c:pt>
                <c:pt idx="628">
                  <c:v>10.466666666666766</c:v>
                </c:pt>
                <c:pt idx="629">
                  <c:v>10.483333333333434</c:v>
                </c:pt>
                <c:pt idx="630">
                  <c:v>10.500000000000101</c:v>
                </c:pt>
                <c:pt idx="631">
                  <c:v>10.516666666666769</c:v>
                </c:pt>
                <c:pt idx="632">
                  <c:v>10.533333333333436</c:v>
                </c:pt>
                <c:pt idx="633">
                  <c:v>10.550000000000104</c:v>
                </c:pt>
                <c:pt idx="634">
                  <c:v>10.566666666666771</c:v>
                </c:pt>
                <c:pt idx="635">
                  <c:v>10.583333333333439</c:v>
                </c:pt>
                <c:pt idx="636">
                  <c:v>10.600000000000106</c:v>
                </c:pt>
                <c:pt idx="637">
                  <c:v>10.616666666666774</c:v>
                </c:pt>
                <c:pt idx="638">
                  <c:v>10.633333333333441</c:v>
                </c:pt>
                <c:pt idx="639">
                  <c:v>10.650000000000109</c:v>
                </c:pt>
                <c:pt idx="640">
                  <c:v>10.666666666666776</c:v>
                </c:pt>
                <c:pt idx="641">
                  <c:v>10.683333333333444</c:v>
                </c:pt>
                <c:pt idx="642">
                  <c:v>10.700000000000111</c:v>
                </c:pt>
                <c:pt idx="643">
                  <c:v>10.716666666666779</c:v>
                </c:pt>
                <c:pt idx="644">
                  <c:v>10.733333333333446</c:v>
                </c:pt>
                <c:pt idx="645">
                  <c:v>10.750000000000114</c:v>
                </c:pt>
                <c:pt idx="646">
                  <c:v>10.766666666666781</c:v>
                </c:pt>
                <c:pt idx="647">
                  <c:v>10.783333333333449</c:v>
                </c:pt>
                <c:pt idx="648">
                  <c:v>10.800000000000116</c:v>
                </c:pt>
                <c:pt idx="649">
                  <c:v>10.816666666666784</c:v>
                </c:pt>
                <c:pt idx="650">
                  <c:v>10.833333333333451</c:v>
                </c:pt>
                <c:pt idx="651">
                  <c:v>10.850000000000119</c:v>
                </c:pt>
                <c:pt idx="652">
                  <c:v>10.866666666666786</c:v>
                </c:pt>
                <c:pt idx="653">
                  <c:v>10.883333333333454</c:v>
                </c:pt>
                <c:pt idx="654">
                  <c:v>10.900000000000121</c:v>
                </c:pt>
                <c:pt idx="655">
                  <c:v>10.916666666666789</c:v>
                </c:pt>
                <c:pt idx="656">
                  <c:v>10.933333333333456</c:v>
                </c:pt>
                <c:pt idx="657">
                  <c:v>10.950000000000124</c:v>
                </c:pt>
                <c:pt idx="658">
                  <c:v>10.966666666666791</c:v>
                </c:pt>
                <c:pt idx="659">
                  <c:v>10.983333333333459</c:v>
                </c:pt>
                <c:pt idx="660">
                  <c:v>11.000000000000126</c:v>
                </c:pt>
                <c:pt idx="661">
                  <c:v>11.016666666666794</c:v>
                </c:pt>
                <c:pt idx="662">
                  <c:v>11.033333333333461</c:v>
                </c:pt>
                <c:pt idx="663">
                  <c:v>11.050000000000129</c:v>
                </c:pt>
                <c:pt idx="664">
                  <c:v>11.066666666666796</c:v>
                </c:pt>
                <c:pt idx="665">
                  <c:v>11.083333333333464</c:v>
                </c:pt>
                <c:pt idx="666">
                  <c:v>11.100000000000131</c:v>
                </c:pt>
                <c:pt idx="667">
                  <c:v>11.116666666666799</c:v>
                </c:pt>
                <c:pt idx="668">
                  <c:v>11.133333333333466</c:v>
                </c:pt>
                <c:pt idx="669">
                  <c:v>11.150000000000134</c:v>
                </c:pt>
                <c:pt idx="670">
                  <c:v>11.166666666666801</c:v>
                </c:pt>
                <c:pt idx="671">
                  <c:v>11.183333333333469</c:v>
                </c:pt>
                <c:pt idx="672">
                  <c:v>11.200000000000136</c:v>
                </c:pt>
                <c:pt idx="673">
                  <c:v>11.216666666666804</c:v>
                </c:pt>
                <c:pt idx="674">
                  <c:v>11.233333333333471</c:v>
                </c:pt>
                <c:pt idx="675">
                  <c:v>11.250000000000139</c:v>
                </c:pt>
                <c:pt idx="676">
                  <c:v>11.266666666666806</c:v>
                </c:pt>
                <c:pt idx="677">
                  <c:v>11.283333333333474</c:v>
                </c:pt>
                <c:pt idx="678">
                  <c:v>11.300000000000141</c:v>
                </c:pt>
                <c:pt idx="679">
                  <c:v>11.316666666666809</c:v>
                </c:pt>
                <c:pt idx="680">
                  <c:v>11.333333333333476</c:v>
                </c:pt>
                <c:pt idx="681">
                  <c:v>11.350000000000144</c:v>
                </c:pt>
                <c:pt idx="682">
                  <c:v>11.366666666666811</c:v>
                </c:pt>
                <c:pt idx="683">
                  <c:v>11.383333333333479</c:v>
                </c:pt>
                <c:pt idx="684">
                  <c:v>11.400000000000146</c:v>
                </c:pt>
                <c:pt idx="685">
                  <c:v>11.416666666666814</c:v>
                </c:pt>
                <c:pt idx="686">
                  <c:v>11.433333333333481</c:v>
                </c:pt>
                <c:pt idx="687">
                  <c:v>11.450000000000149</c:v>
                </c:pt>
                <c:pt idx="688">
                  <c:v>11.466666666666816</c:v>
                </c:pt>
                <c:pt idx="689">
                  <c:v>11.483333333333483</c:v>
                </c:pt>
                <c:pt idx="690">
                  <c:v>11.500000000000151</c:v>
                </c:pt>
                <c:pt idx="691">
                  <c:v>11.516666666666818</c:v>
                </c:pt>
                <c:pt idx="692">
                  <c:v>11.533333333333486</c:v>
                </c:pt>
                <c:pt idx="693">
                  <c:v>11.550000000000153</c:v>
                </c:pt>
                <c:pt idx="694">
                  <c:v>11.566666666666821</c:v>
                </c:pt>
                <c:pt idx="695">
                  <c:v>11.583333333333488</c:v>
                </c:pt>
                <c:pt idx="696">
                  <c:v>11.600000000000156</c:v>
                </c:pt>
                <c:pt idx="697">
                  <c:v>11.616666666666823</c:v>
                </c:pt>
                <c:pt idx="698">
                  <c:v>11.633333333333491</c:v>
                </c:pt>
                <c:pt idx="699">
                  <c:v>11.650000000000158</c:v>
                </c:pt>
                <c:pt idx="700">
                  <c:v>11.666666666666826</c:v>
                </c:pt>
                <c:pt idx="701">
                  <c:v>11.683333333333493</c:v>
                </c:pt>
                <c:pt idx="702">
                  <c:v>11.700000000000161</c:v>
                </c:pt>
                <c:pt idx="703">
                  <c:v>11.716666666666828</c:v>
                </c:pt>
                <c:pt idx="704">
                  <c:v>11.733333333333496</c:v>
                </c:pt>
                <c:pt idx="705">
                  <c:v>11.750000000000163</c:v>
                </c:pt>
                <c:pt idx="706">
                  <c:v>11.766666666666831</c:v>
                </c:pt>
                <c:pt idx="707">
                  <c:v>11.783333333333498</c:v>
                </c:pt>
                <c:pt idx="708">
                  <c:v>11.800000000000166</c:v>
                </c:pt>
                <c:pt idx="709">
                  <c:v>11.816666666666833</c:v>
                </c:pt>
                <c:pt idx="710">
                  <c:v>11.833333333333501</c:v>
                </c:pt>
                <c:pt idx="711">
                  <c:v>11.850000000000168</c:v>
                </c:pt>
                <c:pt idx="712">
                  <c:v>11.866666666666836</c:v>
                </c:pt>
                <c:pt idx="713">
                  <c:v>11.883333333333503</c:v>
                </c:pt>
                <c:pt idx="714">
                  <c:v>11.900000000000171</c:v>
                </c:pt>
                <c:pt idx="715">
                  <c:v>11.916666666666838</c:v>
                </c:pt>
                <c:pt idx="716">
                  <c:v>11.933333333333506</c:v>
                </c:pt>
                <c:pt idx="717">
                  <c:v>11.950000000000173</c:v>
                </c:pt>
                <c:pt idx="718">
                  <c:v>11.966666666666841</c:v>
                </c:pt>
                <c:pt idx="719">
                  <c:v>11.983333333333508</c:v>
                </c:pt>
                <c:pt idx="720">
                  <c:v>12.000000000000176</c:v>
                </c:pt>
                <c:pt idx="721">
                  <c:v>12.016666666666843</c:v>
                </c:pt>
                <c:pt idx="722">
                  <c:v>12.033333333333511</c:v>
                </c:pt>
                <c:pt idx="723">
                  <c:v>12.050000000000178</c:v>
                </c:pt>
                <c:pt idx="724">
                  <c:v>12.066666666666846</c:v>
                </c:pt>
                <c:pt idx="725">
                  <c:v>12.083333333333513</c:v>
                </c:pt>
                <c:pt idx="726">
                  <c:v>12.100000000000181</c:v>
                </c:pt>
                <c:pt idx="727">
                  <c:v>12.116666666666848</c:v>
                </c:pt>
                <c:pt idx="728">
                  <c:v>12.133333333333516</c:v>
                </c:pt>
                <c:pt idx="729">
                  <c:v>12.150000000000183</c:v>
                </c:pt>
                <c:pt idx="730">
                  <c:v>12.166666666666851</c:v>
                </c:pt>
                <c:pt idx="731">
                  <c:v>12.183333333333518</c:v>
                </c:pt>
                <c:pt idx="732">
                  <c:v>12.200000000000186</c:v>
                </c:pt>
                <c:pt idx="733">
                  <c:v>12.216666666666853</c:v>
                </c:pt>
                <c:pt idx="734">
                  <c:v>12.233333333333521</c:v>
                </c:pt>
                <c:pt idx="735">
                  <c:v>12.250000000000188</c:v>
                </c:pt>
                <c:pt idx="736">
                  <c:v>12.266666666666856</c:v>
                </c:pt>
                <c:pt idx="737">
                  <c:v>12.283333333333523</c:v>
                </c:pt>
                <c:pt idx="738">
                  <c:v>12.300000000000191</c:v>
                </c:pt>
                <c:pt idx="739">
                  <c:v>12.316666666666858</c:v>
                </c:pt>
                <c:pt idx="740">
                  <c:v>12.333333333333526</c:v>
                </c:pt>
                <c:pt idx="741">
                  <c:v>12.350000000000193</c:v>
                </c:pt>
                <c:pt idx="742">
                  <c:v>12.366666666666861</c:v>
                </c:pt>
                <c:pt idx="743">
                  <c:v>12.383333333333528</c:v>
                </c:pt>
                <c:pt idx="744">
                  <c:v>12.400000000000196</c:v>
                </c:pt>
                <c:pt idx="745">
                  <c:v>12.416666666666863</c:v>
                </c:pt>
                <c:pt idx="746">
                  <c:v>12.433333333333531</c:v>
                </c:pt>
                <c:pt idx="747">
                  <c:v>12.450000000000198</c:v>
                </c:pt>
                <c:pt idx="748">
                  <c:v>12.466666666666866</c:v>
                </c:pt>
                <c:pt idx="749">
                  <c:v>12.483333333333533</c:v>
                </c:pt>
                <c:pt idx="750">
                  <c:v>12.500000000000201</c:v>
                </c:pt>
                <c:pt idx="751">
                  <c:v>12.516666666666868</c:v>
                </c:pt>
                <c:pt idx="752">
                  <c:v>12.533333333333536</c:v>
                </c:pt>
                <c:pt idx="753">
                  <c:v>12.550000000000203</c:v>
                </c:pt>
                <c:pt idx="754">
                  <c:v>12.566666666666871</c:v>
                </c:pt>
                <c:pt idx="755">
                  <c:v>12.583333333333538</c:v>
                </c:pt>
                <c:pt idx="756">
                  <c:v>12.600000000000206</c:v>
                </c:pt>
                <c:pt idx="757">
                  <c:v>12.616666666666873</c:v>
                </c:pt>
                <c:pt idx="758">
                  <c:v>12.633333333333541</c:v>
                </c:pt>
                <c:pt idx="759">
                  <c:v>12.650000000000208</c:v>
                </c:pt>
                <c:pt idx="760">
                  <c:v>12.666666666666876</c:v>
                </c:pt>
                <c:pt idx="761">
                  <c:v>12.683333333333543</c:v>
                </c:pt>
                <c:pt idx="762">
                  <c:v>12.700000000000211</c:v>
                </c:pt>
                <c:pt idx="763">
                  <c:v>12.716666666666878</c:v>
                </c:pt>
                <c:pt idx="764">
                  <c:v>12.733333333333546</c:v>
                </c:pt>
                <c:pt idx="765">
                  <c:v>12.750000000000213</c:v>
                </c:pt>
                <c:pt idx="766">
                  <c:v>12.766666666666881</c:v>
                </c:pt>
                <c:pt idx="767">
                  <c:v>12.783333333333548</c:v>
                </c:pt>
                <c:pt idx="768">
                  <c:v>12.800000000000216</c:v>
                </c:pt>
                <c:pt idx="769">
                  <c:v>12.816666666666883</c:v>
                </c:pt>
                <c:pt idx="770">
                  <c:v>12.833333333333551</c:v>
                </c:pt>
                <c:pt idx="771">
                  <c:v>12.850000000000218</c:v>
                </c:pt>
                <c:pt idx="772">
                  <c:v>12.866666666666886</c:v>
                </c:pt>
                <c:pt idx="773">
                  <c:v>12.883333333333553</c:v>
                </c:pt>
                <c:pt idx="774">
                  <c:v>12.900000000000221</c:v>
                </c:pt>
                <c:pt idx="775">
                  <c:v>12.916666666666888</c:v>
                </c:pt>
                <c:pt idx="776">
                  <c:v>12.933333333333556</c:v>
                </c:pt>
                <c:pt idx="777">
                  <c:v>12.950000000000223</c:v>
                </c:pt>
                <c:pt idx="778">
                  <c:v>12.966666666666891</c:v>
                </c:pt>
                <c:pt idx="779">
                  <c:v>12.983333333333558</c:v>
                </c:pt>
                <c:pt idx="780">
                  <c:v>13.000000000000226</c:v>
                </c:pt>
                <c:pt idx="781">
                  <c:v>13.016666666666893</c:v>
                </c:pt>
                <c:pt idx="782">
                  <c:v>13.033333333333561</c:v>
                </c:pt>
                <c:pt idx="783">
                  <c:v>13.050000000000228</c:v>
                </c:pt>
                <c:pt idx="784">
                  <c:v>13.066666666666896</c:v>
                </c:pt>
                <c:pt idx="785">
                  <c:v>13.083333333333563</c:v>
                </c:pt>
                <c:pt idx="786">
                  <c:v>13.100000000000231</c:v>
                </c:pt>
                <c:pt idx="787">
                  <c:v>13.116666666666898</c:v>
                </c:pt>
                <c:pt idx="788">
                  <c:v>13.133333333333566</c:v>
                </c:pt>
                <c:pt idx="789">
                  <c:v>13.150000000000233</c:v>
                </c:pt>
                <c:pt idx="790">
                  <c:v>13.166666666666901</c:v>
                </c:pt>
                <c:pt idx="791">
                  <c:v>13.183333333333568</c:v>
                </c:pt>
                <c:pt idx="792">
                  <c:v>13.200000000000236</c:v>
                </c:pt>
                <c:pt idx="793">
                  <c:v>13.216666666666903</c:v>
                </c:pt>
                <c:pt idx="794">
                  <c:v>13.233333333333571</c:v>
                </c:pt>
                <c:pt idx="795">
                  <c:v>13.250000000000238</c:v>
                </c:pt>
                <c:pt idx="796">
                  <c:v>13.266666666666906</c:v>
                </c:pt>
                <c:pt idx="797">
                  <c:v>13.283333333333573</c:v>
                </c:pt>
                <c:pt idx="798">
                  <c:v>13.300000000000241</c:v>
                </c:pt>
                <c:pt idx="799">
                  <c:v>13.316666666666908</c:v>
                </c:pt>
                <c:pt idx="800">
                  <c:v>13.333333333333576</c:v>
                </c:pt>
                <c:pt idx="801">
                  <c:v>13.350000000000243</c:v>
                </c:pt>
                <c:pt idx="802">
                  <c:v>13.366666666666911</c:v>
                </c:pt>
                <c:pt idx="803">
                  <c:v>13.383333333333578</c:v>
                </c:pt>
                <c:pt idx="804">
                  <c:v>13.400000000000245</c:v>
                </c:pt>
                <c:pt idx="805">
                  <c:v>13.416666666666913</c:v>
                </c:pt>
                <c:pt idx="806">
                  <c:v>13.43333333333358</c:v>
                </c:pt>
                <c:pt idx="807">
                  <c:v>13.450000000000248</c:v>
                </c:pt>
                <c:pt idx="808">
                  <c:v>13.466666666666915</c:v>
                </c:pt>
                <c:pt idx="809">
                  <c:v>13.483333333333583</c:v>
                </c:pt>
                <c:pt idx="810">
                  <c:v>13.50000000000025</c:v>
                </c:pt>
                <c:pt idx="811">
                  <c:v>13.516666666666918</c:v>
                </c:pt>
                <c:pt idx="812">
                  <c:v>13.533333333333585</c:v>
                </c:pt>
                <c:pt idx="813">
                  <c:v>13.550000000000253</c:v>
                </c:pt>
                <c:pt idx="814">
                  <c:v>13.56666666666692</c:v>
                </c:pt>
                <c:pt idx="815">
                  <c:v>13.583333333333588</c:v>
                </c:pt>
                <c:pt idx="816">
                  <c:v>13.600000000000255</c:v>
                </c:pt>
                <c:pt idx="817">
                  <c:v>13.616666666666923</c:v>
                </c:pt>
                <c:pt idx="818">
                  <c:v>13.63333333333359</c:v>
                </c:pt>
                <c:pt idx="819">
                  <c:v>13.650000000000258</c:v>
                </c:pt>
                <c:pt idx="820">
                  <c:v>13.666666666666925</c:v>
                </c:pt>
                <c:pt idx="821">
                  <c:v>13.683333333333593</c:v>
                </c:pt>
                <c:pt idx="822">
                  <c:v>13.70000000000026</c:v>
                </c:pt>
                <c:pt idx="823">
                  <c:v>13.716666666666928</c:v>
                </c:pt>
                <c:pt idx="824">
                  <c:v>13.733333333333595</c:v>
                </c:pt>
                <c:pt idx="825">
                  <c:v>13.750000000000263</c:v>
                </c:pt>
                <c:pt idx="826">
                  <c:v>13.76666666666693</c:v>
                </c:pt>
                <c:pt idx="827">
                  <c:v>13.783333333333598</c:v>
                </c:pt>
                <c:pt idx="828">
                  <c:v>13.800000000000265</c:v>
                </c:pt>
                <c:pt idx="829">
                  <c:v>13.816666666666933</c:v>
                </c:pt>
                <c:pt idx="830">
                  <c:v>13.8333333333336</c:v>
                </c:pt>
                <c:pt idx="831">
                  <c:v>13.850000000000268</c:v>
                </c:pt>
                <c:pt idx="832">
                  <c:v>13.866666666666935</c:v>
                </c:pt>
                <c:pt idx="833">
                  <c:v>13.883333333333603</c:v>
                </c:pt>
                <c:pt idx="834">
                  <c:v>13.90000000000027</c:v>
                </c:pt>
                <c:pt idx="835">
                  <c:v>13.916666666666938</c:v>
                </c:pt>
                <c:pt idx="836">
                  <c:v>13.933333333333605</c:v>
                </c:pt>
                <c:pt idx="837">
                  <c:v>13.950000000000273</c:v>
                </c:pt>
                <c:pt idx="838">
                  <c:v>13.96666666666694</c:v>
                </c:pt>
                <c:pt idx="839">
                  <c:v>13.983333333333608</c:v>
                </c:pt>
                <c:pt idx="840">
                  <c:v>14.000000000000275</c:v>
                </c:pt>
                <c:pt idx="841">
                  <c:v>14.016666666666943</c:v>
                </c:pt>
                <c:pt idx="842">
                  <c:v>14.03333333333361</c:v>
                </c:pt>
                <c:pt idx="843">
                  <c:v>14.050000000000278</c:v>
                </c:pt>
                <c:pt idx="844">
                  <c:v>14.066666666666945</c:v>
                </c:pt>
                <c:pt idx="845">
                  <c:v>14.083333333333613</c:v>
                </c:pt>
                <c:pt idx="846">
                  <c:v>14.10000000000028</c:v>
                </c:pt>
                <c:pt idx="847">
                  <c:v>14.116666666666948</c:v>
                </c:pt>
                <c:pt idx="848">
                  <c:v>14.133333333333615</c:v>
                </c:pt>
                <c:pt idx="849">
                  <c:v>14.150000000000283</c:v>
                </c:pt>
                <c:pt idx="850">
                  <c:v>14.16666666666695</c:v>
                </c:pt>
                <c:pt idx="851">
                  <c:v>14.183333333333618</c:v>
                </c:pt>
                <c:pt idx="852">
                  <c:v>14.200000000000285</c:v>
                </c:pt>
                <c:pt idx="853">
                  <c:v>14.216666666666953</c:v>
                </c:pt>
                <c:pt idx="854">
                  <c:v>14.23333333333362</c:v>
                </c:pt>
                <c:pt idx="855">
                  <c:v>14.250000000000288</c:v>
                </c:pt>
                <c:pt idx="856">
                  <c:v>14.266666666666955</c:v>
                </c:pt>
                <c:pt idx="857">
                  <c:v>14.283333333333623</c:v>
                </c:pt>
                <c:pt idx="858">
                  <c:v>14.30000000000029</c:v>
                </c:pt>
                <c:pt idx="859">
                  <c:v>14.316666666666958</c:v>
                </c:pt>
                <c:pt idx="860">
                  <c:v>14.333333333333625</c:v>
                </c:pt>
                <c:pt idx="861">
                  <c:v>14.350000000000293</c:v>
                </c:pt>
                <c:pt idx="862">
                  <c:v>14.36666666666696</c:v>
                </c:pt>
                <c:pt idx="863">
                  <c:v>14.383333333333628</c:v>
                </c:pt>
                <c:pt idx="864">
                  <c:v>14.400000000000295</c:v>
                </c:pt>
                <c:pt idx="865">
                  <c:v>14.416666666666963</c:v>
                </c:pt>
                <c:pt idx="866">
                  <c:v>14.43333333333363</c:v>
                </c:pt>
                <c:pt idx="867">
                  <c:v>14.450000000000298</c:v>
                </c:pt>
                <c:pt idx="868">
                  <c:v>14.466666666666965</c:v>
                </c:pt>
                <c:pt idx="869">
                  <c:v>14.483333333333633</c:v>
                </c:pt>
                <c:pt idx="870">
                  <c:v>14.5000000000003</c:v>
                </c:pt>
                <c:pt idx="871">
                  <c:v>14.516666666666968</c:v>
                </c:pt>
                <c:pt idx="872">
                  <c:v>14.533333333333635</c:v>
                </c:pt>
                <c:pt idx="873">
                  <c:v>14.550000000000303</c:v>
                </c:pt>
                <c:pt idx="874">
                  <c:v>14.56666666666697</c:v>
                </c:pt>
                <c:pt idx="875">
                  <c:v>14.583333333333638</c:v>
                </c:pt>
                <c:pt idx="876">
                  <c:v>14.600000000000305</c:v>
                </c:pt>
                <c:pt idx="877">
                  <c:v>14.616666666666973</c:v>
                </c:pt>
                <c:pt idx="878">
                  <c:v>14.63333333333364</c:v>
                </c:pt>
                <c:pt idx="879">
                  <c:v>14.650000000000308</c:v>
                </c:pt>
                <c:pt idx="880">
                  <c:v>14.666666666666975</c:v>
                </c:pt>
                <c:pt idx="881">
                  <c:v>14.683333333333643</c:v>
                </c:pt>
                <c:pt idx="882">
                  <c:v>14.70000000000031</c:v>
                </c:pt>
                <c:pt idx="883">
                  <c:v>14.716666666666978</c:v>
                </c:pt>
                <c:pt idx="884">
                  <c:v>14.733333333333645</c:v>
                </c:pt>
                <c:pt idx="885">
                  <c:v>14.750000000000313</c:v>
                </c:pt>
                <c:pt idx="886">
                  <c:v>14.76666666666698</c:v>
                </c:pt>
                <c:pt idx="887">
                  <c:v>14.783333333333648</c:v>
                </c:pt>
                <c:pt idx="888">
                  <c:v>14.800000000000315</c:v>
                </c:pt>
                <c:pt idx="889">
                  <c:v>14.816666666666983</c:v>
                </c:pt>
                <c:pt idx="890">
                  <c:v>14.83333333333365</c:v>
                </c:pt>
                <c:pt idx="891">
                  <c:v>14.850000000000318</c:v>
                </c:pt>
                <c:pt idx="892">
                  <c:v>14.866666666666985</c:v>
                </c:pt>
                <c:pt idx="893">
                  <c:v>14.883333333333653</c:v>
                </c:pt>
                <c:pt idx="894">
                  <c:v>14.90000000000032</c:v>
                </c:pt>
                <c:pt idx="895">
                  <c:v>14.916666666666988</c:v>
                </c:pt>
                <c:pt idx="896">
                  <c:v>14.933333333333655</c:v>
                </c:pt>
                <c:pt idx="897">
                  <c:v>14.950000000000323</c:v>
                </c:pt>
                <c:pt idx="898">
                  <c:v>14.96666666666699</c:v>
                </c:pt>
                <c:pt idx="899">
                  <c:v>14.983333333333658</c:v>
                </c:pt>
                <c:pt idx="900">
                  <c:v>15.000000000000325</c:v>
                </c:pt>
                <c:pt idx="901">
                  <c:v>15.016666666666993</c:v>
                </c:pt>
                <c:pt idx="902">
                  <c:v>15.03333333333366</c:v>
                </c:pt>
                <c:pt idx="903">
                  <c:v>15.050000000000328</c:v>
                </c:pt>
                <c:pt idx="904">
                  <c:v>15.066666666666995</c:v>
                </c:pt>
                <c:pt idx="905">
                  <c:v>15.083333333333663</c:v>
                </c:pt>
                <c:pt idx="906">
                  <c:v>15.10000000000033</c:v>
                </c:pt>
                <c:pt idx="907">
                  <c:v>15.116666666666998</c:v>
                </c:pt>
                <c:pt idx="908">
                  <c:v>15.133333333333665</c:v>
                </c:pt>
                <c:pt idx="909">
                  <c:v>15.150000000000333</c:v>
                </c:pt>
                <c:pt idx="910">
                  <c:v>15.166666666667</c:v>
                </c:pt>
                <c:pt idx="911">
                  <c:v>15.183333333333668</c:v>
                </c:pt>
                <c:pt idx="912">
                  <c:v>15.200000000000335</c:v>
                </c:pt>
                <c:pt idx="913">
                  <c:v>15.216666666667003</c:v>
                </c:pt>
                <c:pt idx="914">
                  <c:v>15.23333333333367</c:v>
                </c:pt>
                <c:pt idx="915">
                  <c:v>15.250000000000338</c:v>
                </c:pt>
                <c:pt idx="916">
                  <c:v>15.266666666667005</c:v>
                </c:pt>
                <c:pt idx="917">
                  <c:v>15.283333333333672</c:v>
                </c:pt>
                <c:pt idx="918">
                  <c:v>15.30000000000034</c:v>
                </c:pt>
                <c:pt idx="919">
                  <c:v>15.316666666667007</c:v>
                </c:pt>
                <c:pt idx="920">
                  <c:v>15.333333333333675</c:v>
                </c:pt>
                <c:pt idx="921">
                  <c:v>15.350000000000342</c:v>
                </c:pt>
                <c:pt idx="922">
                  <c:v>15.36666666666701</c:v>
                </c:pt>
                <c:pt idx="923">
                  <c:v>15.383333333333677</c:v>
                </c:pt>
                <c:pt idx="924">
                  <c:v>15.400000000000345</c:v>
                </c:pt>
                <c:pt idx="925">
                  <c:v>15.416666666667012</c:v>
                </c:pt>
                <c:pt idx="926">
                  <c:v>15.43333333333368</c:v>
                </c:pt>
                <c:pt idx="927">
                  <c:v>15.450000000000347</c:v>
                </c:pt>
                <c:pt idx="928">
                  <c:v>15.466666666667015</c:v>
                </c:pt>
                <c:pt idx="929">
                  <c:v>15.483333333333682</c:v>
                </c:pt>
                <c:pt idx="930">
                  <c:v>15.50000000000035</c:v>
                </c:pt>
                <c:pt idx="931">
                  <c:v>15.516666666667017</c:v>
                </c:pt>
                <c:pt idx="932">
                  <c:v>15.533333333333685</c:v>
                </c:pt>
                <c:pt idx="933">
                  <c:v>15.550000000000352</c:v>
                </c:pt>
                <c:pt idx="934">
                  <c:v>15.56666666666702</c:v>
                </c:pt>
                <c:pt idx="935">
                  <c:v>15.583333333333687</c:v>
                </c:pt>
                <c:pt idx="936">
                  <c:v>15.600000000000355</c:v>
                </c:pt>
                <c:pt idx="937">
                  <c:v>15.616666666667022</c:v>
                </c:pt>
                <c:pt idx="938">
                  <c:v>15.63333333333369</c:v>
                </c:pt>
                <c:pt idx="939">
                  <c:v>15.650000000000357</c:v>
                </c:pt>
                <c:pt idx="940">
                  <c:v>15.666666666667025</c:v>
                </c:pt>
                <c:pt idx="941">
                  <c:v>15.683333333333692</c:v>
                </c:pt>
                <c:pt idx="942">
                  <c:v>15.70000000000036</c:v>
                </c:pt>
                <c:pt idx="943">
                  <c:v>15.716666666667027</c:v>
                </c:pt>
                <c:pt idx="944">
                  <c:v>15.733333333333695</c:v>
                </c:pt>
                <c:pt idx="945">
                  <c:v>15.750000000000362</c:v>
                </c:pt>
                <c:pt idx="946">
                  <c:v>15.76666666666703</c:v>
                </c:pt>
                <c:pt idx="947">
                  <c:v>15.783333333333697</c:v>
                </c:pt>
                <c:pt idx="948">
                  <c:v>15.800000000000365</c:v>
                </c:pt>
                <c:pt idx="949">
                  <c:v>15.816666666667032</c:v>
                </c:pt>
                <c:pt idx="950">
                  <c:v>15.8333333333337</c:v>
                </c:pt>
                <c:pt idx="951">
                  <c:v>15.850000000000367</c:v>
                </c:pt>
                <c:pt idx="952">
                  <c:v>15.866666666667035</c:v>
                </c:pt>
                <c:pt idx="953">
                  <c:v>15.883333333333702</c:v>
                </c:pt>
                <c:pt idx="954">
                  <c:v>15.90000000000037</c:v>
                </c:pt>
                <c:pt idx="955">
                  <c:v>15.916666666667037</c:v>
                </c:pt>
                <c:pt idx="956">
                  <c:v>15.933333333333705</c:v>
                </c:pt>
                <c:pt idx="957">
                  <c:v>15.950000000000372</c:v>
                </c:pt>
                <c:pt idx="958">
                  <c:v>15.96666666666704</c:v>
                </c:pt>
                <c:pt idx="959">
                  <c:v>15.983333333333707</c:v>
                </c:pt>
                <c:pt idx="960">
                  <c:v>16.000000000000373</c:v>
                </c:pt>
                <c:pt idx="961">
                  <c:v>16.016666666667039</c:v>
                </c:pt>
                <c:pt idx="962">
                  <c:v>16.033333333333704</c:v>
                </c:pt>
                <c:pt idx="963">
                  <c:v>16.05000000000037</c:v>
                </c:pt>
                <c:pt idx="964">
                  <c:v>16.066666666667036</c:v>
                </c:pt>
                <c:pt idx="965">
                  <c:v>16.083333333333702</c:v>
                </c:pt>
                <c:pt idx="966">
                  <c:v>16.100000000000367</c:v>
                </c:pt>
                <c:pt idx="967">
                  <c:v>16.116666666667033</c:v>
                </c:pt>
                <c:pt idx="968">
                  <c:v>16.133333333333699</c:v>
                </c:pt>
                <c:pt idx="969">
                  <c:v>16.150000000000365</c:v>
                </c:pt>
                <c:pt idx="970">
                  <c:v>16.16666666666703</c:v>
                </c:pt>
                <c:pt idx="971">
                  <c:v>16.183333333333696</c:v>
                </c:pt>
                <c:pt idx="972">
                  <c:v>16.200000000000362</c:v>
                </c:pt>
                <c:pt idx="973">
                  <c:v>16.216666666667027</c:v>
                </c:pt>
                <c:pt idx="974">
                  <c:v>16.233333333333693</c:v>
                </c:pt>
                <c:pt idx="975">
                  <c:v>16.250000000000359</c:v>
                </c:pt>
                <c:pt idx="976">
                  <c:v>16.266666666667025</c:v>
                </c:pt>
                <c:pt idx="977">
                  <c:v>16.28333333333369</c:v>
                </c:pt>
                <c:pt idx="978">
                  <c:v>16.300000000000356</c:v>
                </c:pt>
                <c:pt idx="979">
                  <c:v>16.316666666667022</c:v>
                </c:pt>
                <c:pt idx="980">
                  <c:v>16.333333333333687</c:v>
                </c:pt>
                <c:pt idx="981">
                  <c:v>16.350000000000353</c:v>
                </c:pt>
                <c:pt idx="982">
                  <c:v>16.366666666667019</c:v>
                </c:pt>
                <c:pt idx="983">
                  <c:v>16.383333333333685</c:v>
                </c:pt>
                <c:pt idx="984">
                  <c:v>16.40000000000035</c:v>
                </c:pt>
                <c:pt idx="985">
                  <c:v>16.416666666667016</c:v>
                </c:pt>
                <c:pt idx="986">
                  <c:v>16.433333333333682</c:v>
                </c:pt>
                <c:pt idx="987">
                  <c:v>16.450000000000347</c:v>
                </c:pt>
                <c:pt idx="988">
                  <c:v>16.466666666667013</c:v>
                </c:pt>
                <c:pt idx="989">
                  <c:v>16.483333333333679</c:v>
                </c:pt>
                <c:pt idx="990">
                  <c:v>16.500000000000345</c:v>
                </c:pt>
                <c:pt idx="991">
                  <c:v>16.51666666666701</c:v>
                </c:pt>
                <c:pt idx="992">
                  <c:v>16.533333333333676</c:v>
                </c:pt>
                <c:pt idx="993">
                  <c:v>16.550000000000342</c:v>
                </c:pt>
                <c:pt idx="994">
                  <c:v>16.566666666667007</c:v>
                </c:pt>
                <c:pt idx="995">
                  <c:v>16.583333333333673</c:v>
                </c:pt>
                <c:pt idx="996">
                  <c:v>16.600000000000339</c:v>
                </c:pt>
                <c:pt idx="997">
                  <c:v>16.616666666667005</c:v>
                </c:pt>
                <c:pt idx="998">
                  <c:v>16.63333333333367</c:v>
                </c:pt>
                <c:pt idx="999">
                  <c:v>16.650000000000336</c:v>
                </c:pt>
                <c:pt idx="1000">
                  <c:v>16.666666666667002</c:v>
                </c:pt>
                <c:pt idx="1001">
                  <c:v>16.683333333333668</c:v>
                </c:pt>
                <c:pt idx="1002">
                  <c:v>16.700000000000333</c:v>
                </c:pt>
                <c:pt idx="1003">
                  <c:v>16.716666666666999</c:v>
                </c:pt>
                <c:pt idx="1004">
                  <c:v>16.733333333333665</c:v>
                </c:pt>
                <c:pt idx="1005">
                  <c:v>16.75000000000033</c:v>
                </c:pt>
                <c:pt idx="1006">
                  <c:v>16.766666666666996</c:v>
                </c:pt>
                <c:pt idx="1007">
                  <c:v>16.783333333333662</c:v>
                </c:pt>
                <c:pt idx="1008">
                  <c:v>16.800000000000328</c:v>
                </c:pt>
                <c:pt idx="1009">
                  <c:v>16.816666666666993</c:v>
                </c:pt>
                <c:pt idx="1010">
                  <c:v>16.833333333333659</c:v>
                </c:pt>
                <c:pt idx="1011">
                  <c:v>16.850000000000325</c:v>
                </c:pt>
                <c:pt idx="1012">
                  <c:v>16.86666666666699</c:v>
                </c:pt>
                <c:pt idx="1013">
                  <c:v>16.883333333333656</c:v>
                </c:pt>
                <c:pt idx="1014">
                  <c:v>16.900000000000322</c:v>
                </c:pt>
                <c:pt idx="1015">
                  <c:v>16.916666666666988</c:v>
                </c:pt>
                <c:pt idx="1016">
                  <c:v>16.933333333333653</c:v>
                </c:pt>
                <c:pt idx="1017">
                  <c:v>16.950000000000319</c:v>
                </c:pt>
                <c:pt idx="1018">
                  <c:v>16.966666666666985</c:v>
                </c:pt>
                <c:pt idx="1019">
                  <c:v>16.98333333333365</c:v>
                </c:pt>
                <c:pt idx="1020">
                  <c:v>17.000000000000316</c:v>
                </c:pt>
                <c:pt idx="1021">
                  <c:v>17.016666666666982</c:v>
                </c:pt>
                <c:pt idx="1022">
                  <c:v>17.033333333333648</c:v>
                </c:pt>
                <c:pt idx="1023">
                  <c:v>17.050000000000313</c:v>
                </c:pt>
                <c:pt idx="1024">
                  <c:v>17.066666666666979</c:v>
                </c:pt>
                <c:pt idx="1025">
                  <c:v>17.083333333333645</c:v>
                </c:pt>
                <c:pt idx="1026">
                  <c:v>17.100000000000311</c:v>
                </c:pt>
                <c:pt idx="1027">
                  <c:v>17.116666666666976</c:v>
                </c:pt>
                <c:pt idx="1028">
                  <c:v>17.133333333333642</c:v>
                </c:pt>
                <c:pt idx="1029">
                  <c:v>17.150000000000308</c:v>
                </c:pt>
                <c:pt idx="1030">
                  <c:v>17.166666666666973</c:v>
                </c:pt>
                <c:pt idx="1031">
                  <c:v>17.183333333333639</c:v>
                </c:pt>
                <c:pt idx="1032">
                  <c:v>17.200000000000305</c:v>
                </c:pt>
                <c:pt idx="1033">
                  <c:v>17.216666666666971</c:v>
                </c:pt>
                <c:pt idx="1034">
                  <c:v>17.233333333333636</c:v>
                </c:pt>
                <c:pt idx="1035">
                  <c:v>17.250000000000302</c:v>
                </c:pt>
                <c:pt idx="1036">
                  <c:v>17.266666666666968</c:v>
                </c:pt>
                <c:pt idx="1037">
                  <c:v>17.283333333333633</c:v>
                </c:pt>
                <c:pt idx="1038">
                  <c:v>17.300000000000299</c:v>
                </c:pt>
                <c:pt idx="1039">
                  <c:v>17.316666666666965</c:v>
                </c:pt>
                <c:pt idx="1040">
                  <c:v>17.333333333333631</c:v>
                </c:pt>
                <c:pt idx="1041">
                  <c:v>17.350000000000296</c:v>
                </c:pt>
                <c:pt idx="1042">
                  <c:v>17.366666666666962</c:v>
                </c:pt>
                <c:pt idx="1043">
                  <c:v>17.383333333333628</c:v>
                </c:pt>
                <c:pt idx="1044">
                  <c:v>17.400000000000293</c:v>
                </c:pt>
                <c:pt idx="1045">
                  <c:v>17.416666666666959</c:v>
                </c:pt>
                <c:pt idx="1046">
                  <c:v>17.433333333333625</c:v>
                </c:pt>
                <c:pt idx="1047">
                  <c:v>17.450000000000291</c:v>
                </c:pt>
                <c:pt idx="1048">
                  <c:v>17.466666666666956</c:v>
                </c:pt>
                <c:pt idx="1049">
                  <c:v>17.483333333333622</c:v>
                </c:pt>
                <c:pt idx="1050">
                  <c:v>17.500000000000288</c:v>
                </c:pt>
                <c:pt idx="1051">
                  <c:v>17.516666666666953</c:v>
                </c:pt>
                <c:pt idx="1052">
                  <c:v>17.533333333333619</c:v>
                </c:pt>
                <c:pt idx="1053">
                  <c:v>17.550000000000285</c:v>
                </c:pt>
                <c:pt idx="1054">
                  <c:v>17.566666666666951</c:v>
                </c:pt>
                <c:pt idx="1055">
                  <c:v>17.583333333333616</c:v>
                </c:pt>
                <c:pt idx="1056">
                  <c:v>17.600000000000282</c:v>
                </c:pt>
                <c:pt idx="1057">
                  <c:v>17.616666666666948</c:v>
                </c:pt>
                <c:pt idx="1058">
                  <c:v>17.633333333333614</c:v>
                </c:pt>
                <c:pt idx="1059">
                  <c:v>17.650000000000279</c:v>
                </c:pt>
                <c:pt idx="1060">
                  <c:v>17.666666666666945</c:v>
                </c:pt>
                <c:pt idx="1061">
                  <c:v>17.683333333333611</c:v>
                </c:pt>
                <c:pt idx="1062">
                  <c:v>17.700000000000276</c:v>
                </c:pt>
                <c:pt idx="1063">
                  <c:v>17.716666666666942</c:v>
                </c:pt>
                <c:pt idx="1064">
                  <c:v>17.733333333333608</c:v>
                </c:pt>
                <c:pt idx="1065">
                  <c:v>17.750000000000274</c:v>
                </c:pt>
                <c:pt idx="1066">
                  <c:v>17.766666666666939</c:v>
                </c:pt>
                <c:pt idx="1067">
                  <c:v>17.783333333333605</c:v>
                </c:pt>
                <c:pt idx="1068">
                  <c:v>17.800000000000271</c:v>
                </c:pt>
                <c:pt idx="1069">
                  <c:v>17.816666666666936</c:v>
                </c:pt>
                <c:pt idx="1070">
                  <c:v>17.833333333333602</c:v>
                </c:pt>
                <c:pt idx="1071">
                  <c:v>17.850000000000268</c:v>
                </c:pt>
                <c:pt idx="1072">
                  <c:v>17.866666666666934</c:v>
                </c:pt>
                <c:pt idx="1073">
                  <c:v>17.883333333333599</c:v>
                </c:pt>
                <c:pt idx="1074">
                  <c:v>17.900000000000265</c:v>
                </c:pt>
                <c:pt idx="1075">
                  <c:v>17.916666666666931</c:v>
                </c:pt>
                <c:pt idx="1076">
                  <c:v>17.933333333333596</c:v>
                </c:pt>
                <c:pt idx="1077">
                  <c:v>17.950000000000262</c:v>
                </c:pt>
                <c:pt idx="1078">
                  <c:v>17.966666666666928</c:v>
                </c:pt>
                <c:pt idx="1079">
                  <c:v>17.983333333333594</c:v>
                </c:pt>
                <c:pt idx="1080">
                  <c:v>18.000000000000259</c:v>
                </c:pt>
                <c:pt idx="1081">
                  <c:v>18.016666666666925</c:v>
                </c:pt>
                <c:pt idx="1082">
                  <c:v>18.033333333333591</c:v>
                </c:pt>
                <c:pt idx="1083">
                  <c:v>18.050000000000257</c:v>
                </c:pt>
                <c:pt idx="1084">
                  <c:v>18.066666666666922</c:v>
                </c:pt>
                <c:pt idx="1085">
                  <c:v>18.083333333333588</c:v>
                </c:pt>
                <c:pt idx="1086">
                  <c:v>18.100000000000254</c:v>
                </c:pt>
                <c:pt idx="1087">
                  <c:v>18.116666666666919</c:v>
                </c:pt>
                <c:pt idx="1088">
                  <c:v>18.133333333333585</c:v>
                </c:pt>
                <c:pt idx="1089">
                  <c:v>18.150000000000251</c:v>
                </c:pt>
                <c:pt idx="1090">
                  <c:v>18.166666666666917</c:v>
                </c:pt>
                <c:pt idx="1091">
                  <c:v>18.183333333333582</c:v>
                </c:pt>
                <c:pt idx="1092">
                  <c:v>18.200000000000248</c:v>
                </c:pt>
                <c:pt idx="1093">
                  <c:v>18.216666666666914</c:v>
                </c:pt>
                <c:pt idx="1094">
                  <c:v>18.233333333333579</c:v>
                </c:pt>
                <c:pt idx="1095">
                  <c:v>18.250000000000245</c:v>
                </c:pt>
                <c:pt idx="1096">
                  <c:v>18.266666666666911</c:v>
                </c:pt>
                <c:pt idx="1097">
                  <c:v>18.283333333333577</c:v>
                </c:pt>
                <c:pt idx="1098">
                  <c:v>18.300000000000242</c:v>
                </c:pt>
                <c:pt idx="1099">
                  <c:v>18.316666666666908</c:v>
                </c:pt>
                <c:pt idx="1100">
                  <c:v>18.333333333333574</c:v>
                </c:pt>
                <c:pt idx="1101">
                  <c:v>18.350000000000239</c:v>
                </c:pt>
                <c:pt idx="1102">
                  <c:v>18.366666666666905</c:v>
                </c:pt>
                <c:pt idx="1103">
                  <c:v>18.383333333333571</c:v>
                </c:pt>
                <c:pt idx="1104">
                  <c:v>18.400000000000237</c:v>
                </c:pt>
                <c:pt idx="1105">
                  <c:v>18.416666666666902</c:v>
                </c:pt>
                <c:pt idx="1106">
                  <c:v>18.433333333333568</c:v>
                </c:pt>
                <c:pt idx="1107">
                  <c:v>18.450000000000234</c:v>
                </c:pt>
                <c:pt idx="1108">
                  <c:v>18.466666666666899</c:v>
                </c:pt>
                <c:pt idx="1109">
                  <c:v>18.483333333333565</c:v>
                </c:pt>
                <c:pt idx="1110">
                  <c:v>18.500000000000231</c:v>
                </c:pt>
                <c:pt idx="1111">
                  <c:v>18.516666666666897</c:v>
                </c:pt>
                <c:pt idx="1112">
                  <c:v>18.533333333333562</c:v>
                </c:pt>
                <c:pt idx="1113">
                  <c:v>18.550000000000228</c:v>
                </c:pt>
                <c:pt idx="1114">
                  <c:v>18.566666666666894</c:v>
                </c:pt>
                <c:pt idx="1115">
                  <c:v>18.58333333333356</c:v>
                </c:pt>
                <c:pt idx="1116">
                  <c:v>18.600000000000225</c:v>
                </c:pt>
                <c:pt idx="1117">
                  <c:v>18.616666666666891</c:v>
                </c:pt>
                <c:pt idx="1118">
                  <c:v>18.633333333333557</c:v>
                </c:pt>
                <c:pt idx="1119">
                  <c:v>18.650000000000222</c:v>
                </c:pt>
                <c:pt idx="1120">
                  <c:v>18.666666666666888</c:v>
                </c:pt>
                <c:pt idx="1121">
                  <c:v>18.683333333333554</c:v>
                </c:pt>
                <c:pt idx="1122">
                  <c:v>18.70000000000022</c:v>
                </c:pt>
                <c:pt idx="1123">
                  <c:v>18.716666666666885</c:v>
                </c:pt>
                <c:pt idx="1124">
                  <c:v>18.733333333333551</c:v>
                </c:pt>
                <c:pt idx="1125">
                  <c:v>18.750000000000217</c:v>
                </c:pt>
                <c:pt idx="1126">
                  <c:v>18.766666666666882</c:v>
                </c:pt>
                <c:pt idx="1127">
                  <c:v>18.783333333333548</c:v>
                </c:pt>
                <c:pt idx="1128">
                  <c:v>18.800000000000214</c:v>
                </c:pt>
                <c:pt idx="1129">
                  <c:v>18.81666666666688</c:v>
                </c:pt>
                <c:pt idx="1130">
                  <c:v>18.833333333333545</c:v>
                </c:pt>
                <c:pt idx="1131">
                  <c:v>18.850000000000211</c:v>
                </c:pt>
                <c:pt idx="1132">
                  <c:v>18.866666666666877</c:v>
                </c:pt>
                <c:pt idx="1133">
                  <c:v>18.883333333333542</c:v>
                </c:pt>
                <c:pt idx="1134">
                  <c:v>18.900000000000208</c:v>
                </c:pt>
                <c:pt idx="1135">
                  <c:v>18.916666666666874</c:v>
                </c:pt>
                <c:pt idx="1136">
                  <c:v>18.93333333333354</c:v>
                </c:pt>
                <c:pt idx="1137">
                  <c:v>18.950000000000205</c:v>
                </c:pt>
                <c:pt idx="1138">
                  <c:v>18.966666666666871</c:v>
                </c:pt>
                <c:pt idx="1139">
                  <c:v>18.983333333333537</c:v>
                </c:pt>
                <c:pt idx="1140">
                  <c:v>19.000000000000203</c:v>
                </c:pt>
                <c:pt idx="1141">
                  <c:v>19.016666666666868</c:v>
                </c:pt>
                <c:pt idx="1142">
                  <c:v>19.033333333333534</c:v>
                </c:pt>
                <c:pt idx="1143">
                  <c:v>19.0500000000002</c:v>
                </c:pt>
                <c:pt idx="1144">
                  <c:v>19.066666666666865</c:v>
                </c:pt>
                <c:pt idx="1145">
                  <c:v>19.083333333333531</c:v>
                </c:pt>
                <c:pt idx="1146">
                  <c:v>19.100000000000197</c:v>
                </c:pt>
                <c:pt idx="1147">
                  <c:v>19.116666666666863</c:v>
                </c:pt>
                <c:pt idx="1148">
                  <c:v>19.133333333333528</c:v>
                </c:pt>
                <c:pt idx="1149">
                  <c:v>19.150000000000194</c:v>
                </c:pt>
                <c:pt idx="1150">
                  <c:v>19.16666666666686</c:v>
                </c:pt>
                <c:pt idx="1151">
                  <c:v>19.183333333333525</c:v>
                </c:pt>
                <c:pt idx="1152">
                  <c:v>19.200000000000191</c:v>
                </c:pt>
                <c:pt idx="1153">
                  <c:v>19.216666666666857</c:v>
                </c:pt>
                <c:pt idx="1154">
                  <c:v>19.233333333333523</c:v>
                </c:pt>
                <c:pt idx="1155">
                  <c:v>19.250000000000188</c:v>
                </c:pt>
                <c:pt idx="1156">
                  <c:v>19.266666666666854</c:v>
                </c:pt>
                <c:pt idx="1157">
                  <c:v>19.28333333333352</c:v>
                </c:pt>
                <c:pt idx="1158">
                  <c:v>19.300000000000185</c:v>
                </c:pt>
                <c:pt idx="1159">
                  <c:v>19.316666666666851</c:v>
                </c:pt>
                <c:pt idx="1160">
                  <c:v>19.333333333333517</c:v>
                </c:pt>
                <c:pt idx="1161">
                  <c:v>19.350000000000183</c:v>
                </c:pt>
                <c:pt idx="1162">
                  <c:v>19.366666666666848</c:v>
                </c:pt>
                <c:pt idx="1163">
                  <c:v>19.383333333333514</c:v>
                </c:pt>
                <c:pt idx="1164">
                  <c:v>19.40000000000018</c:v>
                </c:pt>
                <c:pt idx="1165">
                  <c:v>19.416666666666845</c:v>
                </c:pt>
                <c:pt idx="1166">
                  <c:v>19.433333333333511</c:v>
                </c:pt>
                <c:pt idx="1167">
                  <c:v>19.450000000000177</c:v>
                </c:pt>
                <c:pt idx="1168">
                  <c:v>19.466666666666843</c:v>
                </c:pt>
                <c:pt idx="1169">
                  <c:v>19.483333333333508</c:v>
                </c:pt>
                <c:pt idx="1170">
                  <c:v>19.500000000000174</c:v>
                </c:pt>
                <c:pt idx="1171">
                  <c:v>19.51666666666684</c:v>
                </c:pt>
                <c:pt idx="1172">
                  <c:v>19.533333333333506</c:v>
                </c:pt>
                <c:pt idx="1173">
                  <c:v>19.550000000000171</c:v>
                </c:pt>
                <c:pt idx="1174">
                  <c:v>19.566666666666837</c:v>
                </c:pt>
                <c:pt idx="1175">
                  <c:v>19.583333333333503</c:v>
                </c:pt>
                <c:pt idx="1176">
                  <c:v>19.600000000000168</c:v>
                </c:pt>
                <c:pt idx="1177">
                  <c:v>19.616666666666834</c:v>
                </c:pt>
                <c:pt idx="1178">
                  <c:v>19.6333333333335</c:v>
                </c:pt>
                <c:pt idx="1179">
                  <c:v>19.650000000000166</c:v>
                </c:pt>
                <c:pt idx="1180">
                  <c:v>19.666666666666831</c:v>
                </c:pt>
                <c:pt idx="1181">
                  <c:v>19.683333333333497</c:v>
                </c:pt>
                <c:pt idx="1182">
                  <c:v>19.700000000000163</c:v>
                </c:pt>
                <c:pt idx="1183">
                  <c:v>19.716666666666828</c:v>
                </c:pt>
                <c:pt idx="1184">
                  <c:v>19.733333333333494</c:v>
                </c:pt>
                <c:pt idx="1185">
                  <c:v>19.75000000000016</c:v>
                </c:pt>
                <c:pt idx="1186">
                  <c:v>19.766666666666826</c:v>
                </c:pt>
                <c:pt idx="1187">
                  <c:v>19.783333333333491</c:v>
                </c:pt>
                <c:pt idx="1188">
                  <c:v>19.800000000000157</c:v>
                </c:pt>
                <c:pt idx="1189">
                  <c:v>19.816666666666823</c:v>
                </c:pt>
                <c:pt idx="1190">
                  <c:v>19.833333333333488</c:v>
                </c:pt>
                <c:pt idx="1191">
                  <c:v>19.850000000000154</c:v>
                </c:pt>
                <c:pt idx="1192">
                  <c:v>19.86666666666682</c:v>
                </c:pt>
                <c:pt idx="1193">
                  <c:v>19.883333333333486</c:v>
                </c:pt>
                <c:pt idx="1194">
                  <c:v>19.900000000000151</c:v>
                </c:pt>
                <c:pt idx="1195">
                  <c:v>19.916666666666817</c:v>
                </c:pt>
                <c:pt idx="1196">
                  <c:v>19.933333333333483</c:v>
                </c:pt>
                <c:pt idx="1197">
                  <c:v>19.950000000000149</c:v>
                </c:pt>
                <c:pt idx="1198">
                  <c:v>19.966666666666814</c:v>
                </c:pt>
                <c:pt idx="1199">
                  <c:v>19.98333333333348</c:v>
                </c:pt>
                <c:pt idx="1200">
                  <c:v>20.000000000000146</c:v>
                </c:pt>
                <c:pt idx="1201">
                  <c:v>20.016666666666811</c:v>
                </c:pt>
                <c:pt idx="1202">
                  <c:v>20.033333333333477</c:v>
                </c:pt>
                <c:pt idx="1203">
                  <c:v>20.050000000000143</c:v>
                </c:pt>
                <c:pt idx="1204">
                  <c:v>20.066666666666809</c:v>
                </c:pt>
                <c:pt idx="1205">
                  <c:v>20.083333333333474</c:v>
                </c:pt>
                <c:pt idx="1206">
                  <c:v>20.10000000000014</c:v>
                </c:pt>
                <c:pt idx="1207">
                  <c:v>20.116666666666806</c:v>
                </c:pt>
                <c:pt idx="1208">
                  <c:v>20.133333333333471</c:v>
                </c:pt>
                <c:pt idx="1209">
                  <c:v>20.150000000000137</c:v>
                </c:pt>
                <c:pt idx="1210">
                  <c:v>20.166666666666803</c:v>
                </c:pt>
                <c:pt idx="1211">
                  <c:v>20.183333333333469</c:v>
                </c:pt>
                <c:pt idx="1212">
                  <c:v>20.200000000000134</c:v>
                </c:pt>
                <c:pt idx="1213">
                  <c:v>20.2166666666668</c:v>
                </c:pt>
                <c:pt idx="1214">
                  <c:v>20.233333333333466</c:v>
                </c:pt>
                <c:pt idx="1215">
                  <c:v>20.250000000000131</c:v>
                </c:pt>
                <c:pt idx="1216">
                  <c:v>20.266666666666797</c:v>
                </c:pt>
                <c:pt idx="1217">
                  <c:v>20.283333333333463</c:v>
                </c:pt>
                <c:pt idx="1218">
                  <c:v>20.300000000000129</c:v>
                </c:pt>
                <c:pt idx="1219">
                  <c:v>20.316666666666794</c:v>
                </c:pt>
                <c:pt idx="1220">
                  <c:v>20.33333333333346</c:v>
                </c:pt>
                <c:pt idx="1221">
                  <c:v>20.350000000000126</c:v>
                </c:pt>
                <c:pt idx="1222">
                  <c:v>20.366666666666791</c:v>
                </c:pt>
                <c:pt idx="1223">
                  <c:v>20.383333333333457</c:v>
                </c:pt>
                <c:pt idx="1224">
                  <c:v>20.400000000000123</c:v>
                </c:pt>
                <c:pt idx="1225">
                  <c:v>20.416666666666789</c:v>
                </c:pt>
                <c:pt idx="1226">
                  <c:v>20.433333333333454</c:v>
                </c:pt>
                <c:pt idx="1227">
                  <c:v>20.45000000000012</c:v>
                </c:pt>
                <c:pt idx="1228">
                  <c:v>20.466666666666786</c:v>
                </c:pt>
                <c:pt idx="1229">
                  <c:v>20.483333333333452</c:v>
                </c:pt>
                <c:pt idx="1230">
                  <c:v>20.500000000000117</c:v>
                </c:pt>
                <c:pt idx="1231">
                  <c:v>20.516666666666783</c:v>
                </c:pt>
                <c:pt idx="1232">
                  <c:v>20.533333333333449</c:v>
                </c:pt>
                <c:pt idx="1233">
                  <c:v>20.550000000000114</c:v>
                </c:pt>
                <c:pt idx="1234">
                  <c:v>20.56666666666678</c:v>
                </c:pt>
                <c:pt idx="1235">
                  <c:v>20.583333333333446</c:v>
                </c:pt>
                <c:pt idx="1236">
                  <c:v>20.600000000000112</c:v>
                </c:pt>
                <c:pt idx="1237">
                  <c:v>20.616666666666777</c:v>
                </c:pt>
                <c:pt idx="1238">
                  <c:v>20.633333333333443</c:v>
                </c:pt>
                <c:pt idx="1239">
                  <c:v>20.650000000000109</c:v>
                </c:pt>
                <c:pt idx="1240">
                  <c:v>20.666666666666774</c:v>
                </c:pt>
                <c:pt idx="1241">
                  <c:v>20.68333333333344</c:v>
                </c:pt>
                <c:pt idx="1242">
                  <c:v>20.700000000000106</c:v>
                </c:pt>
                <c:pt idx="1243">
                  <c:v>20.716666666666772</c:v>
                </c:pt>
                <c:pt idx="1244">
                  <c:v>20.733333333333437</c:v>
                </c:pt>
                <c:pt idx="1245">
                  <c:v>20.750000000000103</c:v>
                </c:pt>
                <c:pt idx="1246">
                  <c:v>20.766666666666769</c:v>
                </c:pt>
                <c:pt idx="1247">
                  <c:v>20.783333333333434</c:v>
                </c:pt>
                <c:pt idx="1248">
                  <c:v>20.8000000000001</c:v>
                </c:pt>
                <c:pt idx="1249">
                  <c:v>20.816666666666766</c:v>
                </c:pt>
                <c:pt idx="1250">
                  <c:v>20.833333333333432</c:v>
                </c:pt>
                <c:pt idx="1251">
                  <c:v>20.850000000000097</c:v>
                </c:pt>
                <c:pt idx="1252">
                  <c:v>20.866666666666763</c:v>
                </c:pt>
                <c:pt idx="1253">
                  <c:v>20.883333333333429</c:v>
                </c:pt>
                <c:pt idx="1254">
                  <c:v>20.900000000000095</c:v>
                </c:pt>
                <c:pt idx="1255">
                  <c:v>20.91666666666676</c:v>
                </c:pt>
                <c:pt idx="1256">
                  <c:v>20.933333333333426</c:v>
                </c:pt>
                <c:pt idx="1257">
                  <c:v>20.950000000000092</c:v>
                </c:pt>
                <c:pt idx="1258">
                  <c:v>20.966666666666757</c:v>
                </c:pt>
                <c:pt idx="1259">
                  <c:v>20.983333333333423</c:v>
                </c:pt>
                <c:pt idx="1260">
                  <c:v>21.000000000000089</c:v>
                </c:pt>
                <c:pt idx="1261">
                  <c:v>21.016666666666755</c:v>
                </c:pt>
                <c:pt idx="1262">
                  <c:v>21.03333333333342</c:v>
                </c:pt>
                <c:pt idx="1263">
                  <c:v>21.050000000000086</c:v>
                </c:pt>
                <c:pt idx="1264">
                  <c:v>21.066666666666752</c:v>
                </c:pt>
                <c:pt idx="1265">
                  <c:v>21.083333333333417</c:v>
                </c:pt>
                <c:pt idx="1266">
                  <c:v>21.100000000000083</c:v>
                </c:pt>
                <c:pt idx="1267">
                  <c:v>21.116666666666749</c:v>
                </c:pt>
                <c:pt idx="1268">
                  <c:v>21.133333333333415</c:v>
                </c:pt>
                <c:pt idx="1269">
                  <c:v>21.15000000000008</c:v>
                </c:pt>
                <c:pt idx="1270">
                  <c:v>21.166666666666746</c:v>
                </c:pt>
                <c:pt idx="1271">
                  <c:v>21.183333333333412</c:v>
                </c:pt>
                <c:pt idx="1272">
                  <c:v>21.200000000000077</c:v>
                </c:pt>
                <c:pt idx="1273">
                  <c:v>21.216666666666743</c:v>
                </c:pt>
                <c:pt idx="1274">
                  <c:v>21.233333333333409</c:v>
                </c:pt>
                <c:pt idx="1275">
                  <c:v>21.250000000000075</c:v>
                </c:pt>
                <c:pt idx="1276">
                  <c:v>21.26666666666674</c:v>
                </c:pt>
                <c:pt idx="1277">
                  <c:v>21.283333333333406</c:v>
                </c:pt>
                <c:pt idx="1278">
                  <c:v>21.300000000000072</c:v>
                </c:pt>
                <c:pt idx="1279">
                  <c:v>21.316666666666737</c:v>
                </c:pt>
                <c:pt idx="1280">
                  <c:v>21.333333333333403</c:v>
                </c:pt>
                <c:pt idx="1281">
                  <c:v>21.350000000000069</c:v>
                </c:pt>
                <c:pt idx="1282">
                  <c:v>21.366666666666735</c:v>
                </c:pt>
                <c:pt idx="1283">
                  <c:v>21.3833333333334</c:v>
                </c:pt>
                <c:pt idx="1284">
                  <c:v>21.400000000000066</c:v>
                </c:pt>
                <c:pt idx="1285">
                  <c:v>21.416666666666732</c:v>
                </c:pt>
                <c:pt idx="1286">
                  <c:v>21.433333333333398</c:v>
                </c:pt>
                <c:pt idx="1287">
                  <c:v>21.450000000000063</c:v>
                </c:pt>
                <c:pt idx="1288">
                  <c:v>21.466666666666729</c:v>
                </c:pt>
                <c:pt idx="1289">
                  <c:v>21.483333333333395</c:v>
                </c:pt>
                <c:pt idx="1290">
                  <c:v>21.50000000000006</c:v>
                </c:pt>
                <c:pt idx="1291">
                  <c:v>21.516666666666726</c:v>
                </c:pt>
                <c:pt idx="1292">
                  <c:v>21.533333333333392</c:v>
                </c:pt>
                <c:pt idx="1293">
                  <c:v>21.550000000000058</c:v>
                </c:pt>
                <c:pt idx="1294">
                  <c:v>21.566666666666723</c:v>
                </c:pt>
                <c:pt idx="1295">
                  <c:v>21.583333333333389</c:v>
                </c:pt>
                <c:pt idx="1296">
                  <c:v>21.600000000000055</c:v>
                </c:pt>
                <c:pt idx="1297">
                  <c:v>21.61666666666672</c:v>
                </c:pt>
                <c:pt idx="1298">
                  <c:v>21.633333333333386</c:v>
                </c:pt>
                <c:pt idx="1299">
                  <c:v>21.650000000000052</c:v>
                </c:pt>
                <c:pt idx="1300">
                  <c:v>21.666666666666718</c:v>
                </c:pt>
                <c:pt idx="1301">
                  <c:v>21.683333333333383</c:v>
                </c:pt>
                <c:pt idx="1302">
                  <c:v>21.700000000000049</c:v>
                </c:pt>
                <c:pt idx="1303">
                  <c:v>21.716666666666715</c:v>
                </c:pt>
                <c:pt idx="1304">
                  <c:v>21.73333333333338</c:v>
                </c:pt>
                <c:pt idx="1305">
                  <c:v>21.750000000000046</c:v>
                </c:pt>
                <c:pt idx="1306">
                  <c:v>21.766666666666712</c:v>
                </c:pt>
                <c:pt idx="1307">
                  <c:v>21.783333333333378</c:v>
                </c:pt>
                <c:pt idx="1308">
                  <c:v>21.800000000000043</c:v>
                </c:pt>
                <c:pt idx="1309">
                  <c:v>21.816666666666709</c:v>
                </c:pt>
                <c:pt idx="1310">
                  <c:v>21.833333333333375</c:v>
                </c:pt>
                <c:pt idx="1311">
                  <c:v>21.850000000000041</c:v>
                </c:pt>
                <c:pt idx="1312">
                  <c:v>21.866666666666706</c:v>
                </c:pt>
                <c:pt idx="1313">
                  <c:v>21.883333333333372</c:v>
                </c:pt>
                <c:pt idx="1314">
                  <c:v>21.900000000000038</c:v>
                </c:pt>
                <c:pt idx="1315">
                  <c:v>21.916666666666703</c:v>
                </c:pt>
                <c:pt idx="1316">
                  <c:v>21.933333333333369</c:v>
                </c:pt>
                <c:pt idx="1317">
                  <c:v>21.950000000000035</c:v>
                </c:pt>
                <c:pt idx="1318">
                  <c:v>21.966666666666701</c:v>
                </c:pt>
                <c:pt idx="1319">
                  <c:v>21.983333333333366</c:v>
                </c:pt>
                <c:pt idx="1320">
                  <c:v>22.000000000000032</c:v>
                </c:pt>
                <c:pt idx="1321">
                  <c:v>22.016666666666698</c:v>
                </c:pt>
                <c:pt idx="1322">
                  <c:v>22.033333333333363</c:v>
                </c:pt>
                <c:pt idx="1323">
                  <c:v>22.050000000000029</c:v>
                </c:pt>
                <c:pt idx="1324">
                  <c:v>22.066666666666695</c:v>
                </c:pt>
                <c:pt idx="1325">
                  <c:v>22.083333333333361</c:v>
                </c:pt>
                <c:pt idx="1326">
                  <c:v>22.100000000000026</c:v>
                </c:pt>
                <c:pt idx="1327">
                  <c:v>22.116666666666692</c:v>
                </c:pt>
                <c:pt idx="1328">
                  <c:v>22.133333333333358</c:v>
                </c:pt>
                <c:pt idx="1329">
                  <c:v>22.150000000000023</c:v>
                </c:pt>
                <c:pt idx="1330">
                  <c:v>22.166666666666689</c:v>
                </c:pt>
                <c:pt idx="1331">
                  <c:v>22.183333333333355</c:v>
                </c:pt>
                <c:pt idx="1332">
                  <c:v>22.200000000000021</c:v>
                </c:pt>
                <c:pt idx="1333">
                  <c:v>22.216666666666686</c:v>
                </c:pt>
                <c:pt idx="1334">
                  <c:v>22.233333333333352</c:v>
                </c:pt>
                <c:pt idx="1335">
                  <c:v>22.250000000000018</c:v>
                </c:pt>
                <c:pt idx="1336">
                  <c:v>22.266666666666683</c:v>
                </c:pt>
                <c:pt idx="1337">
                  <c:v>22.283333333333349</c:v>
                </c:pt>
                <c:pt idx="1338">
                  <c:v>22.300000000000015</c:v>
                </c:pt>
                <c:pt idx="1339">
                  <c:v>22.316666666666681</c:v>
                </c:pt>
                <c:pt idx="1340">
                  <c:v>22.333333333333346</c:v>
                </c:pt>
                <c:pt idx="1341">
                  <c:v>22.350000000000012</c:v>
                </c:pt>
                <c:pt idx="1342">
                  <c:v>22.366666666666678</c:v>
                </c:pt>
                <c:pt idx="1343">
                  <c:v>22.383333333333344</c:v>
                </c:pt>
                <c:pt idx="1344">
                  <c:v>22.400000000000009</c:v>
                </c:pt>
                <c:pt idx="1345">
                  <c:v>22.416666666666675</c:v>
                </c:pt>
                <c:pt idx="1346">
                  <c:v>22.433333333333341</c:v>
                </c:pt>
                <c:pt idx="1347">
                  <c:v>22.450000000000006</c:v>
                </c:pt>
                <c:pt idx="1348">
                  <c:v>22.466666666666672</c:v>
                </c:pt>
                <c:pt idx="1349">
                  <c:v>22.483333333333338</c:v>
                </c:pt>
                <c:pt idx="1350">
                  <c:v>22.500000000000004</c:v>
                </c:pt>
                <c:pt idx="1351">
                  <c:v>22.516666666666669</c:v>
                </c:pt>
                <c:pt idx="1352">
                  <c:v>22.533333333333335</c:v>
                </c:pt>
                <c:pt idx="1353">
                  <c:v>22.55</c:v>
                </c:pt>
                <c:pt idx="1354">
                  <c:v>22.566666666666666</c:v>
                </c:pt>
                <c:pt idx="1355">
                  <c:v>22.583333333333332</c:v>
                </c:pt>
                <c:pt idx="1356">
                  <c:v>22.599999999999998</c:v>
                </c:pt>
                <c:pt idx="1357">
                  <c:v>22.616666666666664</c:v>
                </c:pt>
                <c:pt idx="1358">
                  <c:v>22.633333333333329</c:v>
                </c:pt>
                <c:pt idx="1359">
                  <c:v>22.649999999999995</c:v>
                </c:pt>
                <c:pt idx="1360">
                  <c:v>22.666666666666661</c:v>
                </c:pt>
                <c:pt idx="1361">
                  <c:v>22.683333333333326</c:v>
                </c:pt>
                <c:pt idx="1362">
                  <c:v>22.699999999999992</c:v>
                </c:pt>
                <c:pt idx="1363">
                  <c:v>22.716666666666658</c:v>
                </c:pt>
                <c:pt idx="1364">
                  <c:v>22.733333333333324</c:v>
                </c:pt>
                <c:pt idx="1365">
                  <c:v>22.749999999999989</c:v>
                </c:pt>
                <c:pt idx="1366">
                  <c:v>22.766666666666655</c:v>
                </c:pt>
                <c:pt idx="1367">
                  <c:v>22.783333333333321</c:v>
                </c:pt>
                <c:pt idx="1368">
                  <c:v>22.799999999999986</c:v>
                </c:pt>
                <c:pt idx="1369">
                  <c:v>22.816666666666652</c:v>
                </c:pt>
                <c:pt idx="1370">
                  <c:v>22.833333333333318</c:v>
                </c:pt>
                <c:pt idx="1371">
                  <c:v>22.849999999999984</c:v>
                </c:pt>
                <c:pt idx="1372">
                  <c:v>22.866666666666649</c:v>
                </c:pt>
                <c:pt idx="1373">
                  <c:v>22.883333333333315</c:v>
                </c:pt>
                <c:pt idx="1374">
                  <c:v>22.899999999999981</c:v>
                </c:pt>
                <c:pt idx="1375">
                  <c:v>22.916666666666647</c:v>
                </c:pt>
                <c:pt idx="1376">
                  <c:v>22.933333333333312</c:v>
                </c:pt>
                <c:pt idx="1377">
                  <c:v>22.949999999999978</c:v>
                </c:pt>
                <c:pt idx="1378">
                  <c:v>22.966666666666644</c:v>
                </c:pt>
                <c:pt idx="1379">
                  <c:v>22.983333333333309</c:v>
                </c:pt>
                <c:pt idx="1380">
                  <c:v>22.999999999999975</c:v>
                </c:pt>
                <c:pt idx="1381">
                  <c:v>23.016666666666641</c:v>
                </c:pt>
                <c:pt idx="1382">
                  <c:v>23.033333333333307</c:v>
                </c:pt>
                <c:pt idx="1383">
                  <c:v>23.049999999999972</c:v>
                </c:pt>
                <c:pt idx="1384">
                  <c:v>23.066666666666638</c:v>
                </c:pt>
                <c:pt idx="1385">
                  <c:v>23.083333333333304</c:v>
                </c:pt>
                <c:pt idx="1386">
                  <c:v>23.099999999999969</c:v>
                </c:pt>
                <c:pt idx="1387">
                  <c:v>23.116666666666635</c:v>
                </c:pt>
                <c:pt idx="1388">
                  <c:v>23.133333333333301</c:v>
                </c:pt>
                <c:pt idx="1389">
                  <c:v>23.149999999999967</c:v>
                </c:pt>
                <c:pt idx="1390">
                  <c:v>23.166666666666632</c:v>
                </c:pt>
                <c:pt idx="1391">
                  <c:v>23.183333333333298</c:v>
                </c:pt>
                <c:pt idx="1392">
                  <c:v>23.199999999999964</c:v>
                </c:pt>
                <c:pt idx="1393">
                  <c:v>23.216666666666629</c:v>
                </c:pt>
                <c:pt idx="1394">
                  <c:v>23.233333333333295</c:v>
                </c:pt>
                <c:pt idx="1395">
                  <c:v>23.249999999999961</c:v>
                </c:pt>
                <c:pt idx="1396">
                  <c:v>23.266666666666627</c:v>
                </c:pt>
                <c:pt idx="1397">
                  <c:v>23.283333333333292</c:v>
                </c:pt>
                <c:pt idx="1398">
                  <c:v>23.299999999999958</c:v>
                </c:pt>
                <c:pt idx="1399">
                  <c:v>23.316666666666624</c:v>
                </c:pt>
                <c:pt idx="1400">
                  <c:v>23.33333333333329</c:v>
                </c:pt>
                <c:pt idx="1401">
                  <c:v>23.349999999999955</c:v>
                </c:pt>
                <c:pt idx="1402">
                  <c:v>23.366666666666621</c:v>
                </c:pt>
                <c:pt idx="1403">
                  <c:v>23.383333333333287</c:v>
                </c:pt>
                <c:pt idx="1404">
                  <c:v>23.399999999999952</c:v>
                </c:pt>
                <c:pt idx="1405">
                  <c:v>23.416666666666618</c:v>
                </c:pt>
                <c:pt idx="1406">
                  <c:v>23.433333333333284</c:v>
                </c:pt>
                <c:pt idx="1407">
                  <c:v>23.44999999999995</c:v>
                </c:pt>
                <c:pt idx="1408">
                  <c:v>23.466666666666615</c:v>
                </c:pt>
                <c:pt idx="1409">
                  <c:v>23.483333333333281</c:v>
                </c:pt>
                <c:pt idx="1410">
                  <c:v>23.499999999999947</c:v>
                </c:pt>
                <c:pt idx="1411">
                  <c:v>23.516666666666612</c:v>
                </c:pt>
                <c:pt idx="1412">
                  <c:v>23.533333333333278</c:v>
                </c:pt>
                <c:pt idx="1413">
                  <c:v>23.549999999999944</c:v>
                </c:pt>
                <c:pt idx="1414">
                  <c:v>23.56666666666661</c:v>
                </c:pt>
                <c:pt idx="1415">
                  <c:v>23.583333333333275</c:v>
                </c:pt>
                <c:pt idx="1416">
                  <c:v>23.599999999999941</c:v>
                </c:pt>
                <c:pt idx="1417">
                  <c:v>23.616666666666607</c:v>
                </c:pt>
                <c:pt idx="1418">
                  <c:v>23.633333333333272</c:v>
                </c:pt>
                <c:pt idx="1419">
                  <c:v>23.649999999999938</c:v>
                </c:pt>
                <c:pt idx="1420">
                  <c:v>23.666666666666604</c:v>
                </c:pt>
                <c:pt idx="1421">
                  <c:v>23.68333333333327</c:v>
                </c:pt>
                <c:pt idx="1422">
                  <c:v>23.699999999999935</c:v>
                </c:pt>
                <c:pt idx="1423">
                  <c:v>23.716666666666601</c:v>
                </c:pt>
                <c:pt idx="1424">
                  <c:v>23.733333333333267</c:v>
                </c:pt>
                <c:pt idx="1425">
                  <c:v>23.749999999999932</c:v>
                </c:pt>
                <c:pt idx="1426">
                  <c:v>23.766666666666598</c:v>
                </c:pt>
                <c:pt idx="1427">
                  <c:v>23.783333333333264</c:v>
                </c:pt>
                <c:pt idx="1428">
                  <c:v>23.79999999999993</c:v>
                </c:pt>
                <c:pt idx="1429">
                  <c:v>23.816666666666595</c:v>
                </c:pt>
                <c:pt idx="1430">
                  <c:v>23.833333333333261</c:v>
                </c:pt>
                <c:pt idx="1431">
                  <c:v>23.849999999999927</c:v>
                </c:pt>
                <c:pt idx="1432">
                  <c:v>23.866666666666593</c:v>
                </c:pt>
                <c:pt idx="1433">
                  <c:v>23.883333333333258</c:v>
                </c:pt>
                <c:pt idx="1434">
                  <c:v>23.899999999999924</c:v>
                </c:pt>
                <c:pt idx="1435">
                  <c:v>23.91666666666659</c:v>
                </c:pt>
                <c:pt idx="1436">
                  <c:v>23.933333333333255</c:v>
                </c:pt>
              </c:numCache>
            </c:numRef>
          </c:xVal>
          <c:yVal>
            <c:numRef>
              <c:f>'Reactor analysis'!$AU$3:$AU$2625</c:f>
              <c:numCache>
                <c:formatCode>General</c:formatCode>
                <c:ptCount val="2623"/>
                <c:pt idx="0">
                  <c:v>0</c:v>
                </c:pt>
                <c:pt idx="1">
                  <c:v>0</c:v>
                </c:pt>
                <c:pt idx="2">
                  <c:v>9.9999999999980105E-3</c:v>
                </c:pt>
                <c:pt idx="3">
                  <c:v>3.0000000000001137E-2</c:v>
                </c:pt>
                <c:pt idx="4">
                  <c:v>3.9999999999999147E-2</c:v>
                </c:pt>
                <c:pt idx="5">
                  <c:v>4.9999999999997158E-2</c:v>
                </c:pt>
                <c:pt idx="6">
                  <c:v>7.0000000000000284E-2</c:v>
                </c:pt>
                <c:pt idx="7">
                  <c:v>8.9999999999996305E-2</c:v>
                </c:pt>
                <c:pt idx="8">
                  <c:v>0.12999999999999545</c:v>
                </c:pt>
                <c:pt idx="9">
                  <c:v>0.17999999999999972</c:v>
                </c:pt>
                <c:pt idx="10">
                  <c:v>0.19999999999999574</c:v>
                </c:pt>
                <c:pt idx="11">
                  <c:v>0.21999999999999886</c:v>
                </c:pt>
                <c:pt idx="12">
                  <c:v>0.25</c:v>
                </c:pt>
                <c:pt idx="13">
                  <c:v>0.28000000000000114</c:v>
                </c:pt>
                <c:pt idx="14">
                  <c:v>0.29999999999999716</c:v>
                </c:pt>
                <c:pt idx="15">
                  <c:v>0.32000000000000028</c:v>
                </c:pt>
                <c:pt idx="16">
                  <c:v>0.33999999999999631</c:v>
                </c:pt>
                <c:pt idx="17">
                  <c:v>0.34999999999999432</c:v>
                </c:pt>
                <c:pt idx="18">
                  <c:v>0.35999999999999943</c:v>
                </c:pt>
                <c:pt idx="19">
                  <c:v>0.36999999999999744</c:v>
                </c:pt>
                <c:pt idx="20">
                  <c:v>0.39000000000000057</c:v>
                </c:pt>
                <c:pt idx="21">
                  <c:v>0.40999999999999659</c:v>
                </c:pt>
                <c:pt idx="22">
                  <c:v>0.40999999999999659</c:v>
                </c:pt>
                <c:pt idx="23">
                  <c:v>0.4199999999999946</c:v>
                </c:pt>
                <c:pt idx="24">
                  <c:v>0.4199999999999946</c:v>
                </c:pt>
                <c:pt idx="25">
                  <c:v>0.42999999999999972</c:v>
                </c:pt>
                <c:pt idx="26">
                  <c:v>0.42999999999999972</c:v>
                </c:pt>
                <c:pt idx="27">
                  <c:v>0.42999999999999972</c:v>
                </c:pt>
                <c:pt idx="28">
                  <c:v>0.43999999999999773</c:v>
                </c:pt>
                <c:pt idx="29">
                  <c:v>0.43999999999999773</c:v>
                </c:pt>
                <c:pt idx="30">
                  <c:v>0.44999999999999574</c:v>
                </c:pt>
                <c:pt idx="31">
                  <c:v>0.44999999999999574</c:v>
                </c:pt>
                <c:pt idx="32">
                  <c:v>0.46000000000000085</c:v>
                </c:pt>
                <c:pt idx="33">
                  <c:v>0.46000000000000085</c:v>
                </c:pt>
                <c:pt idx="34">
                  <c:v>0.46999999999999886</c:v>
                </c:pt>
                <c:pt idx="35">
                  <c:v>0.47999999999999687</c:v>
                </c:pt>
                <c:pt idx="36">
                  <c:v>0.48999999999999488</c:v>
                </c:pt>
                <c:pt idx="37">
                  <c:v>0.53000000000000114</c:v>
                </c:pt>
                <c:pt idx="38">
                  <c:v>0.57000000000000028</c:v>
                </c:pt>
                <c:pt idx="39">
                  <c:v>0.59999999999999432</c:v>
                </c:pt>
                <c:pt idx="40">
                  <c:v>0.62999999999999545</c:v>
                </c:pt>
                <c:pt idx="41">
                  <c:v>0.64999999999999858</c:v>
                </c:pt>
                <c:pt idx="42">
                  <c:v>0.6699999999999946</c:v>
                </c:pt>
                <c:pt idx="43">
                  <c:v>0.67999999999999972</c:v>
                </c:pt>
                <c:pt idx="44">
                  <c:v>0.69999999999999574</c:v>
                </c:pt>
                <c:pt idx="45">
                  <c:v>0.71000000000000085</c:v>
                </c:pt>
                <c:pt idx="46">
                  <c:v>0.71999999999999886</c:v>
                </c:pt>
                <c:pt idx="47">
                  <c:v>0.72999999999999687</c:v>
                </c:pt>
                <c:pt idx="48">
                  <c:v>0.73999999999999488</c:v>
                </c:pt>
                <c:pt idx="49">
                  <c:v>0.75999999999999801</c:v>
                </c:pt>
                <c:pt idx="50">
                  <c:v>0.76999999999999602</c:v>
                </c:pt>
                <c:pt idx="51">
                  <c:v>0.78999999999999915</c:v>
                </c:pt>
                <c:pt idx="52">
                  <c:v>0.78999999999999915</c:v>
                </c:pt>
                <c:pt idx="53">
                  <c:v>0.78999999999999915</c:v>
                </c:pt>
                <c:pt idx="54">
                  <c:v>0.79999999999999716</c:v>
                </c:pt>
                <c:pt idx="55">
                  <c:v>0.79999999999999716</c:v>
                </c:pt>
                <c:pt idx="56">
                  <c:v>0.79999999999999716</c:v>
                </c:pt>
                <c:pt idx="57">
                  <c:v>0.79999999999999716</c:v>
                </c:pt>
                <c:pt idx="58">
                  <c:v>0.80999999999999517</c:v>
                </c:pt>
                <c:pt idx="59">
                  <c:v>0.80999999999999517</c:v>
                </c:pt>
                <c:pt idx="60">
                  <c:v>0.82000000000000028</c:v>
                </c:pt>
                <c:pt idx="61">
                  <c:v>0.82999999999999829</c:v>
                </c:pt>
                <c:pt idx="62">
                  <c:v>0.83999999999999631</c:v>
                </c:pt>
                <c:pt idx="63">
                  <c:v>0.83999999999999631</c:v>
                </c:pt>
                <c:pt idx="64">
                  <c:v>0.84999999999999432</c:v>
                </c:pt>
                <c:pt idx="65">
                  <c:v>0.85999999999999943</c:v>
                </c:pt>
                <c:pt idx="66">
                  <c:v>0.86999999999999744</c:v>
                </c:pt>
                <c:pt idx="67">
                  <c:v>0.9199999999999946</c:v>
                </c:pt>
                <c:pt idx="68">
                  <c:v>0.93999999999999773</c:v>
                </c:pt>
                <c:pt idx="69">
                  <c:v>0.96999999999999886</c:v>
                </c:pt>
                <c:pt idx="70">
                  <c:v>1</c:v>
                </c:pt>
                <c:pt idx="71">
                  <c:v>1.0300000000000011</c:v>
                </c:pt>
                <c:pt idx="72">
                  <c:v>1.0399999999999991</c:v>
                </c:pt>
                <c:pt idx="73">
                  <c:v>1.0599999999999952</c:v>
                </c:pt>
                <c:pt idx="74">
                  <c:v>1.0700000000000003</c:v>
                </c:pt>
                <c:pt idx="75">
                  <c:v>1.0899999999999963</c:v>
                </c:pt>
                <c:pt idx="76">
                  <c:v>1.0999999999999943</c:v>
                </c:pt>
                <c:pt idx="77">
                  <c:v>1.1099999999999994</c:v>
                </c:pt>
                <c:pt idx="78">
                  <c:v>1.1199999999999974</c:v>
                </c:pt>
                <c:pt idx="79">
                  <c:v>1.1400000000000006</c:v>
                </c:pt>
                <c:pt idx="80">
                  <c:v>1.1499999999999986</c:v>
                </c:pt>
                <c:pt idx="81">
                  <c:v>1.1599999999999966</c:v>
                </c:pt>
                <c:pt idx="82">
                  <c:v>1.1599999999999966</c:v>
                </c:pt>
                <c:pt idx="83">
                  <c:v>1.1599999999999966</c:v>
                </c:pt>
                <c:pt idx="84">
                  <c:v>1.1699999999999946</c:v>
                </c:pt>
                <c:pt idx="85">
                  <c:v>1.1699999999999946</c:v>
                </c:pt>
                <c:pt idx="86">
                  <c:v>1.1699999999999946</c:v>
                </c:pt>
                <c:pt idx="87">
                  <c:v>1.1699999999999946</c:v>
                </c:pt>
                <c:pt idx="88">
                  <c:v>1.1699999999999946</c:v>
                </c:pt>
                <c:pt idx="89">
                  <c:v>1.1799999999999997</c:v>
                </c:pt>
                <c:pt idx="90">
                  <c:v>1.1799999999999997</c:v>
                </c:pt>
                <c:pt idx="91">
                  <c:v>1.1899999999999977</c:v>
                </c:pt>
                <c:pt idx="92">
                  <c:v>1.1899999999999977</c:v>
                </c:pt>
                <c:pt idx="93">
                  <c:v>1.1999999999999957</c:v>
                </c:pt>
                <c:pt idx="94">
                  <c:v>1.2100000000000009</c:v>
                </c:pt>
                <c:pt idx="95">
                  <c:v>1.2199999999999989</c:v>
                </c:pt>
                <c:pt idx="96">
                  <c:v>1.25</c:v>
                </c:pt>
                <c:pt idx="97">
                  <c:v>1.2800000000000011</c:v>
                </c:pt>
                <c:pt idx="98">
                  <c:v>1.3200000000000003</c:v>
                </c:pt>
                <c:pt idx="99">
                  <c:v>1.3499999999999943</c:v>
                </c:pt>
                <c:pt idx="100">
                  <c:v>1.3799999999999955</c:v>
                </c:pt>
                <c:pt idx="101">
                  <c:v>1.4099999999999966</c:v>
                </c:pt>
                <c:pt idx="102">
                  <c:v>1.4199999999999946</c:v>
                </c:pt>
                <c:pt idx="103">
                  <c:v>1.4299999999999997</c:v>
                </c:pt>
                <c:pt idx="104">
                  <c:v>1.4399999999999977</c:v>
                </c:pt>
                <c:pt idx="105">
                  <c:v>1.4499999999999957</c:v>
                </c:pt>
                <c:pt idx="106">
                  <c:v>1.4600000000000009</c:v>
                </c:pt>
                <c:pt idx="107">
                  <c:v>1.4699999999999989</c:v>
                </c:pt>
                <c:pt idx="108">
                  <c:v>1.5</c:v>
                </c:pt>
                <c:pt idx="109">
                  <c:v>1.509999999999998</c:v>
                </c:pt>
                <c:pt idx="110">
                  <c:v>1.519999999999996</c:v>
                </c:pt>
                <c:pt idx="111">
                  <c:v>1.5399999999999991</c:v>
                </c:pt>
                <c:pt idx="112">
                  <c:v>1.5399999999999991</c:v>
                </c:pt>
                <c:pt idx="113">
                  <c:v>1.5399999999999991</c:v>
                </c:pt>
                <c:pt idx="114">
                  <c:v>1.5399999999999991</c:v>
                </c:pt>
                <c:pt idx="115">
                  <c:v>1.5399999999999991</c:v>
                </c:pt>
                <c:pt idx="116">
                  <c:v>1.5399999999999991</c:v>
                </c:pt>
                <c:pt idx="117">
                  <c:v>1.5399999999999991</c:v>
                </c:pt>
                <c:pt idx="118">
                  <c:v>1.5499999999999972</c:v>
                </c:pt>
                <c:pt idx="119">
                  <c:v>1.5499999999999972</c:v>
                </c:pt>
                <c:pt idx="120">
                  <c:v>1.5599999999999952</c:v>
                </c:pt>
                <c:pt idx="121">
                  <c:v>1.5599999999999952</c:v>
                </c:pt>
                <c:pt idx="122">
                  <c:v>1.5700000000000003</c:v>
                </c:pt>
                <c:pt idx="123">
                  <c:v>1.5799999999999983</c:v>
                </c:pt>
                <c:pt idx="124">
                  <c:v>1.5899999999999963</c:v>
                </c:pt>
                <c:pt idx="125">
                  <c:v>1.5999999999999943</c:v>
                </c:pt>
                <c:pt idx="126">
                  <c:v>1.6199999999999974</c:v>
                </c:pt>
                <c:pt idx="127">
                  <c:v>1.6599999999999966</c:v>
                </c:pt>
                <c:pt idx="128">
                  <c:v>1.6899999999999977</c:v>
                </c:pt>
                <c:pt idx="129">
                  <c:v>1.7199999999999989</c:v>
                </c:pt>
                <c:pt idx="130">
                  <c:v>1.75</c:v>
                </c:pt>
                <c:pt idx="131">
                  <c:v>1.769999999999996</c:v>
                </c:pt>
                <c:pt idx="132">
                  <c:v>1.7899999999999991</c:v>
                </c:pt>
                <c:pt idx="133">
                  <c:v>1.7999999999999972</c:v>
                </c:pt>
                <c:pt idx="134">
                  <c:v>1.8099999999999952</c:v>
                </c:pt>
                <c:pt idx="135">
                  <c:v>1.8200000000000003</c:v>
                </c:pt>
                <c:pt idx="136">
                  <c:v>1.8399999999999963</c:v>
                </c:pt>
                <c:pt idx="137">
                  <c:v>1.8499999999999943</c:v>
                </c:pt>
                <c:pt idx="138">
                  <c:v>1.8599999999999994</c:v>
                </c:pt>
                <c:pt idx="139">
                  <c:v>1.8699999999999974</c:v>
                </c:pt>
                <c:pt idx="140">
                  <c:v>1.8900000000000006</c:v>
                </c:pt>
                <c:pt idx="141">
                  <c:v>1.8999999999999986</c:v>
                </c:pt>
                <c:pt idx="142">
                  <c:v>1.8999999999999986</c:v>
                </c:pt>
                <c:pt idx="143">
                  <c:v>1.8999999999999986</c:v>
                </c:pt>
                <c:pt idx="144">
                  <c:v>1.8999999999999986</c:v>
                </c:pt>
                <c:pt idx="145">
                  <c:v>1.8999999999999986</c:v>
                </c:pt>
                <c:pt idx="146">
                  <c:v>1.9099999999999966</c:v>
                </c:pt>
                <c:pt idx="147">
                  <c:v>1.9099999999999966</c:v>
                </c:pt>
                <c:pt idx="148">
                  <c:v>1.9099999999999966</c:v>
                </c:pt>
                <c:pt idx="149">
                  <c:v>1.9199999999999946</c:v>
                </c:pt>
                <c:pt idx="150">
                  <c:v>1.9199999999999946</c:v>
                </c:pt>
                <c:pt idx="151">
                  <c:v>1.9299999999999997</c:v>
                </c:pt>
                <c:pt idx="152">
                  <c:v>1.9299999999999997</c:v>
                </c:pt>
                <c:pt idx="153">
                  <c:v>1.9399999999999977</c:v>
                </c:pt>
                <c:pt idx="154">
                  <c:v>1.9499999999999957</c:v>
                </c:pt>
                <c:pt idx="155">
                  <c:v>1.9600000000000009</c:v>
                </c:pt>
                <c:pt idx="156">
                  <c:v>1.9799999999999969</c:v>
                </c:pt>
                <c:pt idx="157">
                  <c:v>2.0300000000000011</c:v>
                </c:pt>
                <c:pt idx="158">
                  <c:v>2.0599999999999952</c:v>
                </c:pt>
                <c:pt idx="159">
                  <c:v>2.0899999999999963</c:v>
                </c:pt>
                <c:pt idx="160">
                  <c:v>2.1299999999999955</c:v>
                </c:pt>
                <c:pt idx="161">
                  <c:v>2.1599999999999966</c:v>
                </c:pt>
                <c:pt idx="162">
                  <c:v>2.1699999999999946</c:v>
                </c:pt>
                <c:pt idx="163">
                  <c:v>2.1899999999999977</c:v>
                </c:pt>
                <c:pt idx="164">
                  <c:v>2.2100000000000009</c:v>
                </c:pt>
                <c:pt idx="165">
                  <c:v>2.2299999999999969</c:v>
                </c:pt>
                <c:pt idx="166">
                  <c:v>2.25</c:v>
                </c:pt>
                <c:pt idx="167">
                  <c:v>2.259999999999998</c:v>
                </c:pt>
                <c:pt idx="168">
                  <c:v>2.2800000000000011</c:v>
                </c:pt>
                <c:pt idx="169">
                  <c:v>2.2899999999999991</c:v>
                </c:pt>
                <c:pt idx="170">
                  <c:v>2.2999999999999972</c:v>
                </c:pt>
                <c:pt idx="171">
                  <c:v>2.3099999999999952</c:v>
                </c:pt>
                <c:pt idx="172">
                  <c:v>2.3099999999999952</c:v>
                </c:pt>
                <c:pt idx="173">
                  <c:v>2.3099999999999952</c:v>
                </c:pt>
                <c:pt idx="174">
                  <c:v>2.3099999999999952</c:v>
                </c:pt>
                <c:pt idx="175">
                  <c:v>2.3099999999999952</c:v>
                </c:pt>
                <c:pt idx="176">
                  <c:v>2.3200000000000003</c:v>
                </c:pt>
                <c:pt idx="177">
                  <c:v>2.3200000000000003</c:v>
                </c:pt>
                <c:pt idx="178">
                  <c:v>2.3299999999999983</c:v>
                </c:pt>
                <c:pt idx="179">
                  <c:v>2.3299999999999983</c:v>
                </c:pt>
                <c:pt idx="180">
                  <c:v>2.3399999999999963</c:v>
                </c:pt>
                <c:pt idx="181">
                  <c:v>2.3399999999999963</c:v>
                </c:pt>
                <c:pt idx="182">
                  <c:v>2.3499999999999943</c:v>
                </c:pt>
                <c:pt idx="183">
                  <c:v>2.3599999999999994</c:v>
                </c:pt>
                <c:pt idx="184">
                  <c:v>2.3799999999999955</c:v>
                </c:pt>
                <c:pt idx="185">
                  <c:v>2.3900000000000006</c:v>
                </c:pt>
                <c:pt idx="186">
                  <c:v>2.4099999999999966</c:v>
                </c:pt>
                <c:pt idx="187">
                  <c:v>2.4399999999999977</c:v>
                </c:pt>
                <c:pt idx="188">
                  <c:v>2.4799999999999969</c:v>
                </c:pt>
                <c:pt idx="189">
                  <c:v>2.509999999999998</c:v>
                </c:pt>
                <c:pt idx="190">
                  <c:v>2.5300000000000011</c:v>
                </c:pt>
                <c:pt idx="191">
                  <c:v>2.5499999999999972</c:v>
                </c:pt>
                <c:pt idx="192">
                  <c:v>2.5700000000000003</c:v>
                </c:pt>
                <c:pt idx="193">
                  <c:v>2.5799999999999983</c:v>
                </c:pt>
                <c:pt idx="194">
                  <c:v>2.5999999999999943</c:v>
                </c:pt>
                <c:pt idx="195">
                  <c:v>2.6099999999999994</c:v>
                </c:pt>
                <c:pt idx="196">
                  <c:v>2.6299999999999955</c:v>
                </c:pt>
                <c:pt idx="197">
                  <c:v>2.6400000000000006</c:v>
                </c:pt>
                <c:pt idx="198">
                  <c:v>2.6499999999999986</c:v>
                </c:pt>
                <c:pt idx="199">
                  <c:v>2.6599999999999966</c:v>
                </c:pt>
                <c:pt idx="200">
                  <c:v>2.6699999999999946</c:v>
                </c:pt>
                <c:pt idx="201">
                  <c:v>2.6699999999999946</c:v>
                </c:pt>
                <c:pt idx="202">
                  <c:v>2.6699999999999946</c:v>
                </c:pt>
                <c:pt idx="203">
                  <c:v>2.6699999999999946</c:v>
                </c:pt>
                <c:pt idx="204">
                  <c:v>2.6699999999999946</c:v>
                </c:pt>
                <c:pt idx="205">
                  <c:v>2.6699999999999946</c:v>
                </c:pt>
                <c:pt idx="206">
                  <c:v>2.6699999999999946</c:v>
                </c:pt>
                <c:pt idx="207">
                  <c:v>2.6799999999999997</c:v>
                </c:pt>
                <c:pt idx="208">
                  <c:v>2.6799999999999997</c:v>
                </c:pt>
                <c:pt idx="209">
                  <c:v>2.6899999999999977</c:v>
                </c:pt>
                <c:pt idx="210">
                  <c:v>2.6899999999999977</c:v>
                </c:pt>
                <c:pt idx="211">
                  <c:v>2.7000000000000028</c:v>
                </c:pt>
                <c:pt idx="212">
                  <c:v>2.7099999999999937</c:v>
                </c:pt>
                <c:pt idx="213">
                  <c:v>2.7199999999999989</c:v>
                </c:pt>
                <c:pt idx="214">
                  <c:v>2.7399999999999949</c:v>
                </c:pt>
                <c:pt idx="215">
                  <c:v>2.75</c:v>
                </c:pt>
                <c:pt idx="216">
                  <c:v>2.769999999999996</c:v>
                </c:pt>
                <c:pt idx="217">
                  <c:v>2.7999999999999972</c:v>
                </c:pt>
                <c:pt idx="218">
                  <c:v>2.8499999999999943</c:v>
                </c:pt>
                <c:pt idx="219">
                  <c:v>2.8900000000000006</c:v>
                </c:pt>
                <c:pt idx="220">
                  <c:v>2.8999999999999915</c:v>
                </c:pt>
                <c:pt idx="221">
                  <c:v>2.9200000000000017</c:v>
                </c:pt>
                <c:pt idx="222">
                  <c:v>2.9299999999999926</c:v>
                </c:pt>
                <c:pt idx="223">
                  <c:v>2.9399999999999977</c:v>
                </c:pt>
                <c:pt idx="224">
                  <c:v>2.9599999999999937</c:v>
                </c:pt>
                <c:pt idx="225">
                  <c:v>2.9699999999999989</c:v>
                </c:pt>
                <c:pt idx="226">
                  <c:v>2.9899999999999949</c:v>
                </c:pt>
                <c:pt idx="227">
                  <c:v>3</c:v>
                </c:pt>
                <c:pt idx="228">
                  <c:v>3.0099999999999909</c:v>
                </c:pt>
                <c:pt idx="229">
                  <c:v>3.019999999999996</c:v>
                </c:pt>
                <c:pt idx="230">
                  <c:v>3.039999999999992</c:v>
                </c:pt>
                <c:pt idx="231">
                  <c:v>3.039999999999992</c:v>
                </c:pt>
                <c:pt idx="232">
                  <c:v>3.039999999999992</c:v>
                </c:pt>
                <c:pt idx="233">
                  <c:v>3.039999999999992</c:v>
                </c:pt>
                <c:pt idx="234">
                  <c:v>3.039999999999992</c:v>
                </c:pt>
                <c:pt idx="235">
                  <c:v>3.039999999999992</c:v>
                </c:pt>
                <c:pt idx="236">
                  <c:v>3.039999999999992</c:v>
                </c:pt>
                <c:pt idx="237">
                  <c:v>3.039999999999992</c:v>
                </c:pt>
                <c:pt idx="238">
                  <c:v>3.0499999999999972</c:v>
                </c:pt>
                <c:pt idx="239">
                  <c:v>3.0499999999999972</c:v>
                </c:pt>
                <c:pt idx="240">
                  <c:v>3.0600000000000023</c:v>
                </c:pt>
                <c:pt idx="241">
                  <c:v>3.0699999999999932</c:v>
                </c:pt>
                <c:pt idx="242">
                  <c:v>3.0799999999999983</c:v>
                </c:pt>
                <c:pt idx="243">
                  <c:v>3.0900000000000034</c:v>
                </c:pt>
                <c:pt idx="244">
                  <c:v>3.0999999999999943</c:v>
                </c:pt>
                <c:pt idx="245">
                  <c:v>3.1099999999999994</c:v>
                </c:pt>
                <c:pt idx="246">
                  <c:v>3.1299999999999955</c:v>
                </c:pt>
                <c:pt idx="247">
                  <c:v>3.1599999999999966</c:v>
                </c:pt>
                <c:pt idx="248">
                  <c:v>3.1899999999999977</c:v>
                </c:pt>
                <c:pt idx="249">
                  <c:v>3.230000000000004</c:v>
                </c:pt>
                <c:pt idx="250">
                  <c:v>3.2599999999999909</c:v>
                </c:pt>
                <c:pt idx="251">
                  <c:v>3.269999999999996</c:v>
                </c:pt>
                <c:pt idx="252">
                  <c:v>3.289999999999992</c:v>
                </c:pt>
                <c:pt idx="253">
                  <c:v>3.2999999999999972</c:v>
                </c:pt>
                <c:pt idx="254">
                  <c:v>3.3100000000000023</c:v>
                </c:pt>
                <c:pt idx="255">
                  <c:v>3.3199999999999932</c:v>
                </c:pt>
                <c:pt idx="256">
                  <c:v>3.3400000000000034</c:v>
                </c:pt>
                <c:pt idx="257">
                  <c:v>3.3499999999999943</c:v>
                </c:pt>
                <c:pt idx="258">
                  <c:v>3.3700000000000045</c:v>
                </c:pt>
                <c:pt idx="259">
                  <c:v>3.3799999999999955</c:v>
                </c:pt>
                <c:pt idx="260">
                  <c:v>3.3900000000000006</c:v>
                </c:pt>
                <c:pt idx="261">
                  <c:v>3.3900000000000006</c:v>
                </c:pt>
                <c:pt idx="262">
                  <c:v>3.3900000000000006</c:v>
                </c:pt>
                <c:pt idx="263">
                  <c:v>3.3900000000000006</c:v>
                </c:pt>
                <c:pt idx="264">
                  <c:v>3.3900000000000006</c:v>
                </c:pt>
                <c:pt idx="265">
                  <c:v>3.3900000000000006</c:v>
                </c:pt>
                <c:pt idx="266">
                  <c:v>3.3999999999999915</c:v>
                </c:pt>
                <c:pt idx="267">
                  <c:v>3.3999999999999915</c:v>
                </c:pt>
                <c:pt idx="268">
                  <c:v>3.3999999999999915</c:v>
                </c:pt>
                <c:pt idx="269">
                  <c:v>3.3999999999999915</c:v>
                </c:pt>
                <c:pt idx="270">
                  <c:v>3.4099999999999966</c:v>
                </c:pt>
                <c:pt idx="271">
                  <c:v>3.4099999999999966</c:v>
                </c:pt>
                <c:pt idx="272">
                  <c:v>3.4200000000000017</c:v>
                </c:pt>
                <c:pt idx="273">
                  <c:v>3.4299999999999926</c:v>
                </c:pt>
                <c:pt idx="274">
                  <c:v>3.4399999999999977</c:v>
                </c:pt>
                <c:pt idx="275">
                  <c:v>3.4500000000000028</c:v>
                </c:pt>
                <c:pt idx="276">
                  <c:v>3.480000000000004</c:v>
                </c:pt>
                <c:pt idx="277">
                  <c:v>3.519999999999996</c:v>
                </c:pt>
                <c:pt idx="278">
                  <c:v>3.5499999999999972</c:v>
                </c:pt>
                <c:pt idx="279">
                  <c:v>3.5799999999999983</c:v>
                </c:pt>
                <c:pt idx="280">
                  <c:v>3.6099999999999994</c:v>
                </c:pt>
                <c:pt idx="281">
                  <c:v>3.6200000000000045</c:v>
                </c:pt>
                <c:pt idx="282">
                  <c:v>3.6400000000000006</c:v>
                </c:pt>
                <c:pt idx="283">
                  <c:v>3.6499999999999915</c:v>
                </c:pt>
                <c:pt idx="284">
                  <c:v>3.6499999999999915</c:v>
                </c:pt>
                <c:pt idx="285">
                  <c:v>3.6599999999999966</c:v>
                </c:pt>
                <c:pt idx="286">
                  <c:v>3.6799999999999926</c:v>
                </c:pt>
                <c:pt idx="287">
                  <c:v>3.6899999999999977</c:v>
                </c:pt>
                <c:pt idx="288">
                  <c:v>3.7000000000000028</c:v>
                </c:pt>
                <c:pt idx="289">
                  <c:v>3.7199999999999989</c:v>
                </c:pt>
                <c:pt idx="290">
                  <c:v>3.7399999999999949</c:v>
                </c:pt>
                <c:pt idx="291">
                  <c:v>3.7399999999999949</c:v>
                </c:pt>
                <c:pt idx="292">
                  <c:v>3.7399999999999949</c:v>
                </c:pt>
                <c:pt idx="293">
                  <c:v>3.7399999999999949</c:v>
                </c:pt>
                <c:pt idx="294">
                  <c:v>3.7399999999999949</c:v>
                </c:pt>
                <c:pt idx="295">
                  <c:v>3.7399999999999949</c:v>
                </c:pt>
                <c:pt idx="296">
                  <c:v>3.75</c:v>
                </c:pt>
                <c:pt idx="297">
                  <c:v>3.75</c:v>
                </c:pt>
                <c:pt idx="298">
                  <c:v>3.75</c:v>
                </c:pt>
                <c:pt idx="299">
                  <c:v>3.75</c:v>
                </c:pt>
                <c:pt idx="300">
                  <c:v>3.7599999999999909</c:v>
                </c:pt>
                <c:pt idx="301">
                  <c:v>3.7599999999999909</c:v>
                </c:pt>
                <c:pt idx="302">
                  <c:v>3.769999999999996</c:v>
                </c:pt>
                <c:pt idx="303">
                  <c:v>3.7800000000000011</c:v>
                </c:pt>
                <c:pt idx="304">
                  <c:v>3.789999999999992</c:v>
                </c:pt>
                <c:pt idx="305">
                  <c:v>3.789999999999992</c:v>
                </c:pt>
                <c:pt idx="306">
                  <c:v>3.8199999999999932</c:v>
                </c:pt>
                <c:pt idx="307">
                  <c:v>3.8700000000000045</c:v>
                </c:pt>
                <c:pt idx="308">
                  <c:v>3.8999999999999915</c:v>
                </c:pt>
                <c:pt idx="309">
                  <c:v>3.9299999999999926</c:v>
                </c:pt>
                <c:pt idx="310">
                  <c:v>3.9699999999999989</c:v>
                </c:pt>
                <c:pt idx="311">
                  <c:v>4</c:v>
                </c:pt>
                <c:pt idx="312">
                  <c:v>4.019999999999996</c:v>
                </c:pt>
                <c:pt idx="313">
                  <c:v>4.039999999999992</c:v>
                </c:pt>
                <c:pt idx="314">
                  <c:v>4.0499999999999972</c:v>
                </c:pt>
                <c:pt idx="315">
                  <c:v>4.0699999999999932</c:v>
                </c:pt>
                <c:pt idx="316">
                  <c:v>4.0900000000000034</c:v>
                </c:pt>
                <c:pt idx="317">
                  <c:v>4.1099999999999994</c:v>
                </c:pt>
                <c:pt idx="318">
                  <c:v>4.1099999999999994</c:v>
                </c:pt>
                <c:pt idx="319">
                  <c:v>4.1200000000000045</c:v>
                </c:pt>
                <c:pt idx="320">
                  <c:v>4.1299999999999955</c:v>
                </c:pt>
                <c:pt idx="321">
                  <c:v>4.1299999999999955</c:v>
                </c:pt>
                <c:pt idx="322">
                  <c:v>4.1299999999999955</c:v>
                </c:pt>
                <c:pt idx="323">
                  <c:v>4.1299999999999955</c:v>
                </c:pt>
                <c:pt idx="324">
                  <c:v>4.1299999999999955</c:v>
                </c:pt>
                <c:pt idx="325">
                  <c:v>4.1400000000000006</c:v>
                </c:pt>
                <c:pt idx="326">
                  <c:v>4.1400000000000006</c:v>
                </c:pt>
                <c:pt idx="327">
                  <c:v>4.1400000000000006</c:v>
                </c:pt>
                <c:pt idx="328">
                  <c:v>4.1499999999999915</c:v>
                </c:pt>
                <c:pt idx="329">
                  <c:v>4.1499999999999915</c:v>
                </c:pt>
                <c:pt idx="330">
                  <c:v>4.1499999999999915</c:v>
                </c:pt>
                <c:pt idx="331">
                  <c:v>4.1599999999999966</c:v>
                </c:pt>
                <c:pt idx="332">
                  <c:v>4.1700000000000017</c:v>
                </c:pt>
                <c:pt idx="333">
                  <c:v>4.1799999999999926</c:v>
                </c:pt>
                <c:pt idx="334">
                  <c:v>4.1899999999999977</c:v>
                </c:pt>
                <c:pt idx="335">
                  <c:v>4.2000000000000028</c:v>
                </c:pt>
                <c:pt idx="336">
                  <c:v>4.2399999999999949</c:v>
                </c:pt>
                <c:pt idx="337">
                  <c:v>4.269999999999996</c:v>
                </c:pt>
                <c:pt idx="338">
                  <c:v>4.3100000000000023</c:v>
                </c:pt>
                <c:pt idx="339">
                  <c:v>4.3400000000000034</c:v>
                </c:pt>
                <c:pt idx="340">
                  <c:v>4.3700000000000045</c:v>
                </c:pt>
                <c:pt idx="341">
                  <c:v>4.3799999999999955</c:v>
                </c:pt>
                <c:pt idx="342">
                  <c:v>4.3900000000000006</c:v>
                </c:pt>
                <c:pt idx="343">
                  <c:v>4.3999999999999915</c:v>
                </c:pt>
                <c:pt idx="344">
                  <c:v>4.4099999999999966</c:v>
                </c:pt>
                <c:pt idx="345">
                  <c:v>4.4299999999999926</c:v>
                </c:pt>
                <c:pt idx="346">
                  <c:v>4.4299999999999926</c:v>
                </c:pt>
                <c:pt idx="347">
                  <c:v>4.4500000000000028</c:v>
                </c:pt>
                <c:pt idx="348">
                  <c:v>4.4599999999999937</c:v>
                </c:pt>
                <c:pt idx="349">
                  <c:v>4.480000000000004</c:v>
                </c:pt>
                <c:pt idx="350">
                  <c:v>4.4899999999999949</c:v>
                </c:pt>
                <c:pt idx="351">
                  <c:v>4.4899999999999949</c:v>
                </c:pt>
                <c:pt idx="352">
                  <c:v>4.4899999999999949</c:v>
                </c:pt>
                <c:pt idx="353">
                  <c:v>4.4899999999999949</c:v>
                </c:pt>
                <c:pt idx="354">
                  <c:v>4.4899999999999949</c:v>
                </c:pt>
                <c:pt idx="355">
                  <c:v>4.4899999999999949</c:v>
                </c:pt>
                <c:pt idx="356">
                  <c:v>4.4899999999999949</c:v>
                </c:pt>
                <c:pt idx="357">
                  <c:v>4.5</c:v>
                </c:pt>
                <c:pt idx="358">
                  <c:v>4.5</c:v>
                </c:pt>
                <c:pt idx="359">
                  <c:v>4.5</c:v>
                </c:pt>
                <c:pt idx="360">
                  <c:v>4.5099999999999909</c:v>
                </c:pt>
                <c:pt idx="361">
                  <c:v>4.5099999999999909</c:v>
                </c:pt>
                <c:pt idx="362">
                  <c:v>4.519999999999996</c:v>
                </c:pt>
                <c:pt idx="363">
                  <c:v>4.5300000000000011</c:v>
                </c:pt>
                <c:pt idx="364">
                  <c:v>4.539999999999992</c:v>
                </c:pt>
                <c:pt idx="365">
                  <c:v>4.5499999999999972</c:v>
                </c:pt>
                <c:pt idx="366">
                  <c:v>4.5799999999999983</c:v>
                </c:pt>
                <c:pt idx="367">
                  <c:v>4.6200000000000045</c:v>
                </c:pt>
                <c:pt idx="368">
                  <c:v>4.6499999999999915</c:v>
                </c:pt>
                <c:pt idx="369">
                  <c:v>4.6799999999999926</c:v>
                </c:pt>
                <c:pt idx="370">
                  <c:v>4.7000000000000028</c:v>
                </c:pt>
                <c:pt idx="371">
                  <c:v>4.730000000000004</c:v>
                </c:pt>
                <c:pt idx="372">
                  <c:v>4.7399999999999949</c:v>
                </c:pt>
                <c:pt idx="373">
                  <c:v>4.75</c:v>
                </c:pt>
                <c:pt idx="374">
                  <c:v>4.7599999999999909</c:v>
                </c:pt>
                <c:pt idx="375">
                  <c:v>4.769999999999996</c:v>
                </c:pt>
                <c:pt idx="376">
                  <c:v>4.7800000000000011</c:v>
                </c:pt>
                <c:pt idx="377">
                  <c:v>4.789999999999992</c:v>
                </c:pt>
                <c:pt idx="378">
                  <c:v>4.7999999999999972</c:v>
                </c:pt>
                <c:pt idx="379">
                  <c:v>4.8100000000000023</c:v>
                </c:pt>
                <c:pt idx="380">
                  <c:v>4.8299999999999983</c:v>
                </c:pt>
                <c:pt idx="381">
                  <c:v>4.8299999999999983</c:v>
                </c:pt>
                <c:pt idx="382">
                  <c:v>4.8299999999999983</c:v>
                </c:pt>
                <c:pt idx="383">
                  <c:v>4.8299999999999983</c:v>
                </c:pt>
                <c:pt idx="384">
                  <c:v>4.8299999999999983</c:v>
                </c:pt>
                <c:pt idx="385">
                  <c:v>4.8299999999999983</c:v>
                </c:pt>
                <c:pt idx="386">
                  <c:v>4.8299999999999983</c:v>
                </c:pt>
                <c:pt idx="387">
                  <c:v>4.8400000000000034</c:v>
                </c:pt>
                <c:pt idx="388">
                  <c:v>4.8400000000000034</c:v>
                </c:pt>
                <c:pt idx="389">
                  <c:v>4.8499999999999943</c:v>
                </c:pt>
                <c:pt idx="390">
                  <c:v>4.8599999999999994</c:v>
                </c:pt>
                <c:pt idx="391">
                  <c:v>4.8599999999999994</c:v>
                </c:pt>
                <c:pt idx="392">
                  <c:v>4.8700000000000045</c:v>
                </c:pt>
                <c:pt idx="393">
                  <c:v>4.8700000000000045</c:v>
                </c:pt>
                <c:pt idx="394">
                  <c:v>4.8799999999999955</c:v>
                </c:pt>
                <c:pt idx="395">
                  <c:v>4.8799999999999955</c:v>
                </c:pt>
                <c:pt idx="396">
                  <c:v>4.9099999999999966</c:v>
                </c:pt>
                <c:pt idx="397">
                  <c:v>4.9599999999999937</c:v>
                </c:pt>
                <c:pt idx="398">
                  <c:v>5</c:v>
                </c:pt>
                <c:pt idx="399">
                  <c:v>5.019999999999996</c:v>
                </c:pt>
                <c:pt idx="400">
                  <c:v>5.039999999999992</c:v>
                </c:pt>
                <c:pt idx="401">
                  <c:v>5.0499999999999972</c:v>
                </c:pt>
                <c:pt idx="402">
                  <c:v>5.0699999999999932</c:v>
                </c:pt>
                <c:pt idx="403">
                  <c:v>5.0900000000000034</c:v>
                </c:pt>
                <c:pt idx="404">
                  <c:v>5.0999999999999943</c:v>
                </c:pt>
                <c:pt idx="405">
                  <c:v>5.1099999999999994</c:v>
                </c:pt>
                <c:pt idx="406">
                  <c:v>5.1099999999999994</c:v>
                </c:pt>
                <c:pt idx="407">
                  <c:v>5.1200000000000045</c:v>
                </c:pt>
                <c:pt idx="408">
                  <c:v>5.1299999999999955</c:v>
                </c:pt>
                <c:pt idx="409">
                  <c:v>5.1299999999999955</c:v>
                </c:pt>
                <c:pt idx="410">
                  <c:v>5.1400000000000006</c:v>
                </c:pt>
                <c:pt idx="411">
                  <c:v>5.1400000000000006</c:v>
                </c:pt>
                <c:pt idx="412">
                  <c:v>5.1400000000000006</c:v>
                </c:pt>
                <c:pt idx="413">
                  <c:v>5.1400000000000006</c:v>
                </c:pt>
                <c:pt idx="414">
                  <c:v>5.1400000000000006</c:v>
                </c:pt>
                <c:pt idx="415">
                  <c:v>5.1400000000000006</c:v>
                </c:pt>
                <c:pt idx="416">
                  <c:v>5.1499999999999915</c:v>
                </c:pt>
                <c:pt idx="417">
                  <c:v>5.1499999999999915</c:v>
                </c:pt>
                <c:pt idx="418">
                  <c:v>5.1499999999999915</c:v>
                </c:pt>
                <c:pt idx="419">
                  <c:v>5.1599999999999966</c:v>
                </c:pt>
                <c:pt idx="420">
                  <c:v>5.1599999999999966</c:v>
                </c:pt>
                <c:pt idx="421">
                  <c:v>5.1799999999999926</c:v>
                </c:pt>
                <c:pt idx="422">
                  <c:v>5.1799999999999926</c:v>
                </c:pt>
                <c:pt idx="423">
                  <c:v>5.2000000000000028</c:v>
                </c:pt>
                <c:pt idx="424">
                  <c:v>5.2099999999999937</c:v>
                </c:pt>
                <c:pt idx="425">
                  <c:v>5.2199999999999989</c:v>
                </c:pt>
                <c:pt idx="426">
                  <c:v>5.230000000000004</c:v>
                </c:pt>
                <c:pt idx="427">
                  <c:v>5.269999999999996</c:v>
                </c:pt>
                <c:pt idx="428">
                  <c:v>5.3100000000000023</c:v>
                </c:pt>
                <c:pt idx="429">
                  <c:v>5.3400000000000034</c:v>
                </c:pt>
                <c:pt idx="430">
                  <c:v>5.3499999999999943</c:v>
                </c:pt>
                <c:pt idx="431">
                  <c:v>5.3599999999999994</c:v>
                </c:pt>
                <c:pt idx="432">
                  <c:v>5.3700000000000045</c:v>
                </c:pt>
                <c:pt idx="433">
                  <c:v>5.3900000000000006</c:v>
                </c:pt>
                <c:pt idx="434">
                  <c:v>5.3999999999999915</c:v>
                </c:pt>
                <c:pt idx="435">
                  <c:v>5.4099999999999966</c:v>
                </c:pt>
                <c:pt idx="436">
                  <c:v>5.4299999999999926</c:v>
                </c:pt>
                <c:pt idx="437">
                  <c:v>5.4399999999999977</c:v>
                </c:pt>
                <c:pt idx="438">
                  <c:v>5.4500000000000028</c:v>
                </c:pt>
                <c:pt idx="439">
                  <c:v>5.4599999999999937</c:v>
                </c:pt>
                <c:pt idx="440">
                  <c:v>5.4699999999999989</c:v>
                </c:pt>
                <c:pt idx="441">
                  <c:v>5.4699999999999989</c:v>
                </c:pt>
                <c:pt idx="442">
                  <c:v>5.4699999999999989</c:v>
                </c:pt>
                <c:pt idx="443">
                  <c:v>5.4699999999999989</c:v>
                </c:pt>
                <c:pt idx="444">
                  <c:v>5.4699999999999989</c:v>
                </c:pt>
                <c:pt idx="445">
                  <c:v>5.4699999999999989</c:v>
                </c:pt>
                <c:pt idx="446">
                  <c:v>5.4699999999999989</c:v>
                </c:pt>
                <c:pt idx="447">
                  <c:v>5.480000000000004</c:v>
                </c:pt>
                <c:pt idx="448">
                  <c:v>5.480000000000004</c:v>
                </c:pt>
                <c:pt idx="449">
                  <c:v>5.4899999999999949</c:v>
                </c:pt>
                <c:pt idx="450">
                  <c:v>5.4899999999999949</c:v>
                </c:pt>
                <c:pt idx="451">
                  <c:v>5.5</c:v>
                </c:pt>
                <c:pt idx="452">
                  <c:v>5.5</c:v>
                </c:pt>
                <c:pt idx="453">
                  <c:v>5.5099999999999909</c:v>
                </c:pt>
                <c:pt idx="454">
                  <c:v>5.519999999999996</c:v>
                </c:pt>
                <c:pt idx="455">
                  <c:v>5.5300000000000011</c:v>
                </c:pt>
                <c:pt idx="456">
                  <c:v>5.5699999999999932</c:v>
                </c:pt>
                <c:pt idx="457">
                  <c:v>5.6099999999999994</c:v>
                </c:pt>
                <c:pt idx="458">
                  <c:v>5.6400000000000006</c:v>
                </c:pt>
                <c:pt idx="459">
                  <c:v>5.6799999999999926</c:v>
                </c:pt>
                <c:pt idx="460">
                  <c:v>5.7099999999999937</c:v>
                </c:pt>
                <c:pt idx="461">
                  <c:v>5.730000000000004</c:v>
                </c:pt>
                <c:pt idx="462">
                  <c:v>5.75</c:v>
                </c:pt>
                <c:pt idx="463">
                  <c:v>5.7599999999999909</c:v>
                </c:pt>
                <c:pt idx="464">
                  <c:v>5.789999999999992</c:v>
                </c:pt>
                <c:pt idx="465">
                  <c:v>5.8100000000000023</c:v>
                </c:pt>
                <c:pt idx="466">
                  <c:v>5.8199999999999932</c:v>
                </c:pt>
                <c:pt idx="467">
                  <c:v>5.8299999999999983</c:v>
                </c:pt>
                <c:pt idx="468">
                  <c:v>5.8400000000000034</c:v>
                </c:pt>
                <c:pt idx="469">
                  <c:v>5.8499999999999943</c:v>
                </c:pt>
                <c:pt idx="470">
                  <c:v>5.8599999999999994</c:v>
                </c:pt>
                <c:pt idx="471">
                  <c:v>5.8599999999999994</c:v>
                </c:pt>
                <c:pt idx="472">
                  <c:v>5.8599999999999994</c:v>
                </c:pt>
                <c:pt idx="473">
                  <c:v>5.8599999999999994</c:v>
                </c:pt>
                <c:pt idx="474">
                  <c:v>5.8599999999999994</c:v>
                </c:pt>
                <c:pt idx="475">
                  <c:v>5.8599999999999994</c:v>
                </c:pt>
                <c:pt idx="476">
                  <c:v>5.8599999999999994</c:v>
                </c:pt>
                <c:pt idx="477">
                  <c:v>5.8599999999999994</c:v>
                </c:pt>
                <c:pt idx="478">
                  <c:v>5.8700000000000045</c:v>
                </c:pt>
                <c:pt idx="479">
                  <c:v>5.8700000000000045</c:v>
                </c:pt>
                <c:pt idx="480">
                  <c:v>5.8799999999999955</c:v>
                </c:pt>
                <c:pt idx="481">
                  <c:v>5.8799999999999955</c:v>
                </c:pt>
                <c:pt idx="482">
                  <c:v>5.8900000000000006</c:v>
                </c:pt>
                <c:pt idx="483">
                  <c:v>5.8999999999999915</c:v>
                </c:pt>
                <c:pt idx="484">
                  <c:v>5.9200000000000017</c:v>
                </c:pt>
                <c:pt idx="485">
                  <c:v>5.9299999999999926</c:v>
                </c:pt>
                <c:pt idx="486">
                  <c:v>5.9699999999999989</c:v>
                </c:pt>
                <c:pt idx="487">
                  <c:v>6</c:v>
                </c:pt>
                <c:pt idx="488">
                  <c:v>6.039999999999992</c:v>
                </c:pt>
                <c:pt idx="489">
                  <c:v>6.0600000000000023</c:v>
                </c:pt>
                <c:pt idx="490">
                  <c:v>6.0799999999999983</c:v>
                </c:pt>
                <c:pt idx="491">
                  <c:v>6.0900000000000034</c:v>
                </c:pt>
                <c:pt idx="492">
                  <c:v>6.0999999999999943</c:v>
                </c:pt>
                <c:pt idx="493">
                  <c:v>6.1099999999999994</c:v>
                </c:pt>
                <c:pt idx="494">
                  <c:v>6.1200000000000045</c:v>
                </c:pt>
                <c:pt idx="495">
                  <c:v>6.1299999999999955</c:v>
                </c:pt>
                <c:pt idx="496">
                  <c:v>6.1499999999999915</c:v>
                </c:pt>
                <c:pt idx="497">
                  <c:v>6.1599999999999966</c:v>
                </c:pt>
                <c:pt idx="498">
                  <c:v>6.1799999999999926</c:v>
                </c:pt>
                <c:pt idx="499">
                  <c:v>6.1899999999999977</c:v>
                </c:pt>
                <c:pt idx="500">
                  <c:v>6.2000000000000028</c:v>
                </c:pt>
                <c:pt idx="501">
                  <c:v>6.2000000000000028</c:v>
                </c:pt>
                <c:pt idx="502">
                  <c:v>6.2000000000000028</c:v>
                </c:pt>
                <c:pt idx="503">
                  <c:v>6.2000000000000028</c:v>
                </c:pt>
                <c:pt idx="504">
                  <c:v>6.2000000000000028</c:v>
                </c:pt>
                <c:pt idx="505">
                  <c:v>6.2000000000000028</c:v>
                </c:pt>
                <c:pt idx="506">
                  <c:v>6.2099999999999937</c:v>
                </c:pt>
                <c:pt idx="507">
                  <c:v>6.2099999999999937</c:v>
                </c:pt>
                <c:pt idx="508">
                  <c:v>6.2099999999999937</c:v>
                </c:pt>
                <c:pt idx="509">
                  <c:v>6.2199999999999989</c:v>
                </c:pt>
                <c:pt idx="510">
                  <c:v>6.2199999999999989</c:v>
                </c:pt>
                <c:pt idx="511">
                  <c:v>6.2199999999999989</c:v>
                </c:pt>
                <c:pt idx="512">
                  <c:v>6.230000000000004</c:v>
                </c:pt>
                <c:pt idx="513">
                  <c:v>6.2399999999999949</c:v>
                </c:pt>
                <c:pt idx="514">
                  <c:v>6.25</c:v>
                </c:pt>
                <c:pt idx="515">
                  <c:v>6.2599999999999909</c:v>
                </c:pt>
                <c:pt idx="516">
                  <c:v>6.2999999999999972</c:v>
                </c:pt>
                <c:pt idx="517">
                  <c:v>6.3400000000000034</c:v>
                </c:pt>
                <c:pt idx="518">
                  <c:v>6.3599999999999994</c:v>
                </c:pt>
                <c:pt idx="519">
                  <c:v>6.3799999999999955</c:v>
                </c:pt>
                <c:pt idx="520">
                  <c:v>6.3999999999999915</c:v>
                </c:pt>
                <c:pt idx="521">
                  <c:v>6.4200000000000017</c:v>
                </c:pt>
                <c:pt idx="522">
                  <c:v>6.4399999999999977</c:v>
                </c:pt>
                <c:pt idx="523">
                  <c:v>6.4500000000000028</c:v>
                </c:pt>
                <c:pt idx="524">
                  <c:v>6.4699999999999989</c:v>
                </c:pt>
                <c:pt idx="525">
                  <c:v>6.480000000000004</c:v>
                </c:pt>
                <c:pt idx="526">
                  <c:v>6.4899999999999949</c:v>
                </c:pt>
                <c:pt idx="527">
                  <c:v>6.5</c:v>
                </c:pt>
                <c:pt idx="528">
                  <c:v>6.5</c:v>
                </c:pt>
                <c:pt idx="529">
                  <c:v>6.5099999999999909</c:v>
                </c:pt>
                <c:pt idx="530">
                  <c:v>6.519999999999996</c:v>
                </c:pt>
                <c:pt idx="531">
                  <c:v>6.519999999999996</c:v>
                </c:pt>
                <c:pt idx="532">
                  <c:v>6.519999999999996</c:v>
                </c:pt>
                <c:pt idx="533">
                  <c:v>6.519999999999996</c:v>
                </c:pt>
                <c:pt idx="534">
                  <c:v>6.519999999999996</c:v>
                </c:pt>
                <c:pt idx="535">
                  <c:v>6.5300000000000011</c:v>
                </c:pt>
                <c:pt idx="536">
                  <c:v>6.5300000000000011</c:v>
                </c:pt>
                <c:pt idx="537">
                  <c:v>6.539999999999992</c:v>
                </c:pt>
                <c:pt idx="538">
                  <c:v>6.539999999999992</c:v>
                </c:pt>
                <c:pt idx="539">
                  <c:v>6.539999999999992</c:v>
                </c:pt>
                <c:pt idx="540">
                  <c:v>6.5499999999999972</c:v>
                </c:pt>
                <c:pt idx="541">
                  <c:v>6.5600000000000023</c:v>
                </c:pt>
                <c:pt idx="542">
                  <c:v>6.5699999999999932</c:v>
                </c:pt>
                <c:pt idx="543">
                  <c:v>6.5799999999999983</c:v>
                </c:pt>
                <c:pt idx="544">
                  <c:v>6.5799999999999983</c:v>
                </c:pt>
                <c:pt idx="545">
                  <c:v>6.5900000000000034</c:v>
                </c:pt>
                <c:pt idx="546">
                  <c:v>6.6200000000000045</c:v>
                </c:pt>
                <c:pt idx="547">
                  <c:v>6.6599999999999966</c:v>
                </c:pt>
                <c:pt idx="548">
                  <c:v>6.7000000000000028</c:v>
                </c:pt>
                <c:pt idx="549">
                  <c:v>6.7199999999999989</c:v>
                </c:pt>
                <c:pt idx="550">
                  <c:v>6.7399999999999949</c:v>
                </c:pt>
                <c:pt idx="551">
                  <c:v>6.75</c:v>
                </c:pt>
                <c:pt idx="552">
                  <c:v>6.7599999999999909</c:v>
                </c:pt>
                <c:pt idx="553">
                  <c:v>6.7800000000000011</c:v>
                </c:pt>
                <c:pt idx="554">
                  <c:v>6.789999999999992</c:v>
                </c:pt>
                <c:pt idx="555">
                  <c:v>6.8100000000000023</c:v>
                </c:pt>
                <c:pt idx="556">
                  <c:v>6.8199999999999932</c:v>
                </c:pt>
                <c:pt idx="557">
                  <c:v>6.8299999999999983</c:v>
                </c:pt>
                <c:pt idx="558">
                  <c:v>6.8400000000000034</c:v>
                </c:pt>
                <c:pt idx="559">
                  <c:v>6.8499999999999943</c:v>
                </c:pt>
                <c:pt idx="560">
                  <c:v>6.8599999999999994</c:v>
                </c:pt>
                <c:pt idx="561">
                  <c:v>6.8599999999999994</c:v>
                </c:pt>
                <c:pt idx="562">
                  <c:v>6.8599999999999994</c:v>
                </c:pt>
                <c:pt idx="563">
                  <c:v>6.8599999999999994</c:v>
                </c:pt>
                <c:pt idx="564">
                  <c:v>6.8599999999999994</c:v>
                </c:pt>
                <c:pt idx="565">
                  <c:v>6.8599999999999994</c:v>
                </c:pt>
                <c:pt idx="566">
                  <c:v>6.8599999999999994</c:v>
                </c:pt>
                <c:pt idx="567">
                  <c:v>6.8599999999999994</c:v>
                </c:pt>
                <c:pt idx="568">
                  <c:v>6.8700000000000045</c:v>
                </c:pt>
                <c:pt idx="569">
                  <c:v>6.8700000000000045</c:v>
                </c:pt>
                <c:pt idx="570">
                  <c:v>6.8799999999999955</c:v>
                </c:pt>
                <c:pt idx="571">
                  <c:v>6.8799999999999955</c:v>
                </c:pt>
                <c:pt idx="572">
                  <c:v>6.8900000000000006</c:v>
                </c:pt>
                <c:pt idx="573">
                  <c:v>6.8999999999999915</c:v>
                </c:pt>
                <c:pt idx="574">
                  <c:v>6.9099999999999966</c:v>
                </c:pt>
                <c:pt idx="575">
                  <c:v>6.9399999999999977</c:v>
                </c:pt>
                <c:pt idx="576">
                  <c:v>6.9699999999999989</c:v>
                </c:pt>
                <c:pt idx="577">
                  <c:v>7</c:v>
                </c:pt>
                <c:pt idx="578">
                  <c:v>7.0300000000000011</c:v>
                </c:pt>
                <c:pt idx="579">
                  <c:v>7.0499999999999972</c:v>
                </c:pt>
                <c:pt idx="580">
                  <c:v>7.0699999999999932</c:v>
                </c:pt>
                <c:pt idx="581">
                  <c:v>7.0799999999999983</c:v>
                </c:pt>
                <c:pt idx="582">
                  <c:v>7.0900000000000034</c:v>
                </c:pt>
                <c:pt idx="583">
                  <c:v>7.0999999999999943</c:v>
                </c:pt>
                <c:pt idx="584">
                  <c:v>7.1099999999999994</c:v>
                </c:pt>
                <c:pt idx="585">
                  <c:v>7.1099999999999994</c:v>
                </c:pt>
                <c:pt idx="586">
                  <c:v>7.1299999999999955</c:v>
                </c:pt>
                <c:pt idx="587">
                  <c:v>7.1400000000000006</c:v>
                </c:pt>
                <c:pt idx="588">
                  <c:v>7.1499999999999915</c:v>
                </c:pt>
                <c:pt idx="589">
                  <c:v>7.1599999999999966</c:v>
                </c:pt>
                <c:pt idx="590">
                  <c:v>7.1799999999999926</c:v>
                </c:pt>
                <c:pt idx="591">
                  <c:v>7.1799999999999926</c:v>
                </c:pt>
                <c:pt idx="592">
                  <c:v>7.1799999999999926</c:v>
                </c:pt>
                <c:pt idx="593">
                  <c:v>7.1799999999999926</c:v>
                </c:pt>
                <c:pt idx="594">
                  <c:v>7.1799999999999926</c:v>
                </c:pt>
                <c:pt idx="595">
                  <c:v>7.1799999999999926</c:v>
                </c:pt>
                <c:pt idx="596">
                  <c:v>7.1799999999999926</c:v>
                </c:pt>
                <c:pt idx="597">
                  <c:v>7.1799999999999926</c:v>
                </c:pt>
                <c:pt idx="598">
                  <c:v>7.1899999999999977</c:v>
                </c:pt>
                <c:pt idx="599">
                  <c:v>7.1899999999999977</c:v>
                </c:pt>
                <c:pt idx="600">
                  <c:v>7.2000000000000028</c:v>
                </c:pt>
                <c:pt idx="601">
                  <c:v>7.2000000000000028</c:v>
                </c:pt>
                <c:pt idx="602">
                  <c:v>7.2099999999999937</c:v>
                </c:pt>
                <c:pt idx="603">
                  <c:v>7.2199999999999989</c:v>
                </c:pt>
                <c:pt idx="604">
                  <c:v>7.2199999999999989</c:v>
                </c:pt>
                <c:pt idx="605">
                  <c:v>7.2399999999999949</c:v>
                </c:pt>
                <c:pt idx="606">
                  <c:v>7.289999999999992</c:v>
                </c:pt>
                <c:pt idx="607">
                  <c:v>7.3199999999999932</c:v>
                </c:pt>
                <c:pt idx="608">
                  <c:v>7.3499999999999943</c:v>
                </c:pt>
                <c:pt idx="609">
                  <c:v>7.3700000000000045</c:v>
                </c:pt>
                <c:pt idx="610">
                  <c:v>7.3999999999999915</c:v>
                </c:pt>
                <c:pt idx="611">
                  <c:v>7.4299999999999926</c:v>
                </c:pt>
                <c:pt idx="612">
                  <c:v>7.4500000000000028</c:v>
                </c:pt>
                <c:pt idx="613">
                  <c:v>7.4699999999999989</c:v>
                </c:pt>
                <c:pt idx="614">
                  <c:v>7.480000000000004</c:v>
                </c:pt>
                <c:pt idx="615">
                  <c:v>7.5</c:v>
                </c:pt>
                <c:pt idx="616">
                  <c:v>7.5099999999999909</c:v>
                </c:pt>
                <c:pt idx="617">
                  <c:v>7.519999999999996</c:v>
                </c:pt>
                <c:pt idx="618">
                  <c:v>7.539999999999992</c:v>
                </c:pt>
                <c:pt idx="619">
                  <c:v>7.5499999999999972</c:v>
                </c:pt>
                <c:pt idx="620">
                  <c:v>7.5600000000000023</c:v>
                </c:pt>
                <c:pt idx="621">
                  <c:v>7.5600000000000023</c:v>
                </c:pt>
                <c:pt idx="622">
                  <c:v>7.5600000000000023</c:v>
                </c:pt>
                <c:pt idx="623">
                  <c:v>7.5600000000000023</c:v>
                </c:pt>
                <c:pt idx="624">
                  <c:v>7.5600000000000023</c:v>
                </c:pt>
                <c:pt idx="625">
                  <c:v>7.5600000000000023</c:v>
                </c:pt>
                <c:pt idx="626">
                  <c:v>7.5600000000000023</c:v>
                </c:pt>
                <c:pt idx="627">
                  <c:v>7.5699999999999932</c:v>
                </c:pt>
                <c:pt idx="628">
                  <c:v>7.5699999999999932</c:v>
                </c:pt>
                <c:pt idx="629">
                  <c:v>7.5799999999999983</c:v>
                </c:pt>
                <c:pt idx="630">
                  <c:v>7.5799999999999983</c:v>
                </c:pt>
                <c:pt idx="631">
                  <c:v>7.5900000000000034</c:v>
                </c:pt>
                <c:pt idx="632">
                  <c:v>7.5900000000000034</c:v>
                </c:pt>
                <c:pt idx="633">
                  <c:v>7.5999999999999943</c:v>
                </c:pt>
                <c:pt idx="634">
                  <c:v>7.5999999999999943</c:v>
                </c:pt>
                <c:pt idx="635">
                  <c:v>7.6200000000000045</c:v>
                </c:pt>
                <c:pt idx="636">
                  <c:v>7.6700000000000017</c:v>
                </c:pt>
                <c:pt idx="637">
                  <c:v>7.7000000000000028</c:v>
                </c:pt>
                <c:pt idx="638">
                  <c:v>7.730000000000004</c:v>
                </c:pt>
                <c:pt idx="639">
                  <c:v>7.75</c:v>
                </c:pt>
                <c:pt idx="640">
                  <c:v>7.769999999999996</c:v>
                </c:pt>
                <c:pt idx="641">
                  <c:v>7.789999999999992</c:v>
                </c:pt>
                <c:pt idx="642">
                  <c:v>7.7999999999999972</c:v>
                </c:pt>
                <c:pt idx="643">
                  <c:v>7.8100000000000023</c:v>
                </c:pt>
                <c:pt idx="644">
                  <c:v>7.8199999999999932</c:v>
                </c:pt>
                <c:pt idx="645">
                  <c:v>7.8299999999999983</c:v>
                </c:pt>
                <c:pt idx="646">
                  <c:v>7.8299999999999983</c:v>
                </c:pt>
                <c:pt idx="647">
                  <c:v>7.8400000000000034</c:v>
                </c:pt>
                <c:pt idx="648">
                  <c:v>7.8499999999999943</c:v>
                </c:pt>
                <c:pt idx="649">
                  <c:v>7.8599999999999994</c:v>
                </c:pt>
                <c:pt idx="650">
                  <c:v>7.8599999999999994</c:v>
                </c:pt>
                <c:pt idx="651">
                  <c:v>7.8599999999999994</c:v>
                </c:pt>
                <c:pt idx="652">
                  <c:v>7.8700000000000045</c:v>
                </c:pt>
                <c:pt idx="653">
                  <c:v>7.8700000000000045</c:v>
                </c:pt>
                <c:pt idx="654">
                  <c:v>7.8700000000000045</c:v>
                </c:pt>
                <c:pt idx="655">
                  <c:v>7.8700000000000045</c:v>
                </c:pt>
                <c:pt idx="656">
                  <c:v>7.8799999999999955</c:v>
                </c:pt>
                <c:pt idx="657">
                  <c:v>7.8799999999999955</c:v>
                </c:pt>
                <c:pt idx="658">
                  <c:v>7.8900000000000006</c:v>
                </c:pt>
                <c:pt idx="659">
                  <c:v>7.8999999999999915</c:v>
                </c:pt>
                <c:pt idx="660">
                  <c:v>7.8999999999999915</c:v>
                </c:pt>
                <c:pt idx="661">
                  <c:v>7.9099999999999966</c:v>
                </c:pt>
                <c:pt idx="662">
                  <c:v>7.9200000000000017</c:v>
                </c:pt>
                <c:pt idx="663">
                  <c:v>7.9299999999999926</c:v>
                </c:pt>
                <c:pt idx="664">
                  <c:v>7.9299999999999926</c:v>
                </c:pt>
                <c:pt idx="665">
                  <c:v>7.9500000000000028</c:v>
                </c:pt>
                <c:pt idx="666">
                  <c:v>7.9899999999999949</c:v>
                </c:pt>
                <c:pt idx="667">
                  <c:v>8.0300000000000011</c:v>
                </c:pt>
                <c:pt idx="668">
                  <c:v>8.0499999999999972</c:v>
                </c:pt>
                <c:pt idx="669">
                  <c:v>8.0699999999999932</c:v>
                </c:pt>
                <c:pt idx="670">
                  <c:v>8.0799999999999983</c:v>
                </c:pt>
                <c:pt idx="671">
                  <c:v>8.0999999999999943</c:v>
                </c:pt>
                <c:pt idx="672">
                  <c:v>8.11</c:v>
                </c:pt>
                <c:pt idx="673">
                  <c:v>8.1299999999999955</c:v>
                </c:pt>
                <c:pt idx="674">
                  <c:v>8.1499999999999915</c:v>
                </c:pt>
                <c:pt idx="675">
                  <c:v>8.1599999999999966</c:v>
                </c:pt>
                <c:pt idx="676">
                  <c:v>8.1700000000000017</c:v>
                </c:pt>
                <c:pt idx="677">
                  <c:v>8.1799999999999926</c:v>
                </c:pt>
                <c:pt idx="678">
                  <c:v>8.1799999999999926</c:v>
                </c:pt>
                <c:pt idx="679">
                  <c:v>8.1899999999999977</c:v>
                </c:pt>
                <c:pt idx="680">
                  <c:v>8.2000000000000028</c:v>
                </c:pt>
                <c:pt idx="681">
                  <c:v>8.2000000000000028</c:v>
                </c:pt>
                <c:pt idx="682">
                  <c:v>8.2000000000000028</c:v>
                </c:pt>
                <c:pt idx="683">
                  <c:v>8.2000000000000028</c:v>
                </c:pt>
                <c:pt idx="684">
                  <c:v>8.2000000000000028</c:v>
                </c:pt>
                <c:pt idx="685">
                  <c:v>8.2000000000000028</c:v>
                </c:pt>
                <c:pt idx="686">
                  <c:v>8.2000000000000028</c:v>
                </c:pt>
                <c:pt idx="687">
                  <c:v>8.2000000000000028</c:v>
                </c:pt>
                <c:pt idx="688">
                  <c:v>8.2099999999999937</c:v>
                </c:pt>
                <c:pt idx="689">
                  <c:v>8.2099999999999937</c:v>
                </c:pt>
                <c:pt idx="690">
                  <c:v>8.2199999999999989</c:v>
                </c:pt>
                <c:pt idx="691">
                  <c:v>8.230000000000004</c:v>
                </c:pt>
                <c:pt idx="692">
                  <c:v>8.230000000000004</c:v>
                </c:pt>
                <c:pt idx="693">
                  <c:v>8.25</c:v>
                </c:pt>
                <c:pt idx="694">
                  <c:v>8.2599999999999909</c:v>
                </c:pt>
                <c:pt idx="695">
                  <c:v>8.2800000000000011</c:v>
                </c:pt>
                <c:pt idx="696">
                  <c:v>8.3100000000000023</c:v>
                </c:pt>
                <c:pt idx="697">
                  <c:v>8.3400000000000034</c:v>
                </c:pt>
                <c:pt idx="698">
                  <c:v>8.3700000000000045</c:v>
                </c:pt>
                <c:pt idx="699">
                  <c:v>8.3999999999999915</c:v>
                </c:pt>
                <c:pt idx="700">
                  <c:v>8.4099999999999966</c:v>
                </c:pt>
                <c:pt idx="701">
                  <c:v>8.4299999999999926</c:v>
                </c:pt>
                <c:pt idx="702">
                  <c:v>8.4399999999999977</c:v>
                </c:pt>
                <c:pt idx="703">
                  <c:v>8.4500000000000028</c:v>
                </c:pt>
                <c:pt idx="704">
                  <c:v>8.4599999999999937</c:v>
                </c:pt>
                <c:pt idx="705">
                  <c:v>8.4699999999999989</c:v>
                </c:pt>
                <c:pt idx="706">
                  <c:v>8.480000000000004</c:v>
                </c:pt>
                <c:pt idx="707">
                  <c:v>8.5</c:v>
                </c:pt>
                <c:pt idx="708">
                  <c:v>8.5099999999999909</c:v>
                </c:pt>
                <c:pt idx="709">
                  <c:v>8.519999999999996</c:v>
                </c:pt>
                <c:pt idx="710">
                  <c:v>8.519999999999996</c:v>
                </c:pt>
                <c:pt idx="711">
                  <c:v>8.519999999999996</c:v>
                </c:pt>
                <c:pt idx="712">
                  <c:v>8.519999999999996</c:v>
                </c:pt>
                <c:pt idx="713">
                  <c:v>8.5300000000000011</c:v>
                </c:pt>
                <c:pt idx="714">
                  <c:v>8.5300000000000011</c:v>
                </c:pt>
                <c:pt idx="715">
                  <c:v>8.5300000000000011</c:v>
                </c:pt>
                <c:pt idx="716">
                  <c:v>8.5300000000000011</c:v>
                </c:pt>
                <c:pt idx="717">
                  <c:v>8.539999999999992</c:v>
                </c:pt>
                <c:pt idx="718">
                  <c:v>8.539999999999992</c:v>
                </c:pt>
                <c:pt idx="719">
                  <c:v>8.539999999999992</c:v>
                </c:pt>
                <c:pt idx="720">
                  <c:v>8.539999999999992</c:v>
                </c:pt>
                <c:pt idx="721">
                  <c:v>8.5499999999999972</c:v>
                </c:pt>
                <c:pt idx="722">
                  <c:v>8.5600000000000023</c:v>
                </c:pt>
                <c:pt idx="723">
                  <c:v>8.5600000000000023</c:v>
                </c:pt>
                <c:pt idx="724">
                  <c:v>8.5699999999999932</c:v>
                </c:pt>
                <c:pt idx="725">
                  <c:v>8.5799999999999983</c:v>
                </c:pt>
                <c:pt idx="726">
                  <c:v>8.64</c:v>
                </c:pt>
                <c:pt idx="727">
                  <c:v>8.6700000000000017</c:v>
                </c:pt>
                <c:pt idx="728">
                  <c:v>8.6899999999999977</c:v>
                </c:pt>
                <c:pt idx="729">
                  <c:v>8.7099999999999937</c:v>
                </c:pt>
                <c:pt idx="730">
                  <c:v>8.7199999999999989</c:v>
                </c:pt>
                <c:pt idx="731">
                  <c:v>8.7399999999999949</c:v>
                </c:pt>
                <c:pt idx="732">
                  <c:v>8.7599999999999909</c:v>
                </c:pt>
                <c:pt idx="733">
                  <c:v>8.769999999999996</c:v>
                </c:pt>
                <c:pt idx="734">
                  <c:v>8.789999999999992</c:v>
                </c:pt>
                <c:pt idx="735">
                  <c:v>8.789999999999992</c:v>
                </c:pt>
                <c:pt idx="736">
                  <c:v>8.7999999999999972</c:v>
                </c:pt>
                <c:pt idx="737">
                  <c:v>8.8100000000000023</c:v>
                </c:pt>
                <c:pt idx="738">
                  <c:v>8.8100000000000023</c:v>
                </c:pt>
                <c:pt idx="739">
                  <c:v>8.8199999999999932</c:v>
                </c:pt>
                <c:pt idx="740">
                  <c:v>8.8199999999999932</c:v>
                </c:pt>
                <c:pt idx="741">
                  <c:v>8.8199999999999932</c:v>
                </c:pt>
                <c:pt idx="742">
                  <c:v>8.8199999999999932</c:v>
                </c:pt>
                <c:pt idx="743">
                  <c:v>8.8299999999999983</c:v>
                </c:pt>
                <c:pt idx="744">
                  <c:v>8.8299999999999983</c:v>
                </c:pt>
                <c:pt idx="745">
                  <c:v>8.8299999999999983</c:v>
                </c:pt>
                <c:pt idx="746">
                  <c:v>8.8299999999999983</c:v>
                </c:pt>
                <c:pt idx="747">
                  <c:v>8.8299999999999983</c:v>
                </c:pt>
                <c:pt idx="748">
                  <c:v>8.8400000000000034</c:v>
                </c:pt>
                <c:pt idx="749">
                  <c:v>8.8499999999999943</c:v>
                </c:pt>
                <c:pt idx="750">
                  <c:v>8.86</c:v>
                </c:pt>
                <c:pt idx="751">
                  <c:v>8.86</c:v>
                </c:pt>
                <c:pt idx="752">
                  <c:v>8.8700000000000045</c:v>
                </c:pt>
                <c:pt idx="753">
                  <c:v>8.8799999999999955</c:v>
                </c:pt>
                <c:pt idx="754">
                  <c:v>8.8999999999999915</c:v>
                </c:pt>
                <c:pt idx="755">
                  <c:v>8.9200000000000017</c:v>
                </c:pt>
                <c:pt idx="756">
                  <c:v>8.9599999999999937</c:v>
                </c:pt>
                <c:pt idx="757">
                  <c:v>8.9899999999999949</c:v>
                </c:pt>
                <c:pt idx="758">
                  <c:v>9.019999999999996</c:v>
                </c:pt>
                <c:pt idx="759">
                  <c:v>9.039999999999992</c:v>
                </c:pt>
                <c:pt idx="760">
                  <c:v>9.0600000000000023</c:v>
                </c:pt>
                <c:pt idx="761">
                  <c:v>9.0799999999999983</c:v>
                </c:pt>
                <c:pt idx="762">
                  <c:v>9.11</c:v>
                </c:pt>
                <c:pt idx="763">
                  <c:v>9.1299999999999955</c:v>
                </c:pt>
                <c:pt idx="764">
                  <c:v>9.1499999999999915</c:v>
                </c:pt>
                <c:pt idx="765">
                  <c:v>9.1599999999999966</c:v>
                </c:pt>
                <c:pt idx="766">
                  <c:v>9.1700000000000017</c:v>
                </c:pt>
                <c:pt idx="767">
                  <c:v>9.1799999999999926</c:v>
                </c:pt>
                <c:pt idx="768">
                  <c:v>9.1899999999999977</c:v>
                </c:pt>
                <c:pt idx="769">
                  <c:v>9.2000000000000028</c:v>
                </c:pt>
                <c:pt idx="770">
                  <c:v>9.2000000000000028</c:v>
                </c:pt>
                <c:pt idx="771">
                  <c:v>9.2000000000000028</c:v>
                </c:pt>
                <c:pt idx="772">
                  <c:v>9.2099999999999937</c:v>
                </c:pt>
                <c:pt idx="773">
                  <c:v>9.2099999999999937</c:v>
                </c:pt>
                <c:pt idx="774">
                  <c:v>9.2199999999999989</c:v>
                </c:pt>
                <c:pt idx="775">
                  <c:v>9.2199999999999989</c:v>
                </c:pt>
                <c:pt idx="776">
                  <c:v>9.2199999999999989</c:v>
                </c:pt>
                <c:pt idx="777">
                  <c:v>9.230000000000004</c:v>
                </c:pt>
                <c:pt idx="778">
                  <c:v>9.230000000000004</c:v>
                </c:pt>
                <c:pt idx="779">
                  <c:v>9.2399999999999949</c:v>
                </c:pt>
                <c:pt idx="780">
                  <c:v>9.25</c:v>
                </c:pt>
                <c:pt idx="781">
                  <c:v>9.2599999999999909</c:v>
                </c:pt>
                <c:pt idx="782">
                  <c:v>9.269999999999996</c:v>
                </c:pt>
                <c:pt idx="783">
                  <c:v>9.269999999999996</c:v>
                </c:pt>
                <c:pt idx="784">
                  <c:v>9.2800000000000011</c:v>
                </c:pt>
                <c:pt idx="785">
                  <c:v>9.2999999999999972</c:v>
                </c:pt>
                <c:pt idx="786">
                  <c:v>9.3400000000000034</c:v>
                </c:pt>
                <c:pt idx="787">
                  <c:v>9.3799999999999955</c:v>
                </c:pt>
                <c:pt idx="788">
                  <c:v>9.3999999999999915</c:v>
                </c:pt>
                <c:pt idx="789">
                  <c:v>9.4200000000000017</c:v>
                </c:pt>
                <c:pt idx="790">
                  <c:v>9.4299999999999926</c:v>
                </c:pt>
                <c:pt idx="791">
                  <c:v>9.4500000000000028</c:v>
                </c:pt>
                <c:pt idx="792">
                  <c:v>9.4599999999999937</c:v>
                </c:pt>
                <c:pt idx="793">
                  <c:v>9.4699999999999989</c:v>
                </c:pt>
                <c:pt idx="794">
                  <c:v>9.4899999999999949</c:v>
                </c:pt>
                <c:pt idx="795">
                  <c:v>9.5</c:v>
                </c:pt>
                <c:pt idx="796">
                  <c:v>9.5099999999999909</c:v>
                </c:pt>
                <c:pt idx="797">
                  <c:v>9.519999999999996</c:v>
                </c:pt>
                <c:pt idx="798">
                  <c:v>9.5300000000000011</c:v>
                </c:pt>
                <c:pt idx="799">
                  <c:v>9.539999999999992</c:v>
                </c:pt>
                <c:pt idx="800">
                  <c:v>9.539999999999992</c:v>
                </c:pt>
                <c:pt idx="801">
                  <c:v>9.539999999999992</c:v>
                </c:pt>
                <c:pt idx="802">
                  <c:v>9.539999999999992</c:v>
                </c:pt>
                <c:pt idx="803">
                  <c:v>9.539999999999992</c:v>
                </c:pt>
                <c:pt idx="804">
                  <c:v>9.539999999999992</c:v>
                </c:pt>
                <c:pt idx="805">
                  <c:v>9.539999999999992</c:v>
                </c:pt>
                <c:pt idx="806">
                  <c:v>9.539999999999992</c:v>
                </c:pt>
                <c:pt idx="807">
                  <c:v>9.539999999999992</c:v>
                </c:pt>
                <c:pt idx="808">
                  <c:v>9.5499999999999972</c:v>
                </c:pt>
                <c:pt idx="809">
                  <c:v>9.5499999999999972</c:v>
                </c:pt>
                <c:pt idx="810">
                  <c:v>9.5600000000000023</c:v>
                </c:pt>
                <c:pt idx="811">
                  <c:v>9.5600000000000023</c:v>
                </c:pt>
                <c:pt idx="812">
                  <c:v>9.5699999999999932</c:v>
                </c:pt>
                <c:pt idx="813">
                  <c:v>9.5799999999999983</c:v>
                </c:pt>
                <c:pt idx="814">
                  <c:v>9.5999999999999943</c:v>
                </c:pt>
                <c:pt idx="815">
                  <c:v>9.6299999999999955</c:v>
                </c:pt>
                <c:pt idx="816">
                  <c:v>9.6599999999999966</c:v>
                </c:pt>
                <c:pt idx="817">
                  <c:v>9.6899999999999977</c:v>
                </c:pt>
                <c:pt idx="818">
                  <c:v>9.7199999999999989</c:v>
                </c:pt>
                <c:pt idx="819">
                  <c:v>9.75</c:v>
                </c:pt>
                <c:pt idx="820">
                  <c:v>9.7599999999999909</c:v>
                </c:pt>
                <c:pt idx="821">
                  <c:v>9.769999999999996</c:v>
                </c:pt>
                <c:pt idx="822">
                  <c:v>9.7800000000000011</c:v>
                </c:pt>
                <c:pt idx="823">
                  <c:v>9.789999999999992</c:v>
                </c:pt>
                <c:pt idx="824">
                  <c:v>9.7999999999999972</c:v>
                </c:pt>
                <c:pt idx="825">
                  <c:v>9.8100000000000023</c:v>
                </c:pt>
                <c:pt idx="826">
                  <c:v>9.8199999999999932</c:v>
                </c:pt>
                <c:pt idx="827">
                  <c:v>9.8299999999999983</c:v>
                </c:pt>
                <c:pt idx="828">
                  <c:v>9.8400000000000034</c:v>
                </c:pt>
                <c:pt idx="829">
                  <c:v>9.86</c:v>
                </c:pt>
                <c:pt idx="830">
                  <c:v>9.86</c:v>
                </c:pt>
                <c:pt idx="831">
                  <c:v>9.86</c:v>
                </c:pt>
                <c:pt idx="832">
                  <c:v>9.86</c:v>
                </c:pt>
                <c:pt idx="833">
                  <c:v>9.86</c:v>
                </c:pt>
                <c:pt idx="834">
                  <c:v>9.86</c:v>
                </c:pt>
                <c:pt idx="835">
                  <c:v>9.8700000000000045</c:v>
                </c:pt>
                <c:pt idx="836">
                  <c:v>9.8700000000000045</c:v>
                </c:pt>
                <c:pt idx="837">
                  <c:v>9.8700000000000045</c:v>
                </c:pt>
                <c:pt idx="838">
                  <c:v>9.8799999999999955</c:v>
                </c:pt>
                <c:pt idx="839">
                  <c:v>9.8799999999999955</c:v>
                </c:pt>
                <c:pt idx="840">
                  <c:v>9.89</c:v>
                </c:pt>
                <c:pt idx="841">
                  <c:v>9.8999999999999915</c:v>
                </c:pt>
                <c:pt idx="842">
                  <c:v>9.8999999999999915</c:v>
                </c:pt>
                <c:pt idx="843">
                  <c:v>9.9099999999999966</c:v>
                </c:pt>
                <c:pt idx="844">
                  <c:v>9.9200000000000017</c:v>
                </c:pt>
                <c:pt idx="845">
                  <c:v>9.9500000000000028</c:v>
                </c:pt>
                <c:pt idx="846">
                  <c:v>10</c:v>
                </c:pt>
                <c:pt idx="847">
                  <c:v>10.019999999999996</c:v>
                </c:pt>
                <c:pt idx="848">
                  <c:v>10.039999999999992</c:v>
                </c:pt>
                <c:pt idx="849">
                  <c:v>10.049999999999997</c:v>
                </c:pt>
                <c:pt idx="850">
                  <c:v>10.060000000000002</c:v>
                </c:pt>
                <c:pt idx="851">
                  <c:v>10.079999999999998</c:v>
                </c:pt>
                <c:pt idx="852">
                  <c:v>10.099999999999994</c:v>
                </c:pt>
                <c:pt idx="853">
                  <c:v>10.120000000000005</c:v>
                </c:pt>
                <c:pt idx="854">
                  <c:v>10.129999999999995</c:v>
                </c:pt>
                <c:pt idx="855">
                  <c:v>10.14</c:v>
                </c:pt>
                <c:pt idx="856">
                  <c:v>10.149999999999991</c:v>
                </c:pt>
                <c:pt idx="857">
                  <c:v>10.149999999999991</c:v>
                </c:pt>
                <c:pt idx="858">
                  <c:v>10.159999999999997</c:v>
                </c:pt>
                <c:pt idx="859">
                  <c:v>10.170000000000002</c:v>
                </c:pt>
                <c:pt idx="860">
                  <c:v>10.170000000000002</c:v>
                </c:pt>
                <c:pt idx="861">
                  <c:v>10.170000000000002</c:v>
                </c:pt>
                <c:pt idx="862">
                  <c:v>10.170000000000002</c:v>
                </c:pt>
                <c:pt idx="863">
                  <c:v>10.179999999999993</c:v>
                </c:pt>
                <c:pt idx="864">
                  <c:v>10.179999999999993</c:v>
                </c:pt>
                <c:pt idx="865">
                  <c:v>10.179999999999993</c:v>
                </c:pt>
                <c:pt idx="866">
                  <c:v>10.179999999999993</c:v>
                </c:pt>
                <c:pt idx="867">
                  <c:v>10.179999999999993</c:v>
                </c:pt>
                <c:pt idx="868">
                  <c:v>10.189999999999998</c:v>
                </c:pt>
                <c:pt idx="869">
                  <c:v>10.200000000000003</c:v>
                </c:pt>
                <c:pt idx="870">
                  <c:v>10.209999999999994</c:v>
                </c:pt>
                <c:pt idx="871">
                  <c:v>10.219999999999999</c:v>
                </c:pt>
                <c:pt idx="872">
                  <c:v>10.230000000000004</c:v>
                </c:pt>
                <c:pt idx="873">
                  <c:v>10.239999999999995</c:v>
                </c:pt>
                <c:pt idx="874">
                  <c:v>10.25</c:v>
                </c:pt>
                <c:pt idx="875">
                  <c:v>10.269999999999996</c:v>
                </c:pt>
                <c:pt idx="876">
                  <c:v>10.299999999999997</c:v>
                </c:pt>
                <c:pt idx="877">
                  <c:v>10.340000000000003</c:v>
                </c:pt>
                <c:pt idx="878">
                  <c:v>10.370000000000005</c:v>
                </c:pt>
                <c:pt idx="879">
                  <c:v>10.379999999999995</c:v>
                </c:pt>
                <c:pt idx="880">
                  <c:v>10.399999999999991</c:v>
                </c:pt>
                <c:pt idx="881">
                  <c:v>10.409999999999997</c:v>
                </c:pt>
                <c:pt idx="882">
                  <c:v>10.420000000000002</c:v>
                </c:pt>
                <c:pt idx="883">
                  <c:v>10.439999999999998</c:v>
                </c:pt>
                <c:pt idx="884">
                  <c:v>10.439999999999998</c:v>
                </c:pt>
                <c:pt idx="885">
                  <c:v>10.450000000000003</c:v>
                </c:pt>
                <c:pt idx="886">
                  <c:v>10.469999999999999</c:v>
                </c:pt>
                <c:pt idx="887">
                  <c:v>10.469999999999999</c:v>
                </c:pt>
                <c:pt idx="888">
                  <c:v>10.480000000000004</c:v>
                </c:pt>
                <c:pt idx="889">
                  <c:v>10.489999999999995</c:v>
                </c:pt>
                <c:pt idx="890">
                  <c:v>10.489999999999995</c:v>
                </c:pt>
                <c:pt idx="891">
                  <c:v>10.489999999999995</c:v>
                </c:pt>
                <c:pt idx="892">
                  <c:v>10.489999999999995</c:v>
                </c:pt>
                <c:pt idx="893">
                  <c:v>10.5</c:v>
                </c:pt>
                <c:pt idx="894">
                  <c:v>10.5</c:v>
                </c:pt>
                <c:pt idx="895">
                  <c:v>10.5</c:v>
                </c:pt>
                <c:pt idx="896">
                  <c:v>10.5</c:v>
                </c:pt>
                <c:pt idx="897">
                  <c:v>10.5</c:v>
                </c:pt>
                <c:pt idx="898">
                  <c:v>10.509999999999991</c:v>
                </c:pt>
                <c:pt idx="899">
                  <c:v>10.509999999999991</c:v>
                </c:pt>
                <c:pt idx="900">
                  <c:v>10.519999999999996</c:v>
                </c:pt>
                <c:pt idx="901">
                  <c:v>10.519999999999996</c:v>
                </c:pt>
                <c:pt idx="902">
                  <c:v>10.530000000000001</c:v>
                </c:pt>
                <c:pt idx="903">
                  <c:v>10.539999999999992</c:v>
                </c:pt>
                <c:pt idx="904">
                  <c:v>10.549999999999997</c:v>
                </c:pt>
                <c:pt idx="905">
                  <c:v>10.590000000000003</c:v>
                </c:pt>
                <c:pt idx="906">
                  <c:v>10.620000000000005</c:v>
                </c:pt>
                <c:pt idx="907">
                  <c:v>10.649999999999991</c:v>
                </c:pt>
                <c:pt idx="908">
                  <c:v>10.679999999999993</c:v>
                </c:pt>
                <c:pt idx="909">
                  <c:v>10.709999999999994</c:v>
                </c:pt>
                <c:pt idx="910">
                  <c:v>10.739999999999995</c:v>
                </c:pt>
                <c:pt idx="911">
                  <c:v>10.75</c:v>
                </c:pt>
                <c:pt idx="912">
                  <c:v>10.769999999999996</c:v>
                </c:pt>
                <c:pt idx="913">
                  <c:v>10.780000000000001</c:v>
                </c:pt>
                <c:pt idx="914">
                  <c:v>10.829999999999998</c:v>
                </c:pt>
                <c:pt idx="915">
                  <c:v>11.780000000000001</c:v>
                </c:pt>
                <c:pt idx="916">
                  <c:v>11.780000000000001</c:v>
                </c:pt>
                <c:pt idx="917">
                  <c:v>11.789999999999992</c:v>
                </c:pt>
                <c:pt idx="918">
                  <c:v>11.799999999999997</c:v>
                </c:pt>
                <c:pt idx="919">
                  <c:v>11.810000000000002</c:v>
                </c:pt>
                <c:pt idx="920">
                  <c:v>11.810000000000002</c:v>
                </c:pt>
                <c:pt idx="921">
                  <c:v>11.810000000000002</c:v>
                </c:pt>
                <c:pt idx="922">
                  <c:v>11.810000000000002</c:v>
                </c:pt>
                <c:pt idx="923">
                  <c:v>11.819999999999993</c:v>
                </c:pt>
                <c:pt idx="924">
                  <c:v>11.829999999999998</c:v>
                </c:pt>
                <c:pt idx="925">
                  <c:v>11.829999999999998</c:v>
                </c:pt>
                <c:pt idx="926">
                  <c:v>11.840000000000003</c:v>
                </c:pt>
                <c:pt idx="927">
                  <c:v>11.840000000000003</c:v>
                </c:pt>
                <c:pt idx="928">
                  <c:v>11.840000000000003</c:v>
                </c:pt>
                <c:pt idx="929">
                  <c:v>11.849999999999994</c:v>
                </c:pt>
                <c:pt idx="930">
                  <c:v>11.86</c:v>
                </c:pt>
                <c:pt idx="931">
                  <c:v>11.870000000000005</c:v>
                </c:pt>
                <c:pt idx="932">
                  <c:v>11.870000000000005</c:v>
                </c:pt>
                <c:pt idx="933">
                  <c:v>11.879999999999995</c:v>
                </c:pt>
                <c:pt idx="934">
                  <c:v>11.899999999999991</c:v>
                </c:pt>
                <c:pt idx="935">
                  <c:v>11.929999999999993</c:v>
                </c:pt>
                <c:pt idx="936">
                  <c:v>11.969999999999999</c:v>
                </c:pt>
                <c:pt idx="937">
                  <c:v>12</c:v>
                </c:pt>
                <c:pt idx="938">
                  <c:v>12.009999999999991</c:v>
                </c:pt>
                <c:pt idx="939">
                  <c:v>12.030000000000001</c:v>
                </c:pt>
                <c:pt idx="940">
                  <c:v>12.039999999999992</c:v>
                </c:pt>
                <c:pt idx="941">
                  <c:v>12.060000000000002</c:v>
                </c:pt>
                <c:pt idx="942">
                  <c:v>12.079999999999998</c:v>
                </c:pt>
                <c:pt idx="943">
                  <c:v>12.090000000000003</c:v>
                </c:pt>
                <c:pt idx="944">
                  <c:v>12.11</c:v>
                </c:pt>
                <c:pt idx="945">
                  <c:v>12.120000000000005</c:v>
                </c:pt>
                <c:pt idx="946">
                  <c:v>12.129999999999995</c:v>
                </c:pt>
                <c:pt idx="947">
                  <c:v>12.129999999999995</c:v>
                </c:pt>
                <c:pt idx="948">
                  <c:v>12.149999999999991</c:v>
                </c:pt>
                <c:pt idx="949">
                  <c:v>12.149999999999991</c:v>
                </c:pt>
                <c:pt idx="950">
                  <c:v>12.149999999999991</c:v>
                </c:pt>
                <c:pt idx="951">
                  <c:v>12.149999999999991</c:v>
                </c:pt>
                <c:pt idx="952">
                  <c:v>12.149999999999991</c:v>
                </c:pt>
                <c:pt idx="953">
                  <c:v>12.159999999999997</c:v>
                </c:pt>
                <c:pt idx="954">
                  <c:v>12.159999999999997</c:v>
                </c:pt>
                <c:pt idx="955">
                  <c:v>12.159999999999997</c:v>
                </c:pt>
                <c:pt idx="956">
                  <c:v>12.159999999999997</c:v>
                </c:pt>
                <c:pt idx="957">
                  <c:v>12.170000000000002</c:v>
                </c:pt>
                <c:pt idx="958">
                  <c:v>12.179999999999993</c:v>
                </c:pt>
                <c:pt idx="959">
                  <c:v>12.179999999999993</c:v>
                </c:pt>
                <c:pt idx="960">
                  <c:v>12.189999999999998</c:v>
                </c:pt>
                <c:pt idx="961">
                  <c:v>12.200000000000003</c:v>
                </c:pt>
                <c:pt idx="962">
                  <c:v>12.219999999999999</c:v>
                </c:pt>
                <c:pt idx="963">
                  <c:v>12.219999999999999</c:v>
                </c:pt>
                <c:pt idx="964">
                  <c:v>12.239999999999995</c:v>
                </c:pt>
                <c:pt idx="965">
                  <c:v>12.259999999999991</c:v>
                </c:pt>
                <c:pt idx="966">
                  <c:v>12.289999999999992</c:v>
                </c:pt>
                <c:pt idx="967">
                  <c:v>12.329999999999998</c:v>
                </c:pt>
                <c:pt idx="968">
                  <c:v>12.36</c:v>
                </c:pt>
                <c:pt idx="969">
                  <c:v>12.370000000000005</c:v>
                </c:pt>
                <c:pt idx="970">
                  <c:v>12.39</c:v>
                </c:pt>
                <c:pt idx="971">
                  <c:v>12.399999999999991</c:v>
                </c:pt>
                <c:pt idx="972">
                  <c:v>12.409999999999997</c:v>
                </c:pt>
                <c:pt idx="973">
                  <c:v>12.429999999999993</c:v>
                </c:pt>
                <c:pt idx="974">
                  <c:v>12.439999999999998</c:v>
                </c:pt>
                <c:pt idx="975">
                  <c:v>12.450000000000003</c:v>
                </c:pt>
                <c:pt idx="976">
                  <c:v>12.469999999999999</c:v>
                </c:pt>
                <c:pt idx="977">
                  <c:v>12.469999999999999</c:v>
                </c:pt>
                <c:pt idx="978">
                  <c:v>12.480000000000004</c:v>
                </c:pt>
                <c:pt idx="979">
                  <c:v>12.489999999999995</c:v>
                </c:pt>
                <c:pt idx="980">
                  <c:v>12.489999999999995</c:v>
                </c:pt>
                <c:pt idx="981">
                  <c:v>12.489999999999995</c:v>
                </c:pt>
                <c:pt idx="982">
                  <c:v>12.489999999999995</c:v>
                </c:pt>
                <c:pt idx="983">
                  <c:v>12.489999999999995</c:v>
                </c:pt>
                <c:pt idx="984">
                  <c:v>12.489999999999995</c:v>
                </c:pt>
                <c:pt idx="985">
                  <c:v>12.5</c:v>
                </c:pt>
                <c:pt idx="986">
                  <c:v>12.5</c:v>
                </c:pt>
                <c:pt idx="987">
                  <c:v>12.5</c:v>
                </c:pt>
                <c:pt idx="988">
                  <c:v>12.5</c:v>
                </c:pt>
                <c:pt idx="989">
                  <c:v>12.509999999999991</c:v>
                </c:pt>
                <c:pt idx="990">
                  <c:v>12.509999999999991</c:v>
                </c:pt>
                <c:pt idx="991">
                  <c:v>12.519999999999996</c:v>
                </c:pt>
                <c:pt idx="992">
                  <c:v>12.519999999999996</c:v>
                </c:pt>
                <c:pt idx="993">
                  <c:v>12.530000000000001</c:v>
                </c:pt>
                <c:pt idx="994">
                  <c:v>12.549999999999997</c:v>
                </c:pt>
                <c:pt idx="995">
                  <c:v>12.599999999999994</c:v>
                </c:pt>
                <c:pt idx="996">
                  <c:v>12.620000000000005</c:v>
                </c:pt>
                <c:pt idx="997">
                  <c:v>12.649999999999991</c:v>
                </c:pt>
                <c:pt idx="998">
                  <c:v>12.679999999999993</c:v>
                </c:pt>
                <c:pt idx="999">
                  <c:v>12.700000000000003</c:v>
                </c:pt>
                <c:pt idx="1000">
                  <c:v>12.719999999999999</c:v>
                </c:pt>
                <c:pt idx="1001">
                  <c:v>12.730000000000004</c:v>
                </c:pt>
                <c:pt idx="1002">
                  <c:v>12.739999999999995</c:v>
                </c:pt>
                <c:pt idx="1003">
                  <c:v>12.75</c:v>
                </c:pt>
                <c:pt idx="1004">
                  <c:v>12.759999999999991</c:v>
                </c:pt>
                <c:pt idx="1005">
                  <c:v>12.759999999999991</c:v>
                </c:pt>
                <c:pt idx="1006">
                  <c:v>12.769999999999996</c:v>
                </c:pt>
                <c:pt idx="1007">
                  <c:v>12.789999999999992</c:v>
                </c:pt>
                <c:pt idx="1008">
                  <c:v>12.799999999999997</c:v>
                </c:pt>
                <c:pt idx="1009">
                  <c:v>12.799999999999997</c:v>
                </c:pt>
                <c:pt idx="1010">
                  <c:v>12.810000000000002</c:v>
                </c:pt>
                <c:pt idx="1011">
                  <c:v>12.810000000000002</c:v>
                </c:pt>
                <c:pt idx="1012">
                  <c:v>12.810000000000002</c:v>
                </c:pt>
                <c:pt idx="1013">
                  <c:v>12.810000000000002</c:v>
                </c:pt>
                <c:pt idx="1014">
                  <c:v>12.819999999999993</c:v>
                </c:pt>
                <c:pt idx="1015">
                  <c:v>12.819999999999993</c:v>
                </c:pt>
                <c:pt idx="1016">
                  <c:v>12.829999999999998</c:v>
                </c:pt>
                <c:pt idx="1017">
                  <c:v>12.829999999999998</c:v>
                </c:pt>
                <c:pt idx="1018">
                  <c:v>12.829999999999998</c:v>
                </c:pt>
                <c:pt idx="1019">
                  <c:v>12.840000000000003</c:v>
                </c:pt>
                <c:pt idx="1020">
                  <c:v>12.849999999999994</c:v>
                </c:pt>
                <c:pt idx="1021">
                  <c:v>12.849999999999994</c:v>
                </c:pt>
                <c:pt idx="1022">
                  <c:v>12.86</c:v>
                </c:pt>
                <c:pt idx="1023">
                  <c:v>12.86</c:v>
                </c:pt>
                <c:pt idx="1024">
                  <c:v>12.879999999999995</c:v>
                </c:pt>
                <c:pt idx="1025">
                  <c:v>12.909999999999997</c:v>
                </c:pt>
                <c:pt idx="1026">
                  <c:v>12.950000000000003</c:v>
                </c:pt>
                <c:pt idx="1027">
                  <c:v>12.969999999999999</c:v>
                </c:pt>
                <c:pt idx="1028">
                  <c:v>12.980000000000004</c:v>
                </c:pt>
                <c:pt idx="1029">
                  <c:v>13</c:v>
                </c:pt>
                <c:pt idx="1030">
                  <c:v>13.009999999999991</c:v>
                </c:pt>
                <c:pt idx="1031">
                  <c:v>13.019999999999996</c:v>
                </c:pt>
                <c:pt idx="1032">
                  <c:v>13.039999999999992</c:v>
                </c:pt>
                <c:pt idx="1033">
                  <c:v>13.060000000000002</c:v>
                </c:pt>
                <c:pt idx="1034">
                  <c:v>13.079999999999998</c:v>
                </c:pt>
                <c:pt idx="1035">
                  <c:v>13.090000000000003</c:v>
                </c:pt>
                <c:pt idx="1036">
                  <c:v>13.090000000000003</c:v>
                </c:pt>
                <c:pt idx="1037">
                  <c:v>13.099999999999994</c:v>
                </c:pt>
                <c:pt idx="1038">
                  <c:v>13.11</c:v>
                </c:pt>
                <c:pt idx="1039">
                  <c:v>13.11</c:v>
                </c:pt>
                <c:pt idx="1040">
                  <c:v>13.11</c:v>
                </c:pt>
                <c:pt idx="1041">
                  <c:v>13.11</c:v>
                </c:pt>
                <c:pt idx="1042">
                  <c:v>13.11</c:v>
                </c:pt>
                <c:pt idx="1043">
                  <c:v>13.120000000000005</c:v>
                </c:pt>
                <c:pt idx="1044">
                  <c:v>13.120000000000005</c:v>
                </c:pt>
                <c:pt idx="1045">
                  <c:v>13.120000000000005</c:v>
                </c:pt>
                <c:pt idx="1046">
                  <c:v>13.120000000000005</c:v>
                </c:pt>
                <c:pt idx="1047">
                  <c:v>13.120000000000005</c:v>
                </c:pt>
                <c:pt idx="1048">
                  <c:v>13.129999999999995</c:v>
                </c:pt>
                <c:pt idx="1049">
                  <c:v>13.129999999999995</c:v>
                </c:pt>
                <c:pt idx="1050">
                  <c:v>13.14</c:v>
                </c:pt>
                <c:pt idx="1051">
                  <c:v>13.149999999999991</c:v>
                </c:pt>
                <c:pt idx="1052">
                  <c:v>13.159999999999997</c:v>
                </c:pt>
                <c:pt idx="1053">
                  <c:v>13.170000000000002</c:v>
                </c:pt>
                <c:pt idx="1054">
                  <c:v>13.200000000000003</c:v>
                </c:pt>
                <c:pt idx="1055">
                  <c:v>13.230000000000004</c:v>
                </c:pt>
                <c:pt idx="1056">
                  <c:v>13.259999999999991</c:v>
                </c:pt>
                <c:pt idx="1057">
                  <c:v>13.289999999999992</c:v>
                </c:pt>
                <c:pt idx="1058">
                  <c:v>13.329999999999998</c:v>
                </c:pt>
                <c:pt idx="1059">
                  <c:v>13.349999999999994</c:v>
                </c:pt>
                <c:pt idx="1060">
                  <c:v>13.36</c:v>
                </c:pt>
                <c:pt idx="1061">
                  <c:v>13.379999999999995</c:v>
                </c:pt>
                <c:pt idx="1062">
                  <c:v>13.399999999999991</c:v>
                </c:pt>
                <c:pt idx="1063">
                  <c:v>13.420000000000002</c:v>
                </c:pt>
                <c:pt idx="1064">
                  <c:v>13.439999999999998</c:v>
                </c:pt>
                <c:pt idx="1065">
                  <c:v>13.450000000000003</c:v>
                </c:pt>
                <c:pt idx="1066">
                  <c:v>13.459999999999994</c:v>
                </c:pt>
                <c:pt idx="1067">
                  <c:v>13.469999999999999</c:v>
                </c:pt>
                <c:pt idx="1068">
                  <c:v>13.480000000000004</c:v>
                </c:pt>
                <c:pt idx="1069">
                  <c:v>13.480000000000004</c:v>
                </c:pt>
                <c:pt idx="1070">
                  <c:v>13.480000000000004</c:v>
                </c:pt>
                <c:pt idx="1071">
                  <c:v>13.480000000000004</c:v>
                </c:pt>
                <c:pt idx="1072">
                  <c:v>13.480000000000004</c:v>
                </c:pt>
                <c:pt idx="1073">
                  <c:v>13.480000000000004</c:v>
                </c:pt>
                <c:pt idx="1074">
                  <c:v>13.489999999999995</c:v>
                </c:pt>
                <c:pt idx="1075">
                  <c:v>13.489999999999995</c:v>
                </c:pt>
                <c:pt idx="1076">
                  <c:v>13.489999999999995</c:v>
                </c:pt>
                <c:pt idx="1077">
                  <c:v>13.5</c:v>
                </c:pt>
                <c:pt idx="1078">
                  <c:v>13.5</c:v>
                </c:pt>
                <c:pt idx="1079">
                  <c:v>13.5</c:v>
                </c:pt>
                <c:pt idx="1080">
                  <c:v>13.509999999999991</c:v>
                </c:pt>
                <c:pt idx="1081">
                  <c:v>13.519999999999996</c:v>
                </c:pt>
                <c:pt idx="1082">
                  <c:v>13.530000000000001</c:v>
                </c:pt>
                <c:pt idx="1083">
                  <c:v>13.539999999999992</c:v>
                </c:pt>
                <c:pt idx="1084">
                  <c:v>13.569999999999993</c:v>
                </c:pt>
                <c:pt idx="1085">
                  <c:v>13.599999999999994</c:v>
                </c:pt>
                <c:pt idx="1086">
                  <c:v>13.629999999999995</c:v>
                </c:pt>
                <c:pt idx="1087">
                  <c:v>13.659999999999997</c:v>
                </c:pt>
                <c:pt idx="1088">
                  <c:v>13.689999999999998</c:v>
                </c:pt>
                <c:pt idx="1089">
                  <c:v>13.709999999999994</c:v>
                </c:pt>
                <c:pt idx="1090">
                  <c:v>13.719999999999999</c:v>
                </c:pt>
                <c:pt idx="1091">
                  <c:v>13.730000000000004</c:v>
                </c:pt>
                <c:pt idx="1092">
                  <c:v>13.739999999999995</c:v>
                </c:pt>
                <c:pt idx="1093">
                  <c:v>13.75</c:v>
                </c:pt>
                <c:pt idx="1094">
                  <c:v>13.759999999999991</c:v>
                </c:pt>
                <c:pt idx="1095">
                  <c:v>13.780000000000001</c:v>
                </c:pt>
                <c:pt idx="1096">
                  <c:v>13.789999999999992</c:v>
                </c:pt>
                <c:pt idx="1097">
                  <c:v>13.810000000000002</c:v>
                </c:pt>
                <c:pt idx="1098">
                  <c:v>13.819999999999993</c:v>
                </c:pt>
                <c:pt idx="1099">
                  <c:v>13.819999999999993</c:v>
                </c:pt>
                <c:pt idx="1100">
                  <c:v>13.819999999999993</c:v>
                </c:pt>
                <c:pt idx="1101">
                  <c:v>13.819999999999993</c:v>
                </c:pt>
                <c:pt idx="1102">
                  <c:v>13.819999999999993</c:v>
                </c:pt>
                <c:pt idx="1103">
                  <c:v>13.829999999999998</c:v>
                </c:pt>
                <c:pt idx="1104">
                  <c:v>13.829999999999998</c:v>
                </c:pt>
                <c:pt idx="1105">
                  <c:v>13.829999999999998</c:v>
                </c:pt>
                <c:pt idx="1106">
                  <c:v>13.829999999999998</c:v>
                </c:pt>
                <c:pt idx="1107">
                  <c:v>13.840000000000003</c:v>
                </c:pt>
                <c:pt idx="1108">
                  <c:v>13.840000000000003</c:v>
                </c:pt>
                <c:pt idx="1109">
                  <c:v>13.840000000000003</c:v>
                </c:pt>
                <c:pt idx="1110">
                  <c:v>13.849999999999994</c:v>
                </c:pt>
                <c:pt idx="1111">
                  <c:v>13.86</c:v>
                </c:pt>
                <c:pt idx="1112">
                  <c:v>13.86</c:v>
                </c:pt>
                <c:pt idx="1113">
                  <c:v>13.870000000000005</c:v>
                </c:pt>
                <c:pt idx="1114">
                  <c:v>13.89</c:v>
                </c:pt>
                <c:pt idx="1115">
                  <c:v>13.939999999999998</c:v>
                </c:pt>
                <c:pt idx="1116">
                  <c:v>13.959999999999994</c:v>
                </c:pt>
                <c:pt idx="1117">
                  <c:v>13.980000000000004</c:v>
                </c:pt>
                <c:pt idx="1118">
                  <c:v>14</c:v>
                </c:pt>
                <c:pt idx="1119">
                  <c:v>14.019999999999996</c:v>
                </c:pt>
                <c:pt idx="1120">
                  <c:v>14.039999999999992</c:v>
                </c:pt>
                <c:pt idx="1121">
                  <c:v>14.049999999999997</c:v>
                </c:pt>
                <c:pt idx="1122">
                  <c:v>14.069999999999993</c:v>
                </c:pt>
                <c:pt idx="1123">
                  <c:v>14.079999999999998</c:v>
                </c:pt>
                <c:pt idx="1124">
                  <c:v>14.090000000000003</c:v>
                </c:pt>
                <c:pt idx="1125">
                  <c:v>14.099999999999994</c:v>
                </c:pt>
                <c:pt idx="1126">
                  <c:v>14.11</c:v>
                </c:pt>
                <c:pt idx="1127">
                  <c:v>14.11</c:v>
                </c:pt>
                <c:pt idx="1128">
                  <c:v>14.120000000000005</c:v>
                </c:pt>
                <c:pt idx="1129">
                  <c:v>14.129999999999995</c:v>
                </c:pt>
                <c:pt idx="1130">
                  <c:v>14.129999999999995</c:v>
                </c:pt>
                <c:pt idx="1131">
                  <c:v>14.129999999999995</c:v>
                </c:pt>
                <c:pt idx="1132">
                  <c:v>14.129999999999995</c:v>
                </c:pt>
                <c:pt idx="1133">
                  <c:v>14.129999999999995</c:v>
                </c:pt>
                <c:pt idx="1134">
                  <c:v>14.129999999999995</c:v>
                </c:pt>
                <c:pt idx="1135">
                  <c:v>14.14</c:v>
                </c:pt>
                <c:pt idx="1136">
                  <c:v>14.14</c:v>
                </c:pt>
                <c:pt idx="1137">
                  <c:v>14.149999999999991</c:v>
                </c:pt>
                <c:pt idx="1138">
                  <c:v>14.149999999999991</c:v>
                </c:pt>
                <c:pt idx="1139">
                  <c:v>14.159999999999997</c:v>
                </c:pt>
                <c:pt idx="1140">
                  <c:v>14.170000000000002</c:v>
                </c:pt>
                <c:pt idx="1141">
                  <c:v>14.179999999999993</c:v>
                </c:pt>
                <c:pt idx="1142">
                  <c:v>14.189999999999998</c:v>
                </c:pt>
                <c:pt idx="1143">
                  <c:v>14.200000000000003</c:v>
                </c:pt>
                <c:pt idx="1144">
                  <c:v>14.219999999999999</c:v>
                </c:pt>
                <c:pt idx="1145">
                  <c:v>14.25</c:v>
                </c:pt>
                <c:pt idx="1146">
                  <c:v>14.289999999999992</c:v>
                </c:pt>
                <c:pt idx="1147">
                  <c:v>14.310000000000002</c:v>
                </c:pt>
                <c:pt idx="1148">
                  <c:v>14.329999999999998</c:v>
                </c:pt>
                <c:pt idx="1149">
                  <c:v>14.340000000000003</c:v>
                </c:pt>
                <c:pt idx="1150">
                  <c:v>14.36</c:v>
                </c:pt>
                <c:pt idx="1151">
                  <c:v>14.36</c:v>
                </c:pt>
                <c:pt idx="1152">
                  <c:v>14.379999999999995</c:v>
                </c:pt>
                <c:pt idx="1153">
                  <c:v>14.39</c:v>
                </c:pt>
                <c:pt idx="1154">
                  <c:v>14.399999999999991</c:v>
                </c:pt>
                <c:pt idx="1155">
                  <c:v>14.420000000000002</c:v>
                </c:pt>
                <c:pt idx="1156">
                  <c:v>14.429999999999993</c:v>
                </c:pt>
                <c:pt idx="1157">
                  <c:v>14.439999999999998</c:v>
                </c:pt>
                <c:pt idx="1158">
                  <c:v>14.450000000000003</c:v>
                </c:pt>
                <c:pt idx="1159">
                  <c:v>14.450000000000003</c:v>
                </c:pt>
                <c:pt idx="1160">
                  <c:v>14.450000000000003</c:v>
                </c:pt>
                <c:pt idx="1161">
                  <c:v>14.450000000000003</c:v>
                </c:pt>
                <c:pt idx="1162">
                  <c:v>14.450000000000003</c:v>
                </c:pt>
                <c:pt idx="1163">
                  <c:v>14.450000000000003</c:v>
                </c:pt>
                <c:pt idx="1164">
                  <c:v>14.450000000000003</c:v>
                </c:pt>
                <c:pt idx="1165">
                  <c:v>14.459999999999994</c:v>
                </c:pt>
                <c:pt idx="1166">
                  <c:v>14.459999999999994</c:v>
                </c:pt>
                <c:pt idx="1167">
                  <c:v>14.459999999999994</c:v>
                </c:pt>
                <c:pt idx="1168">
                  <c:v>14.469999999999999</c:v>
                </c:pt>
                <c:pt idx="1169">
                  <c:v>14.469999999999999</c:v>
                </c:pt>
                <c:pt idx="1170">
                  <c:v>14.480000000000004</c:v>
                </c:pt>
                <c:pt idx="1171">
                  <c:v>14.480000000000004</c:v>
                </c:pt>
                <c:pt idx="1172">
                  <c:v>14.489999999999995</c:v>
                </c:pt>
                <c:pt idx="1173">
                  <c:v>14.5</c:v>
                </c:pt>
                <c:pt idx="1174">
                  <c:v>14.519999999999996</c:v>
                </c:pt>
                <c:pt idx="1175">
                  <c:v>14.569999999999993</c:v>
                </c:pt>
                <c:pt idx="1176">
                  <c:v>14.590000000000003</c:v>
                </c:pt>
                <c:pt idx="1177">
                  <c:v>14.61</c:v>
                </c:pt>
                <c:pt idx="1178">
                  <c:v>14.629999999999995</c:v>
                </c:pt>
                <c:pt idx="1179">
                  <c:v>14.659999999999997</c:v>
                </c:pt>
                <c:pt idx="1180">
                  <c:v>14.679999999999993</c:v>
                </c:pt>
                <c:pt idx="1181">
                  <c:v>14.689999999999998</c:v>
                </c:pt>
                <c:pt idx="1182">
                  <c:v>14.689999999999998</c:v>
                </c:pt>
                <c:pt idx="1183">
                  <c:v>14.700000000000003</c:v>
                </c:pt>
                <c:pt idx="1184">
                  <c:v>14.709999999999994</c:v>
                </c:pt>
                <c:pt idx="1185">
                  <c:v>14.719999999999999</c:v>
                </c:pt>
                <c:pt idx="1186">
                  <c:v>14.719999999999999</c:v>
                </c:pt>
                <c:pt idx="1187">
                  <c:v>14.730000000000004</c:v>
                </c:pt>
                <c:pt idx="1188">
                  <c:v>14.739999999999995</c:v>
                </c:pt>
                <c:pt idx="1189">
                  <c:v>14.75</c:v>
                </c:pt>
                <c:pt idx="1190">
                  <c:v>14.75</c:v>
                </c:pt>
                <c:pt idx="1191">
                  <c:v>14.75</c:v>
                </c:pt>
                <c:pt idx="1192">
                  <c:v>14.75</c:v>
                </c:pt>
                <c:pt idx="1193">
                  <c:v>14.75</c:v>
                </c:pt>
                <c:pt idx="1194">
                  <c:v>14.75</c:v>
                </c:pt>
                <c:pt idx="1195">
                  <c:v>14.759999999999991</c:v>
                </c:pt>
                <c:pt idx="1196">
                  <c:v>14.759999999999991</c:v>
                </c:pt>
                <c:pt idx="1197">
                  <c:v>14.769999999999996</c:v>
                </c:pt>
                <c:pt idx="1198">
                  <c:v>14.769999999999996</c:v>
                </c:pt>
                <c:pt idx="1199">
                  <c:v>14.780000000000001</c:v>
                </c:pt>
                <c:pt idx="1200">
                  <c:v>14.789999999999992</c:v>
                </c:pt>
                <c:pt idx="1201">
                  <c:v>14.789999999999992</c:v>
                </c:pt>
                <c:pt idx="1202">
                  <c:v>14.799999999999997</c:v>
                </c:pt>
                <c:pt idx="1203">
                  <c:v>14.810000000000002</c:v>
                </c:pt>
                <c:pt idx="1204">
                  <c:v>14.840000000000003</c:v>
                </c:pt>
                <c:pt idx="1205">
                  <c:v>14.870000000000005</c:v>
                </c:pt>
                <c:pt idx="1206">
                  <c:v>14.909999999999997</c:v>
                </c:pt>
                <c:pt idx="1207">
                  <c:v>14.939999999999998</c:v>
                </c:pt>
                <c:pt idx="1208">
                  <c:v>14.959999999999994</c:v>
                </c:pt>
                <c:pt idx="1209">
                  <c:v>14.969999999999999</c:v>
                </c:pt>
                <c:pt idx="1210">
                  <c:v>15</c:v>
                </c:pt>
                <c:pt idx="1211">
                  <c:v>15.019999999999996</c:v>
                </c:pt>
                <c:pt idx="1212">
                  <c:v>15.039999999999992</c:v>
                </c:pt>
                <c:pt idx="1213">
                  <c:v>15.049999999999997</c:v>
                </c:pt>
                <c:pt idx="1214">
                  <c:v>15.069999999999993</c:v>
                </c:pt>
                <c:pt idx="1215">
                  <c:v>15.079999999999998</c:v>
                </c:pt>
                <c:pt idx="1216">
                  <c:v>15.090000000000003</c:v>
                </c:pt>
                <c:pt idx="1217">
                  <c:v>15.090000000000003</c:v>
                </c:pt>
                <c:pt idx="1218">
                  <c:v>15.099999999999994</c:v>
                </c:pt>
                <c:pt idx="1219">
                  <c:v>15.099999999999994</c:v>
                </c:pt>
                <c:pt idx="1220">
                  <c:v>15.099999999999994</c:v>
                </c:pt>
                <c:pt idx="1221">
                  <c:v>15.099999999999994</c:v>
                </c:pt>
                <c:pt idx="1222">
                  <c:v>15.11</c:v>
                </c:pt>
                <c:pt idx="1223">
                  <c:v>15.11</c:v>
                </c:pt>
                <c:pt idx="1224">
                  <c:v>15.11</c:v>
                </c:pt>
                <c:pt idx="1225">
                  <c:v>15.11</c:v>
                </c:pt>
                <c:pt idx="1226">
                  <c:v>15.120000000000005</c:v>
                </c:pt>
                <c:pt idx="1227">
                  <c:v>15.120000000000005</c:v>
                </c:pt>
                <c:pt idx="1228">
                  <c:v>15.129999999999995</c:v>
                </c:pt>
                <c:pt idx="1229">
                  <c:v>15.14</c:v>
                </c:pt>
                <c:pt idx="1230">
                  <c:v>15.149999999999991</c:v>
                </c:pt>
                <c:pt idx="1231">
                  <c:v>15.159999999999997</c:v>
                </c:pt>
                <c:pt idx="1232">
                  <c:v>15.170000000000002</c:v>
                </c:pt>
                <c:pt idx="1233">
                  <c:v>15.179999999999993</c:v>
                </c:pt>
                <c:pt idx="1234">
                  <c:v>15.200000000000003</c:v>
                </c:pt>
                <c:pt idx="1235">
                  <c:v>15.230000000000004</c:v>
                </c:pt>
                <c:pt idx="1236">
                  <c:v>15.269999999999996</c:v>
                </c:pt>
                <c:pt idx="1237">
                  <c:v>15.299999999999997</c:v>
                </c:pt>
                <c:pt idx="1238">
                  <c:v>15.310000000000002</c:v>
                </c:pt>
                <c:pt idx="1239">
                  <c:v>15.329999999999998</c:v>
                </c:pt>
                <c:pt idx="1240">
                  <c:v>15.329999999999998</c:v>
                </c:pt>
                <c:pt idx="1241">
                  <c:v>15.349999999999994</c:v>
                </c:pt>
                <c:pt idx="1242">
                  <c:v>15.36</c:v>
                </c:pt>
                <c:pt idx="1243">
                  <c:v>15.370000000000005</c:v>
                </c:pt>
                <c:pt idx="1244">
                  <c:v>15.379999999999995</c:v>
                </c:pt>
                <c:pt idx="1245">
                  <c:v>15.399999999999991</c:v>
                </c:pt>
                <c:pt idx="1246">
                  <c:v>15.409999999999997</c:v>
                </c:pt>
                <c:pt idx="1247">
                  <c:v>15.420000000000002</c:v>
                </c:pt>
                <c:pt idx="1248">
                  <c:v>15.429999999999993</c:v>
                </c:pt>
                <c:pt idx="1249">
                  <c:v>15.429999999999993</c:v>
                </c:pt>
                <c:pt idx="1250">
                  <c:v>15.429999999999993</c:v>
                </c:pt>
                <c:pt idx="1251">
                  <c:v>15.429999999999993</c:v>
                </c:pt>
                <c:pt idx="1252">
                  <c:v>15.429999999999993</c:v>
                </c:pt>
                <c:pt idx="1253">
                  <c:v>15.429999999999993</c:v>
                </c:pt>
                <c:pt idx="1254">
                  <c:v>15.429999999999993</c:v>
                </c:pt>
                <c:pt idx="1255">
                  <c:v>15.429999999999993</c:v>
                </c:pt>
                <c:pt idx="1256">
                  <c:v>15.429999999999993</c:v>
                </c:pt>
                <c:pt idx="1257">
                  <c:v>15.439999999999998</c:v>
                </c:pt>
                <c:pt idx="1258">
                  <c:v>15.439999999999998</c:v>
                </c:pt>
                <c:pt idx="1259">
                  <c:v>15.450000000000003</c:v>
                </c:pt>
                <c:pt idx="1260">
                  <c:v>15.450000000000003</c:v>
                </c:pt>
                <c:pt idx="1261">
                  <c:v>15.459999999999994</c:v>
                </c:pt>
                <c:pt idx="1262">
                  <c:v>15.469999999999999</c:v>
                </c:pt>
                <c:pt idx="1263">
                  <c:v>15.480000000000004</c:v>
                </c:pt>
                <c:pt idx="1264">
                  <c:v>15.509999999999991</c:v>
                </c:pt>
                <c:pt idx="1265">
                  <c:v>15.549999999999997</c:v>
                </c:pt>
                <c:pt idx="1266">
                  <c:v>15.579999999999998</c:v>
                </c:pt>
                <c:pt idx="1267">
                  <c:v>15.590000000000003</c:v>
                </c:pt>
                <c:pt idx="1268">
                  <c:v>15.61</c:v>
                </c:pt>
                <c:pt idx="1269">
                  <c:v>15.629999999999995</c:v>
                </c:pt>
                <c:pt idx="1270">
                  <c:v>15.649999999999991</c:v>
                </c:pt>
                <c:pt idx="1271">
                  <c:v>15.659999999999997</c:v>
                </c:pt>
                <c:pt idx="1272">
                  <c:v>15.670000000000002</c:v>
                </c:pt>
                <c:pt idx="1273">
                  <c:v>15.679999999999993</c:v>
                </c:pt>
                <c:pt idx="1274">
                  <c:v>15.679999999999993</c:v>
                </c:pt>
                <c:pt idx="1275">
                  <c:v>15.689999999999998</c:v>
                </c:pt>
                <c:pt idx="1276">
                  <c:v>15.700000000000003</c:v>
                </c:pt>
                <c:pt idx="1277">
                  <c:v>15.709999999999994</c:v>
                </c:pt>
                <c:pt idx="1278">
                  <c:v>15.719999999999999</c:v>
                </c:pt>
                <c:pt idx="1279">
                  <c:v>15.719999999999999</c:v>
                </c:pt>
                <c:pt idx="1280">
                  <c:v>15.719999999999999</c:v>
                </c:pt>
                <c:pt idx="1281">
                  <c:v>15.719999999999999</c:v>
                </c:pt>
                <c:pt idx="1282">
                  <c:v>15.719999999999999</c:v>
                </c:pt>
                <c:pt idx="1283">
                  <c:v>15.719999999999999</c:v>
                </c:pt>
                <c:pt idx="1284">
                  <c:v>15.730000000000004</c:v>
                </c:pt>
                <c:pt idx="1285">
                  <c:v>15.730000000000004</c:v>
                </c:pt>
                <c:pt idx="1286">
                  <c:v>15.739999999999995</c:v>
                </c:pt>
                <c:pt idx="1287">
                  <c:v>15.739999999999995</c:v>
                </c:pt>
                <c:pt idx="1288">
                  <c:v>15.75</c:v>
                </c:pt>
                <c:pt idx="1289">
                  <c:v>15.75</c:v>
                </c:pt>
                <c:pt idx="1290">
                  <c:v>15.759999999999991</c:v>
                </c:pt>
                <c:pt idx="1291">
                  <c:v>15.769999999999996</c:v>
                </c:pt>
                <c:pt idx="1292">
                  <c:v>15.780000000000001</c:v>
                </c:pt>
                <c:pt idx="1293">
                  <c:v>15.789999999999992</c:v>
                </c:pt>
                <c:pt idx="1294">
                  <c:v>15.819999999999993</c:v>
                </c:pt>
                <c:pt idx="1295">
                  <c:v>15.86</c:v>
                </c:pt>
                <c:pt idx="1296">
                  <c:v>15.89</c:v>
                </c:pt>
                <c:pt idx="1297">
                  <c:v>15.899999999999991</c:v>
                </c:pt>
                <c:pt idx="1298">
                  <c:v>15.920000000000002</c:v>
                </c:pt>
                <c:pt idx="1299">
                  <c:v>15.929999999999993</c:v>
                </c:pt>
                <c:pt idx="1300">
                  <c:v>15.939999999999998</c:v>
                </c:pt>
                <c:pt idx="1301">
                  <c:v>15.950000000000003</c:v>
                </c:pt>
                <c:pt idx="1302">
                  <c:v>15.959999999999994</c:v>
                </c:pt>
                <c:pt idx="1303">
                  <c:v>15.969999999999999</c:v>
                </c:pt>
                <c:pt idx="1304">
                  <c:v>15.980000000000004</c:v>
                </c:pt>
                <c:pt idx="1305">
                  <c:v>16</c:v>
                </c:pt>
                <c:pt idx="1306">
                  <c:v>16.009999999999991</c:v>
                </c:pt>
                <c:pt idx="1307">
                  <c:v>16.019999999999996</c:v>
                </c:pt>
                <c:pt idx="1308">
                  <c:v>16.03</c:v>
                </c:pt>
                <c:pt idx="1309">
                  <c:v>16.03</c:v>
                </c:pt>
                <c:pt idx="1310">
                  <c:v>16.03</c:v>
                </c:pt>
                <c:pt idx="1311">
                  <c:v>16.03</c:v>
                </c:pt>
                <c:pt idx="1312">
                  <c:v>16.03</c:v>
                </c:pt>
                <c:pt idx="1313">
                  <c:v>16.03</c:v>
                </c:pt>
                <c:pt idx="1314">
                  <c:v>16.03</c:v>
                </c:pt>
                <c:pt idx="1315">
                  <c:v>16.039999999999992</c:v>
                </c:pt>
                <c:pt idx="1316">
                  <c:v>16.039999999999992</c:v>
                </c:pt>
                <c:pt idx="1317">
                  <c:v>16.039999999999992</c:v>
                </c:pt>
                <c:pt idx="1318">
                  <c:v>16.039999999999992</c:v>
                </c:pt>
                <c:pt idx="1319">
                  <c:v>16.049999999999997</c:v>
                </c:pt>
                <c:pt idx="1320">
                  <c:v>16.049999999999997</c:v>
                </c:pt>
                <c:pt idx="1321">
                  <c:v>16.060000000000002</c:v>
                </c:pt>
                <c:pt idx="1322">
                  <c:v>16.060000000000002</c:v>
                </c:pt>
                <c:pt idx="1323">
                  <c:v>16.069999999999993</c:v>
                </c:pt>
                <c:pt idx="1324">
                  <c:v>16.11</c:v>
                </c:pt>
                <c:pt idx="1325">
                  <c:v>16.149999999999991</c:v>
                </c:pt>
                <c:pt idx="1326">
                  <c:v>16.170000000000002</c:v>
                </c:pt>
                <c:pt idx="1327">
                  <c:v>16.179999999999993</c:v>
                </c:pt>
                <c:pt idx="1328">
                  <c:v>16.200000000000003</c:v>
                </c:pt>
                <c:pt idx="1329">
                  <c:v>16.209999999999994</c:v>
                </c:pt>
                <c:pt idx="1330">
                  <c:v>16.230000000000004</c:v>
                </c:pt>
                <c:pt idx="1331">
                  <c:v>16.25</c:v>
                </c:pt>
                <c:pt idx="1332">
                  <c:v>16.259999999999991</c:v>
                </c:pt>
                <c:pt idx="1333">
                  <c:v>16.269999999999996</c:v>
                </c:pt>
                <c:pt idx="1334">
                  <c:v>16.28</c:v>
                </c:pt>
                <c:pt idx="1335">
                  <c:v>16.289999999999992</c:v>
                </c:pt>
                <c:pt idx="1336">
                  <c:v>16.289999999999992</c:v>
                </c:pt>
                <c:pt idx="1337">
                  <c:v>16.299999999999997</c:v>
                </c:pt>
                <c:pt idx="1338">
                  <c:v>16.310000000000002</c:v>
                </c:pt>
                <c:pt idx="1339">
                  <c:v>16.310000000000002</c:v>
                </c:pt>
                <c:pt idx="1340">
                  <c:v>16.310000000000002</c:v>
                </c:pt>
                <c:pt idx="1341">
                  <c:v>16.310000000000002</c:v>
                </c:pt>
                <c:pt idx="1342">
                  <c:v>16.310000000000002</c:v>
                </c:pt>
                <c:pt idx="1343">
                  <c:v>16.319999999999993</c:v>
                </c:pt>
                <c:pt idx="1344">
                  <c:v>16.319999999999993</c:v>
                </c:pt>
                <c:pt idx="1345">
                  <c:v>16.319999999999993</c:v>
                </c:pt>
                <c:pt idx="1346">
                  <c:v>16.319999999999993</c:v>
                </c:pt>
                <c:pt idx="1347">
                  <c:v>16.329999999999998</c:v>
                </c:pt>
                <c:pt idx="1348">
                  <c:v>16.329999999999998</c:v>
                </c:pt>
                <c:pt idx="1349">
                  <c:v>16.340000000000003</c:v>
                </c:pt>
                <c:pt idx="1350">
                  <c:v>16.340000000000003</c:v>
                </c:pt>
                <c:pt idx="1351">
                  <c:v>16.36</c:v>
                </c:pt>
                <c:pt idx="1352">
                  <c:v>16.36</c:v>
                </c:pt>
                <c:pt idx="1353">
                  <c:v>16.379999999999995</c:v>
                </c:pt>
                <c:pt idx="1354">
                  <c:v>16.399999999999991</c:v>
                </c:pt>
                <c:pt idx="1355">
                  <c:v>16.429999999999993</c:v>
                </c:pt>
                <c:pt idx="1356">
                  <c:v>16.47</c:v>
                </c:pt>
                <c:pt idx="1357">
                  <c:v>16.5</c:v>
                </c:pt>
                <c:pt idx="1358">
                  <c:v>16.519999999999996</c:v>
                </c:pt>
                <c:pt idx="1359">
                  <c:v>16.539999999999992</c:v>
                </c:pt>
                <c:pt idx="1360">
                  <c:v>16.549999999999997</c:v>
                </c:pt>
                <c:pt idx="1361">
                  <c:v>16.569999999999993</c:v>
                </c:pt>
                <c:pt idx="1362">
                  <c:v>16.590000000000003</c:v>
                </c:pt>
                <c:pt idx="1363">
                  <c:v>16.61</c:v>
                </c:pt>
                <c:pt idx="1364">
                  <c:v>16.620000000000005</c:v>
                </c:pt>
                <c:pt idx="1365">
                  <c:v>16.629999999999995</c:v>
                </c:pt>
                <c:pt idx="1366">
                  <c:v>16.64</c:v>
                </c:pt>
                <c:pt idx="1367">
                  <c:v>16.649999999999991</c:v>
                </c:pt>
                <c:pt idx="1368">
                  <c:v>16.649999999999991</c:v>
                </c:pt>
                <c:pt idx="1369">
                  <c:v>16.649999999999991</c:v>
                </c:pt>
                <c:pt idx="1370">
                  <c:v>16.649999999999991</c:v>
                </c:pt>
                <c:pt idx="1371">
                  <c:v>16.659999999999997</c:v>
                </c:pt>
                <c:pt idx="1372">
                  <c:v>16.659999999999997</c:v>
                </c:pt>
                <c:pt idx="1373">
                  <c:v>16.659999999999997</c:v>
                </c:pt>
                <c:pt idx="1374">
                  <c:v>16.659999999999997</c:v>
                </c:pt>
                <c:pt idx="1375">
                  <c:v>16.670000000000002</c:v>
                </c:pt>
                <c:pt idx="1376">
                  <c:v>16.670000000000002</c:v>
                </c:pt>
                <c:pt idx="1377">
                  <c:v>16.679999999999993</c:v>
                </c:pt>
                <c:pt idx="1378">
                  <c:v>16.679999999999993</c:v>
                </c:pt>
                <c:pt idx="1379">
                  <c:v>16.679999999999993</c:v>
                </c:pt>
                <c:pt idx="1380">
                  <c:v>16.689999999999998</c:v>
                </c:pt>
                <c:pt idx="1381">
                  <c:v>16.700000000000003</c:v>
                </c:pt>
                <c:pt idx="1382">
                  <c:v>16.709999999999994</c:v>
                </c:pt>
                <c:pt idx="1383">
                  <c:v>16.730000000000004</c:v>
                </c:pt>
                <c:pt idx="1384">
                  <c:v>16.759999999999991</c:v>
                </c:pt>
                <c:pt idx="1385">
                  <c:v>16.789999999999992</c:v>
                </c:pt>
                <c:pt idx="1386">
                  <c:v>16.810000000000002</c:v>
                </c:pt>
                <c:pt idx="1387">
                  <c:v>16.840000000000003</c:v>
                </c:pt>
                <c:pt idx="1388">
                  <c:v>16.86</c:v>
                </c:pt>
                <c:pt idx="1389">
                  <c:v>16.870000000000005</c:v>
                </c:pt>
                <c:pt idx="1390">
                  <c:v>16.879999999999995</c:v>
                </c:pt>
                <c:pt idx="1391">
                  <c:v>16.89</c:v>
                </c:pt>
                <c:pt idx="1392">
                  <c:v>16.899999999999991</c:v>
                </c:pt>
                <c:pt idx="1393">
                  <c:v>16.909999999999997</c:v>
                </c:pt>
                <c:pt idx="1394">
                  <c:v>16.920000000000002</c:v>
                </c:pt>
                <c:pt idx="1395">
                  <c:v>16.929999999999993</c:v>
                </c:pt>
                <c:pt idx="1396">
                  <c:v>16.939999999999998</c:v>
                </c:pt>
                <c:pt idx="1397">
                  <c:v>16.959999999999994</c:v>
                </c:pt>
                <c:pt idx="1398">
                  <c:v>16.97</c:v>
                </c:pt>
                <c:pt idx="1399">
                  <c:v>16.97</c:v>
                </c:pt>
                <c:pt idx="1400">
                  <c:v>16.97</c:v>
                </c:pt>
                <c:pt idx="1401">
                  <c:v>16.97</c:v>
                </c:pt>
                <c:pt idx="1402">
                  <c:v>16.980000000000004</c:v>
                </c:pt>
                <c:pt idx="1403">
                  <c:v>16.980000000000004</c:v>
                </c:pt>
                <c:pt idx="1404">
                  <c:v>16.980000000000004</c:v>
                </c:pt>
                <c:pt idx="1405">
                  <c:v>16.989999999999995</c:v>
                </c:pt>
                <c:pt idx="1406">
                  <c:v>16.989999999999995</c:v>
                </c:pt>
                <c:pt idx="1407">
                  <c:v>17</c:v>
                </c:pt>
                <c:pt idx="1408">
                  <c:v>17</c:v>
                </c:pt>
                <c:pt idx="1409">
                  <c:v>17</c:v>
                </c:pt>
                <c:pt idx="1410">
                  <c:v>17.009999999999991</c:v>
                </c:pt>
                <c:pt idx="1411">
                  <c:v>17.009999999999991</c:v>
                </c:pt>
                <c:pt idx="1412">
                  <c:v>17.019999999999996</c:v>
                </c:pt>
                <c:pt idx="1413">
                  <c:v>17.03</c:v>
                </c:pt>
                <c:pt idx="1414">
                  <c:v>17.069999999999993</c:v>
                </c:pt>
                <c:pt idx="1415">
                  <c:v>17.11</c:v>
                </c:pt>
                <c:pt idx="1416">
                  <c:v>17.129999999999995</c:v>
                </c:pt>
                <c:pt idx="1417">
                  <c:v>17.14</c:v>
                </c:pt>
                <c:pt idx="1418">
                  <c:v>17.159999999999997</c:v>
                </c:pt>
                <c:pt idx="1419">
                  <c:v>17.170000000000002</c:v>
                </c:pt>
                <c:pt idx="1420">
                  <c:v>17.179999999999993</c:v>
                </c:pt>
                <c:pt idx="1421">
                  <c:v>17.200000000000003</c:v>
                </c:pt>
                <c:pt idx="1422">
                  <c:v>17.22</c:v>
                </c:pt>
                <c:pt idx="1423">
                  <c:v>17.230000000000004</c:v>
                </c:pt>
                <c:pt idx="1424">
                  <c:v>17.239999999999995</c:v>
                </c:pt>
                <c:pt idx="1425">
                  <c:v>17.25</c:v>
                </c:pt>
                <c:pt idx="1426">
                  <c:v>17.25</c:v>
                </c:pt>
                <c:pt idx="1427">
                  <c:v>17.259999999999991</c:v>
                </c:pt>
                <c:pt idx="1428">
                  <c:v>17.269999999999996</c:v>
                </c:pt>
                <c:pt idx="1429">
                  <c:v>17.269999999999996</c:v>
                </c:pt>
                <c:pt idx="1430">
                  <c:v>17.269999999999996</c:v>
                </c:pt>
                <c:pt idx="1431">
                  <c:v>17.269999999999996</c:v>
                </c:pt>
                <c:pt idx="1432">
                  <c:v>17.269999999999996</c:v>
                </c:pt>
                <c:pt idx="1433">
                  <c:v>17.269999999999996</c:v>
                </c:pt>
                <c:pt idx="1434">
                  <c:v>17.269999999999996</c:v>
                </c:pt>
                <c:pt idx="1435">
                  <c:v>17.28</c:v>
                </c:pt>
                <c:pt idx="1436">
                  <c:v>17.28</c:v>
                </c:pt>
              </c:numCache>
            </c:numRef>
          </c:yVal>
          <c:smooth val="1"/>
          <c:extLst>
            <c:ext xmlns:c16="http://schemas.microsoft.com/office/drawing/2014/chart" uri="{C3380CC4-5D6E-409C-BE32-E72D297353CC}">
              <c16:uniqueId val="{00000000-3571-46FA-B5EE-D75FFF286EB7}"/>
            </c:ext>
          </c:extLst>
        </c:ser>
        <c:dLbls>
          <c:showLegendKey val="0"/>
          <c:showVal val="0"/>
          <c:showCatName val="0"/>
          <c:showSerName val="0"/>
          <c:showPercent val="0"/>
          <c:showBubbleSize val="0"/>
        </c:dLbls>
        <c:axId val="2029341696"/>
        <c:axId val="1683145424"/>
      </c:scatterChart>
      <c:valAx>
        <c:axId val="202934169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3145424"/>
        <c:crosses val="autoZero"/>
        <c:crossBetween val="midCat"/>
      </c:valAx>
      <c:valAx>
        <c:axId val="16831454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9341696"/>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strRef>
              <c:f>'Reactor analysis'!$AE$2</c:f>
              <c:strCache>
                <c:ptCount val="1"/>
                <c:pt idx="0">
                  <c:v>1F1.2 [L]</c:v>
                </c:pt>
              </c:strCache>
            </c:strRef>
          </c:tx>
          <c:spPr>
            <a:ln w="19050" cap="rnd">
              <a:solidFill>
                <a:schemeClr val="accent1"/>
              </a:solidFill>
              <a:round/>
            </a:ln>
            <a:effectLst/>
          </c:spPr>
          <c:marker>
            <c:symbol val="none"/>
          </c:marker>
          <c:xVal>
            <c:numRef>
              <c:f>'Reactor analysis'!$AI$3:$AI$1439</c:f>
              <c:numCache>
                <c:formatCode>General</c:formatCode>
                <c:ptCount val="1437"/>
                <c:pt idx="0">
                  <c:v>0</c:v>
                </c:pt>
                <c:pt idx="1">
                  <c:v>1.6666666666666666E-2</c:v>
                </c:pt>
                <c:pt idx="2">
                  <c:v>3.3333333333333333E-2</c:v>
                </c:pt>
                <c:pt idx="3">
                  <c:v>0.05</c:v>
                </c:pt>
                <c:pt idx="4">
                  <c:v>6.6666666666666666E-2</c:v>
                </c:pt>
                <c:pt idx="5">
                  <c:v>8.3333333333333329E-2</c:v>
                </c:pt>
                <c:pt idx="6">
                  <c:v>9.9999999999999992E-2</c:v>
                </c:pt>
                <c:pt idx="7">
                  <c:v>0.11666666666666665</c:v>
                </c:pt>
                <c:pt idx="8">
                  <c:v>0.13333333333333333</c:v>
                </c:pt>
                <c:pt idx="9">
                  <c:v>0.15</c:v>
                </c:pt>
                <c:pt idx="10">
                  <c:v>0.16666666666666666</c:v>
                </c:pt>
                <c:pt idx="11">
                  <c:v>0.18333333333333332</c:v>
                </c:pt>
                <c:pt idx="12">
                  <c:v>0.19999999999999998</c:v>
                </c:pt>
                <c:pt idx="13">
                  <c:v>0.21666666666666665</c:v>
                </c:pt>
                <c:pt idx="14">
                  <c:v>0.23333333333333331</c:v>
                </c:pt>
                <c:pt idx="15">
                  <c:v>0.24999999999999997</c:v>
                </c:pt>
                <c:pt idx="16">
                  <c:v>0.26666666666666666</c:v>
                </c:pt>
                <c:pt idx="17">
                  <c:v>0.28333333333333333</c:v>
                </c:pt>
                <c:pt idx="18">
                  <c:v>0.3</c:v>
                </c:pt>
                <c:pt idx="19">
                  <c:v>0.31666666666666665</c:v>
                </c:pt>
                <c:pt idx="20">
                  <c:v>0.33333333333333331</c:v>
                </c:pt>
                <c:pt idx="21">
                  <c:v>0.35</c:v>
                </c:pt>
                <c:pt idx="22">
                  <c:v>0.36666666666666664</c:v>
                </c:pt>
                <c:pt idx="23">
                  <c:v>0.3833333333333333</c:v>
                </c:pt>
                <c:pt idx="24">
                  <c:v>0.39999999999999997</c:v>
                </c:pt>
                <c:pt idx="25">
                  <c:v>0.41666666666666663</c:v>
                </c:pt>
                <c:pt idx="26">
                  <c:v>0.43333333333333329</c:v>
                </c:pt>
                <c:pt idx="27">
                  <c:v>0.44999999999999996</c:v>
                </c:pt>
                <c:pt idx="28">
                  <c:v>0.46666666666666662</c:v>
                </c:pt>
                <c:pt idx="29">
                  <c:v>0.48333333333333328</c:v>
                </c:pt>
                <c:pt idx="30">
                  <c:v>0.49999999999999994</c:v>
                </c:pt>
                <c:pt idx="31">
                  <c:v>0.51666666666666661</c:v>
                </c:pt>
                <c:pt idx="32">
                  <c:v>0.53333333333333333</c:v>
                </c:pt>
                <c:pt idx="33">
                  <c:v>0.55000000000000004</c:v>
                </c:pt>
                <c:pt idx="34">
                  <c:v>0.56666666666666676</c:v>
                </c:pt>
                <c:pt idx="35">
                  <c:v>0.58333333333333348</c:v>
                </c:pt>
                <c:pt idx="36">
                  <c:v>0.6000000000000002</c:v>
                </c:pt>
                <c:pt idx="37">
                  <c:v>0.61666666666666692</c:v>
                </c:pt>
                <c:pt idx="38">
                  <c:v>0.63333333333333364</c:v>
                </c:pt>
                <c:pt idx="39">
                  <c:v>0.65000000000000036</c:v>
                </c:pt>
                <c:pt idx="40">
                  <c:v>0.66666666666666707</c:v>
                </c:pt>
                <c:pt idx="41">
                  <c:v>0.68333333333333379</c:v>
                </c:pt>
                <c:pt idx="42">
                  <c:v>0.70000000000000051</c:v>
                </c:pt>
                <c:pt idx="43">
                  <c:v>0.71666666666666723</c:v>
                </c:pt>
                <c:pt idx="44">
                  <c:v>0.73333333333333395</c:v>
                </c:pt>
                <c:pt idx="45">
                  <c:v>0.75000000000000067</c:v>
                </c:pt>
                <c:pt idx="46">
                  <c:v>0.76666666666666738</c:v>
                </c:pt>
                <c:pt idx="47">
                  <c:v>0.7833333333333341</c:v>
                </c:pt>
                <c:pt idx="48">
                  <c:v>0.80000000000000082</c:v>
                </c:pt>
                <c:pt idx="49">
                  <c:v>0.81666666666666754</c:v>
                </c:pt>
                <c:pt idx="50">
                  <c:v>0.83333333333333426</c:v>
                </c:pt>
                <c:pt idx="51">
                  <c:v>0.85000000000000098</c:v>
                </c:pt>
                <c:pt idx="52">
                  <c:v>0.8666666666666677</c:v>
                </c:pt>
                <c:pt idx="53">
                  <c:v>0.88333333333333441</c:v>
                </c:pt>
                <c:pt idx="54">
                  <c:v>0.90000000000000113</c:v>
                </c:pt>
                <c:pt idx="55">
                  <c:v>0.91666666666666785</c:v>
                </c:pt>
                <c:pt idx="56">
                  <c:v>0.93333333333333457</c:v>
                </c:pt>
                <c:pt idx="57">
                  <c:v>0.95000000000000129</c:v>
                </c:pt>
                <c:pt idx="58">
                  <c:v>0.96666666666666801</c:v>
                </c:pt>
                <c:pt idx="59">
                  <c:v>0.98333333333333472</c:v>
                </c:pt>
                <c:pt idx="60">
                  <c:v>1.0000000000000013</c:v>
                </c:pt>
                <c:pt idx="61">
                  <c:v>1.0166666666666679</c:v>
                </c:pt>
                <c:pt idx="62">
                  <c:v>1.0333333333333345</c:v>
                </c:pt>
                <c:pt idx="63">
                  <c:v>1.0500000000000012</c:v>
                </c:pt>
                <c:pt idx="64">
                  <c:v>1.0666666666666678</c:v>
                </c:pt>
                <c:pt idx="65">
                  <c:v>1.0833333333333344</c:v>
                </c:pt>
                <c:pt idx="66">
                  <c:v>1.100000000000001</c:v>
                </c:pt>
                <c:pt idx="67">
                  <c:v>1.1166666666666676</c:v>
                </c:pt>
                <c:pt idx="68">
                  <c:v>1.1333333333333342</c:v>
                </c:pt>
                <c:pt idx="69">
                  <c:v>1.1500000000000008</c:v>
                </c:pt>
                <c:pt idx="70">
                  <c:v>1.1666666666666674</c:v>
                </c:pt>
                <c:pt idx="71">
                  <c:v>1.183333333333334</c:v>
                </c:pt>
                <c:pt idx="72">
                  <c:v>1.2000000000000006</c:v>
                </c:pt>
                <c:pt idx="73">
                  <c:v>1.2166666666666672</c:v>
                </c:pt>
                <c:pt idx="74">
                  <c:v>1.2333333333333338</c:v>
                </c:pt>
                <c:pt idx="75">
                  <c:v>1.2500000000000004</c:v>
                </c:pt>
                <c:pt idx="76">
                  <c:v>1.2666666666666671</c:v>
                </c:pt>
                <c:pt idx="77">
                  <c:v>1.2833333333333337</c:v>
                </c:pt>
                <c:pt idx="78">
                  <c:v>1.3000000000000003</c:v>
                </c:pt>
                <c:pt idx="79">
                  <c:v>1.3166666666666669</c:v>
                </c:pt>
                <c:pt idx="80">
                  <c:v>1.3333333333333335</c:v>
                </c:pt>
                <c:pt idx="81">
                  <c:v>1.35</c:v>
                </c:pt>
                <c:pt idx="82">
                  <c:v>1.3666666666666667</c:v>
                </c:pt>
                <c:pt idx="83">
                  <c:v>1.3833333333333333</c:v>
                </c:pt>
                <c:pt idx="84">
                  <c:v>1.4</c:v>
                </c:pt>
                <c:pt idx="85">
                  <c:v>1.4166666666666665</c:v>
                </c:pt>
                <c:pt idx="86">
                  <c:v>1.4333333333333331</c:v>
                </c:pt>
                <c:pt idx="87">
                  <c:v>1.4499999999999997</c:v>
                </c:pt>
                <c:pt idx="88">
                  <c:v>1.4666666666666663</c:v>
                </c:pt>
                <c:pt idx="89">
                  <c:v>1.4833333333333329</c:v>
                </c:pt>
                <c:pt idx="90">
                  <c:v>1.4999999999999996</c:v>
                </c:pt>
                <c:pt idx="91">
                  <c:v>1.5166666666666662</c:v>
                </c:pt>
                <c:pt idx="92">
                  <c:v>1.5333333333333328</c:v>
                </c:pt>
                <c:pt idx="93">
                  <c:v>1.5499999999999994</c:v>
                </c:pt>
                <c:pt idx="94">
                  <c:v>1.566666666666666</c:v>
                </c:pt>
                <c:pt idx="95">
                  <c:v>1.5833333333333326</c:v>
                </c:pt>
                <c:pt idx="96">
                  <c:v>1.5999999999999992</c:v>
                </c:pt>
                <c:pt idx="97">
                  <c:v>1.6166666666666658</c:v>
                </c:pt>
                <c:pt idx="98">
                  <c:v>1.6333333333333324</c:v>
                </c:pt>
                <c:pt idx="99">
                  <c:v>1.649999999999999</c:v>
                </c:pt>
                <c:pt idx="100">
                  <c:v>1.6666666666666656</c:v>
                </c:pt>
                <c:pt idx="101">
                  <c:v>1.6833333333333322</c:v>
                </c:pt>
                <c:pt idx="102">
                  <c:v>1.6999999999999988</c:v>
                </c:pt>
                <c:pt idx="103">
                  <c:v>1.7166666666666655</c:v>
                </c:pt>
                <c:pt idx="104">
                  <c:v>1.7333333333333321</c:v>
                </c:pt>
                <c:pt idx="105">
                  <c:v>1.7499999999999987</c:v>
                </c:pt>
                <c:pt idx="106">
                  <c:v>1.7666666666666653</c:v>
                </c:pt>
                <c:pt idx="107">
                  <c:v>1.7833333333333319</c:v>
                </c:pt>
                <c:pt idx="108">
                  <c:v>1.7999999999999985</c:v>
                </c:pt>
                <c:pt idx="109">
                  <c:v>1.8166666666666651</c:v>
                </c:pt>
                <c:pt idx="110">
                  <c:v>1.8333333333333317</c:v>
                </c:pt>
                <c:pt idx="111">
                  <c:v>1.8499999999999983</c:v>
                </c:pt>
                <c:pt idx="112">
                  <c:v>1.8666666666666649</c:v>
                </c:pt>
                <c:pt idx="113">
                  <c:v>1.8833333333333315</c:v>
                </c:pt>
                <c:pt idx="114">
                  <c:v>1.8999999999999981</c:v>
                </c:pt>
                <c:pt idx="115">
                  <c:v>1.9166666666666647</c:v>
                </c:pt>
                <c:pt idx="116">
                  <c:v>1.9333333333333313</c:v>
                </c:pt>
                <c:pt idx="117">
                  <c:v>1.949999999999998</c:v>
                </c:pt>
                <c:pt idx="118">
                  <c:v>1.9666666666666646</c:v>
                </c:pt>
                <c:pt idx="119">
                  <c:v>1.9833333333333312</c:v>
                </c:pt>
                <c:pt idx="120">
                  <c:v>1.9999999999999978</c:v>
                </c:pt>
                <c:pt idx="121">
                  <c:v>2.0166666666666644</c:v>
                </c:pt>
                <c:pt idx="122">
                  <c:v>2.033333333333331</c:v>
                </c:pt>
                <c:pt idx="123">
                  <c:v>2.0499999999999976</c:v>
                </c:pt>
                <c:pt idx="124">
                  <c:v>2.0666666666666642</c:v>
                </c:pt>
                <c:pt idx="125">
                  <c:v>2.0833333333333308</c:v>
                </c:pt>
                <c:pt idx="126">
                  <c:v>2.0999999999999974</c:v>
                </c:pt>
                <c:pt idx="127">
                  <c:v>2.116666666666664</c:v>
                </c:pt>
                <c:pt idx="128">
                  <c:v>2.1333333333333306</c:v>
                </c:pt>
                <c:pt idx="129">
                  <c:v>2.1499999999999972</c:v>
                </c:pt>
                <c:pt idx="130">
                  <c:v>2.1666666666666639</c:v>
                </c:pt>
                <c:pt idx="131">
                  <c:v>2.1833333333333305</c:v>
                </c:pt>
                <c:pt idx="132">
                  <c:v>2.1999999999999971</c:v>
                </c:pt>
                <c:pt idx="133">
                  <c:v>2.2166666666666637</c:v>
                </c:pt>
                <c:pt idx="134">
                  <c:v>2.2333333333333303</c:v>
                </c:pt>
                <c:pt idx="135">
                  <c:v>2.2499999999999969</c:v>
                </c:pt>
                <c:pt idx="136">
                  <c:v>2.2666666666666635</c:v>
                </c:pt>
                <c:pt idx="137">
                  <c:v>2.2833333333333301</c:v>
                </c:pt>
                <c:pt idx="138">
                  <c:v>2.2999999999999967</c:v>
                </c:pt>
                <c:pt idx="139">
                  <c:v>2.3166666666666633</c:v>
                </c:pt>
                <c:pt idx="140">
                  <c:v>2.3333333333333299</c:v>
                </c:pt>
                <c:pt idx="141">
                  <c:v>2.3499999999999965</c:v>
                </c:pt>
                <c:pt idx="142">
                  <c:v>2.3666666666666631</c:v>
                </c:pt>
                <c:pt idx="143">
                  <c:v>2.3833333333333298</c:v>
                </c:pt>
                <c:pt idx="144">
                  <c:v>2.3999999999999964</c:v>
                </c:pt>
                <c:pt idx="145">
                  <c:v>2.416666666666663</c:v>
                </c:pt>
                <c:pt idx="146">
                  <c:v>2.4333333333333296</c:v>
                </c:pt>
                <c:pt idx="147">
                  <c:v>2.4499999999999962</c:v>
                </c:pt>
                <c:pt idx="148">
                  <c:v>2.4666666666666628</c:v>
                </c:pt>
                <c:pt idx="149">
                  <c:v>2.4833333333333294</c:v>
                </c:pt>
                <c:pt idx="150">
                  <c:v>2.499999999999996</c:v>
                </c:pt>
                <c:pt idx="151">
                  <c:v>2.5166666666666626</c:v>
                </c:pt>
                <c:pt idx="152">
                  <c:v>2.5333333333333292</c:v>
                </c:pt>
                <c:pt idx="153">
                  <c:v>2.5499999999999958</c:v>
                </c:pt>
                <c:pt idx="154">
                  <c:v>2.5666666666666624</c:v>
                </c:pt>
                <c:pt idx="155">
                  <c:v>2.583333333333329</c:v>
                </c:pt>
                <c:pt idx="156">
                  <c:v>2.5999999999999956</c:v>
                </c:pt>
                <c:pt idx="157">
                  <c:v>2.6166666666666623</c:v>
                </c:pt>
                <c:pt idx="158">
                  <c:v>2.6333333333333289</c:v>
                </c:pt>
                <c:pt idx="159">
                  <c:v>2.6499999999999955</c:v>
                </c:pt>
                <c:pt idx="160">
                  <c:v>2.6666666666666621</c:v>
                </c:pt>
                <c:pt idx="161">
                  <c:v>2.6833333333333287</c:v>
                </c:pt>
                <c:pt idx="162">
                  <c:v>2.6999999999999953</c:v>
                </c:pt>
                <c:pt idx="163">
                  <c:v>2.7166666666666619</c:v>
                </c:pt>
                <c:pt idx="164">
                  <c:v>2.7333333333333285</c:v>
                </c:pt>
                <c:pt idx="165">
                  <c:v>2.7499999999999951</c:v>
                </c:pt>
                <c:pt idx="166">
                  <c:v>2.7666666666666617</c:v>
                </c:pt>
                <c:pt idx="167">
                  <c:v>2.7833333333333283</c:v>
                </c:pt>
                <c:pt idx="168">
                  <c:v>2.7999999999999949</c:v>
                </c:pt>
                <c:pt idx="169">
                  <c:v>2.8166666666666615</c:v>
                </c:pt>
                <c:pt idx="170">
                  <c:v>2.8333333333333282</c:v>
                </c:pt>
                <c:pt idx="171">
                  <c:v>2.8499999999999948</c:v>
                </c:pt>
                <c:pt idx="172">
                  <c:v>2.8666666666666614</c:v>
                </c:pt>
                <c:pt idx="173">
                  <c:v>2.883333333333328</c:v>
                </c:pt>
                <c:pt idx="174">
                  <c:v>2.8999999999999946</c:v>
                </c:pt>
                <c:pt idx="175">
                  <c:v>2.9166666666666612</c:v>
                </c:pt>
                <c:pt idx="176">
                  <c:v>2.9333333333333278</c:v>
                </c:pt>
                <c:pt idx="177">
                  <c:v>2.9499999999999944</c:v>
                </c:pt>
                <c:pt idx="178">
                  <c:v>2.966666666666661</c:v>
                </c:pt>
                <c:pt idx="179">
                  <c:v>2.9833333333333276</c:v>
                </c:pt>
                <c:pt idx="180">
                  <c:v>2.9999999999999942</c:v>
                </c:pt>
                <c:pt idx="181">
                  <c:v>3.0166666666666608</c:v>
                </c:pt>
                <c:pt idx="182">
                  <c:v>3.0333333333333274</c:v>
                </c:pt>
                <c:pt idx="183">
                  <c:v>3.049999999999994</c:v>
                </c:pt>
                <c:pt idx="184">
                  <c:v>3.0666666666666607</c:v>
                </c:pt>
                <c:pt idx="185">
                  <c:v>3.0833333333333273</c:v>
                </c:pt>
                <c:pt idx="186">
                  <c:v>3.0999999999999939</c:v>
                </c:pt>
                <c:pt idx="187">
                  <c:v>3.1166666666666605</c:v>
                </c:pt>
                <c:pt idx="188">
                  <c:v>3.1333333333333271</c:v>
                </c:pt>
                <c:pt idx="189">
                  <c:v>3.1499999999999937</c:v>
                </c:pt>
                <c:pt idx="190">
                  <c:v>3.1666666666666603</c:v>
                </c:pt>
                <c:pt idx="191">
                  <c:v>3.1833333333333269</c:v>
                </c:pt>
                <c:pt idx="192">
                  <c:v>3.1999999999999935</c:v>
                </c:pt>
                <c:pt idx="193">
                  <c:v>3.2166666666666601</c:v>
                </c:pt>
                <c:pt idx="194">
                  <c:v>3.2333333333333267</c:v>
                </c:pt>
                <c:pt idx="195">
                  <c:v>3.2499999999999933</c:v>
                </c:pt>
                <c:pt idx="196">
                  <c:v>3.2666666666666599</c:v>
                </c:pt>
                <c:pt idx="197">
                  <c:v>3.2833333333333266</c:v>
                </c:pt>
                <c:pt idx="198">
                  <c:v>3.2999999999999932</c:v>
                </c:pt>
                <c:pt idx="199">
                  <c:v>3.3166666666666598</c:v>
                </c:pt>
                <c:pt idx="200">
                  <c:v>3.3333333333333264</c:v>
                </c:pt>
                <c:pt idx="201">
                  <c:v>3.349999999999993</c:v>
                </c:pt>
                <c:pt idx="202">
                  <c:v>3.3666666666666596</c:v>
                </c:pt>
                <c:pt idx="203">
                  <c:v>3.3833333333333262</c:v>
                </c:pt>
                <c:pt idx="204">
                  <c:v>3.3999999999999928</c:v>
                </c:pt>
                <c:pt idx="205">
                  <c:v>3.4166666666666594</c:v>
                </c:pt>
                <c:pt idx="206">
                  <c:v>3.433333333333326</c:v>
                </c:pt>
                <c:pt idx="207">
                  <c:v>3.4499999999999926</c:v>
                </c:pt>
                <c:pt idx="208">
                  <c:v>3.4666666666666592</c:v>
                </c:pt>
                <c:pt idx="209">
                  <c:v>3.4833333333333258</c:v>
                </c:pt>
                <c:pt idx="210">
                  <c:v>3.4999999999999925</c:v>
                </c:pt>
                <c:pt idx="211">
                  <c:v>3.5166666666666591</c:v>
                </c:pt>
                <c:pt idx="212">
                  <c:v>3.5333333333333257</c:v>
                </c:pt>
                <c:pt idx="213">
                  <c:v>3.5499999999999923</c:v>
                </c:pt>
                <c:pt idx="214">
                  <c:v>3.5666666666666589</c:v>
                </c:pt>
                <c:pt idx="215">
                  <c:v>3.5833333333333255</c:v>
                </c:pt>
                <c:pt idx="216">
                  <c:v>3.5999999999999921</c:v>
                </c:pt>
                <c:pt idx="217">
                  <c:v>3.6166666666666587</c:v>
                </c:pt>
                <c:pt idx="218">
                  <c:v>3.6333333333333253</c:v>
                </c:pt>
                <c:pt idx="219">
                  <c:v>3.6499999999999919</c:v>
                </c:pt>
                <c:pt idx="220">
                  <c:v>3.6666666666666585</c:v>
                </c:pt>
                <c:pt idx="221">
                  <c:v>3.6833333333333251</c:v>
                </c:pt>
                <c:pt idx="222">
                  <c:v>3.6999999999999917</c:v>
                </c:pt>
                <c:pt idx="223">
                  <c:v>3.7166666666666583</c:v>
                </c:pt>
                <c:pt idx="224">
                  <c:v>3.733333333333325</c:v>
                </c:pt>
                <c:pt idx="225">
                  <c:v>3.7499999999999916</c:v>
                </c:pt>
                <c:pt idx="226">
                  <c:v>3.7666666666666582</c:v>
                </c:pt>
                <c:pt idx="227">
                  <c:v>3.7833333333333248</c:v>
                </c:pt>
                <c:pt idx="228">
                  <c:v>3.7999999999999914</c:v>
                </c:pt>
                <c:pt idx="229">
                  <c:v>3.816666666666658</c:v>
                </c:pt>
                <c:pt idx="230">
                  <c:v>3.8333333333333246</c:v>
                </c:pt>
                <c:pt idx="231">
                  <c:v>3.8499999999999912</c:v>
                </c:pt>
                <c:pt idx="232">
                  <c:v>3.8666666666666578</c:v>
                </c:pt>
                <c:pt idx="233">
                  <c:v>3.8833333333333244</c:v>
                </c:pt>
                <c:pt idx="234">
                  <c:v>3.899999999999991</c:v>
                </c:pt>
                <c:pt idx="235">
                  <c:v>3.9166666666666576</c:v>
                </c:pt>
                <c:pt idx="236">
                  <c:v>3.9333333333333242</c:v>
                </c:pt>
                <c:pt idx="237">
                  <c:v>3.9499999999999909</c:v>
                </c:pt>
                <c:pt idx="238">
                  <c:v>3.9666666666666575</c:v>
                </c:pt>
                <c:pt idx="239">
                  <c:v>3.9833333333333241</c:v>
                </c:pt>
                <c:pt idx="240">
                  <c:v>3.9999999999999907</c:v>
                </c:pt>
                <c:pt idx="241">
                  <c:v>4.0166666666666577</c:v>
                </c:pt>
                <c:pt idx="242">
                  <c:v>4.0333333333333243</c:v>
                </c:pt>
                <c:pt idx="243">
                  <c:v>4.0499999999999909</c:v>
                </c:pt>
                <c:pt idx="244">
                  <c:v>4.0666666666666575</c:v>
                </c:pt>
                <c:pt idx="245">
                  <c:v>4.0833333333333242</c:v>
                </c:pt>
                <c:pt idx="246">
                  <c:v>4.0999999999999908</c:v>
                </c:pt>
                <c:pt idx="247">
                  <c:v>4.1166666666666574</c:v>
                </c:pt>
                <c:pt idx="248">
                  <c:v>4.133333333333324</c:v>
                </c:pt>
                <c:pt idx="249">
                  <c:v>4.1499999999999906</c:v>
                </c:pt>
                <c:pt idx="250">
                  <c:v>4.1666666666666572</c:v>
                </c:pt>
                <c:pt idx="251">
                  <c:v>4.1833333333333238</c:v>
                </c:pt>
                <c:pt idx="252">
                  <c:v>4.1999999999999904</c:v>
                </c:pt>
                <c:pt idx="253">
                  <c:v>4.216666666666657</c:v>
                </c:pt>
                <c:pt idx="254">
                  <c:v>4.2333333333333236</c:v>
                </c:pt>
                <c:pt idx="255">
                  <c:v>4.2499999999999902</c:v>
                </c:pt>
                <c:pt idx="256">
                  <c:v>4.2666666666666568</c:v>
                </c:pt>
                <c:pt idx="257">
                  <c:v>4.2833333333333234</c:v>
                </c:pt>
                <c:pt idx="258">
                  <c:v>4.2999999999999901</c:v>
                </c:pt>
                <c:pt idx="259">
                  <c:v>4.3166666666666567</c:v>
                </c:pt>
                <c:pt idx="260">
                  <c:v>4.3333333333333233</c:v>
                </c:pt>
                <c:pt idx="261">
                  <c:v>4.3499999999999899</c:v>
                </c:pt>
                <c:pt idx="262">
                  <c:v>4.3666666666666565</c:v>
                </c:pt>
                <c:pt idx="263">
                  <c:v>4.3833333333333231</c:v>
                </c:pt>
                <c:pt idx="264">
                  <c:v>4.3999999999999897</c:v>
                </c:pt>
                <c:pt idx="265">
                  <c:v>4.4166666666666563</c:v>
                </c:pt>
                <c:pt idx="266">
                  <c:v>4.4333333333333229</c:v>
                </c:pt>
                <c:pt idx="267">
                  <c:v>4.4499999999999895</c:v>
                </c:pt>
                <c:pt idx="268">
                  <c:v>4.4666666666666561</c:v>
                </c:pt>
                <c:pt idx="269">
                  <c:v>4.4833333333333227</c:v>
                </c:pt>
                <c:pt idx="270">
                  <c:v>4.4999999999999893</c:v>
                </c:pt>
                <c:pt idx="271">
                  <c:v>4.5166666666666559</c:v>
                </c:pt>
                <c:pt idx="272">
                  <c:v>4.5333333333333226</c:v>
                </c:pt>
                <c:pt idx="273">
                  <c:v>4.5499999999999892</c:v>
                </c:pt>
                <c:pt idx="274">
                  <c:v>4.5666666666666558</c:v>
                </c:pt>
                <c:pt idx="275">
                  <c:v>4.5833333333333224</c:v>
                </c:pt>
                <c:pt idx="276">
                  <c:v>4.599999999999989</c:v>
                </c:pt>
                <c:pt idx="277">
                  <c:v>4.6166666666666556</c:v>
                </c:pt>
                <c:pt idx="278">
                  <c:v>4.6333333333333222</c:v>
                </c:pt>
                <c:pt idx="279">
                  <c:v>4.6499999999999888</c:v>
                </c:pt>
                <c:pt idx="280">
                  <c:v>4.6666666666666554</c:v>
                </c:pt>
                <c:pt idx="281">
                  <c:v>4.683333333333322</c:v>
                </c:pt>
                <c:pt idx="282">
                  <c:v>4.6999999999999886</c:v>
                </c:pt>
                <c:pt idx="283">
                  <c:v>4.7166666666666552</c:v>
                </c:pt>
                <c:pt idx="284">
                  <c:v>4.7333333333333218</c:v>
                </c:pt>
                <c:pt idx="285">
                  <c:v>4.7499999999999885</c:v>
                </c:pt>
                <c:pt idx="286">
                  <c:v>4.7666666666666551</c:v>
                </c:pt>
                <c:pt idx="287">
                  <c:v>4.7833333333333217</c:v>
                </c:pt>
                <c:pt idx="288">
                  <c:v>4.7999999999999883</c:v>
                </c:pt>
                <c:pt idx="289">
                  <c:v>4.8166666666666549</c:v>
                </c:pt>
                <c:pt idx="290">
                  <c:v>4.8333333333333215</c:v>
                </c:pt>
                <c:pt idx="291">
                  <c:v>4.8499999999999881</c:v>
                </c:pt>
                <c:pt idx="292">
                  <c:v>4.8666666666666547</c:v>
                </c:pt>
                <c:pt idx="293">
                  <c:v>4.8833333333333213</c:v>
                </c:pt>
                <c:pt idx="294">
                  <c:v>4.8999999999999879</c:v>
                </c:pt>
                <c:pt idx="295">
                  <c:v>4.9166666666666545</c:v>
                </c:pt>
                <c:pt idx="296">
                  <c:v>4.9333333333333211</c:v>
                </c:pt>
                <c:pt idx="297">
                  <c:v>4.9499999999999877</c:v>
                </c:pt>
                <c:pt idx="298">
                  <c:v>4.9666666666666544</c:v>
                </c:pt>
                <c:pt idx="299">
                  <c:v>4.983333333333321</c:v>
                </c:pt>
                <c:pt idx="300">
                  <c:v>4.9999999999999876</c:v>
                </c:pt>
                <c:pt idx="301">
                  <c:v>5.0166666666666542</c:v>
                </c:pt>
                <c:pt idx="302">
                  <c:v>5.0333333333333208</c:v>
                </c:pt>
                <c:pt idx="303">
                  <c:v>5.0499999999999874</c:v>
                </c:pt>
                <c:pt idx="304">
                  <c:v>5.066666666666654</c:v>
                </c:pt>
                <c:pt idx="305">
                  <c:v>5.0833333333333206</c:v>
                </c:pt>
                <c:pt idx="306">
                  <c:v>5.0999999999999872</c:v>
                </c:pt>
                <c:pt idx="307">
                  <c:v>5.1166666666666538</c:v>
                </c:pt>
                <c:pt idx="308">
                  <c:v>5.1333333333333204</c:v>
                </c:pt>
                <c:pt idx="309">
                  <c:v>5.149999999999987</c:v>
                </c:pt>
                <c:pt idx="310">
                  <c:v>5.1666666666666536</c:v>
                </c:pt>
                <c:pt idx="311">
                  <c:v>5.1833333333333202</c:v>
                </c:pt>
                <c:pt idx="312">
                  <c:v>5.1999999999999869</c:v>
                </c:pt>
                <c:pt idx="313">
                  <c:v>5.2166666666666535</c:v>
                </c:pt>
                <c:pt idx="314">
                  <c:v>5.2333333333333201</c:v>
                </c:pt>
                <c:pt idx="315">
                  <c:v>5.2499999999999867</c:v>
                </c:pt>
                <c:pt idx="316">
                  <c:v>5.2666666666666533</c:v>
                </c:pt>
                <c:pt idx="317">
                  <c:v>5.2833333333333199</c:v>
                </c:pt>
                <c:pt idx="318">
                  <c:v>5.2999999999999865</c:v>
                </c:pt>
                <c:pt idx="319">
                  <c:v>5.3166666666666531</c:v>
                </c:pt>
                <c:pt idx="320">
                  <c:v>5.3333333333333197</c:v>
                </c:pt>
                <c:pt idx="321">
                  <c:v>5.3499999999999863</c:v>
                </c:pt>
                <c:pt idx="322">
                  <c:v>5.3666666666666529</c:v>
                </c:pt>
                <c:pt idx="323">
                  <c:v>5.3833333333333195</c:v>
                </c:pt>
                <c:pt idx="324">
                  <c:v>5.3999999999999861</c:v>
                </c:pt>
                <c:pt idx="325">
                  <c:v>5.4166666666666528</c:v>
                </c:pt>
                <c:pt idx="326">
                  <c:v>5.4333333333333194</c:v>
                </c:pt>
                <c:pt idx="327">
                  <c:v>5.449999999999986</c:v>
                </c:pt>
                <c:pt idx="328">
                  <c:v>5.4666666666666526</c:v>
                </c:pt>
                <c:pt idx="329">
                  <c:v>5.4833333333333192</c:v>
                </c:pt>
                <c:pt idx="330">
                  <c:v>5.4999999999999858</c:v>
                </c:pt>
                <c:pt idx="331">
                  <c:v>5.5166666666666524</c:v>
                </c:pt>
                <c:pt idx="332">
                  <c:v>5.533333333333319</c:v>
                </c:pt>
                <c:pt idx="333">
                  <c:v>5.5499999999999856</c:v>
                </c:pt>
                <c:pt idx="334">
                  <c:v>5.5666666666666522</c:v>
                </c:pt>
                <c:pt idx="335">
                  <c:v>5.5833333333333188</c:v>
                </c:pt>
                <c:pt idx="336">
                  <c:v>5.5999999999999854</c:v>
                </c:pt>
                <c:pt idx="337">
                  <c:v>5.616666666666652</c:v>
                </c:pt>
                <c:pt idx="338">
                  <c:v>5.6333333333333186</c:v>
                </c:pt>
                <c:pt idx="339">
                  <c:v>5.6499999999999853</c:v>
                </c:pt>
                <c:pt idx="340">
                  <c:v>5.6666666666666519</c:v>
                </c:pt>
                <c:pt idx="341">
                  <c:v>5.6833333333333185</c:v>
                </c:pt>
                <c:pt idx="342">
                  <c:v>5.6999999999999851</c:v>
                </c:pt>
                <c:pt idx="343">
                  <c:v>5.7166666666666517</c:v>
                </c:pt>
                <c:pt idx="344">
                  <c:v>5.7333333333333183</c:v>
                </c:pt>
                <c:pt idx="345">
                  <c:v>5.7499999999999849</c:v>
                </c:pt>
                <c:pt idx="346">
                  <c:v>5.7666666666666515</c:v>
                </c:pt>
                <c:pt idx="347">
                  <c:v>5.7833333333333181</c:v>
                </c:pt>
                <c:pt idx="348">
                  <c:v>5.7999999999999847</c:v>
                </c:pt>
                <c:pt idx="349">
                  <c:v>5.8166666666666513</c:v>
                </c:pt>
                <c:pt idx="350">
                  <c:v>5.8333333333333179</c:v>
                </c:pt>
                <c:pt idx="351">
                  <c:v>5.8499999999999845</c:v>
                </c:pt>
                <c:pt idx="352">
                  <c:v>5.8666666666666512</c:v>
                </c:pt>
                <c:pt idx="353">
                  <c:v>5.8833333333333178</c:v>
                </c:pt>
                <c:pt idx="354">
                  <c:v>5.8999999999999844</c:v>
                </c:pt>
                <c:pt idx="355">
                  <c:v>5.916666666666651</c:v>
                </c:pt>
                <c:pt idx="356">
                  <c:v>5.9333333333333176</c:v>
                </c:pt>
                <c:pt idx="357">
                  <c:v>5.9499999999999842</c:v>
                </c:pt>
                <c:pt idx="358">
                  <c:v>5.9666666666666508</c:v>
                </c:pt>
                <c:pt idx="359">
                  <c:v>5.9833333333333174</c:v>
                </c:pt>
                <c:pt idx="360">
                  <c:v>5.999999999999984</c:v>
                </c:pt>
                <c:pt idx="361">
                  <c:v>6.0166666666666506</c:v>
                </c:pt>
                <c:pt idx="362">
                  <c:v>6.0333333333333172</c:v>
                </c:pt>
                <c:pt idx="363">
                  <c:v>6.0499999999999838</c:v>
                </c:pt>
                <c:pt idx="364">
                  <c:v>6.0666666666666504</c:v>
                </c:pt>
                <c:pt idx="365">
                  <c:v>6.0833333333333171</c:v>
                </c:pt>
                <c:pt idx="366">
                  <c:v>6.0999999999999837</c:v>
                </c:pt>
                <c:pt idx="367">
                  <c:v>6.1166666666666503</c:v>
                </c:pt>
                <c:pt idx="368">
                  <c:v>6.1333333333333169</c:v>
                </c:pt>
                <c:pt idx="369">
                  <c:v>6.1499999999999835</c:v>
                </c:pt>
                <c:pt idx="370">
                  <c:v>6.1666666666666501</c:v>
                </c:pt>
                <c:pt idx="371">
                  <c:v>6.1833333333333167</c:v>
                </c:pt>
                <c:pt idx="372">
                  <c:v>6.1999999999999833</c:v>
                </c:pt>
                <c:pt idx="373">
                  <c:v>6.2166666666666499</c:v>
                </c:pt>
                <c:pt idx="374">
                  <c:v>6.2333333333333165</c:v>
                </c:pt>
                <c:pt idx="375">
                  <c:v>6.2499999999999831</c:v>
                </c:pt>
                <c:pt idx="376">
                  <c:v>6.2666666666666497</c:v>
                </c:pt>
                <c:pt idx="377">
                  <c:v>6.2833333333333163</c:v>
                </c:pt>
                <c:pt idx="378">
                  <c:v>6.2999999999999829</c:v>
                </c:pt>
                <c:pt idx="379">
                  <c:v>6.3166666666666496</c:v>
                </c:pt>
                <c:pt idx="380">
                  <c:v>6.3333333333333162</c:v>
                </c:pt>
                <c:pt idx="381">
                  <c:v>6.3499999999999828</c:v>
                </c:pt>
                <c:pt idx="382">
                  <c:v>6.3666666666666494</c:v>
                </c:pt>
                <c:pt idx="383">
                  <c:v>6.383333333333316</c:v>
                </c:pt>
                <c:pt idx="384">
                  <c:v>6.3999999999999826</c:v>
                </c:pt>
                <c:pt idx="385">
                  <c:v>6.4166666666666492</c:v>
                </c:pt>
                <c:pt idx="386">
                  <c:v>6.4333333333333158</c:v>
                </c:pt>
                <c:pt idx="387">
                  <c:v>6.4499999999999824</c:v>
                </c:pt>
                <c:pt idx="388">
                  <c:v>6.466666666666649</c:v>
                </c:pt>
                <c:pt idx="389">
                  <c:v>6.4833333333333156</c:v>
                </c:pt>
                <c:pt idx="390">
                  <c:v>6.4999999999999822</c:v>
                </c:pt>
                <c:pt idx="391">
                  <c:v>6.5166666666666488</c:v>
                </c:pt>
                <c:pt idx="392">
                  <c:v>6.5333333333333155</c:v>
                </c:pt>
                <c:pt idx="393">
                  <c:v>6.5499999999999821</c:v>
                </c:pt>
                <c:pt idx="394">
                  <c:v>6.5666666666666487</c:v>
                </c:pt>
                <c:pt idx="395">
                  <c:v>6.5833333333333153</c:v>
                </c:pt>
                <c:pt idx="396">
                  <c:v>6.5999999999999819</c:v>
                </c:pt>
                <c:pt idx="397">
                  <c:v>6.6166666666666485</c:v>
                </c:pt>
                <c:pt idx="398">
                  <c:v>6.6333333333333151</c:v>
                </c:pt>
                <c:pt idx="399">
                  <c:v>6.6499999999999817</c:v>
                </c:pt>
                <c:pt idx="400">
                  <c:v>6.6666666666666483</c:v>
                </c:pt>
                <c:pt idx="401">
                  <c:v>6.6833333333333149</c:v>
                </c:pt>
                <c:pt idx="402">
                  <c:v>6.6999999999999815</c:v>
                </c:pt>
                <c:pt idx="403">
                  <c:v>6.7166666666666481</c:v>
                </c:pt>
                <c:pt idx="404">
                  <c:v>6.7333333333333147</c:v>
                </c:pt>
                <c:pt idx="405">
                  <c:v>6.7499999999999813</c:v>
                </c:pt>
                <c:pt idx="406">
                  <c:v>6.766666666666648</c:v>
                </c:pt>
                <c:pt idx="407">
                  <c:v>6.7833333333333146</c:v>
                </c:pt>
                <c:pt idx="408">
                  <c:v>6.7999999999999812</c:v>
                </c:pt>
                <c:pt idx="409">
                  <c:v>6.8166666666666478</c:v>
                </c:pt>
                <c:pt idx="410">
                  <c:v>6.8333333333333144</c:v>
                </c:pt>
                <c:pt idx="411">
                  <c:v>6.849999999999981</c:v>
                </c:pt>
                <c:pt idx="412">
                  <c:v>6.8666666666666476</c:v>
                </c:pt>
                <c:pt idx="413">
                  <c:v>6.8833333333333142</c:v>
                </c:pt>
                <c:pt idx="414">
                  <c:v>6.8999999999999808</c:v>
                </c:pt>
                <c:pt idx="415">
                  <c:v>6.9166666666666474</c:v>
                </c:pt>
                <c:pt idx="416">
                  <c:v>6.933333333333314</c:v>
                </c:pt>
                <c:pt idx="417">
                  <c:v>6.9499999999999806</c:v>
                </c:pt>
                <c:pt idx="418">
                  <c:v>6.9666666666666472</c:v>
                </c:pt>
                <c:pt idx="419">
                  <c:v>6.9833333333333139</c:v>
                </c:pt>
                <c:pt idx="420">
                  <c:v>6.9999999999999805</c:v>
                </c:pt>
                <c:pt idx="421">
                  <c:v>7.0166666666666471</c:v>
                </c:pt>
                <c:pt idx="422">
                  <c:v>7.0333333333333137</c:v>
                </c:pt>
                <c:pt idx="423">
                  <c:v>7.0499999999999803</c:v>
                </c:pt>
                <c:pt idx="424">
                  <c:v>7.0666666666666469</c:v>
                </c:pt>
                <c:pt idx="425">
                  <c:v>7.0833333333333135</c:v>
                </c:pt>
                <c:pt idx="426">
                  <c:v>7.0999999999999801</c:v>
                </c:pt>
                <c:pt idx="427">
                  <c:v>7.1166666666666467</c:v>
                </c:pt>
                <c:pt idx="428">
                  <c:v>7.1333333333333133</c:v>
                </c:pt>
                <c:pt idx="429">
                  <c:v>7.1499999999999799</c:v>
                </c:pt>
                <c:pt idx="430">
                  <c:v>7.1666666666666465</c:v>
                </c:pt>
                <c:pt idx="431">
                  <c:v>7.1833333333333131</c:v>
                </c:pt>
                <c:pt idx="432">
                  <c:v>7.1999999999999797</c:v>
                </c:pt>
                <c:pt idx="433">
                  <c:v>7.2166666666666464</c:v>
                </c:pt>
                <c:pt idx="434">
                  <c:v>7.233333333333313</c:v>
                </c:pt>
                <c:pt idx="435">
                  <c:v>7.2499999999999796</c:v>
                </c:pt>
                <c:pt idx="436">
                  <c:v>7.2666666666666462</c:v>
                </c:pt>
                <c:pt idx="437">
                  <c:v>7.2833333333333128</c:v>
                </c:pt>
                <c:pt idx="438">
                  <c:v>7.2999999999999794</c:v>
                </c:pt>
                <c:pt idx="439">
                  <c:v>7.316666666666646</c:v>
                </c:pt>
                <c:pt idx="440">
                  <c:v>7.3333333333333126</c:v>
                </c:pt>
                <c:pt idx="441">
                  <c:v>7.3499999999999792</c:v>
                </c:pt>
                <c:pt idx="442">
                  <c:v>7.3666666666666458</c:v>
                </c:pt>
                <c:pt idx="443">
                  <c:v>7.3833333333333124</c:v>
                </c:pt>
                <c:pt idx="444">
                  <c:v>7.399999999999979</c:v>
                </c:pt>
                <c:pt idx="445">
                  <c:v>7.4166666666666456</c:v>
                </c:pt>
                <c:pt idx="446">
                  <c:v>7.4333333333333123</c:v>
                </c:pt>
                <c:pt idx="447">
                  <c:v>7.4499999999999789</c:v>
                </c:pt>
                <c:pt idx="448">
                  <c:v>7.4666666666666455</c:v>
                </c:pt>
                <c:pt idx="449">
                  <c:v>7.4833333333333121</c:v>
                </c:pt>
                <c:pt idx="450">
                  <c:v>7.4999999999999787</c:v>
                </c:pt>
                <c:pt idx="451">
                  <c:v>7.5166666666666453</c:v>
                </c:pt>
                <c:pt idx="452">
                  <c:v>7.5333333333333119</c:v>
                </c:pt>
                <c:pt idx="453">
                  <c:v>7.5499999999999785</c:v>
                </c:pt>
                <c:pt idx="454">
                  <c:v>7.5666666666666451</c:v>
                </c:pt>
                <c:pt idx="455">
                  <c:v>7.5833333333333117</c:v>
                </c:pt>
                <c:pt idx="456">
                  <c:v>7.5999999999999783</c:v>
                </c:pt>
                <c:pt idx="457">
                  <c:v>7.6166666666666449</c:v>
                </c:pt>
                <c:pt idx="458">
                  <c:v>7.6333333333333115</c:v>
                </c:pt>
                <c:pt idx="459">
                  <c:v>7.6499999999999782</c:v>
                </c:pt>
                <c:pt idx="460">
                  <c:v>7.6666666666666448</c:v>
                </c:pt>
                <c:pt idx="461">
                  <c:v>7.6833333333333114</c:v>
                </c:pt>
                <c:pt idx="462">
                  <c:v>7.699999999999978</c:v>
                </c:pt>
                <c:pt idx="463">
                  <c:v>7.7166666666666446</c:v>
                </c:pt>
                <c:pt idx="464">
                  <c:v>7.7333333333333112</c:v>
                </c:pt>
                <c:pt idx="465">
                  <c:v>7.7499999999999778</c:v>
                </c:pt>
                <c:pt idx="466">
                  <c:v>7.7666666666666444</c:v>
                </c:pt>
                <c:pt idx="467">
                  <c:v>7.783333333333311</c:v>
                </c:pt>
                <c:pt idx="468">
                  <c:v>7.7999999999999776</c:v>
                </c:pt>
                <c:pt idx="469">
                  <c:v>7.8166666666666442</c:v>
                </c:pt>
                <c:pt idx="470">
                  <c:v>7.8333333333333108</c:v>
                </c:pt>
                <c:pt idx="471">
                  <c:v>7.8499999999999774</c:v>
                </c:pt>
                <c:pt idx="472">
                  <c:v>7.866666666666644</c:v>
                </c:pt>
                <c:pt idx="473">
                  <c:v>7.8833333333333107</c:v>
                </c:pt>
                <c:pt idx="474">
                  <c:v>7.8999999999999773</c:v>
                </c:pt>
                <c:pt idx="475">
                  <c:v>7.9166666666666439</c:v>
                </c:pt>
                <c:pt idx="476">
                  <c:v>7.9333333333333105</c:v>
                </c:pt>
                <c:pt idx="477">
                  <c:v>7.9499999999999771</c:v>
                </c:pt>
                <c:pt idx="478">
                  <c:v>7.9666666666666437</c:v>
                </c:pt>
                <c:pt idx="479">
                  <c:v>7.9833333333333103</c:v>
                </c:pt>
                <c:pt idx="480">
                  <c:v>7.9999999999999769</c:v>
                </c:pt>
                <c:pt idx="481">
                  <c:v>8.0166666666666444</c:v>
                </c:pt>
                <c:pt idx="482">
                  <c:v>8.0333333333333119</c:v>
                </c:pt>
                <c:pt idx="483">
                  <c:v>8.0499999999999794</c:v>
                </c:pt>
                <c:pt idx="484">
                  <c:v>8.0666666666666469</c:v>
                </c:pt>
                <c:pt idx="485">
                  <c:v>8.0833333333333144</c:v>
                </c:pt>
                <c:pt idx="486">
                  <c:v>8.0999999999999819</c:v>
                </c:pt>
                <c:pt idx="487">
                  <c:v>8.1166666666666494</c:v>
                </c:pt>
                <c:pt idx="488">
                  <c:v>8.1333333333333169</c:v>
                </c:pt>
                <c:pt idx="489">
                  <c:v>8.1499999999999844</c:v>
                </c:pt>
                <c:pt idx="490">
                  <c:v>8.1666666666666519</c:v>
                </c:pt>
                <c:pt idx="491">
                  <c:v>8.1833333333333194</c:v>
                </c:pt>
                <c:pt idx="492">
                  <c:v>8.1999999999999869</c:v>
                </c:pt>
                <c:pt idx="493">
                  <c:v>8.2166666666666544</c:v>
                </c:pt>
                <c:pt idx="494">
                  <c:v>8.2333333333333218</c:v>
                </c:pt>
                <c:pt idx="495">
                  <c:v>8.2499999999999893</c:v>
                </c:pt>
                <c:pt idx="496">
                  <c:v>8.2666666666666568</c:v>
                </c:pt>
                <c:pt idx="497">
                  <c:v>8.2833333333333243</c:v>
                </c:pt>
                <c:pt idx="498">
                  <c:v>8.2999999999999918</c:v>
                </c:pt>
                <c:pt idx="499">
                  <c:v>8.3166666666666593</c:v>
                </c:pt>
                <c:pt idx="500">
                  <c:v>8.3333333333333268</c:v>
                </c:pt>
                <c:pt idx="501">
                  <c:v>8.3499999999999943</c:v>
                </c:pt>
                <c:pt idx="502">
                  <c:v>8.3666666666666618</c:v>
                </c:pt>
                <c:pt idx="503">
                  <c:v>8.3833333333333293</c:v>
                </c:pt>
                <c:pt idx="504">
                  <c:v>8.3999999999999968</c:v>
                </c:pt>
                <c:pt idx="505">
                  <c:v>8.4166666666666643</c:v>
                </c:pt>
                <c:pt idx="506">
                  <c:v>8.4333333333333318</c:v>
                </c:pt>
                <c:pt idx="507">
                  <c:v>8.4499999999999993</c:v>
                </c:pt>
                <c:pt idx="508">
                  <c:v>8.4666666666666668</c:v>
                </c:pt>
                <c:pt idx="509">
                  <c:v>8.4833333333333343</c:v>
                </c:pt>
                <c:pt idx="510">
                  <c:v>8.5000000000000018</c:v>
                </c:pt>
                <c:pt idx="511">
                  <c:v>8.5166666666666693</c:v>
                </c:pt>
                <c:pt idx="512">
                  <c:v>8.5333333333333368</c:v>
                </c:pt>
                <c:pt idx="513">
                  <c:v>8.5500000000000043</c:v>
                </c:pt>
                <c:pt idx="514">
                  <c:v>8.5666666666666718</c:v>
                </c:pt>
                <c:pt idx="515">
                  <c:v>8.5833333333333393</c:v>
                </c:pt>
                <c:pt idx="516">
                  <c:v>8.6000000000000068</c:v>
                </c:pt>
                <c:pt idx="517">
                  <c:v>8.6166666666666742</c:v>
                </c:pt>
                <c:pt idx="518">
                  <c:v>8.6333333333333417</c:v>
                </c:pt>
                <c:pt idx="519">
                  <c:v>8.6500000000000092</c:v>
                </c:pt>
                <c:pt idx="520">
                  <c:v>8.6666666666666767</c:v>
                </c:pt>
                <c:pt idx="521">
                  <c:v>8.6833333333333442</c:v>
                </c:pt>
                <c:pt idx="522">
                  <c:v>8.7000000000000117</c:v>
                </c:pt>
                <c:pt idx="523">
                  <c:v>8.7166666666666792</c:v>
                </c:pt>
                <c:pt idx="524">
                  <c:v>8.7333333333333467</c:v>
                </c:pt>
                <c:pt idx="525">
                  <c:v>8.7500000000000142</c:v>
                </c:pt>
                <c:pt idx="526">
                  <c:v>8.7666666666666817</c:v>
                </c:pt>
                <c:pt idx="527">
                  <c:v>8.7833333333333492</c:v>
                </c:pt>
                <c:pt idx="528">
                  <c:v>8.8000000000000167</c:v>
                </c:pt>
                <c:pt idx="529">
                  <c:v>8.8166666666666842</c:v>
                </c:pt>
                <c:pt idx="530">
                  <c:v>8.8333333333333517</c:v>
                </c:pt>
                <c:pt idx="531">
                  <c:v>8.8500000000000192</c:v>
                </c:pt>
                <c:pt idx="532">
                  <c:v>8.8666666666666867</c:v>
                </c:pt>
                <c:pt idx="533">
                  <c:v>8.8833333333333542</c:v>
                </c:pt>
                <c:pt idx="534">
                  <c:v>8.9000000000000217</c:v>
                </c:pt>
                <c:pt idx="535">
                  <c:v>8.9166666666666892</c:v>
                </c:pt>
                <c:pt idx="536">
                  <c:v>8.9333333333333567</c:v>
                </c:pt>
                <c:pt idx="537">
                  <c:v>8.9500000000000242</c:v>
                </c:pt>
                <c:pt idx="538">
                  <c:v>8.9666666666666917</c:v>
                </c:pt>
                <c:pt idx="539">
                  <c:v>8.9833333333333591</c:v>
                </c:pt>
                <c:pt idx="540">
                  <c:v>9.0000000000000266</c:v>
                </c:pt>
                <c:pt idx="541">
                  <c:v>9.0166666666666941</c:v>
                </c:pt>
                <c:pt idx="542">
                  <c:v>9.0333333333333616</c:v>
                </c:pt>
                <c:pt idx="543">
                  <c:v>9.0500000000000291</c:v>
                </c:pt>
                <c:pt idx="544">
                  <c:v>9.0666666666666966</c:v>
                </c:pt>
                <c:pt idx="545">
                  <c:v>9.0833333333333641</c:v>
                </c:pt>
                <c:pt idx="546">
                  <c:v>9.1000000000000316</c:v>
                </c:pt>
                <c:pt idx="547">
                  <c:v>9.1166666666666991</c:v>
                </c:pt>
                <c:pt idx="548">
                  <c:v>9.1333333333333666</c:v>
                </c:pt>
                <c:pt idx="549">
                  <c:v>9.1500000000000341</c:v>
                </c:pt>
                <c:pt idx="550">
                  <c:v>9.1666666666667016</c:v>
                </c:pt>
                <c:pt idx="551">
                  <c:v>9.1833333333333691</c:v>
                </c:pt>
                <c:pt idx="552">
                  <c:v>9.2000000000000366</c:v>
                </c:pt>
                <c:pt idx="553">
                  <c:v>9.2166666666667041</c:v>
                </c:pt>
                <c:pt idx="554">
                  <c:v>9.2333333333333716</c:v>
                </c:pt>
                <c:pt idx="555">
                  <c:v>9.2500000000000391</c:v>
                </c:pt>
                <c:pt idx="556">
                  <c:v>9.2666666666667066</c:v>
                </c:pt>
                <c:pt idx="557">
                  <c:v>9.2833333333333741</c:v>
                </c:pt>
                <c:pt idx="558">
                  <c:v>9.3000000000000416</c:v>
                </c:pt>
                <c:pt idx="559">
                  <c:v>9.3166666666667091</c:v>
                </c:pt>
                <c:pt idx="560">
                  <c:v>9.3333333333333766</c:v>
                </c:pt>
                <c:pt idx="561">
                  <c:v>9.3500000000000441</c:v>
                </c:pt>
                <c:pt idx="562">
                  <c:v>9.3666666666667115</c:v>
                </c:pt>
                <c:pt idx="563">
                  <c:v>9.383333333333379</c:v>
                </c:pt>
                <c:pt idx="564">
                  <c:v>9.4000000000000465</c:v>
                </c:pt>
                <c:pt idx="565">
                  <c:v>9.416666666666714</c:v>
                </c:pt>
                <c:pt idx="566">
                  <c:v>9.4333333333333815</c:v>
                </c:pt>
                <c:pt idx="567">
                  <c:v>9.450000000000049</c:v>
                </c:pt>
                <c:pt idx="568">
                  <c:v>9.4666666666667165</c:v>
                </c:pt>
                <c:pt idx="569">
                  <c:v>9.483333333333384</c:v>
                </c:pt>
                <c:pt idx="570">
                  <c:v>9.5000000000000515</c:v>
                </c:pt>
                <c:pt idx="571">
                  <c:v>9.516666666666719</c:v>
                </c:pt>
                <c:pt idx="572">
                  <c:v>9.5333333333333865</c:v>
                </c:pt>
                <c:pt idx="573">
                  <c:v>9.550000000000054</c:v>
                </c:pt>
                <c:pt idx="574">
                  <c:v>9.5666666666667215</c:v>
                </c:pt>
                <c:pt idx="575">
                  <c:v>9.583333333333389</c:v>
                </c:pt>
                <c:pt idx="576">
                  <c:v>9.6000000000000565</c:v>
                </c:pt>
                <c:pt idx="577">
                  <c:v>9.616666666666724</c:v>
                </c:pt>
                <c:pt idx="578">
                  <c:v>9.6333333333333915</c:v>
                </c:pt>
                <c:pt idx="579">
                  <c:v>9.650000000000059</c:v>
                </c:pt>
                <c:pt idx="580">
                  <c:v>9.6666666666667265</c:v>
                </c:pt>
                <c:pt idx="581">
                  <c:v>9.683333333333394</c:v>
                </c:pt>
                <c:pt idx="582">
                  <c:v>9.7000000000000615</c:v>
                </c:pt>
                <c:pt idx="583">
                  <c:v>9.716666666666729</c:v>
                </c:pt>
                <c:pt idx="584">
                  <c:v>9.7333333333333965</c:v>
                </c:pt>
                <c:pt idx="585">
                  <c:v>9.7500000000000639</c:v>
                </c:pt>
                <c:pt idx="586">
                  <c:v>9.7666666666667314</c:v>
                </c:pt>
                <c:pt idx="587">
                  <c:v>9.7833333333333989</c:v>
                </c:pt>
                <c:pt idx="588">
                  <c:v>9.8000000000000664</c:v>
                </c:pt>
                <c:pt idx="589">
                  <c:v>9.8166666666667339</c:v>
                </c:pt>
                <c:pt idx="590">
                  <c:v>9.8333333333334014</c:v>
                </c:pt>
                <c:pt idx="591">
                  <c:v>9.8500000000000689</c:v>
                </c:pt>
                <c:pt idx="592">
                  <c:v>9.8666666666667364</c:v>
                </c:pt>
                <c:pt idx="593">
                  <c:v>9.8833333333334039</c:v>
                </c:pt>
                <c:pt idx="594">
                  <c:v>9.9000000000000714</c:v>
                </c:pt>
                <c:pt idx="595">
                  <c:v>9.9166666666667389</c:v>
                </c:pt>
                <c:pt idx="596">
                  <c:v>9.9333333333334064</c:v>
                </c:pt>
                <c:pt idx="597">
                  <c:v>9.9500000000000739</c:v>
                </c:pt>
                <c:pt idx="598">
                  <c:v>9.9666666666667414</c:v>
                </c:pt>
                <c:pt idx="599">
                  <c:v>9.9833333333334089</c:v>
                </c:pt>
                <c:pt idx="600">
                  <c:v>10.000000000000076</c:v>
                </c:pt>
                <c:pt idx="601">
                  <c:v>10.016666666666744</c:v>
                </c:pt>
                <c:pt idx="602">
                  <c:v>10.033333333333411</c:v>
                </c:pt>
                <c:pt idx="603">
                  <c:v>10.050000000000079</c:v>
                </c:pt>
                <c:pt idx="604">
                  <c:v>10.066666666666746</c:v>
                </c:pt>
                <c:pt idx="605">
                  <c:v>10.083333333333414</c:v>
                </c:pt>
                <c:pt idx="606">
                  <c:v>10.100000000000081</c:v>
                </c:pt>
                <c:pt idx="607">
                  <c:v>10.116666666666749</c:v>
                </c:pt>
                <c:pt idx="608">
                  <c:v>10.133333333333416</c:v>
                </c:pt>
                <c:pt idx="609">
                  <c:v>10.150000000000084</c:v>
                </c:pt>
                <c:pt idx="610">
                  <c:v>10.166666666666751</c:v>
                </c:pt>
                <c:pt idx="611">
                  <c:v>10.183333333333419</c:v>
                </c:pt>
                <c:pt idx="612">
                  <c:v>10.200000000000086</c:v>
                </c:pt>
                <c:pt idx="613">
                  <c:v>10.216666666666754</c:v>
                </c:pt>
                <c:pt idx="614">
                  <c:v>10.233333333333421</c:v>
                </c:pt>
                <c:pt idx="615">
                  <c:v>10.250000000000089</c:v>
                </c:pt>
                <c:pt idx="616">
                  <c:v>10.266666666666756</c:v>
                </c:pt>
                <c:pt idx="617">
                  <c:v>10.283333333333424</c:v>
                </c:pt>
                <c:pt idx="618">
                  <c:v>10.300000000000091</c:v>
                </c:pt>
                <c:pt idx="619">
                  <c:v>10.316666666666759</c:v>
                </c:pt>
                <c:pt idx="620">
                  <c:v>10.333333333333426</c:v>
                </c:pt>
                <c:pt idx="621">
                  <c:v>10.350000000000094</c:v>
                </c:pt>
                <c:pt idx="622">
                  <c:v>10.366666666666761</c:v>
                </c:pt>
                <c:pt idx="623">
                  <c:v>10.383333333333429</c:v>
                </c:pt>
                <c:pt idx="624">
                  <c:v>10.400000000000096</c:v>
                </c:pt>
                <c:pt idx="625">
                  <c:v>10.416666666666764</c:v>
                </c:pt>
                <c:pt idx="626">
                  <c:v>10.433333333333431</c:v>
                </c:pt>
                <c:pt idx="627">
                  <c:v>10.450000000000099</c:v>
                </c:pt>
                <c:pt idx="628">
                  <c:v>10.466666666666766</c:v>
                </c:pt>
                <c:pt idx="629">
                  <c:v>10.483333333333434</c:v>
                </c:pt>
                <c:pt idx="630">
                  <c:v>10.500000000000101</c:v>
                </c:pt>
                <c:pt idx="631">
                  <c:v>10.516666666666769</c:v>
                </c:pt>
                <c:pt idx="632">
                  <c:v>10.533333333333436</c:v>
                </c:pt>
                <c:pt idx="633">
                  <c:v>10.550000000000104</c:v>
                </c:pt>
                <c:pt idx="634">
                  <c:v>10.566666666666771</c:v>
                </c:pt>
                <c:pt idx="635">
                  <c:v>10.583333333333439</c:v>
                </c:pt>
                <c:pt idx="636">
                  <c:v>10.600000000000106</c:v>
                </c:pt>
                <c:pt idx="637">
                  <c:v>10.616666666666774</c:v>
                </c:pt>
                <c:pt idx="638">
                  <c:v>10.633333333333441</c:v>
                </c:pt>
                <c:pt idx="639">
                  <c:v>10.650000000000109</c:v>
                </c:pt>
                <c:pt idx="640">
                  <c:v>10.666666666666776</c:v>
                </c:pt>
                <c:pt idx="641">
                  <c:v>10.683333333333444</c:v>
                </c:pt>
                <c:pt idx="642">
                  <c:v>10.700000000000111</c:v>
                </c:pt>
                <c:pt idx="643">
                  <c:v>10.716666666666779</c:v>
                </c:pt>
                <c:pt idx="644">
                  <c:v>10.733333333333446</c:v>
                </c:pt>
                <c:pt idx="645">
                  <c:v>10.750000000000114</c:v>
                </c:pt>
                <c:pt idx="646">
                  <c:v>10.766666666666781</c:v>
                </c:pt>
                <c:pt idx="647">
                  <c:v>10.783333333333449</c:v>
                </c:pt>
                <c:pt idx="648">
                  <c:v>10.800000000000116</c:v>
                </c:pt>
                <c:pt idx="649">
                  <c:v>10.816666666666784</c:v>
                </c:pt>
                <c:pt idx="650">
                  <c:v>10.833333333333451</c:v>
                </c:pt>
                <c:pt idx="651">
                  <c:v>10.850000000000119</c:v>
                </c:pt>
                <c:pt idx="652">
                  <c:v>10.866666666666786</c:v>
                </c:pt>
                <c:pt idx="653">
                  <c:v>10.883333333333454</c:v>
                </c:pt>
                <c:pt idx="654">
                  <c:v>10.900000000000121</c:v>
                </c:pt>
                <c:pt idx="655">
                  <c:v>10.916666666666789</c:v>
                </c:pt>
                <c:pt idx="656">
                  <c:v>10.933333333333456</c:v>
                </c:pt>
                <c:pt idx="657">
                  <c:v>10.950000000000124</c:v>
                </c:pt>
                <c:pt idx="658">
                  <c:v>10.966666666666791</c:v>
                </c:pt>
                <c:pt idx="659">
                  <c:v>10.983333333333459</c:v>
                </c:pt>
                <c:pt idx="660">
                  <c:v>11.000000000000126</c:v>
                </c:pt>
                <c:pt idx="661">
                  <c:v>11.016666666666794</c:v>
                </c:pt>
                <c:pt idx="662">
                  <c:v>11.033333333333461</c:v>
                </c:pt>
                <c:pt idx="663">
                  <c:v>11.050000000000129</c:v>
                </c:pt>
                <c:pt idx="664">
                  <c:v>11.066666666666796</c:v>
                </c:pt>
                <c:pt idx="665">
                  <c:v>11.083333333333464</c:v>
                </c:pt>
                <c:pt idx="666">
                  <c:v>11.100000000000131</c:v>
                </c:pt>
                <c:pt idx="667">
                  <c:v>11.116666666666799</c:v>
                </c:pt>
                <c:pt idx="668">
                  <c:v>11.133333333333466</c:v>
                </c:pt>
                <c:pt idx="669">
                  <c:v>11.150000000000134</c:v>
                </c:pt>
                <c:pt idx="670">
                  <c:v>11.166666666666801</c:v>
                </c:pt>
                <c:pt idx="671">
                  <c:v>11.183333333333469</c:v>
                </c:pt>
                <c:pt idx="672">
                  <c:v>11.200000000000136</c:v>
                </c:pt>
                <c:pt idx="673">
                  <c:v>11.216666666666804</c:v>
                </c:pt>
                <c:pt idx="674">
                  <c:v>11.233333333333471</c:v>
                </c:pt>
                <c:pt idx="675">
                  <c:v>11.250000000000139</c:v>
                </c:pt>
                <c:pt idx="676">
                  <c:v>11.266666666666806</c:v>
                </c:pt>
                <c:pt idx="677">
                  <c:v>11.283333333333474</c:v>
                </c:pt>
                <c:pt idx="678">
                  <c:v>11.300000000000141</c:v>
                </c:pt>
                <c:pt idx="679">
                  <c:v>11.316666666666809</c:v>
                </c:pt>
                <c:pt idx="680">
                  <c:v>11.333333333333476</c:v>
                </c:pt>
                <c:pt idx="681">
                  <c:v>11.350000000000144</c:v>
                </c:pt>
                <c:pt idx="682">
                  <c:v>11.366666666666811</c:v>
                </c:pt>
                <c:pt idx="683">
                  <c:v>11.383333333333479</c:v>
                </c:pt>
                <c:pt idx="684">
                  <c:v>11.400000000000146</c:v>
                </c:pt>
                <c:pt idx="685">
                  <c:v>11.416666666666814</c:v>
                </c:pt>
                <c:pt idx="686">
                  <c:v>11.433333333333481</c:v>
                </c:pt>
                <c:pt idx="687">
                  <c:v>11.450000000000149</c:v>
                </c:pt>
                <c:pt idx="688">
                  <c:v>11.466666666666816</c:v>
                </c:pt>
                <c:pt idx="689">
                  <c:v>11.483333333333483</c:v>
                </c:pt>
                <c:pt idx="690">
                  <c:v>11.500000000000151</c:v>
                </c:pt>
                <c:pt idx="691">
                  <c:v>11.516666666666818</c:v>
                </c:pt>
                <c:pt idx="692">
                  <c:v>11.533333333333486</c:v>
                </c:pt>
                <c:pt idx="693">
                  <c:v>11.550000000000153</c:v>
                </c:pt>
                <c:pt idx="694">
                  <c:v>11.566666666666821</c:v>
                </c:pt>
                <c:pt idx="695">
                  <c:v>11.583333333333488</c:v>
                </c:pt>
                <c:pt idx="696">
                  <c:v>11.600000000000156</c:v>
                </c:pt>
                <c:pt idx="697">
                  <c:v>11.616666666666823</c:v>
                </c:pt>
                <c:pt idx="698">
                  <c:v>11.633333333333491</c:v>
                </c:pt>
                <c:pt idx="699">
                  <c:v>11.650000000000158</c:v>
                </c:pt>
                <c:pt idx="700">
                  <c:v>11.666666666666826</c:v>
                </c:pt>
                <c:pt idx="701">
                  <c:v>11.683333333333493</c:v>
                </c:pt>
                <c:pt idx="702">
                  <c:v>11.700000000000161</c:v>
                </c:pt>
                <c:pt idx="703">
                  <c:v>11.716666666666828</c:v>
                </c:pt>
                <c:pt idx="704">
                  <c:v>11.733333333333496</c:v>
                </c:pt>
                <c:pt idx="705">
                  <c:v>11.750000000000163</c:v>
                </c:pt>
                <c:pt idx="706">
                  <c:v>11.766666666666831</c:v>
                </c:pt>
                <c:pt idx="707">
                  <c:v>11.783333333333498</c:v>
                </c:pt>
                <c:pt idx="708">
                  <c:v>11.800000000000166</c:v>
                </c:pt>
                <c:pt idx="709">
                  <c:v>11.816666666666833</c:v>
                </c:pt>
                <c:pt idx="710">
                  <c:v>11.833333333333501</c:v>
                </c:pt>
                <c:pt idx="711">
                  <c:v>11.850000000000168</c:v>
                </c:pt>
                <c:pt idx="712">
                  <c:v>11.866666666666836</c:v>
                </c:pt>
                <c:pt idx="713">
                  <c:v>11.883333333333503</c:v>
                </c:pt>
                <c:pt idx="714">
                  <c:v>11.900000000000171</c:v>
                </c:pt>
                <c:pt idx="715">
                  <c:v>11.916666666666838</c:v>
                </c:pt>
                <c:pt idx="716">
                  <c:v>11.933333333333506</c:v>
                </c:pt>
                <c:pt idx="717">
                  <c:v>11.950000000000173</c:v>
                </c:pt>
                <c:pt idx="718">
                  <c:v>11.966666666666841</c:v>
                </c:pt>
                <c:pt idx="719">
                  <c:v>11.983333333333508</c:v>
                </c:pt>
                <c:pt idx="720">
                  <c:v>12.000000000000176</c:v>
                </c:pt>
                <c:pt idx="721">
                  <c:v>12.016666666666843</c:v>
                </c:pt>
                <c:pt idx="722">
                  <c:v>12.033333333333511</c:v>
                </c:pt>
                <c:pt idx="723">
                  <c:v>12.050000000000178</c:v>
                </c:pt>
                <c:pt idx="724">
                  <c:v>12.066666666666846</c:v>
                </c:pt>
                <c:pt idx="725">
                  <c:v>12.083333333333513</c:v>
                </c:pt>
                <c:pt idx="726">
                  <c:v>12.100000000000181</c:v>
                </c:pt>
                <c:pt idx="727">
                  <c:v>12.116666666666848</c:v>
                </c:pt>
                <c:pt idx="728">
                  <c:v>12.133333333333516</c:v>
                </c:pt>
                <c:pt idx="729">
                  <c:v>12.150000000000183</c:v>
                </c:pt>
                <c:pt idx="730">
                  <c:v>12.166666666666851</c:v>
                </c:pt>
                <c:pt idx="731">
                  <c:v>12.183333333333518</c:v>
                </c:pt>
                <c:pt idx="732">
                  <c:v>12.200000000000186</c:v>
                </c:pt>
                <c:pt idx="733">
                  <c:v>12.216666666666853</c:v>
                </c:pt>
                <c:pt idx="734">
                  <c:v>12.233333333333521</c:v>
                </c:pt>
                <c:pt idx="735">
                  <c:v>12.250000000000188</c:v>
                </c:pt>
                <c:pt idx="736">
                  <c:v>12.266666666666856</c:v>
                </c:pt>
                <c:pt idx="737">
                  <c:v>12.283333333333523</c:v>
                </c:pt>
                <c:pt idx="738">
                  <c:v>12.300000000000191</c:v>
                </c:pt>
                <c:pt idx="739">
                  <c:v>12.316666666666858</c:v>
                </c:pt>
                <c:pt idx="740">
                  <c:v>12.333333333333526</c:v>
                </c:pt>
                <c:pt idx="741">
                  <c:v>12.350000000000193</c:v>
                </c:pt>
                <c:pt idx="742">
                  <c:v>12.366666666666861</c:v>
                </c:pt>
                <c:pt idx="743">
                  <c:v>12.383333333333528</c:v>
                </c:pt>
                <c:pt idx="744">
                  <c:v>12.400000000000196</c:v>
                </c:pt>
                <c:pt idx="745">
                  <c:v>12.416666666666863</c:v>
                </c:pt>
                <c:pt idx="746">
                  <c:v>12.433333333333531</c:v>
                </c:pt>
                <c:pt idx="747">
                  <c:v>12.450000000000198</c:v>
                </c:pt>
                <c:pt idx="748">
                  <c:v>12.466666666666866</c:v>
                </c:pt>
                <c:pt idx="749">
                  <c:v>12.483333333333533</c:v>
                </c:pt>
                <c:pt idx="750">
                  <c:v>12.500000000000201</c:v>
                </c:pt>
                <c:pt idx="751">
                  <c:v>12.516666666666868</c:v>
                </c:pt>
                <c:pt idx="752">
                  <c:v>12.533333333333536</c:v>
                </c:pt>
                <c:pt idx="753">
                  <c:v>12.550000000000203</c:v>
                </c:pt>
                <c:pt idx="754">
                  <c:v>12.566666666666871</c:v>
                </c:pt>
                <c:pt idx="755">
                  <c:v>12.583333333333538</c:v>
                </c:pt>
                <c:pt idx="756">
                  <c:v>12.600000000000206</c:v>
                </c:pt>
                <c:pt idx="757">
                  <c:v>12.616666666666873</c:v>
                </c:pt>
                <c:pt idx="758">
                  <c:v>12.633333333333541</c:v>
                </c:pt>
                <c:pt idx="759">
                  <c:v>12.650000000000208</c:v>
                </c:pt>
                <c:pt idx="760">
                  <c:v>12.666666666666876</c:v>
                </c:pt>
                <c:pt idx="761">
                  <c:v>12.683333333333543</c:v>
                </c:pt>
                <c:pt idx="762">
                  <c:v>12.700000000000211</c:v>
                </c:pt>
                <c:pt idx="763">
                  <c:v>12.716666666666878</c:v>
                </c:pt>
                <c:pt idx="764">
                  <c:v>12.733333333333546</c:v>
                </c:pt>
                <c:pt idx="765">
                  <c:v>12.750000000000213</c:v>
                </c:pt>
                <c:pt idx="766">
                  <c:v>12.766666666666881</c:v>
                </c:pt>
                <c:pt idx="767">
                  <c:v>12.783333333333548</c:v>
                </c:pt>
                <c:pt idx="768">
                  <c:v>12.800000000000216</c:v>
                </c:pt>
                <c:pt idx="769">
                  <c:v>12.816666666666883</c:v>
                </c:pt>
                <c:pt idx="770">
                  <c:v>12.833333333333551</c:v>
                </c:pt>
                <c:pt idx="771">
                  <c:v>12.850000000000218</c:v>
                </c:pt>
                <c:pt idx="772">
                  <c:v>12.866666666666886</c:v>
                </c:pt>
                <c:pt idx="773">
                  <c:v>12.883333333333553</c:v>
                </c:pt>
                <c:pt idx="774">
                  <c:v>12.900000000000221</c:v>
                </c:pt>
                <c:pt idx="775">
                  <c:v>12.916666666666888</c:v>
                </c:pt>
                <c:pt idx="776">
                  <c:v>12.933333333333556</c:v>
                </c:pt>
                <c:pt idx="777">
                  <c:v>12.950000000000223</c:v>
                </c:pt>
                <c:pt idx="778">
                  <c:v>12.966666666666891</c:v>
                </c:pt>
                <c:pt idx="779">
                  <c:v>12.983333333333558</c:v>
                </c:pt>
                <c:pt idx="780">
                  <c:v>13.000000000000226</c:v>
                </c:pt>
                <c:pt idx="781">
                  <c:v>13.016666666666893</c:v>
                </c:pt>
                <c:pt idx="782">
                  <c:v>13.033333333333561</c:v>
                </c:pt>
                <c:pt idx="783">
                  <c:v>13.050000000000228</c:v>
                </c:pt>
                <c:pt idx="784">
                  <c:v>13.066666666666896</c:v>
                </c:pt>
                <c:pt idx="785">
                  <c:v>13.083333333333563</c:v>
                </c:pt>
                <c:pt idx="786">
                  <c:v>13.100000000000231</c:v>
                </c:pt>
                <c:pt idx="787">
                  <c:v>13.116666666666898</c:v>
                </c:pt>
                <c:pt idx="788">
                  <c:v>13.133333333333566</c:v>
                </c:pt>
                <c:pt idx="789">
                  <c:v>13.150000000000233</c:v>
                </c:pt>
                <c:pt idx="790">
                  <c:v>13.166666666666901</c:v>
                </c:pt>
                <c:pt idx="791">
                  <c:v>13.183333333333568</c:v>
                </c:pt>
                <c:pt idx="792">
                  <c:v>13.200000000000236</c:v>
                </c:pt>
                <c:pt idx="793">
                  <c:v>13.216666666666903</c:v>
                </c:pt>
                <c:pt idx="794">
                  <c:v>13.233333333333571</c:v>
                </c:pt>
                <c:pt idx="795">
                  <c:v>13.250000000000238</c:v>
                </c:pt>
                <c:pt idx="796">
                  <c:v>13.266666666666906</c:v>
                </c:pt>
                <c:pt idx="797">
                  <c:v>13.283333333333573</c:v>
                </c:pt>
                <c:pt idx="798">
                  <c:v>13.300000000000241</c:v>
                </c:pt>
                <c:pt idx="799">
                  <c:v>13.316666666666908</c:v>
                </c:pt>
                <c:pt idx="800">
                  <c:v>13.333333333333576</c:v>
                </c:pt>
                <c:pt idx="801">
                  <c:v>13.350000000000243</c:v>
                </c:pt>
                <c:pt idx="802">
                  <c:v>13.366666666666911</c:v>
                </c:pt>
                <c:pt idx="803">
                  <c:v>13.383333333333578</c:v>
                </c:pt>
                <c:pt idx="804">
                  <c:v>13.400000000000245</c:v>
                </c:pt>
                <c:pt idx="805">
                  <c:v>13.416666666666913</c:v>
                </c:pt>
                <c:pt idx="806">
                  <c:v>13.43333333333358</c:v>
                </c:pt>
                <c:pt idx="807">
                  <c:v>13.450000000000248</c:v>
                </c:pt>
                <c:pt idx="808">
                  <c:v>13.466666666666915</c:v>
                </c:pt>
                <c:pt idx="809">
                  <c:v>13.483333333333583</c:v>
                </c:pt>
                <c:pt idx="810">
                  <c:v>13.50000000000025</c:v>
                </c:pt>
                <c:pt idx="811">
                  <c:v>13.516666666666918</c:v>
                </c:pt>
                <c:pt idx="812">
                  <c:v>13.533333333333585</c:v>
                </c:pt>
                <c:pt idx="813">
                  <c:v>13.550000000000253</c:v>
                </c:pt>
                <c:pt idx="814">
                  <c:v>13.56666666666692</c:v>
                </c:pt>
                <c:pt idx="815">
                  <c:v>13.583333333333588</c:v>
                </c:pt>
                <c:pt idx="816">
                  <c:v>13.600000000000255</c:v>
                </c:pt>
                <c:pt idx="817">
                  <c:v>13.616666666666923</c:v>
                </c:pt>
                <c:pt idx="818">
                  <c:v>13.63333333333359</c:v>
                </c:pt>
                <c:pt idx="819">
                  <c:v>13.650000000000258</c:v>
                </c:pt>
                <c:pt idx="820">
                  <c:v>13.666666666666925</c:v>
                </c:pt>
                <c:pt idx="821">
                  <c:v>13.683333333333593</c:v>
                </c:pt>
                <c:pt idx="822">
                  <c:v>13.70000000000026</c:v>
                </c:pt>
                <c:pt idx="823">
                  <c:v>13.716666666666928</c:v>
                </c:pt>
                <c:pt idx="824">
                  <c:v>13.733333333333595</c:v>
                </c:pt>
                <c:pt idx="825">
                  <c:v>13.750000000000263</c:v>
                </c:pt>
                <c:pt idx="826">
                  <c:v>13.76666666666693</c:v>
                </c:pt>
                <c:pt idx="827">
                  <c:v>13.783333333333598</c:v>
                </c:pt>
                <c:pt idx="828">
                  <c:v>13.800000000000265</c:v>
                </c:pt>
                <c:pt idx="829">
                  <c:v>13.816666666666933</c:v>
                </c:pt>
                <c:pt idx="830">
                  <c:v>13.8333333333336</c:v>
                </c:pt>
                <c:pt idx="831">
                  <c:v>13.850000000000268</c:v>
                </c:pt>
                <c:pt idx="832">
                  <c:v>13.866666666666935</c:v>
                </c:pt>
                <c:pt idx="833">
                  <c:v>13.883333333333603</c:v>
                </c:pt>
                <c:pt idx="834">
                  <c:v>13.90000000000027</c:v>
                </c:pt>
                <c:pt idx="835">
                  <c:v>13.916666666666938</c:v>
                </c:pt>
                <c:pt idx="836">
                  <c:v>13.933333333333605</c:v>
                </c:pt>
                <c:pt idx="837">
                  <c:v>13.950000000000273</c:v>
                </c:pt>
                <c:pt idx="838">
                  <c:v>13.96666666666694</c:v>
                </c:pt>
                <c:pt idx="839">
                  <c:v>13.983333333333608</c:v>
                </c:pt>
                <c:pt idx="840">
                  <c:v>14.000000000000275</c:v>
                </c:pt>
                <c:pt idx="841">
                  <c:v>14.016666666666943</c:v>
                </c:pt>
                <c:pt idx="842">
                  <c:v>14.03333333333361</c:v>
                </c:pt>
                <c:pt idx="843">
                  <c:v>14.050000000000278</c:v>
                </c:pt>
                <c:pt idx="844">
                  <c:v>14.066666666666945</c:v>
                </c:pt>
                <c:pt idx="845">
                  <c:v>14.083333333333613</c:v>
                </c:pt>
                <c:pt idx="846">
                  <c:v>14.10000000000028</c:v>
                </c:pt>
                <c:pt idx="847">
                  <c:v>14.116666666666948</c:v>
                </c:pt>
                <c:pt idx="848">
                  <c:v>14.133333333333615</c:v>
                </c:pt>
                <c:pt idx="849">
                  <c:v>14.150000000000283</c:v>
                </c:pt>
                <c:pt idx="850">
                  <c:v>14.16666666666695</c:v>
                </c:pt>
                <c:pt idx="851">
                  <c:v>14.183333333333618</c:v>
                </c:pt>
                <c:pt idx="852">
                  <c:v>14.200000000000285</c:v>
                </c:pt>
                <c:pt idx="853">
                  <c:v>14.216666666666953</c:v>
                </c:pt>
                <c:pt idx="854">
                  <c:v>14.23333333333362</c:v>
                </c:pt>
                <c:pt idx="855">
                  <c:v>14.250000000000288</c:v>
                </c:pt>
                <c:pt idx="856">
                  <c:v>14.266666666666955</c:v>
                </c:pt>
                <c:pt idx="857">
                  <c:v>14.283333333333623</c:v>
                </c:pt>
                <c:pt idx="858">
                  <c:v>14.30000000000029</c:v>
                </c:pt>
                <c:pt idx="859">
                  <c:v>14.316666666666958</c:v>
                </c:pt>
                <c:pt idx="860">
                  <c:v>14.333333333333625</c:v>
                </c:pt>
                <c:pt idx="861">
                  <c:v>14.350000000000293</c:v>
                </c:pt>
                <c:pt idx="862">
                  <c:v>14.36666666666696</c:v>
                </c:pt>
                <c:pt idx="863">
                  <c:v>14.383333333333628</c:v>
                </c:pt>
                <c:pt idx="864">
                  <c:v>14.400000000000295</c:v>
                </c:pt>
                <c:pt idx="865">
                  <c:v>14.416666666666963</c:v>
                </c:pt>
                <c:pt idx="866">
                  <c:v>14.43333333333363</c:v>
                </c:pt>
                <c:pt idx="867">
                  <c:v>14.450000000000298</c:v>
                </c:pt>
                <c:pt idx="868">
                  <c:v>14.466666666666965</c:v>
                </c:pt>
                <c:pt idx="869">
                  <c:v>14.483333333333633</c:v>
                </c:pt>
                <c:pt idx="870">
                  <c:v>14.5000000000003</c:v>
                </c:pt>
                <c:pt idx="871">
                  <c:v>14.516666666666968</c:v>
                </c:pt>
                <c:pt idx="872">
                  <c:v>14.533333333333635</c:v>
                </c:pt>
                <c:pt idx="873">
                  <c:v>14.550000000000303</c:v>
                </c:pt>
                <c:pt idx="874">
                  <c:v>14.56666666666697</c:v>
                </c:pt>
                <c:pt idx="875">
                  <c:v>14.583333333333638</c:v>
                </c:pt>
                <c:pt idx="876">
                  <c:v>14.600000000000305</c:v>
                </c:pt>
                <c:pt idx="877">
                  <c:v>14.616666666666973</c:v>
                </c:pt>
                <c:pt idx="878">
                  <c:v>14.63333333333364</c:v>
                </c:pt>
                <c:pt idx="879">
                  <c:v>14.650000000000308</c:v>
                </c:pt>
                <c:pt idx="880">
                  <c:v>14.666666666666975</c:v>
                </c:pt>
                <c:pt idx="881">
                  <c:v>14.683333333333643</c:v>
                </c:pt>
                <c:pt idx="882">
                  <c:v>14.70000000000031</c:v>
                </c:pt>
                <c:pt idx="883">
                  <c:v>14.716666666666978</c:v>
                </c:pt>
                <c:pt idx="884">
                  <c:v>14.733333333333645</c:v>
                </c:pt>
                <c:pt idx="885">
                  <c:v>14.750000000000313</c:v>
                </c:pt>
                <c:pt idx="886">
                  <c:v>14.76666666666698</c:v>
                </c:pt>
                <c:pt idx="887">
                  <c:v>14.783333333333648</c:v>
                </c:pt>
                <c:pt idx="888">
                  <c:v>14.800000000000315</c:v>
                </c:pt>
                <c:pt idx="889">
                  <c:v>14.816666666666983</c:v>
                </c:pt>
                <c:pt idx="890">
                  <c:v>14.83333333333365</c:v>
                </c:pt>
                <c:pt idx="891">
                  <c:v>14.850000000000318</c:v>
                </c:pt>
                <c:pt idx="892">
                  <c:v>14.866666666666985</c:v>
                </c:pt>
                <c:pt idx="893">
                  <c:v>14.883333333333653</c:v>
                </c:pt>
                <c:pt idx="894">
                  <c:v>14.90000000000032</c:v>
                </c:pt>
                <c:pt idx="895">
                  <c:v>14.916666666666988</c:v>
                </c:pt>
                <c:pt idx="896">
                  <c:v>14.933333333333655</c:v>
                </c:pt>
                <c:pt idx="897">
                  <c:v>14.950000000000323</c:v>
                </c:pt>
                <c:pt idx="898">
                  <c:v>14.96666666666699</c:v>
                </c:pt>
                <c:pt idx="899">
                  <c:v>14.983333333333658</c:v>
                </c:pt>
                <c:pt idx="900">
                  <c:v>15.000000000000325</c:v>
                </c:pt>
                <c:pt idx="901">
                  <c:v>15.016666666666993</c:v>
                </c:pt>
                <c:pt idx="902">
                  <c:v>15.03333333333366</c:v>
                </c:pt>
                <c:pt idx="903">
                  <c:v>15.050000000000328</c:v>
                </c:pt>
                <c:pt idx="904">
                  <c:v>15.066666666666995</c:v>
                </c:pt>
                <c:pt idx="905">
                  <c:v>15.083333333333663</c:v>
                </c:pt>
                <c:pt idx="906">
                  <c:v>15.10000000000033</c:v>
                </c:pt>
                <c:pt idx="907">
                  <c:v>15.116666666666998</c:v>
                </c:pt>
                <c:pt idx="908">
                  <c:v>15.133333333333665</c:v>
                </c:pt>
                <c:pt idx="909">
                  <c:v>15.150000000000333</c:v>
                </c:pt>
                <c:pt idx="910">
                  <c:v>15.166666666667</c:v>
                </c:pt>
                <c:pt idx="911">
                  <c:v>15.183333333333668</c:v>
                </c:pt>
                <c:pt idx="912">
                  <c:v>15.200000000000335</c:v>
                </c:pt>
                <c:pt idx="913">
                  <c:v>15.216666666667003</c:v>
                </c:pt>
                <c:pt idx="914">
                  <c:v>15.23333333333367</c:v>
                </c:pt>
                <c:pt idx="915">
                  <c:v>15.250000000000338</c:v>
                </c:pt>
                <c:pt idx="916">
                  <c:v>15.266666666667005</c:v>
                </c:pt>
                <c:pt idx="917">
                  <c:v>15.283333333333672</c:v>
                </c:pt>
                <c:pt idx="918">
                  <c:v>15.30000000000034</c:v>
                </c:pt>
                <c:pt idx="919">
                  <c:v>15.316666666667007</c:v>
                </c:pt>
                <c:pt idx="920">
                  <c:v>15.333333333333675</c:v>
                </c:pt>
                <c:pt idx="921">
                  <c:v>15.350000000000342</c:v>
                </c:pt>
                <c:pt idx="922">
                  <c:v>15.36666666666701</c:v>
                </c:pt>
                <c:pt idx="923">
                  <c:v>15.383333333333677</c:v>
                </c:pt>
                <c:pt idx="924">
                  <c:v>15.400000000000345</c:v>
                </c:pt>
                <c:pt idx="925">
                  <c:v>15.416666666667012</c:v>
                </c:pt>
                <c:pt idx="926">
                  <c:v>15.43333333333368</c:v>
                </c:pt>
                <c:pt idx="927">
                  <c:v>15.450000000000347</c:v>
                </c:pt>
                <c:pt idx="928">
                  <c:v>15.466666666667015</c:v>
                </c:pt>
                <c:pt idx="929">
                  <c:v>15.483333333333682</c:v>
                </c:pt>
                <c:pt idx="930">
                  <c:v>15.50000000000035</c:v>
                </c:pt>
                <c:pt idx="931">
                  <c:v>15.516666666667017</c:v>
                </c:pt>
                <c:pt idx="932">
                  <c:v>15.533333333333685</c:v>
                </c:pt>
                <c:pt idx="933">
                  <c:v>15.550000000000352</c:v>
                </c:pt>
                <c:pt idx="934">
                  <c:v>15.56666666666702</c:v>
                </c:pt>
                <c:pt idx="935">
                  <c:v>15.583333333333687</c:v>
                </c:pt>
                <c:pt idx="936">
                  <c:v>15.600000000000355</c:v>
                </c:pt>
                <c:pt idx="937">
                  <c:v>15.616666666667022</c:v>
                </c:pt>
                <c:pt idx="938">
                  <c:v>15.63333333333369</c:v>
                </c:pt>
                <c:pt idx="939">
                  <c:v>15.650000000000357</c:v>
                </c:pt>
                <c:pt idx="940">
                  <c:v>15.666666666667025</c:v>
                </c:pt>
                <c:pt idx="941">
                  <c:v>15.683333333333692</c:v>
                </c:pt>
                <c:pt idx="942">
                  <c:v>15.70000000000036</c:v>
                </c:pt>
                <c:pt idx="943">
                  <c:v>15.716666666667027</c:v>
                </c:pt>
                <c:pt idx="944">
                  <c:v>15.733333333333695</c:v>
                </c:pt>
                <c:pt idx="945">
                  <c:v>15.750000000000362</c:v>
                </c:pt>
                <c:pt idx="946">
                  <c:v>15.76666666666703</c:v>
                </c:pt>
                <c:pt idx="947">
                  <c:v>15.783333333333697</c:v>
                </c:pt>
                <c:pt idx="948">
                  <c:v>15.800000000000365</c:v>
                </c:pt>
                <c:pt idx="949">
                  <c:v>15.816666666667032</c:v>
                </c:pt>
                <c:pt idx="950">
                  <c:v>15.8333333333337</c:v>
                </c:pt>
                <c:pt idx="951">
                  <c:v>15.850000000000367</c:v>
                </c:pt>
                <c:pt idx="952">
                  <c:v>15.866666666667035</c:v>
                </c:pt>
                <c:pt idx="953">
                  <c:v>15.883333333333702</c:v>
                </c:pt>
                <c:pt idx="954">
                  <c:v>15.90000000000037</c:v>
                </c:pt>
                <c:pt idx="955">
                  <c:v>15.916666666667037</c:v>
                </c:pt>
                <c:pt idx="956">
                  <c:v>15.933333333333705</c:v>
                </c:pt>
                <c:pt idx="957">
                  <c:v>15.950000000000372</c:v>
                </c:pt>
                <c:pt idx="958">
                  <c:v>15.96666666666704</c:v>
                </c:pt>
                <c:pt idx="959">
                  <c:v>15.983333333333707</c:v>
                </c:pt>
                <c:pt idx="960">
                  <c:v>16.000000000000373</c:v>
                </c:pt>
                <c:pt idx="961">
                  <c:v>16.016666666667039</c:v>
                </c:pt>
                <c:pt idx="962">
                  <c:v>16.033333333333704</c:v>
                </c:pt>
                <c:pt idx="963">
                  <c:v>16.05000000000037</c:v>
                </c:pt>
                <c:pt idx="964">
                  <c:v>16.066666666667036</c:v>
                </c:pt>
                <c:pt idx="965">
                  <c:v>16.083333333333702</c:v>
                </c:pt>
                <c:pt idx="966">
                  <c:v>16.100000000000367</c:v>
                </c:pt>
                <c:pt idx="967">
                  <c:v>16.116666666667033</c:v>
                </c:pt>
                <c:pt idx="968">
                  <c:v>16.133333333333699</c:v>
                </c:pt>
                <c:pt idx="969">
                  <c:v>16.150000000000365</c:v>
                </c:pt>
                <c:pt idx="970">
                  <c:v>16.16666666666703</c:v>
                </c:pt>
                <c:pt idx="971">
                  <c:v>16.183333333333696</c:v>
                </c:pt>
                <c:pt idx="972">
                  <c:v>16.200000000000362</c:v>
                </c:pt>
                <c:pt idx="973">
                  <c:v>16.216666666667027</c:v>
                </c:pt>
                <c:pt idx="974">
                  <c:v>16.233333333333693</c:v>
                </c:pt>
                <c:pt idx="975">
                  <c:v>16.250000000000359</c:v>
                </c:pt>
                <c:pt idx="976">
                  <c:v>16.266666666667025</c:v>
                </c:pt>
                <c:pt idx="977">
                  <c:v>16.28333333333369</c:v>
                </c:pt>
                <c:pt idx="978">
                  <c:v>16.300000000000356</c:v>
                </c:pt>
                <c:pt idx="979">
                  <c:v>16.316666666667022</c:v>
                </c:pt>
                <c:pt idx="980">
                  <c:v>16.333333333333687</c:v>
                </c:pt>
                <c:pt idx="981">
                  <c:v>16.350000000000353</c:v>
                </c:pt>
                <c:pt idx="982">
                  <c:v>16.366666666667019</c:v>
                </c:pt>
                <c:pt idx="983">
                  <c:v>16.383333333333685</c:v>
                </c:pt>
                <c:pt idx="984">
                  <c:v>16.40000000000035</c:v>
                </c:pt>
                <c:pt idx="985">
                  <c:v>16.416666666667016</c:v>
                </c:pt>
                <c:pt idx="986">
                  <c:v>16.433333333333682</c:v>
                </c:pt>
                <c:pt idx="987">
                  <c:v>16.450000000000347</c:v>
                </c:pt>
                <c:pt idx="988">
                  <c:v>16.466666666667013</c:v>
                </c:pt>
                <c:pt idx="989">
                  <c:v>16.483333333333679</c:v>
                </c:pt>
                <c:pt idx="990">
                  <c:v>16.500000000000345</c:v>
                </c:pt>
                <c:pt idx="991">
                  <c:v>16.51666666666701</c:v>
                </c:pt>
                <c:pt idx="992">
                  <c:v>16.533333333333676</c:v>
                </c:pt>
                <c:pt idx="993">
                  <c:v>16.550000000000342</c:v>
                </c:pt>
                <c:pt idx="994">
                  <c:v>16.566666666667007</c:v>
                </c:pt>
                <c:pt idx="995">
                  <c:v>16.583333333333673</c:v>
                </c:pt>
                <c:pt idx="996">
                  <c:v>16.600000000000339</c:v>
                </c:pt>
                <c:pt idx="997">
                  <c:v>16.616666666667005</c:v>
                </c:pt>
                <c:pt idx="998">
                  <c:v>16.63333333333367</c:v>
                </c:pt>
                <c:pt idx="999">
                  <c:v>16.650000000000336</c:v>
                </c:pt>
                <c:pt idx="1000">
                  <c:v>16.666666666667002</c:v>
                </c:pt>
                <c:pt idx="1001">
                  <c:v>16.683333333333668</c:v>
                </c:pt>
                <c:pt idx="1002">
                  <c:v>16.700000000000333</c:v>
                </c:pt>
                <c:pt idx="1003">
                  <c:v>16.716666666666999</c:v>
                </c:pt>
                <c:pt idx="1004">
                  <c:v>16.733333333333665</c:v>
                </c:pt>
                <c:pt idx="1005">
                  <c:v>16.75000000000033</c:v>
                </c:pt>
                <c:pt idx="1006">
                  <c:v>16.766666666666996</c:v>
                </c:pt>
                <c:pt idx="1007">
                  <c:v>16.783333333333662</c:v>
                </c:pt>
                <c:pt idx="1008">
                  <c:v>16.800000000000328</c:v>
                </c:pt>
                <c:pt idx="1009">
                  <c:v>16.816666666666993</c:v>
                </c:pt>
                <c:pt idx="1010">
                  <c:v>16.833333333333659</c:v>
                </c:pt>
                <c:pt idx="1011">
                  <c:v>16.850000000000325</c:v>
                </c:pt>
                <c:pt idx="1012">
                  <c:v>16.86666666666699</c:v>
                </c:pt>
                <c:pt idx="1013">
                  <c:v>16.883333333333656</c:v>
                </c:pt>
                <c:pt idx="1014">
                  <c:v>16.900000000000322</c:v>
                </c:pt>
                <c:pt idx="1015">
                  <c:v>16.916666666666988</c:v>
                </c:pt>
                <c:pt idx="1016">
                  <c:v>16.933333333333653</c:v>
                </c:pt>
                <c:pt idx="1017">
                  <c:v>16.950000000000319</c:v>
                </c:pt>
                <c:pt idx="1018">
                  <c:v>16.966666666666985</c:v>
                </c:pt>
                <c:pt idx="1019">
                  <c:v>16.98333333333365</c:v>
                </c:pt>
                <c:pt idx="1020">
                  <c:v>17.000000000000316</c:v>
                </c:pt>
                <c:pt idx="1021">
                  <c:v>17.016666666666982</c:v>
                </c:pt>
                <c:pt idx="1022">
                  <c:v>17.033333333333648</c:v>
                </c:pt>
                <c:pt idx="1023">
                  <c:v>17.050000000000313</c:v>
                </c:pt>
                <c:pt idx="1024">
                  <c:v>17.066666666666979</c:v>
                </c:pt>
                <c:pt idx="1025">
                  <c:v>17.083333333333645</c:v>
                </c:pt>
                <c:pt idx="1026">
                  <c:v>17.100000000000311</c:v>
                </c:pt>
                <c:pt idx="1027">
                  <c:v>17.116666666666976</c:v>
                </c:pt>
                <c:pt idx="1028">
                  <c:v>17.133333333333642</c:v>
                </c:pt>
                <c:pt idx="1029">
                  <c:v>17.150000000000308</c:v>
                </c:pt>
                <c:pt idx="1030">
                  <c:v>17.166666666666973</c:v>
                </c:pt>
                <c:pt idx="1031">
                  <c:v>17.183333333333639</c:v>
                </c:pt>
                <c:pt idx="1032">
                  <c:v>17.200000000000305</c:v>
                </c:pt>
                <c:pt idx="1033">
                  <c:v>17.216666666666971</c:v>
                </c:pt>
                <c:pt idx="1034">
                  <c:v>17.233333333333636</c:v>
                </c:pt>
                <c:pt idx="1035">
                  <c:v>17.250000000000302</c:v>
                </c:pt>
                <c:pt idx="1036">
                  <c:v>17.266666666666968</c:v>
                </c:pt>
                <c:pt idx="1037">
                  <c:v>17.283333333333633</c:v>
                </c:pt>
                <c:pt idx="1038">
                  <c:v>17.300000000000299</c:v>
                </c:pt>
                <c:pt idx="1039">
                  <c:v>17.316666666666965</c:v>
                </c:pt>
                <c:pt idx="1040">
                  <c:v>17.333333333333631</c:v>
                </c:pt>
                <c:pt idx="1041">
                  <c:v>17.350000000000296</c:v>
                </c:pt>
                <c:pt idx="1042">
                  <c:v>17.366666666666962</c:v>
                </c:pt>
                <c:pt idx="1043">
                  <c:v>17.383333333333628</c:v>
                </c:pt>
                <c:pt idx="1044">
                  <c:v>17.400000000000293</c:v>
                </c:pt>
                <c:pt idx="1045">
                  <c:v>17.416666666666959</c:v>
                </c:pt>
                <c:pt idx="1046">
                  <c:v>17.433333333333625</c:v>
                </c:pt>
                <c:pt idx="1047">
                  <c:v>17.450000000000291</c:v>
                </c:pt>
                <c:pt idx="1048">
                  <c:v>17.466666666666956</c:v>
                </c:pt>
                <c:pt idx="1049">
                  <c:v>17.483333333333622</c:v>
                </c:pt>
                <c:pt idx="1050">
                  <c:v>17.500000000000288</c:v>
                </c:pt>
                <c:pt idx="1051">
                  <c:v>17.516666666666953</c:v>
                </c:pt>
                <c:pt idx="1052">
                  <c:v>17.533333333333619</c:v>
                </c:pt>
                <c:pt idx="1053">
                  <c:v>17.550000000000285</c:v>
                </c:pt>
                <c:pt idx="1054">
                  <c:v>17.566666666666951</c:v>
                </c:pt>
                <c:pt idx="1055">
                  <c:v>17.583333333333616</c:v>
                </c:pt>
                <c:pt idx="1056">
                  <c:v>17.600000000000282</c:v>
                </c:pt>
                <c:pt idx="1057">
                  <c:v>17.616666666666948</c:v>
                </c:pt>
                <c:pt idx="1058">
                  <c:v>17.633333333333614</c:v>
                </c:pt>
                <c:pt idx="1059">
                  <c:v>17.650000000000279</c:v>
                </c:pt>
                <c:pt idx="1060">
                  <c:v>17.666666666666945</c:v>
                </c:pt>
                <c:pt idx="1061">
                  <c:v>17.683333333333611</c:v>
                </c:pt>
                <c:pt idx="1062">
                  <c:v>17.700000000000276</c:v>
                </c:pt>
                <c:pt idx="1063">
                  <c:v>17.716666666666942</c:v>
                </c:pt>
                <c:pt idx="1064">
                  <c:v>17.733333333333608</c:v>
                </c:pt>
                <c:pt idx="1065">
                  <c:v>17.750000000000274</c:v>
                </c:pt>
                <c:pt idx="1066">
                  <c:v>17.766666666666939</c:v>
                </c:pt>
                <c:pt idx="1067">
                  <c:v>17.783333333333605</c:v>
                </c:pt>
                <c:pt idx="1068">
                  <c:v>17.800000000000271</c:v>
                </c:pt>
                <c:pt idx="1069">
                  <c:v>17.816666666666936</c:v>
                </c:pt>
                <c:pt idx="1070">
                  <c:v>17.833333333333602</c:v>
                </c:pt>
                <c:pt idx="1071">
                  <c:v>17.850000000000268</c:v>
                </c:pt>
                <c:pt idx="1072">
                  <c:v>17.866666666666934</c:v>
                </c:pt>
                <c:pt idx="1073">
                  <c:v>17.883333333333599</c:v>
                </c:pt>
                <c:pt idx="1074">
                  <c:v>17.900000000000265</c:v>
                </c:pt>
                <c:pt idx="1075">
                  <c:v>17.916666666666931</c:v>
                </c:pt>
                <c:pt idx="1076">
                  <c:v>17.933333333333596</c:v>
                </c:pt>
                <c:pt idx="1077">
                  <c:v>17.950000000000262</c:v>
                </c:pt>
                <c:pt idx="1078">
                  <c:v>17.966666666666928</c:v>
                </c:pt>
                <c:pt idx="1079">
                  <c:v>17.983333333333594</c:v>
                </c:pt>
                <c:pt idx="1080">
                  <c:v>18.000000000000259</c:v>
                </c:pt>
                <c:pt idx="1081">
                  <c:v>18.016666666666925</c:v>
                </c:pt>
                <c:pt idx="1082">
                  <c:v>18.033333333333591</c:v>
                </c:pt>
                <c:pt idx="1083">
                  <c:v>18.050000000000257</c:v>
                </c:pt>
                <c:pt idx="1084">
                  <c:v>18.066666666666922</c:v>
                </c:pt>
                <c:pt idx="1085">
                  <c:v>18.083333333333588</c:v>
                </c:pt>
                <c:pt idx="1086">
                  <c:v>18.100000000000254</c:v>
                </c:pt>
                <c:pt idx="1087">
                  <c:v>18.116666666666919</c:v>
                </c:pt>
                <c:pt idx="1088">
                  <c:v>18.133333333333585</c:v>
                </c:pt>
                <c:pt idx="1089">
                  <c:v>18.150000000000251</c:v>
                </c:pt>
                <c:pt idx="1090">
                  <c:v>18.166666666666917</c:v>
                </c:pt>
                <c:pt idx="1091">
                  <c:v>18.183333333333582</c:v>
                </c:pt>
                <c:pt idx="1092">
                  <c:v>18.200000000000248</c:v>
                </c:pt>
                <c:pt idx="1093">
                  <c:v>18.216666666666914</c:v>
                </c:pt>
                <c:pt idx="1094">
                  <c:v>18.233333333333579</c:v>
                </c:pt>
                <c:pt idx="1095">
                  <c:v>18.250000000000245</c:v>
                </c:pt>
                <c:pt idx="1096">
                  <c:v>18.266666666666911</c:v>
                </c:pt>
                <c:pt idx="1097">
                  <c:v>18.283333333333577</c:v>
                </c:pt>
                <c:pt idx="1098">
                  <c:v>18.300000000000242</c:v>
                </c:pt>
                <c:pt idx="1099">
                  <c:v>18.316666666666908</c:v>
                </c:pt>
                <c:pt idx="1100">
                  <c:v>18.333333333333574</c:v>
                </c:pt>
                <c:pt idx="1101">
                  <c:v>18.350000000000239</c:v>
                </c:pt>
                <c:pt idx="1102">
                  <c:v>18.366666666666905</c:v>
                </c:pt>
                <c:pt idx="1103">
                  <c:v>18.383333333333571</c:v>
                </c:pt>
                <c:pt idx="1104">
                  <c:v>18.400000000000237</c:v>
                </c:pt>
                <c:pt idx="1105">
                  <c:v>18.416666666666902</c:v>
                </c:pt>
                <c:pt idx="1106">
                  <c:v>18.433333333333568</c:v>
                </c:pt>
                <c:pt idx="1107">
                  <c:v>18.450000000000234</c:v>
                </c:pt>
                <c:pt idx="1108">
                  <c:v>18.466666666666899</c:v>
                </c:pt>
                <c:pt idx="1109">
                  <c:v>18.483333333333565</c:v>
                </c:pt>
                <c:pt idx="1110">
                  <c:v>18.500000000000231</c:v>
                </c:pt>
                <c:pt idx="1111">
                  <c:v>18.516666666666897</c:v>
                </c:pt>
                <c:pt idx="1112">
                  <c:v>18.533333333333562</c:v>
                </c:pt>
                <c:pt idx="1113">
                  <c:v>18.550000000000228</c:v>
                </c:pt>
                <c:pt idx="1114">
                  <c:v>18.566666666666894</c:v>
                </c:pt>
                <c:pt idx="1115">
                  <c:v>18.58333333333356</c:v>
                </c:pt>
                <c:pt idx="1116">
                  <c:v>18.600000000000225</c:v>
                </c:pt>
                <c:pt idx="1117">
                  <c:v>18.616666666666891</c:v>
                </c:pt>
                <c:pt idx="1118">
                  <c:v>18.633333333333557</c:v>
                </c:pt>
                <c:pt idx="1119">
                  <c:v>18.650000000000222</c:v>
                </c:pt>
                <c:pt idx="1120">
                  <c:v>18.666666666666888</c:v>
                </c:pt>
                <c:pt idx="1121">
                  <c:v>18.683333333333554</c:v>
                </c:pt>
                <c:pt idx="1122">
                  <c:v>18.70000000000022</c:v>
                </c:pt>
                <c:pt idx="1123">
                  <c:v>18.716666666666885</c:v>
                </c:pt>
                <c:pt idx="1124">
                  <c:v>18.733333333333551</c:v>
                </c:pt>
                <c:pt idx="1125">
                  <c:v>18.750000000000217</c:v>
                </c:pt>
                <c:pt idx="1126">
                  <c:v>18.766666666666882</c:v>
                </c:pt>
                <c:pt idx="1127">
                  <c:v>18.783333333333548</c:v>
                </c:pt>
                <c:pt idx="1128">
                  <c:v>18.800000000000214</c:v>
                </c:pt>
                <c:pt idx="1129">
                  <c:v>18.81666666666688</c:v>
                </c:pt>
                <c:pt idx="1130">
                  <c:v>18.833333333333545</c:v>
                </c:pt>
                <c:pt idx="1131">
                  <c:v>18.850000000000211</c:v>
                </c:pt>
                <c:pt idx="1132">
                  <c:v>18.866666666666877</c:v>
                </c:pt>
                <c:pt idx="1133">
                  <c:v>18.883333333333542</c:v>
                </c:pt>
                <c:pt idx="1134">
                  <c:v>18.900000000000208</c:v>
                </c:pt>
                <c:pt idx="1135">
                  <c:v>18.916666666666874</c:v>
                </c:pt>
                <c:pt idx="1136">
                  <c:v>18.93333333333354</c:v>
                </c:pt>
                <c:pt idx="1137">
                  <c:v>18.950000000000205</c:v>
                </c:pt>
                <c:pt idx="1138">
                  <c:v>18.966666666666871</c:v>
                </c:pt>
                <c:pt idx="1139">
                  <c:v>18.983333333333537</c:v>
                </c:pt>
                <c:pt idx="1140">
                  <c:v>19.000000000000203</c:v>
                </c:pt>
                <c:pt idx="1141">
                  <c:v>19.016666666666868</c:v>
                </c:pt>
                <c:pt idx="1142">
                  <c:v>19.033333333333534</c:v>
                </c:pt>
                <c:pt idx="1143">
                  <c:v>19.0500000000002</c:v>
                </c:pt>
                <c:pt idx="1144">
                  <c:v>19.066666666666865</c:v>
                </c:pt>
                <c:pt idx="1145">
                  <c:v>19.083333333333531</c:v>
                </c:pt>
                <c:pt idx="1146">
                  <c:v>19.100000000000197</c:v>
                </c:pt>
                <c:pt idx="1147">
                  <c:v>19.116666666666863</c:v>
                </c:pt>
                <c:pt idx="1148">
                  <c:v>19.133333333333528</c:v>
                </c:pt>
                <c:pt idx="1149">
                  <c:v>19.150000000000194</c:v>
                </c:pt>
                <c:pt idx="1150">
                  <c:v>19.16666666666686</c:v>
                </c:pt>
                <c:pt idx="1151">
                  <c:v>19.183333333333525</c:v>
                </c:pt>
                <c:pt idx="1152">
                  <c:v>19.200000000000191</c:v>
                </c:pt>
                <c:pt idx="1153">
                  <c:v>19.216666666666857</c:v>
                </c:pt>
                <c:pt idx="1154">
                  <c:v>19.233333333333523</c:v>
                </c:pt>
                <c:pt idx="1155">
                  <c:v>19.250000000000188</c:v>
                </c:pt>
                <c:pt idx="1156">
                  <c:v>19.266666666666854</c:v>
                </c:pt>
                <c:pt idx="1157">
                  <c:v>19.28333333333352</c:v>
                </c:pt>
                <c:pt idx="1158">
                  <c:v>19.300000000000185</c:v>
                </c:pt>
                <c:pt idx="1159">
                  <c:v>19.316666666666851</c:v>
                </c:pt>
                <c:pt idx="1160">
                  <c:v>19.333333333333517</c:v>
                </c:pt>
                <c:pt idx="1161">
                  <c:v>19.350000000000183</c:v>
                </c:pt>
                <c:pt idx="1162">
                  <c:v>19.366666666666848</c:v>
                </c:pt>
                <c:pt idx="1163">
                  <c:v>19.383333333333514</c:v>
                </c:pt>
                <c:pt idx="1164">
                  <c:v>19.40000000000018</c:v>
                </c:pt>
                <c:pt idx="1165">
                  <c:v>19.416666666666845</c:v>
                </c:pt>
                <c:pt idx="1166">
                  <c:v>19.433333333333511</c:v>
                </c:pt>
                <c:pt idx="1167">
                  <c:v>19.450000000000177</c:v>
                </c:pt>
                <c:pt idx="1168">
                  <c:v>19.466666666666843</c:v>
                </c:pt>
                <c:pt idx="1169">
                  <c:v>19.483333333333508</c:v>
                </c:pt>
                <c:pt idx="1170">
                  <c:v>19.500000000000174</c:v>
                </c:pt>
                <c:pt idx="1171">
                  <c:v>19.51666666666684</c:v>
                </c:pt>
                <c:pt idx="1172">
                  <c:v>19.533333333333506</c:v>
                </c:pt>
                <c:pt idx="1173">
                  <c:v>19.550000000000171</c:v>
                </c:pt>
                <c:pt idx="1174">
                  <c:v>19.566666666666837</c:v>
                </c:pt>
                <c:pt idx="1175">
                  <c:v>19.583333333333503</c:v>
                </c:pt>
                <c:pt idx="1176">
                  <c:v>19.600000000000168</c:v>
                </c:pt>
                <c:pt idx="1177">
                  <c:v>19.616666666666834</c:v>
                </c:pt>
                <c:pt idx="1178">
                  <c:v>19.6333333333335</c:v>
                </c:pt>
                <c:pt idx="1179">
                  <c:v>19.650000000000166</c:v>
                </c:pt>
                <c:pt idx="1180">
                  <c:v>19.666666666666831</c:v>
                </c:pt>
                <c:pt idx="1181">
                  <c:v>19.683333333333497</c:v>
                </c:pt>
                <c:pt idx="1182">
                  <c:v>19.700000000000163</c:v>
                </c:pt>
                <c:pt idx="1183">
                  <c:v>19.716666666666828</c:v>
                </c:pt>
                <c:pt idx="1184">
                  <c:v>19.733333333333494</c:v>
                </c:pt>
                <c:pt idx="1185">
                  <c:v>19.75000000000016</c:v>
                </c:pt>
                <c:pt idx="1186">
                  <c:v>19.766666666666826</c:v>
                </c:pt>
                <c:pt idx="1187">
                  <c:v>19.783333333333491</c:v>
                </c:pt>
                <c:pt idx="1188">
                  <c:v>19.800000000000157</c:v>
                </c:pt>
                <c:pt idx="1189">
                  <c:v>19.816666666666823</c:v>
                </c:pt>
                <c:pt idx="1190">
                  <c:v>19.833333333333488</c:v>
                </c:pt>
                <c:pt idx="1191">
                  <c:v>19.850000000000154</c:v>
                </c:pt>
                <c:pt idx="1192">
                  <c:v>19.86666666666682</c:v>
                </c:pt>
                <c:pt idx="1193">
                  <c:v>19.883333333333486</c:v>
                </c:pt>
                <c:pt idx="1194">
                  <c:v>19.900000000000151</c:v>
                </c:pt>
                <c:pt idx="1195">
                  <c:v>19.916666666666817</c:v>
                </c:pt>
                <c:pt idx="1196">
                  <c:v>19.933333333333483</c:v>
                </c:pt>
                <c:pt idx="1197">
                  <c:v>19.950000000000149</c:v>
                </c:pt>
                <c:pt idx="1198">
                  <c:v>19.966666666666814</c:v>
                </c:pt>
                <c:pt idx="1199">
                  <c:v>19.98333333333348</c:v>
                </c:pt>
                <c:pt idx="1200">
                  <c:v>20.000000000000146</c:v>
                </c:pt>
                <c:pt idx="1201">
                  <c:v>20.016666666666811</c:v>
                </c:pt>
                <c:pt idx="1202">
                  <c:v>20.033333333333477</c:v>
                </c:pt>
                <c:pt idx="1203">
                  <c:v>20.050000000000143</c:v>
                </c:pt>
                <c:pt idx="1204">
                  <c:v>20.066666666666809</c:v>
                </c:pt>
                <c:pt idx="1205">
                  <c:v>20.083333333333474</c:v>
                </c:pt>
                <c:pt idx="1206">
                  <c:v>20.10000000000014</c:v>
                </c:pt>
                <c:pt idx="1207">
                  <c:v>20.116666666666806</c:v>
                </c:pt>
                <c:pt idx="1208">
                  <c:v>20.133333333333471</c:v>
                </c:pt>
                <c:pt idx="1209">
                  <c:v>20.150000000000137</c:v>
                </c:pt>
                <c:pt idx="1210">
                  <c:v>20.166666666666803</c:v>
                </c:pt>
                <c:pt idx="1211">
                  <c:v>20.183333333333469</c:v>
                </c:pt>
                <c:pt idx="1212">
                  <c:v>20.200000000000134</c:v>
                </c:pt>
                <c:pt idx="1213">
                  <c:v>20.2166666666668</c:v>
                </c:pt>
                <c:pt idx="1214">
                  <c:v>20.233333333333466</c:v>
                </c:pt>
                <c:pt idx="1215">
                  <c:v>20.250000000000131</c:v>
                </c:pt>
                <c:pt idx="1216">
                  <c:v>20.266666666666797</c:v>
                </c:pt>
                <c:pt idx="1217">
                  <c:v>20.283333333333463</c:v>
                </c:pt>
                <c:pt idx="1218">
                  <c:v>20.300000000000129</c:v>
                </c:pt>
                <c:pt idx="1219">
                  <c:v>20.316666666666794</c:v>
                </c:pt>
                <c:pt idx="1220">
                  <c:v>20.33333333333346</c:v>
                </c:pt>
                <c:pt idx="1221">
                  <c:v>20.350000000000126</c:v>
                </c:pt>
                <c:pt idx="1222">
                  <c:v>20.366666666666791</c:v>
                </c:pt>
                <c:pt idx="1223">
                  <c:v>20.383333333333457</c:v>
                </c:pt>
                <c:pt idx="1224">
                  <c:v>20.400000000000123</c:v>
                </c:pt>
                <c:pt idx="1225">
                  <c:v>20.416666666666789</c:v>
                </c:pt>
                <c:pt idx="1226">
                  <c:v>20.433333333333454</c:v>
                </c:pt>
                <c:pt idx="1227">
                  <c:v>20.45000000000012</c:v>
                </c:pt>
                <c:pt idx="1228">
                  <c:v>20.466666666666786</c:v>
                </c:pt>
                <c:pt idx="1229">
                  <c:v>20.483333333333452</c:v>
                </c:pt>
                <c:pt idx="1230">
                  <c:v>20.500000000000117</c:v>
                </c:pt>
                <c:pt idx="1231">
                  <c:v>20.516666666666783</c:v>
                </c:pt>
                <c:pt idx="1232">
                  <c:v>20.533333333333449</c:v>
                </c:pt>
                <c:pt idx="1233">
                  <c:v>20.550000000000114</c:v>
                </c:pt>
                <c:pt idx="1234">
                  <c:v>20.56666666666678</c:v>
                </c:pt>
                <c:pt idx="1235">
                  <c:v>20.583333333333446</c:v>
                </c:pt>
                <c:pt idx="1236">
                  <c:v>20.600000000000112</c:v>
                </c:pt>
                <c:pt idx="1237">
                  <c:v>20.616666666666777</c:v>
                </c:pt>
                <c:pt idx="1238">
                  <c:v>20.633333333333443</c:v>
                </c:pt>
                <c:pt idx="1239">
                  <c:v>20.650000000000109</c:v>
                </c:pt>
                <c:pt idx="1240">
                  <c:v>20.666666666666774</c:v>
                </c:pt>
                <c:pt idx="1241">
                  <c:v>20.68333333333344</c:v>
                </c:pt>
                <c:pt idx="1242">
                  <c:v>20.700000000000106</c:v>
                </c:pt>
                <c:pt idx="1243">
                  <c:v>20.716666666666772</c:v>
                </c:pt>
                <c:pt idx="1244">
                  <c:v>20.733333333333437</c:v>
                </c:pt>
                <c:pt idx="1245">
                  <c:v>20.750000000000103</c:v>
                </c:pt>
                <c:pt idx="1246">
                  <c:v>20.766666666666769</c:v>
                </c:pt>
                <c:pt idx="1247">
                  <c:v>20.783333333333434</c:v>
                </c:pt>
                <c:pt idx="1248">
                  <c:v>20.8000000000001</c:v>
                </c:pt>
                <c:pt idx="1249">
                  <c:v>20.816666666666766</c:v>
                </c:pt>
                <c:pt idx="1250">
                  <c:v>20.833333333333432</c:v>
                </c:pt>
                <c:pt idx="1251">
                  <c:v>20.850000000000097</c:v>
                </c:pt>
                <c:pt idx="1252">
                  <c:v>20.866666666666763</c:v>
                </c:pt>
                <c:pt idx="1253">
                  <c:v>20.883333333333429</c:v>
                </c:pt>
                <c:pt idx="1254">
                  <c:v>20.900000000000095</c:v>
                </c:pt>
                <c:pt idx="1255">
                  <c:v>20.91666666666676</c:v>
                </c:pt>
                <c:pt idx="1256">
                  <c:v>20.933333333333426</c:v>
                </c:pt>
                <c:pt idx="1257">
                  <c:v>20.950000000000092</c:v>
                </c:pt>
                <c:pt idx="1258">
                  <c:v>20.966666666666757</c:v>
                </c:pt>
                <c:pt idx="1259">
                  <c:v>20.983333333333423</c:v>
                </c:pt>
                <c:pt idx="1260">
                  <c:v>21.000000000000089</c:v>
                </c:pt>
                <c:pt idx="1261">
                  <c:v>21.016666666666755</c:v>
                </c:pt>
                <c:pt idx="1262">
                  <c:v>21.03333333333342</c:v>
                </c:pt>
                <c:pt idx="1263">
                  <c:v>21.050000000000086</c:v>
                </c:pt>
                <c:pt idx="1264">
                  <c:v>21.066666666666752</c:v>
                </c:pt>
                <c:pt idx="1265">
                  <c:v>21.083333333333417</c:v>
                </c:pt>
                <c:pt idx="1266">
                  <c:v>21.100000000000083</c:v>
                </c:pt>
                <c:pt idx="1267">
                  <c:v>21.116666666666749</c:v>
                </c:pt>
                <c:pt idx="1268">
                  <c:v>21.133333333333415</c:v>
                </c:pt>
                <c:pt idx="1269">
                  <c:v>21.15000000000008</c:v>
                </c:pt>
                <c:pt idx="1270">
                  <c:v>21.166666666666746</c:v>
                </c:pt>
                <c:pt idx="1271">
                  <c:v>21.183333333333412</c:v>
                </c:pt>
                <c:pt idx="1272">
                  <c:v>21.200000000000077</c:v>
                </c:pt>
                <c:pt idx="1273">
                  <c:v>21.216666666666743</c:v>
                </c:pt>
                <c:pt idx="1274">
                  <c:v>21.233333333333409</c:v>
                </c:pt>
                <c:pt idx="1275">
                  <c:v>21.250000000000075</c:v>
                </c:pt>
                <c:pt idx="1276">
                  <c:v>21.26666666666674</c:v>
                </c:pt>
                <c:pt idx="1277">
                  <c:v>21.283333333333406</c:v>
                </c:pt>
                <c:pt idx="1278">
                  <c:v>21.300000000000072</c:v>
                </c:pt>
                <c:pt idx="1279">
                  <c:v>21.316666666666737</c:v>
                </c:pt>
                <c:pt idx="1280">
                  <c:v>21.333333333333403</c:v>
                </c:pt>
                <c:pt idx="1281">
                  <c:v>21.350000000000069</c:v>
                </c:pt>
                <c:pt idx="1282">
                  <c:v>21.366666666666735</c:v>
                </c:pt>
                <c:pt idx="1283">
                  <c:v>21.3833333333334</c:v>
                </c:pt>
                <c:pt idx="1284">
                  <c:v>21.400000000000066</c:v>
                </c:pt>
                <c:pt idx="1285">
                  <c:v>21.416666666666732</c:v>
                </c:pt>
                <c:pt idx="1286">
                  <c:v>21.433333333333398</c:v>
                </c:pt>
                <c:pt idx="1287">
                  <c:v>21.450000000000063</c:v>
                </c:pt>
                <c:pt idx="1288">
                  <c:v>21.466666666666729</c:v>
                </c:pt>
                <c:pt idx="1289">
                  <c:v>21.483333333333395</c:v>
                </c:pt>
                <c:pt idx="1290">
                  <c:v>21.50000000000006</c:v>
                </c:pt>
                <c:pt idx="1291">
                  <c:v>21.516666666666726</c:v>
                </c:pt>
                <c:pt idx="1292">
                  <c:v>21.533333333333392</c:v>
                </c:pt>
                <c:pt idx="1293">
                  <c:v>21.550000000000058</c:v>
                </c:pt>
                <c:pt idx="1294">
                  <c:v>21.566666666666723</c:v>
                </c:pt>
                <c:pt idx="1295">
                  <c:v>21.583333333333389</c:v>
                </c:pt>
                <c:pt idx="1296">
                  <c:v>21.600000000000055</c:v>
                </c:pt>
                <c:pt idx="1297">
                  <c:v>21.61666666666672</c:v>
                </c:pt>
                <c:pt idx="1298">
                  <c:v>21.633333333333386</c:v>
                </c:pt>
                <c:pt idx="1299">
                  <c:v>21.650000000000052</c:v>
                </c:pt>
                <c:pt idx="1300">
                  <c:v>21.666666666666718</c:v>
                </c:pt>
                <c:pt idx="1301">
                  <c:v>21.683333333333383</c:v>
                </c:pt>
                <c:pt idx="1302">
                  <c:v>21.700000000000049</c:v>
                </c:pt>
                <c:pt idx="1303">
                  <c:v>21.716666666666715</c:v>
                </c:pt>
                <c:pt idx="1304">
                  <c:v>21.73333333333338</c:v>
                </c:pt>
                <c:pt idx="1305">
                  <c:v>21.750000000000046</c:v>
                </c:pt>
                <c:pt idx="1306">
                  <c:v>21.766666666666712</c:v>
                </c:pt>
                <c:pt idx="1307">
                  <c:v>21.783333333333378</c:v>
                </c:pt>
                <c:pt idx="1308">
                  <c:v>21.800000000000043</c:v>
                </c:pt>
                <c:pt idx="1309">
                  <c:v>21.816666666666709</c:v>
                </c:pt>
                <c:pt idx="1310">
                  <c:v>21.833333333333375</c:v>
                </c:pt>
                <c:pt idx="1311">
                  <c:v>21.850000000000041</c:v>
                </c:pt>
                <c:pt idx="1312">
                  <c:v>21.866666666666706</c:v>
                </c:pt>
                <c:pt idx="1313">
                  <c:v>21.883333333333372</c:v>
                </c:pt>
                <c:pt idx="1314">
                  <c:v>21.900000000000038</c:v>
                </c:pt>
                <c:pt idx="1315">
                  <c:v>21.916666666666703</c:v>
                </c:pt>
                <c:pt idx="1316">
                  <c:v>21.933333333333369</c:v>
                </c:pt>
                <c:pt idx="1317">
                  <c:v>21.950000000000035</c:v>
                </c:pt>
                <c:pt idx="1318">
                  <c:v>21.966666666666701</c:v>
                </c:pt>
                <c:pt idx="1319">
                  <c:v>21.983333333333366</c:v>
                </c:pt>
                <c:pt idx="1320">
                  <c:v>22.000000000000032</c:v>
                </c:pt>
                <c:pt idx="1321">
                  <c:v>22.016666666666698</c:v>
                </c:pt>
                <c:pt idx="1322">
                  <c:v>22.033333333333363</c:v>
                </c:pt>
                <c:pt idx="1323">
                  <c:v>22.050000000000029</c:v>
                </c:pt>
                <c:pt idx="1324">
                  <c:v>22.066666666666695</c:v>
                </c:pt>
                <c:pt idx="1325">
                  <c:v>22.083333333333361</c:v>
                </c:pt>
                <c:pt idx="1326">
                  <c:v>22.100000000000026</c:v>
                </c:pt>
                <c:pt idx="1327">
                  <c:v>22.116666666666692</c:v>
                </c:pt>
                <c:pt idx="1328">
                  <c:v>22.133333333333358</c:v>
                </c:pt>
                <c:pt idx="1329">
                  <c:v>22.150000000000023</c:v>
                </c:pt>
                <c:pt idx="1330">
                  <c:v>22.166666666666689</c:v>
                </c:pt>
                <c:pt idx="1331">
                  <c:v>22.183333333333355</c:v>
                </c:pt>
                <c:pt idx="1332">
                  <c:v>22.200000000000021</c:v>
                </c:pt>
                <c:pt idx="1333">
                  <c:v>22.216666666666686</c:v>
                </c:pt>
                <c:pt idx="1334">
                  <c:v>22.233333333333352</c:v>
                </c:pt>
                <c:pt idx="1335">
                  <c:v>22.250000000000018</c:v>
                </c:pt>
                <c:pt idx="1336">
                  <c:v>22.266666666666683</c:v>
                </c:pt>
                <c:pt idx="1337">
                  <c:v>22.283333333333349</c:v>
                </c:pt>
                <c:pt idx="1338">
                  <c:v>22.300000000000015</c:v>
                </c:pt>
                <c:pt idx="1339">
                  <c:v>22.316666666666681</c:v>
                </c:pt>
                <c:pt idx="1340">
                  <c:v>22.333333333333346</c:v>
                </c:pt>
                <c:pt idx="1341">
                  <c:v>22.350000000000012</c:v>
                </c:pt>
                <c:pt idx="1342">
                  <c:v>22.366666666666678</c:v>
                </c:pt>
                <c:pt idx="1343">
                  <c:v>22.383333333333344</c:v>
                </c:pt>
                <c:pt idx="1344">
                  <c:v>22.400000000000009</c:v>
                </c:pt>
                <c:pt idx="1345">
                  <c:v>22.416666666666675</c:v>
                </c:pt>
                <c:pt idx="1346">
                  <c:v>22.433333333333341</c:v>
                </c:pt>
                <c:pt idx="1347">
                  <c:v>22.450000000000006</c:v>
                </c:pt>
                <c:pt idx="1348">
                  <c:v>22.466666666666672</c:v>
                </c:pt>
                <c:pt idx="1349">
                  <c:v>22.483333333333338</c:v>
                </c:pt>
                <c:pt idx="1350">
                  <c:v>22.500000000000004</c:v>
                </c:pt>
                <c:pt idx="1351">
                  <c:v>22.516666666666669</c:v>
                </c:pt>
                <c:pt idx="1352">
                  <c:v>22.533333333333335</c:v>
                </c:pt>
                <c:pt idx="1353">
                  <c:v>22.55</c:v>
                </c:pt>
                <c:pt idx="1354">
                  <c:v>22.566666666666666</c:v>
                </c:pt>
                <c:pt idx="1355">
                  <c:v>22.583333333333332</c:v>
                </c:pt>
                <c:pt idx="1356">
                  <c:v>22.599999999999998</c:v>
                </c:pt>
                <c:pt idx="1357">
                  <c:v>22.616666666666664</c:v>
                </c:pt>
                <c:pt idx="1358">
                  <c:v>22.633333333333329</c:v>
                </c:pt>
                <c:pt idx="1359">
                  <c:v>22.649999999999995</c:v>
                </c:pt>
                <c:pt idx="1360">
                  <c:v>22.666666666666661</c:v>
                </c:pt>
                <c:pt idx="1361">
                  <c:v>22.683333333333326</c:v>
                </c:pt>
                <c:pt idx="1362">
                  <c:v>22.699999999999992</c:v>
                </c:pt>
                <c:pt idx="1363">
                  <c:v>22.716666666666658</c:v>
                </c:pt>
                <c:pt idx="1364">
                  <c:v>22.733333333333324</c:v>
                </c:pt>
                <c:pt idx="1365">
                  <c:v>22.749999999999989</c:v>
                </c:pt>
                <c:pt idx="1366">
                  <c:v>22.766666666666655</c:v>
                </c:pt>
                <c:pt idx="1367">
                  <c:v>22.783333333333321</c:v>
                </c:pt>
                <c:pt idx="1368">
                  <c:v>22.799999999999986</c:v>
                </c:pt>
                <c:pt idx="1369">
                  <c:v>22.816666666666652</c:v>
                </c:pt>
                <c:pt idx="1370">
                  <c:v>22.833333333333318</c:v>
                </c:pt>
                <c:pt idx="1371">
                  <c:v>22.849999999999984</c:v>
                </c:pt>
                <c:pt idx="1372">
                  <c:v>22.866666666666649</c:v>
                </c:pt>
                <c:pt idx="1373">
                  <c:v>22.883333333333315</c:v>
                </c:pt>
                <c:pt idx="1374">
                  <c:v>22.899999999999981</c:v>
                </c:pt>
                <c:pt idx="1375">
                  <c:v>22.916666666666647</c:v>
                </c:pt>
                <c:pt idx="1376">
                  <c:v>22.933333333333312</c:v>
                </c:pt>
                <c:pt idx="1377">
                  <c:v>22.949999999999978</c:v>
                </c:pt>
                <c:pt idx="1378">
                  <c:v>22.966666666666644</c:v>
                </c:pt>
                <c:pt idx="1379">
                  <c:v>22.983333333333309</c:v>
                </c:pt>
                <c:pt idx="1380">
                  <c:v>22.999999999999975</c:v>
                </c:pt>
                <c:pt idx="1381">
                  <c:v>23.016666666666641</c:v>
                </c:pt>
                <c:pt idx="1382">
                  <c:v>23.033333333333307</c:v>
                </c:pt>
                <c:pt idx="1383">
                  <c:v>23.049999999999972</c:v>
                </c:pt>
                <c:pt idx="1384">
                  <c:v>23.066666666666638</c:v>
                </c:pt>
                <c:pt idx="1385">
                  <c:v>23.083333333333304</c:v>
                </c:pt>
                <c:pt idx="1386">
                  <c:v>23.099999999999969</c:v>
                </c:pt>
                <c:pt idx="1387">
                  <c:v>23.116666666666635</c:v>
                </c:pt>
                <c:pt idx="1388">
                  <c:v>23.133333333333301</c:v>
                </c:pt>
                <c:pt idx="1389">
                  <c:v>23.149999999999967</c:v>
                </c:pt>
                <c:pt idx="1390">
                  <c:v>23.166666666666632</c:v>
                </c:pt>
                <c:pt idx="1391">
                  <c:v>23.183333333333298</c:v>
                </c:pt>
                <c:pt idx="1392">
                  <c:v>23.199999999999964</c:v>
                </c:pt>
                <c:pt idx="1393">
                  <c:v>23.216666666666629</c:v>
                </c:pt>
                <c:pt idx="1394">
                  <c:v>23.233333333333295</c:v>
                </c:pt>
                <c:pt idx="1395">
                  <c:v>23.249999999999961</c:v>
                </c:pt>
                <c:pt idx="1396">
                  <c:v>23.266666666666627</c:v>
                </c:pt>
                <c:pt idx="1397">
                  <c:v>23.283333333333292</c:v>
                </c:pt>
                <c:pt idx="1398">
                  <c:v>23.299999999999958</c:v>
                </c:pt>
                <c:pt idx="1399">
                  <c:v>23.316666666666624</c:v>
                </c:pt>
                <c:pt idx="1400">
                  <c:v>23.33333333333329</c:v>
                </c:pt>
                <c:pt idx="1401">
                  <c:v>23.349999999999955</c:v>
                </c:pt>
                <c:pt idx="1402">
                  <c:v>23.366666666666621</c:v>
                </c:pt>
                <c:pt idx="1403">
                  <c:v>23.383333333333287</c:v>
                </c:pt>
                <c:pt idx="1404">
                  <c:v>23.399999999999952</c:v>
                </c:pt>
                <c:pt idx="1405">
                  <c:v>23.416666666666618</c:v>
                </c:pt>
                <c:pt idx="1406">
                  <c:v>23.433333333333284</c:v>
                </c:pt>
                <c:pt idx="1407">
                  <c:v>23.44999999999995</c:v>
                </c:pt>
                <c:pt idx="1408">
                  <c:v>23.466666666666615</c:v>
                </c:pt>
                <c:pt idx="1409">
                  <c:v>23.483333333333281</c:v>
                </c:pt>
                <c:pt idx="1410">
                  <c:v>23.499999999999947</c:v>
                </c:pt>
                <c:pt idx="1411">
                  <c:v>23.516666666666612</c:v>
                </c:pt>
                <c:pt idx="1412">
                  <c:v>23.533333333333278</c:v>
                </c:pt>
                <c:pt idx="1413">
                  <c:v>23.549999999999944</c:v>
                </c:pt>
                <c:pt idx="1414">
                  <c:v>23.56666666666661</c:v>
                </c:pt>
                <c:pt idx="1415">
                  <c:v>23.583333333333275</c:v>
                </c:pt>
                <c:pt idx="1416">
                  <c:v>23.599999999999941</c:v>
                </c:pt>
                <c:pt idx="1417">
                  <c:v>23.616666666666607</c:v>
                </c:pt>
                <c:pt idx="1418">
                  <c:v>23.633333333333272</c:v>
                </c:pt>
                <c:pt idx="1419">
                  <c:v>23.649999999999938</c:v>
                </c:pt>
                <c:pt idx="1420">
                  <c:v>23.666666666666604</c:v>
                </c:pt>
                <c:pt idx="1421">
                  <c:v>23.68333333333327</c:v>
                </c:pt>
                <c:pt idx="1422">
                  <c:v>23.699999999999935</c:v>
                </c:pt>
                <c:pt idx="1423">
                  <c:v>23.716666666666601</c:v>
                </c:pt>
                <c:pt idx="1424">
                  <c:v>23.733333333333267</c:v>
                </c:pt>
                <c:pt idx="1425">
                  <c:v>23.749999999999932</c:v>
                </c:pt>
                <c:pt idx="1426">
                  <c:v>23.766666666666598</c:v>
                </c:pt>
                <c:pt idx="1427">
                  <c:v>23.783333333333264</c:v>
                </c:pt>
                <c:pt idx="1428">
                  <c:v>23.79999999999993</c:v>
                </c:pt>
                <c:pt idx="1429">
                  <c:v>23.816666666666595</c:v>
                </c:pt>
                <c:pt idx="1430">
                  <c:v>23.833333333333261</c:v>
                </c:pt>
                <c:pt idx="1431">
                  <c:v>23.849999999999927</c:v>
                </c:pt>
                <c:pt idx="1432">
                  <c:v>23.866666666666593</c:v>
                </c:pt>
                <c:pt idx="1433">
                  <c:v>23.883333333333258</c:v>
                </c:pt>
                <c:pt idx="1434">
                  <c:v>23.899999999999924</c:v>
                </c:pt>
                <c:pt idx="1435">
                  <c:v>23.91666666666659</c:v>
                </c:pt>
                <c:pt idx="1436">
                  <c:v>23.933333333333255</c:v>
                </c:pt>
              </c:numCache>
            </c:numRef>
          </c:xVal>
          <c:yVal>
            <c:numRef>
              <c:f>'Reactor analysis'!$AJ$3:$AJ$2625</c:f>
              <c:numCache>
                <c:formatCode>General</c:formatCode>
                <c:ptCount val="2623"/>
                <c:pt idx="0">
                  <c:v>0</c:v>
                </c:pt>
                <c:pt idx="1">
                  <c:v>0</c:v>
                </c:pt>
                <c:pt idx="2">
                  <c:v>0</c:v>
                </c:pt>
                <c:pt idx="3">
                  <c:v>0</c:v>
                </c:pt>
                <c:pt idx="4">
                  <c:v>0</c:v>
                </c:pt>
                <c:pt idx="5">
                  <c:v>0</c:v>
                </c:pt>
                <c:pt idx="6">
                  <c:v>0</c:v>
                </c:pt>
                <c:pt idx="7">
                  <c:v>0</c:v>
                </c:pt>
                <c:pt idx="8">
                  <c:v>0</c:v>
                </c:pt>
                <c:pt idx="9">
                  <c:v>1.9999999999999574E-2</c:v>
                </c:pt>
                <c:pt idx="10">
                  <c:v>4.0000000000000036E-2</c:v>
                </c:pt>
                <c:pt idx="11">
                  <c:v>5.9999999999999609E-2</c:v>
                </c:pt>
                <c:pt idx="12">
                  <c:v>6.9999999999999396E-2</c:v>
                </c:pt>
                <c:pt idx="13">
                  <c:v>8.0000000000000071E-2</c:v>
                </c:pt>
                <c:pt idx="14">
                  <c:v>8.9999999999999858E-2</c:v>
                </c:pt>
                <c:pt idx="15">
                  <c:v>9.9999999999999645E-2</c:v>
                </c:pt>
                <c:pt idx="16">
                  <c:v>0.10999999999999943</c:v>
                </c:pt>
                <c:pt idx="17">
                  <c:v>0.12999999999999989</c:v>
                </c:pt>
                <c:pt idx="18">
                  <c:v>0.13999999999999968</c:v>
                </c:pt>
                <c:pt idx="19">
                  <c:v>0.13999999999999968</c:v>
                </c:pt>
                <c:pt idx="20">
                  <c:v>0.14999999999999947</c:v>
                </c:pt>
                <c:pt idx="21">
                  <c:v>0.14999999999999947</c:v>
                </c:pt>
                <c:pt idx="22">
                  <c:v>0.14999999999999947</c:v>
                </c:pt>
                <c:pt idx="23">
                  <c:v>0.14999999999999947</c:v>
                </c:pt>
                <c:pt idx="24">
                  <c:v>0.14999999999999947</c:v>
                </c:pt>
                <c:pt idx="25">
                  <c:v>0.14999999999999947</c:v>
                </c:pt>
                <c:pt idx="26">
                  <c:v>0.14999999999999947</c:v>
                </c:pt>
                <c:pt idx="27">
                  <c:v>0.14999999999999947</c:v>
                </c:pt>
                <c:pt idx="28">
                  <c:v>0.14999999999999947</c:v>
                </c:pt>
                <c:pt idx="29">
                  <c:v>0.14999999999999947</c:v>
                </c:pt>
                <c:pt idx="30">
                  <c:v>0.14999999999999947</c:v>
                </c:pt>
                <c:pt idx="31">
                  <c:v>0.14999999999999947</c:v>
                </c:pt>
                <c:pt idx="32">
                  <c:v>0.14999999999999947</c:v>
                </c:pt>
                <c:pt idx="33">
                  <c:v>0.14999999999999947</c:v>
                </c:pt>
                <c:pt idx="34">
                  <c:v>0.14999999999999947</c:v>
                </c:pt>
                <c:pt idx="35">
                  <c:v>0.14999999999999947</c:v>
                </c:pt>
                <c:pt idx="36">
                  <c:v>0.14999999999999947</c:v>
                </c:pt>
                <c:pt idx="37">
                  <c:v>0.14999999999999947</c:v>
                </c:pt>
                <c:pt idx="38">
                  <c:v>0.14999999999999947</c:v>
                </c:pt>
                <c:pt idx="39">
                  <c:v>0.16999999999999993</c:v>
                </c:pt>
                <c:pt idx="40">
                  <c:v>0.1899999999999995</c:v>
                </c:pt>
                <c:pt idx="41">
                  <c:v>0.20999999999999996</c:v>
                </c:pt>
                <c:pt idx="42">
                  <c:v>0.21999999999999975</c:v>
                </c:pt>
                <c:pt idx="43">
                  <c:v>0.22999999999999954</c:v>
                </c:pt>
                <c:pt idx="44">
                  <c:v>0.22999999999999954</c:v>
                </c:pt>
                <c:pt idx="45">
                  <c:v>0.23999999999999932</c:v>
                </c:pt>
                <c:pt idx="46">
                  <c:v>0.25</c:v>
                </c:pt>
                <c:pt idx="47">
                  <c:v>0.25</c:v>
                </c:pt>
                <c:pt idx="48">
                  <c:v>0.25</c:v>
                </c:pt>
                <c:pt idx="49">
                  <c:v>0.25999999999999979</c:v>
                </c:pt>
                <c:pt idx="50">
                  <c:v>0.25999999999999979</c:v>
                </c:pt>
                <c:pt idx="51">
                  <c:v>0.25999999999999979</c:v>
                </c:pt>
                <c:pt idx="52">
                  <c:v>0.25999999999999979</c:v>
                </c:pt>
                <c:pt idx="53">
                  <c:v>0.25999999999999979</c:v>
                </c:pt>
                <c:pt idx="54">
                  <c:v>0.25999999999999979</c:v>
                </c:pt>
                <c:pt idx="55">
                  <c:v>0.25999999999999979</c:v>
                </c:pt>
                <c:pt idx="56">
                  <c:v>0.25999999999999979</c:v>
                </c:pt>
                <c:pt idx="57">
                  <c:v>0.25999999999999979</c:v>
                </c:pt>
                <c:pt idx="58">
                  <c:v>0.25999999999999979</c:v>
                </c:pt>
                <c:pt idx="59">
                  <c:v>0.25999999999999979</c:v>
                </c:pt>
                <c:pt idx="60">
                  <c:v>0.25999999999999979</c:v>
                </c:pt>
                <c:pt idx="61">
                  <c:v>0.25999999999999979</c:v>
                </c:pt>
                <c:pt idx="62">
                  <c:v>0.25999999999999979</c:v>
                </c:pt>
                <c:pt idx="63">
                  <c:v>0.25999999999999979</c:v>
                </c:pt>
                <c:pt idx="64">
                  <c:v>0.25999999999999979</c:v>
                </c:pt>
                <c:pt idx="65">
                  <c:v>0.25999999999999979</c:v>
                </c:pt>
                <c:pt idx="66">
                  <c:v>0.25999999999999979</c:v>
                </c:pt>
                <c:pt idx="67">
                  <c:v>0.25999999999999979</c:v>
                </c:pt>
                <c:pt idx="68">
                  <c:v>0.25999999999999979</c:v>
                </c:pt>
                <c:pt idx="69">
                  <c:v>0.27999999999999936</c:v>
                </c:pt>
                <c:pt idx="70">
                  <c:v>0.29000000000000004</c:v>
                </c:pt>
                <c:pt idx="71">
                  <c:v>0.30999999999999961</c:v>
                </c:pt>
                <c:pt idx="72">
                  <c:v>0.3199999999999994</c:v>
                </c:pt>
                <c:pt idx="73">
                  <c:v>0.33000000000000007</c:v>
                </c:pt>
                <c:pt idx="74">
                  <c:v>0.33000000000000007</c:v>
                </c:pt>
                <c:pt idx="75">
                  <c:v>0.33000000000000007</c:v>
                </c:pt>
                <c:pt idx="76">
                  <c:v>0.33999999999999986</c:v>
                </c:pt>
                <c:pt idx="77">
                  <c:v>0.33999999999999986</c:v>
                </c:pt>
                <c:pt idx="78">
                  <c:v>0.33999999999999986</c:v>
                </c:pt>
                <c:pt idx="79">
                  <c:v>0.33999999999999986</c:v>
                </c:pt>
                <c:pt idx="80">
                  <c:v>0.33999999999999986</c:v>
                </c:pt>
                <c:pt idx="81">
                  <c:v>0.33999999999999986</c:v>
                </c:pt>
                <c:pt idx="82">
                  <c:v>0.33999999999999986</c:v>
                </c:pt>
                <c:pt idx="83">
                  <c:v>0.33999999999999986</c:v>
                </c:pt>
                <c:pt idx="84">
                  <c:v>0.33999999999999986</c:v>
                </c:pt>
                <c:pt idx="85">
                  <c:v>0.33999999999999986</c:v>
                </c:pt>
                <c:pt idx="86">
                  <c:v>0.33999999999999986</c:v>
                </c:pt>
                <c:pt idx="87">
                  <c:v>0.33999999999999986</c:v>
                </c:pt>
                <c:pt idx="88">
                  <c:v>0.33999999999999986</c:v>
                </c:pt>
                <c:pt idx="89">
                  <c:v>0.33999999999999986</c:v>
                </c:pt>
                <c:pt idx="90">
                  <c:v>0.33999999999999986</c:v>
                </c:pt>
                <c:pt idx="91">
                  <c:v>0.33999999999999986</c:v>
                </c:pt>
                <c:pt idx="92">
                  <c:v>0.33999999999999986</c:v>
                </c:pt>
                <c:pt idx="93">
                  <c:v>0.33999999999999986</c:v>
                </c:pt>
                <c:pt idx="94">
                  <c:v>0.33999999999999986</c:v>
                </c:pt>
                <c:pt idx="95">
                  <c:v>0.33999999999999986</c:v>
                </c:pt>
                <c:pt idx="96">
                  <c:v>0.33999999999999986</c:v>
                </c:pt>
                <c:pt idx="97">
                  <c:v>0.33999999999999986</c:v>
                </c:pt>
                <c:pt idx="98">
                  <c:v>0.33999999999999986</c:v>
                </c:pt>
                <c:pt idx="99">
                  <c:v>0.37000000000000011</c:v>
                </c:pt>
                <c:pt idx="100">
                  <c:v>0.37999999999999989</c:v>
                </c:pt>
                <c:pt idx="101">
                  <c:v>0.38999999999999968</c:v>
                </c:pt>
                <c:pt idx="102">
                  <c:v>0.39999999999999947</c:v>
                </c:pt>
                <c:pt idx="103">
                  <c:v>0.39999999999999947</c:v>
                </c:pt>
                <c:pt idx="104">
                  <c:v>0.39999999999999947</c:v>
                </c:pt>
                <c:pt idx="105">
                  <c:v>0.41000000000000014</c:v>
                </c:pt>
                <c:pt idx="106">
                  <c:v>0.41000000000000014</c:v>
                </c:pt>
                <c:pt idx="107">
                  <c:v>0.41000000000000014</c:v>
                </c:pt>
                <c:pt idx="108">
                  <c:v>0.41000000000000014</c:v>
                </c:pt>
                <c:pt idx="109">
                  <c:v>0.41000000000000014</c:v>
                </c:pt>
                <c:pt idx="110">
                  <c:v>0.41000000000000014</c:v>
                </c:pt>
                <c:pt idx="111">
                  <c:v>0.41000000000000014</c:v>
                </c:pt>
                <c:pt idx="112">
                  <c:v>0.41000000000000014</c:v>
                </c:pt>
                <c:pt idx="113">
                  <c:v>0.41000000000000014</c:v>
                </c:pt>
                <c:pt idx="114">
                  <c:v>0.41000000000000014</c:v>
                </c:pt>
                <c:pt idx="115">
                  <c:v>0.41000000000000014</c:v>
                </c:pt>
                <c:pt idx="116">
                  <c:v>0.41000000000000014</c:v>
                </c:pt>
                <c:pt idx="117">
                  <c:v>0.41000000000000014</c:v>
                </c:pt>
                <c:pt idx="118">
                  <c:v>0.41000000000000014</c:v>
                </c:pt>
                <c:pt idx="119">
                  <c:v>0.41000000000000014</c:v>
                </c:pt>
                <c:pt idx="120">
                  <c:v>0.41000000000000014</c:v>
                </c:pt>
                <c:pt idx="121">
                  <c:v>0.41000000000000014</c:v>
                </c:pt>
                <c:pt idx="122">
                  <c:v>0.41000000000000014</c:v>
                </c:pt>
                <c:pt idx="123">
                  <c:v>0.41000000000000014</c:v>
                </c:pt>
                <c:pt idx="124">
                  <c:v>0.41000000000000014</c:v>
                </c:pt>
                <c:pt idx="125">
                  <c:v>0.41000000000000014</c:v>
                </c:pt>
                <c:pt idx="126">
                  <c:v>0.41000000000000014</c:v>
                </c:pt>
                <c:pt idx="127">
                  <c:v>0.41000000000000014</c:v>
                </c:pt>
                <c:pt idx="128">
                  <c:v>0.41000000000000014</c:v>
                </c:pt>
                <c:pt idx="129">
                  <c:v>0.42999999999999972</c:v>
                </c:pt>
                <c:pt idx="130">
                  <c:v>0.4399999999999995</c:v>
                </c:pt>
                <c:pt idx="131">
                  <c:v>0.45000000000000018</c:v>
                </c:pt>
                <c:pt idx="132">
                  <c:v>0.45000000000000018</c:v>
                </c:pt>
                <c:pt idx="133">
                  <c:v>0.45999999999999996</c:v>
                </c:pt>
                <c:pt idx="134">
                  <c:v>0.46999999999999975</c:v>
                </c:pt>
                <c:pt idx="135">
                  <c:v>0.47999999999999954</c:v>
                </c:pt>
                <c:pt idx="136">
                  <c:v>0.47999999999999954</c:v>
                </c:pt>
                <c:pt idx="137">
                  <c:v>0.47999999999999954</c:v>
                </c:pt>
                <c:pt idx="138">
                  <c:v>0.47999999999999954</c:v>
                </c:pt>
                <c:pt idx="139">
                  <c:v>0.47999999999999954</c:v>
                </c:pt>
                <c:pt idx="140">
                  <c:v>0.47999999999999954</c:v>
                </c:pt>
                <c:pt idx="141">
                  <c:v>0.47999999999999954</c:v>
                </c:pt>
                <c:pt idx="142">
                  <c:v>0.47999999999999954</c:v>
                </c:pt>
                <c:pt idx="143">
                  <c:v>0.47999999999999954</c:v>
                </c:pt>
                <c:pt idx="144">
                  <c:v>0.47999999999999954</c:v>
                </c:pt>
                <c:pt idx="145">
                  <c:v>0.47999999999999954</c:v>
                </c:pt>
                <c:pt idx="146">
                  <c:v>0.47999999999999954</c:v>
                </c:pt>
                <c:pt idx="147">
                  <c:v>0.47999999999999954</c:v>
                </c:pt>
                <c:pt idx="148">
                  <c:v>0.47999999999999954</c:v>
                </c:pt>
                <c:pt idx="149">
                  <c:v>0.47999999999999954</c:v>
                </c:pt>
                <c:pt idx="150">
                  <c:v>0.47999999999999954</c:v>
                </c:pt>
                <c:pt idx="151">
                  <c:v>0.47999999999999954</c:v>
                </c:pt>
                <c:pt idx="152">
                  <c:v>0.47999999999999954</c:v>
                </c:pt>
                <c:pt idx="153">
                  <c:v>0.47999999999999954</c:v>
                </c:pt>
                <c:pt idx="154">
                  <c:v>0.47999999999999954</c:v>
                </c:pt>
                <c:pt idx="155">
                  <c:v>0.47999999999999954</c:v>
                </c:pt>
                <c:pt idx="156">
                  <c:v>0.47999999999999954</c:v>
                </c:pt>
                <c:pt idx="157">
                  <c:v>0.47999999999999954</c:v>
                </c:pt>
                <c:pt idx="158">
                  <c:v>0.47999999999999954</c:v>
                </c:pt>
                <c:pt idx="159">
                  <c:v>0.50999999999999979</c:v>
                </c:pt>
                <c:pt idx="160">
                  <c:v>0.52999999999999936</c:v>
                </c:pt>
                <c:pt idx="161">
                  <c:v>0.54</c:v>
                </c:pt>
                <c:pt idx="162">
                  <c:v>0.55999999999999961</c:v>
                </c:pt>
                <c:pt idx="163">
                  <c:v>0.5699999999999994</c:v>
                </c:pt>
                <c:pt idx="164">
                  <c:v>0.58000000000000007</c:v>
                </c:pt>
                <c:pt idx="165">
                  <c:v>0.58000000000000007</c:v>
                </c:pt>
                <c:pt idx="166">
                  <c:v>0.58999999999999986</c:v>
                </c:pt>
                <c:pt idx="167">
                  <c:v>0.58999999999999986</c:v>
                </c:pt>
                <c:pt idx="168">
                  <c:v>0.58999999999999986</c:v>
                </c:pt>
                <c:pt idx="169">
                  <c:v>0.58999999999999986</c:v>
                </c:pt>
                <c:pt idx="170">
                  <c:v>0.59999999999999964</c:v>
                </c:pt>
                <c:pt idx="171">
                  <c:v>0.59999999999999964</c:v>
                </c:pt>
                <c:pt idx="172">
                  <c:v>0.59999999999999964</c:v>
                </c:pt>
                <c:pt idx="173">
                  <c:v>0.59999999999999964</c:v>
                </c:pt>
                <c:pt idx="174">
                  <c:v>0.59999999999999964</c:v>
                </c:pt>
                <c:pt idx="175">
                  <c:v>0.59999999999999964</c:v>
                </c:pt>
                <c:pt idx="176">
                  <c:v>0.59999999999999964</c:v>
                </c:pt>
                <c:pt idx="177">
                  <c:v>0.59999999999999964</c:v>
                </c:pt>
                <c:pt idx="178">
                  <c:v>0.59999999999999964</c:v>
                </c:pt>
                <c:pt idx="179">
                  <c:v>0.59999999999999964</c:v>
                </c:pt>
                <c:pt idx="180">
                  <c:v>0.59999999999999964</c:v>
                </c:pt>
                <c:pt idx="181">
                  <c:v>0.59999999999999964</c:v>
                </c:pt>
                <c:pt idx="182">
                  <c:v>0.59999999999999964</c:v>
                </c:pt>
                <c:pt idx="183">
                  <c:v>0.59999999999999964</c:v>
                </c:pt>
                <c:pt idx="184">
                  <c:v>0.59999999999999964</c:v>
                </c:pt>
                <c:pt idx="185">
                  <c:v>0.59999999999999964</c:v>
                </c:pt>
                <c:pt idx="186">
                  <c:v>0.59999999999999964</c:v>
                </c:pt>
                <c:pt idx="187">
                  <c:v>0.59999999999999964</c:v>
                </c:pt>
                <c:pt idx="188">
                  <c:v>0.59999999999999964</c:v>
                </c:pt>
                <c:pt idx="189">
                  <c:v>0.62999999999999989</c:v>
                </c:pt>
                <c:pt idx="190">
                  <c:v>0.64999999999999947</c:v>
                </c:pt>
                <c:pt idx="191">
                  <c:v>0.66000000000000014</c:v>
                </c:pt>
                <c:pt idx="192">
                  <c:v>0.66000000000000014</c:v>
                </c:pt>
                <c:pt idx="193">
                  <c:v>0.66000000000000014</c:v>
                </c:pt>
                <c:pt idx="194">
                  <c:v>0.66000000000000014</c:v>
                </c:pt>
                <c:pt idx="195">
                  <c:v>0.66000000000000014</c:v>
                </c:pt>
                <c:pt idx="196">
                  <c:v>0.66999999999999993</c:v>
                </c:pt>
                <c:pt idx="197">
                  <c:v>0.66999999999999993</c:v>
                </c:pt>
                <c:pt idx="198">
                  <c:v>0.66999999999999993</c:v>
                </c:pt>
                <c:pt idx="199">
                  <c:v>0.66999999999999993</c:v>
                </c:pt>
                <c:pt idx="200">
                  <c:v>0.66999999999999993</c:v>
                </c:pt>
                <c:pt idx="201">
                  <c:v>0.66999999999999993</c:v>
                </c:pt>
                <c:pt idx="202">
                  <c:v>0.66999999999999993</c:v>
                </c:pt>
                <c:pt idx="203">
                  <c:v>0.66999999999999993</c:v>
                </c:pt>
                <c:pt idx="204">
                  <c:v>0.66999999999999993</c:v>
                </c:pt>
                <c:pt idx="205">
                  <c:v>0.66999999999999993</c:v>
                </c:pt>
                <c:pt idx="206">
                  <c:v>0.66999999999999993</c:v>
                </c:pt>
                <c:pt idx="207">
                  <c:v>0.66999999999999993</c:v>
                </c:pt>
                <c:pt idx="208">
                  <c:v>0.66999999999999993</c:v>
                </c:pt>
                <c:pt idx="209">
                  <c:v>0.66999999999999993</c:v>
                </c:pt>
                <c:pt idx="210">
                  <c:v>0.66999999999999993</c:v>
                </c:pt>
                <c:pt idx="211">
                  <c:v>0.66999999999999993</c:v>
                </c:pt>
                <c:pt idx="212">
                  <c:v>0.66999999999999993</c:v>
                </c:pt>
                <c:pt idx="213">
                  <c:v>0.66999999999999993</c:v>
                </c:pt>
                <c:pt idx="214">
                  <c:v>0.66999999999999993</c:v>
                </c:pt>
                <c:pt idx="215">
                  <c:v>0.66999999999999993</c:v>
                </c:pt>
                <c:pt idx="216">
                  <c:v>0.66999999999999993</c:v>
                </c:pt>
                <c:pt idx="217">
                  <c:v>0.66999999999999993</c:v>
                </c:pt>
                <c:pt idx="218">
                  <c:v>0.66999999999999993</c:v>
                </c:pt>
                <c:pt idx="219">
                  <c:v>0.6899999999999995</c:v>
                </c:pt>
                <c:pt idx="220">
                  <c:v>0.71</c:v>
                </c:pt>
                <c:pt idx="221">
                  <c:v>0.71999999999999975</c:v>
                </c:pt>
                <c:pt idx="222">
                  <c:v>0.72999999999999954</c:v>
                </c:pt>
                <c:pt idx="223">
                  <c:v>0.73999999999999932</c:v>
                </c:pt>
                <c:pt idx="224">
                  <c:v>0.73999999999999932</c:v>
                </c:pt>
                <c:pt idx="225">
                  <c:v>0.73999999999999932</c:v>
                </c:pt>
                <c:pt idx="226">
                  <c:v>0.73999999999999932</c:v>
                </c:pt>
                <c:pt idx="227">
                  <c:v>0.75</c:v>
                </c:pt>
                <c:pt idx="228">
                  <c:v>0.75</c:v>
                </c:pt>
                <c:pt idx="229">
                  <c:v>0.75</c:v>
                </c:pt>
                <c:pt idx="230">
                  <c:v>0.75</c:v>
                </c:pt>
                <c:pt idx="231">
                  <c:v>0.75</c:v>
                </c:pt>
                <c:pt idx="232">
                  <c:v>0.75</c:v>
                </c:pt>
                <c:pt idx="233">
                  <c:v>0.75</c:v>
                </c:pt>
                <c:pt idx="234">
                  <c:v>0.75</c:v>
                </c:pt>
                <c:pt idx="235">
                  <c:v>0.75</c:v>
                </c:pt>
                <c:pt idx="236">
                  <c:v>0.75</c:v>
                </c:pt>
                <c:pt idx="237">
                  <c:v>0.75</c:v>
                </c:pt>
                <c:pt idx="238">
                  <c:v>0.75</c:v>
                </c:pt>
                <c:pt idx="239">
                  <c:v>0.75</c:v>
                </c:pt>
                <c:pt idx="240">
                  <c:v>0.75</c:v>
                </c:pt>
                <c:pt idx="241">
                  <c:v>0.75</c:v>
                </c:pt>
                <c:pt idx="242">
                  <c:v>0.75</c:v>
                </c:pt>
                <c:pt idx="243">
                  <c:v>0.75</c:v>
                </c:pt>
                <c:pt idx="244">
                  <c:v>0.75</c:v>
                </c:pt>
                <c:pt idx="245">
                  <c:v>0.75</c:v>
                </c:pt>
                <c:pt idx="246">
                  <c:v>0.75</c:v>
                </c:pt>
                <c:pt idx="247">
                  <c:v>0.75</c:v>
                </c:pt>
                <c:pt idx="248">
                  <c:v>0.75999999999999979</c:v>
                </c:pt>
                <c:pt idx="249">
                  <c:v>0.76999999999999957</c:v>
                </c:pt>
                <c:pt idx="250">
                  <c:v>0.79</c:v>
                </c:pt>
                <c:pt idx="251">
                  <c:v>0.79</c:v>
                </c:pt>
                <c:pt idx="252">
                  <c:v>0.79</c:v>
                </c:pt>
                <c:pt idx="253">
                  <c:v>0.79999999999999982</c:v>
                </c:pt>
                <c:pt idx="254">
                  <c:v>0.79999999999999982</c:v>
                </c:pt>
                <c:pt idx="255">
                  <c:v>0.79999999999999982</c:v>
                </c:pt>
                <c:pt idx="256">
                  <c:v>0.79999999999999982</c:v>
                </c:pt>
                <c:pt idx="257">
                  <c:v>0.79999999999999982</c:v>
                </c:pt>
                <c:pt idx="258">
                  <c:v>0.79999999999999982</c:v>
                </c:pt>
                <c:pt idx="259">
                  <c:v>0.79999999999999982</c:v>
                </c:pt>
                <c:pt idx="260">
                  <c:v>0.79999999999999982</c:v>
                </c:pt>
                <c:pt idx="261">
                  <c:v>0.79999999999999982</c:v>
                </c:pt>
                <c:pt idx="262">
                  <c:v>0.79999999999999982</c:v>
                </c:pt>
                <c:pt idx="263">
                  <c:v>0.79999999999999982</c:v>
                </c:pt>
                <c:pt idx="264">
                  <c:v>0.79999999999999982</c:v>
                </c:pt>
                <c:pt idx="265">
                  <c:v>0.79999999999999982</c:v>
                </c:pt>
                <c:pt idx="266">
                  <c:v>0.79999999999999982</c:v>
                </c:pt>
                <c:pt idx="267">
                  <c:v>0.79999999999999982</c:v>
                </c:pt>
                <c:pt idx="268">
                  <c:v>0.79999999999999982</c:v>
                </c:pt>
                <c:pt idx="269">
                  <c:v>0.79999999999999982</c:v>
                </c:pt>
                <c:pt idx="270">
                  <c:v>0.79999999999999982</c:v>
                </c:pt>
                <c:pt idx="271">
                  <c:v>0.79999999999999982</c:v>
                </c:pt>
                <c:pt idx="272">
                  <c:v>0.79999999999999982</c:v>
                </c:pt>
                <c:pt idx="273">
                  <c:v>0.79999999999999982</c:v>
                </c:pt>
                <c:pt idx="274">
                  <c:v>0.79999999999999982</c:v>
                </c:pt>
                <c:pt idx="275">
                  <c:v>0.79999999999999982</c:v>
                </c:pt>
                <c:pt idx="276">
                  <c:v>0.79999999999999982</c:v>
                </c:pt>
                <c:pt idx="277">
                  <c:v>0.79999999999999982</c:v>
                </c:pt>
                <c:pt idx="278">
                  <c:v>0.79999999999999982</c:v>
                </c:pt>
                <c:pt idx="279">
                  <c:v>0.83000000000000007</c:v>
                </c:pt>
                <c:pt idx="280">
                  <c:v>0.83999999999999986</c:v>
                </c:pt>
                <c:pt idx="281">
                  <c:v>0.84999999999999964</c:v>
                </c:pt>
                <c:pt idx="282">
                  <c:v>0.85999999999999943</c:v>
                </c:pt>
                <c:pt idx="283">
                  <c:v>0.85999999999999943</c:v>
                </c:pt>
                <c:pt idx="284">
                  <c:v>0.87000000000000011</c:v>
                </c:pt>
                <c:pt idx="285">
                  <c:v>0.87000000000000011</c:v>
                </c:pt>
                <c:pt idx="286">
                  <c:v>0.87000000000000011</c:v>
                </c:pt>
                <c:pt idx="287">
                  <c:v>0.87000000000000011</c:v>
                </c:pt>
                <c:pt idx="288">
                  <c:v>0.87000000000000011</c:v>
                </c:pt>
                <c:pt idx="289">
                  <c:v>0.87000000000000011</c:v>
                </c:pt>
                <c:pt idx="290">
                  <c:v>0.87000000000000011</c:v>
                </c:pt>
                <c:pt idx="291">
                  <c:v>0.87000000000000011</c:v>
                </c:pt>
                <c:pt idx="292">
                  <c:v>0.87000000000000011</c:v>
                </c:pt>
                <c:pt idx="293">
                  <c:v>0.87000000000000011</c:v>
                </c:pt>
                <c:pt idx="294">
                  <c:v>0.87000000000000011</c:v>
                </c:pt>
                <c:pt idx="295">
                  <c:v>0.87000000000000011</c:v>
                </c:pt>
                <c:pt idx="296">
                  <c:v>0.87000000000000011</c:v>
                </c:pt>
                <c:pt idx="297">
                  <c:v>0.87000000000000011</c:v>
                </c:pt>
                <c:pt idx="298">
                  <c:v>0.87000000000000011</c:v>
                </c:pt>
                <c:pt idx="299">
                  <c:v>0.87000000000000011</c:v>
                </c:pt>
                <c:pt idx="300">
                  <c:v>0.87000000000000011</c:v>
                </c:pt>
                <c:pt idx="301">
                  <c:v>0.87000000000000011</c:v>
                </c:pt>
                <c:pt idx="302">
                  <c:v>0.87000000000000011</c:v>
                </c:pt>
                <c:pt idx="303">
                  <c:v>0.87000000000000011</c:v>
                </c:pt>
                <c:pt idx="304">
                  <c:v>0.87000000000000011</c:v>
                </c:pt>
                <c:pt idx="305">
                  <c:v>0.87000000000000011</c:v>
                </c:pt>
                <c:pt idx="306">
                  <c:v>0.87000000000000011</c:v>
                </c:pt>
                <c:pt idx="307">
                  <c:v>0.87000000000000011</c:v>
                </c:pt>
                <c:pt idx="308">
                  <c:v>0.87999999999999989</c:v>
                </c:pt>
                <c:pt idx="309">
                  <c:v>0.89999999999999947</c:v>
                </c:pt>
                <c:pt idx="310">
                  <c:v>0.91999999999999993</c:v>
                </c:pt>
                <c:pt idx="311">
                  <c:v>0.92999999999999972</c:v>
                </c:pt>
                <c:pt idx="312">
                  <c:v>0.9399999999999995</c:v>
                </c:pt>
                <c:pt idx="313">
                  <c:v>0.95000000000000018</c:v>
                </c:pt>
                <c:pt idx="314">
                  <c:v>0.96</c:v>
                </c:pt>
                <c:pt idx="315">
                  <c:v>0.96</c:v>
                </c:pt>
                <c:pt idx="316">
                  <c:v>0.97999999999999954</c:v>
                </c:pt>
                <c:pt idx="317">
                  <c:v>0.98999999999999932</c:v>
                </c:pt>
                <c:pt idx="318">
                  <c:v>1</c:v>
                </c:pt>
                <c:pt idx="319">
                  <c:v>1</c:v>
                </c:pt>
                <c:pt idx="320">
                  <c:v>1.0099999999999998</c:v>
                </c:pt>
                <c:pt idx="321">
                  <c:v>1.0199999999999996</c:v>
                </c:pt>
                <c:pt idx="322">
                  <c:v>1.0199999999999996</c:v>
                </c:pt>
                <c:pt idx="323">
                  <c:v>1.0199999999999996</c:v>
                </c:pt>
                <c:pt idx="324">
                  <c:v>1.0199999999999996</c:v>
                </c:pt>
                <c:pt idx="325">
                  <c:v>1.0199999999999996</c:v>
                </c:pt>
                <c:pt idx="326">
                  <c:v>1.0199999999999996</c:v>
                </c:pt>
                <c:pt idx="327">
                  <c:v>1.0199999999999996</c:v>
                </c:pt>
                <c:pt idx="328">
                  <c:v>1.0199999999999996</c:v>
                </c:pt>
                <c:pt idx="329">
                  <c:v>1.0199999999999996</c:v>
                </c:pt>
                <c:pt idx="330">
                  <c:v>1.0199999999999996</c:v>
                </c:pt>
                <c:pt idx="331">
                  <c:v>1.0199999999999996</c:v>
                </c:pt>
                <c:pt idx="332">
                  <c:v>1.0199999999999996</c:v>
                </c:pt>
                <c:pt idx="333">
                  <c:v>1.0199999999999996</c:v>
                </c:pt>
                <c:pt idx="334">
                  <c:v>1.0199999999999996</c:v>
                </c:pt>
                <c:pt idx="335">
                  <c:v>1.0199999999999996</c:v>
                </c:pt>
                <c:pt idx="336">
                  <c:v>1.0199999999999996</c:v>
                </c:pt>
                <c:pt idx="337">
                  <c:v>1.0199999999999996</c:v>
                </c:pt>
                <c:pt idx="338">
                  <c:v>1.0499999999999998</c:v>
                </c:pt>
                <c:pt idx="339">
                  <c:v>1.08</c:v>
                </c:pt>
                <c:pt idx="340">
                  <c:v>1.1099999999999994</c:v>
                </c:pt>
                <c:pt idx="341">
                  <c:v>1.1299999999999999</c:v>
                </c:pt>
                <c:pt idx="342">
                  <c:v>1.1399999999999997</c:v>
                </c:pt>
                <c:pt idx="343">
                  <c:v>1.1499999999999995</c:v>
                </c:pt>
                <c:pt idx="344">
                  <c:v>1.1600000000000001</c:v>
                </c:pt>
                <c:pt idx="345">
                  <c:v>1.1600000000000001</c:v>
                </c:pt>
                <c:pt idx="346">
                  <c:v>1.17</c:v>
                </c:pt>
                <c:pt idx="347">
                  <c:v>1.17</c:v>
                </c:pt>
                <c:pt idx="348">
                  <c:v>1.1799999999999997</c:v>
                </c:pt>
                <c:pt idx="349">
                  <c:v>1.1899999999999995</c:v>
                </c:pt>
                <c:pt idx="350">
                  <c:v>1.1899999999999995</c:v>
                </c:pt>
                <c:pt idx="351">
                  <c:v>1.2000000000000002</c:v>
                </c:pt>
                <c:pt idx="352">
                  <c:v>1.2000000000000002</c:v>
                </c:pt>
                <c:pt idx="353">
                  <c:v>1.2000000000000002</c:v>
                </c:pt>
                <c:pt idx="354">
                  <c:v>1.2000000000000002</c:v>
                </c:pt>
                <c:pt idx="355">
                  <c:v>1.2000000000000002</c:v>
                </c:pt>
                <c:pt idx="356">
                  <c:v>1.2000000000000002</c:v>
                </c:pt>
                <c:pt idx="357">
                  <c:v>1.2000000000000002</c:v>
                </c:pt>
                <c:pt idx="358">
                  <c:v>1.2000000000000002</c:v>
                </c:pt>
                <c:pt idx="359">
                  <c:v>1.2000000000000002</c:v>
                </c:pt>
                <c:pt idx="360">
                  <c:v>1.2000000000000002</c:v>
                </c:pt>
                <c:pt idx="361">
                  <c:v>1.2000000000000002</c:v>
                </c:pt>
                <c:pt idx="362">
                  <c:v>1.2000000000000002</c:v>
                </c:pt>
                <c:pt idx="363">
                  <c:v>1.2000000000000002</c:v>
                </c:pt>
                <c:pt idx="364">
                  <c:v>1.2000000000000002</c:v>
                </c:pt>
                <c:pt idx="365">
                  <c:v>1.2000000000000002</c:v>
                </c:pt>
                <c:pt idx="366">
                  <c:v>1.2000000000000002</c:v>
                </c:pt>
                <c:pt idx="367">
                  <c:v>1.21</c:v>
                </c:pt>
                <c:pt idx="368">
                  <c:v>1.25</c:v>
                </c:pt>
                <c:pt idx="369">
                  <c:v>1.2699999999999996</c:v>
                </c:pt>
                <c:pt idx="370">
                  <c:v>1.2799999999999994</c:v>
                </c:pt>
                <c:pt idx="371">
                  <c:v>1.29</c:v>
                </c:pt>
                <c:pt idx="372">
                  <c:v>1.2999999999999998</c:v>
                </c:pt>
                <c:pt idx="373">
                  <c:v>1.3099999999999996</c:v>
                </c:pt>
                <c:pt idx="374">
                  <c:v>1.3199999999999994</c:v>
                </c:pt>
                <c:pt idx="375">
                  <c:v>1.33</c:v>
                </c:pt>
                <c:pt idx="376">
                  <c:v>1.33</c:v>
                </c:pt>
                <c:pt idx="377">
                  <c:v>1.3399999999999999</c:v>
                </c:pt>
                <c:pt idx="378">
                  <c:v>1.3399999999999999</c:v>
                </c:pt>
                <c:pt idx="379">
                  <c:v>1.3399999999999999</c:v>
                </c:pt>
                <c:pt idx="380">
                  <c:v>1.3399999999999999</c:v>
                </c:pt>
                <c:pt idx="381">
                  <c:v>1.3399999999999999</c:v>
                </c:pt>
                <c:pt idx="382">
                  <c:v>1.3399999999999999</c:v>
                </c:pt>
                <c:pt idx="383">
                  <c:v>1.3399999999999999</c:v>
                </c:pt>
                <c:pt idx="384">
                  <c:v>1.3399999999999999</c:v>
                </c:pt>
                <c:pt idx="385">
                  <c:v>1.3399999999999999</c:v>
                </c:pt>
                <c:pt idx="386">
                  <c:v>1.3399999999999999</c:v>
                </c:pt>
                <c:pt idx="387">
                  <c:v>1.3399999999999999</c:v>
                </c:pt>
                <c:pt idx="388">
                  <c:v>1.3399999999999999</c:v>
                </c:pt>
                <c:pt idx="389">
                  <c:v>1.3399999999999999</c:v>
                </c:pt>
                <c:pt idx="390">
                  <c:v>1.3399999999999999</c:v>
                </c:pt>
                <c:pt idx="391">
                  <c:v>1.3399999999999999</c:v>
                </c:pt>
                <c:pt idx="392">
                  <c:v>1.3399999999999999</c:v>
                </c:pt>
                <c:pt idx="393">
                  <c:v>1.3399999999999999</c:v>
                </c:pt>
                <c:pt idx="394">
                  <c:v>1.3399999999999999</c:v>
                </c:pt>
                <c:pt idx="395">
                  <c:v>1.3399999999999999</c:v>
                </c:pt>
                <c:pt idx="396">
                  <c:v>1.3399999999999999</c:v>
                </c:pt>
                <c:pt idx="397">
                  <c:v>1.3499999999999996</c:v>
                </c:pt>
                <c:pt idx="398">
                  <c:v>1.38</c:v>
                </c:pt>
                <c:pt idx="399">
                  <c:v>1.3999999999999995</c:v>
                </c:pt>
                <c:pt idx="400">
                  <c:v>1.42</c:v>
                </c:pt>
                <c:pt idx="401">
                  <c:v>1.4299999999999997</c:v>
                </c:pt>
                <c:pt idx="402">
                  <c:v>1.4399999999999995</c:v>
                </c:pt>
                <c:pt idx="403">
                  <c:v>1.4399999999999995</c:v>
                </c:pt>
                <c:pt idx="404">
                  <c:v>1.4500000000000002</c:v>
                </c:pt>
                <c:pt idx="405">
                  <c:v>1.46</c:v>
                </c:pt>
                <c:pt idx="406">
                  <c:v>1.46</c:v>
                </c:pt>
                <c:pt idx="407">
                  <c:v>1.4799999999999995</c:v>
                </c:pt>
                <c:pt idx="408">
                  <c:v>1.4799999999999995</c:v>
                </c:pt>
                <c:pt idx="409">
                  <c:v>1.4799999999999995</c:v>
                </c:pt>
                <c:pt idx="410">
                  <c:v>1.4899999999999993</c:v>
                </c:pt>
                <c:pt idx="411">
                  <c:v>1.5</c:v>
                </c:pt>
                <c:pt idx="412">
                  <c:v>1.5</c:v>
                </c:pt>
                <c:pt idx="413">
                  <c:v>1.5</c:v>
                </c:pt>
                <c:pt idx="414">
                  <c:v>1.5</c:v>
                </c:pt>
                <c:pt idx="415">
                  <c:v>1.5</c:v>
                </c:pt>
                <c:pt idx="416">
                  <c:v>1.5</c:v>
                </c:pt>
                <c:pt idx="417">
                  <c:v>1.5</c:v>
                </c:pt>
                <c:pt idx="418">
                  <c:v>1.5</c:v>
                </c:pt>
                <c:pt idx="419">
                  <c:v>1.5</c:v>
                </c:pt>
                <c:pt idx="420">
                  <c:v>1.5</c:v>
                </c:pt>
                <c:pt idx="421">
                  <c:v>1.5</c:v>
                </c:pt>
                <c:pt idx="422">
                  <c:v>1.5</c:v>
                </c:pt>
                <c:pt idx="423">
                  <c:v>1.5</c:v>
                </c:pt>
                <c:pt idx="424">
                  <c:v>1.5</c:v>
                </c:pt>
                <c:pt idx="425">
                  <c:v>1.5</c:v>
                </c:pt>
                <c:pt idx="426">
                  <c:v>1.5</c:v>
                </c:pt>
                <c:pt idx="427">
                  <c:v>1.5099999999999998</c:v>
                </c:pt>
                <c:pt idx="428">
                  <c:v>1.5299999999999994</c:v>
                </c:pt>
                <c:pt idx="429">
                  <c:v>1.5499999999999998</c:v>
                </c:pt>
                <c:pt idx="430">
                  <c:v>1.58</c:v>
                </c:pt>
                <c:pt idx="431">
                  <c:v>1.58</c:v>
                </c:pt>
                <c:pt idx="432">
                  <c:v>1.5899999999999999</c:v>
                </c:pt>
                <c:pt idx="433">
                  <c:v>1.5999999999999996</c:v>
                </c:pt>
                <c:pt idx="434">
                  <c:v>1.6099999999999994</c:v>
                </c:pt>
                <c:pt idx="435">
                  <c:v>1.62</c:v>
                </c:pt>
                <c:pt idx="436">
                  <c:v>1.63</c:v>
                </c:pt>
                <c:pt idx="437">
                  <c:v>1.63</c:v>
                </c:pt>
                <c:pt idx="438">
                  <c:v>1.63</c:v>
                </c:pt>
                <c:pt idx="439">
                  <c:v>1.6399999999999997</c:v>
                </c:pt>
                <c:pt idx="440">
                  <c:v>1.6399999999999997</c:v>
                </c:pt>
                <c:pt idx="441">
                  <c:v>1.6499999999999995</c:v>
                </c:pt>
                <c:pt idx="442">
                  <c:v>1.6499999999999995</c:v>
                </c:pt>
                <c:pt idx="443">
                  <c:v>1.6499999999999995</c:v>
                </c:pt>
                <c:pt idx="444">
                  <c:v>1.6499999999999995</c:v>
                </c:pt>
                <c:pt idx="445">
                  <c:v>1.6499999999999995</c:v>
                </c:pt>
                <c:pt idx="446">
                  <c:v>1.6499999999999995</c:v>
                </c:pt>
                <c:pt idx="447">
                  <c:v>1.6499999999999995</c:v>
                </c:pt>
                <c:pt idx="448">
                  <c:v>1.6499999999999995</c:v>
                </c:pt>
                <c:pt idx="449">
                  <c:v>1.6499999999999995</c:v>
                </c:pt>
                <c:pt idx="450">
                  <c:v>1.6499999999999995</c:v>
                </c:pt>
                <c:pt idx="451">
                  <c:v>1.6499999999999995</c:v>
                </c:pt>
                <c:pt idx="452">
                  <c:v>1.6499999999999995</c:v>
                </c:pt>
                <c:pt idx="453">
                  <c:v>1.6499999999999995</c:v>
                </c:pt>
                <c:pt idx="454">
                  <c:v>1.6499999999999995</c:v>
                </c:pt>
                <c:pt idx="455">
                  <c:v>1.6499999999999995</c:v>
                </c:pt>
                <c:pt idx="456">
                  <c:v>1.6499999999999995</c:v>
                </c:pt>
                <c:pt idx="457">
                  <c:v>1.6600000000000001</c:v>
                </c:pt>
                <c:pt idx="458">
                  <c:v>1.7000000000000002</c:v>
                </c:pt>
                <c:pt idx="459">
                  <c:v>1.7299999999999995</c:v>
                </c:pt>
                <c:pt idx="460">
                  <c:v>1.75</c:v>
                </c:pt>
                <c:pt idx="461">
                  <c:v>1.7699999999999996</c:v>
                </c:pt>
                <c:pt idx="462">
                  <c:v>1.7799999999999994</c:v>
                </c:pt>
                <c:pt idx="463">
                  <c:v>1.79</c:v>
                </c:pt>
                <c:pt idx="464">
                  <c:v>1.7999999999999998</c:v>
                </c:pt>
                <c:pt idx="465">
                  <c:v>1.8099999999999996</c:v>
                </c:pt>
                <c:pt idx="466">
                  <c:v>1.83</c:v>
                </c:pt>
                <c:pt idx="467">
                  <c:v>1.83</c:v>
                </c:pt>
                <c:pt idx="468">
                  <c:v>1.83</c:v>
                </c:pt>
                <c:pt idx="469">
                  <c:v>1.83</c:v>
                </c:pt>
                <c:pt idx="470">
                  <c:v>1.83</c:v>
                </c:pt>
                <c:pt idx="471">
                  <c:v>1.8399999999999999</c:v>
                </c:pt>
                <c:pt idx="472">
                  <c:v>1.8399999999999999</c:v>
                </c:pt>
                <c:pt idx="473">
                  <c:v>1.8399999999999999</c:v>
                </c:pt>
                <c:pt idx="474">
                  <c:v>1.8399999999999999</c:v>
                </c:pt>
                <c:pt idx="475">
                  <c:v>1.8399999999999999</c:v>
                </c:pt>
                <c:pt idx="476">
                  <c:v>1.8399999999999999</c:v>
                </c:pt>
                <c:pt idx="477">
                  <c:v>1.8399999999999999</c:v>
                </c:pt>
                <c:pt idx="478">
                  <c:v>1.8399999999999999</c:v>
                </c:pt>
                <c:pt idx="479">
                  <c:v>1.8399999999999999</c:v>
                </c:pt>
                <c:pt idx="480">
                  <c:v>1.8399999999999999</c:v>
                </c:pt>
                <c:pt idx="481">
                  <c:v>1.8399999999999999</c:v>
                </c:pt>
                <c:pt idx="482">
                  <c:v>1.8399999999999999</c:v>
                </c:pt>
                <c:pt idx="483">
                  <c:v>1.8399999999999999</c:v>
                </c:pt>
                <c:pt idx="484">
                  <c:v>1.8399999999999999</c:v>
                </c:pt>
                <c:pt idx="485">
                  <c:v>1.8399999999999999</c:v>
                </c:pt>
                <c:pt idx="486">
                  <c:v>1.8399999999999999</c:v>
                </c:pt>
                <c:pt idx="487">
                  <c:v>1.8599999999999994</c:v>
                </c:pt>
                <c:pt idx="488">
                  <c:v>1.88</c:v>
                </c:pt>
                <c:pt idx="489">
                  <c:v>1.9100000000000001</c:v>
                </c:pt>
                <c:pt idx="490">
                  <c:v>1.92</c:v>
                </c:pt>
                <c:pt idx="491">
                  <c:v>1.9500000000000002</c:v>
                </c:pt>
                <c:pt idx="492">
                  <c:v>1.9699999999999998</c:v>
                </c:pt>
                <c:pt idx="493">
                  <c:v>1.9799999999999995</c:v>
                </c:pt>
                <c:pt idx="494">
                  <c:v>1.9899999999999993</c:v>
                </c:pt>
                <c:pt idx="495">
                  <c:v>1.9899999999999993</c:v>
                </c:pt>
                <c:pt idx="496">
                  <c:v>2</c:v>
                </c:pt>
                <c:pt idx="497">
                  <c:v>2</c:v>
                </c:pt>
                <c:pt idx="498">
                  <c:v>2.0099999999999998</c:v>
                </c:pt>
                <c:pt idx="499">
                  <c:v>2.0099999999999998</c:v>
                </c:pt>
                <c:pt idx="500">
                  <c:v>2.0099999999999998</c:v>
                </c:pt>
                <c:pt idx="501">
                  <c:v>2.0099999999999998</c:v>
                </c:pt>
                <c:pt idx="502">
                  <c:v>2.0199999999999996</c:v>
                </c:pt>
                <c:pt idx="503">
                  <c:v>2.0199999999999996</c:v>
                </c:pt>
                <c:pt idx="504">
                  <c:v>2.0199999999999996</c:v>
                </c:pt>
                <c:pt idx="505">
                  <c:v>2.0199999999999996</c:v>
                </c:pt>
                <c:pt idx="506">
                  <c:v>2.0199999999999996</c:v>
                </c:pt>
                <c:pt idx="507">
                  <c:v>2.0199999999999996</c:v>
                </c:pt>
                <c:pt idx="508">
                  <c:v>2.0199999999999996</c:v>
                </c:pt>
                <c:pt idx="509">
                  <c:v>2.0199999999999996</c:v>
                </c:pt>
                <c:pt idx="510">
                  <c:v>2.0199999999999996</c:v>
                </c:pt>
                <c:pt idx="511">
                  <c:v>2.0199999999999996</c:v>
                </c:pt>
                <c:pt idx="512">
                  <c:v>2.0199999999999996</c:v>
                </c:pt>
                <c:pt idx="513">
                  <c:v>2.0199999999999996</c:v>
                </c:pt>
                <c:pt idx="514">
                  <c:v>2.0199999999999996</c:v>
                </c:pt>
                <c:pt idx="515">
                  <c:v>2.0199999999999996</c:v>
                </c:pt>
                <c:pt idx="516">
                  <c:v>2.0199999999999996</c:v>
                </c:pt>
                <c:pt idx="517">
                  <c:v>2.0199999999999996</c:v>
                </c:pt>
                <c:pt idx="518">
                  <c:v>2.0599999999999996</c:v>
                </c:pt>
                <c:pt idx="519">
                  <c:v>2.08</c:v>
                </c:pt>
                <c:pt idx="520">
                  <c:v>2.0999999999999996</c:v>
                </c:pt>
                <c:pt idx="521">
                  <c:v>2.12</c:v>
                </c:pt>
                <c:pt idx="522">
                  <c:v>2.13</c:v>
                </c:pt>
                <c:pt idx="523">
                  <c:v>2.13</c:v>
                </c:pt>
                <c:pt idx="524">
                  <c:v>2.1399999999999997</c:v>
                </c:pt>
                <c:pt idx="525">
                  <c:v>2.1399999999999997</c:v>
                </c:pt>
                <c:pt idx="526">
                  <c:v>2.1499999999999995</c:v>
                </c:pt>
                <c:pt idx="527">
                  <c:v>2.1499999999999995</c:v>
                </c:pt>
                <c:pt idx="528">
                  <c:v>2.16</c:v>
                </c:pt>
                <c:pt idx="529">
                  <c:v>2.16</c:v>
                </c:pt>
                <c:pt idx="530">
                  <c:v>2.17</c:v>
                </c:pt>
                <c:pt idx="531">
                  <c:v>2.17</c:v>
                </c:pt>
                <c:pt idx="532">
                  <c:v>2.17</c:v>
                </c:pt>
                <c:pt idx="533">
                  <c:v>2.17</c:v>
                </c:pt>
                <c:pt idx="534">
                  <c:v>2.17</c:v>
                </c:pt>
                <c:pt idx="535">
                  <c:v>2.17</c:v>
                </c:pt>
                <c:pt idx="536">
                  <c:v>2.17</c:v>
                </c:pt>
                <c:pt idx="537">
                  <c:v>2.17</c:v>
                </c:pt>
                <c:pt idx="538">
                  <c:v>2.17</c:v>
                </c:pt>
                <c:pt idx="539">
                  <c:v>2.17</c:v>
                </c:pt>
                <c:pt idx="540">
                  <c:v>2.17</c:v>
                </c:pt>
                <c:pt idx="541">
                  <c:v>2.17</c:v>
                </c:pt>
                <c:pt idx="542">
                  <c:v>2.17</c:v>
                </c:pt>
                <c:pt idx="543">
                  <c:v>2.17</c:v>
                </c:pt>
                <c:pt idx="544">
                  <c:v>2.17</c:v>
                </c:pt>
                <c:pt idx="545">
                  <c:v>2.17</c:v>
                </c:pt>
                <c:pt idx="546">
                  <c:v>2.17</c:v>
                </c:pt>
                <c:pt idx="547">
                  <c:v>2.2000000000000002</c:v>
                </c:pt>
                <c:pt idx="548">
                  <c:v>2.2299999999999995</c:v>
                </c:pt>
                <c:pt idx="549">
                  <c:v>2.25</c:v>
                </c:pt>
                <c:pt idx="550">
                  <c:v>2.2699999999999996</c:v>
                </c:pt>
                <c:pt idx="551">
                  <c:v>2.2699999999999996</c:v>
                </c:pt>
                <c:pt idx="552">
                  <c:v>2.2799999999999994</c:v>
                </c:pt>
                <c:pt idx="553">
                  <c:v>2.29</c:v>
                </c:pt>
                <c:pt idx="554">
                  <c:v>2.29</c:v>
                </c:pt>
                <c:pt idx="555">
                  <c:v>2.29</c:v>
                </c:pt>
                <c:pt idx="556">
                  <c:v>2.2999999999999998</c:v>
                </c:pt>
                <c:pt idx="557">
                  <c:v>2.2999999999999998</c:v>
                </c:pt>
                <c:pt idx="558">
                  <c:v>2.3099999999999996</c:v>
                </c:pt>
                <c:pt idx="559">
                  <c:v>2.3099999999999996</c:v>
                </c:pt>
                <c:pt idx="560">
                  <c:v>2.3099999999999996</c:v>
                </c:pt>
                <c:pt idx="561">
                  <c:v>2.3099999999999996</c:v>
                </c:pt>
                <c:pt idx="562">
                  <c:v>2.3099999999999996</c:v>
                </c:pt>
                <c:pt idx="563">
                  <c:v>2.3099999999999996</c:v>
                </c:pt>
                <c:pt idx="564">
                  <c:v>2.3099999999999996</c:v>
                </c:pt>
                <c:pt idx="565">
                  <c:v>2.3099999999999996</c:v>
                </c:pt>
                <c:pt idx="566">
                  <c:v>2.3099999999999996</c:v>
                </c:pt>
                <c:pt idx="567">
                  <c:v>2.3099999999999996</c:v>
                </c:pt>
                <c:pt idx="568">
                  <c:v>2.3099999999999996</c:v>
                </c:pt>
                <c:pt idx="569">
                  <c:v>2.3099999999999996</c:v>
                </c:pt>
                <c:pt idx="570">
                  <c:v>2.3099999999999996</c:v>
                </c:pt>
                <c:pt idx="571">
                  <c:v>2.3099999999999996</c:v>
                </c:pt>
                <c:pt idx="572">
                  <c:v>2.3099999999999996</c:v>
                </c:pt>
                <c:pt idx="573">
                  <c:v>2.3099999999999996</c:v>
                </c:pt>
                <c:pt idx="574">
                  <c:v>2.3099999999999996</c:v>
                </c:pt>
                <c:pt idx="575">
                  <c:v>2.3099999999999996</c:v>
                </c:pt>
                <c:pt idx="576">
                  <c:v>2.3099999999999996</c:v>
                </c:pt>
                <c:pt idx="577">
                  <c:v>2.33</c:v>
                </c:pt>
                <c:pt idx="578">
                  <c:v>2.3599999999999994</c:v>
                </c:pt>
                <c:pt idx="579">
                  <c:v>2.38</c:v>
                </c:pt>
                <c:pt idx="580">
                  <c:v>2.3999999999999995</c:v>
                </c:pt>
                <c:pt idx="581">
                  <c:v>2.3999999999999995</c:v>
                </c:pt>
                <c:pt idx="582">
                  <c:v>2.41</c:v>
                </c:pt>
                <c:pt idx="583">
                  <c:v>2.42</c:v>
                </c:pt>
                <c:pt idx="584">
                  <c:v>2.42</c:v>
                </c:pt>
                <c:pt idx="585">
                  <c:v>2.4299999999999997</c:v>
                </c:pt>
                <c:pt idx="586">
                  <c:v>2.4399999999999995</c:v>
                </c:pt>
                <c:pt idx="587">
                  <c:v>2.4399999999999995</c:v>
                </c:pt>
                <c:pt idx="588">
                  <c:v>2.4500000000000002</c:v>
                </c:pt>
                <c:pt idx="589">
                  <c:v>2.4500000000000002</c:v>
                </c:pt>
                <c:pt idx="590">
                  <c:v>2.4500000000000002</c:v>
                </c:pt>
                <c:pt idx="591">
                  <c:v>2.46</c:v>
                </c:pt>
                <c:pt idx="592">
                  <c:v>2.46</c:v>
                </c:pt>
                <c:pt idx="593">
                  <c:v>2.46</c:v>
                </c:pt>
                <c:pt idx="594">
                  <c:v>2.46</c:v>
                </c:pt>
                <c:pt idx="595">
                  <c:v>2.46</c:v>
                </c:pt>
                <c:pt idx="596">
                  <c:v>2.46</c:v>
                </c:pt>
                <c:pt idx="597">
                  <c:v>2.46</c:v>
                </c:pt>
                <c:pt idx="598">
                  <c:v>2.46</c:v>
                </c:pt>
                <c:pt idx="599">
                  <c:v>2.46</c:v>
                </c:pt>
                <c:pt idx="600">
                  <c:v>2.46</c:v>
                </c:pt>
                <c:pt idx="601">
                  <c:v>2.46</c:v>
                </c:pt>
                <c:pt idx="602">
                  <c:v>2.46</c:v>
                </c:pt>
                <c:pt idx="603">
                  <c:v>2.46</c:v>
                </c:pt>
                <c:pt idx="604">
                  <c:v>2.46</c:v>
                </c:pt>
                <c:pt idx="605">
                  <c:v>2.46</c:v>
                </c:pt>
                <c:pt idx="606">
                  <c:v>2.46</c:v>
                </c:pt>
                <c:pt idx="607">
                  <c:v>2.4799999999999995</c:v>
                </c:pt>
                <c:pt idx="608">
                  <c:v>2.5199999999999996</c:v>
                </c:pt>
                <c:pt idx="609">
                  <c:v>2.5499999999999998</c:v>
                </c:pt>
                <c:pt idx="610">
                  <c:v>2.5699999999999994</c:v>
                </c:pt>
                <c:pt idx="611">
                  <c:v>2.59</c:v>
                </c:pt>
                <c:pt idx="612">
                  <c:v>2.5999999999999996</c:v>
                </c:pt>
                <c:pt idx="613">
                  <c:v>2.62</c:v>
                </c:pt>
                <c:pt idx="614">
                  <c:v>2.63</c:v>
                </c:pt>
                <c:pt idx="615">
                  <c:v>2.6499999999999995</c:v>
                </c:pt>
                <c:pt idx="616">
                  <c:v>2.6499999999999995</c:v>
                </c:pt>
                <c:pt idx="617">
                  <c:v>2.66</c:v>
                </c:pt>
                <c:pt idx="618">
                  <c:v>2.67</c:v>
                </c:pt>
                <c:pt idx="619">
                  <c:v>2.6799999999999997</c:v>
                </c:pt>
                <c:pt idx="620">
                  <c:v>2.6899999999999995</c:v>
                </c:pt>
                <c:pt idx="621">
                  <c:v>2.7</c:v>
                </c:pt>
                <c:pt idx="622">
                  <c:v>2.7</c:v>
                </c:pt>
                <c:pt idx="623">
                  <c:v>2.7</c:v>
                </c:pt>
                <c:pt idx="624">
                  <c:v>2.7</c:v>
                </c:pt>
                <c:pt idx="625">
                  <c:v>2.7</c:v>
                </c:pt>
                <c:pt idx="626">
                  <c:v>2.7</c:v>
                </c:pt>
                <c:pt idx="627">
                  <c:v>2.7</c:v>
                </c:pt>
                <c:pt idx="628">
                  <c:v>2.7</c:v>
                </c:pt>
                <c:pt idx="629">
                  <c:v>2.7</c:v>
                </c:pt>
                <c:pt idx="630">
                  <c:v>2.7</c:v>
                </c:pt>
                <c:pt idx="631">
                  <c:v>2.7</c:v>
                </c:pt>
                <c:pt idx="632">
                  <c:v>2.7</c:v>
                </c:pt>
                <c:pt idx="633">
                  <c:v>2.7</c:v>
                </c:pt>
                <c:pt idx="634">
                  <c:v>2.7</c:v>
                </c:pt>
                <c:pt idx="635">
                  <c:v>2.7</c:v>
                </c:pt>
                <c:pt idx="636">
                  <c:v>2.71</c:v>
                </c:pt>
                <c:pt idx="637">
                  <c:v>2.7299999999999995</c:v>
                </c:pt>
                <c:pt idx="638">
                  <c:v>2.75</c:v>
                </c:pt>
                <c:pt idx="639">
                  <c:v>2.7799999999999994</c:v>
                </c:pt>
                <c:pt idx="640">
                  <c:v>2.8</c:v>
                </c:pt>
                <c:pt idx="641">
                  <c:v>2.8099999999999996</c:v>
                </c:pt>
                <c:pt idx="642">
                  <c:v>2.8199999999999994</c:v>
                </c:pt>
                <c:pt idx="643">
                  <c:v>2.83</c:v>
                </c:pt>
                <c:pt idx="644">
                  <c:v>2.84</c:v>
                </c:pt>
                <c:pt idx="645">
                  <c:v>2.84</c:v>
                </c:pt>
                <c:pt idx="646">
                  <c:v>2.8499999999999996</c:v>
                </c:pt>
                <c:pt idx="647">
                  <c:v>2.8499999999999996</c:v>
                </c:pt>
                <c:pt idx="648">
                  <c:v>2.8599999999999994</c:v>
                </c:pt>
                <c:pt idx="649">
                  <c:v>2.8599999999999994</c:v>
                </c:pt>
                <c:pt idx="650">
                  <c:v>2.8599999999999994</c:v>
                </c:pt>
                <c:pt idx="651">
                  <c:v>2.8599999999999994</c:v>
                </c:pt>
                <c:pt idx="652">
                  <c:v>2.8599999999999994</c:v>
                </c:pt>
                <c:pt idx="653">
                  <c:v>2.8599999999999994</c:v>
                </c:pt>
                <c:pt idx="654">
                  <c:v>2.8599999999999994</c:v>
                </c:pt>
                <c:pt idx="655">
                  <c:v>2.8599999999999994</c:v>
                </c:pt>
                <c:pt idx="656">
                  <c:v>2.8599999999999994</c:v>
                </c:pt>
                <c:pt idx="657">
                  <c:v>2.8599999999999994</c:v>
                </c:pt>
                <c:pt idx="658">
                  <c:v>2.8599999999999994</c:v>
                </c:pt>
                <c:pt idx="659">
                  <c:v>2.8599999999999994</c:v>
                </c:pt>
                <c:pt idx="660">
                  <c:v>2.8599999999999994</c:v>
                </c:pt>
                <c:pt idx="661">
                  <c:v>2.8599999999999994</c:v>
                </c:pt>
                <c:pt idx="662">
                  <c:v>2.8599999999999994</c:v>
                </c:pt>
                <c:pt idx="663">
                  <c:v>2.8599999999999994</c:v>
                </c:pt>
                <c:pt idx="664">
                  <c:v>2.8599999999999994</c:v>
                </c:pt>
                <c:pt idx="665">
                  <c:v>2.8599999999999994</c:v>
                </c:pt>
                <c:pt idx="666">
                  <c:v>2.8599999999999994</c:v>
                </c:pt>
                <c:pt idx="667">
                  <c:v>2.8899999999999997</c:v>
                </c:pt>
                <c:pt idx="668">
                  <c:v>2.92</c:v>
                </c:pt>
                <c:pt idx="669">
                  <c:v>2.9399999999999995</c:v>
                </c:pt>
                <c:pt idx="670">
                  <c:v>2.96</c:v>
                </c:pt>
                <c:pt idx="671">
                  <c:v>2.9699999999999998</c:v>
                </c:pt>
                <c:pt idx="672">
                  <c:v>2.9699999999999998</c:v>
                </c:pt>
                <c:pt idx="673">
                  <c:v>2.9799999999999995</c:v>
                </c:pt>
                <c:pt idx="674">
                  <c:v>2.9799999999999995</c:v>
                </c:pt>
                <c:pt idx="675">
                  <c:v>2.9899999999999993</c:v>
                </c:pt>
                <c:pt idx="676">
                  <c:v>2.9899999999999993</c:v>
                </c:pt>
                <c:pt idx="677">
                  <c:v>2.9899999999999993</c:v>
                </c:pt>
                <c:pt idx="678">
                  <c:v>2.9899999999999993</c:v>
                </c:pt>
                <c:pt idx="679">
                  <c:v>2.9899999999999993</c:v>
                </c:pt>
                <c:pt idx="680">
                  <c:v>3</c:v>
                </c:pt>
                <c:pt idx="681">
                  <c:v>3</c:v>
                </c:pt>
                <c:pt idx="682">
                  <c:v>3</c:v>
                </c:pt>
                <c:pt idx="683">
                  <c:v>3</c:v>
                </c:pt>
                <c:pt idx="684">
                  <c:v>3</c:v>
                </c:pt>
                <c:pt idx="685">
                  <c:v>3</c:v>
                </c:pt>
                <c:pt idx="686">
                  <c:v>3</c:v>
                </c:pt>
                <c:pt idx="687">
                  <c:v>3</c:v>
                </c:pt>
                <c:pt idx="688">
                  <c:v>3</c:v>
                </c:pt>
                <c:pt idx="689">
                  <c:v>3</c:v>
                </c:pt>
                <c:pt idx="690">
                  <c:v>3</c:v>
                </c:pt>
                <c:pt idx="691">
                  <c:v>3</c:v>
                </c:pt>
                <c:pt idx="692">
                  <c:v>3</c:v>
                </c:pt>
                <c:pt idx="693">
                  <c:v>3</c:v>
                </c:pt>
                <c:pt idx="694">
                  <c:v>3</c:v>
                </c:pt>
                <c:pt idx="695">
                  <c:v>3</c:v>
                </c:pt>
                <c:pt idx="696">
                  <c:v>3</c:v>
                </c:pt>
                <c:pt idx="697">
                  <c:v>3.0299999999999994</c:v>
                </c:pt>
                <c:pt idx="698">
                  <c:v>3.0599999999999996</c:v>
                </c:pt>
                <c:pt idx="699">
                  <c:v>3.08</c:v>
                </c:pt>
                <c:pt idx="700">
                  <c:v>3.09</c:v>
                </c:pt>
                <c:pt idx="701">
                  <c:v>3.0999999999999996</c:v>
                </c:pt>
                <c:pt idx="702">
                  <c:v>3.1099999999999994</c:v>
                </c:pt>
                <c:pt idx="703">
                  <c:v>3.1099999999999994</c:v>
                </c:pt>
                <c:pt idx="704">
                  <c:v>3.12</c:v>
                </c:pt>
                <c:pt idx="705">
                  <c:v>3.13</c:v>
                </c:pt>
                <c:pt idx="706">
                  <c:v>3.13</c:v>
                </c:pt>
                <c:pt idx="707">
                  <c:v>3.1399999999999997</c:v>
                </c:pt>
                <c:pt idx="708">
                  <c:v>3.1399999999999997</c:v>
                </c:pt>
                <c:pt idx="709">
                  <c:v>3.1399999999999997</c:v>
                </c:pt>
                <c:pt idx="710">
                  <c:v>3.1399999999999997</c:v>
                </c:pt>
                <c:pt idx="711">
                  <c:v>3.1499999999999995</c:v>
                </c:pt>
                <c:pt idx="712">
                  <c:v>3.1499999999999995</c:v>
                </c:pt>
                <c:pt idx="713">
                  <c:v>3.1499999999999995</c:v>
                </c:pt>
                <c:pt idx="714">
                  <c:v>3.1499999999999995</c:v>
                </c:pt>
                <c:pt idx="715">
                  <c:v>3.1499999999999995</c:v>
                </c:pt>
                <c:pt idx="716">
                  <c:v>3.1499999999999995</c:v>
                </c:pt>
                <c:pt idx="717">
                  <c:v>3.1499999999999995</c:v>
                </c:pt>
                <c:pt idx="718">
                  <c:v>3.1499999999999995</c:v>
                </c:pt>
                <c:pt idx="719">
                  <c:v>3.1499999999999995</c:v>
                </c:pt>
                <c:pt idx="720">
                  <c:v>3.1499999999999995</c:v>
                </c:pt>
                <c:pt idx="721">
                  <c:v>3.1499999999999995</c:v>
                </c:pt>
                <c:pt idx="722">
                  <c:v>3.1499999999999995</c:v>
                </c:pt>
                <c:pt idx="723">
                  <c:v>3.1499999999999995</c:v>
                </c:pt>
                <c:pt idx="724">
                  <c:v>3.1499999999999995</c:v>
                </c:pt>
                <c:pt idx="725">
                  <c:v>3.1499999999999995</c:v>
                </c:pt>
                <c:pt idx="726">
                  <c:v>3.1499999999999995</c:v>
                </c:pt>
                <c:pt idx="727">
                  <c:v>3.1899999999999995</c:v>
                </c:pt>
                <c:pt idx="728">
                  <c:v>3.2199999999999998</c:v>
                </c:pt>
                <c:pt idx="729">
                  <c:v>3.2399999999999993</c:v>
                </c:pt>
                <c:pt idx="730">
                  <c:v>3.25</c:v>
                </c:pt>
                <c:pt idx="731">
                  <c:v>3.25</c:v>
                </c:pt>
                <c:pt idx="732">
                  <c:v>3.26</c:v>
                </c:pt>
                <c:pt idx="733">
                  <c:v>3.2799999999999994</c:v>
                </c:pt>
                <c:pt idx="734">
                  <c:v>3.2799999999999994</c:v>
                </c:pt>
                <c:pt idx="735">
                  <c:v>3.2799999999999994</c:v>
                </c:pt>
                <c:pt idx="736">
                  <c:v>3.29</c:v>
                </c:pt>
                <c:pt idx="737">
                  <c:v>3.29</c:v>
                </c:pt>
                <c:pt idx="738">
                  <c:v>3.29</c:v>
                </c:pt>
                <c:pt idx="739">
                  <c:v>3.29</c:v>
                </c:pt>
                <c:pt idx="740">
                  <c:v>3.3</c:v>
                </c:pt>
                <c:pt idx="741">
                  <c:v>3.3099999999999996</c:v>
                </c:pt>
                <c:pt idx="742">
                  <c:v>3.3099999999999996</c:v>
                </c:pt>
                <c:pt idx="743">
                  <c:v>3.3099999999999996</c:v>
                </c:pt>
                <c:pt idx="744">
                  <c:v>3.3099999999999996</c:v>
                </c:pt>
                <c:pt idx="745">
                  <c:v>3.3099999999999996</c:v>
                </c:pt>
                <c:pt idx="746">
                  <c:v>3.3099999999999996</c:v>
                </c:pt>
                <c:pt idx="747">
                  <c:v>3.3099999999999996</c:v>
                </c:pt>
                <c:pt idx="748">
                  <c:v>3.3099999999999996</c:v>
                </c:pt>
                <c:pt idx="749">
                  <c:v>3.3099999999999996</c:v>
                </c:pt>
                <c:pt idx="750">
                  <c:v>3.3099999999999996</c:v>
                </c:pt>
                <c:pt idx="751">
                  <c:v>3.3099999999999996</c:v>
                </c:pt>
                <c:pt idx="752">
                  <c:v>3.3099999999999996</c:v>
                </c:pt>
                <c:pt idx="753">
                  <c:v>3.3099999999999996</c:v>
                </c:pt>
                <c:pt idx="754">
                  <c:v>3.3099999999999996</c:v>
                </c:pt>
                <c:pt idx="755">
                  <c:v>3.3099999999999996</c:v>
                </c:pt>
                <c:pt idx="756">
                  <c:v>3.3199999999999994</c:v>
                </c:pt>
                <c:pt idx="757">
                  <c:v>3.3499999999999996</c:v>
                </c:pt>
                <c:pt idx="758">
                  <c:v>3.37</c:v>
                </c:pt>
                <c:pt idx="759">
                  <c:v>3.3899999999999997</c:v>
                </c:pt>
                <c:pt idx="760">
                  <c:v>3.42</c:v>
                </c:pt>
                <c:pt idx="761">
                  <c:v>3.4399999999999995</c:v>
                </c:pt>
                <c:pt idx="762">
                  <c:v>3.45</c:v>
                </c:pt>
                <c:pt idx="763">
                  <c:v>3.46</c:v>
                </c:pt>
                <c:pt idx="764">
                  <c:v>3.4699999999999998</c:v>
                </c:pt>
                <c:pt idx="765">
                  <c:v>3.4799999999999995</c:v>
                </c:pt>
                <c:pt idx="766">
                  <c:v>3.4799999999999995</c:v>
                </c:pt>
                <c:pt idx="767">
                  <c:v>3.4899999999999993</c:v>
                </c:pt>
                <c:pt idx="768">
                  <c:v>3.4999999999999991</c:v>
                </c:pt>
                <c:pt idx="769">
                  <c:v>3.4999999999999991</c:v>
                </c:pt>
                <c:pt idx="770">
                  <c:v>3.5099999999999989</c:v>
                </c:pt>
                <c:pt idx="771">
                  <c:v>3.5099999999999989</c:v>
                </c:pt>
                <c:pt idx="772">
                  <c:v>3.5099999999999989</c:v>
                </c:pt>
                <c:pt idx="773">
                  <c:v>3.5099999999999989</c:v>
                </c:pt>
                <c:pt idx="774">
                  <c:v>3.5099999999999989</c:v>
                </c:pt>
                <c:pt idx="775">
                  <c:v>3.5099999999999989</c:v>
                </c:pt>
                <c:pt idx="776">
                  <c:v>3.5099999999999989</c:v>
                </c:pt>
                <c:pt idx="777">
                  <c:v>3.5099999999999989</c:v>
                </c:pt>
                <c:pt idx="778">
                  <c:v>3.5099999999999989</c:v>
                </c:pt>
                <c:pt idx="779">
                  <c:v>3.5099999999999989</c:v>
                </c:pt>
                <c:pt idx="780">
                  <c:v>3.5099999999999989</c:v>
                </c:pt>
                <c:pt idx="781">
                  <c:v>3.5099999999999989</c:v>
                </c:pt>
                <c:pt idx="782">
                  <c:v>3.5099999999999989</c:v>
                </c:pt>
                <c:pt idx="783">
                  <c:v>3.5099999999999989</c:v>
                </c:pt>
                <c:pt idx="784">
                  <c:v>3.5099999999999989</c:v>
                </c:pt>
                <c:pt idx="785">
                  <c:v>3.5099999999999989</c:v>
                </c:pt>
                <c:pt idx="786">
                  <c:v>3.5200000000000005</c:v>
                </c:pt>
                <c:pt idx="787">
                  <c:v>3.54</c:v>
                </c:pt>
                <c:pt idx="788">
                  <c:v>3.5699999999999994</c:v>
                </c:pt>
                <c:pt idx="789">
                  <c:v>3.5799999999999992</c:v>
                </c:pt>
                <c:pt idx="790">
                  <c:v>3.589999999999999</c:v>
                </c:pt>
                <c:pt idx="791">
                  <c:v>3.6100000000000003</c:v>
                </c:pt>
                <c:pt idx="792">
                  <c:v>3.6100000000000003</c:v>
                </c:pt>
                <c:pt idx="793">
                  <c:v>3.62</c:v>
                </c:pt>
                <c:pt idx="794">
                  <c:v>3.62</c:v>
                </c:pt>
                <c:pt idx="795">
                  <c:v>3.63</c:v>
                </c:pt>
                <c:pt idx="796">
                  <c:v>3.63</c:v>
                </c:pt>
                <c:pt idx="797">
                  <c:v>3.6399999999999997</c:v>
                </c:pt>
                <c:pt idx="798">
                  <c:v>3.6499999999999995</c:v>
                </c:pt>
                <c:pt idx="799">
                  <c:v>3.6499999999999995</c:v>
                </c:pt>
                <c:pt idx="800">
                  <c:v>3.6499999999999995</c:v>
                </c:pt>
                <c:pt idx="801">
                  <c:v>3.6599999999999993</c:v>
                </c:pt>
                <c:pt idx="802">
                  <c:v>3.6599999999999993</c:v>
                </c:pt>
                <c:pt idx="803">
                  <c:v>3.6599999999999993</c:v>
                </c:pt>
                <c:pt idx="804">
                  <c:v>3.6599999999999993</c:v>
                </c:pt>
                <c:pt idx="805">
                  <c:v>3.6599999999999993</c:v>
                </c:pt>
                <c:pt idx="806">
                  <c:v>3.6599999999999993</c:v>
                </c:pt>
                <c:pt idx="807">
                  <c:v>3.6599999999999993</c:v>
                </c:pt>
                <c:pt idx="808">
                  <c:v>3.6599999999999993</c:v>
                </c:pt>
                <c:pt idx="809">
                  <c:v>3.6599999999999993</c:v>
                </c:pt>
                <c:pt idx="810">
                  <c:v>3.6599999999999993</c:v>
                </c:pt>
                <c:pt idx="811">
                  <c:v>3.6599999999999993</c:v>
                </c:pt>
                <c:pt idx="812">
                  <c:v>3.6599999999999993</c:v>
                </c:pt>
                <c:pt idx="813">
                  <c:v>3.6599999999999993</c:v>
                </c:pt>
                <c:pt idx="814">
                  <c:v>3.6599999999999993</c:v>
                </c:pt>
                <c:pt idx="815">
                  <c:v>3.6599999999999993</c:v>
                </c:pt>
                <c:pt idx="816">
                  <c:v>3.6800000000000006</c:v>
                </c:pt>
                <c:pt idx="817">
                  <c:v>3.71</c:v>
                </c:pt>
                <c:pt idx="818">
                  <c:v>3.7299999999999995</c:v>
                </c:pt>
                <c:pt idx="819">
                  <c:v>3.7399999999999993</c:v>
                </c:pt>
                <c:pt idx="820">
                  <c:v>3.7499999999999991</c:v>
                </c:pt>
                <c:pt idx="821">
                  <c:v>3.7599999999999989</c:v>
                </c:pt>
                <c:pt idx="822">
                  <c:v>3.7700000000000005</c:v>
                </c:pt>
                <c:pt idx="823">
                  <c:v>3.7700000000000005</c:v>
                </c:pt>
                <c:pt idx="824">
                  <c:v>3.7800000000000002</c:v>
                </c:pt>
                <c:pt idx="825">
                  <c:v>3.7800000000000002</c:v>
                </c:pt>
                <c:pt idx="826">
                  <c:v>3.79</c:v>
                </c:pt>
                <c:pt idx="827">
                  <c:v>3.79</c:v>
                </c:pt>
                <c:pt idx="828">
                  <c:v>3.8</c:v>
                </c:pt>
                <c:pt idx="829">
                  <c:v>3.8099999999999996</c:v>
                </c:pt>
                <c:pt idx="830">
                  <c:v>3.8099999999999996</c:v>
                </c:pt>
                <c:pt idx="831">
                  <c:v>3.8099999999999996</c:v>
                </c:pt>
                <c:pt idx="832">
                  <c:v>3.8099999999999996</c:v>
                </c:pt>
                <c:pt idx="833">
                  <c:v>3.8099999999999996</c:v>
                </c:pt>
                <c:pt idx="834">
                  <c:v>3.8099999999999996</c:v>
                </c:pt>
                <c:pt idx="835">
                  <c:v>3.8099999999999996</c:v>
                </c:pt>
                <c:pt idx="836">
                  <c:v>3.8099999999999996</c:v>
                </c:pt>
                <c:pt idx="837">
                  <c:v>3.8099999999999996</c:v>
                </c:pt>
                <c:pt idx="838">
                  <c:v>3.8099999999999996</c:v>
                </c:pt>
                <c:pt idx="839">
                  <c:v>3.8099999999999996</c:v>
                </c:pt>
                <c:pt idx="840">
                  <c:v>3.8099999999999996</c:v>
                </c:pt>
                <c:pt idx="841">
                  <c:v>3.8099999999999996</c:v>
                </c:pt>
                <c:pt idx="842">
                  <c:v>3.8099999999999996</c:v>
                </c:pt>
                <c:pt idx="843">
                  <c:v>3.8099999999999996</c:v>
                </c:pt>
                <c:pt idx="844">
                  <c:v>3.8099999999999996</c:v>
                </c:pt>
                <c:pt idx="845">
                  <c:v>3.8099999999999996</c:v>
                </c:pt>
                <c:pt idx="846">
                  <c:v>3.8299999999999992</c:v>
                </c:pt>
                <c:pt idx="847">
                  <c:v>3.8600000000000003</c:v>
                </c:pt>
                <c:pt idx="848">
                  <c:v>3.88</c:v>
                </c:pt>
                <c:pt idx="849">
                  <c:v>3.8999999999999995</c:v>
                </c:pt>
                <c:pt idx="850">
                  <c:v>3.9099999999999993</c:v>
                </c:pt>
                <c:pt idx="851">
                  <c:v>3.919999999999999</c:v>
                </c:pt>
                <c:pt idx="852">
                  <c:v>3.9300000000000006</c:v>
                </c:pt>
                <c:pt idx="853">
                  <c:v>3.9400000000000004</c:v>
                </c:pt>
                <c:pt idx="854">
                  <c:v>3.9400000000000004</c:v>
                </c:pt>
                <c:pt idx="855">
                  <c:v>3.95</c:v>
                </c:pt>
                <c:pt idx="856">
                  <c:v>3.95</c:v>
                </c:pt>
                <c:pt idx="857">
                  <c:v>3.95</c:v>
                </c:pt>
                <c:pt idx="858">
                  <c:v>3.96</c:v>
                </c:pt>
                <c:pt idx="859">
                  <c:v>3.96</c:v>
                </c:pt>
                <c:pt idx="860">
                  <c:v>3.96</c:v>
                </c:pt>
                <c:pt idx="861">
                  <c:v>3.96</c:v>
                </c:pt>
                <c:pt idx="862">
                  <c:v>3.96</c:v>
                </c:pt>
                <c:pt idx="863">
                  <c:v>3.96</c:v>
                </c:pt>
                <c:pt idx="864">
                  <c:v>3.96</c:v>
                </c:pt>
                <c:pt idx="865">
                  <c:v>3.96</c:v>
                </c:pt>
                <c:pt idx="866">
                  <c:v>3.96</c:v>
                </c:pt>
                <c:pt idx="867">
                  <c:v>3.96</c:v>
                </c:pt>
                <c:pt idx="868">
                  <c:v>3.96</c:v>
                </c:pt>
                <c:pt idx="869">
                  <c:v>3.96</c:v>
                </c:pt>
                <c:pt idx="870">
                  <c:v>3.96</c:v>
                </c:pt>
                <c:pt idx="871">
                  <c:v>3.96</c:v>
                </c:pt>
                <c:pt idx="872">
                  <c:v>3.96</c:v>
                </c:pt>
                <c:pt idx="873">
                  <c:v>3.96</c:v>
                </c:pt>
                <c:pt idx="874">
                  <c:v>3.96</c:v>
                </c:pt>
                <c:pt idx="875">
                  <c:v>3.96</c:v>
                </c:pt>
                <c:pt idx="876">
                  <c:v>3.9799999999999995</c:v>
                </c:pt>
                <c:pt idx="877">
                  <c:v>4.0099999999999989</c:v>
                </c:pt>
                <c:pt idx="878">
                  <c:v>4.04</c:v>
                </c:pt>
                <c:pt idx="879">
                  <c:v>4.0599999999999996</c:v>
                </c:pt>
                <c:pt idx="880">
                  <c:v>4.0699999999999994</c:v>
                </c:pt>
                <c:pt idx="881">
                  <c:v>4.0699999999999994</c:v>
                </c:pt>
                <c:pt idx="882">
                  <c:v>4.0799999999999992</c:v>
                </c:pt>
                <c:pt idx="883">
                  <c:v>4.089999999999999</c:v>
                </c:pt>
                <c:pt idx="884">
                  <c:v>4.089999999999999</c:v>
                </c:pt>
                <c:pt idx="885">
                  <c:v>4.1000000000000005</c:v>
                </c:pt>
                <c:pt idx="886">
                  <c:v>4.1100000000000003</c:v>
                </c:pt>
                <c:pt idx="887">
                  <c:v>4.1100000000000003</c:v>
                </c:pt>
                <c:pt idx="888">
                  <c:v>4.1100000000000003</c:v>
                </c:pt>
                <c:pt idx="889">
                  <c:v>4.12</c:v>
                </c:pt>
                <c:pt idx="890">
                  <c:v>4.12</c:v>
                </c:pt>
                <c:pt idx="891">
                  <c:v>4.12</c:v>
                </c:pt>
                <c:pt idx="892">
                  <c:v>4.12</c:v>
                </c:pt>
                <c:pt idx="893">
                  <c:v>4.12</c:v>
                </c:pt>
                <c:pt idx="894">
                  <c:v>4.12</c:v>
                </c:pt>
                <c:pt idx="895">
                  <c:v>4.12</c:v>
                </c:pt>
                <c:pt idx="896">
                  <c:v>4.12</c:v>
                </c:pt>
                <c:pt idx="897">
                  <c:v>4.12</c:v>
                </c:pt>
                <c:pt idx="898">
                  <c:v>4.12</c:v>
                </c:pt>
                <c:pt idx="899">
                  <c:v>4.12</c:v>
                </c:pt>
                <c:pt idx="900">
                  <c:v>4.12</c:v>
                </c:pt>
                <c:pt idx="901">
                  <c:v>4.12</c:v>
                </c:pt>
                <c:pt idx="902">
                  <c:v>4.12</c:v>
                </c:pt>
                <c:pt idx="903">
                  <c:v>4.12</c:v>
                </c:pt>
                <c:pt idx="904">
                  <c:v>4.12</c:v>
                </c:pt>
                <c:pt idx="905">
                  <c:v>4.12</c:v>
                </c:pt>
                <c:pt idx="906">
                  <c:v>4.1800000000000006</c:v>
                </c:pt>
                <c:pt idx="907">
                  <c:v>4.97</c:v>
                </c:pt>
                <c:pt idx="908">
                  <c:v>4.9999999999999991</c:v>
                </c:pt>
                <c:pt idx="909">
                  <c:v>5.03</c:v>
                </c:pt>
                <c:pt idx="910">
                  <c:v>5.0599999999999996</c:v>
                </c:pt>
                <c:pt idx="911">
                  <c:v>5.0699999999999994</c:v>
                </c:pt>
                <c:pt idx="912">
                  <c:v>5.089999999999999</c:v>
                </c:pt>
                <c:pt idx="913">
                  <c:v>5.1000000000000005</c:v>
                </c:pt>
                <c:pt idx="914">
                  <c:v>5.1100000000000003</c:v>
                </c:pt>
                <c:pt idx="915">
                  <c:v>5.13</c:v>
                </c:pt>
                <c:pt idx="916">
                  <c:v>5.14</c:v>
                </c:pt>
                <c:pt idx="917">
                  <c:v>5.1499999999999995</c:v>
                </c:pt>
                <c:pt idx="918">
                  <c:v>5.1599999999999993</c:v>
                </c:pt>
                <c:pt idx="919">
                  <c:v>5.169999999999999</c:v>
                </c:pt>
                <c:pt idx="920">
                  <c:v>5.1800000000000006</c:v>
                </c:pt>
                <c:pt idx="921">
                  <c:v>5.1800000000000006</c:v>
                </c:pt>
                <c:pt idx="922">
                  <c:v>5.1800000000000006</c:v>
                </c:pt>
                <c:pt idx="923">
                  <c:v>5.1800000000000006</c:v>
                </c:pt>
                <c:pt idx="924">
                  <c:v>5.1800000000000006</c:v>
                </c:pt>
                <c:pt idx="925">
                  <c:v>5.1800000000000006</c:v>
                </c:pt>
                <c:pt idx="926">
                  <c:v>5.1800000000000006</c:v>
                </c:pt>
                <c:pt idx="927">
                  <c:v>5.1800000000000006</c:v>
                </c:pt>
                <c:pt idx="928">
                  <c:v>5.1800000000000006</c:v>
                </c:pt>
                <c:pt idx="929">
                  <c:v>5.1800000000000006</c:v>
                </c:pt>
                <c:pt idx="930">
                  <c:v>5.1800000000000006</c:v>
                </c:pt>
                <c:pt idx="931">
                  <c:v>5.1800000000000006</c:v>
                </c:pt>
                <c:pt idx="932">
                  <c:v>5.3500000000000005</c:v>
                </c:pt>
                <c:pt idx="933">
                  <c:v>6.06</c:v>
                </c:pt>
                <c:pt idx="934">
                  <c:v>6.06</c:v>
                </c:pt>
                <c:pt idx="935">
                  <c:v>6.06</c:v>
                </c:pt>
                <c:pt idx="936">
                  <c:v>6.1000000000000005</c:v>
                </c:pt>
                <c:pt idx="937">
                  <c:v>6.13</c:v>
                </c:pt>
                <c:pt idx="938">
                  <c:v>6.1599999999999993</c:v>
                </c:pt>
                <c:pt idx="939">
                  <c:v>6.169999999999999</c:v>
                </c:pt>
                <c:pt idx="940">
                  <c:v>6.1800000000000006</c:v>
                </c:pt>
                <c:pt idx="941">
                  <c:v>6.19</c:v>
                </c:pt>
                <c:pt idx="942">
                  <c:v>6.2</c:v>
                </c:pt>
                <c:pt idx="943">
                  <c:v>6.21</c:v>
                </c:pt>
                <c:pt idx="944">
                  <c:v>6.2299999999999995</c:v>
                </c:pt>
                <c:pt idx="945">
                  <c:v>6.2299999999999995</c:v>
                </c:pt>
                <c:pt idx="946">
                  <c:v>6.2299999999999995</c:v>
                </c:pt>
                <c:pt idx="947">
                  <c:v>6.2499999999999991</c:v>
                </c:pt>
                <c:pt idx="948">
                  <c:v>6.2599999999999989</c:v>
                </c:pt>
                <c:pt idx="949">
                  <c:v>6.2700000000000005</c:v>
                </c:pt>
                <c:pt idx="950">
                  <c:v>6.28</c:v>
                </c:pt>
                <c:pt idx="951">
                  <c:v>6.28</c:v>
                </c:pt>
                <c:pt idx="952">
                  <c:v>6.28</c:v>
                </c:pt>
                <c:pt idx="953">
                  <c:v>6.28</c:v>
                </c:pt>
                <c:pt idx="954">
                  <c:v>6.28</c:v>
                </c:pt>
                <c:pt idx="955">
                  <c:v>6.28</c:v>
                </c:pt>
                <c:pt idx="956">
                  <c:v>6.28</c:v>
                </c:pt>
                <c:pt idx="957">
                  <c:v>6.28</c:v>
                </c:pt>
                <c:pt idx="958">
                  <c:v>6.28</c:v>
                </c:pt>
                <c:pt idx="959">
                  <c:v>6.28</c:v>
                </c:pt>
                <c:pt idx="960">
                  <c:v>6.28</c:v>
                </c:pt>
                <c:pt idx="961">
                  <c:v>6.28</c:v>
                </c:pt>
                <c:pt idx="962">
                  <c:v>6.29</c:v>
                </c:pt>
                <c:pt idx="963">
                  <c:v>6.29</c:v>
                </c:pt>
                <c:pt idx="964">
                  <c:v>6.3</c:v>
                </c:pt>
                <c:pt idx="965">
                  <c:v>6.31</c:v>
                </c:pt>
                <c:pt idx="966">
                  <c:v>6.339999999999999</c:v>
                </c:pt>
                <c:pt idx="967">
                  <c:v>6.38</c:v>
                </c:pt>
                <c:pt idx="968">
                  <c:v>6.4099999999999993</c:v>
                </c:pt>
                <c:pt idx="969">
                  <c:v>6.419999999999999</c:v>
                </c:pt>
                <c:pt idx="970">
                  <c:v>6.45</c:v>
                </c:pt>
                <c:pt idx="971">
                  <c:v>6.47</c:v>
                </c:pt>
                <c:pt idx="972">
                  <c:v>6.4799999999999995</c:v>
                </c:pt>
                <c:pt idx="973">
                  <c:v>6.4899999999999993</c:v>
                </c:pt>
                <c:pt idx="974">
                  <c:v>6.4999999999999991</c:v>
                </c:pt>
                <c:pt idx="975">
                  <c:v>6.5099999999999989</c:v>
                </c:pt>
                <c:pt idx="976">
                  <c:v>6.5200000000000005</c:v>
                </c:pt>
                <c:pt idx="977">
                  <c:v>6.53</c:v>
                </c:pt>
                <c:pt idx="978">
                  <c:v>6.54</c:v>
                </c:pt>
                <c:pt idx="979">
                  <c:v>6.55</c:v>
                </c:pt>
                <c:pt idx="980">
                  <c:v>6.56</c:v>
                </c:pt>
                <c:pt idx="981">
                  <c:v>6.56</c:v>
                </c:pt>
                <c:pt idx="982">
                  <c:v>6.56</c:v>
                </c:pt>
                <c:pt idx="983">
                  <c:v>6.56</c:v>
                </c:pt>
                <c:pt idx="984">
                  <c:v>6.56</c:v>
                </c:pt>
                <c:pt idx="985">
                  <c:v>6.56</c:v>
                </c:pt>
                <c:pt idx="986">
                  <c:v>6.56</c:v>
                </c:pt>
                <c:pt idx="987">
                  <c:v>6.56</c:v>
                </c:pt>
                <c:pt idx="988">
                  <c:v>6.56</c:v>
                </c:pt>
                <c:pt idx="989">
                  <c:v>6.5699999999999994</c:v>
                </c:pt>
                <c:pt idx="990">
                  <c:v>6.5699999999999994</c:v>
                </c:pt>
                <c:pt idx="991">
                  <c:v>6.5699999999999994</c:v>
                </c:pt>
                <c:pt idx="992">
                  <c:v>6.5799999999999992</c:v>
                </c:pt>
                <c:pt idx="993">
                  <c:v>6.589999999999999</c:v>
                </c:pt>
                <c:pt idx="994">
                  <c:v>6.6000000000000005</c:v>
                </c:pt>
                <c:pt idx="995">
                  <c:v>6.6000000000000005</c:v>
                </c:pt>
                <c:pt idx="996">
                  <c:v>6.64</c:v>
                </c:pt>
                <c:pt idx="997">
                  <c:v>6.6599999999999993</c:v>
                </c:pt>
                <c:pt idx="998">
                  <c:v>6.69</c:v>
                </c:pt>
                <c:pt idx="999">
                  <c:v>6.71</c:v>
                </c:pt>
                <c:pt idx="1000">
                  <c:v>6.72</c:v>
                </c:pt>
                <c:pt idx="1001">
                  <c:v>6.7399999999999993</c:v>
                </c:pt>
                <c:pt idx="1002">
                  <c:v>6.7499999999999991</c:v>
                </c:pt>
                <c:pt idx="1003">
                  <c:v>6.7700000000000005</c:v>
                </c:pt>
                <c:pt idx="1004">
                  <c:v>6.78</c:v>
                </c:pt>
                <c:pt idx="1005">
                  <c:v>6.78</c:v>
                </c:pt>
                <c:pt idx="1006">
                  <c:v>6.79</c:v>
                </c:pt>
                <c:pt idx="1007">
                  <c:v>6.8</c:v>
                </c:pt>
                <c:pt idx="1008">
                  <c:v>6.81</c:v>
                </c:pt>
                <c:pt idx="1009">
                  <c:v>6.8199999999999994</c:v>
                </c:pt>
                <c:pt idx="1010">
                  <c:v>6.839999999999999</c:v>
                </c:pt>
                <c:pt idx="1011">
                  <c:v>6.839999999999999</c:v>
                </c:pt>
                <c:pt idx="1012">
                  <c:v>6.839999999999999</c:v>
                </c:pt>
                <c:pt idx="1013">
                  <c:v>6.839999999999999</c:v>
                </c:pt>
                <c:pt idx="1014">
                  <c:v>6.839999999999999</c:v>
                </c:pt>
                <c:pt idx="1015">
                  <c:v>6.839999999999999</c:v>
                </c:pt>
                <c:pt idx="1016">
                  <c:v>6.839999999999999</c:v>
                </c:pt>
                <c:pt idx="1017">
                  <c:v>6.839999999999999</c:v>
                </c:pt>
                <c:pt idx="1018">
                  <c:v>6.839999999999999</c:v>
                </c:pt>
                <c:pt idx="1019">
                  <c:v>6.839999999999999</c:v>
                </c:pt>
                <c:pt idx="1020">
                  <c:v>6.839999999999999</c:v>
                </c:pt>
                <c:pt idx="1021">
                  <c:v>6.839999999999999</c:v>
                </c:pt>
                <c:pt idx="1022">
                  <c:v>6.8500000000000005</c:v>
                </c:pt>
                <c:pt idx="1023">
                  <c:v>6.8500000000000005</c:v>
                </c:pt>
                <c:pt idx="1024">
                  <c:v>6.86</c:v>
                </c:pt>
                <c:pt idx="1025">
                  <c:v>6.87</c:v>
                </c:pt>
                <c:pt idx="1026">
                  <c:v>6.8999999999999995</c:v>
                </c:pt>
                <c:pt idx="1027">
                  <c:v>6.9300000000000006</c:v>
                </c:pt>
                <c:pt idx="1028">
                  <c:v>6.96</c:v>
                </c:pt>
                <c:pt idx="1029">
                  <c:v>6.97</c:v>
                </c:pt>
                <c:pt idx="1030">
                  <c:v>6.97</c:v>
                </c:pt>
                <c:pt idx="1031">
                  <c:v>6.9799999999999995</c:v>
                </c:pt>
                <c:pt idx="1032">
                  <c:v>6.9999999999999991</c:v>
                </c:pt>
                <c:pt idx="1033">
                  <c:v>7.0099999999999989</c:v>
                </c:pt>
                <c:pt idx="1034">
                  <c:v>7.0200000000000005</c:v>
                </c:pt>
                <c:pt idx="1035">
                  <c:v>7.0200000000000005</c:v>
                </c:pt>
                <c:pt idx="1036">
                  <c:v>7.03</c:v>
                </c:pt>
                <c:pt idx="1037">
                  <c:v>7.04</c:v>
                </c:pt>
                <c:pt idx="1038">
                  <c:v>7.04</c:v>
                </c:pt>
                <c:pt idx="1039">
                  <c:v>7.06</c:v>
                </c:pt>
                <c:pt idx="1040">
                  <c:v>7.06</c:v>
                </c:pt>
                <c:pt idx="1041">
                  <c:v>7.06</c:v>
                </c:pt>
                <c:pt idx="1042">
                  <c:v>7.06</c:v>
                </c:pt>
                <c:pt idx="1043">
                  <c:v>7.06</c:v>
                </c:pt>
                <c:pt idx="1044">
                  <c:v>7.06</c:v>
                </c:pt>
                <c:pt idx="1045">
                  <c:v>7.06</c:v>
                </c:pt>
                <c:pt idx="1046">
                  <c:v>7.06</c:v>
                </c:pt>
                <c:pt idx="1047">
                  <c:v>7.06</c:v>
                </c:pt>
                <c:pt idx="1048">
                  <c:v>7.06</c:v>
                </c:pt>
                <c:pt idx="1049">
                  <c:v>7.06</c:v>
                </c:pt>
                <c:pt idx="1050">
                  <c:v>7.06</c:v>
                </c:pt>
                <c:pt idx="1051">
                  <c:v>7.06</c:v>
                </c:pt>
                <c:pt idx="1052">
                  <c:v>7.0699999999999994</c:v>
                </c:pt>
                <c:pt idx="1053">
                  <c:v>7.0699999999999994</c:v>
                </c:pt>
                <c:pt idx="1054">
                  <c:v>7.0799999999999992</c:v>
                </c:pt>
                <c:pt idx="1055">
                  <c:v>7.089999999999999</c:v>
                </c:pt>
                <c:pt idx="1056">
                  <c:v>7.13</c:v>
                </c:pt>
                <c:pt idx="1057">
                  <c:v>7.1599999999999993</c:v>
                </c:pt>
                <c:pt idx="1058">
                  <c:v>7.19</c:v>
                </c:pt>
                <c:pt idx="1059">
                  <c:v>7.21</c:v>
                </c:pt>
                <c:pt idx="1060">
                  <c:v>7.21</c:v>
                </c:pt>
                <c:pt idx="1061">
                  <c:v>7.2399999999999993</c:v>
                </c:pt>
                <c:pt idx="1062">
                  <c:v>7.2599999999999989</c:v>
                </c:pt>
                <c:pt idx="1063">
                  <c:v>7.2700000000000005</c:v>
                </c:pt>
                <c:pt idx="1064">
                  <c:v>7.28</c:v>
                </c:pt>
                <c:pt idx="1065">
                  <c:v>7.3</c:v>
                </c:pt>
                <c:pt idx="1066">
                  <c:v>7.31</c:v>
                </c:pt>
                <c:pt idx="1067">
                  <c:v>7.3199999999999994</c:v>
                </c:pt>
                <c:pt idx="1068">
                  <c:v>7.3199999999999994</c:v>
                </c:pt>
                <c:pt idx="1069">
                  <c:v>7.3299999999999992</c:v>
                </c:pt>
                <c:pt idx="1070">
                  <c:v>7.339999999999999</c:v>
                </c:pt>
                <c:pt idx="1071">
                  <c:v>7.339999999999999</c:v>
                </c:pt>
                <c:pt idx="1072">
                  <c:v>7.339999999999999</c:v>
                </c:pt>
                <c:pt idx="1073">
                  <c:v>7.339999999999999</c:v>
                </c:pt>
                <c:pt idx="1074">
                  <c:v>7.339999999999999</c:v>
                </c:pt>
                <c:pt idx="1075">
                  <c:v>7.339999999999999</c:v>
                </c:pt>
                <c:pt idx="1076">
                  <c:v>7.339999999999999</c:v>
                </c:pt>
                <c:pt idx="1077">
                  <c:v>7.339999999999999</c:v>
                </c:pt>
                <c:pt idx="1078">
                  <c:v>7.339999999999999</c:v>
                </c:pt>
                <c:pt idx="1079">
                  <c:v>7.339999999999999</c:v>
                </c:pt>
                <c:pt idx="1080">
                  <c:v>7.339999999999999</c:v>
                </c:pt>
                <c:pt idx="1081">
                  <c:v>7.3500000000000005</c:v>
                </c:pt>
                <c:pt idx="1082">
                  <c:v>7.3500000000000005</c:v>
                </c:pt>
                <c:pt idx="1083">
                  <c:v>7.3500000000000005</c:v>
                </c:pt>
                <c:pt idx="1084">
                  <c:v>7.36</c:v>
                </c:pt>
                <c:pt idx="1085">
                  <c:v>7.37</c:v>
                </c:pt>
                <c:pt idx="1086">
                  <c:v>7.3999999999999995</c:v>
                </c:pt>
                <c:pt idx="1087">
                  <c:v>7.4300000000000006</c:v>
                </c:pt>
                <c:pt idx="1088">
                  <c:v>7.46</c:v>
                </c:pt>
                <c:pt idx="1089">
                  <c:v>7.47</c:v>
                </c:pt>
                <c:pt idx="1090">
                  <c:v>7.4899999999999993</c:v>
                </c:pt>
                <c:pt idx="1091">
                  <c:v>7.4999999999999991</c:v>
                </c:pt>
                <c:pt idx="1092">
                  <c:v>7.5200000000000005</c:v>
                </c:pt>
                <c:pt idx="1093">
                  <c:v>7.5200000000000005</c:v>
                </c:pt>
                <c:pt idx="1094">
                  <c:v>7.54</c:v>
                </c:pt>
                <c:pt idx="1095">
                  <c:v>7.54</c:v>
                </c:pt>
                <c:pt idx="1096">
                  <c:v>7.55</c:v>
                </c:pt>
                <c:pt idx="1097">
                  <c:v>7.55</c:v>
                </c:pt>
                <c:pt idx="1098">
                  <c:v>7.56</c:v>
                </c:pt>
                <c:pt idx="1099">
                  <c:v>7.5699999999999994</c:v>
                </c:pt>
                <c:pt idx="1100">
                  <c:v>7.5699999999999994</c:v>
                </c:pt>
                <c:pt idx="1101">
                  <c:v>7.5699999999999994</c:v>
                </c:pt>
                <c:pt idx="1102">
                  <c:v>7.5699999999999994</c:v>
                </c:pt>
                <c:pt idx="1103">
                  <c:v>7.5699999999999994</c:v>
                </c:pt>
                <c:pt idx="1104">
                  <c:v>7.5699999999999994</c:v>
                </c:pt>
                <c:pt idx="1105">
                  <c:v>7.5699999999999994</c:v>
                </c:pt>
                <c:pt idx="1106">
                  <c:v>7.5699999999999994</c:v>
                </c:pt>
                <c:pt idx="1107">
                  <c:v>7.5699999999999994</c:v>
                </c:pt>
                <c:pt idx="1108">
                  <c:v>7.5699999999999994</c:v>
                </c:pt>
                <c:pt idx="1109">
                  <c:v>7.5699999999999994</c:v>
                </c:pt>
                <c:pt idx="1110">
                  <c:v>7.5699999999999994</c:v>
                </c:pt>
                <c:pt idx="1111">
                  <c:v>7.5699999999999994</c:v>
                </c:pt>
                <c:pt idx="1112">
                  <c:v>7.5799999999999992</c:v>
                </c:pt>
                <c:pt idx="1113">
                  <c:v>7.589999999999999</c:v>
                </c:pt>
                <c:pt idx="1114">
                  <c:v>7.6000000000000005</c:v>
                </c:pt>
                <c:pt idx="1115">
                  <c:v>7.61</c:v>
                </c:pt>
                <c:pt idx="1116">
                  <c:v>7.6499999999999995</c:v>
                </c:pt>
                <c:pt idx="1117">
                  <c:v>7.669999999999999</c:v>
                </c:pt>
                <c:pt idx="1118">
                  <c:v>7.69</c:v>
                </c:pt>
                <c:pt idx="1119">
                  <c:v>7.71</c:v>
                </c:pt>
                <c:pt idx="1120">
                  <c:v>7.71</c:v>
                </c:pt>
                <c:pt idx="1121">
                  <c:v>7.7399999999999993</c:v>
                </c:pt>
                <c:pt idx="1122">
                  <c:v>7.7399999999999993</c:v>
                </c:pt>
                <c:pt idx="1123">
                  <c:v>7.7499999999999991</c:v>
                </c:pt>
                <c:pt idx="1124">
                  <c:v>7.7599999999999989</c:v>
                </c:pt>
                <c:pt idx="1125">
                  <c:v>7.7700000000000005</c:v>
                </c:pt>
                <c:pt idx="1126">
                  <c:v>7.7700000000000005</c:v>
                </c:pt>
                <c:pt idx="1127">
                  <c:v>7.79</c:v>
                </c:pt>
                <c:pt idx="1128">
                  <c:v>7.79</c:v>
                </c:pt>
                <c:pt idx="1129">
                  <c:v>7.8</c:v>
                </c:pt>
                <c:pt idx="1130">
                  <c:v>7.81</c:v>
                </c:pt>
                <c:pt idx="1131">
                  <c:v>7.81</c:v>
                </c:pt>
                <c:pt idx="1132">
                  <c:v>7.81</c:v>
                </c:pt>
                <c:pt idx="1133">
                  <c:v>7.81</c:v>
                </c:pt>
                <c:pt idx="1134">
                  <c:v>7.81</c:v>
                </c:pt>
                <c:pt idx="1135">
                  <c:v>7.81</c:v>
                </c:pt>
                <c:pt idx="1136">
                  <c:v>7.81</c:v>
                </c:pt>
                <c:pt idx="1137">
                  <c:v>7.81</c:v>
                </c:pt>
                <c:pt idx="1138">
                  <c:v>7.81</c:v>
                </c:pt>
                <c:pt idx="1139">
                  <c:v>7.81</c:v>
                </c:pt>
                <c:pt idx="1140">
                  <c:v>7.81</c:v>
                </c:pt>
                <c:pt idx="1141">
                  <c:v>7.81</c:v>
                </c:pt>
                <c:pt idx="1142">
                  <c:v>7.81</c:v>
                </c:pt>
                <c:pt idx="1143">
                  <c:v>7.81</c:v>
                </c:pt>
                <c:pt idx="1144">
                  <c:v>7.81</c:v>
                </c:pt>
                <c:pt idx="1145">
                  <c:v>7.8299999999999992</c:v>
                </c:pt>
                <c:pt idx="1146">
                  <c:v>7.86</c:v>
                </c:pt>
                <c:pt idx="1147">
                  <c:v>7.89</c:v>
                </c:pt>
                <c:pt idx="1148">
                  <c:v>7.8999999999999995</c:v>
                </c:pt>
                <c:pt idx="1149">
                  <c:v>7.9099999999999993</c:v>
                </c:pt>
                <c:pt idx="1150">
                  <c:v>7.9300000000000006</c:v>
                </c:pt>
                <c:pt idx="1151">
                  <c:v>7.94</c:v>
                </c:pt>
                <c:pt idx="1152">
                  <c:v>7.95</c:v>
                </c:pt>
                <c:pt idx="1153">
                  <c:v>7.96</c:v>
                </c:pt>
                <c:pt idx="1154">
                  <c:v>7.96</c:v>
                </c:pt>
                <c:pt idx="1155">
                  <c:v>7.9799999999999995</c:v>
                </c:pt>
                <c:pt idx="1156">
                  <c:v>7.9899999999999993</c:v>
                </c:pt>
                <c:pt idx="1157">
                  <c:v>7.9999999999999991</c:v>
                </c:pt>
                <c:pt idx="1158">
                  <c:v>8.009999999999998</c:v>
                </c:pt>
                <c:pt idx="1159">
                  <c:v>8.009999999999998</c:v>
                </c:pt>
                <c:pt idx="1160">
                  <c:v>8.02</c:v>
                </c:pt>
                <c:pt idx="1161">
                  <c:v>8.02</c:v>
                </c:pt>
                <c:pt idx="1162">
                  <c:v>8.02</c:v>
                </c:pt>
                <c:pt idx="1163">
                  <c:v>8.02</c:v>
                </c:pt>
                <c:pt idx="1164">
                  <c:v>8.02</c:v>
                </c:pt>
                <c:pt idx="1165">
                  <c:v>8.02</c:v>
                </c:pt>
                <c:pt idx="1166">
                  <c:v>8.02</c:v>
                </c:pt>
                <c:pt idx="1167">
                  <c:v>8.02</c:v>
                </c:pt>
                <c:pt idx="1168">
                  <c:v>8.02</c:v>
                </c:pt>
                <c:pt idx="1169">
                  <c:v>8.02</c:v>
                </c:pt>
                <c:pt idx="1170">
                  <c:v>8.02</c:v>
                </c:pt>
                <c:pt idx="1171">
                  <c:v>8.02</c:v>
                </c:pt>
                <c:pt idx="1172">
                  <c:v>8.02</c:v>
                </c:pt>
                <c:pt idx="1173">
                  <c:v>8.02</c:v>
                </c:pt>
                <c:pt idx="1174">
                  <c:v>8.02</c:v>
                </c:pt>
                <c:pt idx="1175">
                  <c:v>8.0399999999999991</c:v>
                </c:pt>
                <c:pt idx="1176">
                  <c:v>8.0799999999999983</c:v>
                </c:pt>
                <c:pt idx="1177">
                  <c:v>8.120000000000001</c:v>
                </c:pt>
                <c:pt idx="1178">
                  <c:v>8.129999999999999</c:v>
                </c:pt>
                <c:pt idx="1179">
                  <c:v>8.14</c:v>
                </c:pt>
                <c:pt idx="1180">
                  <c:v>8.1499999999999986</c:v>
                </c:pt>
                <c:pt idx="1181">
                  <c:v>8.16</c:v>
                </c:pt>
                <c:pt idx="1182">
                  <c:v>8.16</c:v>
                </c:pt>
                <c:pt idx="1183">
                  <c:v>8.1699999999999982</c:v>
                </c:pt>
                <c:pt idx="1184">
                  <c:v>8.18</c:v>
                </c:pt>
                <c:pt idx="1185">
                  <c:v>8.1900000000000013</c:v>
                </c:pt>
                <c:pt idx="1186">
                  <c:v>8.1999999999999993</c:v>
                </c:pt>
                <c:pt idx="1187">
                  <c:v>8.1999999999999993</c:v>
                </c:pt>
                <c:pt idx="1188">
                  <c:v>8.1999999999999993</c:v>
                </c:pt>
                <c:pt idx="1189">
                  <c:v>8.1999999999999993</c:v>
                </c:pt>
                <c:pt idx="1190">
                  <c:v>8.1999999999999993</c:v>
                </c:pt>
                <c:pt idx="1191">
                  <c:v>8.1999999999999993</c:v>
                </c:pt>
                <c:pt idx="1192">
                  <c:v>8.1999999999999993</c:v>
                </c:pt>
                <c:pt idx="1193">
                  <c:v>8.1999999999999993</c:v>
                </c:pt>
                <c:pt idx="1194">
                  <c:v>8.1999999999999993</c:v>
                </c:pt>
                <c:pt idx="1195">
                  <c:v>8.1999999999999993</c:v>
                </c:pt>
                <c:pt idx="1196">
                  <c:v>8.1999999999999993</c:v>
                </c:pt>
                <c:pt idx="1197">
                  <c:v>8.1999999999999993</c:v>
                </c:pt>
                <c:pt idx="1198">
                  <c:v>8.1999999999999993</c:v>
                </c:pt>
                <c:pt idx="1199">
                  <c:v>8.1999999999999993</c:v>
                </c:pt>
                <c:pt idx="1200">
                  <c:v>8.1999999999999993</c:v>
                </c:pt>
                <c:pt idx="1201">
                  <c:v>8.1999999999999993</c:v>
                </c:pt>
                <c:pt idx="1202">
                  <c:v>8.1999999999999993</c:v>
                </c:pt>
                <c:pt idx="1203">
                  <c:v>8.1999999999999993</c:v>
                </c:pt>
                <c:pt idx="1204">
                  <c:v>8.1999999999999993</c:v>
                </c:pt>
                <c:pt idx="1205">
                  <c:v>8.2199999999999989</c:v>
                </c:pt>
                <c:pt idx="1206">
                  <c:v>8.25</c:v>
                </c:pt>
                <c:pt idx="1207">
                  <c:v>8.2800000000000011</c:v>
                </c:pt>
                <c:pt idx="1208">
                  <c:v>8.3000000000000007</c:v>
                </c:pt>
                <c:pt idx="1209">
                  <c:v>8.32</c:v>
                </c:pt>
                <c:pt idx="1210">
                  <c:v>8.34</c:v>
                </c:pt>
                <c:pt idx="1211">
                  <c:v>8.36</c:v>
                </c:pt>
                <c:pt idx="1212">
                  <c:v>8.379999999999999</c:v>
                </c:pt>
                <c:pt idx="1213">
                  <c:v>8.39</c:v>
                </c:pt>
                <c:pt idx="1214">
                  <c:v>8.3999999999999986</c:v>
                </c:pt>
                <c:pt idx="1215">
                  <c:v>8.41</c:v>
                </c:pt>
                <c:pt idx="1216">
                  <c:v>8.4199999999999982</c:v>
                </c:pt>
                <c:pt idx="1217">
                  <c:v>8.43</c:v>
                </c:pt>
                <c:pt idx="1218">
                  <c:v>8.4400000000000013</c:v>
                </c:pt>
                <c:pt idx="1219">
                  <c:v>8.4400000000000013</c:v>
                </c:pt>
                <c:pt idx="1220">
                  <c:v>8.4400000000000013</c:v>
                </c:pt>
                <c:pt idx="1221">
                  <c:v>8.4400000000000013</c:v>
                </c:pt>
                <c:pt idx="1222">
                  <c:v>8.4400000000000013</c:v>
                </c:pt>
                <c:pt idx="1223">
                  <c:v>8.4400000000000013</c:v>
                </c:pt>
                <c:pt idx="1224">
                  <c:v>8.4400000000000013</c:v>
                </c:pt>
                <c:pt idx="1225">
                  <c:v>8.4400000000000013</c:v>
                </c:pt>
                <c:pt idx="1226">
                  <c:v>8.4400000000000013</c:v>
                </c:pt>
                <c:pt idx="1227">
                  <c:v>8.4400000000000013</c:v>
                </c:pt>
                <c:pt idx="1228">
                  <c:v>8.4400000000000013</c:v>
                </c:pt>
                <c:pt idx="1229">
                  <c:v>8.4400000000000013</c:v>
                </c:pt>
                <c:pt idx="1230">
                  <c:v>8.4400000000000013</c:v>
                </c:pt>
                <c:pt idx="1231">
                  <c:v>8.4400000000000013</c:v>
                </c:pt>
                <c:pt idx="1232">
                  <c:v>8.4400000000000013</c:v>
                </c:pt>
                <c:pt idx="1233">
                  <c:v>8.4499999999999993</c:v>
                </c:pt>
                <c:pt idx="1234">
                  <c:v>8.4499999999999993</c:v>
                </c:pt>
                <c:pt idx="1235">
                  <c:v>8.48</c:v>
                </c:pt>
                <c:pt idx="1236">
                  <c:v>8.509999999999998</c:v>
                </c:pt>
                <c:pt idx="1237">
                  <c:v>8.5300000000000011</c:v>
                </c:pt>
                <c:pt idx="1238">
                  <c:v>8.5500000000000007</c:v>
                </c:pt>
                <c:pt idx="1239">
                  <c:v>8.57</c:v>
                </c:pt>
                <c:pt idx="1240">
                  <c:v>8.59</c:v>
                </c:pt>
                <c:pt idx="1241">
                  <c:v>8.6000000000000014</c:v>
                </c:pt>
                <c:pt idx="1242">
                  <c:v>8.61</c:v>
                </c:pt>
                <c:pt idx="1243">
                  <c:v>8.620000000000001</c:v>
                </c:pt>
                <c:pt idx="1244">
                  <c:v>8.629999999999999</c:v>
                </c:pt>
                <c:pt idx="1245">
                  <c:v>8.64</c:v>
                </c:pt>
                <c:pt idx="1246">
                  <c:v>8.64</c:v>
                </c:pt>
                <c:pt idx="1247">
                  <c:v>8.6499999999999986</c:v>
                </c:pt>
                <c:pt idx="1248">
                  <c:v>8.6499999999999986</c:v>
                </c:pt>
                <c:pt idx="1249">
                  <c:v>8.6499999999999986</c:v>
                </c:pt>
                <c:pt idx="1250">
                  <c:v>8.6499999999999986</c:v>
                </c:pt>
                <c:pt idx="1251">
                  <c:v>8.6499999999999986</c:v>
                </c:pt>
                <c:pt idx="1252">
                  <c:v>8.6499999999999986</c:v>
                </c:pt>
                <c:pt idx="1253">
                  <c:v>8.6499999999999986</c:v>
                </c:pt>
                <c:pt idx="1254">
                  <c:v>8.6499999999999986</c:v>
                </c:pt>
                <c:pt idx="1255">
                  <c:v>8.6499999999999986</c:v>
                </c:pt>
                <c:pt idx="1256">
                  <c:v>8.6499999999999986</c:v>
                </c:pt>
                <c:pt idx="1257">
                  <c:v>8.6499999999999986</c:v>
                </c:pt>
                <c:pt idx="1258">
                  <c:v>8.6499999999999986</c:v>
                </c:pt>
                <c:pt idx="1259">
                  <c:v>8.6499999999999986</c:v>
                </c:pt>
                <c:pt idx="1260">
                  <c:v>8.6499999999999986</c:v>
                </c:pt>
                <c:pt idx="1261">
                  <c:v>8.6499999999999986</c:v>
                </c:pt>
                <c:pt idx="1262">
                  <c:v>8.6499999999999986</c:v>
                </c:pt>
                <c:pt idx="1263">
                  <c:v>8.6499999999999986</c:v>
                </c:pt>
                <c:pt idx="1264">
                  <c:v>8.6499999999999986</c:v>
                </c:pt>
                <c:pt idx="1265">
                  <c:v>8.68</c:v>
                </c:pt>
                <c:pt idx="1266">
                  <c:v>8.6900000000000013</c:v>
                </c:pt>
                <c:pt idx="1267">
                  <c:v>8.73</c:v>
                </c:pt>
                <c:pt idx="1268">
                  <c:v>8.7399999999999984</c:v>
                </c:pt>
                <c:pt idx="1269">
                  <c:v>8.75</c:v>
                </c:pt>
                <c:pt idx="1270">
                  <c:v>8.759999999999998</c:v>
                </c:pt>
                <c:pt idx="1271">
                  <c:v>8.77</c:v>
                </c:pt>
                <c:pt idx="1272">
                  <c:v>8.77</c:v>
                </c:pt>
                <c:pt idx="1273">
                  <c:v>8.7800000000000011</c:v>
                </c:pt>
                <c:pt idx="1274">
                  <c:v>8.7899999999999991</c:v>
                </c:pt>
                <c:pt idx="1275">
                  <c:v>8.7899999999999991</c:v>
                </c:pt>
                <c:pt idx="1276">
                  <c:v>8.8000000000000007</c:v>
                </c:pt>
                <c:pt idx="1277">
                  <c:v>8.8099999999999987</c:v>
                </c:pt>
                <c:pt idx="1278">
                  <c:v>8.8099999999999987</c:v>
                </c:pt>
                <c:pt idx="1279">
                  <c:v>8.82</c:v>
                </c:pt>
                <c:pt idx="1280">
                  <c:v>8.8299999999999983</c:v>
                </c:pt>
                <c:pt idx="1281">
                  <c:v>8.8299999999999983</c:v>
                </c:pt>
                <c:pt idx="1282">
                  <c:v>8.8299999999999983</c:v>
                </c:pt>
                <c:pt idx="1283">
                  <c:v>8.8299999999999983</c:v>
                </c:pt>
                <c:pt idx="1284">
                  <c:v>8.8299999999999983</c:v>
                </c:pt>
                <c:pt idx="1285">
                  <c:v>8.8299999999999983</c:v>
                </c:pt>
                <c:pt idx="1286">
                  <c:v>8.8299999999999983</c:v>
                </c:pt>
                <c:pt idx="1287">
                  <c:v>8.8299999999999983</c:v>
                </c:pt>
                <c:pt idx="1288">
                  <c:v>8.8299999999999983</c:v>
                </c:pt>
                <c:pt idx="1289">
                  <c:v>8.8299999999999983</c:v>
                </c:pt>
                <c:pt idx="1290">
                  <c:v>8.8299999999999983</c:v>
                </c:pt>
                <c:pt idx="1291">
                  <c:v>8.8299999999999983</c:v>
                </c:pt>
                <c:pt idx="1292">
                  <c:v>8.8299999999999983</c:v>
                </c:pt>
                <c:pt idx="1293">
                  <c:v>8.8299999999999983</c:v>
                </c:pt>
                <c:pt idx="1294">
                  <c:v>8.8299999999999983</c:v>
                </c:pt>
                <c:pt idx="1295">
                  <c:v>8.8500000000000014</c:v>
                </c:pt>
                <c:pt idx="1296">
                  <c:v>8.879999999999999</c:v>
                </c:pt>
                <c:pt idx="1297">
                  <c:v>8.8999999999999986</c:v>
                </c:pt>
                <c:pt idx="1298">
                  <c:v>8.93</c:v>
                </c:pt>
                <c:pt idx="1299">
                  <c:v>8.9400000000000013</c:v>
                </c:pt>
                <c:pt idx="1300">
                  <c:v>8.9600000000000009</c:v>
                </c:pt>
                <c:pt idx="1301">
                  <c:v>8.98</c:v>
                </c:pt>
                <c:pt idx="1302">
                  <c:v>8.98</c:v>
                </c:pt>
                <c:pt idx="1303">
                  <c:v>8.9899999999999984</c:v>
                </c:pt>
                <c:pt idx="1304">
                  <c:v>8.9899999999999984</c:v>
                </c:pt>
                <c:pt idx="1305">
                  <c:v>9</c:v>
                </c:pt>
                <c:pt idx="1306">
                  <c:v>9</c:v>
                </c:pt>
                <c:pt idx="1307">
                  <c:v>9.009999999999998</c:v>
                </c:pt>
                <c:pt idx="1308">
                  <c:v>9.009999999999998</c:v>
                </c:pt>
                <c:pt idx="1309">
                  <c:v>9.02</c:v>
                </c:pt>
                <c:pt idx="1310">
                  <c:v>9.02</c:v>
                </c:pt>
                <c:pt idx="1311">
                  <c:v>9.02</c:v>
                </c:pt>
                <c:pt idx="1312">
                  <c:v>9.02</c:v>
                </c:pt>
                <c:pt idx="1313">
                  <c:v>9.02</c:v>
                </c:pt>
                <c:pt idx="1314">
                  <c:v>9.02</c:v>
                </c:pt>
                <c:pt idx="1315">
                  <c:v>9.02</c:v>
                </c:pt>
                <c:pt idx="1316">
                  <c:v>9.02</c:v>
                </c:pt>
                <c:pt idx="1317">
                  <c:v>9.02</c:v>
                </c:pt>
                <c:pt idx="1318">
                  <c:v>9.02</c:v>
                </c:pt>
                <c:pt idx="1319">
                  <c:v>9.02</c:v>
                </c:pt>
                <c:pt idx="1320">
                  <c:v>9.02</c:v>
                </c:pt>
                <c:pt idx="1321">
                  <c:v>9.02</c:v>
                </c:pt>
                <c:pt idx="1322">
                  <c:v>9.02</c:v>
                </c:pt>
                <c:pt idx="1323">
                  <c:v>9.02</c:v>
                </c:pt>
                <c:pt idx="1324">
                  <c:v>9.02</c:v>
                </c:pt>
                <c:pt idx="1325">
                  <c:v>9.0599999999999987</c:v>
                </c:pt>
                <c:pt idx="1326">
                  <c:v>9.09</c:v>
                </c:pt>
                <c:pt idx="1327">
                  <c:v>9.11</c:v>
                </c:pt>
                <c:pt idx="1328">
                  <c:v>9.120000000000001</c:v>
                </c:pt>
                <c:pt idx="1329">
                  <c:v>9.129999999999999</c:v>
                </c:pt>
                <c:pt idx="1330">
                  <c:v>9.14</c:v>
                </c:pt>
                <c:pt idx="1331">
                  <c:v>9.1499999999999986</c:v>
                </c:pt>
                <c:pt idx="1332">
                  <c:v>9.16</c:v>
                </c:pt>
                <c:pt idx="1333">
                  <c:v>9.1699999999999982</c:v>
                </c:pt>
                <c:pt idx="1334">
                  <c:v>9.1699999999999982</c:v>
                </c:pt>
                <c:pt idx="1335">
                  <c:v>9.18</c:v>
                </c:pt>
                <c:pt idx="1336">
                  <c:v>9.1900000000000013</c:v>
                </c:pt>
                <c:pt idx="1337">
                  <c:v>9.1900000000000013</c:v>
                </c:pt>
                <c:pt idx="1338">
                  <c:v>9.1999999999999993</c:v>
                </c:pt>
                <c:pt idx="1339">
                  <c:v>9.2100000000000009</c:v>
                </c:pt>
                <c:pt idx="1340">
                  <c:v>9.2100000000000009</c:v>
                </c:pt>
                <c:pt idx="1341">
                  <c:v>9.2100000000000009</c:v>
                </c:pt>
                <c:pt idx="1342">
                  <c:v>9.2100000000000009</c:v>
                </c:pt>
                <c:pt idx="1343">
                  <c:v>9.2100000000000009</c:v>
                </c:pt>
                <c:pt idx="1344">
                  <c:v>9.2100000000000009</c:v>
                </c:pt>
                <c:pt idx="1345">
                  <c:v>9.2100000000000009</c:v>
                </c:pt>
                <c:pt idx="1346">
                  <c:v>9.2100000000000009</c:v>
                </c:pt>
                <c:pt idx="1347">
                  <c:v>9.2100000000000009</c:v>
                </c:pt>
                <c:pt idx="1348">
                  <c:v>9.2100000000000009</c:v>
                </c:pt>
                <c:pt idx="1349">
                  <c:v>9.2100000000000009</c:v>
                </c:pt>
                <c:pt idx="1350">
                  <c:v>9.2100000000000009</c:v>
                </c:pt>
                <c:pt idx="1351">
                  <c:v>9.2100000000000009</c:v>
                </c:pt>
                <c:pt idx="1352">
                  <c:v>9.2100000000000009</c:v>
                </c:pt>
                <c:pt idx="1353">
                  <c:v>9.2100000000000009</c:v>
                </c:pt>
                <c:pt idx="1354">
                  <c:v>9.2100000000000009</c:v>
                </c:pt>
                <c:pt idx="1355">
                  <c:v>9.23</c:v>
                </c:pt>
                <c:pt idx="1356">
                  <c:v>9.27</c:v>
                </c:pt>
                <c:pt idx="1357">
                  <c:v>9.2899999999999991</c:v>
                </c:pt>
                <c:pt idx="1358">
                  <c:v>9.32</c:v>
                </c:pt>
                <c:pt idx="1359">
                  <c:v>9.34</c:v>
                </c:pt>
                <c:pt idx="1360">
                  <c:v>9.36</c:v>
                </c:pt>
                <c:pt idx="1361">
                  <c:v>9.370000000000001</c:v>
                </c:pt>
                <c:pt idx="1362">
                  <c:v>9.39</c:v>
                </c:pt>
                <c:pt idx="1363">
                  <c:v>9.3999999999999986</c:v>
                </c:pt>
                <c:pt idx="1364">
                  <c:v>9.4199999999999982</c:v>
                </c:pt>
                <c:pt idx="1365">
                  <c:v>9.4199999999999982</c:v>
                </c:pt>
                <c:pt idx="1366">
                  <c:v>9.4199999999999982</c:v>
                </c:pt>
                <c:pt idx="1367">
                  <c:v>9.43</c:v>
                </c:pt>
                <c:pt idx="1368">
                  <c:v>9.4400000000000013</c:v>
                </c:pt>
                <c:pt idx="1369">
                  <c:v>9.4499999999999993</c:v>
                </c:pt>
                <c:pt idx="1370">
                  <c:v>9.4499999999999993</c:v>
                </c:pt>
                <c:pt idx="1371">
                  <c:v>9.4499999999999993</c:v>
                </c:pt>
                <c:pt idx="1372">
                  <c:v>9.4499999999999993</c:v>
                </c:pt>
                <c:pt idx="1373">
                  <c:v>9.4499999999999993</c:v>
                </c:pt>
                <c:pt idx="1374">
                  <c:v>9.4499999999999993</c:v>
                </c:pt>
                <c:pt idx="1375">
                  <c:v>9.4499999999999993</c:v>
                </c:pt>
                <c:pt idx="1376">
                  <c:v>9.4499999999999993</c:v>
                </c:pt>
                <c:pt idx="1377">
                  <c:v>9.4499999999999993</c:v>
                </c:pt>
                <c:pt idx="1378">
                  <c:v>9.4499999999999993</c:v>
                </c:pt>
                <c:pt idx="1379">
                  <c:v>9.4499999999999993</c:v>
                </c:pt>
                <c:pt idx="1380">
                  <c:v>9.4499999999999993</c:v>
                </c:pt>
                <c:pt idx="1381">
                  <c:v>9.4499999999999993</c:v>
                </c:pt>
                <c:pt idx="1382">
                  <c:v>9.4499999999999993</c:v>
                </c:pt>
                <c:pt idx="1383">
                  <c:v>9.4499999999999993</c:v>
                </c:pt>
                <c:pt idx="1384">
                  <c:v>9.4600000000000009</c:v>
                </c:pt>
                <c:pt idx="1385">
                  <c:v>9.4899999999999984</c:v>
                </c:pt>
                <c:pt idx="1386">
                  <c:v>9.52</c:v>
                </c:pt>
                <c:pt idx="1387">
                  <c:v>9.5399999999999991</c:v>
                </c:pt>
                <c:pt idx="1388">
                  <c:v>9.5599999999999987</c:v>
                </c:pt>
                <c:pt idx="1389">
                  <c:v>9.5799999999999983</c:v>
                </c:pt>
                <c:pt idx="1390">
                  <c:v>9.5799999999999983</c:v>
                </c:pt>
                <c:pt idx="1391">
                  <c:v>9.59</c:v>
                </c:pt>
                <c:pt idx="1392">
                  <c:v>9.6000000000000014</c:v>
                </c:pt>
                <c:pt idx="1393">
                  <c:v>9.6000000000000014</c:v>
                </c:pt>
                <c:pt idx="1394">
                  <c:v>9.61</c:v>
                </c:pt>
                <c:pt idx="1395">
                  <c:v>9.61</c:v>
                </c:pt>
                <c:pt idx="1396">
                  <c:v>9.620000000000001</c:v>
                </c:pt>
                <c:pt idx="1397">
                  <c:v>9.620000000000001</c:v>
                </c:pt>
                <c:pt idx="1398">
                  <c:v>9.629999999999999</c:v>
                </c:pt>
                <c:pt idx="1399">
                  <c:v>9.629999999999999</c:v>
                </c:pt>
                <c:pt idx="1400">
                  <c:v>9.629999999999999</c:v>
                </c:pt>
                <c:pt idx="1401">
                  <c:v>9.629999999999999</c:v>
                </c:pt>
                <c:pt idx="1402">
                  <c:v>9.629999999999999</c:v>
                </c:pt>
                <c:pt idx="1403">
                  <c:v>9.629999999999999</c:v>
                </c:pt>
                <c:pt idx="1404">
                  <c:v>9.629999999999999</c:v>
                </c:pt>
                <c:pt idx="1405">
                  <c:v>9.629999999999999</c:v>
                </c:pt>
                <c:pt idx="1406">
                  <c:v>9.629999999999999</c:v>
                </c:pt>
                <c:pt idx="1407">
                  <c:v>9.629999999999999</c:v>
                </c:pt>
                <c:pt idx="1408">
                  <c:v>9.629999999999999</c:v>
                </c:pt>
                <c:pt idx="1409">
                  <c:v>9.629999999999999</c:v>
                </c:pt>
                <c:pt idx="1410">
                  <c:v>9.629999999999999</c:v>
                </c:pt>
                <c:pt idx="1411">
                  <c:v>9.629999999999999</c:v>
                </c:pt>
                <c:pt idx="1412">
                  <c:v>9.629999999999999</c:v>
                </c:pt>
                <c:pt idx="1413">
                  <c:v>9.629999999999999</c:v>
                </c:pt>
                <c:pt idx="1414">
                  <c:v>9.629999999999999</c:v>
                </c:pt>
                <c:pt idx="1415">
                  <c:v>9.6699999999999982</c:v>
                </c:pt>
                <c:pt idx="1416">
                  <c:v>9.6699999999999982</c:v>
                </c:pt>
                <c:pt idx="1417">
                  <c:v>9.6999999999999993</c:v>
                </c:pt>
                <c:pt idx="1418">
                  <c:v>9.7199999999999989</c:v>
                </c:pt>
                <c:pt idx="1419">
                  <c:v>9.73</c:v>
                </c:pt>
                <c:pt idx="1420">
                  <c:v>9.73</c:v>
                </c:pt>
                <c:pt idx="1421">
                  <c:v>9.7399999999999984</c:v>
                </c:pt>
                <c:pt idx="1422">
                  <c:v>9.75</c:v>
                </c:pt>
                <c:pt idx="1423">
                  <c:v>9.75</c:v>
                </c:pt>
                <c:pt idx="1424">
                  <c:v>9.759999999999998</c:v>
                </c:pt>
                <c:pt idx="1425">
                  <c:v>9.77</c:v>
                </c:pt>
                <c:pt idx="1426">
                  <c:v>9.77</c:v>
                </c:pt>
                <c:pt idx="1427">
                  <c:v>9.77</c:v>
                </c:pt>
                <c:pt idx="1428">
                  <c:v>9.77</c:v>
                </c:pt>
                <c:pt idx="1429">
                  <c:v>9.7899999999999991</c:v>
                </c:pt>
                <c:pt idx="1430">
                  <c:v>9.7899999999999991</c:v>
                </c:pt>
                <c:pt idx="1431">
                  <c:v>9.7899999999999991</c:v>
                </c:pt>
                <c:pt idx="1432">
                  <c:v>9.7899999999999991</c:v>
                </c:pt>
                <c:pt idx="1433">
                  <c:v>9.7899999999999991</c:v>
                </c:pt>
                <c:pt idx="1434">
                  <c:v>9.7899999999999991</c:v>
                </c:pt>
                <c:pt idx="1435">
                  <c:v>9.7899999999999991</c:v>
                </c:pt>
                <c:pt idx="1436">
                  <c:v>9.7899999999999991</c:v>
                </c:pt>
              </c:numCache>
            </c:numRef>
          </c:yVal>
          <c:smooth val="1"/>
          <c:extLst>
            <c:ext xmlns:c16="http://schemas.microsoft.com/office/drawing/2014/chart" uri="{C3380CC4-5D6E-409C-BE32-E72D297353CC}">
              <c16:uniqueId val="{00000000-0D5B-4A03-8A7A-1D66C517BD4C}"/>
            </c:ext>
          </c:extLst>
        </c:ser>
        <c:dLbls>
          <c:showLegendKey val="0"/>
          <c:showVal val="0"/>
          <c:showCatName val="0"/>
          <c:showSerName val="0"/>
          <c:showPercent val="0"/>
          <c:showBubbleSize val="0"/>
        </c:dLbls>
        <c:axId val="2029341696"/>
        <c:axId val="1683145424"/>
      </c:scatterChart>
      <c:valAx>
        <c:axId val="202934169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3145424"/>
        <c:crosses val="autoZero"/>
        <c:crossBetween val="midCat"/>
      </c:valAx>
      <c:valAx>
        <c:axId val="16831454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9341696"/>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strRef>
              <c:f>'Reactor analysis'!$AD$2</c:f>
              <c:strCache>
                <c:ptCount val="1"/>
                <c:pt idx="0">
                  <c:v>1F1.1 [L/h]</c:v>
                </c:pt>
              </c:strCache>
            </c:strRef>
          </c:tx>
          <c:spPr>
            <a:ln w="19050" cap="rnd">
              <a:solidFill>
                <a:schemeClr val="accent1"/>
              </a:solidFill>
              <a:round/>
            </a:ln>
            <a:effectLst/>
          </c:spPr>
          <c:marker>
            <c:symbol val="none"/>
          </c:marker>
          <c:xVal>
            <c:numRef>
              <c:f>'Reactor analysis'!$AI$3:$AI$1439</c:f>
              <c:numCache>
                <c:formatCode>General</c:formatCode>
                <c:ptCount val="1437"/>
                <c:pt idx="0">
                  <c:v>0</c:v>
                </c:pt>
                <c:pt idx="1">
                  <c:v>1.6666666666666666E-2</c:v>
                </c:pt>
                <c:pt idx="2">
                  <c:v>3.3333333333333333E-2</c:v>
                </c:pt>
                <c:pt idx="3">
                  <c:v>0.05</c:v>
                </c:pt>
                <c:pt idx="4">
                  <c:v>6.6666666666666666E-2</c:v>
                </c:pt>
                <c:pt idx="5">
                  <c:v>8.3333333333333329E-2</c:v>
                </c:pt>
                <c:pt idx="6">
                  <c:v>9.9999999999999992E-2</c:v>
                </c:pt>
                <c:pt idx="7">
                  <c:v>0.11666666666666665</c:v>
                </c:pt>
                <c:pt idx="8">
                  <c:v>0.13333333333333333</c:v>
                </c:pt>
                <c:pt idx="9">
                  <c:v>0.15</c:v>
                </c:pt>
                <c:pt idx="10">
                  <c:v>0.16666666666666666</c:v>
                </c:pt>
                <c:pt idx="11">
                  <c:v>0.18333333333333332</c:v>
                </c:pt>
                <c:pt idx="12">
                  <c:v>0.19999999999999998</c:v>
                </c:pt>
                <c:pt idx="13">
                  <c:v>0.21666666666666665</c:v>
                </c:pt>
                <c:pt idx="14">
                  <c:v>0.23333333333333331</c:v>
                </c:pt>
                <c:pt idx="15">
                  <c:v>0.24999999999999997</c:v>
                </c:pt>
                <c:pt idx="16">
                  <c:v>0.26666666666666666</c:v>
                </c:pt>
                <c:pt idx="17">
                  <c:v>0.28333333333333333</c:v>
                </c:pt>
                <c:pt idx="18">
                  <c:v>0.3</c:v>
                </c:pt>
                <c:pt idx="19">
                  <c:v>0.31666666666666665</c:v>
                </c:pt>
                <c:pt idx="20">
                  <c:v>0.33333333333333331</c:v>
                </c:pt>
                <c:pt idx="21">
                  <c:v>0.35</c:v>
                </c:pt>
                <c:pt idx="22">
                  <c:v>0.36666666666666664</c:v>
                </c:pt>
                <c:pt idx="23">
                  <c:v>0.3833333333333333</c:v>
                </c:pt>
                <c:pt idx="24">
                  <c:v>0.39999999999999997</c:v>
                </c:pt>
                <c:pt idx="25">
                  <c:v>0.41666666666666663</c:v>
                </c:pt>
                <c:pt idx="26">
                  <c:v>0.43333333333333329</c:v>
                </c:pt>
                <c:pt idx="27">
                  <c:v>0.44999999999999996</c:v>
                </c:pt>
                <c:pt idx="28">
                  <c:v>0.46666666666666662</c:v>
                </c:pt>
                <c:pt idx="29">
                  <c:v>0.48333333333333328</c:v>
                </c:pt>
                <c:pt idx="30">
                  <c:v>0.49999999999999994</c:v>
                </c:pt>
                <c:pt idx="31">
                  <c:v>0.51666666666666661</c:v>
                </c:pt>
                <c:pt idx="32">
                  <c:v>0.53333333333333333</c:v>
                </c:pt>
                <c:pt idx="33">
                  <c:v>0.55000000000000004</c:v>
                </c:pt>
                <c:pt idx="34">
                  <c:v>0.56666666666666676</c:v>
                </c:pt>
                <c:pt idx="35">
                  <c:v>0.58333333333333348</c:v>
                </c:pt>
                <c:pt idx="36">
                  <c:v>0.6000000000000002</c:v>
                </c:pt>
                <c:pt idx="37">
                  <c:v>0.61666666666666692</c:v>
                </c:pt>
                <c:pt idx="38">
                  <c:v>0.63333333333333364</c:v>
                </c:pt>
                <c:pt idx="39">
                  <c:v>0.65000000000000036</c:v>
                </c:pt>
                <c:pt idx="40">
                  <c:v>0.66666666666666707</c:v>
                </c:pt>
                <c:pt idx="41">
                  <c:v>0.68333333333333379</c:v>
                </c:pt>
                <c:pt idx="42">
                  <c:v>0.70000000000000051</c:v>
                </c:pt>
                <c:pt idx="43">
                  <c:v>0.71666666666666723</c:v>
                </c:pt>
                <c:pt idx="44">
                  <c:v>0.73333333333333395</c:v>
                </c:pt>
                <c:pt idx="45">
                  <c:v>0.75000000000000067</c:v>
                </c:pt>
                <c:pt idx="46">
                  <c:v>0.76666666666666738</c:v>
                </c:pt>
                <c:pt idx="47">
                  <c:v>0.7833333333333341</c:v>
                </c:pt>
                <c:pt idx="48">
                  <c:v>0.80000000000000082</c:v>
                </c:pt>
                <c:pt idx="49">
                  <c:v>0.81666666666666754</c:v>
                </c:pt>
                <c:pt idx="50">
                  <c:v>0.83333333333333426</c:v>
                </c:pt>
                <c:pt idx="51">
                  <c:v>0.85000000000000098</c:v>
                </c:pt>
                <c:pt idx="52">
                  <c:v>0.8666666666666677</c:v>
                </c:pt>
                <c:pt idx="53">
                  <c:v>0.88333333333333441</c:v>
                </c:pt>
                <c:pt idx="54">
                  <c:v>0.90000000000000113</c:v>
                </c:pt>
                <c:pt idx="55">
                  <c:v>0.91666666666666785</c:v>
                </c:pt>
                <c:pt idx="56">
                  <c:v>0.93333333333333457</c:v>
                </c:pt>
                <c:pt idx="57">
                  <c:v>0.95000000000000129</c:v>
                </c:pt>
                <c:pt idx="58">
                  <c:v>0.96666666666666801</c:v>
                </c:pt>
                <c:pt idx="59">
                  <c:v>0.98333333333333472</c:v>
                </c:pt>
                <c:pt idx="60">
                  <c:v>1.0000000000000013</c:v>
                </c:pt>
                <c:pt idx="61">
                  <c:v>1.0166666666666679</c:v>
                </c:pt>
                <c:pt idx="62">
                  <c:v>1.0333333333333345</c:v>
                </c:pt>
                <c:pt idx="63">
                  <c:v>1.0500000000000012</c:v>
                </c:pt>
                <c:pt idx="64">
                  <c:v>1.0666666666666678</c:v>
                </c:pt>
                <c:pt idx="65">
                  <c:v>1.0833333333333344</c:v>
                </c:pt>
                <c:pt idx="66">
                  <c:v>1.100000000000001</c:v>
                </c:pt>
                <c:pt idx="67">
                  <c:v>1.1166666666666676</c:v>
                </c:pt>
                <c:pt idx="68">
                  <c:v>1.1333333333333342</c:v>
                </c:pt>
                <c:pt idx="69">
                  <c:v>1.1500000000000008</c:v>
                </c:pt>
                <c:pt idx="70">
                  <c:v>1.1666666666666674</c:v>
                </c:pt>
                <c:pt idx="71">
                  <c:v>1.183333333333334</c:v>
                </c:pt>
                <c:pt idx="72">
                  <c:v>1.2000000000000006</c:v>
                </c:pt>
                <c:pt idx="73">
                  <c:v>1.2166666666666672</c:v>
                </c:pt>
                <c:pt idx="74">
                  <c:v>1.2333333333333338</c:v>
                </c:pt>
                <c:pt idx="75">
                  <c:v>1.2500000000000004</c:v>
                </c:pt>
                <c:pt idx="76">
                  <c:v>1.2666666666666671</c:v>
                </c:pt>
                <c:pt idx="77">
                  <c:v>1.2833333333333337</c:v>
                </c:pt>
                <c:pt idx="78">
                  <c:v>1.3000000000000003</c:v>
                </c:pt>
                <c:pt idx="79">
                  <c:v>1.3166666666666669</c:v>
                </c:pt>
                <c:pt idx="80">
                  <c:v>1.3333333333333335</c:v>
                </c:pt>
                <c:pt idx="81">
                  <c:v>1.35</c:v>
                </c:pt>
                <c:pt idx="82">
                  <c:v>1.3666666666666667</c:v>
                </c:pt>
                <c:pt idx="83">
                  <c:v>1.3833333333333333</c:v>
                </c:pt>
                <c:pt idx="84">
                  <c:v>1.4</c:v>
                </c:pt>
                <c:pt idx="85">
                  <c:v>1.4166666666666665</c:v>
                </c:pt>
                <c:pt idx="86">
                  <c:v>1.4333333333333331</c:v>
                </c:pt>
                <c:pt idx="87">
                  <c:v>1.4499999999999997</c:v>
                </c:pt>
                <c:pt idx="88">
                  <c:v>1.4666666666666663</c:v>
                </c:pt>
                <c:pt idx="89">
                  <c:v>1.4833333333333329</c:v>
                </c:pt>
                <c:pt idx="90">
                  <c:v>1.4999999999999996</c:v>
                </c:pt>
                <c:pt idx="91">
                  <c:v>1.5166666666666662</c:v>
                </c:pt>
                <c:pt idx="92">
                  <c:v>1.5333333333333328</c:v>
                </c:pt>
                <c:pt idx="93">
                  <c:v>1.5499999999999994</c:v>
                </c:pt>
                <c:pt idx="94">
                  <c:v>1.566666666666666</c:v>
                </c:pt>
                <c:pt idx="95">
                  <c:v>1.5833333333333326</c:v>
                </c:pt>
                <c:pt idx="96">
                  <c:v>1.5999999999999992</c:v>
                </c:pt>
                <c:pt idx="97">
                  <c:v>1.6166666666666658</c:v>
                </c:pt>
                <c:pt idx="98">
                  <c:v>1.6333333333333324</c:v>
                </c:pt>
                <c:pt idx="99">
                  <c:v>1.649999999999999</c:v>
                </c:pt>
                <c:pt idx="100">
                  <c:v>1.6666666666666656</c:v>
                </c:pt>
                <c:pt idx="101">
                  <c:v>1.6833333333333322</c:v>
                </c:pt>
                <c:pt idx="102">
                  <c:v>1.6999999999999988</c:v>
                </c:pt>
                <c:pt idx="103">
                  <c:v>1.7166666666666655</c:v>
                </c:pt>
                <c:pt idx="104">
                  <c:v>1.7333333333333321</c:v>
                </c:pt>
                <c:pt idx="105">
                  <c:v>1.7499999999999987</c:v>
                </c:pt>
                <c:pt idx="106">
                  <c:v>1.7666666666666653</c:v>
                </c:pt>
                <c:pt idx="107">
                  <c:v>1.7833333333333319</c:v>
                </c:pt>
                <c:pt idx="108">
                  <c:v>1.7999999999999985</c:v>
                </c:pt>
                <c:pt idx="109">
                  <c:v>1.8166666666666651</c:v>
                </c:pt>
                <c:pt idx="110">
                  <c:v>1.8333333333333317</c:v>
                </c:pt>
                <c:pt idx="111">
                  <c:v>1.8499999999999983</c:v>
                </c:pt>
                <c:pt idx="112">
                  <c:v>1.8666666666666649</c:v>
                </c:pt>
                <c:pt idx="113">
                  <c:v>1.8833333333333315</c:v>
                </c:pt>
                <c:pt idx="114">
                  <c:v>1.8999999999999981</c:v>
                </c:pt>
                <c:pt idx="115">
                  <c:v>1.9166666666666647</c:v>
                </c:pt>
                <c:pt idx="116">
                  <c:v>1.9333333333333313</c:v>
                </c:pt>
                <c:pt idx="117">
                  <c:v>1.949999999999998</c:v>
                </c:pt>
                <c:pt idx="118">
                  <c:v>1.9666666666666646</c:v>
                </c:pt>
                <c:pt idx="119">
                  <c:v>1.9833333333333312</c:v>
                </c:pt>
                <c:pt idx="120">
                  <c:v>1.9999999999999978</c:v>
                </c:pt>
                <c:pt idx="121">
                  <c:v>2.0166666666666644</c:v>
                </c:pt>
                <c:pt idx="122">
                  <c:v>2.033333333333331</c:v>
                </c:pt>
                <c:pt idx="123">
                  <c:v>2.0499999999999976</c:v>
                </c:pt>
                <c:pt idx="124">
                  <c:v>2.0666666666666642</c:v>
                </c:pt>
                <c:pt idx="125">
                  <c:v>2.0833333333333308</c:v>
                </c:pt>
                <c:pt idx="126">
                  <c:v>2.0999999999999974</c:v>
                </c:pt>
                <c:pt idx="127">
                  <c:v>2.116666666666664</c:v>
                </c:pt>
                <c:pt idx="128">
                  <c:v>2.1333333333333306</c:v>
                </c:pt>
                <c:pt idx="129">
                  <c:v>2.1499999999999972</c:v>
                </c:pt>
                <c:pt idx="130">
                  <c:v>2.1666666666666639</c:v>
                </c:pt>
                <c:pt idx="131">
                  <c:v>2.1833333333333305</c:v>
                </c:pt>
                <c:pt idx="132">
                  <c:v>2.1999999999999971</c:v>
                </c:pt>
                <c:pt idx="133">
                  <c:v>2.2166666666666637</c:v>
                </c:pt>
                <c:pt idx="134">
                  <c:v>2.2333333333333303</c:v>
                </c:pt>
                <c:pt idx="135">
                  <c:v>2.2499999999999969</c:v>
                </c:pt>
                <c:pt idx="136">
                  <c:v>2.2666666666666635</c:v>
                </c:pt>
                <c:pt idx="137">
                  <c:v>2.2833333333333301</c:v>
                </c:pt>
                <c:pt idx="138">
                  <c:v>2.2999999999999967</c:v>
                </c:pt>
                <c:pt idx="139">
                  <c:v>2.3166666666666633</c:v>
                </c:pt>
                <c:pt idx="140">
                  <c:v>2.3333333333333299</c:v>
                </c:pt>
                <c:pt idx="141">
                  <c:v>2.3499999999999965</c:v>
                </c:pt>
                <c:pt idx="142">
                  <c:v>2.3666666666666631</c:v>
                </c:pt>
                <c:pt idx="143">
                  <c:v>2.3833333333333298</c:v>
                </c:pt>
                <c:pt idx="144">
                  <c:v>2.3999999999999964</c:v>
                </c:pt>
                <c:pt idx="145">
                  <c:v>2.416666666666663</c:v>
                </c:pt>
                <c:pt idx="146">
                  <c:v>2.4333333333333296</c:v>
                </c:pt>
                <c:pt idx="147">
                  <c:v>2.4499999999999962</c:v>
                </c:pt>
                <c:pt idx="148">
                  <c:v>2.4666666666666628</c:v>
                </c:pt>
                <c:pt idx="149">
                  <c:v>2.4833333333333294</c:v>
                </c:pt>
                <c:pt idx="150">
                  <c:v>2.499999999999996</c:v>
                </c:pt>
                <c:pt idx="151">
                  <c:v>2.5166666666666626</c:v>
                </c:pt>
                <c:pt idx="152">
                  <c:v>2.5333333333333292</c:v>
                </c:pt>
                <c:pt idx="153">
                  <c:v>2.5499999999999958</c:v>
                </c:pt>
                <c:pt idx="154">
                  <c:v>2.5666666666666624</c:v>
                </c:pt>
                <c:pt idx="155">
                  <c:v>2.583333333333329</c:v>
                </c:pt>
                <c:pt idx="156">
                  <c:v>2.5999999999999956</c:v>
                </c:pt>
                <c:pt idx="157">
                  <c:v>2.6166666666666623</c:v>
                </c:pt>
                <c:pt idx="158">
                  <c:v>2.6333333333333289</c:v>
                </c:pt>
                <c:pt idx="159">
                  <c:v>2.6499999999999955</c:v>
                </c:pt>
                <c:pt idx="160">
                  <c:v>2.6666666666666621</c:v>
                </c:pt>
                <c:pt idx="161">
                  <c:v>2.6833333333333287</c:v>
                </c:pt>
                <c:pt idx="162">
                  <c:v>2.6999999999999953</c:v>
                </c:pt>
                <c:pt idx="163">
                  <c:v>2.7166666666666619</c:v>
                </c:pt>
                <c:pt idx="164">
                  <c:v>2.7333333333333285</c:v>
                </c:pt>
                <c:pt idx="165">
                  <c:v>2.7499999999999951</c:v>
                </c:pt>
                <c:pt idx="166">
                  <c:v>2.7666666666666617</c:v>
                </c:pt>
                <c:pt idx="167">
                  <c:v>2.7833333333333283</c:v>
                </c:pt>
                <c:pt idx="168">
                  <c:v>2.7999999999999949</c:v>
                </c:pt>
                <c:pt idx="169">
                  <c:v>2.8166666666666615</c:v>
                </c:pt>
                <c:pt idx="170">
                  <c:v>2.8333333333333282</c:v>
                </c:pt>
                <c:pt idx="171">
                  <c:v>2.8499999999999948</c:v>
                </c:pt>
                <c:pt idx="172">
                  <c:v>2.8666666666666614</c:v>
                </c:pt>
                <c:pt idx="173">
                  <c:v>2.883333333333328</c:v>
                </c:pt>
                <c:pt idx="174">
                  <c:v>2.8999999999999946</c:v>
                </c:pt>
                <c:pt idx="175">
                  <c:v>2.9166666666666612</c:v>
                </c:pt>
                <c:pt idx="176">
                  <c:v>2.9333333333333278</c:v>
                </c:pt>
                <c:pt idx="177">
                  <c:v>2.9499999999999944</c:v>
                </c:pt>
                <c:pt idx="178">
                  <c:v>2.966666666666661</c:v>
                </c:pt>
                <c:pt idx="179">
                  <c:v>2.9833333333333276</c:v>
                </c:pt>
                <c:pt idx="180">
                  <c:v>2.9999999999999942</c:v>
                </c:pt>
                <c:pt idx="181">
                  <c:v>3.0166666666666608</c:v>
                </c:pt>
                <c:pt idx="182">
                  <c:v>3.0333333333333274</c:v>
                </c:pt>
                <c:pt idx="183">
                  <c:v>3.049999999999994</c:v>
                </c:pt>
                <c:pt idx="184">
                  <c:v>3.0666666666666607</c:v>
                </c:pt>
                <c:pt idx="185">
                  <c:v>3.0833333333333273</c:v>
                </c:pt>
                <c:pt idx="186">
                  <c:v>3.0999999999999939</c:v>
                </c:pt>
                <c:pt idx="187">
                  <c:v>3.1166666666666605</c:v>
                </c:pt>
                <c:pt idx="188">
                  <c:v>3.1333333333333271</c:v>
                </c:pt>
                <c:pt idx="189">
                  <c:v>3.1499999999999937</c:v>
                </c:pt>
                <c:pt idx="190">
                  <c:v>3.1666666666666603</c:v>
                </c:pt>
                <c:pt idx="191">
                  <c:v>3.1833333333333269</c:v>
                </c:pt>
                <c:pt idx="192">
                  <c:v>3.1999999999999935</c:v>
                </c:pt>
                <c:pt idx="193">
                  <c:v>3.2166666666666601</c:v>
                </c:pt>
                <c:pt idx="194">
                  <c:v>3.2333333333333267</c:v>
                </c:pt>
                <c:pt idx="195">
                  <c:v>3.2499999999999933</c:v>
                </c:pt>
                <c:pt idx="196">
                  <c:v>3.2666666666666599</c:v>
                </c:pt>
                <c:pt idx="197">
                  <c:v>3.2833333333333266</c:v>
                </c:pt>
                <c:pt idx="198">
                  <c:v>3.2999999999999932</c:v>
                </c:pt>
                <c:pt idx="199">
                  <c:v>3.3166666666666598</c:v>
                </c:pt>
                <c:pt idx="200">
                  <c:v>3.3333333333333264</c:v>
                </c:pt>
                <c:pt idx="201">
                  <c:v>3.349999999999993</c:v>
                </c:pt>
                <c:pt idx="202">
                  <c:v>3.3666666666666596</c:v>
                </c:pt>
                <c:pt idx="203">
                  <c:v>3.3833333333333262</c:v>
                </c:pt>
                <c:pt idx="204">
                  <c:v>3.3999999999999928</c:v>
                </c:pt>
                <c:pt idx="205">
                  <c:v>3.4166666666666594</c:v>
                </c:pt>
                <c:pt idx="206">
                  <c:v>3.433333333333326</c:v>
                </c:pt>
                <c:pt idx="207">
                  <c:v>3.4499999999999926</c:v>
                </c:pt>
                <c:pt idx="208">
                  <c:v>3.4666666666666592</c:v>
                </c:pt>
                <c:pt idx="209">
                  <c:v>3.4833333333333258</c:v>
                </c:pt>
                <c:pt idx="210">
                  <c:v>3.4999999999999925</c:v>
                </c:pt>
                <c:pt idx="211">
                  <c:v>3.5166666666666591</c:v>
                </c:pt>
                <c:pt idx="212">
                  <c:v>3.5333333333333257</c:v>
                </c:pt>
                <c:pt idx="213">
                  <c:v>3.5499999999999923</c:v>
                </c:pt>
                <c:pt idx="214">
                  <c:v>3.5666666666666589</c:v>
                </c:pt>
                <c:pt idx="215">
                  <c:v>3.5833333333333255</c:v>
                </c:pt>
                <c:pt idx="216">
                  <c:v>3.5999999999999921</c:v>
                </c:pt>
                <c:pt idx="217">
                  <c:v>3.6166666666666587</c:v>
                </c:pt>
                <c:pt idx="218">
                  <c:v>3.6333333333333253</c:v>
                </c:pt>
                <c:pt idx="219">
                  <c:v>3.6499999999999919</c:v>
                </c:pt>
                <c:pt idx="220">
                  <c:v>3.6666666666666585</c:v>
                </c:pt>
                <c:pt idx="221">
                  <c:v>3.6833333333333251</c:v>
                </c:pt>
                <c:pt idx="222">
                  <c:v>3.6999999999999917</c:v>
                </c:pt>
                <c:pt idx="223">
                  <c:v>3.7166666666666583</c:v>
                </c:pt>
                <c:pt idx="224">
                  <c:v>3.733333333333325</c:v>
                </c:pt>
                <c:pt idx="225">
                  <c:v>3.7499999999999916</c:v>
                </c:pt>
                <c:pt idx="226">
                  <c:v>3.7666666666666582</c:v>
                </c:pt>
                <c:pt idx="227">
                  <c:v>3.7833333333333248</c:v>
                </c:pt>
                <c:pt idx="228">
                  <c:v>3.7999999999999914</c:v>
                </c:pt>
                <c:pt idx="229">
                  <c:v>3.816666666666658</c:v>
                </c:pt>
                <c:pt idx="230">
                  <c:v>3.8333333333333246</c:v>
                </c:pt>
                <c:pt idx="231">
                  <c:v>3.8499999999999912</c:v>
                </c:pt>
                <c:pt idx="232">
                  <c:v>3.8666666666666578</c:v>
                </c:pt>
                <c:pt idx="233">
                  <c:v>3.8833333333333244</c:v>
                </c:pt>
                <c:pt idx="234">
                  <c:v>3.899999999999991</c:v>
                </c:pt>
                <c:pt idx="235">
                  <c:v>3.9166666666666576</c:v>
                </c:pt>
                <c:pt idx="236">
                  <c:v>3.9333333333333242</c:v>
                </c:pt>
                <c:pt idx="237">
                  <c:v>3.9499999999999909</c:v>
                </c:pt>
                <c:pt idx="238">
                  <c:v>3.9666666666666575</c:v>
                </c:pt>
                <c:pt idx="239">
                  <c:v>3.9833333333333241</c:v>
                </c:pt>
                <c:pt idx="240">
                  <c:v>3.9999999999999907</c:v>
                </c:pt>
                <c:pt idx="241">
                  <c:v>4.0166666666666577</c:v>
                </c:pt>
                <c:pt idx="242">
                  <c:v>4.0333333333333243</c:v>
                </c:pt>
                <c:pt idx="243">
                  <c:v>4.0499999999999909</c:v>
                </c:pt>
                <c:pt idx="244">
                  <c:v>4.0666666666666575</c:v>
                </c:pt>
                <c:pt idx="245">
                  <c:v>4.0833333333333242</c:v>
                </c:pt>
                <c:pt idx="246">
                  <c:v>4.0999999999999908</c:v>
                </c:pt>
                <c:pt idx="247">
                  <c:v>4.1166666666666574</c:v>
                </c:pt>
                <c:pt idx="248">
                  <c:v>4.133333333333324</c:v>
                </c:pt>
                <c:pt idx="249">
                  <c:v>4.1499999999999906</c:v>
                </c:pt>
                <c:pt idx="250">
                  <c:v>4.1666666666666572</c:v>
                </c:pt>
                <c:pt idx="251">
                  <c:v>4.1833333333333238</c:v>
                </c:pt>
                <c:pt idx="252">
                  <c:v>4.1999999999999904</c:v>
                </c:pt>
                <c:pt idx="253">
                  <c:v>4.216666666666657</c:v>
                </c:pt>
                <c:pt idx="254">
                  <c:v>4.2333333333333236</c:v>
                </c:pt>
                <c:pt idx="255">
                  <c:v>4.2499999999999902</c:v>
                </c:pt>
                <c:pt idx="256">
                  <c:v>4.2666666666666568</c:v>
                </c:pt>
                <c:pt idx="257">
                  <c:v>4.2833333333333234</c:v>
                </c:pt>
                <c:pt idx="258">
                  <c:v>4.2999999999999901</c:v>
                </c:pt>
                <c:pt idx="259">
                  <c:v>4.3166666666666567</c:v>
                </c:pt>
                <c:pt idx="260">
                  <c:v>4.3333333333333233</c:v>
                </c:pt>
                <c:pt idx="261">
                  <c:v>4.3499999999999899</c:v>
                </c:pt>
                <c:pt idx="262">
                  <c:v>4.3666666666666565</c:v>
                </c:pt>
                <c:pt idx="263">
                  <c:v>4.3833333333333231</c:v>
                </c:pt>
                <c:pt idx="264">
                  <c:v>4.3999999999999897</c:v>
                </c:pt>
                <c:pt idx="265">
                  <c:v>4.4166666666666563</c:v>
                </c:pt>
                <c:pt idx="266">
                  <c:v>4.4333333333333229</c:v>
                </c:pt>
                <c:pt idx="267">
                  <c:v>4.4499999999999895</c:v>
                </c:pt>
                <c:pt idx="268">
                  <c:v>4.4666666666666561</c:v>
                </c:pt>
                <c:pt idx="269">
                  <c:v>4.4833333333333227</c:v>
                </c:pt>
                <c:pt idx="270">
                  <c:v>4.4999999999999893</c:v>
                </c:pt>
                <c:pt idx="271">
                  <c:v>4.5166666666666559</c:v>
                </c:pt>
                <c:pt idx="272">
                  <c:v>4.5333333333333226</c:v>
                </c:pt>
                <c:pt idx="273">
                  <c:v>4.5499999999999892</c:v>
                </c:pt>
                <c:pt idx="274">
                  <c:v>4.5666666666666558</c:v>
                </c:pt>
                <c:pt idx="275">
                  <c:v>4.5833333333333224</c:v>
                </c:pt>
                <c:pt idx="276">
                  <c:v>4.599999999999989</c:v>
                </c:pt>
                <c:pt idx="277">
                  <c:v>4.6166666666666556</c:v>
                </c:pt>
                <c:pt idx="278">
                  <c:v>4.6333333333333222</c:v>
                </c:pt>
                <c:pt idx="279">
                  <c:v>4.6499999999999888</c:v>
                </c:pt>
                <c:pt idx="280">
                  <c:v>4.6666666666666554</c:v>
                </c:pt>
                <c:pt idx="281">
                  <c:v>4.683333333333322</c:v>
                </c:pt>
                <c:pt idx="282">
                  <c:v>4.6999999999999886</c:v>
                </c:pt>
                <c:pt idx="283">
                  <c:v>4.7166666666666552</c:v>
                </c:pt>
                <c:pt idx="284">
                  <c:v>4.7333333333333218</c:v>
                </c:pt>
                <c:pt idx="285">
                  <c:v>4.7499999999999885</c:v>
                </c:pt>
                <c:pt idx="286">
                  <c:v>4.7666666666666551</c:v>
                </c:pt>
                <c:pt idx="287">
                  <c:v>4.7833333333333217</c:v>
                </c:pt>
                <c:pt idx="288">
                  <c:v>4.7999999999999883</c:v>
                </c:pt>
                <c:pt idx="289">
                  <c:v>4.8166666666666549</c:v>
                </c:pt>
                <c:pt idx="290">
                  <c:v>4.8333333333333215</c:v>
                </c:pt>
                <c:pt idx="291">
                  <c:v>4.8499999999999881</c:v>
                </c:pt>
                <c:pt idx="292">
                  <c:v>4.8666666666666547</c:v>
                </c:pt>
                <c:pt idx="293">
                  <c:v>4.8833333333333213</c:v>
                </c:pt>
                <c:pt idx="294">
                  <c:v>4.8999999999999879</c:v>
                </c:pt>
                <c:pt idx="295">
                  <c:v>4.9166666666666545</c:v>
                </c:pt>
                <c:pt idx="296">
                  <c:v>4.9333333333333211</c:v>
                </c:pt>
                <c:pt idx="297">
                  <c:v>4.9499999999999877</c:v>
                </c:pt>
                <c:pt idx="298">
                  <c:v>4.9666666666666544</c:v>
                </c:pt>
                <c:pt idx="299">
                  <c:v>4.983333333333321</c:v>
                </c:pt>
                <c:pt idx="300">
                  <c:v>4.9999999999999876</c:v>
                </c:pt>
                <c:pt idx="301">
                  <c:v>5.0166666666666542</c:v>
                </c:pt>
                <c:pt idx="302">
                  <c:v>5.0333333333333208</c:v>
                </c:pt>
                <c:pt idx="303">
                  <c:v>5.0499999999999874</c:v>
                </c:pt>
                <c:pt idx="304">
                  <c:v>5.066666666666654</c:v>
                </c:pt>
                <c:pt idx="305">
                  <c:v>5.0833333333333206</c:v>
                </c:pt>
                <c:pt idx="306">
                  <c:v>5.0999999999999872</c:v>
                </c:pt>
                <c:pt idx="307">
                  <c:v>5.1166666666666538</c:v>
                </c:pt>
                <c:pt idx="308">
                  <c:v>5.1333333333333204</c:v>
                </c:pt>
                <c:pt idx="309">
                  <c:v>5.149999999999987</c:v>
                </c:pt>
                <c:pt idx="310">
                  <c:v>5.1666666666666536</c:v>
                </c:pt>
                <c:pt idx="311">
                  <c:v>5.1833333333333202</c:v>
                </c:pt>
                <c:pt idx="312">
                  <c:v>5.1999999999999869</c:v>
                </c:pt>
                <c:pt idx="313">
                  <c:v>5.2166666666666535</c:v>
                </c:pt>
                <c:pt idx="314">
                  <c:v>5.2333333333333201</c:v>
                </c:pt>
                <c:pt idx="315">
                  <c:v>5.2499999999999867</c:v>
                </c:pt>
                <c:pt idx="316">
                  <c:v>5.2666666666666533</c:v>
                </c:pt>
                <c:pt idx="317">
                  <c:v>5.2833333333333199</c:v>
                </c:pt>
                <c:pt idx="318">
                  <c:v>5.2999999999999865</c:v>
                </c:pt>
                <c:pt idx="319">
                  <c:v>5.3166666666666531</c:v>
                </c:pt>
                <c:pt idx="320">
                  <c:v>5.3333333333333197</c:v>
                </c:pt>
                <c:pt idx="321">
                  <c:v>5.3499999999999863</c:v>
                </c:pt>
                <c:pt idx="322">
                  <c:v>5.3666666666666529</c:v>
                </c:pt>
                <c:pt idx="323">
                  <c:v>5.3833333333333195</c:v>
                </c:pt>
                <c:pt idx="324">
                  <c:v>5.3999999999999861</c:v>
                </c:pt>
                <c:pt idx="325">
                  <c:v>5.4166666666666528</c:v>
                </c:pt>
                <c:pt idx="326">
                  <c:v>5.4333333333333194</c:v>
                </c:pt>
                <c:pt idx="327">
                  <c:v>5.449999999999986</c:v>
                </c:pt>
                <c:pt idx="328">
                  <c:v>5.4666666666666526</c:v>
                </c:pt>
                <c:pt idx="329">
                  <c:v>5.4833333333333192</c:v>
                </c:pt>
                <c:pt idx="330">
                  <c:v>5.4999999999999858</c:v>
                </c:pt>
                <c:pt idx="331">
                  <c:v>5.5166666666666524</c:v>
                </c:pt>
                <c:pt idx="332">
                  <c:v>5.533333333333319</c:v>
                </c:pt>
                <c:pt idx="333">
                  <c:v>5.5499999999999856</c:v>
                </c:pt>
                <c:pt idx="334">
                  <c:v>5.5666666666666522</c:v>
                </c:pt>
                <c:pt idx="335">
                  <c:v>5.5833333333333188</c:v>
                </c:pt>
                <c:pt idx="336">
                  <c:v>5.5999999999999854</c:v>
                </c:pt>
                <c:pt idx="337">
                  <c:v>5.616666666666652</c:v>
                </c:pt>
                <c:pt idx="338">
                  <c:v>5.6333333333333186</c:v>
                </c:pt>
                <c:pt idx="339">
                  <c:v>5.6499999999999853</c:v>
                </c:pt>
                <c:pt idx="340">
                  <c:v>5.6666666666666519</c:v>
                </c:pt>
                <c:pt idx="341">
                  <c:v>5.6833333333333185</c:v>
                </c:pt>
                <c:pt idx="342">
                  <c:v>5.6999999999999851</c:v>
                </c:pt>
                <c:pt idx="343">
                  <c:v>5.7166666666666517</c:v>
                </c:pt>
                <c:pt idx="344">
                  <c:v>5.7333333333333183</c:v>
                </c:pt>
                <c:pt idx="345">
                  <c:v>5.7499999999999849</c:v>
                </c:pt>
                <c:pt idx="346">
                  <c:v>5.7666666666666515</c:v>
                </c:pt>
                <c:pt idx="347">
                  <c:v>5.7833333333333181</c:v>
                </c:pt>
                <c:pt idx="348">
                  <c:v>5.7999999999999847</c:v>
                </c:pt>
                <c:pt idx="349">
                  <c:v>5.8166666666666513</c:v>
                </c:pt>
                <c:pt idx="350">
                  <c:v>5.8333333333333179</c:v>
                </c:pt>
                <c:pt idx="351">
                  <c:v>5.8499999999999845</c:v>
                </c:pt>
                <c:pt idx="352">
                  <c:v>5.8666666666666512</c:v>
                </c:pt>
                <c:pt idx="353">
                  <c:v>5.8833333333333178</c:v>
                </c:pt>
                <c:pt idx="354">
                  <c:v>5.8999999999999844</c:v>
                </c:pt>
                <c:pt idx="355">
                  <c:v>5.916666666666651</c:v>
                </c:pt>
                <c:pt idx="356">
                  <c:v>5.9333333333333176</c:v>
                </c:pt>
                <c:pt idx="357">
                  <c:v>5.9499999999999842</c:v>
                </c:pt>
                <c:pt idx="358">
                  <c:v>5.9666666666666508</c:v>
                </c:pt>
                <c:pt idx="359">
                  <c:v>5.9833333333333174</c:v>
                </c:pt>
                <c:pt idx="360">
                  <c:v>5.999999999999984</c:v>
                </c:pt>
                <c:pt idx="361">
                  <c:v>6.0166666666666506</c:v>
                </c:pt>
                <c:pt idx="362">
                  <c:v>6.0333333333333172</c:v>
                </c:pt>
                <c:pt idx="363">
                  <c:v>6.0499999999999838</c:v>
                </c:pt>
                <c:pt idx="364">
                  <c:v>6.0666666666666504</c:v>
                </c:pt>
                <c:pt idx="365">
                  <c:v>6.0833333333333171</c:v>
                </c:pt>
                <c:pt idx="366">
                  <c:v>6.0999999999999837</c:v>
                </c:pt>
                <c:pt idx="367">
                  <c:v>6.1166666666666503</c:v>
                </c:pt>
                <c:pt idx="368">
                  <c:v>6.1333333333333169</c:v>
                </c:pt>
                <c:pt idx="369">
                  <c:v>6.1499999999999835</c:v>
                </c:pt>
                <c:pt idx="370">
                  <c:v>6.1666666666666501</c:v>
                </c:pt>
                <c:pt idx="371">
                  <c:v>6.1833333333333167</c:v>
                </c:pt>
                <c:pt idx="372">
                  <c:v>6.1999999999999833</c:v>
                </c:pt>
                <c:pt idx="373">
                  <c:v>6.2166666666666499</c:v>
                </c:pt>
                <c:pt idx="374">
                  <c:v>6.2333333333333165</c:v>
                </c:pt>
                <c:pt idx="375">
                  <c:v>6.2499999999999831</c:v>
                </c:pt>
                <c:pt idx="376">
                  <c:v>6.2666666666666497</c:v>
                </c:pt>
                <c:pt idx="377">
                  <c:v>6.2833333333333163</c:v>
                </c:pt>
                <c:pt idx="378">
                  <c:v>6.2999999999999829</c:v>
                </c:pt>
                <c:pt idx="379">
                  <c:v>6.3166666666666496</c:v>
                </c:pt>
                <c:pt idx="380">
                  <c:v>6.3333333333333162</c:v>
                </c:pt>
                <c:pt idx="381">
                  <c:v>6.3499999999999828</c:v>
                </c:pt>
                <c:pt idx="382">
                  <c:v>6.3666666666666494</c:v>
                </c:pt>
                <c:pt idx="383">
                  <c:v>6.383333333333316</c:v>
                </c:pt>
                <c:pt idx="384">
                  <c:v>6.3999999999999826</c:v>
                </c:pt>
                <c:pt idx="385">
                  <c:v>6.4166666666666492</c:v>
                </c:pt>
                <c:pt idx="386">
                  <c:v>6.4333333333333158</c:v>
                </c:pt>
                <c:pt idx="387">
                  <c:v>6.4499999999999824</c:v>
                </c:pt>
                <c:pt idx="388">
                  <c:v>6.466666666666649</c:v>
                </c:pt>
                <c:pt idx="389">
                  <c:v>6.4833333333333156</c:v>
                </c:pt>
                <c:pt idx="390">
                  <c:v>6.4999999999999822</c:v>
                </c:pt>
                <c:pt idx="391">
                  <c:v>6.5166666666666488</c:v>
                </c:pt>
                <c:pt idx="392">
                  <c:v>6.5333333333333155</c:v>
                </c:pt>
                <c:pt idx="393">
                  <c:v>6.5499999999999821</c:v>
                </c:pt>
                <c:pt idx="394">
                  <c:v>6.5666666666666487</c:v>
                </c:pt>
                <c:pt idx="395">
                  <c:v>6.5833333333333153</c:v>
                </c:pt>
                <c:pt idx="396">
                  <c:v>6.5999999999999819</c:v>
                </c:pt>
                <c:pt idx="397">
                  <c:v>6.6166666666666485</c:v>
                </c:pt>
                <c:pt idx="398">
                  <c:v>6.6333333333333151</c:v>
                </c:pt>
                <c:pt idx="399">
                  <c:v>6.6499999999999817</c:v>
                </c:pt>
                <c:pt idx="400">
                  <c:v>6.6666666666666483</c:v>
                </c:pt>
                <c:pt idx="401">
                  <c:v>6.6833333333333149</c:v>
                </c:pt>
                <c:pt idx="402">
                  <c:v>6.6999999999999815</c:v>
                </c:pt>
                <c:pt idx="403">
                  <c:v>6.7166666666666481</c:v>
                </c:pt>
                <c:pt idx="404">
                  <c:v>6.7333333333333147</c:v>
                </c:pt>
                <c:pt idx="405">
                  <c:v>6.7499999999999813</c:v>
                </c:pt>
                <c:pt idx="406">
                  <c:v>6.766666666666648</c:v>
                </c:pt>
                <c:pt idx="407">
                  <c:v>6.7833333333333146</c:v>
                </c:pt>
                <c:pt idx="408">
                  <c:v>6.7999999999999812</c:v>
                </c:pt>
                <c:pt idx="409">
                  <c:v>6.8166666666666478</c:v>
                </c:pt>
                <c:pt idx="410">
                  <c:v>6.8333333333333144</c:v>
                </c:pt>
                <c:pt idx="411">
                  <c:v>6.849999999999981</c:v>
                </c:pt>
                <c:pt idx="412">
                  <c:v>6.8666666666666476</c:v>
                </c:pt>
                <c:pt idx="413">
                  <c:v>6.8833333333333142</c:v>
                </c:pt>
                <c:pt idx="414">
                  <c:v>6.8999999999999808</c:v>
                </c:pt>
                <c:pt idx="415">
                  <c:v>6.9166666666666474</c:v>
                </c:pt>
                <c:pt idx="416">
                  <c:v>6.933333333333314</c:v>
                </c:pt>
                <c:pt idx="417">
                  <c:v>6.9499999999999806</c:v>
                </c:pt>
                <c:pt idx="418">
                  <c:v>6.9666666666666472</c:v>
                </c:pt>
                <c:pt idx="419">
                  <c:v>6.9833333333333139</c:v>
                </c:pt>
                <c:pt idx="420">
                  <c:v>6.9999999999999805</c:v>
                </c:pt>
                <c:pt idx="421">
                  <c:v>7.0166666666666471</c:v>
                </c:pt>
                <c:pt idx="422">
                  <c:v>7.0333333333333137</c:v>
                </c:pt>
                <c:pt idx="423">
                  <c:v>7.0499999999999803</c:v>
                </c:pt>
                <c:pt idx="424">
                  <c:v>7.0666666666666469</c:v>
                </c:pt>
                <c:pt idx="425">
                  <c:v>7.0833333333333135</c:v>
                </c:pt>
                <c:pt idx="426">
                  <c:v>7.0999999999999801</c:v>
                </c:pt>
                <c:pt idx="427">
                  <c:v>7.1166666666666467</c:v>
                </c:pt>
                <c:pt idx="428">
                  <c:v>7.1333333333333133</c:v>
                </c:pt>
                <c:pt idx="429">
                  <c:v>7.1499999999999799</c:v>
                </c:pt>
                <c:pt idx="430">
                  <c:v>7.1666666666666465</c:v>
                </c:pt>
                <c:pt idx="431">
                  <c:v>7.1833333333333131</c:v>
                </c:pt>
                <c:pt idx="432">
                  <c:v>7.1999999999999797</c:v>
                </c:pt>
                <c:pt idx="433">
                  <c:v>7.2166666666666464</c:v>
                </c:pt>
                <c:pt idx="434">
                  <c:v>7.233333333333313</c:v>
                </c:pt>
                <c:pt idx="435">
                  <c:v>7.2499999999999796</c:v>
                </c:pt>
                <c:pt idx="436">
                  <c:v>7.2666666666666462</c:v>
                </c:pt>
                <c:pt idx="437">
                  <c:v>7.2833333333333128</c:v>
                </c:pt>
                <c:pt idx="438">
                  <c:v>7.2999999999999794</c:v>
                </c:pt>
                <c:pt idx="439">
                  <c:v>7.316666666666646</c:v>
                </c:pt>
                <c:pt idx="440">
                  <c:v>7.3333333333333126</c:v>
                </c:pt>
                <c:pt idx="441">
                  <c:v>7.3499999999999792</c:v>
                </c:pt>
                <c:pt idx="442">
                  <c:v>7.3666666666666458</c:v>
                </c:pt>
                <c:pt idx="443">
                  <c:v>7.3833333333333124</c:v>
                </c:pt>
                <c:pt idx="444">
                  <c:v>7.399999999999979</c:v>
                </c:pt>
                <c:pt idx="445">
                  <c:v>7.4166666666666456</c:v>
                </c:pt>
                <c:pt idx="446">
                  <c:v>7.4333333333333123</c:v>
                </c:pt>
                <c:pt idx="447">
                  <c:v>7.4499999999999789</c:v>
                </c:pt>
                <c:pt idx="448">
                  <c:v>7.4666666666666455</c:v>
                </c:pt>
                <c:pt idx="449">
                  <c:v>7.4833333333333121</c:v>
                </c:pt>
                <c:pt idx="450">
                  <c:v>7.4999999999999787</c:v>
                </c:pt>
                <c:pt idx="451">
                  <c:v>7.5166666666666453</c:v>
                </c:pt>
                <c:pt idx="452">
                  <c:v>7.5333333333333119</c:v>
                </c:pt>
                <c:pt idx="453">
                  <c:v>7.5499999999999785</c:v>
                </c:pt>
                <c:pt idx="454">
                  <c:v>7.5666666666666451</c:v>
                </c:pt>
                <c:pt idx="455">
                  <c:v>7.5833333333333117</c:v>
                </c:pt>
                <c:pt idx="456">
                  <c:v>7.5999999999999783</c:v>
                </c:pt>
                <c:pt idx="457">
                  <c:v>7.6166666666666449</c:v>
                </c:pt>
                <c:pt idx="458">
                  <c:v>7.6333333333333115</c:v>
                </c:pt>
                <c:pt idx="459">
                  <c:v>7.6499999999999782</c:v>
                </c:pt>
                <c:pt idx="460">
                  <c:v>7.6666666666666448</c:v>
                </c:pt>
                <c:pt idx="461">
                  <c:v>7.6833333333333114</c:v>
                </c:pt>
                <c:pt idx="462">
                  <c:v>7.699999999999978</c:v>
                </c:pt>
                <c:pt idx="463">
                  <c:v>7.7166666666666446</c:v>
                </c:pt>
                <c:pt idx="464">
                  <c:v>7.7333333333333112</c:v>
                </c:pt>
                <c:pt idx="465">
                  <c:v>7.7499999999999778</c:v>
                </c:pt>
                <c:pt idx="466">
                  <c:v>7.7666666666666444</c:v>
                </c:pt>
                <c:pt idx="467">
                  <c:v>7.783333333333311</c:v>
                </c:pt>
                <c:pt idx="468">
                  <c:v>7.7999999999999776</c:v>
                </c:pt>
                <c:pt idx="469">
                  <c:v>7.8166666666666442</c:v>
                </c:pt>
                <c:pt idx="470">
                  <c:v>7.8333333333333108</c:v>
                </c:pt>
                <c:pt idx="471">
                  <c:v>7.8499999999999774</c:v>
                </c:pt>
                <c:pt idx="472">
                  <c:v>7.866666666666644</c:v>
                </c:pt>
                <c:pt idx="473">
                  <c:v>7.8833333333333107</c:v>
                </c:pt>
                <c:pt idx="474">
                  <c:v>7.8999999999999773</c:v>
                </c:pt>
                <c:pt idx="475">
                  <c:v>7.9166666666666439</c:v>
                </c:pt>
                <c:pt idx="476">
                  <c:v>7.9333333333333105</c:v>
                </c:pt>
                <c:pt idx="477">
                  <c:v>7.9499999999999771</c:v>
                </c:pt>
                <c:pt idx="478">
                  <c:v>7.9666666666666437</c:v>
                </c:pt>
                <c:pt idx="479">
                  <c:v>7.9833333333333103</c:v>
                </c:pt>
                <c:pt idx="480">
                  <c:v>7.9999999999999769</c:v>
                </c:pt>
                <c:pt idx="481">
                  <c:v>8.0166666666666444</c:v>
                </c:pt>
                <c:pt idx="482">
                  <c:v>8.0333333333333119</c:v>
                </c:pt>
                <c:pt idx="483">
                  <c:v>8.0499999999999794</c:v>
                </c:pt>
                <c:pt idx="484">
                  <c:v>8.0666666666666469</c:v>
                </c:pt>
                <c:pt idx="485">
                  <c:v>8.0833333333333144</c:v>
                </c:pt>
                <c:pt idx="486">
                  <c:v>8.0999999999999819</c:v>
                </c:pt>
                <c:pt idx="487">
                  <c:v>8.1166666666666494</c:v>
                </c:pt>
                <c:pt idx="488">
                  <c:v>8.1333333333333169</c:v>
                </c:pt>
                <c:pt idx="489">
                  <c:v>8.1499999999999844</c:v>
                </c:pt>
                <c:pt idx="490">
                  <c:v>8.1666666666666519</c:v>
                </c:pt>
                <c:pt idx="491">
                  <c:v>8.1833333333333194</c:v>
                </c:pt>
                <c:pt idx="492">
                  <c:v>8.1999999999999869</c:v>
                </c:pt>
                <c:pt idx="493">
                  <c:v>8.2166666666666544</c:v>
                </c:pt>
                <c:pt idx="494">
                  <c:v>8.2333333333333218</c:v>
                </c:pt>
                <c:pt idx="495">
                  <c:v>8.2499999999999893</c:v>
                </c:pt>
                <c:pt idx="496">
                  <c:v>8.2666666666666568</c:v>
                </c:pt>
                <c:pt idx="497">
                  <c:v>8.2833333333333243</c:v>
                </c:pt>
                <c:pt idx="498">
                  <c:v>8.2999999999999918</c:v>
                </c:pt>
                <c:pt idx="499">
                  <c:v>8.3166666666666593</c:v>
                </c:pt>
                <c:pt idx="500">
                  <c:v>8.3333333333333268</c:v>
                </c:pt>
                <c:pt idx="501">
                  <c:v>8.3499999999999943</c:v>
                </c:pt>
                <c:pt idx="502">
                  <c:v>8.3666666666666618</c:v>
                </c:pt>
                <c:pt idx="503">
                  <c:v>8.3833333333333293</c:v>
                </c:pt>
                <c:pt idx="504">
                  <c:v>8.3999999999999968</c:v>
                </c:pt>
                <c:pt idx="505">
                  <c:v>8.4166666666666643</c:v>
                </c:pt>
                <c:pt idx="506">
                  <c:v>8.4333333333333318</c:v>
                </c:pt>
                <c:pt idx="507">
                  <c:v>8.4499999999999993</c:v>
                </c:pt>
                <c:pt idx="508">
                  <c:v>8.4666666666666668</c:v>
                </c:pt>
                <c:pt idx="509">
                  <c:v>8.4833333333333343</c:v>
                </c:pt>
                <c:pt idx="510">
                  <c:v>8.5000000000000018</c:v>
                </c:pt>
                <c:pt idx="511">
                  <c:v>8.5166666666666693</c:v>
                </c:pt>
                <c:pt idx="512">
                  <c:v>8.5333333333333368</c:v>
                </c:pt>
                <c:pt idx="513">
                  <c:v>8.5500000000000043</c:v>
                </c:pt>
                <c:pt idx="514">
                  <c:v>8.5666666666666718</c:v>
                </c:pt>
                <c:pt idx="515">
                  <c:v>8.5833333333333393</c:v>
                </c:pt>
                <c:pt idx="516">
                  <c:v>8.6000000000000068</c:v>
                </c:pt>
                <c:pt idx="517">
                  <c:v>8.6166666666666742</c:v>
                </c:pt>
                <c:pt idx="518">
                  <c:v>8.6333333333333417</c:v>
                </c:pt>
                <c:pt idx="519">
                  <c:v>8.6500000000000092</c:v>
                </c:pt>
                <c:pt idx="520">
                  <c:v>8.6666666666666767</c:v>
                </c:pt>
                <c:pt idx="521">
                  <c:v>8.6833333333333442</c:v>
                </c:pt>
                <c:pt idx="522">
                  <c:v>8.7000000000000117</c:v>
                </c:pt>
                <c:pt idx="523">
                  <c:v>8.7166666666666792</c:v>
                </c:pt>
                <c:pt idx="524">
                  <c:v>8.7333333333333467</c:v>
                </c:pt>
                <c:pt idx="525">
                  <c:v>8.7500000000000142</c:v>
                </c:pt>
                <c:pt idx="526">
                  <c:v>8.7666666666666817</c:v>
                </c:pt>
                <c:pt idx="527">
                  <c:v>8.7833333333333492</c:v>
                </c:pt>
                <c:pt idx="528">
                  <c:v>8.8000000000000167</c:v>
                </c:pt>
                <c:pt idx="529">
                  <c:v>8.8166666666666842</c:v>
                </c:pt>
                <c:pt idx="530">
                  <c:v>8.8333333333333517</c:v>
                </c:pt>
                <c:pt idx="531">
                  <c:v>8.8500000000000192</c:v>
                </c:pt>
                <c:pt idx="532">
                  <c:v>8.8666666666666867</c:v>
                </c:pt>
                <c:pt idx="533">
                  <c:v>8.8833333333333542</c:v>
                </c:pt>
                <c:pt idx="534">
                  <c:v>8.9000000000000217</c:v>
                </c:pt>
                <c:pt idx="535">
                  <c:v>8.9166666666666892</c:v>
                </c:pt>
                <c:pt idx="536">
                  <c:v>8.9333333333333567</c:v>
                </c:pt>
                <c:pt idx="537">
                  <c:v>8.9500000000000242</c:v>
                </c:pt>
                <c:pt idx="538">
                  <c:v>8.9666666666666917</c:v>
                </c:pt>
                <c:pt idx="539">
                  <c:v>8.9833333333333591</c:v>
                </c:pt>
                <c:pt idx="540">
                  <c:v>9.0000000000000266</c:v>
                </c:pt>
                <c:pt idx="541">
                  <c:v>9.0166666666666941</c:v>
                </c:pt>
                <c:pt idx="542">
                  <c:v>9.0333333333333616</c:v>
                </c:pt>
                <c:pt idx="543">
                  <c:v>9.0500000000000291</c:v>
                </c:pt>
                <c:pt idx="544">
                  <c:v>9.0666666666666966</c:v>
                </c:pt>
                <c:pt idx="545">
                  <c:v>9.0833333333333641</c:v>
                </c:pt>
                <c:pt idx="546">
                  <c:v>9.1000000000000316</c:v>
                </c:pt>
                <c:pt idx="547">
                  <c:v>9.1166666666666991</c:v>
                </c:pt>
                <c:pt idx="548">
                  <c:v>9.1333333333333666</c:v>
                </c:pt>
                <c:pt idx="549">
                  <c:v>9.1500000000000341</c:v>
                </c:pt>
                <c:pt idx="550">
                  <c:v>9.1666666666667016</c:v>
                </c:pt>
                <c:pt idx="551">
                  <c:v>9.1833333333333691</c:v>
                </c:pt>
                <c:pt idx="552">
                  <c:v>9.2000000000000366</c:v>
                </c:pt>
                <c:pt idx="553">
                  <c:v>9.2166666666667041</c:v>
                </c:pt>
                <c:pt idx="554">
                  <c:v>9.2333333333333716</c:v>
                </c:pt>
                <c:pt idx="555">
                  <c:v>9.2500000000000391</c:v>
                </c:pt>
                <c:pt idx="556">
                  <c:v>9.2666666666667066</c:v>
                </c:pt>
                <c:pt idx="557">
                  <c:v>9.2833333333333741</c:v>
                </c:pt>
                <c:pt idx="558">
                  <c:v>9.3000000000000416</c:v>
                </c:pt>
                <c:pt idx="559">
                  <c:v>9.3166666666667091</c:v>
                </c:pt>
                <c:pt idx="560">
                  <c:v>9.3333333333333766</c:v>
                </c:pt>
                <c:pt idx="561">
                  <c:v>9.3500000000000441</c:v>
                </c:pt>
                <c:pt idx="562">
                  <c:v>9.3666666666667115</c:v>
                </c:pt>
                <c:pt idx="563">
                  <c:v>9.383333333333379</c:v>
                </c:pt>
                <c:pt idx="564">
                  <c:v>9.4000000000000465</c:v>
                </c:pt>
                <c:pt idx="565">
                  <c:v>9.416666666666714</c:v>
                </c:pt>
                <c:pt idx="566">
                  <c:v>9.4333333333333815</c:v>
                </c:pt>
                <c:pt idx="567">
                  <c:v>9.450000000000049</c:v>
                </c:pt>
                <c:pt idx="568">
                  <c:v>9.4666666666667165</c:v>
                </c:pt>
                <c:pt idx="569">
                  <c:v>9.483333333333384</c:v>
                </c:pt>
                <c:pt idx="570">
                  <c:v>9.5000000000000515</c:v>
                </c:pt>
                <c:pt idx="571">
                  <c:v>9.516666666666719</c:v>
                </c:pt>
                <c:pt idx="572">
                  <c:v>9.5333333333333865</c:v>
                </c:pt>
                <c:pt idx="573">
                  <c:v>9.550000000000054</c:v>
                </c:pt>
                <c:pt idx="574">
                  <c:v>9.5666666666667215</c:v>
                </c:pt>
                <c:pt idx="575">
                  <c:v>9.583333333333389</c:v>
                </c:pt>
                <c:pt idx="576">
                  <c:v>9.6000000000000565</c:v>
                </c:pt>
                <c:pt idx="577">
                  <c:v>9.616666666666724</c:v>
                </c:pt>
                <c:pt idx="578">
                  <c:v>9.6333333333333915</c:v>
                </c:pt>
                <c:pt idx="579">
                  <c:v>9.650000000000059</c:v>
                </c:pt>
                <c:pt idx="580">
                  <c:v>9.6666666666667265</c:v>
                </c:pt>
                <c:pt idx="581">
                  <c:v>9.683333333333394</c:v>
                </c:pt>
                <c:pt idx="582">
                  <c:v>9.7000000000000615</c:v>
                </c:pt>
                <c:pt idx="583">
                  <c:v>9.716666666666729</c:v>
                </c:pt>
                <c:pt idx="584">
                  <c:v>9.7333333333333965</c:v>
                </c:pt>
                <c:pt idx="585">
                  <c:v>9.7500000000000639</c:v>
                </c:pt>
                <c:pt idx="586">
                  <c:v>9.7666666666667314</c:v>
                </c:pt>
                <c:pt idx="587">
                  <c:v>9.7833333333333989</c:v>
                </c:pt>
                <c:pt idx="588">
                  <c:v>9.8000000000000664</c:v>
                </c:pt>
                <c:pt idx="589">
                  <c:v>9.8166666666667339</c:v>
                </c:pt>
                <c:pt idx="590">
                  <c:v>9.8333333333334014</c:v>
                </c:pt>
                <c:pt idx="591">
                  <c:v>9.8500000000000689</c:v>
                </c:pt>
                <c:pt idx="592">
                  <c:v>9.8666666666667364</c:v>
                </c:pt>
                <c:pt idx="593">
                  <c:v>9.8833333333334039</c:v>
                </c:pt>
                <c:pt idx="594">
                  <c:v>9.9000000000000714</c:v>
                </c:pt>
                <c:pt idx="595">
                  <c:v>9.9166666666667389</c:v>
                </c:pt>
                <c:pt idx="596">
                  <c:v>9.9333333333334064</c:v>
                </c:pt>
                <c:pt idx="597">
                  <c:v>9.9500000000000739</c:v>
                </c:pt>
                <c:pt idx="598">
                  <c:v>9.9666666666667414</c:v>
                </c:pt>
                <c:pt idx="599">
                  <c:v>9.9833333333334089</c:v>
                </c:pt>
                <c:pt idx="600">
                  <c:v>10.000000000000076</c:v>
                </c:pt>
                <c:pt idx="601">
                  <c:v>10.016666666666744</c:v>
                </c:pt>
                <c:pt idx="602">
                  <c:v>10.033333333333411</c:v>
                </c:pt>
                <c:pt idx="603">
                  <c:v>10.050000000000079</c:v>
                </c:pt>
                <c:pt idx="604">
                  <c:v>10.066666666666746</c:v>
                </c:pt>
                <c:pt idx="605">
                  <c:v>10.083333333333414</c:v>
                </c:pt>
                <c:pt idx="606">
                  <c:v>10.100000000000081</c:v>
                </c:pt>
                <c:pt idx="607">
                  <c:v>10.116666666666749</c:v>
                </c:pt>
                <c:pt idx="608">
                  <c:v>10.133333333333416</c:v>
                </c:pt>
                <c:pt idx="609">
                  <c:v>10.150000000000084</c:v>
                </c:pt>
                <c:pt idx="610">
                  <c:v>10.166666666666751</c:v>
                </c:pt>
                <c:pt idx="611">
                  <c:v>10.183333333333419</c:v>
                </c:pt>
                <c:pt idx="612">
                  <c:v>10.200000000000086</c:v>
                </c:pt>
                <c:pt idx="613">
                  <c:v>10.216666666666754</c:v>
                </c:pt>
                <c:pt idx="614">
                  <c:v>10.233333333333421</c:v>
                </c:pt>
                <c:pt idx="615">
                  <c:v>10.250000000000089</c:v>
                </c:pt>
                <c:pt idx="616">
                  <c:v>10.266666666666756</c:v>
                </c:pt>
                <c:pt idx="617">
                  <c:v>10.283333333333424</c:v>
                </c:pt>
                <c:pt idx="618">
                  <c:v>10.300000000000091</c:v>
                </c:pt>
                <c:pt idx="619">
                  <c:v>10.316666666666759</c:v>
                </c:pt>
                <c:pt idx="620">
                  <c:v>10.333333333333426</c:v>
                </c:pt>
                <c:pt idx="621">
                  <c:v>10.350000000000094</c:v>
                </c:pt>
                <c:pt idx="622">
                  <c:v>10.366666666666761</c:v>
                </c:pt>
                <c:pt idx="623">
                  <c:v>10.383333333333429</c:v>
                </c:pt>
                <c:pt idx="624">
                  <c:v>10.400000000000096</c:v>
                </c:pt>
                <c:pt idx="625">
                  <c:v>10.416666666666764</c:v>
                </c:pt>
                <c:pt idx="626">
                  <c:v>10.433333333333431</c:v>
                </c:pt>
                <c:pt idx="627">
                  <c:v>10.450000000000099</c:v>
                </c:pt>
                <c:pt idx="628">
                  <c:v>10.466666666666766</c:v>
                </c:pt>
                <c:pt idx="629">
                  <c:v>10.483333333333434</c:v>
                </c:pt>
                <c:pt idx="630">
                  <c:v>10.500000000000101</c:v>
                </c:pt>
                <c:pt idx="631">
                  <c:v>10.516666666666769</c:v>
                </c:pt>
                <c:pt idx="632">
                  <c:v>10.533333333333436</c:v>
                </c:pt>
                <c:pt idx="633">
                  <c:v>10.550000000000104</c:v>
                </c:pt>
                <c:pt idx="634">
                  <c:v>10.566666666666771</c:v>
                </c:pt>
                <c:pt idx="635">
                  <c:v>10.583333333333439</c:v>
                </c:pt>
                <c:pt idx="636">
                  <c:v>10.600000000000106</c:v>
                </c:pt>
                <c:pt idx="637">
                  <c:v>10.616666666666774</c:v>
                </c:pt>
                <c:pt idx="638">
                  <c:v>10.633333333333441</c:v>
                </c:pt>
                <c:pt idx="639">
                  <c:v>10.650000000000109</c:v>
                </c:pt>
                <c:pt idx="640">
                  <c:v>10.666666666666776</c:v>
                </c:pt>
                <c:pt idx="641">
                  <c:v>10.683333333333444</c:v>
                </c:pt>
                <c:pt idx="642">
                  <c:v>10.700000000000111</c:v>
                </c:pt>
                <c:pt idx="643">
                  <c:v>10.716666666666779</c:v>
                </c:pt>
                <c:pt idx="644">
                  <c:v>10.733333333333446</c:v>
                </c:pt>
                <c:pt idx="645">
                  <c:v>10.750000000000114</c:v>
                </c:pt>
                <c:pt idx="646">
                  <c:v>10.766666666666781</c:v>
                </c:pt>
                <c:pt idx="647">
                  <c:v>10.783333333333449</c:v>
                </c:pt>
                <c:pt idx="648">
                  <c:v>10.800000000000116</c:v>
                </c:pt>
                <c:pt idx="649">
                  <c:v>10.816666666666784</c:v>
                </c:pt>
                <c:pt idx="650">
                  <c:v>10.833333333333451</c:v>
                </c:pt>
                <c:pt idx="651">
                  <c:v>10.850000000000119</c:v>
                </c:pt>
                <c:pt idx="652">
                  <c:v>10.866666666666786</c:v>
                </c:pt>
                <c:pt idx="653">
                  <c:v>10.883333333333454</c:v>
                </c:pt>
                <c:pt idx="654">
                  <c:v>10.900000000000121</c:v>
                </c:pt>
                <c:pt idx="655">
                  <c:v>10.916666666666789</c:v>
                </c:pt>
                <c:pt idx="656">
                  <c:v>10.933333333333456</c:v>
                </c:pt>
                <c:pt idx="657">
                  <c:v>10.950000000000124</c:v>
                </c:pt>
                <c:pt idx="658">
                  <c:v>10.966666666666791</c:v>
                </c:pt>
                <c:pt idx="659">
                  <c:v>10.983333333333459</c:v>
                </c:pt>
                <c:pt idx="660">
                  <c:v>11.000000000000126</c:v>
                </c:pt>
                <c:pt idx="661">
                  <c:v>11.016666666666794</c:v>
                </c:pt>
                <c:pt idx="662">
                  <c:v>11.033333333333461</c:v>
                </c:pt>
                <c:pt idx="663">
                  <c:v>11.050000000000129</c:v>
                </c:pt>
                <c:pt idx="664">
                  <c:v>11.066666666666796</c:v>
                </c:pt>
                <c:pt idx="665">
                  <c:v>11.083333333333464</c:v>
                </c:pt>
                <c:pt idx="666">
                  <c:v>11.100000000000131</c:v>
                </c:pt>
                <c:pt idx="667">
                  <c:v>11.116666666666799</c:v>
                </c:pt>
                <c:pt idx="668">
                  <c:v>11.133333333333466</c:v>
                </c:pt>
                <c:pt idx="669">
                  <c:v>11.150000000000134</c:v>
                </c:pt>
                <c:pt idx="670">
                  <c:v>11.166666666666801</c:v>
                </c:pt>
                <c:pt idx="671">
                  <c:v>11.183333333333469</c:v>
                </c:pt>
                <c:pt idx="672">
                  <c:v>11.200000000000136</c:v>
                </c:pt>
                <c:pt idx="673">
                  <c:v>11.216666666666804</c:v>
                </c:pt>
                <c:pt idx="674">
                  <c:v>11.233333333333471</c:v>
                </c:pt>
                <c:pt idx="675">
                  <c:v>11.250000000000139</c:v>
                </c:pt>
                <c:pt idx="676">
                  <c:v>11.266666666666806</c:v>
                </c:pt>
                <c:pt idx="677">
                  <c:v>11.283333333333474</c:v>
                </c:pt>
                <c:pt idx="678">
                  <c:v>11.300000000000141</c:v>
                </c:pt>
                <c:pt idx="679">
                  <c:v>11.316666666666809</c:v>
                </c:pt>
                <c:pt idx="680">
                  <c:v>11.333333333333476</c:v>
                </c:pt>
                <c:pt idx="681">
                  <c:v>11.350000000000144</c:v>
                </c:pt>
                <c:pt idx="682">
                  <c:v>11.366666666666811</c:v>
                </c:pt>
                <c:pt idx="683">
                  <c:v>11.383333333333479</c:v>
                </c:pt>
                <c:pt idx="684">
                  <c:v>11.400000000000146</c:v>
                </c:pt>
                <c:pt idx="685">
                  <c:v>11.416666666666814</c:v>
                </c:pt>
                <c:pt idx="686">
                  <c:v>11.433333333333481</c:v>
                </c:pt>
                <c:pt idx="687">
                  <c:v>11.450000000000149</c:v>
                </c:pt>
                <c:pt idx="688">
                  <c:v>11.466666666666816</c:v>
                </c:pt>
                <c:pt idx="689">
                  <c:v>11.483333333333483</c:v>
                </c:pt>
                <c:pt idx="690">
                  <c:v>11.500000000000151</c:v>
                </c:pt>
                <c:pt idx="691">
                  <c:v>11.516666666666818</c:v>
                </c:pt>
                <c:pt idx="692">
                  <c:v>11.533333333333486</c:v>
                </c:pt>
                <c:pt idx="693">
                  <c:v>11.550000000000153</c:v>
                </c:pt>
                <c:pt idx="694">
                  <c:v>11.566666666666821</c:v>
                </c:pt>
                <c:pt idx="695">
                  <c:v>11.583333333333488</c:v>
                </c:pt>
                <c:pt idx="696">
                  <c:v>11.600000000000156</c:v>
                </c:pt>
                <c:pt idx="697">
                  <c:v>11.616666666666823</c:v>
                </c:pt>
                <c:pt idx="698">
                  <c:v>11.633333333333491</c:v>
                </c:pt>
                <c:pt idx="699">
                  <c:v>11.650000000000158</c:v>
                </c:pt>
                <c:pt idx="700">
                  <c:v>11.666666666666826</c:v>
                </c:pt>
                <c:pt idx="701">
                  <c:v>11.683333333333493</c:v>
                </c:pt>
                <c:pt idx="702">
                  <c:v>11.700000000000161</c:v>
                </c:pt>
                <c:pt idx="703">
                  <c:v>11.716666666666828</c:v>
                </c:pt>
                <c:pt idx="704">
                  <c:v>11.733333333333496</c:v>
                </c:pt>
                <c:pt idx="705">
                  <c:v>11.750000000000163</c:v>
                </c:pt>
                <c:pt idx="706">
                  <c:v>11.766666666666831</c:v>
                </c:pt>
                <c:pt idx="707">
                  <c:v>11.783333333333498</c:v>
                </c:pt>
                <c:pt idx="708">
                  <c:v>11.800000000000166</c:v>
                </c:pt>
                <c:pt idx="709">
                  <c:v>11.816666666666833</c:v>
                </c:pt>
                <c:pt idx="710">
                  <c:v>11.833333333333501</c:v>
                </c:pt>
                <c:pt idx="711">
                  <c:v>11.850000000000168</c:v>
                </c:pt>
                <c:pt idx="712">
                  <c:v>11.866666666666836</c:v>
                </c:pt>
                <c:pt idx="713">
                  <c:v>11.883333333333503</c:v>
                </c:pt>
                <c:pt idx="714">
                  <c:v>11.900000000000171</c:v>
                </c:pt>
                <c:pt idx="715">
                  <c:v>11.916666666666838</c:v>
                </c:pt>
                <c:pt idx="716">
                  <c:v>11.933333333333506</c:v>
                </c:pt>
                <c:pt idx="717">
                  <c:v>11.950000000000173</c:v>
                </c:pt>
                <c:pt idx="718">
                  <c:v>11.966666666666841</c:v>
                </c:pt>
                <c:pt idx="719">
                  <c:v>11.983333333333508</c:v>
                </c:pt>
                <c:pt idx="720">
                  <c:v>12.000000000000176</c:v>
                </c:pt>
                <c:pt idx="721">
                  <c:v>12.016666666666843</c:v>
                </c:pt>
                <c:pt idx="722">
                  <c:v>12.033333333333511</c:v>
                </c:pt>
                <c:pt idx="723">
                  <c:v>12.050000000000178</c:v>
                </c:pt>
                <c:pt idx="724">
                  <c:v>12.066666666666846</c:v>
                </c:pt>
                <c:pt idx="725">
                  <c:v>12.083333333333513</c:v>
                </c:pt>
                <c:pt idx="726">
                  <c:v>12.100000000000181</c:v>
                </c:pt>
                <c:pt idx="727">
                  <c:v>12.116666666666848</c:v>
                </c:pt>
                <c:pt idx="728">
                  <c:v>12.133333333333516</c:v>
                </c:pt>
                <c:pt idx="729">
                  <c:v>12.150000000000183</c:v>
                </c:pt>
                <c:pt idx="730">
                  <c:v>12.166666666666851</c:v>
                </c:pt>
                <c:pt idx="731">
                  <c:v>12.183333333333518</c:v>
                </c:pt>
                <c:pt idx="732">
                  <c:v>12.200000000000186</c:v>
                </c:pt>
                <c:pt idx="733">
                  <c:v>12.216666666666853</c:v>
                </c:pt>
                <c:pt idx="734">
                  <c:v>12.233333333333521</c:v>
                </c:pt>
                <c:pt idx="735">
                  <c:v>12.250000000000188</c:v>
                </c:pt>
                <c:pt idx="736">
                  <c:v>12.266666666666856</c:v>
                </c:pt>
                <c:pt idx="737">
                  <c:v>12.283333333333523</c:v>
                </c:pt>
                <c:pt idx="738">
                  <c:v>12.300000000000191</c:v>
                </c:pt>
                <c:pt idx="739">
                  <c:v>12.316666666666858</c:v>
                </c:pt>
                <c:pt idx="740">
                  <c:v>12.333333333333526</c:v>
                </c:pt>
                <c:pt idx="741">
                  <c:v>12.350000000000193</c:v>
                </c:pt>
                <c:pt idx="742">
                  <c:v>12.366666666666861</c:v>
                </c:pt>
                <c:pt idx="743">
                  <c:v>12.383333333333528</c:v>
                </c:pt>
                <c:pt idx="744">
                  <c:v>12.400000000000196</c:v>
                </c:pt>
                <c:pt idx="745">
                  <c:v>12.416666666666863</c:v>
                </c:pt>
                <c:pt idx="746">
                  <c:v>12.433333333333531</c:v>
                </c:pt>
                <c:pt idx="747">
                  <c:v>12.450000000000198</c:v>
                </c:pt>
                <c:pt idx="748">
                  <c:v>12.466666666666866</c:v>
                </c:pt>
                <c:pt idx="749">
                  <c:v>12.483333333333533</c:v>
                </c:pt>
                <c:pt idx="750">
                  <c:v>12.500000000000201</c:v>
                </c:pt>
                <c:pt idx="751">
                  <c:v>12.516666666666868</c:v>
                </c:pt>
                <c:pt idx="752">
                  <c:v>12.533333333333536</c:v>
                </c:pt>
                <c:pt idx="753">
                  <c:v>12.550000000000203</c:v>
                </c:pt>
                <c:pt idx="754">
                  <c:v>12.566666666666871</c:v>
                </c:pt>
                <c:pt idx="755">
                  <c:v>12.583333333333538</c:v>
                </c:pt>
                <c:pt idx="756">
                  <c:v>12.600000000000206</c:v>
                </c:pt>
                <c:pt idx="757">
                  <c:v>12.616666666666873</c:v>
                </c:pt>
                <c:pt idx="758">
                  <c:v>12.633333333333541</c:v>
                </c:pt>
                <c:pt idx="759">
                  <c:v>12.650000000000208</c:v>
                </c:pt>
                <c:pt idx="760">
                  <c:v>12.666666666666876</c:v>
                </c:pt>
                <c:pt idx="761">
                  <c:v>12.683333333333543</c:v>
                </c:pt>
                <c:pt idx="762">
                  <c:v>12.700000000000211</c:v>
                </c:pt>
                <c:pt idx="763">
                  <c:v>12.716666666666878</c:v>
                </c:pt>
                <c:pt idx="764">
                  <c:v>12.733333333333546</c:v>
                </c:pt>
                <c:pt idx="765">
                  <c:v>12.750000000000213</c:v>
                </c:pt>
                <c:pt idx="766">
                  <c:v>12.766666666666881</c:v>
                </c:pt>
                <c:pt idx="767">
                  <c:v>12.783333333333548</c:v>
                </c:pt>
                <c:pt idx="768">
                  <c:v>12.800000000000216</c:v>
                </c:pt>
                <c:pt idx="769">
                  <c:v>12.816666666666883</c:v>
                </c:pt>
                <c:pt idx="770">
                  <c:v>12.833333333333551</c:v>
                </c:pt>
                <c:pt idx="771">
                  <c:v>12.850000000000218</c:v>
                </c:pt>
                <c:pt idx="772">
                  <c:v>12.866666666666886</c:v>
                </c:pt>
                <c:pt idx="773">
                  <c:v>12.883333333333553</c:v>
                </c:pt>
                <c:pt idx="774">
                  <c:v>12.900000000000221</c:v>
                </c:pt>
                <c:pt idx="775">
                  <c:v>12.916666666666888</c:v>
                </c:pt>
                <c:pt idx="776">
                  <c:v>12.933333333333556</c:v>
                </c:pt>
                <c:pt idx="777">
                  <c:v>12.950000000000223</c:v>
                </c:pt>
                <c:pt idx="778">
                  <c:v>12.966666666666891</c:v>
                </c:pt>
                <c:pt idx="779">
                  <c:v>12.983333333333558</c:v>
                </c:pt>
                <c:pt idx="780">
                  <c:v>13.000000000000226</c:v>
                </c:pt>
                <c:pt idx="781">
                  <c:v>13.016666666666893</c:v>
                </c:pt>
                <c:pt idx="782">
                  <c:v>13.033333333333561</c:v>
                </c:pt>
                <c:pt idx="783">
                  <c:v>13.050000000000228</c:v>
                </c:pt>
                <c:pt idx="784">
                  <c:v>13.066666666666896</c:v>
                </c:pt>
                <c:pt idx="785">
                  <c:v>13.083333333333563</c:v>
                </c:pt>
                <c:pt idx="786">
                  <c:v>13.100000000000231</c:v>
                </c:pt>
                <c:pt idx="787">
                  <c:v>13.116666666666898</c:v>
                </c:pt>
                <c:pt idx="788">
                  <c:v>13.133333333333566</c:v>
                </c:pt>
                <c:pt idx="789">
                  <c:v>13.150000000000233</c:v>
                </c:pt>
                <c:pt idx="790">
                  <c:v>13.166666666666901</c:v>
                </c:pt>
                <c:pt idx="791">
                  <c:v>13.183333333333568</c:v>
                </c:pt>
                <c:pt idx="792">
                  <c:v>13.200000000000236</c:v>
                </c:pt>
                <c:pt idx="793">
                  <c:v>13.216666666666903</c:v>
                </c:pt>
                <c:pt idx="794">
                  <c:v>13.233333333333571</c:v>
                </c:pt>
                <c:pt idx="795">
                  <c:v>13.250000000000238</c:v>
                </c:pt>
                <c:pt idx="796">
                  <c:v>13.266666666666906</c:v>
                </c:pt>
                <c:pt idx="797">
                  <c:v>13.283333333333573</c:v>
                </c:pt>
                <c:pt idx="798">
                  <c:v>13.300000000000241</c:v>
                </c:pt>
                <c:pt idx="799">
                  <c:v>13.316666666666908</c:v>
                </c:pt>
                <c:pt idx="800">
                  <c:v>13.333333333333576</c:v>
                </c:pt>
                <c:pt idx="801">
                  <c:v>13.350000000000243</c:v>
                </c:pt>
                <c:pt idx="802">
                  <c:v>13.366666666666911</c:v>
                </c:pt>
                <c:pt idx="803">
                  <c:v>13.383333333333578</c:v>
                </c:pt>
                <c:pt idx="804">
                  <c:v>13.400000000000245</c:v>
                </c:pt>
                <c:pt idx="805">
                  <c:v>13.416666666666913</c:v>
                </c:pt>
                <c:pt idx="806">
                  <c:v>13.43333333333358</c:v>
                </c:pt>
                <c:pt idx="807">
                  <c:v>13.450000000000248</c:v>
                </c:pt>
                <c:pt idx="808">
                  <c:v>13.466666666666915</c:v>
                </c:pt>
                <c:pt idx="809">
                  <c:v>13.483333333333583</c:v>
                </c:pt>
                <c:pt idx="810">
                  <c:v>13.50000000000025</c:v>
                </c:pt>
                <c:pt idx="811">
                  <c:v>13.516666666666918</c:v>
                </c:pt>
                <c:pt idx="812">
                  <c:v>13.533333333333585</c:v>
                </c:pt>
                <c:pt idx="813">
                  <c:v>13.550000000000253</c:v>
                </c:pt>
                <c:pt idx="814">
                  <c:v>13.56666666666692</c:v>
                </c:pt>
                <c:pt idx="815">
                  <c:v>13.583333333333588</c:v>
                </c:pt>
                <c:pt idx="816">
                  <c:v>13.600000000000255</c:v>
                </c:pt>
                <c:pt idx="817">
                  <c:v>13.616666666666923</c:v>
                </c:pt>
                <c:pt idx="818">
                  <c:v>13.63333333333359</c:v>
                </c:pt>
                <c:pt idx="819">
                  <c:v>13.650000000000258</c:v>
                </c:pt>
                <c:pt idx="820">
                  <c:v>13.666666666666925</c:v>
                </c:pt>
                <c:pt idx="821">
                  <c:v>13.683333333333593</c:v>
                </c:pt>
                <c:pt idx="822">
                  <c:v>13.70000000000026</c:v>
                </c:pt>
                <c:pt idx="823">
                  <c:v>13.716666666666928</c:v>
                </c:pt>
                <c:pt idx="824">
                  <c:v>13.733333333333595</c:v>
                </c:pt>
                <c:pt idx="825">
                  <c:v>13.750000000000263</c:v>
                </c:pt>
                <c:pt idx="826">
                  <c:v>13.76666666666693</c:v>
                </c:pt>
                <c:pt idx="827">
                  <c:v>13.783333333333598</c:v>
                </c:pt>
                <c:pt idx="828">
                  <c:v>13.800000000000265</c:v>
                </c:pt>
                <c:pt idx="829">
                  <c:v>13.816666666666933</c:v>
                </c:pt>
                <c:pt idx="830">
                  <c:v>13.8333333333336</c:v>
                </c:pt>
                <c:pt idx="831">
                  <c:v>13.850000000000268</c:v>
                </c:pt>
                <c:pt idx="832">
                  <c:v>13.866666666666935</c:v>
                </c:pt>
                <c:pt idx="833">
                  <c:v>13.883333333333603</c:v>
                </c:pt>
                <c:pt idx="834">
                  <c:v>13.90000000000027</c:v>
                </c:pt>
                <c:pt idx="835">
                  <c:v>13.916666666666938</c:v>
                </c:pt>
                <c:pt idx="836">
                  <c:v>13.933333333333605</c:v>
                </c:pt>
                <c:pt idx="837">
                  <c:v>13.950000000000273</c:v>
                </c:pt>
                <c:pt idx="838">
                  <c:v>13.96666666666694</c:v>
                </c:pt>
                <c:pt idx="839">
                  <c:v>13.983333333333608</c:v>
                </c:pt>
                <c:pt idx="840">
                  <c:v>14.000000000000275</c:v>
                </c:pt>
                <c:pt idx="841">
                  <c:v>14.016666666666943</c:v>
                </c:pt>
                <c:pt idx="842">
                  <c:v>14.03333333333361</c:v>
                </c:pt>
                <c:pt idx="843">
                  <c:v>14.050000000000278</c:v>
                </c:pt>
                <c:pt idx="844">
                  <c:v>14.066666666666945</c:v>
                </c:pt>
                <c:pt idx="845">
                  <c:v>14.083333333333613</c:v>
                </c:pt>
                <c:pt idx="846">
                  <c:v>14.10000000000028</c:v>
                </c:pt>
                <c:pt idx="847">
                  <c:v>14.116666666666948</c:v>
                </c:pt>
                <c:pt idx="848">
                  <c:v>14.133333333333615</c:v>
                </c:pt>
                <c:pt idx="849">
                  <c:v>14.150000000000283</c:v>
                </c:pt>
                <c:pt idx="850">
                  <c:v>14.16666666666695</c:v>
                </c:pt>
                <c:pt idx="851">
                  <c:v>14.183333333333618</c:v>
                </c:pt>
                <c:pt idx="852">
                  <c:v>14.200000000000285</c:v>
                </c:pt>
                <c:pt idx="853">
                  <c:v>14.216666666666953</c:v>
                </c:pt>
                <c:pt idx="854">
                  <c:v>14.23333333333362</c:v>
                </c:pt>
                <c:pt idx="855">
                  <c:v>14.250000000000288</c:v>
                </c:pt>
                <c:pt idx="856">
                  <c:v>14.266666666666955</c:v>
                </c:pt>
                <c:pt idx="857">
                  <c:v>14.283333333333623</c:v>
                </c:pt>
                <c:pt idx="858">
                  <c:v>14.30000000000029</c:v>
                </c:pt>
                <c:pt idx="859">
                  <c:v>14.316666666666958</c:v>
                </c:pt>
                <c:pt idx="860">
                  <c:v>14.333333333333625</c:v>
                </c:pt>
                <c:pt idx="861">
                  <c:v>14.350000000000293</c:v>
                </c:pt>
                <c:pt idx="862">
                  <c:v>14.36666666666696</c:v>
                </c:pt>
                <c:pt idx="863">
                  <c:v>14.383333333333628</c:v>
                </c:pt>
                <c:pt idx="864">
                  <c:v>14.400000000000295</c:v>
                </c:pt>
                <c:pt idx="865">
                  <c:v>14.416666666666963</c:v>
                </c:pt>
                <c:pt idx="866">
                  <c:v>14.43333333333363</c:v>
                </c:pt>
                <c:pt idx="867">
                  <c:v>14.450000000000298</c:v>
                </c:pt>
                <c:pt idx="868">
                  <c:v>14.466666666666965</c:v>
                </c:pt>
                <c:pt idx="869">
                  <c:v>14.483333333333633</c:v>
                </c:pt>
                <c:pt idx="870">
                  <c:v>14.5000000000003</c:v>
                </c:pt>
                <c:pt idx="871">
                  <c:v>14.516666666666968</c:v>
                </c:pt>
                <c:pt idx="872">
                  <c:v>14.533333333333635</c:v>
                </c:pt>
                <c:pt idx="873">
                  <c:v>14.550000000000303</c:v>
                </c:pt>
                <c:pt idx="874">
                  <c:v>14.56666666666697</c:v>
                </c:pt>
                <c:pt idx="875">
                  <c:v>14.583333333333638</c:v>
                </c:pt>
                <c:pt idx="876">
                  <c:v>14.600000000000305</c:v>
                </c:pt>
                <c:pt idx="877">
                  <c:v>14.616666666666973</c:v>
                </c:pt>
                <c:pt idx="878">
                  <c:v>14.63333333333364</c:v>
                </c:pt>
                <c:pt idx="879">
                  <c:v>14.650000000000308</c:v>
                </c:pt>
                <c:pt idx="880">
                  <c:v>14.666666666666975</c:v>
                </c:pt>
                <c:pt idx="881">
                  <c:v>14.683333333333643</c:v>
                </c:pt>
                <c:pt idx="882">
                  <c:v>14.70000000000031</c:v>
                </c:pt>
                <c:pt idx="883">
                  <c:v>14.716666666666978</c:v>
                </c:pt>
                <c:pt idx="884">
                  <c:v>14.733333333333645</c:v>
                </c:pt>
                <c:pt idx="885">
                  <c:v>14.750000000000313</c:v>
                </c:pt>
                <c:pt idx="886">
                  <c:v>14.76666666666698</c:v>
                </c:pt>
                <c:pt idx="887">
                  <c:v>14.783333333333648</c:v>
                </c:pt>
                <c:pt idx="888">
                  <c:v>14.800000000000315</c:v>
                </c:pt>
                <c:pt idx="889">
                  <c:v>14.816666666666983</c:v>
                </c:pt>
                <c:pt idx="890">
                  <c:v>14.83333333333365</c:v>
                </c:pt>
                <c:pt idx="891">
                  <c:v>14.850000000000318</c:v>
                </c:pt>
                <c:pt idx="892">
                  <c:v>14.866666666666985</c:v>
                </c:pt>
                <c:pt idx="893">
                  <c:v>14.883333333333653</c:v>
                </c:pt>
                <c:pt idx="894">
                  <c:v>14.90000000000032</c:v>
                </c:pt>
                <c:pt idx="895">
                  <c:v>14.916666666666988</c:v>
                </c:pt>
                <c:pt idx="896">
                  <c:v>14.933333333333655</c:v>
                </c:pt>
                <c:pt idx="897">
                  <c:v>14.950000000000323</c:v>
                </c:pt>
                <c:pt idx="898">
                  <c:v>14.96666666666699</c:v>
                </c:pt>
                <c:pt idx="899">
                  <c:v>14.983333333333658</c:v>
                </c:pt>
                <c:pt idx="900">
                  <c:v>15.000000000000325</c:v>
                </c:pt>
                <c:pt idx="901">
                  <c:v>15.016666666666993</c:v>
                </c:pt>
                <c:pt idx="902">
                  <c:v>15.03333333333366</c:v>
                </c:pt>
                <c:pt idx="903">
                  <c:v>15.050000000000328</c:v>
                </c:pt>
                <c:pt idx="904">
                  <c:v>15.066666666666995</c:v>
                </c:pt>
                <c:pt idx="905">
                  <c:v>15.083333333333663</c:v>
                </c:pt>
                <c:pt idx="906">
                  <c:v>15.10000000000033</c:v>
                </c:pt>
                <c:pt idx="907">
                  <c:v>15.116666666666998</c:v>
                </c:pt>
                <c:pt idx="908">
                  <c:v>15.133333333333665</c:v>
                </c:pt>
                <c:pt idx="909">
                  <c:v>15.150000000000333</c:v>
                </c:pt>
                <c:pt idx="910">
                  <c:v>15.166666666667</c:v>
                </c:pt>
                <c:pt idx="911">
                  <c:v>15.183333333333668</c:v>
                </c:pt>
                <c:pt idx="912">
                  <c:v>15.200000000000335</c:v>
                </c:pt>
                <c:pt idx="913">
                  <c:v>15.216666666667003</c:v>
                </c:pt>
                <c:pt idx="914">
                  <c:v>15.23333333333367</c:v>
                </c:pt>
                <c:pt idx="915">
                  <c:v>15.250000000000338</c:v>
                </c:pt>
                <c:pt idx="916">
                  <c:v>15.266666666667005</c:v>
                </c:pt>
                <c:pt idx="917">
                  <c:v>15.283333333333672</c:v>
                </c:pt>
                <c:pt idx="918">
                  <c:v>15.30000000000034</c:v>
                </c:pt>
                <c:pt idx="919">
                  <c:v>15.316666666667007</c:v>
                </c:pt>
                <c:pt idx="920">
                  <c:v>15.333333333333675</c:v>
                </c:pt>
                <c:pt idx="921">
                  <c:v>15.350000000000342</c:v>
                </c:pt>
                <c:pt idx="922">
                  <c:v>15.36666666666701</c:v>
                </c:pt>
                <c:pt idx="923">
                  <c:v>15.383333333333677</c:v>
                </c:pt>
                <c:pt idx="924">
                  <c:v>15.400000000000345</c:v>
                </c:pt>
                <c:pt idx="925">
                  <c:v>15.416666666667012</c:v>
                </c:pt>
                <c:pt idx="926">
                  <c:v>15.43333333333368</c:v>
                </c:pt>
                <c:pt idx="927">
                  <c:v>15.450000000000347</c:v>
                </c:pt>
                <c:pt idx="928">
                  <c:v>15.466666666667015</c:v>
                </c:pt>
                <c:pt idx="929">
                  <c:v>15.483333333333682</c:v>
                </c:pt>
                <c:pt idx="930">
                  <c:v>15.50000000000035</c:v>
                </c:pt>
                <c:pt idx="931">
                  <c:v>15.516666666667017</c:v>
                </c:pt>
                <c:pt idx="932">
                  <c:v>15.533333333333685</c:v>
                </c:pt>
                <c:pt idx="933">
                  <c:v>15.550000000000352</c:v>
                </c:pt>
                <c:pt idx="934">
                  <c:v>15.56666666666702</c:v>
                </c:pt>
                <c:pt idx="935">
                  <c:v>15.583333333333687</c:v>
                </c:pt>
                <c:pt idx="936">
                  <c:v>15.600000000000355</c:v>
                </c:pt>
                <c:pt idx="937">
                  <c:v>15.616666666667022</c:v>
                </c:pt>
                <c:pt idx="938">
                  <c:v>15.63333333333369</c:v>
                </c:pt>
                <c:pt idx="939">
                  <c:v>15.650000000000357</c:v>
                </c:pt>
                <c:pt idx="940">
                  <c:v>15.666666666667025</c:v>
                </c:pt>
                <c:pt idx="941">
                  <c:v>15.683333333333692</c:v>
                </c:pt>
                <c:pt idx="942">
                  <c:v>15.70000000000036</c:v>
                </c:pt>
                <c:pt idx="943">
                  <c:v>15.716666666667027</c:v>
                </c:pt>
                <c:pt idx="944">
                  <c:v>15.733333333333695</c:v>
                </c:pt>
                <c:pt idx="945">
                  <c:v>15.750000000000362</c:v>
                </c:pt>
                <c:pt idx="946">
                  <c:v>15.76666666666703</c:v>
                </c:pt>
                <c:pt idx="947">
                  <c:v>15.783333333333697</c:v>
                </c:pt>
                <c:pt idx="948">
                  <c:v>15.800000000000365</c:v>
                </c:pt>
                <c:pt idx="949">
                  <c:v>15.816666666667032</c:v>
                </c:pt>
                <c:pt idx="950">
                  <c:v>15.8333333333337</c:v>
                </c:pt>
                <c:pt idx="951">
                  <c:v>15.850000000000367</c:v>
                </c:pt>
                <c:pt idx="952">
                  <c:v>15.866666666667035</c:v>
                </c:pt>
                <c:pt idx="953">
                  <c:v>15.883333333333702</c:v>
                </c:pt>
                <c:pt idx="954">
                  <c:v>15.90000000000037</c:v>
                </c:pt>
                <c:pt idx="955">
                  <c:v>15.916666666667037</c:v>
                </c:pt>
                <c:pt idx="956">
                  <c:v>15.933333333333705</c:v>
                </c:pt>
                <c:pt idx="957">
                  <c:v>15.950000000000372</c:v>
                </c:pt>
                <c:pt idx="958">
                  <c:v>15.96666666666704</c:v>
                </c:pt>
                <c:pt idx="959">
                  <c:v>15.983333333333707</c:v>
                </c:pt>
                <c:pt idx="960">
                  <c:v>16.000000000000373</c:v>
                </c:pt>
                <c:pt idx="961">
                  <c:v>16.016666666667039</c:v>
                </c:pt>
                <c:pt idx="962">
                  <c:v>16.033333333333704</c:v>
                </c:pt>
                <c:pt idx="963">
                  <c:v>16.05000000000037</c:v>
                </c:pt>
                <c:pt idx="964">
                  <c:v>16.066666666667036</c:v>
                </c:pt>
                <c:pt idx="965">
                  <c:v>16.083333333333702</c:v>
                </c:pt>
                <c:pt idx="966">
                  <c:v>16.100000000000367</c:v>
                </c:pt>
                <c:pt idx="967">
                  <c:v>16.116666666667033</c:v>
                </c:pt>
                <c:pt idx="968">
                  <c:v>16.133333333333699</c:v>
                </c:pt>
                <c:pt idx="969">
                  <c:v>16.150000000000365</c:v>
                </c:pt>
                <c:pt idx="970">
                  <c:v>16.16666666666703</c:v>
                </c:pt>
                <c:pt idx="971">
                  <c:v>16.183333333333696</c:v>
                </c:pt>
                <c:pt idx="972">
                  <c:v>16.200000000000362</c:v>
                </c:pt>
                <c:pt idx="973">
                  <c:v>16.216666666667027</c:v>
                </c:pt>
                <c:pt idx="974">
                  <c:v>16.233333333333693</c:v>
                </c:pt>
                <c:pt idx="975">
                  <c:v>16.250000000000359</c:v>
                </c:pt>
                <c:pt idx="976">
                  <c:v>16.266666666667025</c:v>
                </c:pt>
                <c:pt idx="977">
                  <c:v>16.28333333333369</c:v>
                </c:pt>
                <c:pt idx="978">
                  <c:v>16.300000000000356</c:v>
                </c:pt>
                <c:pt idx="979">
                  <c:v>16.316666666667022</c:v>
                </c:pt>
                <c:pt idx="980">
                  <c:v>16.333333333333687</c:v>
                </c:pt>
                <c:pt idx="981">
                  <c:v>16.350000000000353</c:v>
                </c:pt>
                <c:pt idx="982">
                  <c:v>16.366666666667019</c:v>
                </c:pt>
                <c:pt idx="983">
                  <c:v>16.383333333333685</c:v>
                </c:pt>
                <c:pt idx="984">
                  <c:v>16.40000000000035</c:v>
                </c:pt>
                <c:pt idx="985">
                  <c:v>16.416666666667016</c:v>
                </c:pt>
                <c:pt idx="986">
                  <c:v>16.433333333333682</c:v>
                </c:pt>
                <c:pt idx="987">
                  <c:v>16.450000000000347</c:v>
                </c:pt>
                <c:pt idx="988">
                  <c:v>16.466666666667013</c:v>
                </c:pt>
                <c:pt idx="989">
                  <c:v>16.483333333333679</c:v>
                </c:pt>
                <c:pt idx="990">
                  <c:v>16.500000000000345</c:v>
                </c:pt>
                <c:pt idx="991">
                  <c:v>16.51666666666701</c:v>
                </c:pt>
                <c:pt idx="992">
                  <c:v>16.533333333333676</c:v>
                </c:pt>
                <c:pt idx="993">
                  <c:v>16.550000000000342</c:v>
                </c:pt>
                <c:pt idx="994">
                  <c:v>16.566666666667007</c:v>
                </c:pt>
                <c:pt idx="995">
                  <c:v>16.583333333333673</c:v>
                </c:pt>
                <c:pt idx="996">
                  <c:v>16.600000000000339</c:v>
                </c:pt>
                <c:pt idx="997">
                  <c:v>16.616666666667005</c:v>
                </c:pt>
                <c:pt idx="998">
                  <c:v>16.63333333333367</c:v>
                </c:pt>
                <c:pt idx="999">
                  <c:v>16.650000000000336</c:v>
                </c:pt>
                <c:pt idx="1000">
                  <c:v>16.666666666667002</c:v>
                </c:pt>
                <c:pt idx="1001">
                  <c:v>16.683333333333668</c:v>
                </c:pt>
                <c:pt idx="1002">
                  <c:v>16.700000000000333</c:v>
                </c:pt>
                <c:pt idx="1003">
                  <c:v>16.716666666666999</c:v>
                </c:pt>
                <c:pt idx="1004">
                  <c:v>16.733333333333665</c:v>
                </c:pt>
                <c:pt idx="1005">
                  <c:v>16.75000000000033</c:v>
                </c:pt>
                <c:pt idx="1006">
                  <c:v>16.766666666666996</c:v>
                </c:pt>
                <c:pt idx="1007">
                  <c:v>16.783333333333662</c:v>
                </c:pt>
                <c:pt idx="1008">
                  <c:v>16.800000000000328</c:v>
                </c:pt>
                <c:pt idx="1009">
                  <c:v>16.816666666666993</c:v>
                </c:pt>
                <c:pt idx="1010">
                  <c:v>16.833333333333659</c:v>
                </c:pt>
                <c:pt idx="1011">
                  <c:v>16.850000000000325</c:v>
                </c:pt>
                <c:pt idx="1012">
                  <c:v>16.86666666666699</c:v>
                </c:pt>
                <c:pt idx="1013">
                  <c:v>16.883333333333656</c:v>
                </c:pt>
                <c:pt idx="1014">
                  <c:v>16.900000000000322</c:v>
                </c:pt>
                <c:pt idx="1015">
                  <c:v>16.916666666666988</c:v>
                </c:pt>
                <c:pt idx="1016">
                  <c:v>16.933333333333653</c:v>
                </c:pt>
                <c:pt idx="1017">
                  <c:v>16.950000000000319</c:v>
                </c:pt>
                <c:pt idx="1018">
                  <c:v>16.966666666666985</c:v>
                </c:pt>
                <c:pt idx="1019">
                  <c:v>16.98333333333365</c:v>
                </c:pt>
                <c:pt idx="1020">
                  <c:v>17.000000000000316</c:v>
                </c:pt>
                <c:pt idx="1021">
                  <c:v>17.016666666666982</c:v>
                </c:pt>
                <c:pt idx="1022">
                  <c:v>17.033333333333648</c:v>
                </c:pt>
                <c:pt idx="1023">
                  <c:v>17.050000000000313</c:v>
                </c:pt>
                <c:pt idx="1024">
                  <c:v>17.066666666666979</c:v>
                </c:pt>
                <c:pt idx="1025">
                  <c:v>17.083333333333645</c:v>
                </c:pt>
                <c:pt idx="1026">
                  <c:v>17.100000000000311</c:v>
                </c:pt>
                <c:pt idx="1027">
                  <c:v>17.116666666666976</c:v>
                </c:pt>
                <c:pt idx="1028">
                  <c:v>17.133333333333642</c:v>
                </c:pt>
                <c:pt idx="1029">
                  <c:v>17.150000000000308</c:v>
                </c:pt>
                <c:pt idx="1030">
                  <c:v>17.166666666666973</c:v>
                </c:pt>
                <c:pt idx="1031">
                  <c:v>17.183333333333639</c:v>
                </c:pt>
                <c:pt idx="1032">
                  <c:v>17.200000000000305</c:v>
                </c:pt>
                <c:pt idx="1033">
                  <c:v>17.216666666666971</c:v>
                </c:pt>
                <c:pt idx="1034">
                  <c:v>17.233333333333636</c:v>
                </c:pt>
                <c:pt idx="1035">
                  <c:v>17.250000000000302</c:v>
                </c:pt>
                <c:pt idx="1036">
                  <c:v>17.266666666666968</c:v>
                </c:pt>
                <c:pt idx="1037">
                  <c:v>17.283333333333633</c:v>
                </c:pt>
                <c:pt idx="1038">
                  <c:v>17.300000000000299</c:v>
                </c:pt>
                <c:pt idx="1039">
                  <c:v>17.316666666666965</c:v>
                </c:pt>
                <c:pt idx="1040">
                  <c:v>17.333333333333631</c:v>
                </c:pt>
                <c:pt idx="1041">
                  <c:v>17.350000000000296</c:v>
                </c:pt>
                <c:pt idx="1042">
                  <c:v>17.366666666666962</c:v>
                </c:pt>
                <c:pt idx="1043">
                  <c:v>17.383333333333628</c:v>
                </c:pt>
                <c:pt idx="1044">
                  <c:v>17.400000000000293</c:v>
                </c:pt>
                <c:pt idx="1045">
                  <c:v>17.416666666666959</c:v>
                </c:pt>
                <c:pt idx="1046">
                  <c:v>17.433333333333625</c:v>
                </c:pt>
                <c:pt idx="1047">
                  <c:v>17.450000000000291</c:v>
                </c:pt>
                <c:pt idx="1048">
                  <c:v>17.466666666666956</c:v>
                </c:pt>
                <c:pt idx="1049">
                  <c:v>17.483333333333622</c:v>
                </c:pt>
                <c:pt idx="1050">
                  <c:v>17.500000000000288</c:v>
                </c:pt>
                <c:pt idx="1051">
                  <c:v>17.516666666666953</c:v>
                </c:pt>
                <c:pt idx="1052">
                  <c:v>17.533333333333619</c:v>
                </c:pt>
                <c:pt idx="1053">
                  <c:v>17.550000000000285</c:v>
                </c:pt>
                <c:pt idx="1054">
                  <c:v>17.566666666666951</c:v>
                </c:pt>
                <c:pt idx="1055">
                  <c:v>17.583333333333616</c:v>
                </c:pt>
                <c:pt idx="1056">
                  <c:v>17.600000000000282</c:v>
                </c:pt>
                <c:pt idx="1057">
                  <c:v>17.616666666666948</c:v>
                </c:pt>
                <c:pt idx="1058">
                  <c:v>17.633333333333614</c:v>
                </c:pt>
                <c:pt idx="1059">
                  <c:v>17.650000000000279</c:v>
                </c:pt>
                <c:pt idx="1060">
                  <c:v>17.666666666666945</c:v>
                </c:pt>
                <c:pt idx="1061">
                  <c:v>17.683333333333611</c:v>
                </c:pt>
                <c:pt idx="1062">
                  <c:v>17.700000000000276</c:v>
                </c:pt>
                <c:pt idx="1063">
                  <c:v>17.716666666666942</c:v>
                </c:pt>
                <c:pt idx="1064">
                  <c:v>17.733333333333608</c:v>
                </c:pt>
                <c:pt idx="1065">
                  <c:v>17.750000000000274</c:v>
                </c:pt>
                <c:pt idx="1066">
                  <c:v>17.766666666666939</c:v>
                </c:pt>
                <c:pt idx="1067">
                  <c:v>17.783333333333605</c:v>
                </c:pt>
                <c:pt idx="1068">
                  <c:v>17.800000000000271</c:v>
                </c:pt>
                <c:pt idx="1069">
                  <c:v>17.816666666666936</c:v>
                </c:pt>
                <c:pt idx="1070">
                  <c:v>17.833333333333602</c:v>
                </c:pt>
                <c:pt idx="1071">
                  <c:v>17.850000000000268</c:v>
                </c:pt>
                <c:pt idx="1072">
                  <c:v>17.866666666666934</c:v>
                </c:pt>
                <c:pt idx="1073">
                  <c:v>17.883333333333599</c:v>
                </c:pt>
                <c:pt idx="1074">
                  <c:v>17.900000000000265</c:v>
                </c:pt>
                <c:pt idx="1075">
                  <c:v>17.916666666666931</c:v>
                </c:pt>
                <c:pt idx="1076">
                  <c:v>17.933333333333596</c:v>
                </c:pt>
                <c:pt idx="1077">
                  <c:v>17.950000000000262</c:v>
                </c:pt>
                <c:pt idx="1078">
                  <c:v>17.966666666666928</c:v>
                </c:pt>
                <c:pt idx="1079">
                  <c:v>17.983333333333594</c:v>
                </c:pt>
                <c:pt idx="1080">
                  <c:v>18.000000000000259</c:v>
                </c:pt>
                <c:pt idx="1081">
                  <c:v>18.016666666666925</c:v>
                </c:pt>
                <c:pt idx="1082">
                  <c:v>18.033333333333591</c:v>
                </c:pt>
                <c:pt idx="1083">
                  <c:v>18.050000000000257</c:v>
                </c:pt>
                <c:pt idx="1084">
                  <c:v>18.066666666666922</c:v>
                </c:pt>
                <c:pt idx="1085">
                  <c:v>18.083333333333588</c:v>
                </c:pt>
                <c:pt idx="1086">
                  <c:v>18.100000000000254</c:v>
                </c:pt>
                <c:pt idx="1087">
                  <c:v>18.116666666666919</c:v>
                </c:pt>
                <c:pt idx="1088">
                  <c:v>18.133333333333585</c:v>
                </c:pt>
                <c:pt idx="1089">
                  <c:v>18.150000000000251</c:v>
                </c:pt>
                <c:pt idx="1090">
                  <c:v>18.166666666666917</c:v>
                </c:pt>
                <c:pt idx="1091">
                  <c:v>18.183333333333582</c:v>
                </c:pt>
                <c:pt idx="1092">
                  <c:v>18.200000000000248</c:v>
                </c:pt>
                <c:pt idx="1093">
                  <c:v>18.216666666666914</c:v>
                </c:pt>
                <c:pt idx="1094">
                  <c:v>18.233333333333579</c:v>
                </c:pt>
                <c:pt idx="1095">
                  <c:v>18.250000000000245</c:v>
                </c:pt>
                <c:pt idx="1096">
                  <c:v>18.266666666666911</c:v>
                </c:pt>
                <c:pt idx="1097">
                  <c:v>18.283333333333577</c:v>
                </c:pt>
                <c:pt idx="1098">
                  <c:v>18.300000000000242</c:v>
                </c:pt>
                <c:pt idx="1099">
                  <c:v>18.316666666666908</c:v>
                </c:pt>
                <c:pt idx="1100">
                  <c:v>18.333333333333574</c:v>
                </c:pt>
                <c:pt idx="1101">
                  <c:v>18.350000000000239</c:v>
                </c:pt>
                <c:pt idx="1102">
                  <c:v>18.366666666666905</c:v>
                </c:pt>
                <c:pt idx="1103">
                  <c:v>18.383333333333571</c:v>
                </c:pt>
                <c:pt idx="1104">
                  <c:v>18.400000000000237</c:v>
                </c:pt>
                <c:pt idx="1105">
                  <c:v>18.416666666666902</c:v>
                </c:pt>
                <c:pt idx="1106">
                  <c:v>18.433333333333568</c:v>
                </c:pt>
                <c:pt idx="1107">
                  <c:v>18.450000000000234</c:v>
                </c:pt>
                <c:pt idx="1108">
                  <c:v>18.466666666666899</c:v>
                </c:pt>
                <c:pt idx="1109">
                  <c:v>18.483333333333565</c:v>
                </c:pt>
                <c:pt idx="1110">
                  <c:v>18.500000000000231</c:v>
                </c:pt>
                <c:pt idx="1111">
                  <c:v>18.516666666666897</c:v>
                </c:pt>
                <c:pt idx="1112">
                  <c:v>18.533333333333562</c:v>
                </c:pt>
                <c:pt idx="1113">
                  <c:v>18.550000000000228</c:v>
                </c:pt>
                <c:pt idx="1114">
                  <c:v>18.566666666666894</c:v>
                </c:pt>
                <c:pt idx="1115">
                  <c:v>18.58333333333356</c:v>
                </c:pt>
                <c:pt idx="1116">
                  <c:v>18.600000000000225</c:v>
                </c:pt>
                <c:pt idx="1117">
                  <c:v>18.616666666666891</c:v>
                </c:pt>
                <c:pt idx="1118">
                  <c:v>18.633333333333557</c:v>
                </c:pt>
                <c:pt idx="1119">
                  <c:v>18.650000000000222</c:v>
                </c:pt>
                <c:pt idx="1120">
                  <c:v>18.666666666666888</c:v>
                </c:pt>
                <c:pt idx="1121">
                  <c:v>18.683333333333554</c:v>
                </c:pt>
                <c:pt idx="1122">
                  <c:v>18.70000000000022</c:v>
                </c:pt>
                <c:pt idx="1123">
                  <c:v>18.716666666666885</c:v>
                </c:pt>
                <c:pt idx="1124">
                  <c:v>18.733333333333551</c:v>
                </c:pt>
                <c:pt idx="1125">
                  <c:v>18.750000000000217</c:v>
                </c:pt>
                <c:pt idx="1126">
                  <c:v>18.766666666666882</c:v>
                </c:pt>
                <c:pt idx="1127">
                  <c:v>18.783333333333548</c:v>
                </c:pt>
                <c:pt idx="1128">
                  <c:v>18.800000000000214</c:v>
                </c:pt>
                <c:pt idx="1129">
                  <c:v>18.81666666666688</c:v>
                </c:pt>
                <c:pt idx="1130">
                  <c:v>18.833333333333545</c:v>
                </c:pt>
                <c:pt idx="1131">
                  <c:v>18.850000000000211</c:v>
                </c:pt>
                <c:pt idx="1132">
                  <c:v>18.866666666666877</c:v>
                </c:pt>
                <c:pt idx="1133">
                  <c:v>18.883333333333542</c:v>
                </c:pt>
                <c:pt idx="1134">
                  <c:v>18.900000000000208</c:v>
                </c:pt>
                <c:pt idx="1135">
                  <c:v>18.916666666666874</c:v>
                </c:pt>
                <c:pt idx="1136">
                  <c:v>18.93333333333354</c:v>
                </c:pt>
                <c:pt idx="1137">
                  <c:v>18.950000000000205</c:v>
                </c:pt>
                <c:pt idx="1138">
                  <c:v>18.966666666666871</c:v>
                </c:pt>
                <c:pt idx="1139">
                  <c:v>18.983333333333537</c:v>
                </c:pt>
                <c:pt idx="1140">
                  <c:v>19.000000000000203</c:v>
                </c:pt>
                <c:pt idx="1141">
                  <c:v>19.016666666666868</c:v>
                </c:pt>
                <c:pt idx="1142">
                  <c:v>19.033333333333534</c:v>
                </c:pt>
                <c:pt idx="1143">
                  <c:v>19.0500000000002</c:v>
                </c:pt>
                <c:pt idx="1144">
                  <c:v>19.066666666666865</c:v>
                </c:pt>
                <c:pt idx="1145">
                  <c:v>19.083333333333531</c:v>
                </c:pt>
                <c:pt idx="1146">
                  <c:v>19.100000000000197</c:v>
                </c:pt>
                <c:pt idx="1147">
                  <c:v>19.116666666666863</c:v>
                </c:pt>
                <c:pt idx="1148">
                  <c:v>19.133333333333528</c:v>
                </c:pt>
                <c:pt idx="1149">
                  <c:v>19.150000000000194</c:v>
                </c:pt>
                <c:pt idx="1150">
                  <c:v>19.16666666666686</c:v>
                </c:pt>
                <c:pt idx="1151">
                  <c:v>19.183333333333525</c:v>
                </c:pt>
                <c:pt idx="1152">
                  <c:v>19.200000000000191</c:v>
                </c:pt>
                <c:pt idx="1153">
                  <c:v>19.216666666666857</c:v>
                </c:pt>
                <c:pt idx="1154">
                  <c:v>19.233333333333523</c:v>
                </c:pt>
                <c:pt idx="1155">
                  <c:v>19.250000000000188</c:v>
                </c:pt>
                <c:pt idx="1156">
                  <c:v>19.266666666666854</c:v>
                </c:pt>
                <c:pt idx="1157">
                  <c:v>19.28333333333352</c:v>
                </c:pt>
                <c:pt idx="1158">
                  <c:v>19.300000000000185</c:v>
                </c:pt>
                <c:pt idx="1159">
                  <c:v>19.316666666666851</c:v>
                </c:pt>
                <c:pt idx="1160">
                  <c:v>19.333333333333517</c:v>
                </c:pt>
                <c:pt idx="1161">
                  <c:v>19.350000000000183</c:v>
                </c:pt>
                <c:pt idx="1162">
                  <c:v>19.366666666666848</c:v>
                </c:pt>
                <c:pt idx="1163">
                  <c:v>19.383333333333514</c:v>
                </c:pt>
                <c:pt idx="1164">
                  <c:v>19.40000000000018</c:v>
                </c:pt>
                <c:pt idx="1165">
                  <c:v>19.416666666666845</c:v>
                </c:pt>
                <c:pt idx="1166">
                  <c:v>19.433333333333511</c:v>
                </c:pt>
                <c:pt idx="1167">
                  <c:v>19.450000000000177</c:v>
                </c:pt>
                <c:pt idx="1168">
                  <c:v>19.466666666666843</c:v>
                </c:pt>
                <c:pt idx="1169">
                  <c:v>19.483333333333508</c:v>
                </c:pt>
                <c:pt idx="1170">
                  <c:v>19.500000000000174</c:v>
                </c:pt>
                <c:pt idx="1171">
                  <c:v>19.51666666666684</c:v>
                </c:pt>
                <c:pt idx="1172">
                  <c:v>19.533333333333506</c:v>
                </c:pt>
                <c:pt idx="1173">
                  <c:v>19.550000000000171</c:v>
                </c:pt>
                <c:pt idx="1174">
                  <c:v>19.566666666666837</c:v>
                </c:pt>
                <c:pt idx="1175">
                  <c:v>19.583333333333503</c:v>
                </c:pt>
                <c:pt idx="1176">
                  <c:v>19.600000000000168</c:v>
                </c:pt>
                <c:pt idx="1177">
                  <c:v>19.616666666666834</c:v>
                </c:pt>
                <c:pt idx="1178">
                  <c:v>19.6333333333335</c:v>
                </c:pt>
                <c:pt idx="1179">
                  <c:v>19.650000000000166</c:v>
                </c:pt>
                <c:pt idx="1180">
                  <c:v>19.666666666666831</c:v>
                </c:pt>
                <c:pt idx="1181">
                  <c:v>19.683333333333497</c:v>
                </c:pt>
                <c:pt idx="1182">
                  <c:v>19.700000000000163</c:v>
                </c:pt>
                <c:pt idx="1183">
                  <c:v>19.716666666666828</c:v>
                </c:pt>
                <c:pt idx="1184">
                  <c:v>19.733333333333494</c:v>
                </c:pt>
                <c:pt idx="1185">
                  <c:v>19.75000000000016</c:v>
                </c:pt>
                <c:pt idx="1186">
                  <c:v>19.766666666666826</c:v>
                </c:pt>
                <c:pt idx="1187">
                  <c:v>19.783333333333491</c:v>
                </c:pt>
                <c:pt idx="1188">
                  <c:v>19.800000000000157</c:v>
                </c:pt>
                <c:pt idx="1189">
                  <c:v>19.816666666666823</c:v>
                </c:pt>
                <c:pt idx="1190">
                  <c:v>19.833333333333488</c:v>
                </c:pt>
                <c:pt idx="1191">
                  <c:v>19.850000000000154</c:v>
                </c:pt>
                <c:pt idx="1192">
                  <c:v>19.86666666666682</c:v>
                </c:pt>
                <c:pt idx="1193">
                  <c:v>19.883333333333486</c:v>
                </c:pt>
                <c:pt idx="1194">
                  <c:v>19.900000000000151</c:v>
                </c:pt>
                <c:pt idx="1195">
                  <c:v>19.916666666666817</c:v>
                </c:pt>
                <c:pt idx="1196">
                  <c:v>19.933333333333483</c:v>
                </c:pt>
                <c:pt idx="1197">
                  <c:v>19.950000000000149</c:v>
                </c:pt>
                <c:pt idx="1198">
                  <c:v>19.966666666666814</c:v>
                </c:pt>
                <c:pt idx="1199">
                  <c:v>19.98333333333348</c:v>
                </c:pt>
                <c:pt idx="1200">
                  <c:v>20.000000000000146</c:v>
                </c:pt>
                <c:pt idx="1201">
                  <c:v>20.016666666666811</c:v>
                </c:pt>
                <c:pt idx="1202">
                  <c:v>20.033333333333477</c:v>
                </c:pt>
                <c:pt idx="1203">
                  <c:v>20.050000000000143</c:v>
                </c:pt>
                <c:pt idx="1204">
                  <c:v>20.066666666666809</c:v>
                </c:pt>
                <c:pt idx="1205">
                  <c:v>20.083333333333474</c:v>
                </c:pt>
                <c:pt idx="1206">
                  <c:v>20.10000000000014</c:v>
                </c:pt>
                <c:pt idx="1207">
                  <c:v>20.116666666666806</c:v>
                </c:pt>
                <c:pt idx="1208">
                  <c:v>20.133333333333471</c:v>
                </c:pt>
                <c:pt idx="1209">
                  <c:v>20.150000000000137</c:v>
                </c:pt>
                <c:pt idx="1210">
                  <c:v>20.166666666666803</c:v>
                </c:pt>
                <c:pt idx="1211">
                  <c:v>20.183333333333469</c:v>
                </c:pt>
                <c:pt idx="1212">
                  <c:v>20.200000000000134</c:v>
                </c:pt>
                <c:pt idx="1213">
                  <c:v>20.2166666666668</c:v>
                </c:pt>
                <c:pt idx="1214">
                  <c:v>20.233333333333466</c:v>
                </c:pt>
                <c:pt idx="1215">
                  <c:v>20.250000000000131</c:v>
                </c:pt>
                <c:pt idx="1216">
                  <c:v>20.266666666666797</c:v>
                </c:pt>
                <c:pt idx="1217">
                  <c:v>20.283333333333463</c:v>
                </c:pt>
                <c:pt idx="1218">
                  <c:v>20.300000000000129</c:v>
                </c:pt>
                <c:pt idx="1219">
                  <c:v>20.316666666666794</c:v>
                </c:pt>
                <c:pt idx="1220">
                  <c:v>20.33333333333346</c:v>
                </c:pt>
                <c:pt idx="1221">
                  <c:v>20.350000000000126</c:v>
                </c:pt>
                <c:pt idx="1222">
                  <c:v>20.366666666666791</c:v>
                </c:pt>
                <c:pt idx="1223">
                  <c:v>20.383333333333457</c:v>
                </c:pt>
                <c:pt idx="1224">
                  <c:v>20.400000000000123</c:v>
                </c:pt>
                <c:pt idx="1225">
                  <c:v>20.416666666666789</c:v>
                </c:pt>
                <c:pt idx="1226">
                  <c:v>20.433333333333454</c:v>
                </c:pt>
                <c:pt idx="1227">
                  <c:v>20.45000000000012</c:v>
                </c:pt>
                <c:pt idx="1228">
                  <c:v>20.466666666666786</c:v>
                </c:pt>
                <c:pt idx="1229">
                  <c:v>20.483333333333452</c:v>
                </c:pt>
                <c:pt idx="1230">
                  <c:v>20.500000000000117</c:v>
                </c:pt>
                <c:pt idx="1231">
                  <c:v>20.516666666666783</c:v>
                </c:pt>
                <c:pt idx="1232">
                  <c:v>20.533333333333449</c:v>
                </c:pt>
                <c:pt idx="1233">
                  <c:v>20.550000000000114</c:v>
                </c:pt>
                <c:pt idx="1234">
                  <c:v>20.56666666666678</c:v>
                </c:pt>
                <c:pt idx="1235">
                  <c:v>20.583333333333446</c:v>
                </c:pt>
                <c:pt idx="1236">
                  <c:v>20.600000000000112</c:v>
                </c:pt>
                <c:pt idx="1237">
                  <c:v>20.616666666666777</c:v>
                </c:pt>
                <c:pt idx="1238">
                  <c:v>20.633333333333443</c:v>
                </c:pt>
                <c:pt idx="1239">
                  <c:v>20.650000000000109</c:v>
                </c:pt>
                <c:pt idx="1240">
                  <c:v>20.666666666666774</c:v>
                </c:pt>
                <c:pt idx="1241">
                  <c:v>20.68333333333344</c:v>
                </c:pt>
                <c:pt idx="1242">
                  <c:v>20.700000000000106</c:v>
                </c:pt>
                <c:pt idx="1243">
                  <c:v>20.716666666666772</c:v>
                </c:pt>
                <c:pt idx="1244">
                  <c:v>20.733333333333437</c:v>
                </c:pt>
                <c:pt idx="1245">
                  <c:v>20.750000000000103</c:v>
                </c:pt>
                <c:pt idx="1246">
                  <c:v>20.766666666666769</c:v>
                </c:pt>
                <c:pt idx="1247">
                  <c:v>20.783333333333434</c:v>
                </c:pt>
                <c:pt idx="1248">
                  <c:v>20.8000000000001</c:v>
                </c:pt>
                <c:pt idx="1249">
                  <c:v>20.816666666666766</c:v>
                </c:pt>
                <c:pt idx="1250">
                  <c:v>20.833333333333432</c:v>
                </c:pt>
                <c:pt idx="1251">
                  <c:v>20.850000000000097</c:v>
                </c:pt>
                <c:pt idx="1252">
                  <c:v>20.866666666666763</c:v>
                </c:pt>
                <c:pt idx="1253">
                  <c:v>20.883333333333429</c:v>
                </c:pt>
                <c:pt idx="1254">
                  <c:v>20.900000000000095</c:v>
                </c:pt>
                <c:pt idx="1255">
                  <c:v>20.91666666666676</c:v>
                </c:pt>
                <c:pt idx="1256">
                  <c:v>20.933333333333426</c:v>
                </c:pt>
                <c:pt idx="1257">
                  <c:v>20.950000000000092</c:v>
                </c:pt>
                <c:pt idx="1258">
                  <c:v>20.966666666666757</c:v>
                </c:pt>
                <c:pt idx="1259">
                  <c:v>20.983333333333423</c:v>
                </c:pt>
                <c:pt idx="1260">
                  <c:v>21.000000000000089</c:v>
                </c:pt>
                <c:pt idx="1261">
                  <c:v>21.016666666666755</c:v>
                </c:pt>
                <c:pt idx="1262">
                  <c:v>21.03333333333342</c:v>
                </c:pt>
                <c:pt idx="1263">
                  <c:v>21.050000000000086</c:v>
                </c:pt>
                <c:pt idx="1264">
                  <c:v>21.066666666666752</c:v>
                </c:pt>
                <c:pt idx="1265">
                  <c:v>21.083333333333417</c:v>
                </c:pt>
                <c:pt idx="1266">
                  <c:v>21.100000000000083</c:v>
                </c:pt>
                <c:pt idx="1267">
                  <c:v>21.116666666666749</c:v>
                </c:pt>
                <c:pt idx="1268">
                  <c:v>21.133333333333415</c:v>
                </c:pt>
                <c:pt idx="1269">
                  <c:v>21.15000000000008</c:v>
                </c:pt>
                <c:pt idx="1270">
                  <c:v>21.166666666666746</c:v>
                </c:pt>
                <c:pt idx="1271">
                  <c:v>21.183333333333412</c:v>
                </c:pt>
                <c:pt idx="1272">
                  <c:v>21.200000000000077</c:v>
                </c:pt>
                <c:pt idx="1273">
                  <c:v>21.216666666666743</c:v>
                </c:pt>
                <c:pt idx="1274">
                  <c:v>21.233333333333409</c:v>
                </c:pt>
                <c:pt idx="1275">
                  <c:v>21.250000000000075</c:v>
                </c:pt>
                <c:pt idx="1276">
                  <c:v>21.26666666666674</c:v>
                </c:pt>
                <c:pt idx="1277">
                  <c:v>21.283333333333406</c:v>
                </c:pt>
                <c:pt idx="1278">
                  <c:v>21.300000000000072</c:v>
                </c:pt>
                <c:pt idx="1279">
                  <c:v>21.316666666666737</c:v>
                </c:pt>
                <c:pt idx="1280">
                  <c:v>21.333333333333403</c:v>
                </c:pt>
                <c:pt idx="1281">
                  <c:v>21.350000000000069</c:v>
                </c:pt>
                <c:pt idx="1282">
                  <c:v>21.366666666666735</c:v>
                </c:pt>
                <c:pt idx="1283">
                  <c:v>21.3833333333334</c:v>
                </c:pt>
                <c:pt idx="1284">
                  <c:v>21.400000000000066</c:v>
                </c:pt>
                <c:pt idx="1285">
                  <c:v>21.416666666666732</c:v>
                </c:pt>
                <c:pt idx="1286">
                  <c:v>21.433333333333398</c:v>
                </c:pt>
                <c:pt idx="1287">
                  <c:v>21.450000000000063</c:v>
                </c:pt>
                <c:pt idx="1288">
                  <c:v>21.466666666666729</c:v>
                </c:pt>
                <c:pt idx="1289">
                  <c:v>21.483333333333395</c:v>
                </c:pt>
                <c:pt idx="1290">
                  <c:v>21.50000000000006</c:v>
                </c:pt>
                <c:pt idx="1291">
                  <c:v>21.516666666666726</c:v>
                </c:pt>
                <c:pt idx="1292">
                  <c:v>21.533333333333392</c:v>
                </c:pt>
                <c:pt idx="1293">
                  <c:v>21.550000000000058</c:v>
                </c:pt>
                <c:pt idx="1294">
                  <c:v>21.566666666666723</c:v>
                </c:pt>
                <c:pt idx="1295">
                  <c:v>21.583333333333389</c:v>
                </c:pt>
                <c:pt idx="1296">
                  <c:v>21.600000000000055</c:v>
                </c:pt>
                <c:pt idx="1297">
                  <c:v>21.61666666666672</c:v>
                </c:pt>
                <c:pt idx="1298">
                  <c:v>21.633333333333386</c:v>
                </c:pt>
                <c:pt idx="1299">
                  <c:v>21.650000000000052</c:v>
                </c:pt>
                <c:pt idx="1300">
                  <c:v>21.666666666666718</c:v>
                </c:pt>
                <c:pt idx="1301">
                  <c:v>21.683333333333383</c:v>
                </c:pt>
                <c:pt idx="1302">
                  <c:v>21.700000000000049</c:v>
                </c:pt>
                <c:pt idx="1303">
                  <c:v>21.716666666666715</c:v>
                </c:pt>
                <c:pt idx="1304">
                  <c:v>21.73333333333338</c:v>
                </c:pt>
                <c:pt idx="1305">
                  <c:v>21.750000000000046</c:v>
                </c:pt>
                <c:pt idx="1306">
                  <c:v>21.766666666666712</c:v>
                </c:pt>
                <c:pt idx="1307">
                  <c:v>21.783333333333378</c:v>
                </c:pt>
                <c:pt idx="1308">
                  <c:v>21.800000000000043</c:v>
                </c:pt>
                <c:pt idx="1309">
                  <c:v>21.816666666666709</c:v>
                </c:pt>
                <c:pt idx="1310">
                  <c:v>21.833333333333375</c:v>
                </c:pt>
                <c:pt idx="1311">
                  <c:v>21.850000000000041</c:v>
                </c:pt>
                <c:pt idx="1312">
                  <c:v>21.866666666666706</c:v>
                </c:pt>
                <c:pt idx="1313">
                  <c:v>21.883333333333372</c:v>
                </c:pt>
                <c:pt idx="1314">
                  <c:v>21.900000000000038</c:v>
                </c:pt>
                <c:pt idx="1315">
                  <c:v>21.916666666666703</c:v>
                </c:pt>
                <c:pt idx="1316">
                  <c:v>21.933333333333369</c:v>
                </c:pt>
                <c:pt idx="1317">
                  <c:v>21.950000000000035</c:v>
                </c:pt>
                <c:pt idx="1318">
                  <c:v>21.966666666666701</c:v>
                </c:pt>
                <c:pt idx="1319">
                  <c:v>21.983333333333366</c:v>
                </c:pt>
                <c:pt idx="1320">
                  <c:v>22.000000000000032</c:v>
                </c:pt>
                <c:pt idx="1321">
                  <c:v>22.016666666666698</c:v>
                </c:pt>
                <c:pt idx="1322">
                  <c:v>22.033333333333363</c:v>
                </c:pt>
                <c:pt idx="1323">
                  <c:v>22.050000000000029</c:v>
                </c:pt>
                <c:pt idx="1324">
                  <c:v>22.066666666666695</c:v>
                </c:pt>
                <c:pt idx="1325">
                  <c:v>22.083333333333361</c:v>
                </c:pt>
                <c:pt idx="1326">
                  <c:v>22.100000000000026</c:v>
                </c:pt>
                <c:pt idx="1327">
                  <c:v>22.116666666666692</c:v>
                </c:pt>
                <c:pt idx="1328">
                  <c:v>22.133333333333358</c:v>
                </c:pt>
                <c:pt idx="1329">
                  <c:v>22.150000000000023</c:v>
                </c:pt>
                <c:pt idx="1330">
                  <c:v>22.166666666666689</c:v>
                </c:pt>
                <c:pt idx="1331">
                  <c:v>22.183333333333355</c:v>
                </c:pt>
                <c:pt idx="1332">
                  <c:v>22.200000000000021</c:v>
                </c:pt>
                <c:pt idx="1333">
                  <c:v>22.216666666666686</c:v>
                </c:pt>
                <c:pt idx="1334">
                  <c:v>22.233333333333352</c:v>
                </c:pt>
                <c:pt idx="1335">
                  <c:v>22.250000000000018</c:v>
                </c:pt>
                <c:pt idx="1336">
                  <c:v>22.266666666666683</c:v>
                </c:pt>
                <c:pt idx="1337">
                  <c:v>22.283333333333349</c:v>
                </c:pt>
                <c:pt idx="1338">
                  <c:v>22.300000000000015</c:v>
                </c:pt>
                <c:pt idx="1339">
                  <c:v>22.316666666666681</c:v>
                </c:pt>
                <c:pt idx="1340">
                  <c:v>22.333333333333346</c:v>
                </c:pt>
                <c:pt idx="1341">
                  <c:v>22.350000000000012</c:v>
                </c:pt>
                <c:pt idx="1342">
                  <c:v>22.366666666666678</c:v>
                </c:pt>
                <c:pt idx="1343">
                  <c:v>22.383333333333344</c:v>
                </c:pt>
                <c:pt idx="1344">
                  <c:v>22.400000000000009</c:v>
                </c:pt>
                <c:pt idx="1345">
                  <c:v>22.416666666666675</c:v>
                </c:pt>
                <c:pt idx="1346">
                  <c:v>22.433333333333341</c:v>
                </c:pt>
                <c:pt idx="1347">
                  <c:v>22.450000000000006</c:v>
                </c:pt>
                <c:pt idx="1348">
                  <c:v>22.466666666666672</c:v>
                </c:pt>
                <c:pt idx="1349">
                  <c:v>22.483333333333338</c:v>
                </c:pt>
                <c:pt idx="1350">
                  <c:v>22.500000000000004</c:v>
                </c:pt>
                <c:pt idx="1351">
                  <c:v>22.516666666666669</c:v>
                </c:pt>
                <c:pt idx="1352">
                  <c:v>22.533333333333335</c:v>
                </c:pt>
                <c:pt idx="1353">
                  <c:v>22.55</c:v>
                </c:pt>
                <c:pt idx="1354">
                  <c:v>22.566666666666666</c:v>
                </c:pt>
                <c:pt idx="1355">
                  <c:v>22.583333333333332</c:v>
                </c:pt>
                <c:pt idx="1356">
                  <c:v>22.599999999999998</c:v>
                </c:pt>
                <c:pt idx="1357">
                  <c:v>22.616666666666664</c:v>
                </c:pt>
                <c:pt idx="1358">
                  <c:v>22.633333333333329</c:v>
                </c:pt>
                <c:pt idx="1359">
                  <c:v>22.649999999999995</c:v>
                </c:pt>
                <c:pt idx="1360">
                  <c:v>22.666666666666661</c:v>
                </c:pt>
                <c:pt idx="1361">
                  <c:v>22.683333333333326</c:v>
                </c:pt>
                <c:pt idx="1362">
                  <c:v>22.699999999999992</c:v>
                </c:pt>
                <c:pt idx="1363">
                  <c:v>22.716666666666658</c:v>
                </c:pt>
                <c:pt idx="1364">
                  <c:v>22.733333333333324</c:v>
                </c:pt>
                <c:pt idx="1365">
                  <c:v>22.749999999999989</c:v>
                </c:pt>
                <c:pt idx="1366">
                  <c:v>22.766666666666655</c:v>
                </c:pt>
                <c:pt idx="1367">
                  <c:v>22.783333333333321</c:v>
                </c:pt>
                <c:pt idx="1368">
                  <c:v>22.799999999999986</c:v>
                </c:pt>
                <c:pt idx="1369">
                  <c:v>22.816666666666652</c:v>
                </c:pt>
                <c:pt idx="1370">
                  <c:v>22.833333333333318</c:v>
                </c:pt>
                <c:pt idx="1371">
                  <c:v>22.849999999999984</c:v>
                </c:pt>
                <c:pt idx="1372">
                  <c:v>22.866666666666649</c:v>
                </c:pt>
                <c:pt idx="1373">
                  <c:v>22.883333333333315</c:v>
                </c:pt>
                <c:pt idx="1374">
                  <c:v>22.899999999999981</c:v>
                </c:pt>
                <c:pt idx="1375">
                  <c:v>22.916666666666647</c:v>
                </c:pt>
                <c:pt idx="1376">
                  <c:v>22.933333333333312</c:v>
                </c:pt>
                <c:pt idx="1377">
                  <c:v>22.949999999999978</c:v>
                </c:pt>
                <c:pt idx="1378">
                  <c:v>22.966666666666644</c:v>
                </c:pt>
                <c:pt idx="1379">
                  <c:v>22.983333333333309</c:v>
                </c:pt>
                <c:pt idx="1380">
                  <c:v>22.999999999999975</c:v>
                </c:pt>
                <c:pt idx="1381">
                  <c:v>23.016666666666641</c:v>
                </c:pt>
                <c:pt idx="1382">
                  <c:v>23.033333333333307</c:v>
                </c:pt>
                <c:pt idx="1383">
                  <c:v>23.049999999999972</c:v>
                </c:pt>
                <c:pt idx="1384">
                  <c:v>23.066666666666638</c:v>
                </c:pt>
                <c:pt idx="1385">
                  <c:v>23.083333333333304</c:v>
                </c:pt>
                <c:pt idx="1386">
                  <c:v>23.099999999999969</c:v>
                </c:pt>
                <c:pt idx="1387">
                  <c:v>23.116666666666635</c:v>
                </c:pt>
                <c:pt idx="1388">
                  <c:v>23.133333333333301</c:v>
                </c:pt>
                <c:pt idx="1389">
                  <c:v>23.149999999999967</c:v>
                </c:pt>
                <c:pt idx="1390">
                  <c:v>23.166666666666632</c:v>
                </c:pt>
                <c:pt idx="1391">
                  <c:v>23.183333333333298</c:v>
                </c:pt>
                <c:pt idx="1392">
                  <c:v>23.199999999999964</c:v>
                </c:pt>
                <c:pt idx="1393">
                  <c:v>23.216666666666629</c:v>
                </c:pt>
                <c:pt idx="1394">
                  <c:v>23.233333333333295</c:v>
                </c:pt>
                <c:pt idx="1395">
                  <c:v>23.249999999999961</c:v>
                </c:pt>
                <c:pt idx="1396">
                  <c:v>23.266666666666627</c:v>
                </c:pt>
                <c:pt idx="1397">
                  <c:v>23.283333333333292</c:v>
                </c:pt>
                <c:pt idx="1398">
                  <c:v>23.299999999999958</c:v>
                </c:pt>
                <c:pt idx="1399">
                  <c:v>23.316666666666624</c:v>
                </c:pt>
                <c:pt idx="1400">
                  <c:v>23.33333333333329</c:v>
                </c:pt>
                <c:pt idx="1401">
                  <c:v>23.349999999999955</c:v>
                </c:pt>
                <c:pt idx="1402">
                  <c:v>23.366666666666621</c:v>
                </c:pt>
                <c:pt idx="1403">
                  <c:v>23.383333333333287</c:v>
                </c:pt>
                <c:pt idx="1404">
                  <c:v>23.399999999999952</c:v>
                </c:pt>
                <c:pt idx="1405">
                  <c:v>23.416666666666618</c:v>
                </c:pt>
                <c:pt idx="1406">
                  <c:v>23.433333333333284</c:v>
                </c:pt>
                <c:pt idx="1407">
                  <c:v>23.44999999999995</c:v>
                </c:pt>
                <c:pt idx="1408">
                  <c:v>23.466666666666615</c:v>
                </c:pt>
                <c:pt idx="1409">
                  <c:v>23.483333333333281</c:v>
                </c:pt>
                <c:pt idx="1410">
                  <c:v>23.499999999999947</c:v>
                </c:pt>
                <c:pt idx="1411">
                  <c:v>23.516666666666612</c:v>
                </c:pt>
                <c:pt idx="1412">
                  <c:v>23.533333333333278</c:v>
                </c:pt>
                <c:pt idx="1413">
                  <c:v>23.549999999999944</c:v>
                </c:pt>
                <c:pt idx="1414">
                  <c:v>23.56666666666661</c:v>
                </c:pt>
                <c:pt idx="1415">
                  <c:v>23.583333333333275</c:v>
                </c:pt>
                <c:pt idx="1416">
                  <c:v>23.599999999999941</c:v>
                </c:pt>
                <c:pt idx="1417">
                  <c:v>23.616666666666607</c:v>
                </c:pt>
                <c:pt idx="1418">
                  <c:v>23.633333333333272</c:v>
                </c:pt>
                <c:pt idx="1419">
                  <c:v>23.649999999999938</c:v>
                </c:pt>
                <c:pt idx="1420">
                  <c:v>23.666666666666604</c:v>
                </c:pt>
                <c:pt idx="1421">
                  <c:v>23.68333333333327</c:v>
                </c:pt>
                <c:pt idx="1422">
                  <c:v>23.699999999999935</c:v>
                </c:pt>
                <c:pt idx="1423">
                  <c:v>23.716666666666601</c:v>
                </c:pt>
                <c:pt idx="1424">
                  <c:v>23.733333333333267</c:v>
                </c:pt>
                <c:pt idx="1425">
                  <c:v>23.749999999999932</c:v>
                </c:pt>
                <c:pt idx="1426">
                  <c:v>23.766666666666598</c:v>
                </c:pt>
                <c:pt idx="1427">
                  <c:v>23.783333333333264</c:v>
                </c:pt>
                <c:pt idx="1428">
                  <c:v>23.79999999999993</c:v>
                </c:pt>
                <c:pt idx="1429">
                  <c:v>23.816666666666595</c:v>
                </c:pt>
                <c:pt idx="1430">
                  <c:v>23.833333333333261</c:v>
                </c:pt>
                <c:pt idx="1431">
                  <c:v>23.849999999999927</c:v>
                </c:pt>
                <c:pt idx="1432">
                  <c:v>23.866666666666593</c:v>
                </c:pt>
                <c:pt idx="1433">
                  <c:v>23.883333333333258</c:v>
                </c:pt>
                <c:pt idx="1434">
                  <c:v>23.899999999999924</c:v>
                </c:pt>
                <c:pt idx="1435">
                  <c:v>23.91666666666659</c:v>
                </c:pt>
                <c:pt idx="1436">
                  <c:v>23.933333333333255</c:v>
                </c:pt>
              </c:numCache>
            </c:numRef>
          </c:xVal>
          <c:yVal>
            <c:numRef>
              <c:f>'Reactor analysis'!$AL$3:$AL$2625</c:f>
              <c:numCache>
                <c:formatCode>General</c:formatCode>
                <c:ptCount val="2623"/>
                <c:pt idx="59">
                  <c:v>0.25250000000000006</c:v>
                </c:pt>
                <c:pt idx="60">
                  <c:v>0.25250000000000006</c:v>
                </c:pt>
                <c:pt idx="61">
                  <c:v>0.25250000000000006</c:v>
                </c:pt>
                <c:pt idx="62">
                  <c:v>0.25250000000000006</c:v>
                </c:pt>
                <c:pt idx="63">
                  <c:v>0.25250000000000006</c:v>
                </c:pt>
                <c:pt idx="64">
                  <c:v>0.25250000000000006</c:v>
                </c:pt>
                <c:pt idx="65">
                  <c:v>0.25250000000000006</c:v>
                </c:pt>
                <c:pt idx="66">
                  <c:v>0.25250000000000006</c:v>
                </c:pt>
                <c:pt idx="67">
                  <c:v>0.25250000000000006</c:v>
                </c:pt>
                <c:pt idx="68">
                  <c:v>0.25250000000000006</c:v>
                </c:pt>
                <c:pt idx="69">
                  <c:v>0.25000000000000006</c:v>
                </c:pt>
                <c:pt idx="70">
                  <c:v>0.25500000000000006</c:v>
                </c:pt>
                <c:pt idx="71">
                  <c:v>0.24250000000000005</c:v>
                </c:pt>
                <c:pt idx="72">
                  <c:v>0.24250000000000005</c:v>
                </c:pt>
                <c:pt idx="73">
                  <c:v>0.24250000000000005</c:v>
                </c:pt>
                <c:pt idx="74">
                  <c:v>0.23750000000000002</c:v>
                </c:pt>
                <c:pt idx="75">
                  <c:v>0.22999999999999998</c:v>
                </c:pt>
                <c:pt idx="76">
                  <c:v>0.22749999999999998</c:v>
                </c:pt>
                <c:pt idx="77">
                  <c:v>0.21499999999999997</c:v>
                </c:pt>
                <c:pt idx="78">
                  <c:v>0.19999999999999998</c:v>
                </c:pt>
                <c:pt idx="79">
                  <c:v>0.19249999999999998</c:v>
                </c:pt>
                <c:pt idx="80">
                  <c:v>0.18999999999999995</c:v>
                </c:pt>
                <c:pt idx="81">
                  <c:v>0.185</c:v>
                </c:pt>
                <c:pt idx="82">
                  <c:v>0.1825</c:v>
                </c:pt>
                <c:pt idx="83">
                  <c:v>0.18</c:v>
                </c:pt>
                <c:pt idx="84">
                  <c:v>0.18</c:v>
                </c:pt>
                <c:pt idx="85">
                  <c:v>0.18</c:v>
                </c:pt>
                <c:pt idx="86">
                  <c:v>0.18</c:v>
                </c:pt>
                <c:pt idx="87">
                  <c:v>0.1825</c:v>
                </c:pt>
                <c:pt idx="88">
                  <c:v>0.1825</c:v>
                </c:pt>
                <c:pt idx="89">
                  <c:v>0.1825</c:v>
                </c:pt>
                <c:pt idx="90">
                  <c:v>0.1825</c:v>
                </c:pt>
                <c:pt idx="91">
                  <c:v>0.1825</c:v>
                </c:pt>
                <c:pt idx="92">
                  <c:v>0.1825</c:v>
                </c:pt>
                <c:pt idx="93">
                  <c:v>0.1825</c:v>
                </c:pt>
                <c:pt idx="94">
                  <c:v>0.1825</c:v>
                </c:pt>
                <c:pt idx="95">
                  <c:v>0.1825</c:v>
                </c:pt>
                <c:pt idx="96">
                  <c:v>0.1825</c:v>
                </c:pt>
                <c:pt idx="97">
                  <c:v>0.1825</c:v>
                </c:pt>
                <c:pt idx="98">
                  <c:v>0.1825</c:v>
                </c:pt>
                <c:pt idx="99">
                  <c:v>0.1825</c:v>
                </c:pt>
                <c:pt idx="100">
                  <c:v>0.1875</c:v>
                </c:pt>
                <c:pt idx="101">
                  <c:v>0.18000000000000002</c:v>
                </c:pt>
                <c:pt idx="102">
                  <c:v>0.17750000000000005</c:v>
                </c:pt>
                <c:pt idx="103">
                  <c:v>0.17499999999999999</c:v>
                </c:pt>
                <c:pt idx="104">
                  <c:v>0.16750000000000001</c:v>
                </c:pt>
                <c:pt idx="105">
                  <c:v>0.16250000000000003</c:v>
                </c:pt>
                <c:pt idx="106">
                  <c:v>0.15750000000000003</c:v>
                </c:pt>
                <c:pt idx="107">
                  <c:v>0.15250000000000002</c:v>
                </c:pt>
                <c:pt idx="108">
                  <c:v>0.15250000000000002</c:v>
                </c:pt>
                <c:pt idx="109">
                  <c:v>0.15000000000000002</c:v>
                </c:pt>
                <c:pt idx="110">
                  <c:v>0.14500000000000002</c:v>
                </c:pt>
                <c:pt idx="111">
                  <c:v>0.14500000000000002</c:v>
                </c:pt>
                <c:pt idx="112">
                  <c:v>0.14250000000000004</c:v>
                </c:pt>
                <c:pt idx="113">
                  <c:v>0.14250000000000004</c:v>
                </c:pt>
                <c:pt idx="114">
                  <c:v>0.14250000000000004</c:v>
                </c:pt>
                <c:pt idx="115">
                  <c:v>0.14250000000000004</c:v>
                </c:pt>
                <c:pt idx="116">
                  <c:v>0.14250000000000004</c:v>
                </c:pt>
                <c:pt idx="117">
                  <c:v>0.14250000000000004</c:v>
                </c:pt>
                <c:pt idx="118">
                  <c:v>0.14250000000000004</c:v>
                </c:pt>
                <c:pt idx="119">
                  <c:v>0.14250000000000004</c:v>
                </c:pt>
                <c:pt idx="120">
                  <c:v>0.14250000000000004</c:v>
                </c:pt>
                <c:pt idx="121">
                  <c:v>0.14250000000000004</c:v>
                </c:pt>
                <c:pt idx="122">
                  <c:v>0.14250000000000004</c:v>
                </c:pt>
                <c:pt idx="123">
                  <c:v>0.14250000000000004</c:v>
                </c:pt>
                <c:pt idx="124">
                  <c:v>0.14250000000000004</c:v>
                </c:pt>
                <c:pt idx="125">
                  <c:v>0.14250000000000004</c:v>
                </c:pt>
                <c:pt idx="126">
                  <c:v>0.14250000000000004</c:v>
                </c:pt>
                <c:pt idx="127">
                  <c:v>0.14250000000000004</c:v>
                </c:pt>
                <c:pt idx="128">
                  <c:v>0.14250000000000004</c:v>
                </c:pt>
                <c:pt idx="129">
                  <c:v>0.14250000000000004</c:v>
                </c:pt>
                <c:pt idx="130">
                  <c:v>0.13750000000000001</c:v>
                </c:pt>
                <c:pt idx="131">
                  <c:v>0.14000000000000001</c:v>
                </c:pt>
                <c:pt idx="132">
                  <c:v>0.13499999999999998</c:v>
                </c:pt>
                <c:pt idx="133">
                  <c:v>0.12750000000000003</c:v>
                </c:pt>
                <c:pt idx="134">
                  <c:v>0.13</c:v>
                </c:pt>
                <c:pt idx="135">
                  <c:v>0.13</c:v>
                </c:pt>
                <c:pt idx="136">
                  <c:v>0.13</c:v>
                </c:pt>
                <c:pt idx="137">
                  <c:v>0.1275</c:v>
                </c:pt>
                <c:pt idx="138">
                  <c:v>0.125</c:v>
                </c:pt>
                <c:pt idx="139">
                  <c:v>0.125</c:v>
                </c:pt>
                <c:pt idx="140">
                  <c:v>0.1275</c:v>
                </c:pt>
                <c:pt idx="141">
                  <c:v>0.1275</c:v>
                </c:pt>
                <c:pt idx="142">
                  <c:v>0.1275</c:v>
                </c:pt>
                <c:pt idx="143">
                  <c:v>0.1275</c:v>
                </c:pt>
                <c:pt idx="144">
                  <c:v>0.1275</c:v>
                </c:pt>
                <c:pt idx="145">
                  <c:v>0.1275</c:v>
                </c:pt>
                <c:pt idx="146">
                  <c:v>0.1275</c:v>
                </c:pt>
                <c:pt idx="147">
                  <c:v>0.125</c:v>
                </c:pt>
                <c:pt idx="148">
                  <c:v>0.125</c:v>
                </c:pt>
                <c:pt idx="149">
                  <c:v>0.125</c:v>
                </c:pt>
                <c:pt idx="150">
                  <c:v>0.125</c:v>
                </c:pt>
                <c:pt idx="151">
                  <c:v>0.125</c:v>
                </c:pt>
                <c:pt idx="152">
                  <c:v>0.125</c:v>
                </c:pt>
                <c:pt idx="153">
                  <c:v>0.125</c:v>
                </c:pt>
                <c:pt idx="154">
                  <c:v>0.125</c:v>
                </c:pt>
                <c:pt idx="155">
                  <c:v>0.125</c:v>
                </c:pt>
                <c:pt idx="156">
                  <c:v>0.125</c:v>
                </c:pt>
                <c:pt idx="157">
                  <c:v>0.125</c:v>
                </c:pt>
                <c:pt idx="158">
                  <c:v>0.125</c:v>
                </c:pt>
                <c:pt idx="159">
                  <c:v>0.1525</c:v>
                </c:pt>
                <c:pt idx="160">
                  <c:v>0.14749999999999999</c:v>
                </c:pt>
                <c:pt idx="161">
                  <c:v>0.1525</c:v>
                </c:pt>
                <c:pt idx="162">
                  <c:v>0.155</c:v>
                </c:pt>
                <c:pt idx="163">
                  <c:v>0.16</c:v>
                </c:pt>
                <c:pt idx="164">
                  <c:v>0.16750000000000004</c:v>
                </c:pt>
                <c:pt idx="165">
                  <c:v>0.17500000000000002</c:v>
                </c:pt>
                <c:pt idx="166">
                  <c:v>0.18</c:v>
                </c:pt>
                <c:pt idx="167">
                  <c:v>0.18</c:v>
                </c:pt>
                <c:pt idx="168">
                  <c:v>0.1825</c:v>
                </c:pt>
                <c:pt idx="169">
                  <c:v>0.18</c:v>
                </c:pt>
                <c:pt idx="170">
                  <c:v>0.1825</c:v>
                </c:pt>
                <c:pt idx="171">
                  <c:v>0.1825</c:v>
                </c:pt>
                <c:pt idx="172">
                  <c:v>0.185</c:v>
                </c:pt>
                <c:pt idx="173">
                  <c:v>0.185</c:v>
                </c:pt>
                <c:pt idx="174">
                  <c:v>0.185</c:v>
                </c:pt>
                <c:pt idx="175">
                  <c:v>0.185</c:v>
                </c:pt>
                <c:pt idx="176">
                  <c:v>0.185</c:v>
                </c:pt>
                <c:pt idx="177">
                  <c:v>0.185</c:v>
                </c:pt>
                <c:pt idx="178">
                  <c:v>0.185</c:v>
                </c:pt>
                <c:pt idx="179">
                  <c:v>0.185</c:v>
                </c:pt>
                <c:pt idx="180">
                  <c:v>0.185</c:v>
                </c:pt>
                <c:pt idx="181">
                  <c:v>0.185</c:v>
                </c:pt>
                <c:pt idx="182">
                  <c:v>0.185</c:v>
                </c:pt>
                <c:pt idx="183">
                  <c:v>0.185</c:v>
                </c:pt>
                <c:pt idx="184">
                  <c:v>0.185</c:v>
                </c:pt>
                <c:pt idx="185">
                  <c:v>0.185</c:v>
                </c:pt>
                <c:pt idx="186">
                  <c:v>0.185</c:v>
                </c:pt>
                <c:pt idx="187">
                  <c:v>0.185</c:v>
                </c:pt>
                <c:pt idx="188">
                  <c:v>0.185</c:v>
                </c:pt>
                <c:pt idx="189">
                  <c:v>0.215</c:v>
                </c:pt>
                <c:pt idx="190">
                  <c:v>0.215</c:v>
                </c:pt>
                <c:pt idx="191">
                  <c:v>0.21000000000000002</c:v>
                </c:pt>
                <c:pt idx="192">
                  <c:v>0.20750000000000002</c:v>
                </c:pt>
                <c:pt idx="193">
                  <c:v>0.20750000000000002</c:v>
                </c:pt>
                <c:pt idx="194">
                  <c:v>0.19750000000000004</c:v>
                </c:pt>
                <c:pt idx="195">
                  <c:v>0.19</c:v>
                </c:pt>
                <c:pt idx="196">
                  <c:v>0.19000000000000003</c:v>
                </c:pt>
                <c:pt idx="197">
                  <c:v>0.19000000000000003</c:v>
                </c:pt>
                <c:pt idx="198">
                  <c:v>0.19000000000000003</c:v>
                </c:pt>
                <c:pt idx="199">
                  <c:v>0.19000000000000003</c:v>
                </c:pt>
                <c:pt idx="200">
                  <c:v>0.18750000000000003</c:v>
                </c:pt>
                <c:pt idx="201">
                  <c:v>0.18750000000000003</c:v>
                </c:pt>
                <c:pt idx="202">
                  <c:v>0.18750000000000003</c:v>
                </c:pt>
                <c:pt idx="203">
                  <c:v>0.18750000000000003</c:v>
                </c:pt>
                <c:pt idx="204">
                  <c:v>0.18750000000000003</c:v>
                </c:pt>
                <c:pt idx="205">
                  <c:v>0.18750000000000003</c:v>
                </c:pt>
                <c:pt idx="206">
                  <c:v>0.18750000000000003</c:v>
                </c:pt>
                <c:pt idx="207">
                  <c:v>0.18750000000000003</c:v>
                </c:pt>
                <c:pt idx="208">
                  <c:v>0.18750000000000003</c:v>
                </c:pt>
                <c:pt idx="209">
                  <c:v>0.18750000000000003</c:v>
                </c:pt>
                <c:pt idx="210">
                  <c:v>0.18750000000000003</c:v>
                </c:pt>
                <c:pt idx="211">
                  <c:v>0.18750000000000003</c:v>
                </c:pt>
                <c:pt idx="212">
                  <c:v>0.18750000000000003</c:v>
                </c:pt>
                <c:pt idx="213">
                  <c:v>0.18750000000000003</c:v>
                </c:pt>
                <c:pt idx="214">
                  <c:v>0.18750000000000003</c:v>
                </c:pt>
                <c:pt idx="215">
                  <c:v>0.18750000000000003</c:v>
                </c:pt>
                <c:pt idx="216">
                  <c:v>0.18750000000000003</c:v>
                </c:pt>
                <c:pt idx="217">
                  <c:v>0.18750000000000003</c:v>
                </c:pt>
                <c:pt idx="218">
                  <c:v>0.18750000000000003</c:v>
                </c:pt>
                <c:pt idx="219">
                  <c:v>0.18000000000000002</c:v>
                </c:pt>
                <c:pt idx="220">
                  <c:v>0.17750000000000005</c:v>
                </c:pt>
                <c:pt idx="221">
                  <c:v>0.17750000000000005</c:v>
                </c:pt>
                <c:pt idx="222">
                  <c:v>0.17500000000000002</c:v>
                </c:pt>
                <c:pt idx="223">
                  <c:v>0.17</c:v>
                </c:pt>
                <c:pt idx="224">
                  <c:v>0.16</c:v>
                </c:pt>
                <c:pt idx="225">
                  <c:v>0.155</c:v>
                </c:pt>
                <c:pt idx="226">
                  <c:v>0.15000000000000002</c:v>
                </c:pt>
                <c:pt idx="227">
                  <c:v>0.15250000000000002</c:v>
                </c:pt>
                <c:pt idx="228">
                  <c:v>0.15250000000000002</c:v>
                </c:pt>
                <c:pt idx="229">
                  <c:v>0.15250000000000002</c:v>
                </c:pt>
                <c:pt idx="230">
                  <c:v>0.15250000000000002</c:v>
                </c:pt>
                <c:pt idx="231">
                  <c:v>0.15250000000000002</c:v>
                </c:pt>
                <c:pt idx="232">
                  <c:v>0.15000000000000002</c:v>
                </c:pt>
                <c:pt idx="233">
                  <c:v>0.15000000000000002</c:v>
                </c:pt>
                <c:pt idx="234">
                  <c:v>0.15000000000000002</c:v>
                </c:pt>
                <c:pt idx="235">
                  <c:v>0.15000000000000002</c:v>
                </c:pt>
                <c:pt idx="236">
                  <c:v>0.15000000000000002</c:v>
                </c:pt>
                <c:pt idx="237">
                  <c:v>0.15000000000000002</c:v>
                </c:pt>
                <c:pt idx="238">
                  <c:v>0.15000000000000002</c:v>
                </c:pt>
                <c:pt idx="239">
                  <c:v>0.15000000000000002</c:v>
                </c:pt>
                <c:pt idx="240">
                  <c:v>0.15000000000000002</c:v>
                </c:pt>
                <c:pt idx="241">
                  <c:v>0.15000000000000002</c:v>
                </c:pt>
                <c:pt idx="242">
                  <c:v>0.15000000000000002</c:v>
                </c:pt>
                <c:pt idx="243">
                  <c:v>0.15000000000000002</c:v>
                </c:pt>
                <c:pt idx="244">
                  <c:v>0.15000000000000002</c:v>
                </c:pt>
                <c:pt idx="245">
                  <c:v>0.15000000000000002</c:v>
                </c:pt>
                <c:pt idx="246">
                  <c:v>0.15000000000000002</c:v>
                </c:pt>
                <c:pt idx="247">
                  <c:v>0.15000000000000002</c:v>
                </c:pt>
                <c:pt idx="248">
                  <c:v>0.15250000000000002</c:v>
                </c:pt>
                <c:pt idx="249">
                  <c:v>0.14000000000000004</c:v>
                </c:pt>
                <c:pt idx="250">
                  <c:v>0.13500000000000004</c:v>
                </c:pt>
                <c:pt idx="251">
                  <c:v>0.13500000000000006</c:v>
                </c:pt>
                <c:pt idx="252">
                  <c:v>0.13000000000000003</c:v>
                </c:pt>
                <c:pt idx="253">
                  <c:v>0.13250000000000003</c:v>
                </c:pt>
                <c:pt idx="254">
                  <c:v>0.13250000000000003</c:v>
                </c:pt>
                <c:pt idx="255">
                  <c:v>0.13250000000000003</c:v>
                </c:pt>
                <c:pt idx="256">
                  <c:v>0.13000000000000003</c:v>
                </c:pt>
                <c:pt idx="257">
                  <c:v>0.13000000000000003</c:v>
                </c:pt>
                <c:pt idx="258">
                  <c:v>0.13250000000000003</c:v>
                </c:pt>
                <c:pt idx="259">
                  <c:v>0.13250000000000003</c:v>
                </c:pt>
                <c:pt idx="260">
                  <c:v>0.13250000000000003</c:v>
                </c:pt>
                <c:pt idx="261">
                  <c:v>0.13250000000000003</c:v>
                </c:pt>
                <c:pt idx="262">
                  <c:v>0.13250000000000003</c:v>
                </c:pt>
                <c:pt idx="263">
                  <c:v>0.13250000000000003</c:v>
                </c:pt>
                <c:pt idx="264">
                  <c:v>0.13250000000000003</c:v>
                </c:pt>
                <c:pt idx="265">
                  <c:v>0.13250000000000003</c:v>
                </c:pt>
                <c:pt idx="266">
                  <c:v>0.13250000000000003</c:v>
                </c:pt>
                <c:pt idx="267">
                  <c:v>0.13250000000000003</c:v>
                </c:pt>
                <c:pt idx="268">
                  <c:v>0.13250000000000003</c:v>
                </c:pt>
                <c:pt idx="269">
                  <c:v>0.13250000000000003</c:v>
                </c:pt>
                <c:pt idx="270">
                  <c:v>0.13250000000000003</c:v>
                </c:pt>
                <c:pt idx="271">
                  <c:v>0.13250000000000003</c:v>
                </c:pt>
                <c:pt idx="272">
                  <c:v>0.13250000000000003</c:v>
                </c:pt>
                <c:pt idx="273">
                  <c:v>0.13250000000000003</c:v>
                </c:pt>
                <c:pt idx="274">
                  <c:v>0.13250000000000003</c:v>
                </c:pt>
                <c:pt idx="275">
                  <c:v>0.13250000000000003</c:v>
                </c:pt>
                <c:pt idx="276">
                  <c:v>0.13250000000000003</c:v>
                </c:pt>
                <c:pt idx="277">
                  <c:v>0.13250000000000003</c:v>
                </c:pt>
                <c:pt idx="278">
                  <c:v>0.13250000000000003</c:v>
                </c:pt>
                <c:pt idx="279">
                  <c:v>0.13500000000000004</c:v>
                </c:pt>
                <c:pt idx="280">
                  <c:v>0.13</c:v>
                </c:pt>
                <c:pt idx="281">
                  <c:v>0.13250000000000001</c:v>
                </c:pt>
                <c:pt idx="282">
                  <c:v>0.12500000000000003</c:v>
                </c:pt>
                <c:pt idx="283">
                  <c:v>0.12000000000000001</c:v>
                </c:pt>
                <c:pt idx="284">
                  <c:v>0.1275</c:v>
                </c:pt>
                <c:pt idx="285">
                  <c:v>0.1275</c:v>
                </c:pt>
                <c:pt idx="286">
                  <c:v>0.125</c:v>
                </c:pt>
                <c:pt idx="287">
                  <c:v>0.12250000000000001</c:v>
                </c:pt>
                <c:pt idx="288">
                  <c:v>0.12250000000000003</c:v>
                </c:pt>
                <c:pt idx="289">
                  <c:v>0.12250000000000003</c:v>
                </c:pt>
                <c:pt idx="290">
                  <c:v>0.12000000000000002</c:v>
                </c:pt>
                <c:pt idx="291">
                  <c:v>0.12000000000000002</c:v>
                </c:pt>
                <c:pt idx="292">
                  <c:v>0.12000000000000002</c:v>
                </c:pt>
                <c:pt idx="293">
                  <c:v>0.12000000000000002</c:v>
                </c:pt>
                <c:pt idx="294">
                  <c:v>0.12000000000000002</c:v>
                </c:pt>
                <c:pt idx="295">
                  <c:v>0.12000000000000002</c:v>
                </c:pt>
                <c:pt idx="296">
                  <c:v>0.12000000000000002</c:v>
                </c:pt>
                <c:pt idx="297">
                  <c:v>0.12000000000000002</c:v>
                </c:pt>
                <c:pt idx="298">
                  <c:v>0.12000000000000002</c:v>
                </c:pt>
                <c:pt idx="299">
                  <c:v>0.12000000000000002</c:v>
                </c:pt>
                <c:pt idx="300">
                  <c:v>0.12000000000000002</c:v>
                </c:pt>
                <c:pt idx="301">
                  <c:v>0.12000000000000002</c:v>
                </c:pt>
                <c:pt idx="302">
                  <c:v>0.12000000000000002</c:v>
                </c:pt>
                <c:pt idx="303">
                  <c:v>0.12000000000000002</c:v>
                </c:pt>
                <c:pt idx="304">
                  <c:v>0.12000000000000002</c:v>
                </c:pt>
                <c:pt idx="305">
                  <c:v>0.12000000000000002</c:v>
                </c:pt>
                <c:pt idx="306">
                  <c:v>0.12000000000000002</c:v>
                </c:pt>
                <c:pt idx="307">
                  <c:v>0.12000000000000002</c:v>
                </c:pt>
                <c:pt idx="308">
                  <c:v>0.11750000000000001</c:v>
                </c:pt>
                <c:pt idx="309">
                  <c:v>0.12750000000000003</c:v>
                </c:pt>
                <c:pt idx="310">
                  <c:v>0.12500000000000003</c:v>
                </c:pt>
                <c:pt idx="311">
                  <c:v>0.14000000000000001</c:v>
                </c:pt>
                <c:pt idx="312">
                  <c:v>0.14499999999999999</c:v>
                </c:pt>
                <c:pt idx="313">
                  <c:v>0.15</c:v>
                </c:pt>
                <c:pt idx="314">
                  <c:v>0.155</c:v>
                </c:pt>
                <c:pt idx="315">
                  <c:v>0.15750000000000003</c:v>
                </c:pt>
                <c:pt idx="316">
                  <c:v>0.17250000000000001</c:v>
                </c:pt>
                <c:pt idx="317">
                  <c:v>0.18500000000000003</c:v>
                </c:pt>
                <c:pt idx="318">
                  <c:v>0.19000000000000003</c:v>
                </c:pt>
                <c:pt idx="319">
                  <c:v>0.20000000000000004</c:v>
                </c:pt>
                <c:pt idx="320">
                  <c:v>0.20500000000000004</c:v>
                </c:pt>
                <c:pt idx="321">
                  <c:v>0.21000000000000005</c:v>
                </c:pt>
                <c:pt idx="322">
                  <c:v>0.21500000000000005</c:v>
                </c:pt>
                <c:pt idx="323">
                  <c:v>0.21500000000000005</c:v>
                </c:pt>
                <c:pt idx="324">
                  <c:v>0.21500000000000005</c:v>
                </c:pt>
                <c:pt idx="325">
                  <c:v>0.21500000000000005</c:v>
                </c:pt>
                <c:pt idx="326">
                  <c:v>0.21500000000000005</c:v>
                </c:pt>
                <c:pt idx="327">
                  <c:v>0.21500000000000005</c:v>
                </c:pt>
                <c:pt idx="328">
                  <c:v>0.21500000000000005</c:v>
                </c:pt>
                <c:pt idx="329">
                  <c:v>0.21500000000000005</c:v>
                </c:pt>
                <c:pt idx="330">
                  <c:v>0.21500000000000005</c:v>
                </c:pt>
                <c:pt idx="331">
                  <c:v>0.21500000000000005</c:v>
                </c:pt>
                <c:pt idx="332">
                  <c:v>0.21500000000000005</c:v>
                </c:pt>
                <c:pt idx="333">
                  <c:v>0.21500000000000005</c:v>
                </c:pt>
                <c:pt idx="334">
                  <c:v>0.21500000000000005</c:v>
                </c:pt>
                <c:pt idx="335">
                  <c:v>0.21500000000000005</c:v>
                </c:pt>
                <c:pt idx="336">
                  <c:v>0.21500000000000005</c:v>
                </c:pt>
                <c:pt idx="337">
                  <c:v>0.21500000000000005</c:v>
                </c:pt>
                <c:pt idx="338">
                  <c:v>0.23750000000000007</c:v>
                </c:pt>
                <c:pt idx="339">
                  <c:v>0.24250000000000002</c:v>
                </c:pt>
                <c:pt idx="340">
                  <c:v>0.26</c:v>
                </c:pt>
                <c:pt idx="341">
                  <c:v>0.26500000000000001</c:v>
                </c:pt>
                <c:pt idx="342">
                  <c:v>0.27750000000000002</c:v>
                </c:pt>
                <c:pt idx="343">
                  <c:v>0.28250000000000003</c:v>
                </c:pt>
                <c:pt idx="344">
                  <c:v>0.28500000000000009</c:v>
                </c:pt>
                <c:pt idx="345">
                  <c:v>0.28750000000000003</c:v>
                </c:pt>
                <c:pt idx="346">
                  <c:v>0.29250000000000009</c:v>
                </c:pt>
                <c:pt idx="347">
                  <c:v>0.30000000000000004</c:v>
                </c:pt>
                <c:pt idx="348">
                  <c:v>0.3025000000000001</c:v>
                </c:pt>
                <c:pt idx="349">
                  <c:v>0.31000000000000011</c:v>
                </c:pt>
                <c:pt idx="350">
                  <c:v>0.31500000000000011</c:v>
                </c:pt>
                <c:pt idx="351">
                  <c:v>0.31500000000000011</c:v>
                </c:pt>
                <c:pt idx="352">
                  <c:v>0.32250000000000006</c:v>
                </c:pt>
                <c:pt idx="353">
                  <c:v>0.32250000000000006</c:v>
                </c:pt>
                <c:pt idx="354">
                  <c:v>0.32250000000000006</c:v>
                </c:pt>
                <c:pt idx="355">
                  <c:v>0.32250000000000006</c:v>
                </c:pt>
                <c:pt idx="356">
                  <c:v>0.32250000000000006</c:v>
                </c:pt>
                <c:pt idx="357">
                  <c:v>0.32250000000000006</c:v>
                </c:pt>
                <c:pt idx="358">
                  <c:v>0.32250000000000006</c:v>
                </c:pt>
                <c:pt idx="359">
                  <c:v>0.32250000000000006</c:v>
                </c:pt>
                <c:pt idx="360">
                  <c:v>0.32250000000000006</c:v>
                </c:pt>
                <c:pt idx="361">
                  <c:v>0.32250000000000006</c:v>
                </c:pt>
                <c:pt idx="362">
                  <c:v>0.32250000000000006</c:v>
                </c:pt>
                <c:pt idx="363">
                  <c:v>0.32250000000000006</c:v>
                </c:pt>
                <c:pt idx="364">
                  <c:v>0.32250000000000006</c:v>
                </c:pt>
                <c:pt idx="365">
                  <c:v>0.32250000000000006</c:v>
                </c:pt>
                <c:pt idx="366">
                  <c:v>0.32250000000000006</c:v>
                </c:pt>
                <c:pt idx="367">
                  <c:v>0.32250000000000006</c:v>
                </c:pt>
                <c:pt idx="368">
                  <c:v>0.35500000000000009</c:v>
                </c:pt>
                <c:pt idx="369">
                  <c:v>0.35</c:v>
                </c:pt>
                <c:pt idx="370">
                  <c:v>0.35249999999999998</c:v>
                </c:pt>
                <c:pt idx="371">
                  <c:v>0.34499999999999997</c:v>
                </c:pt>
                <c:pt idx="372">
                  <c:v>0.34750000000000003</c:v>
                </c:pt>
                <c:pt idx="373">
                  <c:v>0.35000000000000003</c:v>
                </c:pt>
                <c:pt idx="374">
                  <c:v>0.34750000000000003</c:v>
                </c:pt>
                <c:pt idx="375">
                  <c:v>0.35249999999999998</c:v>
                </c:pt>
                <c:pt idx="376">
                  <c:v>0.34749999999999998</c:v>
                </c:pt>
                <c:pt idx="377">
                  <c:v>0.33999999999999997</c:v>
                </c:pt>
                <c:pt idx="378">
                  <c:v>0.33249999999999996</c:v>
                </c:pt>
                <c:pt idx="379">
                  <c:v>0.32250000000000001</c:v>
                </c:pt>
                <c:pt idx="380">
                  <c:v>0.3175</c:v>
                </c:pt>
                <c:pt idx="381">
                  <c:v>0.3125</c:v>
                </c:pt>
                <c:pt idx="382">
                  <c:v>0.30750000000000005</c:v>
                </c:pt>
                <c:pt idx="383">
                  <c:v>0.30750000000000005</c:v>
                </c:pt>
                <c:pt idx="384">
                  <c:v>0.30750000000000005</c:v>
                </c:pt>
                <c:pt idx="385">
                  <c:v>0.30750000000000005</c:v>
                </c:pt>
                <c:pt idx="386">
                  <c:v>0.30750000000000005</c:v>
                </c:pt>
                <c:pt idx="387">
                  <c:v>0.30750000000000005</c:v>
                </c:pt>
                <c:pt idx="388">
                  <c:v>0.30750000000000005</c:v>
                </c:pt>
                <c:pt idx="389">
                  <c:v>0.30750000000000005</c:v>
                </c:pt>
                <c:pt idx="390">
                  <c:v>0.30750000000000005</c:v>
                </c:pt>
                <c:pt idx="391">
                  <c:v>0.30750000000000005</c:v>
                </c:pt>
                <c:pt idx="392">
                  <c:v>0.30750000000000005</c:v>
                </c:pt>
                <c:pt idx="393">
                  <c:v>0.30750000000000005</c:v>
                </c:pt>
                <c:pt idx="394">
                  <c:v>0.30750000000000005</c:v>
                </c:pt>
                <c:pt idx="395">
                  <c:v>0.30750000000000005</c:v>
                </c:pt>
                <c:pt idx="396">
                  <c:v>0.30750000000000005</c:v>
                </c:pt>
                <c:pt idx="397">
                  <c:v>0.30750000000000005</c:v>
                </c:pt>
                <c:pt idx="398">
                  <c:v>0.31500000000000006</c:v>
                </c:pt>
                <c:pt idx="399">
                  <c:v>0.3125</c:v>
                </c:pt>
                <c:pt idx="400">
                  <c:v>0.30500000000000005</c:v>
                </c:pt>
                <c:pt idx="401">
                  <c:v>0.29500000000000004</c:v>
                </c:pt>
                <c:pt idx="402">
                  <c:v>0.29000000000000004</c:v>
                </c:pt>
                <c:pt idx="403">
                  <c:v>0.29000000000000004</c:v>
                </c:pt>
                <c:pt idx="404">
                  <c:v>0.28500000000000003</c:v>
                </c:pt>
                <c:pt idx="405">
                  <c:v>0.29000000000000004</c:v>
                </c:pt>
                <c:pt idx="406">
                  <c:v>0.29250000000000004</c:v>
                </c:pt>
                <c:pt idx="407">
                  <c:v>0.29500000000000004</c:v>
                </c:pt>
                <c:pt idx="408">
                  <c:v>0.30000000000000004</c:v>
                </c:pt>
                <c:pt idx="409">
                  <c:v>0.2975000000000001</c:v>
                </c:pt>
                <c:pt idx="410">
                  <c:v>0.29500000000000004</c:v>
                </c:pt>
                <c:pt idx="411">
                  <c:v>0.30000000000000004</c:v>
                </c:pt>
                <c:pt idx="412">
                  <c:v>0.29750000000000004</c:v>
                </c:pt>
                <c:pt idx="413">
                  <c:v>0.29750000000000004</c:v>
                </c:pt>
                <c:pt idx="414">
                  <c:v>0.29750000000000004</c:v>
                </c:pt>
                <c:pt idx="415">
                  <c:v>0.29750000000000004</c:v>
                </c:pt>
                <c:pt idx="416">
                  <c:v>0.29750000000000004</c:v>
                </c:pt>
                <c:pt idx="417">
                  <c:v>0.29750000000000004</c:v>
                </c:pt>
                <c:pt idx="418">
                  <c:v>0.29750000000000004</c:v>
                </c:pt>
                <c:pt idx="419">
                  <c:v>0.29750000000000004</c:v>
                </c:pt>
                <c:pt idx="420">
                  <c:v>0.29750000000000004</c:v>
                </c:pt>
                <c:pt idx="421">
                  <c:v>0.29750000000000004</c:v>
                </c:pt>
                <c:pt idx="422">
                  <c:v>0.29750000000000004</c:v>
                </c:pt>
                <c:pt idx="423">
                  <c:v>0.29750000000000004</c:v>
                </c:pt>
                <c:pt idx="424">
                  <c:v>0.29750000000000004</c:v>
                </c:pt>
                <c:pt idx="425">
                  <c:v>0.29750000000000004</c:v>
                </c:pt>
                <c:pt idx="426">
                  <c:v>0.29750000000000004</c:v>
                </c:pt>
                <c:pt idx="427">
                  <c:v>0.29750000000000004</c:v>
                </c:pt>
                <c:pt idx="428">
                  <c:v>0.28499999999999998</c:v>
                </c:pt>
                <c:pt idx="429">
                  <c:v>0.28500000000000003</c:v>
                </c:pt>
                <c:pt idx="430">
                  <c:v>0.29499999999999998</c:v>
                </c:pt>
                <c:pt idx="431">
                  <c:v>0.29499999999999998</c:v>
                </c:pt>
                <c:pt idx="432">
                  <c:v>0.29250000000000004</c:v>
                </c:pt>
                <c:pt idx="433">
                  <c:v>0.29250000000000004</c:v>
                </c:pt>
                <c:pt idx="434">
                  <c:v>0.3</c:v>
                </c:pt>
                <c:pt idx="435">
                  <c:v>0.30250000000000005</c:v>
                </c:pt>
                <c:pt idx="436">
                  <c:v>0.30000000000000004</c:v>
                </c:pt>
                <c:pt idx="437">
                  <c:v>0.29750000000000004</c:v>
                </c:pt>
                <c:pt idx="438">
                  <c:v>0.30250000000000005</c:v>
                </c:pt>
                <c:pt idx="439">
                  <c:v>0.30750000000000005</c:v>
                </c:pt>
                <c:pt idx="440">
                  <c:v>0.31</c:v>
                </c:pt>
                <c:pt idx="441">
                  <c:v>0.3125</c:v>
                </c:pt>
                <c:pt idx="442">
                  <c:v>0.315</c:v>
                </c:pt>
                <c:pt idx="443">
                  <c:v>0.31749999999999995</c:v>
                </c:pt>
                <c:pt idx="444">
                  <c:v>0.31749999999999995</c:v>
                </c:pt>
                <c:pt idx="445">
                  <c:v>0.31749999999999995</c:v>
                </c:pt>
                <c:pt idx="446">
                  <c:v>0.31749999999999995</c:v>
                </c:pt>
                <c:pt idx="447">
                  <c:v>0.31749999999999995</c:v>
                </c:pt>
                <c:pt idx="448">
                  <c:v>0.31749999999999995</c:v>
                </c:pt>
                <c:pt idx="449">
                  <c:v>0.31749999999999995</c:v>
                </c:pt>
                <c:pt idx="450">
                  <c:v>0.31749999999999995</c:v>
                </c:pt>
                <c:pt idx="451">
                  <c:v>0.31749999999999995</c:v>
                </c:pt>
                <c:pt idx="452">
                  <c:v>0.31749999999999995</c:v>
                </c:pt>
                <c:pt idx="453">
                  <c:v>0.31749999999999995</c:v>
                </c:pt>
                <c:pt idx="454">
                  <c:v>0.31749999999999995</c:v>
                </c:pt>
                <c:pt idx="455">
                  <c:v>0.31749999999999995</c:v>
                </c:pt>
                <c:pt idx="456">
                  <c:v>0.31749999999999995</c:v>
                </c:pt>
                <c:pt idx="457">
                  <c:v>0.31749999999999995</c:v>
                </c:pt>
                <c:pt idx="458">
                  <c:v>0.31499999999999984</c:v>
                </c:pt>
                <c:pt idx="459">
                  <c:v>0.32999999999999996</c:v>
                </c:pt>
                <c:pt idx="460">
                  <c:v>0.33</c:v>
                </c:pt>
                <c:pt idx="461">
                  <c:v>0.33250000000000007</c:v>
                </c:pt>
                <c:pt idx="462">
                  <c:v>0.33750000000000002</c:v>
                </c:pt>
                <c:pt idx="463">
                  <c:v>0.34249999999999997</c:v>
                </c:pt>
                <c:pt idx="464">
                  <c:v>0.34750000000000003</c:v>
                </c:pt>
                <c:pt idx="465">
                  <c:v>0.35249999999999998</c:v>
                </c:pt>
                <c:pt idx="466">
                  <c:v>0.35749999999999998</c:v>
                </c:pt>
                <c:pt idx="467">
                  <c:v>0.35250000000000004</c:v>
                </c:pt>
                <c:pt idx="468">
                  <c:v>0.34250000000000003</c:v>
                </c:pt>
                <c:pt idx="469">
                  <c:v>0.33750000000000002</c:v>
                </c:pt>
                <c:pt idx="470">
                  <c:v>0.33500000000000008</c:v>
                </c:pt>
                <c:pt idx="471">
                  <c:v>0.33250000000000007</c:v>
                </c:pt>
                <c:pt idx="472">
                  <c:v>0.34</c:v>
                </c:pt>
                <c:pt idx="473">
                  <c:v>0.34</c:v>
                </c:pt>
                <c:pt idx="474">
                  <c:v>0.34</c:v>
                </c:pt>
                <c:pt idx="475">
                  <c:v>0.34</c:v>
                </c:pt>
                <c:pt idx="476">
                  <c:v>0.34</c:v>
                </c:pt>
                <c:pt idx="477">
                  <c:v>0.34</c:v>
                </c:pt>
                <c:pt idx="478">
                  <c:v>0.34</c:v>
                </c:pt>
                <c:pt idx="479">
                  <c:v>0.34</c:v>
                </c:pt>
                <c:pt idx="480">
                  <c:v>0.34</c:v>
                </c:pt>
                <c:pt idx="481">
                  <c:v>0.34</c:v>
                </c:pt>
                <c:pt idx="482">
                  <c:v>0.34</c:v>
                </c:pt>
                <c:pt idx="483">
                  <c:v>0.34</c:v>
                </c:pt>
                <c:pt idx="484">
                  <c:v>0.34</c:v>
                </c:pt>
                <c:pt idx="485">
                  <c:v>0.34</c:v>
                </c:pt>
                <c:pt idx="486">
                  <c:v>0.34</c:v>
                </c:pt>
                <c:pt idx="487">
                  <c:v>0.34</c:v>
                </c:pt>
                <c:pt idx="488">
                  <c:v>0.34749999999999998</c:v>
                </c:pt>
                <c:pt idx="489">
                  <c:v>0.34750000000000003</c:v>
                </c:pt>
                <c:pt idx="490">
                  <c:v>0.34500000000000003</c:v>
                </c:pt>
                <c:pt idx="491">
                  <c:v>0.35250000000000004</c:v>
                </c:pt>
                <c:pt idx="492">
                  <c:v>0.37000000000000005</c:v>
                </c:pt>
                <c:pt idx="493">
                  <c:v>0.3725</c:v>
                </c:pt>
                <c:pt idx="494">
                  <c:v>0.375</c:v>
                </c:pt>
                <c:pt idx="495">
                  <c:v>0.3725</c:v>
                </c:pt>
                <c:pt idx="496">
                  <c:v>0.36749999999999994</c:v>
                </c:pt>
                <c:pt idx="497">
                  <c:v>0.37249999999999994</c:v>
                </c:pt>
                <c:pt idx="498">
                  <c:v>0.36999999999999994</c:v>
                </c:pt>
                <c:pt idx="499">
                  <c:v>0.36749999999999988</c:v>
                </c:pt>
                <c:pt idx="500">
                  <c:v>0.36749999999999988</c:v>
                </c:pt>
                <c:pt idx="501">
                  <c:v>0.36499999999999988</c:v>
                </c:pt>
                <c:pt idx="502">
                  <c:v>0.36499999999999988</c:v>
                </c:pt>
                <c:pt idx="503">
                  <c:v>0.36249999999999988</c:v>
                </c:pt>
                <c:pt idx="504">
                  <c:v>0.36249999999999988</c:v>
                </c:pt>
                <c:pt idx="505">
                  <c:v>0.36249999999999988</c:v>
                </c:pt>
                <c:pt idx="506">
                  <c:v>0.36249999999999988</c:v>
                </c:pt>
                <c:pt idx="507">
                  <c:v>0.36249999999999988</c:v>
                </c:pt>
                <c:pt idx="508">
                  <c:v>0.36249999999999988</c:v>
                </c:pt>
                <c:pt idx="509">
                  <c:v>0.36249999999999988</c:v>
                </c:pt>
                <c:pt idx="510">
                  <c:v>0.36249999999999988</c:v>
                </c:pt>
                <c:pt idx="511">
                  <c:v>0.36249999999999988</c:v>
                </c:pt>
                <c:pt idx="512">
                  <c:v>0.36249999999999988</c:v>
                </c:pt>
                <c:pt idx="513">
                  <c:v>0.36249999999999988</c:v>
                </c:pt>
                <c:pt idx="514">
                  <c:v>0.36249999999999988</c:v>
                </c:pt>
                <c:pt idx="515">
                  <c:v>0.36249999999999988</c:v>
                </c:pt>
                <c:pt idx="516">
                  <c:v>0.36249999999999988</c:v>
                </c:pt>
                <c:pt idx="517">
                  <c:v>0.36249999999999988</c:v>
                </c:pt>
                <c:pt idx="518">
                  <c:v>0.35499999999999982</c:v>
                </c:pt>
                <c:pt idx="519">
                  <c:v>0.35249999999999981</c:v>
                </c:pt>
                <c:pt idx="520">
                  <c:v>0.34749999999999992</c:v>
                </c:pt>
                <c:pt idx="521">
                  <c:v>0.35249999999999998</c:v>
                </c:pt>
                <c:pt idx="522">
                  <c:v>0.34750000000000003</c:v>
                </c:pt>
                <c:pt idx="523">
                  <c:v>0.34250000000000003</c:v>
                </c:pt>
                <c:pt idx="524">
                  <c:v>0.33999999999999997</c:v>
                </c:pt>
                <c:pt idx="525">
                  <c:v>0.33</c:v>
                </c:pt>
                <c:pt idx="526">
                  <c:v>0.32250000000000001</c:v>
                </c:pt>
                <c:pt idx="527">
                  <c:v>0.32</c:v>
                </c:pt>
                <c:pt idx="528">
                  <c:v>0.32249999999999995</c:v>
                </c:pt>
                <c:pt idx="529">
                  <c:v>0.32999999999999996</c:v>
                </c:pt>
                <c:pt idx="530">
                  <c:v>0.33499999999999996</c:v>
                </c:pt>
                <c:pt idx="531">
                  <c:v>0.33999999999999997</c:v>
                </c:pt>
                <c:pt idx="532">
                  <c:v>0.32999999999999996</c:v>
                </c:pt>
                <c:pt idx="533">
                  <c:v>0.32999999999999996</c:v>
                </c:pt>
                <c:pt idx="534">
                  <c:v>0.32999999999999996</c:v>
                </c:pt>
                <c:pt idx="535">
                  <c:v>0.32999999999999996</c:v>
                </c:pt>
                <c:pt idx="536">
                  <c:v>0.32999999999999996</c:v>
                </c:pt>
                <c:pt idx="537">
                  <c:v>0.32999999999999996</c:v>
                </c:pt>
                <c:pt idx="538">
                  <c:v>0.32999999999999996</c:v>
                </c:pt>
                <c:pt idx="539">
                  <c:v>0.32999999999999996</c:v>
                </c:pt>
                <c:pt idx="540">
                  <c:v>0.32999999999999996</c:v>
                </c:pt>
                <c:pt idx="541">
                  <c:v>0.32999999999999996</c:v>
                </c:pt>
                <c:pt idx="542">
                  <c:v>0.32999999999999996</c:v>
                </c:pt>
                <c:pt idx="543">
                  <c:v>0.32999999999999996</c:v>
                </c:pt>
                <c:pt idx="544">
                  <c:v>0.32999999999999996</c:v>
                </c:pt>
                <c:pt idx="545">
                  <c:v>0.32999999999999996</c:v>
                </c:pt>
                <c:pt idx="546">
                  <c:v>0.32999999999999996</c:v>
                </c:pt>
                <c:pt idx="547">
                  <c:v>0.32999999999999996</c:v>
                </c:pt>
                <c:pt idx="548">
                  <c:v>0.33249999999999991</c:v>
                </c:pt>
                <c:pt idx="549">
                  <c:v>0.33500000000000002</c:v>
                </c:pt>
                <c:pt idx="550">
                  <c:v>0.33750000000000008</c:v>
                </c:pt>
                <c:pt idx="551">
                  <c:v>0.32750000000000001</c:v>
                </c:pt>
                <c:pt idx="552">
                  <c:v>0.31500000000000006</c:v>
                </c:pt>
                <c:pt idx="553">
                  <c:v>0.30499999999999999</c:v>
                </c:pt>
                <c:pt idx="554">
                  <c:v>0.29750000000000004</c:v>
                </c:pt>
                <c:pt idx="555">
                  <c:v>0.2950000000000001</c:v>
                </c:pt>
                <c:pt idx="556">
                  <c:v>0.29500000000000004</c:v>
                </c:pt>
                <c:pt idx="557">
                  <c:v>0.29250000000000009</c:v>
                </c:pt>
                <c:pt idx="558">
                  <c:v>0.29500000000000004</c:v>
                </c:pt>
                <c:pt idx="559">
                  <c:v>0.29499999999999998</c:v>
                </c:pt>
                <c:pt idx="560">
                  <c:v>0.29750000000000004</c:v>
                </c:pt>
                <c:pt idx="561">
                  <c:v>0.29750000000000004</c:v>
                </c:pt>
                <c:pt idx="562">
                  <c:v>0.29499999999999998</c:v>
                </c:pt>
                <c:pt idx="563">
                  <c:v>0.29499999999999998</c:v>
                </c:pt>
                <c:pt idx="564">
                  <c:v>0.29499999999999998</c:v>
                </c:pt>
                <c:pt idx="565">
                  <c:v>0.29499999999999998</c:v>
                </c:pt>
                <c:pt idx="566">
                  <c:v>0.29499999999999998</c:v>
                </c:pt>
                <c:pt idx="567">
                  <c:v>0.29499999999999998</c:v>
                </c:pt>
                <c:pt idx="568">
                  <c:v>0.29499999999999998</c:v>
                </c:pt>
                <c:pt idx="569">
                  <c:v>0.29499999999999998</c:v>
                </c:pt>
                <c:pt idx="570">
                  <c:v>0.29499999999999998</c:v>
                </c:pt>
                <c:pt idx="571">
                  <c:v>0.29499999999999998</c:v>
                </c:pt>
                <c:pt idx="572">
                  <c:v>0.29499999999999998</c:v>
                </c:pt>
                <c:pt idx="573">
                  <c:v>0.29499999999999998</c:v>
                </c:pt>
                <c:pt idx="574">
                  <c:v>0.29499999999999998</c:v>
                </c:pt>
                <c:pt idx="575">
                  <c:v>0.29499999999999998</c:v>
                </c:pt>
                <c:pt idx="576">
                  <c:v>0.29499999999999998</c:v>
                </c:pt>
                <c:pt idx="577">
                  <c:v>0.29499999999999998</c:v>
                </c:pt>
                <c:pt idx="578">
                  <c:v>0.29250000000000009</c:v>
                </c:pt>
                <c:pt idx="579">
                  <c:v>0.28500000000000009</c:v>
                </c:pt>
                <c:pt idx="580">
                  <c:v>0.29250000000000009</c:v>
                </c:pt>
                <c:pt idx="581">
                  <c:v>0.28750000000000014</c:v>
                </c:pt>
                <c:pt idx="582">
                  <c:v>0.28500000000000009</c:v>
                </c:pt>
                <c:pt idx="583">
                  <c:v>0.28500000000000009</c:v>
                </c:pt>
                <c:pt idx="584">
                  <c:v>0.27750000000000008</c:v>
                </c:pt>
                <c:pt idx="585">
                  <c:v>0.28000000000000008</c:v>
                </c:pt>
                <c:pt idx="586">
                  <c:v>0.28500000000000009</c:v>
                </c:pt>
                <c:pt idx="587">
                  <c:v>0.29000000000000009</c:v>
                </c:pt>
                <c:pt idx="588">
                  <c:v>0.29500000000000004</c:v>
                </c:pt>
                <c:pt idx="589">
                  <c:v>0.28999999999999998</c:v>
                </c:pt>
                <c:pt idx="590">
                  <c:v>0.28499999999999998</c:v>
                </c:pt>
                <c:pt idx="591">
                  <c:v>0.28249999999999997</c:v>
                </c:pt>
                <c:pt idx="592">
                  <c:v>0.28499999999999998</c:v>
                </c:pt>
                <c:pt idx="593">
                  <c:v>0.28499999999999998</c:v>
                </c:pt>
                <c:pt idx="594">
                  <c:v>0.28499999999999998</c:v>
                </c:pt>
                <c:pt idx="595">
                  <c:v>0.28499999999999998</c:v>
                </c:pt>
                <c:pt idx="596">
                  <c:v>0.28499999999999998</c:v>
                </c:pt>
                <c:pt idx="597">
                  <c:v>0.28499999999999998</c:v>
                </c:pt>
                <c:pt idx="598">
                  <c:v>0.28499999999999998</c:v>
                </c:pt>
                <c:pt idx="599">
                  <c:v>0.28499999999999998</c:v>
                </c:pt>
                <c:pt idx="600">
                  <c:v>0.28499999999999998</c:v>
                </c:pt>
                <c:pt idx="601">
                  <c:v>0.28499999999999998</c:v>
                </c:pt>
                <c:pt idx="602">
                  <c:v>0.28499999999999998</c:v>
                </c:pt>
                <c:pt idx="603">
                  <c:v>0.28499999999999998</c:v>
                </c:pt>
                <c:pt idx="604">
                  <c:v>0.28499999999999998</c:v>
                </c:pt>
                <c:pt idx="605">
                  <c:v>0.28499999999999998</c:v>
                </c:pt>
                <c:pt idx="606">
                  <c:v>0.28499999999999998</c:v>
                </c:pt>
                <c:pt idx="607">
                  <c:v>0.28499999999999998</c:v>
                </c:pt>
                <c:pt idx="608">
                  <c:v>0.27999999999999997</c:v>
                </c:pt>
                <c:pt idx="609">
                  <c:v>0.28499999999999998</c:v>
                </c:pt>
                <c:pt idx="610">
                  <c:v>0.29499999999999998</c:v>
                </c:pt>
                <c:pt idx="611">
                  <c:v>0.30499999999999994</c:v>
                </c:pt>
                <c:pt idx="612">
                  <c:v>0.3075</c:v>
                </c:pt>
                <c:pt idx="613">
                  <c:v>0.31749999999999995</c:v>
                </c:pt>
                <c:pt idx="614">
                  <c:v>0.3274999999999999</c:v>
                </c:pt>
                <c:pt idx="615">
                  <c:v>0.33499999999999996</c:v>
                </c:pt>
                <c:pt idx="616">
                  <c:v>0.34749999999999998</c:v>
                </c:pt>
                <c:pt idx="617">
                  <c:v>0.34999999999999992</c:v>
                </c:pt>
                <c:pt idx="618">
                  <c:v>0.35499999999999993</c:v>
                </c:pt>
                <c:pt idx="619">
                  <c:v>0.35749999999999998</c:v>
                </c:pt>
                <c:pt idx="620">
                  <c:v>0.35749999999999998</c:v>
                </c:pt>
                <c:pt idx="621">
                  <c:v>0.37</c:v>
                </c:pt>
                <c:pt idx="622">
                  <c:v>0.3775</c:v>
                </c:pt>
                <c:pt idx="623">
                  <c:v>0.3775</c:v>
                </c:pt>
                <c:pt idx="624">
                  <c:v>0.3775</c:v>
                </c:pt>
                <c:pt idx="625">
                  <c:v>0.3775</c:v>
                </c:pt>
                <c:pt idx="626">
                  <c:v>0.3775</c:v>
                </c:pt>
                <c:pt idx="627">
                  <c:v>0.3775</c:v>
                </c:pt>
                <c:pt idx="628">
                  <c:v>0.3775</c:v>
                </c:pt>
                <c:pt idx="629">
                  <c:v>0.3775</c:v>
                </c:pt>
                <c:pt idx="630">
                  <c:v>0.3775</c:v>
                </c:pt>
                <c:pt idx="631">
                  <c:v>0.3775</c:v>
                </c:pt>
                <c:pt idx="632">
                  <c:v>0.3775</c:v>
                </c:pt>
                <c:pt idx="633">
                  <c:v>0.3775</c:v>
                </c:pt>
                <c:pt idx="634">
                  <c:v>0.3775</c:v>
                </c:pt>
                <c:pt idx="635">
                  <c:v>0.3775</c:v>
                </c:pt>
                <c:pt idx="636">
                  <c:v>0.38250000000000001</c:v>
                </c:pt>
                <c:pt idx="637">
                  <c:v>0.38499999999999995</c:v>
                </c:pt>
                <c:pt idx="638">
                  <c:v>0.39249999999999996</c:v>
                </c:pt>
                <c:pt idx="639">
                  <c:v>0.38500000000000001</c:v>
                </c:pt>
                <c:pt idx="640">
                  <c:v>0.37750000000000006</c:v>
                </c:pt>
                <c:pt idx="641">
                  <c:v>0.3725</c:v>
                </c:pt>
                <c:pt idx="642">
                  <c:v>0.3725</c:v>
                </c:pt>
                <c:pt idx="643">
                  <c:v>0.3725</c:v>
                </c:pt>
                <c:pt idx="644">
                  <c:v>0.38</c:v>
                </c:pt>
                <c:pt idx="645">
                  <c:v>0.37750000000000006</c:v>
                </c:pt>
                <c:pt idx="646">
                  <c:v>0.37000000000000005</c:v>
                </c:pt>
                <c:pt idx="647">
                  <c:v>0.36750000000000005</c:v>
                </c:pt>
                <c:pt idx="648">
                  <c:v>0.36500000000000005</c:v>
                </c:pt>
                <c:pt idx="649">
                  <c:v>0.36250000000000004</c:v>
                </c:pt>
                <c:pt idx="650">
                  <c:v>0.36500000000000005</c:v>
                </c:pt>
                <c:pt idx="651">
                  <c:v>0.3600000000000001</c:v>
                </c:pt>
                <c:pt idx="652">
                  <c:v>0.35500000000000004</c:v>
                </c:pt>
                <c:pt idx="653">
                  <c:v>0.35500000000000004</c:v>
                </c:pt>
                <c:pt idx="654">
                  <c:v>0.35500000000000004</c:v>
                </c:pt>
                <c:pt idx="655">
                  <c:v>0.35500000000000004</c:v>
                </c:pt>
                <c:pt idx="656">
                  <c:v>0.35500000000000004</c:v>
                </c:pt>
                <c:pt idx="657">
                  <c:v>0.35500000000000004</c:v>
                </c:pt>
                <c:pt idx="658">
                  <c:v>0.35500000000000004</c:v>
                </c:pt>
                <c:pt idx="659">
                  <c:v>0.35500000000000004</c:v>
                </c:pt>
                <c:pt idx="660">
                  <c:v>0.35500000000000004</c:v>
                </c:pt>
                <c:pt idx="661">
                  <c:v>0.35500000000000004</c:v>
                </c:pt>
                <c:pt idx="662">
                  <c:v>0.35500000000000004</c:v>
                </c:pt>
                <c:pt idx="663">
                  <c:v>0.35500000000000004</c:v>
                </c:pt>
                <c:pt idx="664">
                  <c:v>0.35500000000000004</c:v>
                </c:pt>
                <c:pt idx="665">
                  <c:v>0.35500000000000004</c:v>
                </c:pt>
                <c:pt idx="666">
                  <c:v>0.35500000000000004</c:v>
                </c:pt>
                <c:pt idx="667">
                  <c:v>0.38</c:v>
                </c:pt>
                <c:pt idx="668">
                  <c:v>0.39</c:v>
                </c:pt>
                <c:pt idx="669">
                  <c:v>0.38500000000000001</c:v>
                </c:pt>
                <c:pt idx="670">
                  <c:v>0.36500000000000005</c:v>
                </c:pt>
                <c:pt idx="671">
                  <c:v>0.35250000000000004</c:v>
                </c:pt>
                <c:pt idx="672">
                  <c:v>0.34250000000000003</c:v>
                </c:pt>
                <c:pt idx="673">
                  <c:v>0.33250000000000007</c:v>
                </c:pt>
                <c:pt idx="674">
                  <c:v>0.32500000000000001</c:v>
                </c:pt>
                <c:pt idx="675">
                  <c:v>0.315</c:v>
                </c:pt>
                <c:pt idx="676">
                  <c:v>0.30249999999999999</c:v>
                </c:pt>
                <c:pt idx="677">
                  <c:v>0.29749999999999999</c:v>
                </c:pt>
                <c:pt idx="678">
                  <c:v>0.28999999999999992</c:v>
                </c:pt>
                <c:pt idx="679">
                  <c:v>0.28499999999999998</c:v>
                </c:pt>
                <c:pt idx="680">
                  <c:v>0.28249999999999992</c:v>
                </c:pt>
                <c:pt idx="681">
                  <c:v>0.26999999999999996</c:v>
                </c:pt>
                <c:pt idx="682">
                  <c:v>0.26250000000000001</c:v>
                </c:pt>
                <c:pt idx="683">
                  <c:v>0.26250000000000001</c:v>
                </c:pt>
                <c:pt idx="684">
                  <c:v>0.26250000000000001</c:v>
                </c:pt>
                <c:pt idx="685">
                  <c:v>0.26250000000000001</c:v>
                </c:pt>
                <c:pt idx="686">
                  <c:v>0.26250000000000001</c:v>
                </c:pt>
                <c:pt idx="687">
                  <c:v>0.26250000000000001</c:v>
                </c:pt>
                <c:pt idx="688">
                  <c:v>0.26250000000000001</c:v>
                </c:pt>
                <c:pt idx="689">
                  <c:v>0.26250000000000001</c:v>
                </c:pt>
                <c:pt idx="690">
                  <c:v>0.26250000000000001</c:v>
                </c:pt>
                <c:pt idx="691">
                  <c:v>0.26250000000000001</c:v>
                </c:pt>
                <c:pt idx="692">
                  <c:v>0.26250000000000001</c:v>
                </c:pt>
                <c:pt idx="693">
                  <c:v>0.26250000000000001</c:v>
                </c:pt>
                <c:pt idx="694">
                  <c:v>0.26250000000000001</c:v>
                </c:pt>
                <c:pt idx="695">
                  <c:v>0.26250000000000001</c:v>
                </c:pt>
                <c:pt idx="696">
                  <c:v>0.25750000000000001</c:v>
                </c:pt>
                <c:pt idx="697">
                  <c:v>0.28000000000000008</c:v>
                </c:pt>
                <c:pt idx="698">
                  <c:v>0.28250000000000003</c:v>
                </c:pt>
                <c:pt idx="699">
                  <c:v>0.28250000000000003</c:v>
                </c:pt>
                <c:pt idx="700">
                  <c:v>0.28000000000000003</c:v>
                </c:pt>
                <c:pt idx="701">
                  <c:v>0.28000000000000008</c:v>
                </c:pt>
                <c:pt idx="702">
                  <c:v>0.28250000000000003</c:v>
                </c:pt>
                <c:pt idx="703">
                  <c:v>0.28000000000000008</c:v>
                </c:pt>
                <c:pt idx="704">
                  <c:v>0.27750000000000008</c:v>
                </c:pt>
                <c:pt idx="705">
                  <c:v>0.27750000000000002</c:v>
                </c:pt>
                <c:pt idx="706">
                  <c:v>0.28250000000000003</c:v>
                </c:pt>
                <c:pt idx="707">
                  <c:v>0.28250000000000003</c:v>
                </c:pt>
                <c:pt idx="708">
                  <c:v>0.28000000000000008</c:v>
                </c:pt>
                <c:pt idx="709">
                  <c:v>0.28000000000000008</c:v>
                </c:pt>
                <c:pt idx="710">
                  <c:v>0.28250000000000003</c:v>
                </c:pt>
                <c:pt idx="711">
                  <c:v>0.28500000000000003</c:v>
                </c:pt>
                <c:pt idx="712">
                  <c:v>0.28500000000000003</c:v>
                </c:pt>
                <c:pt idx="713">
                  <c:v>0.28500000000000003</c:v>
                </c:pt>
                <c:pt idx="714">
                  <c:v>0.28500000000000003</c:v>
                </c:pt>
                <c:pt idx="715">
                  <c:v>0.28500000000000003</c:v>
                </c:pt>
                <c:pt idx="716">
                  <c:v>0.28500000000000003</c:v>
                </c:pt>
                <c:pt idx="717">
                  <c:v>0.28500000000000003</c:v>
                </c:pt>
                <c:pt idx="718">
                  <c:v>0.28500000000000003</c:v>
                </c:pt>
                <c:pt idx="719">
                  <c:v>0.28500000000000003</c:v>
                </c:pt>
                <c:pt idx="720">
                  <c:v>0.28500000000000003</c:v>
                </c:pt>
                <c:pt idx="721">
                  <c:v>0.28500000000000003</c:v>
                </c:pt>
                <c:pt idx="722">
                  <c:v>0.28500000000000003</c:v>
                </c:pt>
                <c:pt idx="723">
                  <c:v>0.28500000000000003</c:v>
                </c:pt>
                <c:pt idx="724">
                  <c:v>0.28500000000000003</c:v>
                </c:pt>
                <c:pt idx="725">
                  <c:v>0.28500000000000003</c:v>
                </c:pt>
                <c:pt idx="726">
                  <c:v>0.28500000000000003</c:v>
                </c:pt>
                <c:pt idx="727">
                  <c:v>0.3025000000000001</c:v>
                </c:pt>
                <c:pt idx="728">
                  <c:v>0.2975000000000001</c:v>
                </c:pt>
                <c:pt idx="729">
                  <c:v>0.28750000000000003</c:v>
                </c:pt>
                <c:pt idx="730">
                  <c:v>0.28250000000000003</c:v>
                </c:pt>
                <c:pt idx="731">
                  <c:v>0.28750000000000003</c:v>
                </c:pt>
                <c:pt idx="732">
                  <c:v>0.29000000000000004</c:v>
                </c:pt>
                <c:pt idx="733">
                  <c:v>0.29250000000000004</c:v>
                </c:pt>
                <c:pt idx="734">
                  <c:v>0.29750000000000004</c:v>
                </c:pt>
                <c:pt idx="735">
                  <c:v>0.29499999999999998</c:v>
                </c:pt>
                <c:pt idx="736">
                  <c:v>0.29250000000000004</c:v>
                </c:pt>
                <c:pt idx="737">
                  <c:v>0.29500000000000004</c:v>
                </c:pt>
                <c:pt idx="738">
                  <c:v>0.29250000000000004</c:v>
                </c:pt>
                <c:pt idx="739">
                  <c:v>0.29499999999999998</c:v>
                </c:pt>
                <c:pt idx="740">
                  <c:v>0.3</c:v>
                </c:pt>
                <c:pt idx="741">
                  <c:v>0.30499999999999999</c:v>
                </c:pt>
                <c:pt idx="742">
                  <c:v>0.30499999999999999</c:v>
                </c:pt>
                <c:pt idx="743">
                  <c:v>0.30499999999999999</c:v>
                </c:pt>
                <c:pt idx="744">
                  <c:v>0.30499999999999999</c:v>
                </c:pt>
                <c:pt idx="745">
                  <c:v>0.30499999999999999</c:v>
                </c:pt>
                <c:pt idx="746">
                  <c:v>0.30499999999999999</c:v>
                </c:pt>
                <c:pt idx="747">
                  <c:v>0.30499999999999999</c:v>
                </c:pt>
                <c:pt idx="748">
                  <c:v>0.30499999999999999</c:v>
                </c:pt>
                <c:pt idx="749">
                  <c:v>0.30499999999999999</c:v>
                </c:pt>
                <c:pt idx="750">
                  <c:v>0.30499999999999999</c:v>
                </c:pt>
                <c:pt idx="751">
                  <c:v>0.30499999999999999</c:v>
                </c:pt>
                <c:pt idx="752">
                  <c:v>0.30499999999999999</c:v>
                </c:pt>
                <c:pt idx="753">
                  <c:v>0.30499999999999999</c:v>
                </c:pt>
                <c:pt idx="754">
                  <c:v>0.30499999999999999</c:v>
                </c:pt>
                <c:pt idx="755">
                  <c:v>0.30499999999999999</c:v>
                </c:pt>
                <c:pt idx="756">
                  <c:v>0.31</c:v>
                </c:pt>
                <c:pt idx="757">
                  <c:v>0.31749999999999995</c:v>
                </c:pt>
                <c:pt idx="758">
                  <c:v>0.3175</c:v>
                </c:pt>
                <c:pt idx="759">
                  <c:v>0.3125</c:v>
                </c:pt>
                <c:pt idx="760">
                  <c:v>0.315</c:v>
                </c:pt>
                <c:pt idx="761">
                  <c:v>0.32750000000000001</c:v>
                </c:pt>
                <c:pt idx="762">
                  <c:v>0.33249999999999996</c:v>
                </c:pt>
                <c:pt idx="763">
                  <c:v>0.34</c:v>
                </c:pt>
                <c:pt idx="764">
                  <c:v>0.34500000000000003</c:v>
                </c:pt>
                <c:pt idx="765">
                  <c:v>0.35000000000000003</c:v>
                </c:pt>
                <c:pt idx="766">
                  <c:v>0.34750000000000009</c:v>
                </c:pt>
                <c:pt idx="767">
                  <c:v>0.34500000000000003</c:v>
                </c:pt>
                <c:pt idx="768">
                  <c:v>0.34750000000000009</c:v>
                </c:pt>
                <c:pt idx="769">
                  <c:v>0.35250000000000009</c:v>
                </c:pt>
                <c:pt idx="770">
                  <c:v>0.35500000000000009</c:v>
                </c:pt>
                <c:pt idx="771">
                  <c:v>0.35500000000000009</c:v>
                </c:pt>
                <c:pt idx="772">
                  <c:v>0.35500000000000009</c:v>
                </c:pt>
                <c:pt idx="773">
                  <c:v>0.35500000000000009</c:v>
                </c:pt>
                <c:pt idx="774">
                  <c:v>0.35500000000000009</c:v>
                </c:pt>
                <c:pt idx="775">
                  <c:v>0.35500000000000009</c:v>
                </c:pt>
                <c:pt idx="776">
                  <c:v>0.35500000000000009</c:v>
                </c:pt>
                <c:pt idx="777">
                  <c:v>0.35500000000000009</c:v>
                </c:pt>
                <c:pt idx="778">
                  <c:v>0.35500000000000009</c:v>
                </c:pt>
                <c:pt idx="779">
                  <c:v>0.35500000000000009</c:v>
                </c:pt>
                <c:pt idx="780">
                  <c:v>0.35500000000000009</c:v>
                </c:pt>
                <c:pt idx="781">
                  <c:v>0.35500000000000009</c:v>
                </c:pt>
                <c:pt idx="782">
                  <c:v>0.35500000000000009</c:v>
                </c:pt>
                <c:pt idx="783">
                  <c:v>0.35500000000000009</c:v>
                </c:pt>
                <c:pt idx="784">
                  <c:v>0.35500000000000009</c:v>
                </c:pt>
                <c:pt idx="785">
                  <c:v>0.35500000000000009</c:v>
                </c:pt>
                <c:pt idx="786">
                  <c:v>0.35500000000000009</c:v>
                </c:pt>
                <c:pt idx="787">
                  <c:v>0.34250000000000008</c:v>
                </c:pt>
                <c:pt idx="788">
                  <c:v>0.33500000000000002</c:v>
                </c:pt>
                <c:pt idx="789">
                  <c:v>0.34250000000000008</c:v>
                </c:pt>
                <c:pt idx="790">
                  <c:v>0.34250000000000014</c:v>
                </c:pt>
                <c:pt idx="791">
                  <c:v>0.34250000000000008</c:v>
                </c:pt>
                <c:pt idx="792">
                  <c:v>0.34250000000000008</c:v>
                </c:pt>
                <c:pt idx="793">
                  <c:v>0.34000000000000008</c:v>
                </c:pt>
                <c:pt idx="794">
                  <c:v>0.33500000000000008</c:v>
                </c:pt>
                <c:pt idx="795">
                  <c:v>0.34000000000000008</c:v>
                </c:pt>
                <c:pt idx="796">
                  <c:v>0.34500000000000008</c:v>
                </c:pt>
                <c:pt idx="797">
                  <c:v>0.34500000000000008</c:v>
                </c:pt>
                <c:pt idx="798">
                  <c:v>0.35000000000000014</c:v>
                </c:pt>
                <c:pt idx="799">
                  <c:v>0.35250000000000009</c:v>
                </c:pt>
                <c:pt idx="800">
                  <c:v>0.34750000000000009</c:v>
                </c:pt>
                <c:pt idx="801">
                  <c:v>0.34750000000000009</c:v>
                </c:pt>
                <c:pt idx="802">
                  <c:v>0.34750000000000009</c:v>
                </c:pt>
                <c:pt idx="803">
                  <c:v>0.34750000000000009</c:v>
                </c:pt>
                <c:pt idx="804">
                  <c:v>0.34750000000000009</c:v>
                </c:pt>
                <c:pt idx="805">
                  <c:v>0.34750000000000009</c:v>
                </c:pt>
                <c:pt idx="806">
                  <c:v>0.34750000000000009</c:v>
                </c:pt>
                <c:pt idx="807">
                  <c:v>0.34750000000000009</c:v>
                </c:pt>
                <c:pt idx="808">
                  <c:v>0.34750000000000009</c:v>
                </c:pt>
                <c:pt idx="809">
                  <c:v>0.34750000000000009</c:v>
                </c:pt>
                <c:pt idx="810">
                  <c:v>0.34750000000000009</c:v>
                </c:pt>
                <c:pt idx="811">
                  <c:v>0.34750000000000009</c:v>
                </c:pt>
                <c:pt idx="812">
                  <c:v>0.34750000000000009</c:v>
                </c:pt>
                <c:pt idx="813">
                  <c:v>0.34750000000000009</c:v>
                </c:pt>
                <c:pt idx="814">
                  <c:v>0.34750000000000009</c:v>
                </c:pt>
                <c:pt idx="815">
                  <c:v>0.34750000000000009</c:v>
                </c:pt>
                <c:pt idx="816">
                  <c:v>0.34500000000000003</c:v>
                </c:pt>
                <c:pt idx="817">
                  <c:v>0.34750000000000003</c:v>
                </c:pt>
                <c:pt idx="818">
                  <c:v>0.35</c:v>
                </c:pt>
                <c:pt idx="819">
                  <c:v>0.35000000000000014</c:v>
                </c:pt>
                <c:pt idx="820">
                  <c:v>0.34000000000000008</c:v>
                </c:pt>
                <c:pt idx="821">
                  <c:v>0.33250000000000007</c:v>
                </c:pt>
                <c:pt idx="822">
                  <c:v>0.32250000000000001</c:v>
                </c:pt>
                <c:pt idx="823">
                  <c:v>0.32250000000000001</c:v>
                </c:pt>
                <c:pt idx="824">
                  <c:v>0.31500000000000006</c:v>
                </c:pt>
                <c:pt idx="825">
                  <c:v>0.30500000000000005</c:v>
                </c:pt>
                <c:pt idx="826">
                  <c:v>0.30500000000000005</c:v>
                </c:pt>
                <c:pt idx="827">
                  <c:v>0.31250000000000006</c:v>
                </c:pt>
                <c:pt idx="828">
                  <c:v>0.31250000000000011</c:v>
                </c:pt>
                <c:pt idx="829">
                  <c:v>0.31250000000000011</c:v>
                </c:pt>
                <c:pt idx="830">
                  <c:v>0.31250000000000011</c:v>
                </c:pt>
                <c:pt idx="831">
                  <c:v>0.31250000000000006</c:v>
                </c:pt>
                <c:pt idx="832">
                  <c:v>0.31250000000000006</c:v>
                </c:pt>
                <c:pt idx="833">
                  <c:v>0.31250000000000006</c:v>
                </c:pt>
                <c:pt idx="834">
                  <c:v>0.31250000000000006</c:v>
                </c:pt>
                <c:pt idx="835">
                  <c:v>0.31250000000000006</c:v>
                </c:pt>
                <c:pt idx="836">
                  <c:v>0.31250000000000006</c:v>
                </c:pt>
                <c:pt idx="837">
                  <c:v>0.31250000000000006</c:v>
                </c:pt>
                <c:pt idx="838">
                  <c:v>0.31250000000000006</c:v>
                </c:pt>
                <c:pt idx="839">
                  <c:v>0.31250000000000006</c:v>
                </c:pt>
                <c:pt idx="840">
                  <c:v>0.31250000000000006</c:v>
                </c:pt>
                <c:pt idx="841">
                  <c:v>0.31250000000000006</c:v>
                </c:pt>
                <c:pt idx="842">
                  <c:v>0.31250000000000006</c:v>
                </c:pt>
                <c:pt idx="843">
                  <c:v>0.31250000000000006</c:v>
                </c:pt>
                <c:pt idx="844">
                  <c:v>0.31250000000000006</c:v>
                </c:pt>
                <c:pt idx="845">
                  <c:v>0.31250000000000006</c:v>
                </c:pt>
                <c:pt idx="846">
                  <c:v>0.31750000000000006</c:v>
                </c:pt>
                <c:pt idx="847">
                  <c:v>0.31000000000000011</c:v>
                </c:pt>
                <c:pt idx="848">
                  <c:v>0.31250000000000006</c:v>
                </c:pt>
                <c:pt idx="849">
                  <c:v>0.30500000000000005</c:v>
                </c:pt>
                <c:pt idx="850">
                  <c:v>0.315</c:v>
                </c:pt>
                <c:pt idx="851">
                  <c:v>0.31500000000000006</c:v>
                </c:pt>
                <c:pt idx="852">
                  <c:v>0.3175</c:v>
                </c:pt>
                <c:pt idx="853">
                  <c:v>0.31750000000000006</c:v>
                </c:pt>
                <c:pt idx="854">
                  <c:v>0.32000000000000012</c:v>
                </c:pt>
                <c:pt idx="855">
                  <c:v>0.31750000000000006</c:v>
                </c:pt>
                <c:pt idx="856">
                  <c:v>0.31750000000000006</c:v>
                </c:pt>
                <c:pt idx="857">
                  <c:v>0.31500000000000011</c:v>
                </c:pt>
                <c:pt idx="858">
                  <c:v>0.31500000000000006</c:v>
                </c:pt>
                <c:pt idx="859">
                  <c:v>0.31250000000000006</c:v>
                </c:pt>
                <c:pt idx="860">
                  <c:v>0.31500000000000006</c:v>
                </c:pt>
                <c:pt idx="861">
                  <c:v>0.31</c:v>
                </c:pt>
                <c:pt idx="862">
                  <c:v>0.31</c:v>
                </c:pt>
                <c:pt idx="863">
                  <c:v>0.31</c:v>
                </c:pt>
                <c:pt idx="864">
                  <c:v>0.31</c:v>
                </c:pt>
                <c:pt idx="865">
                  <c:v>0.31</c:v>
                </c:pt>
                <c:pt idx="866">
                  <c:v>0.31</c:v>
                </c:pt>
                <c:pt idx="867">
                  <c:v>0.31</c:v>
                </c:pt>
                <c:pt idx="868">
                  <c:v>0.31</c:v>
                </c:pt>
                <c:pt idx="869">
                  <c:v>0.31</c:v>
                </c:pt>
                <c:pt idx="870">
                  <c:v>0.31</c:v>
                </c:pt>
                <c:pt idx="871">
                  <c:v>0.31</c:v>
                </c:pt>
                <c:pt idx="872">
                  <c:v>0.31</c:v>
                </c:pt>
                <c:pt idx="873">
                  <c:v>0.31</c:v>
                </c:pt>
                <c:pt idx="874">
                  <c:v>0.31</c:v>
                </c:pt>
                <c:pt idx="875">
                  <c:v>0.31</c:v>
                </c:pt>
                <c:pt idx="876">
                  <c:v>0.30750000000000005</c:v>
                </c:pt>
                <c:pt idx="877">
                  <c:v>0.3</c:v>
                </c:pt>
                <c:pt idx="878">
                  <c:v>0.30000000000000004</c:v>
                </c:pt>
                <c:pt idx="879">
                  <c:v>0.31</c:v>
                </c:pt>
                <c:pt idx="880">
                  <c:v>0.31500000000000006</c:v>
                </c:pt>
                <c:pt idx="881">
                  <c:v>0.30750000000000005</c:v>
                </c:pt>
                <c:pt idx="882">
                  <c:v>0.31250000000000006</c:v>
                </c:pt>
                <c:pt idx="883">
                  <c:v>0.30750000000000005</c:v>
                </c:pt>
                <c:pt idx="884">
                  <c:v>0.31000000000000011</c:v>
                </c:pt>
                <c:pt idx="885">
                  <c:v>0.31250000000000006</c:v>
                </c:pt>
                <c:pt idx="886">
                  <c:v>0.31000000000000011</c:v>
                </c:pt>
                <c:pt idx="887">
                  <c:v>0.30500000000000005</c:v>
                </c:pt>
                <c:pt idx="888">
                  <c:v>0.30500000000000005</c:v>
                </c:pt>
                <c:pt idx="889">
                  <c:v>0.30500000000000005</c:v>
                </c:pt>
                <c:pt idx="890">
                  <c:v>0.3</c:v>
                </c:pt>
                <c:pt idx="891">
                  <c:v>0.30499999999999999</c:v>
                </c:pt>
                <c:pt idx="892">
                  <c:v>0.30499999999999999</c:v>
                </c:pt>
                <c:pt idx="893">
                  <c:v>0.30499999999999999</c:v>
                </c:pt>
                <c:pt idx="894">
                  <c:v>0.30499999999999999</c:v>
                </c:pt>
                <c:pt idx="895">
                  <c:v>0.30499999999999999</c:v>
                </c:pt>
                <c:pt idx="896">
                  <c:v>0.30499999999999999</c:v>
                </c:pt>
                <c:pt idx="897">
                  <c:v>0.30499999999999999</c:v>
                </c:pt>
                <c:pt idx="898">
                  <c:v>0.30499999999999999</c:v>
                </c:pt>
                <c:pt idx="899">
                  <c:v>0.30499999999999999</c:v>
                </c:pt>
                <c:pt idx="900">
                  <c:v>0.30499999999999999</c:v>
                </c:pt>
                <c:pt idx="901">
                  <c:v>0.30499999999999999</c:v>
                </c:pt>
                <c:pt idx="902">
                  <c:v>0.30499999999999999</c:v>
                </c:pt>
                <c:pt idx="903">
                  <c:v>0.30499999999999999</c:v>
                </c:pt>
                <c:pt idx="904">
                  <c:v>0.30499999999999999</c:v>
                </c:pt>
                <c:pt idx="905">
                  <c:v>0.30499999999999999</c:v>
                </c:pt>
                <c:pt idx="906">
                  <c:v>0.30249999999999994</c:v>
                </c:pt>
                <c:pt idx="907">
                  <c:v>1.125</c:v>
                </c:pt>
                <c:pt idx="908">
                  <c:v>1.1224999999999998</c:v>
                </c:pt>
                <c:pt idx="909">
                  <c:v>1.1375</c:v>
                </c:pt>
                <c:pt idx="910">
                  <c:v>1.1424999999999998</c:v>
                </c:pt>
                <c:pt idx="911">
                  <c:v>1.1475</c:v>
                </c:pt>
                <c:pt idx="912">
                  <c:v>1.1575</c:v>
                </c:pt>
                <c:pt idx="913">
                  <c:v>1.1675000000000002</c:v>
                </c:pt>
                <c:pt idx="914">
                  <c:v>1.1700000000000004</c:v>
                </c:pt>
                <c:pt idx="915">
                  <c:v>1.1775</c:v>
                </c:pt>
                <c:pt idx="916">
                  <c:v>1.1850000000000001</c:v>
                </c:pt>
                <c:pt idx="917">
                  <c:v>1.1950000000000001</c:v>
                </c:pt>
                <c:pt idx="918">
                  <c:v>1.1975000000000002</c:v>
                </c:pt>
                <c:pt idx="919">
                  <c:v>1.2100000000000002</c:v>
                </c:pt>
                <c:pt idx="920">
                  <c:v>1.2125000000000001</c:v>
                </c:pt>
                <c:pt idx="921">
                  <c:v>1.2225000000000001</c:v>
                </c:pt>
                <c:pt idx="922">
                  <c:v>1.2225000000000001</c:v>
                </c:pt>
                <c:pt idx="923">
                  <c:v>1.2225000000000001</c:v>
                </c:pt>
                <c:pt idx="924">
                  <c:v>1.2225000000000001</c:v>
                </c:pt>
                <c:pt idx="925">
                  <c:v>1.2225000000000001</c:v>
                </c:pt>
                <c:pt idx="926">
                  <c:v>1.2225000000000001</c:v>
                </c:pt>
                <c:pt idx="927">
                  <c:v>1.2225000000000001</c:v>
                </c:pt>
                <c:pt idx="928">
                  <c:v>1.2225000000000001</c:v>
                </c:pt>
                <c:pt idx="929">
                  <c:v>1.2225000000000001</c:v>
                </c:pt>
                <c:pt idx="930">
                  <c:v>1.2225000000000001</c:v>
                </c:pt>
                <c:pt idx="931">
                  <c:v>1.2225000000000001</c:v>
                </c:pt>
                <c:pt idx="932">
                  <c:v>1.2225000000000001</c:v>
                </c:pt>
                <c:pt idx="933">
                  <c:v>1.7250000000000001</c:v>
                </c:pt>
                <c:pt idx="934">
                  <c:v>2.11</c:v>
                </c:pt>
                <c:pt idx="935">
                  <c:v>2.11</c:v>
                </c:pt>
                <c:pt idx="936">
                  <c:v>2.1175000000000002</c:v>
                </c:pt>
                <c:pt idx="937">
                  <c:v>2.1325000000000003</c:v>
                </c:pt>
                <c:pt idx="938">
                  <c:v>2.1300000000000003</c:v>
                </c:pt>
                <c:pt idx="939">
                  <c:v>2.12</c:v>
                </c:pt>
                <c:pt idx="940">
                  <c:v>2.12</c:v>
                </c:pt>
                <c:pt idx="941">
                  <c:v>2.1225000000000001</c:v>
                </c:pt>
                <c:pt idx="942">
                  <c:v>2.1225000000000001</c:v>
                </c:pt>
                <c:pt idx="943">
                  <c:v>2.1249999999999996</c:v>
                </c:pt>
                <c:pt idx="944">
                  <c:v>2.1349999999999993</c:v>
                </c:pt>
                <c:pt idx="945">
                  <c:v>2.1374999999999997</c:v>
                </c:pt>
                <c:pt idx="946">
                  <c:v>2.1349999999999998</c:v>
                </c:pt>
                <c:pt idx="947">
                  <c:v>2.145</c:v>
                </c:pt>
                <c:pt idx="948">
                  <c:v>2.1524999999999994</c:v>
                </c:pt>
                <c:pt idx="949">
                  <c:v>2.1549999999999998</c:v>
                </c:pt>
                <c:pt idx="950">
                  <c:v>2.1599999999999993</c:v>
                </c:pt>
                <c:pt idx="951">
                  <c:v>2.1574999999999998</c:v>
                </c:pt>
                <c:pt idx="952">
                  <c:v>2.1574999999999998</c:v>
                </c:pt>
                <c:pt idx="953">
                  <c:v>2.1574999999999998</c:v>
                </c:pt>
                <c:pt idx="954">
                  <c:v>2.1574999999999998</c:v>
                </c:pt>
                <c:pt idx="955">
                  <c:v>2.1574999999999998</c:v>
                </c:pt>
                <c:pt idx="956">
                  <c:v>2.1574999999999998</c:v>
                </c:pt>
                <c:pt idx="957">
                  <c:v>2.1574999999999998</c:v>
                </c:pt>
                <c:pt idx="958">
                  <c:v>2.1574999999999998</c:v>
                </c:pt>
                <c:pt idx="959">
                  <c:v>2.1574999999999998</c:v>
                </c:pt>
                <c:pt idx="960">
                  <c:v>2.1625000000000001</c:v>
                </c:pt>
                <c:pt idx="961">
                  <c:v>2.1625000000000001</c:v>
                </c:pt>
                <c:pt idx="962">
                  <c:v>2.165</c:v>
                </c:pt>
                <c:pt idx="963">
                  <c:v>2.1700000000000004</c:v>
                </c:pt>
                <c:pt idx="964">
                  <c:v>2.1775000000000002</c:v>
                </c:pt>
                <c:pt idx="965">
                  <c:v>2.1825000000000001</c:v>
                </c:pt>
                <c:pt idx="966">
                  <c:v>2.19</c:v>
                </c:pt>
                <c:pt idx="967">
                  <c:v>1.385</c:v>
                </c:pt>
                <c:pt idx="968">
                  <c:v>1.3999999999999997</c:v>
                </c:pt>
                <c:pt idx="969">
                  <c:v>1.3900000000000001</c:v>
                </c:pt>
                <c:pt idx="970">
                  <c:v>1.3850000000000002</c:v>
                </c:pt>
                <c:pt idx="971">
                  <c:v>1.3924999999999998</c:v>
                </c:pt>
                <c:pt idx="972">
                  <c:v>1.385</c:v>
                </c:pt>
                <c:pt idx="973">
                  <c:v>1.3725000000000001</c:v>
                </c:pt>
                <c:pt idx="974">
                  <c:v>1.38</c:v>
                </c:pt>
                <c:pt idx="975">
                  <c:v>1.38</c:v>
                </c:pt>
                <c:pt idx="976">
                  <c:v>1.3775000000000002</c:v>
                </c:pt>
                <c:pt idx="977">
                  <c:v>1.375</c:v>
                </c:pt>
                <c:pt idx="978">
                  <c:v>1.3750000000000002</c:v>
                </c:pt>
                <c:pt idx="979">
                  <c:v>1.3724999999999998</c:v>
                </c:pt>
                <c:pt idx="980">
                  <c:v>1.375</c:v>
                </c:pt>
                <c:pt idx="981">
                  <c:v>1.3749999999999998</c:v>
                </c:pt>
                <c:pt idx="982">
                  <c:v>1.3749999999999998</c:v>
                </c:pt>
                <c:pt idx="983">
                  <c:v>1.3749999999999998</c:v>
                </c:pt>
                <c:pt idx="984">
                  <c:v>1.3749999999999998</c:v>
                </c:pt>
                <c:pt idx="985">
                  <c:v>1.3749999999999998</c:v>
                </c:pt>
                <c:pt idx="986">
                  <c:v>1.3749999999999998</c:v>
                </c:pt>
                <c:pt idx="987">
                  <c:v>1.3749999999999998</c:v>
                </c:pt>
                <c:pt idx="988">
                  <c:v>1.3749999999999998</c:v>
                </c:pt>
                <c:pt idx="989">
                  <c:v>1.3749999999999998</c:v>
                </c:pt>
                <c:pt idx="990">
                  <c:v>1.3799999999999997</c:v>
                </c:pt>
                <c:pt idx="991">
                  <c:v>1.3849999999999996</c:v>
                </c:pt>
                <c:pt idx="992">
                  <c:v>1.3874999999999997</c:v>
                </c:pt>
                <c:pt idx="993">
                  <c:v>0.89250000000000018</c:v>
                </c:pt>
                <c:pt idx="994">
                  <c:v>0.51500000000000001</c:v>
                </c:pt>
                <c:pt idx="995">
                  <c:v>0.52</c:v>
                </c:pt>
                <c:pt idx="996">
                  <c:v>0.53</c:v>
                </c:pt>
                <c:pt idx="997">
                  <c:v>0.52250000000000008</c:v>
                </c:pt>
                <c:pt idx="998">
                  <c:v>0.51500000000000012</c:v>
                </c:pt>
                <c:pt idx="999">
                  <c:v>0.51750000000000007</c:v>
                </c:pt>
                <c:pt idx="1000">
                  <c:v>0.52500000000000002</c:v>
                </c:pt>
                <c:pt idx="1001">
                  <c:v>0.52</c:v>
                </c:pt>
                <c:pt idx="1002">
                  <c:v>0.53</c:v>
                </c:pt>
                <c:pt idx="1003">
                  <c:v>0.53000000000000014</c:v>
                </c:pt>
                <c:pt idx="1004">
                  <c:v>0.52750000000000008</c:v>
                </c:pt>
                <c:pt idx="1005">
                  <c:v>0.53250000000000008</c:v>
                </c:pt>
                <c:pt idx="1006">
                  <c:v>0.54000000000000015</c:v>
                </c:pt>
                <c:pt idx="1007">
                  <c:v>0.53500000000000003</c:v>
                </c:pt>
                <c:pt idx="1008">
                  <c:v>0.53250000000000008</c:v>
                </c:pt>
                <c:pt idx="1009">
                  <c:v>0.53250000000000008</c:v>
                </c:pt>
                <c:pt idx="1010">
                  <c:v>0.53749999999999998</c:v>
                </c:pt>
                <c:pt idx="1011">
                  <c:v>0.54749999999999999</c:v>
                </c:pt>
                <c:pt idx="1012">
                  <c:v>0.54749999999999999</c:v>
                </c:pt>
                <c:pt idx="1013">
                  <c:v>0.54749999999999999</c:v>
                </c:pt>
                <c:pt idx="1014">
                  <c:v>0.54749999999999999</c:v>
                </c:pt>
                <c:pt idx="1015">
                  <c:v>0.54749999999999999</c:v>
                </c:pt>
                <c:pt idx="1016">
                  <c:v>0.54749999999999999</c:v>
                </c:pt>
                <c:pt idx="1017">
                  <c:v>0.54749999999999999</c:v>
                </c:pt>
                <c:pt idx="1018">
                  <c:v>0.54749999999999999</c:v>
                </c:pt>
                <c:pt idx="1019">
                  <c:v>0.54749999999999999</c:v>
                </c:pt>
                <c:pt idx="1020">
                  <c:v>0.54250000000000009</c:v>
                </c:pt>
                <c:pt idx="1021">
                  <c:v>0.54250000000000009</c:v>
                </c:pt>
                <c:pt idx="1022">
                  <c:v>0.54249999999999998</c:v>
                </c:pt>
                <c:pt idx="1023">
                  <c:v>0.54249999999999998</c:v>
                </c:pt>
                <c:pt idx="1024">
                  <c:v>0.53749999999999987</c:v>
                </c:pt>
                <c:pt idx="1025">
                  <c:v>0.54499999999999993</c:v>
                </c:pt>
                <c:pt idx="1026">
                  <c:v>0.54500000000000004</c:v>
                </c:pt>
                <c:pt idx="1027">
                  <c:v>0.53749999999999998</c:v>
                </c:pt>
                <c:pt idx="1028">
                  <c:v>0.52500000000000002</c:v>
                </c:pt>
                <c:pt idx="1029">
                  <c:v>0.53249999999999997</c:v>
                </c:pt>
                <c:pt idx="1030">
                  <c:v>0.52249999999999996</c:v>
                </c:pt>
                <c:pt idx="1031">
                  <c:v>0.4975</c:v>
                </c:pt>
                <c:pt idx="1032">
                  <c:v>0.50249999999999995</c:v>
                </c:pt>
                <c:pt idx="1033">
                  <c:v>0.51500000000000001</c:v>
                </c:pt>
                <c:pt idx="1034">
                  <c:v>0.505</c:v>
                </c:pt>
                <c:pt idx="1035">
                  <c:v>0.50249999999999995</c:v>
                </c:pt>
                <c:pt idx="1036">
                  <c:v>0.50249999999999995</c:v>
                </c:pt>
                <c:pt idx="1037">
                  <c:v>0.49999999999999989</c:v>
                </c:pt>
                <c:pt idx="1038">
                  <c:v>0.49999999999999989</c:v>
                </c:pt>
                <c:pt idx="1039">
                  <c:v>0.49499999999999988</c:v>
                </c:pt>
                <c:pt idx="1040">
                  <c:v>0.49499999999999994</c:v>
                </c:pt>
                <c:pt idx="1041">
                  <c:v>0.49</c:v>
                </c:pt>
                <c:pt idx="1042">
                  <c:v>0.49</c:v>
                </c:pt>
                <c:pt idx="1043">
                  <c:v>0.49</c:v>
                </c:pt>
                <c:pt idx="1044">
                  <c:v>0.49</c:v>
                </c:pt>
                <c:pt idx="1045">
                  <c:v>0.49</c:v>
                </c:pt>
                <c:pt idx="1046">
                  <c:v>0.49</c:v>
                </c:pt>
                <c:pt idx="1047">
                  <c:v>0.49</c:v>
                </c:pt>
                <c:pt idx="1048">
                  <c:v>0.49</c:v>
                </c:pt>
                <c:pt idx="1049">
                  <c:v>0.49</c:v>
                </c:pt>
                <c:pt idx="1050">
                  <c:v>0.48499999999999999</c:v>
                </c:pt>
                <c:pt idx="1051">
                  <c:v>0.48000000000000004</c:v>
                </c:pt>
                <c:pt idx="1052">
                  <c:v>0.48000000000000004</c:v>
                </c:pt>
                <c:pt idx="1053">
                  <c:v>0.47999999999999993</c:v>
                </c:pt>
                <c:pt idx="1054">
                  <c:v>0.47499999999999992</c:v>
                </c:pt>
                <c:pt idx="1055">
                  <c:v>0.47499999999999992</c:v>
                </c:pt>
                <c:pt idx="1056">
                  <c:v>0.47499999999999998</c:v>
                </c:pt>
                <c:pt idx="1057">
                  <c:v>0.47999999999999993</c:v>
                </c:pt>
                <c:pt idx="1058">
                  <c:v>0.49</c:v>
                </c:pt>
                <c:pt idx="1059">
                  <c:v>0.495</c:v>
                </c:pt>
                <c:pt idx="1060">
                  <c:v>0.4975</c:v>
                </c:pt>
                <c:pt idx="1061">
                  <c:v>0.495</c:v>
                </c:pt>
                <c:pt idx="1062">
                  <c:v>0.50249999999999995</c:v>
                </c:pt>
                <c:pt idx="1063">
                  <c:v>0.50749999999999995</c:v>
                </c:pt>
                <c:pt idx="1064">
                  <c:v>0.50749999999999995</c:v>
                </c:pt>
                <c:pt idx="1065">
                  <c:v>0.5149999999999999</c:v>
                </c:pt>
                <c:pt idx="1066">
                  <c:v>0.51749999999999985</c:v>
                </c:pt>
                <c:pt idx="1067">
                  <c:v>0.5149999999999999</c:v>
                </c:pt>
                <c:pt idx="1068">
                  <c:v>0.51749999999999996</c:v>
                </c:pt>
                <c:pt idx="1069">
                  <c:v>0.51749999999999985</c:v>
                </c:pt>
                <c:pt idx="1070">
                  <c:v>0.5149999999999999</c:v>
                </c:pt>
                <c:pt idx="1071">
                  <c:v>0.51</c:v>
                </c:pt>
                <c:pt idx="1072">
                  <c:v>0.51</c:v>
                </c:pt>
                <c:pt idx="1073">
                  <c:v>0.51</c:v>
                </c:pt>
                <c:pt idx="1074">
                  <c:v>0.51</c:v>
                </c:pt>
                <c:pt idx="1075">
                  <c:v>0.51</c:v>
                </c:pt>
                <c:pt idx="1076">
                  <c:v>0.51</c:v>
                </c:pt>
                <c:pt idx="1077">
                  <c:v>0.51</c:v>
                </c:pt>
                <c:pt idx="1078">
                  <c:v>0.51</c:v>
                </c:pt>
                <c:pt idx="1079">
                  <c:v>0.51</c:v>
                </c:pt>
                <c:pt idx="1080">
                  <c:v>0.51</c:v>
                </c:pt>
                <c:pt idx="1081">
                  <c:v>0.51</c:v>
                </c:pt>
                <c:pt idx="1082">
                  <c:v>0.51</c:v>
                </c:pt>
                <c:pt idx="1083">
                  <c:v>0.51</c:v>
                </c:pt>
                <c:pt idx="1084">
                  <c:v>0.51249999999999996</c:v>
                </c:pt>
                <c:pt idx="1085">
                  <c:v>0.505</c:v>
                </c:pt>
                <c:pt idx="1086">
                  <c:v>0.52749999999999997</c:v>
                </c:pt>
                <c:pt idx="1087">
                  <c:v>0.52750000000000008</c:v>
                </c:pt>
                <c:pt idx="1088">
                  <c:v>0.53</c:v>
                </c:pt>
                <c:pt idx="1089">
                  <c:v>0.51500000000000001</c:v>
                </c:pt>
                <c:pt idx="1090">
                  <c:v>0.52250000000000008</c:v>
                </c:pt>
                <c:pt idx="1091">
                  <c:v>0.53999999999999992</c:v>
                </c:pt>
                <c:pt idx="1092">
                  <c:v>0.53500000000000014</c:v>
                </c:pt>
                <c:pt idx="1093">
                  <c:v>0.53</c:v>
                </c:pt>
                <c:pt idx="1094">
                  <c:v>0.53</c:v>
                </c:pt>
                <c:pt idx="1095">
                  <c:v>0.52500000000000002</c:v>
                </c:pt>
                <c:pt idx="1096">
                  <c:v>0.52250000000000008</c:v>
                </c:pt>
                <c:pt idx="1097">
                  <c:v>0.51749999999999996</c:v>
                </c:pt>
                <c:pt idx="1098">
                  <c:v>0.52</c:v>
                </c:pt>
                <c:pt idx="1099">
                  <c:v>0.51750000000000007</c:v>
                </c:pt>
                <c:pt idx="1100">
                  <c:v>0.51250000000000007</c:v>
                </c:pt>
                <c:pt idx="1101">
                  <c:v>0.51250000000000007</c:v>
                </c:pt>
                <c:pt idx="1102">
                  <c:v>0.51250000000000007</c:v>
                </c:pt>
                <c:pt idx="1103">
                  <c:v>0.51250000000000007</c:v>
                </c:pt>
                <c:pt idx="1104">
                  <c:v>0.51250000000000007</c:v>
                </c:pt>
                <c:pt idx="1105">
                  <c:v>0.51250000000000007</c:v>
                </c:pt>
                <c:pt idx="1106">
                  <c:v>0.51250000000000007</c:v>
                </c:pt>
                <c:pt idx="1107">
                  <c:v>0.51250000000000007</c:v>
                </c:pt>
                <c:pt idx="1108">
                  <c:v>0.51250000000000007</c:v>
                </c:pt>
                <c:pt idx="1109">
                  <c:v>0.51250000000000007</c:v>
                </c:pt>
                <c:pt idx="1110">
                  <c:v>0.51250000000000007</c:v>
                </c:pt>
                <c:pt idx="1111">
                  <c:v>0.51250000000000007</c:v>
                </c:pt>
                <c:pt idx="1112">
                  <c:v>0.52250000000000008</c:v>
                </c:pt>
                <c:pt idx="1113">
                  <c:v>0.52</c:v>
                </c:pt>
                <c:pt idx="1114">
                  <c:v>0.52500000000000002</c:v>
                </c:pt>
                <c:pt idx="1115">
                  <c:v>0.53500000000000003</c:v>
                </c:pt>
                <c:pt idx="1116">
                  <c:v>0.54749999999999999</c:v>
                </c:pt>
                <c:pt idx="1117">
                  <c:v>0.53</c:v>
                </c:pt>
                <c:pt idx="1118">
                  <c:v>0.52500000000000002</c:v>
                </c:pt>
                <c:pt idx="1119">
                  <c:v>0.51500000000000001</c:v>
                </c:pt>
                <c:pt idx="1120">
                  <c:v>0.49750000000000011</c:v>
                </c:pt>
                <c:pt idx="1121">
                  <c:v>0.51750000000000007</c:v>
                </c:pt>
                <c:pt idx="1122">
                  <c:v>0.49750000000000011</c:v>
                </c:pt>
                <c:pt idx="1123">
                  <c:v>0.49250000000000005</c:v>
                </c:pt>
                <c:pt idx="1124">
                  <c:v>0.48750000000000004</c:v>
                </c:pt>
                <c:pt idx="1125">
                  <c:v>0.47750000000000009</c:v>
                </c:pt>
                <c:pt idx="1126">
                  <c:v>0.47250000000000003</c:v>
                </c:pt>
                <c:pt idx="1127">
                  <c:v>0.47750000000000004</c:v>
                </c:pt>
                <c:pt idx="1128">
                  <c:v>0.47000000000000008</c:v>
                </c:pt>
                <c:pt idx="1129">
                  <c:v>0.46750000000000014</c:v>
                </c:pt>
                <c:pt idx="1130">
                  <c:v>0.46500000000000008</c:v>
                </c:pt>
                <c:pt idx="1131">
                  <c:v>0.45500000000000007</c:v>
                </c:pt>
                <c:pt idx="1132">
                  <c:v>0.45500000000000007</c:v>
                </c:pt>
                <c:pt idx="1133">
                  <c:v>0.45500000000000007</c:v>
                </c:pt>
                <c:pt idx="1134">
                  <c:v>0.45500000000000007</c:v>
                </c:pt>
                <c:pt idx="1135">
                  <c:v>0.45500000000000007</c:v>
                </c:pt>
                <c:pt idx="1136">
                  <c:v>0.45500000000000007</c:v>
                </c:pt>
                <c:pt idx="1137">
                  <c:v>0.45500000000000007</c:v>
                </c:pt>
                <c:pt idx="1138">
                  <c:v>0.45500000000000007</c:v>
                </c:pt>
                <c:pt idx="1139">
                  <c:v>0.45500000000000007</c:v>
                </c:pt>
                <c:pt idx="1140">
                  <c:v>0.45500000000000007</c:v>
                </c:pt>
                <c:pt idx="1141">
                  <c:v>0.45500000000000007</c:v>
                </c:pt>
                <c:pt idx="1142">
                  <c:v>0.45250000000000007</c:v>
                </c:pt>
                <c:pt idx="1143">
                  <c:v>0.45000000000000007</c:v>
                </c:pt>
                <c:pt idx="1144">
                  <c:v>0.44750000000000001</c:v>
                </c:pt>
                <c:pt idx="1145">
                  <c:v>0.45749999999999996</c:v>
                </c:pt>
                <c:pt idx="1146">
                  <c:v>0.46</c:v>
                </c:pt>
                <c:pt idx="1147">
                  <c:v>0.45250000000000001</c:v>
                </c:pt>
                <c:pt idx="1148">
                  <c:v>0.44500000000000001</c:v>
                </c:pt>
                <c:pt idx="1149">
                  <c:v>0.4425</c:v>
                </c:pt>
                <c:pt idx="1150">
                  <c:v>0.43749999999999994</c:v>
                </c:pt>
                <c:pt idx="1151">
                  <c:v>0.42749999999999994</c:v>
                </c:pt>
                <c:pt idx="1152">
                  <c:v>0.42999999999999988</c:v>
                </c:pt>
                <c:pt idx="1153">
                  <c:v>0.42499999999999988</c:v>
                </c:pt>
                <c:pt idx="1154">
                  <c:v>0.42249999999999999</c:v>
                </c:pt>
                <c:pt idx="1155">
                  <c:v>0.43499999999999994</c:v>
                </c:pt>
                <c:pt idx="1156">
                  <c:v>0.4375</c:v>
                </c:pt>
                <c:pt idx="1157">
                  <c:v>0.4425</c:v>
                </c:pt>
                <c:pt idx="1158">
                  <c:v>0.44</c:v>
                </c:pt>
                <c:pt idx="1159">
                  <c:v>0.44249999999999995</c:v>
                </c:pt>
                <c:pt idx="1160">
                  <c:v>0.44249999999999995</c:v>
                </c:pt>
                <c:pt idx="1161">
                  <c:v>0.4375</c:v>
                </c:pt>
                <c:pt idx="1162">
                  <c:v>0.4375</c:v>
                </c:pt>
                <c:pt idx="1163">
                  <c:v>0.4375</c:v>
                </c:pt>
                <c:pt idx="1164">
                  <c:v>0.4375</c:v>
                </c:pt>
                <c:pt idx="1165">
                  <c:v>0.4375</c:v>
                </c:pt>
                <c:pt idx="1166">
                  <c:v>0.4375</c:v>
                </c:pt>
                <c:pt idx="1167">
                  <c:v>0.4375</c:v>
                </c:pt>
                <c:pt idx="1168">
                  <c:v>0.4375</c:v>
                </c:pt>
                <c:pt idx="1169">
                  <c:v>0.4375</c:v>
                </c:pt>
                <c:pt idx="1170">
                  <c:v>0.4375</c:v>
                </c:pt>
                <c:pt idx="1171">
                  <c:v>0.4375</c:v>
                </c:pt>
                <c:pt idx="1172">
                  <c:v>0.42749999999999999</c:v>
                </c:pt>
                <c:pt idx="1173">
                  <c:v>0.42499999999999988</c:v>
                </c:pt>
                <c:pt idx="1174">
                  <c:v>0.41999999999999993</c:v>
                </c:pt>
                <c:pt idx="1175">
                  <c:v>0.41999999999999993</c:v>
                </c:pt>
                <c:pt idx="1176">
                  <c:v>0.42499999999999988</c:v>
                </c:pt>
                <c:pt idx="1177">
                  <c:v>0.44249999999999984</c:v>
                </c:pt>
                <c:pt idx="1178">
                  <c:v>0.43749999999999989</c:v>
                </c:pt>
                <c:pt idx="1179">
                  <c:v>0.43249999999999994</c:v>
                </c:pt>
                <c:pt idx="1180">
                  <c:v>0.43749999999999994</c:v>
                </c:pt>
                <c:pt idx="1181">
                  <c:v>0.42749999999999994</c:v>
                </c:pt>
                <c:pt idx="1182">
                  <c:v>0.42249999999999982</c:v>
                </c:pt>
                <c:pt idx="1183">
                  <c:v>0.42249999999999999</c:v>
                </c:pt>
                <c:pt idx="1184">
                  <c:v>0.42</c:v>
                </c:pt>
                <c:pt idx="1185">
                  <c:v>0.42</c:v>
                </c:pt>
                <c:pt idx="1186">
                  <c:v>0.42500000000000004</c:v>
                </c:pt>
                <c:pt idx="1187">
                  <c:v>0.41499999999999998</c:v>
                </c:pt>
                <c:pt idx="1188">
                  <c:v>0.41000000000000003</c:v>
                </c:pt>
                <c:pt idx="1189">
                  <c:v>0.40500000000000003</c:v>
                </c:pt>
                <c:pt idx="1190">
                  <c:v>0.39750000000000002</c:v>
                </c:pt>
                <c:pt idx="1191">
                  <c:v>0.39750000000000002</c:v>
                </c:pt>
                <c:pt idx="1192">
                  <c:v>0.39750000000000002</c:v>
                </c:pt>
                <c:pt idx="1193">
                  <c:v>0.39750000000000002</c:v>
                </c:pt>
                <c:pt idx="1194">
                  <c:v>0.39750000000000002</c:v>
                </c:pt>
                <c:pt idx="1195">
                  <c:v>0.39750000000000002</c:v>
                </c:pt>
                <c:pt idx="1196">
                  <c:v>0.39750000000000002</c:v>
                </c:pt>
                <c:pt idx="1197">
                  <c:v>0.39750000000000002</c:v>
                </c:pt>
                <c:pt idx="1198">
                  <c:v>0.39750000000000002</c:v>
                </c:pt>
                <c:pt idx="1199">
                  <c:v>0.39750000000000002</c:v>
                </c:pt>
                <c:pt idx="1200">
                  <c:v>0.39750000000000002</c:v>
                </c:pt>
                <c:pt idx="1201">
                  <c:v>0.39750000000000002</c:v>
                </c:pt>
                <c:pt idx="1202">
                  <c:v>0.39750000000000002</c:v>
                </c:pt>
                <c:pt idx="1203">
                  <c:v>0.39500000000000007</c:v>
                </c:pt>
                <c:pt idx="1204">
                  <c:v>0.39250000000000002</c:v>
                </c:pt>
                <c:pt idx="1205">
                  <c:v>0.39500000000000007</c:v>
                </c:pt>
                <c:pt idx="1206">
                  <c:v>0.39250000000000007</c:v>
                </c:pt>
                <c:pt idx="1207">
                  <c:v>0.4</c:v>
                </c:pt>
                <c:pt idx="1208">
                  <c:v>0.4</c:v>
                </c:pt>
                <c:pt idx="1209">
                  <c:v>0.41249999999999998</c:v>
                </c:pt>
                <c:pt idx="1210">
                  <c:v>0.42250000000000004</c:v>
                </c:pt>
                <c:pt idx="1211">
                  <c:v>0.43250000000000005</c:v>
                </c:pt>
                <c:pt idx="1212">
                  <c:v>0.435</c:v>
                </c:pt>
                <c:pt idx="1213">
                  <c:v>0.43750000000000006</c:v>
                </c:pt>
                <c:pt idx="1214">
                  <c:v>0.4425</c:v>
                </c:pt>
                <c:pt idx="1215">
                  <c:v>0.435</c:v>
                </c:pt>
                <c:pt idx="1216">
                  <c:v>0.44</c:v>
                </c:pt>
                <c:pt idx="1217">
                  <c:v>0.44</c:v>
                </c:pt>
                <c:pt idx="1218">
                  <c:v>0.4425</c:v>
                </c:pt>
                <c:pt idx="1219">
                  <c:v>0.4375</c:v>
                </c:pt>
                <c:pt idx="1220">
                  <c:v>0.4325</c:v>
                </c:pt>
                <c:pt idx="1221">
                  <c:v>0.4325</c:v>
                </c:pt>
                <c:pt idx="1222">
                  <c:v>0.4325</c:v>
                </c:pt>
                <c:pt idx="1223">
                  <c:v>0.4325</c:v>
                </c:pt>
                <c:pt idx="1224">
                  <c:v>0.4325</c:v>
                </c:pt>
                <c:pt idx="1225">
                  <c:v>0.4325</c:v>
                </c:pt>
                <c:pt idx="1226">
                  <c:v>0.4325</c:v>
                </c:pt>
                <c:pt idx="1227">
                  <c:v>0.4325</c:v>
                </c:pt>
                <c:pt idx="1228">
                  <c:v>0.4325</c:v>
                </c:pt>
                <c:pt idx="1229">
                  <c:v>0.4325</c:v>
                </c:pt>
                <c:pt idx="1230">
                  <c:v>0.4325</c:v>
                </c:pt>
                <c:pt idx="1231">
                  <c:v>0.4325</c:v>
                </c:pt>
                <c:pt idx="1232">
                  <c:v>0.43</c:v>
                </c:pt>
                <c:pt idx="1233">
                  <c:v>0.42999999999999994</c:v>
                </c:pt>
                <c:pt idx="1234">
                  <c:v>0.4325</c:v>
                </c:pt>
                <c:pt idx="1235">
                  <c:v>0.44000000000000006</c:v>
                </c:pt>
                <c:pt idx="1236">
                  <c:v>0.43249999999999994</c:v>
                </c:pt>
                <c:pt idx="1237">
                  <c:v>0.41499999999999992</c:v>
                </c:pt>
                <c:pt idx="1238">
                  <c:v>0.42</c:v>
                </c:pt>
                <c:pt idx="1239">
                  <c:v>0.42749999999999999</c:v>
                </c:pt>
                <c:pt idx="1240">
                  <c:v>0.4375</c:v>
                </c:pt>
                <c:pt idx="1241">
                  <c:v>0.44</c:v>
                </c:pt>
                <c:pt idx="1242">
                  <c:v>0.44500000000000001</c:v>
                </c:pt>
                <c:pt idx="1243">
                  <c:v>0.44500000000000001</c:v>
                </c:pt>
                <c:pt idx="1244">
                  <c:v>0.4425</c:v>
                </c:pt>
                <c:pt idx="1245">
                  <c:v>0.44749999999999995</c:v>
                </c:pt>
                <c:pt idx="1246">
                  <c:v>0.4425</c:v>
                </c:pt>
                <c:pt idx="1247">
                  <c:v>0.44249999999999995</c:v>
                </c:pt>
                <c:pt idx="1248">
                  <c:v>0.44749999999999995</c:v>
                </c:pt>
                <c:pt idx="1249">
                  <c:v>0.44749999999999995</c:v>
                </c:pt>
                <c:pt idx="1250">
                  <c:v>0.44999999999999996</c:v>
                </c:pt>
                <c:pt idx="1251">
                  <c:v>0.44999999999999996</c:v>
                </c:pt>
                <c:pt idx="1252">
                  <c:v>0.44999999999999996</c:v>
                </c:pt>
                <c:pt idx="1253">
                  <c:v>0.44999999999999996</c:v>
                </c:pt>
                <c:pt idx="1254">
                  <c:v>0.44999999999999996</c:v>
                </c:pt>
                <c:pt idx="1255">
                  <c:v>0.44999999999999996</c:v>
                </c:pt>
                <c:pt idx="1256">
                  <c:v>0.44999999999999996</c:v>
                </c:pt>
                <c:pt idx="1257">
                  <c:v>0.44999999999999996</c:v>
                </c:pt>
                <c:pt idx="1258">
                  <c:v>0.44999999999999996</c:v>
                </c:pt>
                <c:pt idx="1259">
                  <c:v>0.44999999999999996</c:v>
                </c:pt>
                <c:pt idx="1260">
                  <c:v>0.44999999999999996</c:v>
                </c:pt>
                <c:pt idx="1261">
                  <c:v>0.44999999999999996</c:v>
                </c:pt>
                <c:pt idx="1262">
                  <c:v>0.44999999999999996</c:v>
                </c:pt>
                <c:pt idx="1263">
                  <c:v>0.44999999999999996</c:v>
                </c:pt>
                <c:pt idx="1264">
                  <c:v>0.44999999999999996</c:v>
                </c:pt>
                <c:pt idx="1265">
                  <c:v>0.44999999999999996</c:v>
                </c:pt>
                <c:pt idx="1266">
                  <c:v>0.43749999999999994</c:v>
                </c:pt>
                <c:pt idx="1267">
                  <c:v>0.43499999999999994</c:v>
                </c:pt>
                <c:pt idx="1268">
                  <c:v>0.4375</c:v>
                </c:pt>
                <c:pt idx="1269">
                  <c:v>0.42500000000000004</c:v>
                </c:pt>
                <c:pt idx="1270">
                  <c:v>0.41250000000000003</c:v>
                </c:pt>
                <c:pt idx="1271">
                  <c:v>0.40500000000000008</c:v>
                </c:pt>
                <c:pt idx="1272">
                  <c:v>0.39500000000000013</c:v>
                </c:pt>
                <c:pt idx="1273">
                  <c:v>0.39250000000000013</c:v>
                </c:pt>
                <c:pt idx="1274">
                  <c:v>0.39000000000000018</c:v>
                </c:pt>
                <c:pt idx="1275">
                  <c:v>0.38750000000000018</c:v>
                </c:pt>
                <c:pt idx="1276">
                  <c:v>0.37750000000000017</c:v>
                </c:pt>
                <c:pt idx="1277">
                  <c:v>0.37750000000000017</c:v>
                </c:pt>
                <c:pt idx="1278">
                  <c:v>0.37500000000000011</c:v>
                </c:pt>
                <c:pt idx="1279">
                  <c:v>0.38250000000000017</c:v>
                </c:pt>
                <c:pt idx="1280">
                  <c:v>0.38750000000000018</c:v>
                </c:pt>
                <c:pt idx="1281">
                  <c:v>0.38750000000000018</c:v>
                </c:pt>
                <c:pt idx="1282">
                  <c:v>0.38750000000000018</c:v>
                </c:pt>
                <c:pt idx="1283">
                  <c:v>0.38750000000000018</c:v>
                </c:pt>
                <c:pt idx="1284">
                  <c:v>0.38750000000000018</c:v>
                </c:pt>
                <c:pt idx="1285">
                  <c:v>0.38750000000000018</c:v>
                </c:pt>
                <c:pt idx="1286">
                  <c:v>0.38750000000000018</c:v>
                </c:pt>
                <c:pt idx="1287">
                  <c:v>0.38750000000000018</c:v>
                </c:pt>
                <c:pt idx="1288">
                  <c:v>0.38750000000000018</c:v>
                </c:pt>
                <c:pt idx="1289">
                  <c:v>0.38750000000000018</c:v>
                </c:pt>
                <c:pt idx="1290">
                  <c:v>0.38750000000000018</c:v>
                </c:pt>
                <c:pt idx="1291">
                  <c:v>0.38750000000000018</c:v>
                </c:pt>
                <c:pt idx="1292">
                  <c:v>0.38750000000000018</c:v>
                </c:pt>
                <c:pt idx="1293">
                  <c:v>0.38500000000000018</c:v>
                </c:pt>
                <c:pt idx="1294">
                  <c:v>0.38250000000000017</c:v>
                </c:pt>
                <c:pt idx="1295">
                  <c:v>0.37500000000000011</c:v>
                </c:pt>
                <c:pt idx="1296">
                  <c:v>0.37500000000000006</c:v>
                </c:pt>
                <c:pt idx="1297">
                  <c:v>0.3775</c:v>
                </c:pt>
                <c:pt idx="1298">
                  <c:v>0.3775</c:v>
                </c:pt>
                <c:pt idx="1299">
                  <c:v>0.37499999999999994</c:v>
                </c:pt>
                <c:pt idx="1300">
                  <c:v>0.37499999999999994</c:v>
                </c:pt>
                <c:pt idx="1301">
                  <c:v>0.37499999999999994</c:v>
                </c:pt>
                <c:pt idx="1302">
                  <c:v>0.37249999999999994</c:v>
                </c:pt>
                <c:pt idx="1303">
                  <c:v>0.36749999999999994</c:v>
                </c:pt>
                <c:pt idx="1304">
                  <c:v>0.37</c:v>
                </c:pt>
                <c:pt idx="1305">
                  <c:v>0.36249999999999999</c:v>
                </c:pt>
                <c:pt idx="1306">
                  <c:v>0.36499999999999999</c:v>
                </c:pt>
                <c:pt idx="1307">
                  <c:v>0.36499999999999999</c:v>
                </c:pt>
                <c:pt idx="1308">
                  <c:v>0.36499999999999999</c:v>
                </c:pt>
                <c:pt idx="1309">
                  <c:v>0.36749999999999994</c:v>
                </c:pt>
                <c:pt idx="1310">
                  <c:v>0.37249999999999989</c:v>
                </c:pt>
                <c:pt idx="1311">
                  <c:v>0.37249999999999989</c:v>
                </c:pt>
                <c:pt idx="1312">
                  <c:v>0.37249999999999989</c:v>
                </c:pt>
                <c:pt idx="1313">
                  <c:v>0.37249999999999989</c:v>
                </c:pt>
                <c:pt idx="1314">
                  <c:v>0.37249999999999989</c:v>
                </c:pt>
                <c:pt idx="1315">
                  <c:v>0.37249999999999989</c:v>
                </c:pt>
                <c:pt idx="1316">
                  <c:v>0.37249999999999989</c:v>
                </c:pt>
                <c:pt idx="1317">
                  <c:v>0.37249999999999989</c:v>
                </c:pt>
                <c:pt idx="1318">
                  <c:v>0.37249999999999989</c:v>
                </c:pt>
                <c:pt idx="1319">
                  <c:v>0.37249999999999989</c:v>
                </c:pt>
                <c:pt idx="1320">
                  <c:v>0.37249999999999989</c:v>
                </c:pt>
                <c:pt idx="1321">
                  <c:v>0.37249999999999989</c:v>
                </c:pt>
                <c:pt idx="1322">
                  <c:v>0.37249999999999989</c:v>
                </c:pt>
                <c:pt idx="1323">
                  <c:v>0.37249999999999989</c:v>
                </c:pt>
                <c:pt idx="1324">
                  <c:v>0.37499999999999989</c:v>
                </c:pt>
                <c:pt idx="1325">
                  <c:v>0.37499999999999989</c:v>
                </c:pt>
                <c:pt idx="1326">
                  <c:v>0.39750000000000002</c:v>
                </c:pt>
                <c:pt idx="1327">
                  <c:v>0.39249999999999996</c:v>
                </c:pt>
                <c:pt idx="1328">
                  <c:v>0.38499999999999995</c:v>
                </c:pt>
                <c:pt idx="1329">
                  <c:v>0.38750000000000007</c:v>
                </c:pt>
                <c:pt idx="1330">
                  <c:v>0.38750000000000007</c:v>
                </c:pt>
                <c:pt idx="1331">
                  <c:v>0.38750000000000012</c:v>
                </c:pt>
                <c:pt idx="1332">
                  <c:v>0.39000000000000007</c:v>
                </c:pt>
                <c:pt idx="1333">
                  <c:v>0.39500000000000013</c:v>
                </c:pt>
                <c:pt idx="1334">
                  <c:v>0.38500000000000012</c:v>
                </c:pt>
                <c:pt idx="1335">
                  <c:v>0.38250000000000012</c:v>
                </c:pt>
                <c:pt idx="1336">
                  <c:v>0.39000000000000007</c:v>
                </c:pt>
                <c:pt idx="1337">
                  <c:v>0.38500000000000006</c:v>
                </c:pt>
                <c:pt idx="1338">
                  <c:v>0.38250000000000012</c:v>
                </c:pt>
                <c:pt idx="1339">
                  <c:v>0.38250000000000012</c:v>
                </c:pt>
                <c:pt idx="1340">
                  <c:v>0.38000000000000012</c:v>
                </c:pt>
                <c:pt idx="1341">
                  <c:v>0.38000000000000012</c:v>
                </c:pt>
                <c:pt idx="1342">
                  <c:v>0.38000000000000012</c:v>
                </c:pt>
                <c:pt idx="1343">
                  <c:v>0.38000000000000012</c:v>
                </c:pt>
                <c:pt idx="1344">
                  <c:v>0.38000000000000012</c:v>
                </c:pt>
                <c:pt idx="1345">
                  <c:v>0.38000000000000012</c:v>
                </c:pt>
                <c:pt idx="1346">
                  <c:v>0.38000000000000012</c:v>
                </c:pt>
                <c:pt idx="1347">
                  <c:v>0.38000000000000012</c:v>
                </c:pt>
                <c:pt idx="1348">
                  <c:v>0.38000000000000012</c:v>
                </c:pt>
                <c:pt idx="1349">
                  <c:v>0.38000000000000012</c:v>
                </c:pt>
                <c:pt idx="1350">
                  <c:v>0.38000000000000012</c:v>
                </c:pt>
                <c:pt idx="1351">
                  <c:v>0.38000000000000012</c:v>
                </c:pt>
                <c:pt idx="1352">
                  <c:v>0.38000000000000012</c:v>
                </c:pt>
                <c:pt idx="1353">
                  <c:v>0.38250000000000012</c:v>
                </c:pt>
                <c:pt idx="1354">
                  <c:v>0.38250000000000006</c:v>
                </c:pt>
                <c:pt idx="1355">
                  <c:v>0.38000000000000006</c:v>
                </c:pt>
                <c:pt idx="1356">
                  <c:v>0.37999999999999995</c:v>
                </c:pt>
                <c:pt idx="1357">
                  <c:v>0.37999999999999989</c:v>
                </c:pt>
                <c:pt idx="1358">
                  <c:v>0.3849999999999999</c:v>
                </c:pt>
                <c:pt idx="1359">
                  <c:v>0.3899999999999999</c:v>
                </c:pt>
                <c:pt idx="1360">
                  <c:v>0.38499999999999995</c:v>
                </c:pt>
                <c:pt idx="1361">
                  <c:v>0.38250000000000001</c:v>
                </c:pt>
                <c:pt idx="1362">
                  <c:v>0.38999999999999996</c:v>
                </c:pt>
                <c:pt idx="1363">
                  <c:v>0.40499999999999997</c:v>
                </c:pt>
                <c:pt idx="1364">
                  <c:v>0.41249999999999992</c:v>
                </c:pt>
                <c:pt idx="1365">
                  <c:v>0.41499999999999998</c:v>
                </c:pt>
                <c:pt idx="1366">
                  <c:v>0.40749999999999997</c:v>
                </c:pt>
                <c:pt idx="1367">
                  <c:v>0.40749999999999992</c:v>
                </c:pt>
                <c:pt idx="1368">
                  <c:v>0.41249999999999998</c:v>
                </c:pt>
                <c:pt idx="1369">
                  <c:v>0.42</c:v>
                </c:pt>
                <c:pt idx="1370">
                  <c:v>0.41499999999999998</c:v>
                </c:pt>
                <c:pt idx="1371">
                  <c:v>0.41499999999999998</c:v>
                </c:pt>
                <c:pt idx="1372">
                  <c:v>0.41499999999999998</c:v>
                </c:pt>
                <c:pt idx="1373">
                  <c:v>0.41499999999999998</c:v>
                </c:pt>
                <c:pt idx="1374">
                  <c:v>0.41499999999999998</c:v>
                </c:pt>
                <c:pt idx="1375">
                  <c:v>0.41499999999999998</c:v>
                </c:pt>
                <c:pt idx="1376">
                  <c:v>0.41499999999999998</c:v>
                </c:pt>
                <c:pt idx="1377">
                  <c:v>0.41499999999999998</c:v>
                </c:pt>
                <c:pt idx="1378">
                  <c:v>0.41499999999999998</c:v>
                </c:pt>
                <c:pt idx="1379">
                  <c:v>0.41499999999999998</c:v>
                </c:pt>
                <c:pt idx="1380">
                  <c:v>0.41499999999999998</c:v>
                </c:pt>
                <c:pt idx="1381">
                  <c:v>0.41499999999999998</c:v>
                </c:pt>
                <c:pt idx="1382">
                  <c:v>0.41749999999999993</c:v>
                </c:pt>
                <c:pt idx="1383">
                  <c:v>0.41999999999999993</c:v>
                </c:pt>
                <c:pt idx="1384">
                  <c:v>0.41999999999999987</c:v>
                </c:pt>
                <c:pt idx="1385">
                  <c:v>0.41749999999999987</c:v>
                </c:pt>
                <c:pt idx="1386">
                  <c:v>0.40499999999999992</c:v>
                </c:pt>
                <c:pt idx="1387">
                  <c:v>0.40749999999999992</c:v>
                </c:pt>
                <c:pt idx="1388">
                  <c:v>0.40999999999999992</c:v>
                </c:pt>
                <c:pt idx="1389">
                  <c:v>0.41749999999999987</c:v>
                </c:pt>
                <c:pt idx="1390">
                  <c:v>0.41999999999999987</c:v>
                </c:pt>
                <c:pt idx="1391">
                  <c:v>0.41499999999999992</c:v>
                </c:pt>
                <c:pt idx="1392">
                  <c:v>0.41249999999999981</c:v>
                </c:pt>
                <c:pt idx="1393">
                  <c:v>0.40499999999999992</c:v>
                </c:pt>
                <c:pt idx="1394">
                  <c:v>0.41499999999999992</c:v>
                </c:pt>
                <c:pt idx="1395">
                  <c:v>0.41499999999999992</c:v>
                </c:pt>
                <c:pt idx="1396">
                  <c:v>0.40999999999999992</c:v>
                </c:pt>
                <c:pt idx="1397">
                  <c:v>0.40999999999999992</c:v>
                </c:pt>
                <c:pt idx="1398">
                  <c:v>0.41499999999999992</c:v>
                </c:pt>
                <c:pt idx="1399">
                  <c:v>0.40749999999999992</c:v>
                </c:pt>
                <c:pt idx="1400">
                  <c:v>0.40749999999999986</c:v>
                </c:pt>
                <c:pt idx="1401">
                  <c:v>0.40749999999999986</c:v>
                </c:pt>
                <c:pt idx="1402">
                  <c:v>0.40749999999999986</c:v>
                </c:pt>
                <c:pt idx="1403">
                  <c:v>0.40749999999999986</c:v>
                </c:pt>
                <c:pt idx="1404">
                  <c:v>0.40749999999999986</c:v>
                </c:pt>
                <c:pt idx="1405">
                  <c:v>0.40749999999999986</c:v>
                </c:pt>
                <c:pt idx="1406">
                  <c:v>0.40749999999999986</c:v>
                </c:pt>
                <c:pt idx="1407">
                  <c:v>0.40749999999999986</c:v>
                </c:pt>
                <c:pt idx="1408">
                  <c:v>0.40749999999999986</c:v>
                </c:pt>
                <c:pt idx="1409">
                  <c:v>0.40749999999999986</c:v>
                </c:pt>
                <c:pt idx="1410">
                  <c:v>0.40749999999999986</c:v>
                </c:pt>
                <c:pt idx="1411">
                  <c:v>0.40749999999999986</c:v>
                </c:pt>
                <c:pt idx="1412">
                  <c:v>0.40749999999999986</c:v>
                </c:pt>
                <c:pt idx="1413">
                  <c:v>0.40499999999999992</c:v>
                </c:pt>
                <c:pt idx="1414">
                  <c:v>0.40249999999999991</c:v>
                </c:pt>
                <c:pt idx="1415">
                  <c:v>0.40499999999999992</c:v>
                </c:pt>
                <c:pt idx="1416">
                  <c:v>0.39499999999999991</c:v>
                </c:pt>
                <c:pt idx="1417">
                  <c:v>0.39499999999999996</c:v>
                </c:pt>
                <c:pt idx="1418">
                  <c:v>0.38499999999999995</c:v>
                </c:pt>
                <c:pt idx="1419">
                  <c:v>0.3775</c:v>
                </c:pt>
                <c:pt idx="1420">
                  <c:v>0.37</c:v>
                </c:pt>
                <c:pt idx="1421">
                  <c:v>0.36749999999999999</c:v>
                </c:pt>
                <c:pt idx="1422">
                  <c:v>0.36000000000000004</c:v>
                </c:pt>
                <c:pt idx="1423">
                  <c:v>0.34750000000000003</c:v>
                </c:pt>
                <c:pt idx="1424">
                  <c:v>0.34250000000000003</c:v>
                </c:pt>
                <c:pt idx="1425">
                  <c:v>0.34</c:v>
                </c:pt>
                <c:pt idx="1426">
                  <c:v>0.34500000000000003</c:v>
                </c:pt>
                <c:pt idx="1427">
                  <c:v>0.34250000000000008</c:v>
                </c:pt>
                <c:pt idx="1428">
                  <c:v>0.33500000000000002</c:v>
                </c:pt>
                <c:pt idx="1429">
                  <c:v>0.33750000000000002</c:v>
                </c:pt>
                <c:pt idx="1430">
                  <c:v>0.34</c:v>
                </c:pt>
                <c:pt idx="1431">
                  <c:v>0.34</c:v>
                </c:pt>
                <c:pt idx="1432">
                  <c:v>0.34</c:v>
                </c:pt>
                <c:pt idx="1433">
                  <c:v>0.34</c:v>
                </c:pt>
                <c:pt idx="1434">
                  <c:v>0.34</c:v>
                </c:pt>
                <c:pt idx="1435">
                  <c:v>0.34</c:v>
                </c:pt>
                <c:pt idx="1436">
                  <c:v>0.34</c:v>
                </c:pt>
              </c:numCache>
            </c:numRef>
          </c:yVal>
          <c:smooth val="1"/>
          <c:extLst>
            <c:ext xmlns:c16="http://schemas.microsoft.com/office/drawing/2014/chart" uri="{C3380CC4-5D6E-409C-BE32-E72D297353CC}">
              <c16:uniqueId val="{00000000-7125-4A90-8642-D59DD0F87EC2}"/>
            </c:ext>
          </c:extLst>
        </c:ser>
        <c:dLbls>
          <c:showLegendKey val="0"/>
          <c:showVal val="0"/>
          <c:showCatName val="0"/>
          <c:showSerName val="0"/>
          <c:showPercent val="0"/>
          <c:showBubbleSize val="0"/>
        </c:dLbls>
        <c:axId val="2029341696"/>
        <c:axId val="1683145424"/>
      </c:scatterChart>
      <c:valAx>
        <c:axId val="202934169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3145424"/>
        <c:crosses val="autoZero"/>
        <c:crossBetween val="midCat"/>
      </c:valAx>
      <c:valAx>
        <c:axId val="16831454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9341696"/>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strRef>
              <c:f>'Reactor analysis'!$AO$2</c:f>
              <c:strCache>
                <c:ptCount val="1"/>
                <c:pt idx="0">
                  <c:v>2F1.1 [L/h]</c:v>
                </c:pt>
              </c:strCache>
            </c:strRef>
          </c:tx>
          <c:spPr>
            <a:ln w="19050" cap="rnd">
              <a:solidFill>
                <a:schemeClr val="accent1"/>
              </a:solidFill>
              <a:round/>
            </a:ln>
            <a:effectLst/>
          </c:spPr>
          <c:marker>
            <c:symbol val="none"/>
          </c:marker>
          <c:xVal>
            <c:numRef>
              <c:f>'Reactor analysis'!$AT$3:$AT$1439</c:f>
              <c:numCache>
                <c:formatCode>General</c:formatCode>
                <c:ptCount val="1437"/>
                <c:pt idx="0">
                  <c:v>0</c:v>
                </c:pt>
                <c:pt idx="1">
                  <c:v>1.6666666666666666E-2</c:v>
                </c:pt>
                <c:pt idx="2">
                  <c:v>3.3333333333333333E-2</c:v>
                </c:pt>
                <c:pt idx="3">
                  <c:v>0.05</c:v>
                </c:pt>
                <c:pt idx="4">
                  <c:v>6.6666666666666666E-2</c:v>
                </c:pt>
                <c:pt idx="5">
                  <c:v>8.3333333333333329E-2</c:v>
                </c:pt>
                <c:pt idx="6">
                  <c:v>9.9999999999999992E-2</c:v>
                </c:pt>
                <c:pt idx="7">
                  <c:v>0.11666666666666665</c:v>
                </c:pt>
                <c:pt idx="8">
                  <c:v>0.13333333333333333</c:v>
                </c:pt>
                <c:pt idx="9">
                  <c:v>0.15</c:v>
                </c:pt>
                <c:pt idx="10">
                  <c:v>0.16666666666666666</c:v>
                </c:pt>
                <c:pt idx="11">
                  <c:v>0.18333333333333332</c:v>
                </c:pt>
                <c:pt idx="12">
                  <c:v>0.19999999999999998</c:v>
                </c:pt>
                <c:pt idx="13">
                  <c:v>0.21666666666666665</c:v>
                </c:pt>
                <c:pt idx="14">
                  <c:v>0.23333333333333331</c:v>
                </c:pt>
                <c:pt idx="15">
                  <c:v>0.24999999999999997</c:v>
                </c:pt>
                <c:pt idx="16">
                  <c:v>0.26666666666666666</c:v>
                </c:pt>
                <c:pt idx="17">
                  <c:v>0.28333333333333333</c:v>
                </c:pt>
                <c:pt idx="18">
                  <c:v>0.3</c:v>
                </c:pt>
                <c:pt idx="19">
                  <c:v>0.31666666666666665</c:v>
                </c:pt>
                <c:pt idx="20">
                  <c:v>0.33333333333333331</c:v>
                </c:pt>
                <c:pt idx="21">
                  <c:v>0.35</c:v>
                </c:pt>
                <c:pt idx="22">
                  <c:v>0.36666666666666664</c:v>
                </c:pt>
                <c:pt idx="23">
                  <c:v>0.3833333333333333</c:v>
                </c:pt>
                <c:pt idx="24">
                  <c:v>0.39999999999999997</c:v>
                </c:pt>
                <c:pt idx="25">
                  <c:v>0.41666666666666663</c:v>
                </c:pt>
                <c:pt idx="26">
                  <c:v>0.43333333333333329</c:v>
                </c:pt>
                <c:pt idx="27">
                  <c:v>0.44999999999999996</c:v>
                </c:pt>
                <c:pt idx="28">
                  <c:v>0.46666666666666662</c:v>
                </c:pt>
                <c:pt idx="29">
                  <c:v>0.48333333333333328</c:v>
                </c:pt>
                <c:pt idx="30">
                  <c:v>0.49999999999999994</c:v>
                </c:pt>
                <c:pt idx="31">
                  <c:v>0.51666666666666661</c:v>
                </c:pt>
                <c:pt idx="32">
                  <c:v>0.53333333333333333</c:v>
                </c:pt>
                <c:pt idx="33">
                  <c:v>0.55000000000000004</c:v>
                </c:pt>
                <c:pt idx="34">
                  <c:v>0.56666666666666676</c:v>
                </c:pt>
                <c:pt idx="35">
                  <c:v>0.58333333333333348</c:v>
                </c:pt>
                <c:pt idx="36">
                  <c:v>0.6000000000000002</c:v>
                </c:pt>
                <c:pt idx="37">
                  <c:v>0.61666666666666692</c:v>
                </c:pt>
                <c:pt idx="38">
                  <c:v>0.63333333333333364</c:v>
                </c:pt>
                <c:pt idx="39">
                  <c:v>0.65000000000000036</c:v>
                </c:pt>
                <c:pt idx="40">
                  <c:v>0.66666666666666707</c:v>
                </c:pt>
                <c:pt idx="41">
                  <c:v>0.68333333333333379</c:v>
                </c:pt>
                <c:pt idx="42">
                  <c:v>0.70000000000000051</c:v>
                </c:pt>
                <c:pt idx="43">
                  <c:v>0.71666666666666723</c:v>
                </c:pt>
                <c:pt idx="44">
                  <c:v>0.73333333333333395</c:v>
                </c:pt>
                <c:pt idx="45">
                  <c:v>0.75000000000000067</c:v>
                </c:pt>
                <c:pt idx="46">
                  <c:v>0.76666666666666738</c:v>
                </c:pt>
                <c:pt idx="47">
                  <c:v>0.7833333333333341</c:v>
                </c:pt>
                <c:pt idx="48">
                  <c:v>0.80000000000000082</c:v>
                </c:pt>
                <c:pt idx="49">
                  <c:v>0.81666666666666754</c:v>
                </c:pt>
                <c:pt idx="50">
                  <c:v>0.83333333333333426</c:v>
                </c:pt>
                <c:pt idx="51">
                  <c:v>0.85000000000000098</c:v>
                </c:pt>
                <c:pt idx="52">
                  <c:v>0.8666666666666677</c:v>
                </c:pt>
                <c:pt idx="53">
                  <c:v>0.88333333333333441</c:v>
                </c:pt>
                <c:pt idx="54">
                  <c:v>0.90000000000000113</c:v>
                </c:pt>
                <c:pt idx="55">
                  <c:v>0.91666666666666785</c:v>
                </c:pt>
                <c:pt idx="56">
                  <c:v>0.93333333333333457</c:v>
                </c:pt>
                <c:pt idx="57">
                  <c:v>0.95000000000000129</c:v>
                </c:pt>
                <c:pt idx="58">
                  <c:v>0.96666666666666801</c:v>
                </c:pt>
                <c:pt idx="59">
                  <c:v>0.98333333333333472</c:v>
                </c:pt>
                <c:pt idx="60">
                  <c:v>1.0000000000000013</c:v>
                </c:pt>
                <c:pt idx="61">
                  <c:v>1.0166666666666679</c:v>
                </c:pt>
                <c:pt idx="62">
                  <c:v>1.0333333333333345</c:v>
                </c:pt>
                <c:pt idx="63">
                  <c:v>1.0500000000000012</c:v>
                </c:pt>
                <c:pt idx="64">
                  <c:v>1.0666666666666678</c:v>
                </c:pt>
                <c:pt idx="65">
                  <c:v>1.0833333333333344</c:v>
                </c:pt>
                <c:pt idx="66">
                  <c:v>1.100000000000001</c:v>
                </c:pt>
                <c:pt idx="67">
                  <c:v>1.1166666666666676</c:v>
                </c:pt>
                <c:pt idx="68">
                  <c:v>1.1333333333333342</c:v>
                </c:pt>
                <c:pt idx="69">
                  <c:v>1.1500000000000008</c:v>
                </c:pt>
                <c:pt idx="70">
                  <c:v>1.1666666666666674</c:v>
                </c:pt>
                <c:pt idx="71">
                  <c:v>1.183333333333334</c:v>
                </c:pt>
                <c:pt idx="72">
                  <c:v>1.2000000000000006</c:v>
                </c:pt>
                <c:pt idx="73">
                  <c:v>1.2166666666666672</c:v>
                </c:pt>
                <c:pt idx="74">
                  <c:v>1.2333333333333338</c:v>
                </c:pt>
                <c:pt idx="75">
                  <c:v>1.2500000000000004</c:v>
                </c:pt>
                <c:pt idx="76">
                  <c:v>1.2666666666666671</c:v>
                </c:pt>
                <c:pt idx="77">
                  <c:v>1.2833333333333337</c:v>
                </c:pt>
                <c:pt idx="78">
                  <c:v>1.3000000000000003</c:v>
                </c:pt>
                <c:pt idx="79">
                  <c:v>1.3166666666666669</c:v>
                </c:pt>
                <c:pt idx="80">
                  <c:v>1.3333333333333335</c:v>
                </c:pt>
                <c:pt idx="81">
                  <c:v>1.35</c:v>
                </c:pt>
                <c:pt idx="82">
                  <c:v>1.3666666666666667</c:v>
                </c:pt>
                <c:pt idx="83">
                  <c:v>1.3833333333333333</c:v>
                </c:pt>
                <c:pt idx="84">
                  <c:v>1.4</c:v>
                </c:pt>
                <c:pt idx="85">
                  <c:v>1.4166666666666665</c:v>
                </c:pt>
                <c:pt idx="86">
                  <c:v>1.4333333333333331</c:v>
                </c:pt>
                <c:pt idx="87">
                  <c:v>1.4499999999999997</c:v>
                </c:pt>
                <c:pt idx="88">
                  <c:v>1.4666666666666663</c:v>
                </c:pt>
                <c:pt idx="89">
                  <c:v>1.4833333333333329</c:v>
                </c:pt>
                <c:pt idx="90">
                  <c:v>1.4999999999999996</c:v>
                </c:pt>
                <c:pt idx="91">
                  <c:v>1.5166666666666662</c:v>
                </c:pt>
                <c:pt idx="92">
                  <c:v>1.5333333333333328</c:v>
                </c:pt>
                <c:pt idx="93">
                  <c:v>1.5499999999999994</c:v>
                </c:pt>
                <c:pt idx="94">
                  <c:v>1.566666666666666</c:v>
                </c:pt>
                <c:pt idx="95">
                  <c:v>1.5833333333333326</c:v>
                </c:pt>
                <c:pt idx="96">
                  <c:v>1.5999999999999992</c:v>
                </c:pt>
                <c:pt idx="97">
                  <c:v>1.6166666666666658</c:v>
                </c:pt>
                <c:pt idx="98">
                  <c:v>1.6333333333333324</c:v>
                </c:pt>
                <c:pt idx="99">
                  <c:v>1.649999999999999</c:v>
                </c:pt>
                <c:pt idx="100">
                  <c:v>1.6666666666666656</c:v>
                </c:pt>
                <c:pt idx="101">
                  <c:v>1.6833333333333322</c:v>
                </c:pt>
                <c:pt idx="102">
                  <c:v>1.6999999999999988</c:v>
                </c:pt>
                <c:pt idx="103">
                  <c:v>1.7166666666666655</c:v>
                </c:pt>
                <c:pt idx="104">
                  <c:v>1.7333333333333321</c:v>
                </c:pt>
                <c:pt idx="105">
                  <c:v>1.7499999999999987</c:v>
                </c:pt>
                <c:pt idx="106">
                  <c:v>1.7666666666666653</c:v>
                </c:pt>
                <c:pt idx="107">
                  <c:v>1.7833333333333319</c:v>
                </c:pt>
                <c:pt idx="108">
                  <c:v>1.7999999999999985</c:v>
                </c:pt>
                <c:pt idx="109">
                  <c:v>1.8166666666666651</c:v>
                </c:pt>
                <c:pt idx="110">
                  <c:v>1.8333333333333317</c:v>
                </c:pt>
                <c:pt idx="111">
                  <c:v>1.8499999999999983</c:v>
                </c:pt>
                <c:pt idx="112">
                  <c:v>1.8666666666666649</c:v>
                </c:pt>
                <c:pt idx="113">
                  <c:v>1.8833333333333315</c:v>
                </c:pt>
                <c:pt idx="114">
                  <c:v>1.8999999999999981</c:v>
                </c:pt>
                <c:pt idx="115">
                  <c:v>1.9166666666666647</c:v>
                </c:pt>
                <c:pt idx="116">
                  <c:v>1.9333333333333313</c:v>
                </c:pt>
                <c:pt idx="117">
                  <c:v>1.949999999999998</c:v>
                </c:pt>
                <c:pt idx="118">
                  <c:v>1.9666666666666646</c:v>
                </c:pt>
                <c:pt idx="119">
                  <c:v>1.9833333333333312</c:v>
                </c:pt>
                <c:pt idx="120">
                  <c:v>1.9999999999999978</c:v>
                </c:pt>
                <c:pt idx="121">
                  <c:v>2.0166666666666644</c:v>
                </c:pt>
                <c:pt idx="122">
                  <c:v>2.033333333333331</c:v>
                </c:pt>
                <c:pt idx="123">
                  <c:v>2.0499999999999976</c:v>
                </c:pt>
                <c:pt idx="124">
                  <c:v>2.0666666666666642</c:v>
                </c:pt>
                <c:pt idx="125">
                  <c:v>2.0833333333333308</c:v>
                </c:pt>
                <c:pt idx="126">
                  <c:v>2.0999999999999974</c:v>
                </c:pt>
                <c:pt idx="127">
                  <c:v>2.116666666666664</c:v>
                </c:pt>
                <c:pt idx="128">
                  <c:v>2.1333333333333306</c:v>
                </c:pt>
                <c:pt idx="129">
                  <c:v>2.1499999999999972</c:v>
                </c:pt>
                <c:pt idx="130">
                  <c:v>2.1666666666666639</c:v>
                </c:pt>
                <c:pt idx="131">
                  <c:v>2.1833333333333305</c:v>
                </c:pt>
                <c:pt idx="132">
                  <c:v>2.1999999999999971</c:v>
                </c:pt>
                <c:pt idx="133">
                  <c:v>2.2166666666666637</c:v>
                </c:pt>
                <c:pt idx="134">
                  <c:v>2.2333333333333303</c:v>
                </c:pt>
                <c:pt idx="135">
                  <c:v>2.2499999999999969</c:v>
                </c:pt>
                <c:pt idx="136">
                  <c:v>2.2666666666666635</c:v>
                </c:pt>
                <c:pt idx="137">
                  <c:v>2.2833333333333301</c:v>
                </c:pt>
                <c:pt idx="138">
                  <c:v>2.2999999999999967</c:v>
                </c:pt>
                <c:pt idx="139">
                  <c:v>2.3166666666666633</c:v>
                </c:pt>
                <c:pt idx="140">
                  <c:v>2.3333333333333299</c:v>
                </c:pt>
                <c:pt idx="141">
                  <c:v>2.3499999999999965</c:v>
                </c:pt>
                <c:pt idx="142">
                  <c:v>2.3666666666666631</c:v>
                </c:pt>
                <c:pt idx="143">
                  <c:v>2.3833333333333298</c:v>
                </c:pt>
                <c:pt idx="144">
                  <c:v>2.3999999999999964</c:v>
                </c:pt>
                <c:pt idx="145">
                  <c:v>2.416666666666663</c:v>
                </c:pt>
                <c:pt idx="146">
                  <c:v>2.4333333333333296</c:v>
                </c:pt>
                <c:pt idx="147">
                  <c:v>2.4499999999999962</c:v>
                </c:pt>
                <c:pt idx="148">
                  <c:v>2.4666666666666628</c:v>
                </c:pt>
                <c:pt idx="149">
                  <c:v>2.4833333333333294</c:v>
                </c:pt>
                <c:pt idx="150">
                  <c:v>2.499999999999996</c:v>
                </c:pt>
                <c:pt idx="151">
                  <c:v>2.5166666666666626</c:v>
                </c:pt>
                <c:pt idx="152">
                  <c:v>2.5333333333333292</c:v>
                </c:pt>
                <c:pt idx="153">
                  <c:v>2.5499999999999958</c:v>
                </c:pt>
                <c:pt idx="154">
                  <c:v>2.5666666666666624</c:v>
                </c:pt>
                <c:pt idx="155">
                  <c:v>2.583333333333329</c:v>
                </c:pt>
                <c:pt idx="156">
                  <c:v>2.5999999999999956</c:v>
                </c:pt>
                <c:pt idx="157">
                  <c:v>2.6166666666666623</c:v>
                </c:pt>
                <c:pt idx="158">
                  <c:v>2.6333333333333289</c:v>
                </c:pt>
                <c:pt idx="159">
                  <c:v>2.6499999999999955</c:v>
                </c:pt>
                <c:pt idx="160">
                  <c:v>2.6666666666666621</c:v>
                </c:pt>
                <c:pt idx="161">
                  <c:v>2.6833333333333287</c:v>
                </c:pt>
                <c:pt idx="162">
                  <c:v>2.6999999999999953</c:v>
                </c:pt>
                <c:pt idx="163">
                  <c:v>2.7166666666666619</c:v>
                </c:pt>
                <c:pt idx="164">
                  <c:v>2.7333333333333285</c:v>
                </c:pt>
                <c:pt idx="165">
                  <c:v>2.7499999999999951</c:v>
                </c:pt>
                <c:pt idx="166">
                  <c:v>2.7666666666666617</c:v>
                </c:pt>
                <c:pt idx="167">
                  <c:v>2.7833333333333283</c:v>
                </c:pt>
                <c:pt idx="168">
                  <c:v>2.7999999999999949</c:v>
                </c:pt>
                <c:pt idx="169">
                  <c:v>2.8166666666666615</c:v>
                </c:pt>
                <c:pt idx="170">
                  <c:v>2.8333333333333282</c:v>
                </c:pt>
                <c:pt idx="171">
                  <c:v>2.8499999999999948</c:v>
                </c:pt>
                <c:pt idx="172">
                  <c:v>2.8666666666666614</c:v>
                </c:pt>
                <c:pt idx="173">
                  <c:v>2.883333333333328</c:v>
                </c:pt>
                <c:pt idx="174">
                  <c:v>2.8999999999999946</c:v>
                </c:pt>
                <c:pt idx="175">
                  <c:v>2.9166666666666612</c:v>
                </c:pt>
                <c:pt idx="176">
                  <c:v>2.9333333333333278</c:v>
                </c:pt>
                <c:pt idx="177">
                  <c:v>2.9499999999999944</c:v>
                </c:pt>
                <c:pt idx="178">
                  <c:v>2.966666666666661</c:v>
                </c:pt>
                <c:pt idx="179">
                  <c:v>2.9833333333333276</c:v>
                </c:pt>
                <c:pt idx="180">
                  <c:v>2.9999999999999942</c:v>
                </c:pt>
                <c:pt idx="181">
                  <c:v>3.0166666666666608</c:v>
                </c:pt>
                <c:pt idx="182">
                  <c:v>3.0333333333333274</c:v>
                </c:pt>
                <c:pt idx="183">
                  <c:v>3.049999999999994</c:v>
                </c:pt>
                <c:pt idx="184">
                  <c:v>3.0666666666666607</c:v>
                </c:pt>
                <c:pt idx="185">
                  <c:v>3.0833333333333273</c:v>
                </c:pt>
                <c:pt idx="186">
                  <c:v>3.0999999999999939</c:v>
                </c:pt>
                <c:pt idx="187">
                  <c:v>3.1166666666666605</c:v>
                </c:pt>
                <c:pt idx="188">
                  <c:v>3.1333333333333271</c:v>
                </c:pt>
                <c:pt idx="189">
                  <c:v>3.1499999999999937</c:v>
                </c:pt>
                <c:pt idx="190">
                  <c:v>3.1666666666666603</c:v>
                </c:pt>
                <c:pt idx="191">
                  <c:v>3.1833333333333269</c:v>
                </c:pt>
                <c:pt idx="192">
                  <c:v>3.1999999999999935</c:v>
                </c:pt>
                <c:pt idx="193">
                  <c:v>3.2166666666666601</c:v>
                </c:pt>
                <c:pt idx="194">
                  <c:v>3.2333333333333267</c:v>
                </c:pt>
                <c:pt idx="195">
                  <c:v>3.2499999999999933</c:v>
                </c:pt>
                <c:pt idx="196">
                  <c:v>3.2666666666666599</c:v>
                </c:pt>
                <c:pt idx="197">
                  <c:v>3.2833333333333266</c:v>
                </c:pt>
                <c:pt idx="198">
                  <c:v>3.2999999999999932</c:v>
                </c:pt>
                <c:pt idx="199">
                  <c:v>3.3166666666666598</c:v>
                </c:pt>
                <c:pt idx="200">
                  <c:v>3.3333333333333264</c:v>
                </c:pt>
                <c:pt idx="201">
                  <c:v>3.349999999999993</c:v>
                </c:pt>
                <c:pt idx="202">
                  <c:v>3.3666666666666596</c:v>
                </c:pt>
                <c:pt idx="203">
                  <c:v>3.3833333333333262</c:v>
                </c:pt>
                <c:pt idx="204">
                  <c:v>3.3999999999999928</c:v>
                </c:pt>
                <c:pt idx="205">
                  <c:v>3.4166666666666594</c:v>
                </c:pt>
                <c:pt idx="206">
                  <c:v>3.433333333333326</c:v>
                </c:pt>
                <c:pt idx="207">
                  <c:v>3.4499999999999926</c:v>
                </c:pt>
                <c:pt idx="208">
                  <c:v>3.4666666666666592</c:v>
                </c:pt>
                <c:pt idx="209">
                  <c:v>3.4833333333333258</c:v>
                </c:pt>
                <c:pt idx="210">
                  <c:v>3.4999999999999925</c:v>
                </c:pt>
                <c:pt idx="211">
                  <c:v>3.5166666666666591</c:v>
                </c:pt>
                <c:pt idx="212">
                  <c:v>3.5333333333333257</c:v>
                </c:pt>
                <c:pt idx="213">
                  <c:v>3.5499999999999923</c:v>
                </c:pt>
                <c:pt idx="214">
                  <c:v>3.5666666666666589</c:v>
                </c:pt>
                <c:pt idx="215">
                  <c:v>3.5833333333333255</c:v>
                </c:pt>
                <c:pt idx="216">
                  <c:v>3.5999999999999921</c:v>
                </c:pt>
                <c:pt idx="217">
                  <c:v>3.6166666666666587</c:v>
                </c:pt>
                <c:pt idx="218">
                  <c:v>3.6333333333333253</c:v>
                </c:pt>
                <c:pt idx="219">
                  <c:v>3.6499999999999919</c:v>
                </c:pt>
                <c:pt idx="220">
                  <c:v>3.6666666666666585</c:v>
                </c:pt>
                <c:pt idx="221">
                  <c:v>3.6833333333333251</c:v>
                </c:pt>
                <c:pt idx="222">
                  <c:v>3.6999999999999917</c:v>
                </c:pt>
                <c:pt idx="223">
                  <c:v>3.7166666666666583</c:v>
                </c:pt>
                <c:pt idx="224">
                  <c:v>3.733333333333325</c:v>
                </c:pt>
                <c:pt idx="225">
                  <c:v>3.7499999999999916</c:v>
                </c:pt>
                <c:pt idx="226">
                  <c:v>3.7666666666666582</c:v>
                </c:pt>
                <c:pt idx="227">
                  <c:v>3.7833333333333248</c:v>
                </c:pt>
                <c:pt idx="228">
                  <c:v>3.7999999999999914</c:v>
                </c:pt>
                <c:pt idx="229">
                  <c:v>3.816666666666658</c:v>
                </c:pt>
                <c:pt idx="230">
                  <c:v>3.8333333333333246</c:v>
                </c:pt>
                <c:pt idx="231">
                  <c:v>3.8499999999999912</c:v>
                </c:pt>
                <c:pt idx="232">
                  <c:v>3.8666666666666578</c:v>
                </c:pt>
                <c:pt idx="233">
                  <c:v>3.8833333333333244</c:v>
                </c:pt>
                <c:pt idx="234">
                  <c:v>3.899999999999991</c:v>
                </c:pt>
                <c:pt idx="235">
                  <c:v>3.9166666666666576</c:v>
                </c:pt>
                <c:pt idx="236">
                  <c:v>3.9333333333333242</c:v>
                </c:pt>
                <c:pt idx="237">
                  <c:v>3.9499999999999909</c:v>
                </c:pt>
                <c:pt idx="238">
                  <c:v>3.9666666666666575</c:v>
                </c:pt>
                <c:pt idx="239">
                  <c:v>3.9833333333333241</c:v>
                </c:pt>
                <c:pt idx="240">
                  <c:v>3.9999999999999907</c:v>
                </c:pt>
                <c:pt idx="241">
                  <c:v>4.0166666666666577</c:v>
                </c:pt>
                <c:pt idx="242">
                  <c:v>4.0333333333333243</c:v>
                </c:pt>
                <c:pt idx="243">
                  <c:v>4.0499999999999909</c:v>
                </c:pt>
                <c:pt idx="244">
                  <c:v>4.0666666666666575</c:v>
                </c:pt>
                <c:pt idx="245">
                  <c:v>4.0833333333333242</c:v>
                </c:pt>
                <c:pt idx="246">
                  <c:v>4.0999999999999908</c:v>
                </c:pt>
                <c:pt idx="247">
                  <c:v>4.1166666666666574</c:v>
                </c:pt>
                <c:pt idx="248">
                  <c:v>4.133333333333324</c:v>
                </c:pt>
                <c:pt idx="249">
                  <c:v>4.1499999999999906</c:v>
                </c:pt>
                <c:pt idx="250">
                  <c:v>4.1666666666666572</c:v>
                </c:pt>
                <c:pt idx="251">
                  <c:v>4.1833333333333238</c:v>
                </c:pt>
                <c:pt idx="252">
                  <c:v>4.1999999999999904</c:v>
                </c:pt>
                <c:pt idx="253">
                  <c:v>4.216666666666657</c:v>
                </c:pt>
                <c:pt idx="254">
                  <c:v>4.2333333333333236</c:v>
                </c:pt>
                <c:pt idx="255">
                  <c:v>4.2499999999999902</c:v>
                </c:pt>
                <c:pt idx="256">
                  <c:v>4.2666666666666568</c:v>
                </c:pt>
                <c:pt idx="257">
                  <c:v>4.2833333333333234</c:v>
                </c:pt>
                <c:pt idx="258">
                  <c:v>4.2999999999999901</c:v>
                </c:pt>
                <c:pt idx="259">
                  <c:v>4.3166666666666567</c:v>
                </c:pt>
                <c:pt idx="260">
                  <c:v>4.3333333333333233</c:v>
                </c:pt>
                <c:pt idx="261">
                  <c:v>4.3499999999999899</c:v>
                </c:pt>
                <c:pt idx="262">
                  <c:v>4.3666666666666565</c:v>
                </c:pt>
                <c:pt idx="263">
                  <c:v>4.3833333333333231</c:v>
                </c:pt>
                <c:pt idx="264">
                  <c:v>4.3999999999999897</c:v>
                </c:pt>
                <c:pt idx="265">
                  <c:v>4.4166666666666563</c:v>
                </c:pt>
                <c:pt idx="266">
                  <c:v>4.4333333333333229</c:v>
                </c:pt>
                <c:pt idx="267">
                  <c:v>4.4499999999999895</c:v>
                </c:pt>
                <c:pt idx="268">
                  <c:v>4.4666666666666561</c:v>
                </c:pt>
                <c:pt idx="269">
                  <c:v>4.4833333333333227</c:v>
                </c:pt>
                <c:pt idx="270">
                  <c:v>4.4999999999999893</c:v>
                </c:pt>
                <c:pt idx="271">
                  <c:v>4.5166666666666559</c:v>
                </c:pt>
                <c:pt idx="272">
                  <c:v>4.5333333333333226</c:v>
                </c:pt>
                <c:pt idx="273">
                  <c:v>4.5499999999999892</c:v>
                </c:pt>
                <c:pt idx="274">
                  <c:v>4.5666666666666558</c:v>
                </c:pt>
                <c:pt idx="275">
                  <c:v>4.5833333333333224</c:v>
                </c:pt>
                <c:pt idx="276">
                  <c:v>4.599999999999989</c:v>
                </c:pt>
                <c:pt idx="277">
                  <c:v>4.6166666666666556</c:v>
                </c:pt>
                <c:pt idx="278">
                  <c:v>4.6333333333333222</c:v>
                </c:pt>
                <c:pt idx="279">
                  <c:v>4.6499999999999888</c:v>
                </c:pt>
                <c:pt idx="280">
                  <c:v>4.6666666666666554</c:v>
                </c:pt>
                <c:pt idx="281">
                  <c:v>4.683333333333322</c:v>
                </c:pt>
                <c:pt idx="282">
                  <c:v>4.6999999999999886</c:v>
                </c:pt>
                <c:pt idx="283">
                  <c:v>4.7166666666666552</c:v>
                </c:pt>
                <c:pt idx="284">
                  <c:v>4.7333333333333218</c:v>
                </c:pt>
                <c:pt idx="285">
                  <c:v>4.7499999999999885</c:v>
                </c:pt>
                <c:pt idx="286">
                  <c:v>4.7666666666666551</c:v>
                </c:pt>
                <c:pt idx="287">
                  <c:v>4.7833333333333217</c:v>
                </c:pt>
                <c:pt idx="288">
                  <c:v>4.7999999999999883</c:v>
                </c:pt>
                <c:pt idx="289">
                  <c:v>4.8166666666666549</c:v>
                </c:pt>
                <c:pt idx="290">
                  <c:v>4.8333333333333215</c:v>
                </c:pt>
                <c:pt idx="291">
                  <c:v>4.8499999999999881</c:v>
                </c:pt>
                <c:pt idx="292">
                  <c:v>4.8666666666666547</c:v>
                </c:pt>
                <c:pt idx="293">
                  <c:v>4.8833333333333213</c:v>
                </c:pt>
                <c:pt idx="294">
                  <c:v>4.8999999999999879</c:v>
                </c:pt>
                <c:pt idx="295">
                  <c:v>4.9166666666666545</c:v>
                </c:pt>
                <c:pt idx="296">
                  <c:v>4.9333333333333211</c:v>
                </c:pt>
                <c:pt idx="297">
                  <c:v>4.9499999999999877</c:v>
                </c:pt>
                <c:pt idx="298">
                  <c:v>4.9666666666666544</c:v>
                </c:pt>
                <c:pt idx="299">
                  <c:v>4.983333333333321</c:v>
                </c:pt>
                <c:pt idx="300">
                  <c:v>4.9999999999999876</c:v>
                </c:pt>
                <c:pt idx="301">
                  <c:v>5.0166666666666542</c:v>
                </c:pt>
                <c:pt idx="302">
                  <c:v>5.0333333333333208</c:v>
                </c:pt>
                <c:pt idx="303">
                  <c:v>5.0499999999999874</c:v>
                </c:pt>
                <c:pt idx="304">
                  <c:v>5.066666666666654</c:v>
                </c:pt>
                <c:pt idx="305">
                  <c:v>5.0833333333333206</c:v>
                </c:pt>
                <c:pt idx="306">
                  <c:v>5.0999999999999872</c:v>
                </c:pt>
                <c:pt idx="307">
                  <c:v>5.1166666666666538</c:v>
                </c:pt>
                <c:pt idx="308">
                  <c:v>5.1333333333333204</c:v>
                </c:pt>
                <c:pt idx="309">
                  <c:v>5.149999999999987</c:v>
                </c:pt>
                <c:pt idx="310">
                  <c:v>5.1666666666666536</c:v>
                </c:pt>
                <c:pt idx="311">
                  <c:v>5.1833333333333202</c:v>
                </c:pt>
                <c:pt idx="312">
                  <c:v>5.1999999999999869</c:v>
                </c:pt>
                <c:pt idx="313">
                  <c:v>5.2166666666666535</c:v>
                </c:pt>
                <c:pt idx="314">
                  <c:v>5.2333333333333201</c:v>
                </c:pt>
                <c:pt idx="315">
                  <c:v>5.2499999999999867</c:v>
                </c:pt>
                <c:pt idx="316">
                  <c:v>5.2666666666666533</c:v>
                </c:pt>
                <c:pt idx="317">
                  <c:v>5.2833333333333199</c:v>
                </c:pt>
                <c:pt idx="318">
                  <c:v>5.2999999999999865</c:v>
                </c:pt>
                <c:pt idx="319">
                  <c:v>5.3166666666666531</c:v>
                </c:pt>
                <c:pt idx="320">
                  <c:v>5.3333333333333197</c:v>
                </c:pt>
                <c:pt idx="321">
                  <c:v>5.3499999999999863</c:v>
                </c:pt>
                <c:pt idx="322">
                  <c:v>5.3666666666666529</c:v>
                </c:pt>
                <c:pt idx="323">
                  <c:v>5.3833333333333195</c:v>
                </c:pt>
                <c:pt idx="324">
                  <c:v>5.3999999999999861</c:v>
                </c:pt>
                <c:pt idx="325">
                  <c:v>5.4166666666666528</c:v>
                </c:pt>
                <c:pt idx="326">
                  <c:v>5.4333333333333194</c:v>
                </c:pt>
                <c:pt idx="327">
                  <c:v>5.449999999999986</c:v>
                </c:pt>
                <c:pt idx="328">
                  <c:v>5.4666666666666526</c:v>
                </c:pt>
                <c:pt idx="329">
                  <c:v>5.4833333333333192</c:v>
                </c:pt>
                <c:pt idx="330">
                  <c:v>5.4999999999999858</c:v>
                </c:pt>
                <c:pt idx="331">
                  <c:v>5.5166666666666524</c:v>
                </c:pt>
                <c:pt idx="332">
                  <c:v>5.533333333333319</c:v>
                </c:pt>
                <c:pt idx="333">
                  <c:v>5.5499999999999856</c:v>
                </c:pt>
                <c:pt idx="334">
                  <c:v>5.5666666666666522</c:v>
                </c:pt>
                <c:pt idx="335">
                  <c:v>5.5833333333333188</c:v>
                </c:pt>
                <c:pt idx="336">
                  <c:v>5.5999999999999854</c:v>
                </c:pt>
                <c:pt idx="337">
                  <c:v>5.616666666666652</c:v>
                </c:pt>
                <c:pt idx="338">
                  <c:v>5.6333333333333186</c:v>
                </c:pt>
                <c:pt idx="339">
                  <c:v>5.6499999999999853</c:v>
                </c:pt>
                <c:pt idx="340">
                  <c:v>5.6666666666666519</c:v>
                </c:pt>
                <c:pt idx="341">
                  <c:v>5.6833333333333185</c:v>
                </c:pt>
                <c:pt idx="342">
                  <c:v>5.6999999999999851</c:v>
                </c:pt>
                <c:pt idx="343">
                  <c:v>5.7166666666666517</c:v>
                </c:pt>
                <c:pt idx="344">
                  <c:v>5.7333333333333183</c:v>
                </c:pt>
                <c:pt idx="345">
                  <c:v>5.7499999999999849</c:v>
                </c:pt>
                <c:pt idx="346">
                  <c:v>5.7666666666666515</c:v>
                </c:pt>
                <c:pt idx="347">
                  <c:v>5.7833333333333181</c:v>
                </c:pt>
                <c:pt idx="348">
                  <c:v>5.7999999999999847</c:v>
                </c:pt>
                <c:pt idx="349">
                  <c:v>5.8166666666666513</c:v>
                </c:pt>
                <c:pt idx="350">
                  <c:v>5.8333333333333179</c:v>
                </c:pt>
                <c:pt idx="351">
                  <c:v>5.8499999999999845</c:v>
                </c:pt>
                <c:pt idx="352">
                  <c:v>5.8666666666666512</c:v>
                </c:pt>
                <c:pt idx="353">
                  <c:v>5.8833333333333178</c:v>
                </c:pt>
                <c:pt idx="354">
                  <c:v>5.8999999999999844</c:v>
                </c:pt>
                <c:pt idx="355">
                  <c:v>5.916666666666651</c:v>
                </c:pt>
                <c:pt idx="356">
                  <c:v>5.9333333333333176</c:v>
                </c:pt>
                <c:pt idx="357">
                  <c:v>5.9499999999999842</c:v>
                </c:pt>
                <c:pt idx="358">
                  <c:v>5.9666666666666508</c:v>
                </c:pt>
                <c:pt idx="359">
                  <c:v>5.9833333333333174</c:v>
                </c:pt>
                <c:pt idx="360">
                  <c:v>5.999999999999984</c:v>
                </c:pt>
                <c:pt idx="361">
                  <c:v>6.0166666666666506</c:v>
                </c:pt>
                <c:pt idx="362">
                  <c:v>6.0333333333333172</c:v>
                </c:pt>
                <c:pt idx="363">
                  <c:v>6.0499999999999838</c:v>
                </c:pt>
                <c:pt idx="364">
                  <c:v>6.0666666666666504</c:v>
                </c:pt>
                <c:pt idx="365">
                  <c:v>6.0833333333333171</c:v>
                </c:pt>
                <c:pt idx="366">
                  <c:v>6.0999999999999837</c:v>
                </c:pt>
                <c:pt idx="367">
                  <c:v>6.1166666666666503</c:v>
                </c:pt>
                <c:pt idx="368">
                  <c:v>6.1333333333333169</c:v>
                </c:pt>
                <c:pt idx="369">
                  <c:v>6.1499999999999835</c:v>
                </c:pt>
                <c:pt idx="370">
                  <c:v>6.1666666666666501</c:v>
                </c:pt>
                <c:pt idx="371">
                  <c:v>6.1833333333333167</c:v>
                </c:pt>
                <c:pt idx="372">
                  <c:v>6.1999999999999833</c:v>
                </c:pt>
                <c:pt idx="373">
                  <c:v>6.2166666666666499</c:v>
                </c:pt>
                <c:pt idx="374">
                  <c:v>6.2333333333333165</c:v>
                </c:pt>
                <c:pt idx="375">
                  <c:v>6.2499999999999831</c:v>
                </c:pt>
                <c:pt idx="376">
                  <c:v>6.2666666666666497</c:v>
                </c:pt>
                <c:pt idx="377">
                  <c:v>6.2833333333333163</c:v>
                </c:pt>
                <c:pt idx="378">
                  <c:v>6.2999999999999829</c:v>
                </c:pt>
                <c:pt idx="379">
                  <c:v>6.3166666666666496</c:v>
                </c:pt>
                <c:pt idx="380">
                  <c:v>6.3333333333333162</c:v>
                </c:pt>
                <c:pt idx="381">
                  <c:v>6.3499999999999828</c:v>
                </c:pt>
                <c:pt idx="382">
                  <c:v>6.3666666666666494</c:v>
                </c:pt>
                <c:pt idx="383">
                  <c:v>6.383333333333316</c:v>
                </c:pt>
                <c:pt idx="384">
                  <c:v>6.3999999999999826</c:v>
                </c:pt>
                <c:pt idx="385">
                  <c:v>6.4166666666666492</c:v>
                </c:pt>
                <c:pt idx="386">
                  <c:v>6.4333333333333158</c:v>
                </c:pt>
                <c:pt idx="387">
                  <c:v>6.4499999999999824</c:v>
                </c:pt>
                <c:pt idx="388">
                  <c:v>6.466666666666649</c:v>
                </c:pt>
                <c:pt idx="389">
                  <c:v>6.4833333333333156</c:v>
                </c:pt>
                <c:pt idx="390">
                  <c:v>6.4999999999999822</c:v>
                </c:pt>
                <c:pt idx="391">
                  <c:v>6.5166666666666488</c:v>
                </c:pt>
                <c:pt idx="392">
                  <c:v>6.5333333333333155</c:v>
                </c:pt>
                <c:pt idx="393">
                  <c:v>6.5499999999999821</c:v>
                </c:pt>
                <c:pt idx="394">
                  <c:v>6.5666666666666487</c:v>
                </c:pt>
                <c:pt idx="395">
                  <c:v>6.5833333333333153</c:v>
                </c:pt>
                <c:pt idx="396">
                  <c:v>6.5999999999999819</c:v>
                </c:pt>
                <c:pt idx="397">
                  <c:v>6.6166666666666485</c:v>
                </c:pt>
                <c:pt idx="398">
                  <c:v>6.6333333333333151</c:v>
                </c:pt>
                <c:pt idx="399">
                  <c:v>6.6499999999999817</c:v>
                </c:pt>
                <c:pt idx="400">
                  <c:v>6.6666666666666483</c:v>
                </c:pt>
                <c:pt idx="401">
                  <c:v>6.6833333333333149</c:v>
                </c:pt>
                <c:pt idx="402">
                  <c:v>6.6999999999999815</c:v>
                </c:pt>
                <c:pt idx="403">
                  <c:v>6.7166666666666481</c:v>
                </c:pt>
                <c:pt idx="404">
                  <c:v>6.7333333333333147</c:v>
                </c:pt>
                <c:pt idx="405">
                  <c:v>6.7499999999999813</c:v>
                </c:pt>
                <c:pt idx="406">
                  <c:v>6.766666666666648</c:v>
                </c:pt>
                <c:pt idx="407">
                  <c:v>6.7833333333333146</c:v>
                </c:pt>
                <c:pt idx="408">
                  <c:v>6.7999999999999812</c:v>
                </c:pt>
                <c:pt idx="409">
                  <c:v>6.8166666666666478</c:v>
                </c:pt>
                <c:pt idx="410">
                  <c:v>6.8333333333333144</c:v>
                </c:pt>
                <c:pt idx="411">
                  <c:v>6.849999999999981</c:v>
                </c:pt>
                <c:pt idx="412">
                  <c:v>6.8666666666666476</c:v>
                </c:pt>
                <c:pt idx="413">
                  <c:v>6.8833333333333142</c:v>
                </c:pt>
                <c:pt idx="414">
                  <c:v>6.8999999999999808</c:v>
                </c:pt>
                <c:pt idx="415">
                  <c:v>6.9166666666666474</c:v>
                </c:pt>
                <c:pt idx="416">
                  <c:v>6.933333333333314</c:v>
                </c:pt>
                <c:pt idx="417">
                  <c:v>6.9499999999999806</c:v>
                </c:pt>
                <c:pt idx="418">
                  <c:v>6.9666666666666472</c:v>
                </c:pt>
                <c:pt idx="419">
                  <c:v>6.9833333333333139</c:v>
                </c:pt>
                <c:pt idx="420">
                  <c:v>6.9999999999999805</c:v>
                </c:pt>
                <c:pt idx="421">
                  <c:v>7.0166666666666471</c:v>
                </c:pt>
                <c:pt idx="422">
                  <c:v>7.0333333333333137</c:v>
                </c:pt>
                <c:pt idx="423">
                  <c:v>7.0499999999999803</c:v>
                </c:pt>
                <c:pt idx="424">
                  <c:v>7.0666666666666469</c:v>
                </c:pt>
                <c:pt idx="425">
                  <c:v>7.0833333333333135</c:v>
                </c:pt>
                <c:pt idx="426">
                  <c:v>7.0999999999999801</c:v>
                </c:pt>
                <c:pt idx="427">
                  <c:v>7.1166666666666467</c:v>
                </c:pt>
                <c:pt idx="428">
                  <c:v>7.1333333333333133</c:v>
                </c:pt>
                <c:pt idx="429">
                  <c:v>7.1499999999999799</c:v>
                </c:pt>
                <c:pt idx="430">
                  <c:v>7.1666666666666465</c:v>
                </c:pt>
                <c:pt idx="431">
                  <c:v>7.1833333333333131</c:v>
                </c:pt>
                <c:pt idx="432">
                  <c:v>7.1999999999999797</c:v>
                </c:pt>
                <c:pt idx="433">
                  <c:v>7.2166666666666464</c:v>
                </c:pt>
                <c:pt idx="434">
                  <c:v>7.233333333333313</c:v>
                </c:pt>
                <c:pt idx="435">
                  <c:v>7.2499999999999796</c:v>
                </c:pt>
                <c:pt idx="436">
                  <c:v>7.2666666666666462</c:v>
                </c:pt>
                <c:pt idx="437">
                  <c:v>7.2833333333333128</c:v>
                </c:pt>
                <c:pt idx="438">
                  <c:v>7.2999999999999794</c:v>
                </c:pt>
                <c:pt idx="439">
                  <c:v>7.316666666666646</c:v>
                </c:pt>
                <c:pt idx="440">
                  <c:v>7.3333333333333126</c:v>
                </c:pt>
                <c:pt idx="441">
                  <c:v>7.3499999999999792</c:v>
                </c:pt>
                <c:pt idx="442">
                  <c:v>7.3666666666666458</c:v>
                </c:pt>
                <c:pt idx="443">
                  <c:v>7.3833333333333124</c:v>
                </c:pt>
                <c:pt idx="444">
                  <c:v>7.399999999999979</c:v>
                </c:pt>
                <c:pt idx="445">
                  <c:v>7.4166666666666456</c:v>
                </c:pt>
                <c:pt idx="446">
                  <c:v>7.4333333333333123</c:v>
                </c:pt>
                <c:pt idx="447">
                  <c:v>7.4499999999999789</c:v>
                </c:pt>
                <c:pt idx="448">
                  <c:v>7.4666666666666455</c:v>
                </c:pt>
                <c:pt idx="449">
                  <c:v>7.4833333333333121</c:v>
                </c:pt>
                <c:pt idx="450">
                  <c:v>7.4999999999999787</c:v>
                </c:pt>
                <c:pt idx="451">
                  <c:v>7.5166666666666453</c:v>
                </c:pt>
                <c:pt idx="452">
                  <c:v>7.5333333333333119</c:v>
                </c:pt>
                <c:pt idx="453">
                  <c:v>7.5499999999999785</c:v>
                </c:pt>
                <c:pt idx="454">
                  <c:v>7.5666666666666451</c:v>
                </c:pt>
                <c:pt idx="455">
                  <c:v>7.5833333333333117</c:v>
                </c:pt>
                <c:pt idx="456">
                  <c:v>7.5999999999999783</c:v>
                </c:pt>
                <c:pt idx="457">
                  <c:v>7.6166666666666449</c:v>
                </c:pt>
                <c:pt idx="458">
                  <c:v>7.6333333333333115</c:v>
                </c:pt>
                <c:pt idx="459">
                  <c:v>7.6499999999999782</c:v>
                </c:pt>
                <c:pt idx="460">
                  <c:v>7.6666666666666448</c:v>
                </c:pt>
                <c:pt idx="461">
                  <c:v>7.6833333333333114</c:v>
                </c:pt>
                <c:pt idx="462">
                  <c:v>7.699999999999978</c:v>
                </c:pt>
                <c:pt idx="463">
                  <c:v>7.7166666666666446</c:v>
                </c:pt>
                <c:pt idx="464">
                  <c:v>7.7333333333333112</c:v>
                </c:pt>
                <c:pt idx="465">
                  <c:v>7.7499999999999778</c:v>
                </c:pt>
                <c:pt idx="466">
                  <c:v>7.7666666666666444</c:v>
                </c:pt>
                <c:pt idx="467">
                  <c:v>7.783333333333311</c:v>
                </c:pt>
                <c:pt idx="468">
                  <c:v>7.7999999999999776</c:v>
                </c:pt>
                <c:pt idx="469">
                  <c:v>7.8166666666666442</c:v>
                </c:pt>
                <c:pt idx="470">
                  <c:v>7.8333333333333108</c:v>
                </c:pt>
                <c:pt idx="471">
                  <c:v>7.8499999999999774</c:v>
                </c:pt>
                <c:pt idx="472">
                  <c:v>7.866666666666644</c:v>
                </c:pt>
                <c:pt idx="473">
                  <c:v>7.8833333333333107</c:v>
                </c:pt>
                <c:pt idx="474">
                  <c:v>7.8999999999999773</c:v>
                </c:pt>
                <c:pt idx="475">
                  <c:v>7.9166666666666439</c:v>
                </c:pt>
                <c:pt idx="476">
                  <c:v>7.9333333333333105</c:v>
                </c:pt>
                <c:pt idx="477">
                  <c:v>7.9499999999999771</c:v>
                </c:pt>
                <c:pt idx="478">
                  <c:v>7.9666666666666437</c:v>
                </c:pt>
                <c:pt idx="479">
                  <c:v>7.9833333333333103</c:v>
                </c:pt>
                <c:pt idx="480">
                  <c:v>7.9999999999999769</c:v>
                </c:pt>
                <c:pt idx="481">
                  <c:v>8.0166666666666444</c:v>
                </c:pt>
                <c:pt idx="482">
                  <c:v>8.0333333333333119</c:v>
                </c:pt>
                <c:pt idx="483">
                  <c:v>8.0499999999999794</c:v>
                </c:pt>
                <c:pt idx="484">
                  <c:v>8.0666666666666469</c:v>
                </c:pt>
                <c:pt idx="485">
                  <c:v>8.0833333333333144</c:v>
                </c:pt>
                <c:pt idx="486">
                  <c:v>8.0999999999999819</c:v>
                </c:pt>
                <c:pt idx="487">
                  <c:v>8.1166666666666494</c:v>
                </c:pt>
                <c:pt idx="488">
                  <c:v>8.1333333333333169</c:v>
                </c:pt>
                <c:pt idx="489">
                  <c:v>8.1499999999999844</c:v>
                </c:pt>
                <c:pt idx="490">
                  <c:v>8.1666666666666519</c:v>
                </c:pt>
                <c:pt idx="491">
                  <c:v>8.1833333333333194</c:v>
                </c:pt>
                <c:pt idx="492">
                  <c:v>8.1999999999999869</c:v>
                </c:pt>
                <c:pt idx="493">
                  <c:v>8.2166666666666544</c:v>
                </c:pt>
                <c:pt idx="494">
                  <c:v>8.2333333333333218</c:v>
                </c:pt>
                <c:pt idx="495">
                  <c:v>8.2499999999999893</c:v>
                </c:pt>
                <c:pt idx="496">
                  <c:v>8.2666666666666568</c:v>
                </c:pt>
                <c:pt idx="497">
                  <c:v>8.2833333333333243</c:v>
                </c:pt>
                <c:pt idx="498">
                  <c:v>8.2999999999999918</c:v>
                </c:pt>
                <c:pt idx="499">
                  <c:v>8.3166666666666593</c:v>
                </c:pt>
                <c:pt idx="500">
                  <c:v>8.3333333333333268</c:v>
                </c:pt>
                <c:pt idx="501">
                  <c:v>8.3499999999999943</c:v>
                </c:pt>
                <c:pt idx="502">
                  <c:v>8.3666666666666618</c:v>
                </c:pt>
                <c:pt idx="503">
                  <c:v>8.3833333333333293</c:v>
                </c:pt>
                <c:pt idx="504">
                  <c:v>8.3999999999999968</c:v>
                </c:pt>
                <c:pt idx="505">
                  <c:v>8.4166666666666643</c:v>
                </c:pt>
                <c:pt idx="506">
                  <c:v>8.4333333333333318</c:v>
                </c:pt>
                <c:pt idx="507">
                  <c:v>8.4499999999999993</c:v>
                </c:pt>
                <c:pt idx="508">
                  <c:v>8.4666666666666668</c:v>
                </c:pt>
                <c:pt idx="509">
                  <c:v>8.4833333333333343</c:v>
                </c:pt>
                <c:pt idx="510">
                  <c:v>8.5000000000000018</c:v>
                </c:pt>
                <c:pt idx="511">
                  <c:v>8.5166666666666693</c:v>
                </c:pt>
                <c:pt idx="512">
                  <c:v>8.5333333333333368</c:v>
                </c:pt>
                <c:pt idx="513">
                  <c:v>8.5500000000000043</c:v>
                </c:pt>
                <c:pt idx="514">
                  <c:v>8.5666666666666718</c:v>
                </c:pt>
                <c:pt idx="515">
                  <c:v>8.5833333333333393</c:v>
                </c:pt>
                <c:pt idx="516">
                  <c:v>8.6000000000000068</c:v>
                </c:pt>
                <c:pt idx="517">
                  <c:v>8.6166666666666742</c:v>
                </c:pt>
                <c:pt idx="518">
                  <c:v>8.6333333333333417</c:v>
                </c:pt>
                <c:pt idx="519">
                  <c:v>8.6500000000000092</c:v>
                </c:pt>
                <c:pt idx="520">
                  <c:v>8.6666666666666767</c:v>
                </c:pt>
                <c:pt idx="521">
                  <c:v>8.6833333333333442</c:v>
                </c:pt>
                <c:pt idx="522">
                  <c:v>8.7000000000000117</c:v>
                </c:pt>
                <c:pt idx="523">
                  <c:v>8.7166666666666792</c:v>
                </c:pt>
                <c:pt idx="524">
                  <c:v>8.7333333333333467</c:v>
                </c:pt>
                <c:pt idx="525">
                  <c:v>8.7500000000000142</c:v>
                </c:pt>
                <c:pt idx="526">
                  <c:v>8.7666666666666817</c:v>
                </c:pt>
                <c:pt idx="527">
                  <c:v>8.7833333333333492</c:v>
                </c:pt>
                <c:pt idx="528">
                  <c:v>8.8000000000000167</c:v>
                </c:pt>
                <c:pt idx="529">
                  <c:v>8.8166666666666842</c:v>
                </c:pt>
                <c:pt idx="530">
                  <c:v>8.8333333333333517</c:v>
                </c:pt>
                <c:pt idx="531">
                  <c:v>8.8500000000000192</c:v>
                </c:pt>
                <c:pt idx="532">
                  <c:v>8.8666666666666867</c:v>
                </c:pt>
                <c:pt idx="533">
                  <c:v>8.8833333333333542</c:v>
                </c:pt>
                <c:pt idx="534">
                  <c:v>8.9000000000000217</c:v>
                </c:pt>
                <c:pt idx="535">
                  <c:v>8.9166666666666892</c:v>
                </c:pt>
                <c:pt idx="536">
                  <c:v>8.9333333333333567</c:v>
                </c:pt>
                <c:pt idx="537">
                  <c:v>8.9500000000000242</c:v>
                </c:pt>
                <c:pt idx="538">
                  <c:v>8.9666666666666917</c:v>
                </c:pt>
                <c:pt idx="539">
                  <c:v>8.9833333333333591</c:v>
                </c:pt>
                <c:pt idx="540">
                  <c:v>9.0000000000000266</c:v>
                </c:pt>
                <c:pt idx="541">
                  <c:v>9.0166666666666941</c:v>
                </c:pt>
                <c:pt idx="542">
                  <c:v>9.0333333333333616</c:v>
                </c:pt>
                <c:pt idx="543">
                  <c:v>9.0500000000000291</c:v>
                </c:pt>
                <c:pt idx="544">
                  <c:v>9.0666666666666966</c:v>
                </c:pt>
                <c:pt idx="545">
                  <c:v>9.0833333333333641</c:v>
                </c:pt>
                <c:pt idx="546">
                  <c:v>9.1000000000000316</c:v>
                </c:pt>
                <c:pt idx="547">
                  <c:v>9.1166666666666991</c:v>
                </c:pt>
                <c:pt idx="548">
                  <c:v>9.1333333333333666</c:v>
                </c:pt>
                <c:pt idx="549">
                  <c:v>9.1500000000000341</c:v>
                </c:pt>
                <c:pt idx="550">
                  <c:v>9.1666666666667016</c:v>
                </c:pt>
                <c:pt idx="551">
                  <c:v>9.1833333333333691</c:v>
                </c:pt>
                <c:pt idx="552">
                  <c:v>9.2000000000000366</c:v>
                </c:pt>
                <c:pt idx="553">
                  <c:v>9.2166666666667041</c:v>
                </c:pt>
                <c:pt idx="554">
                  <c:v>9.2333333333333716</c:v>
                </c:pt>
                <c:pt idx="555">
                  <c:v>9.2500000000000391</c:v>
                </c:pt>
                <c:pt idx="556">
                  <c:v>9.2666666666667066</c:v>
                </c:pt>
                <c:pt idx="557">
                  <c:v>9.2833333333333741</c:v>
                </c:pt>
                <c:pt idx="558">
                  <c:v>9.3000000000000416</c:v>
                </c:pt>
                <c:pt idx="559">
                  <c:v>9.3166666666667091</c:v>
                </c:pt>
                <c:pt idx="560">
                  <c:v>9.3333333333333766</c:v>
                </c:pt>
                <c:pt idx="561">
                  <c:v>9.3500000000000441</c:v>
                </c:pt>
                <c:pt idx="562">
                  <c:v>9.3666666666667115</c:v>
                </c:pt>
                <c:pt idx="563">
                  <c:v>9.383333333333379</c:v>
                </c:pt>
                <c:pt idx="564">
                  <c:v>9.4000000000000465</c:v>
                </c:pt>
                <c:pt idx="565">
                  <c:v>9.416666666666714</c:v>
                </c:pt>
                <c:pt idx="566">
                  <c:v>9.4333333333333815</c:v>
                </c:pt>
                <c:pt idx="567">
                  <c:v>9.450000000000049</c:v>
                </c:pt>
                <c:pt idx="568">
                  <c:v>9.4666666666667165</c:v>
                </c:pt>
                <c:pt idx="569">
                  <c:v>9.483333333333384</c:v>
                </c:pt>
                <c:pt idx="570">
                  <c:v>9.5000000000000515</c:v>
                </c:pt>
                <c:pt idx="571">
                  <c:v>9.516666666666719</c:v>
                </c:pt>
                <c:pt idx="572">
                  <c:v>9.5333333333333865</c:v>
                </c:pt>
                <c:pt idx="573">
                  <c:v>9.550000000000054</c:v>
                </c:pt>
                <c:pt idx="574">
                  <c:v>9.5666666666667215</c:v>
                </c:pt>
                <c:pt idx="575">
                  <c:v>9.583333333333389</c:v>
                </c:pt>
                <c:pt idx="576">
                  <c:v>9.6000000000000565</c:v>
                </c:pt>
                <c:pt idx="577">
                  <c:v>9.616666666666724</c:v>
                </c:pt>
                <c:pt idx="578">
                  <c:v>9.6333333333333915</c:v>
                </c:pt>
                <c:pt idx="579">
                  <c:v>9.650000000000059</c:v>
                </c:pt>
                <c:pt idx="580">
                  <c:v>9.6666666666667265</c:v>
                </c:pt>
                <c:pt idx="581">
                  <c:v>9.683333333333394</c:v>
                </c:pt>
                <c:pt idx="582">
                  <c:v>9.7000000000000615</c:v>
                </c:pt>
                <c:pt idx="583">
                  <c:v>9.716666666666729</c:v>
                </c:pt>
                <c:pt idx="584">
                  <c:v>9.7333333333333965</c:v>
                </c:pt>
                <c:pt idx="585">
                  <c:v>9.7500000000000639</c:v>
                </c:pt>
                <c:pt idx="586">
                  <c:v>9.7666666666667314</c:v>
                </c:pt>
                <c:pt idx="587">
                  <c:v>9.7833333333333989</c:v>
                </c:pt>
                <c:pt idx="588">
                  <c:v>9.8000000000000664</c:v>
                </c:pt>
                <c:pt idx="589">
                  <c:v>9.8166666666667339</c:v>
                </c:pt>
                <c:pt idx="590">
                  <c:v>9.8333333333334014</c:v>
                </c:pt>
                <c:pt idx="591">
                  <c:v>9.8500000000000689</c:v>
                </c:pt>
                <c:pt idx="592">
                  <c:v>9.8666666666667364</c:v>
                </c:pt>
                <c:pt idx="593">
                  <c:v>9.8833333333334039</c:v>
                </c:pt>
                <c:pt idx="594">
                  <c:v>9.9000000000000714</c:v>
                </c:pt>
                <c:pt idx="595">
                  <c:v>9.9166666666667389</c:v>
                </c:pt>
                <c:pt idx="596">
                  <c:v>9.9333333333334064</c:v>
                </c:pt>
                <c:pt idx="597">
                  <c:v>9.9500000000000739</c:v>
                </c:pt>
                <c:pt idx="598">
                  <c:v>9.9666666666667414</c:v>
                </c:pt>
                <c:pt idx="599">
                  <c:v>9.9833333333334089</c:v>
                </c:pt>
                <c:pt idx="600">
                  <c:v>10.000000000000076</c:v>
                </c:pt>
                <c:pt idx="601">
                  <c:v>10.016666666666744</c:v>
                </c:pt>
                <c:pt idx="602">
                  <c:v>10.033333333333411</c:v>
                </c:pt>
                <c:pt idx="603">
                  <c:v>10.050000000000079</c:v>
                </c:pt>
                <c:pt idx="604">
                  <c:v>10.066666666666746</c:v>
                </c:pt>
                <c:pt idx="605">
                  <c:v>10.083333333333414</c:v>
                </c:pt>
                <c:pt idx="606">
                  <c:v>10.100000000000081</c:v>
                </c:pt>
                <c:pt idx="607">
                  <c:v>10.116666666666749</c:v>
                </c:pt>
                <c:pt idx="608">
                  <c:v>10.133333333333416</c:v>
                </c:pt>
                <c:pt idx="609">
                  <c:v>10.150000000000084</c:v>
                </c:pt>
                <c:pt idx="610">
                  <c:v>10.166666666666751</c:v>
                </c:pt>
                <c:pt idx="611">
                  <c:v>10.183333333333419</c:v>
                </c:pt>
                <c:pt idx="612">
                  <c:v>10.200000000000086</c:v>
                </c:pt>
                <c:pt idx="613">
                  <c:v>10.216666666666754</c:v>
                </c:pt>
                <c:pt idx="614">
                  <c:v>10.233333333333421</c:v>
                </c:pt>
                <c:pt idx="615">
                  <c:v>10.250000000000089</c:v>
                </c:pt>
                <c:pt idx="616">
                  <c:v>10.266666666666756</c:v>
                </c:pt>
                <c:pt idx="617">
                  <c:v>10.283333333333424</c:v>
                </c:pt>
                <c:pt idx="618">
                  <c:v>10.300000000000091</c:v>
                </c:pt>
                <c:pt idx="619">
                  <c:v>10.316666666666759</c:v>
                </c:pt>
                <c:pt idx="620">
                  <c:v>10.333333333333426</c:v>
                </c:pt>
                <c:pt idx="621">
                  <c:v>10.350000000000094</c:v>
                </c:pt>
                <c:pt idx="622">
                  <c:v>10.366666666666761</c:v>
                </c:pt>
                <c:pt idx="623">
                  <c:v>10.383333333333429</c:v>
                </c:pt>
                <c:pt idx="624">
                  <c:v>10.400000000000096</c:v>
                </c:pt>
                <c:pt idx="625">
                  <c:v>10.416666666666764</c:v>
                </c:pt>
                <c:pt idx="626">
                  <c:v>10.433333333333431</c:v>
                </c:pt>
                <c:pt idx="627">
                  <c:v>10.450000000000099</c:v>
                </c:pt>
                <c:pt idx="628">
                  <c:v>10.466666666666766</c:v>
                </c:pt>
                <c:pt idx="629">
                  <c:v>10.483333333333434</c:v>
                </c:pt>
                <c:pt idx="630">
                  <c:v>10.500000000000101</c:v>
                </c:pt>
                <c:pt idx="631">
                  <c:v>10.516666666666769</c:v>
                </c:pt>
                <c:pt idx="632">
                  <c:v>10.533333333333436</c:v>
                </c:pt>
                <c:pt idx="633">
                  <c:v>10.550000000000104</c:v>
                </c:pt>
                <c:pt idx="634">
                  <c:v>10.566666666666771</c:v>
                </c:pt>
                <c:pt idx="635">
                  <c:v>10.583333333333439</c:v>
                </c:pt>
                <c:pt idx="636">
                  <c:v>10.600000000000106</c:v>
                </c:pt>
                <c:pt idx="637">
                  <c:v>10.616666666666774</c:v>
                </c:pt>
                <c:pt idx="638">
                  <c:v>10.633333333333441</c:v>
                </c:pt>
                <c:pt idx="639">
                  <c:v>10.650000000000109</c:v>
                </c:pt>
                <c:pt idx="640">
                  <c:v>10.666666666666776</c:v>
                </c:pt>
                <c:pt idx="641">
                  <c:v>10.683333333333444</c:v>
                </c:pt>
                <c:pt idx="642">
                  <c:v>10.700000000000111</c:v>
                </c:pt>
                <c:pt idx="643">
                  <c:v>10.716666666666779</c:v>
                </c:pt>
                <c:pt idx="644">
                  <c:v>10.733333333333446</c:v>
                </c:pt>
                <c:pt idx="645">
                  <c:v>10.750000000000114</c:v>
                </c:pt>
                <c:pt idx="646">
                  <c:v>10.766666666666781</c:v>
                </c:pt>
                <c:pt idx="647">
                  <c:v>10.783333333333449</c:v>
                </c:pt>
                <c:pt idx="648">
                  <c:v>10.800000000000116</c:v>
                </c:pt>
                <c:pt idx="649">
                  <c:v>10.816666666666784</c:v>
                </c:pt>
                <c:pt idx="650">
                  <c:v>10.833333333333451</c:v>
                </c:pt>
                <c:pt idx="651">
                  <c:v>10.850000000000119</c:v>
                </c:pt>
                <c:pt idx="652">
                  <c:v>10.866666666666786</c:v>
                </c:pt>
                <c:pt idx="653">
                  <c:v>10.883333333333454</c:v>
                </c:pt>
                <c:pt idx="654">
                  <c:v>10.900000000000121</c:v>
                </c:pt>
                <c:pt idx="655">
                  <c:v>10.916666666666789</c:v>
                </c:pt>
                <c:pt idx="656">
                  <c:v>10.933333333333456</c:v>
                </c:pt>
                <c:pt idx="657">
                  <c:v>10.950000000000124</c:v>
                </c:pt>
                <c:pt idx="658">
                  <c:v>10.966666666666791</c:v>
                </c:pt>
                <c:pt idx="659">
                  <c:v>10.983333333333459</c:v>
                </c:pt>
                <c:pt idx="660">
                  <c:v>11.000000000000126</c:v>
                </c:pt>
                <c:pt idx="661">
                  <c:v>11.016666666666794</c:v>
                </c:pt>
                <c:pt idx="662">
                  <c:v>11.033333333333461</c:v>
                </c:pt>
                <c:pt idx="663">
                  <c:v>11.050000000000129</c:v>
                </c:pt>
                <c:pt idx="664">
                  <c:v>11.066666666666796</c:v>
                </c:pt>
                <c:pt idx="665">
                  <c:v>11.083333333333464</c:v>
                </c:pt>
                <c:pt idx="666">
                  <c:v>11.100000000000131</c:v>
                </c:pt>
                <c:pt idx="667">
                  <c:v>11.116666666666799</c:v>
                </c:pt>
                <c:pt idx="668">
                  <c:v>11.133333333333466</c:v>
                </c:pt>
                <c:pt idx="669">
                  <c:v>11.150000000000134</c:v>
                </c:pt>
                <c:pt idx="670">
                  <c:v>11.166666666666801</c:v>
                </c:pt>
                <c:pt idx="671">
                  <c:v>11.183333333333469</c:v>
                </c:pt>
                <c:pt idx="672">
                  <c:v>11.200000000000136</c:v>
                </c:pt>
                <c:pt idx="673">
                  <c:v>11.216666666666804</c:v>
                </c:pt>
                <c:pt idx="674">
                  <c:v>11.233333333333471</c:v>
                </c:pt>
                <c:pt idx="675">
                  <c:v>11.250000000000139</c:v>
                </c:pt>
                <c:pt idx="676">
                  <c:v>11.266666666666806</c:v>
                </c:pt>
                <c:pt idx="677">
                  <c:v>11.283333333333474</c:v>
                </c:pt>
                <c:pt idx="678">
                  <c:v>11.300000000000141</c:v>
                </c:pt>
                <c:pt idx="679">
                  <c:v>11.316666666666809</c:v>
                </c:pt>
                <c:pt idx="680">
                  <c:v>11.333333333333476</c:v>
                </c:pt>
                <c:pt idx="681">
                  <c:v>11.350000000000144</c:v>
                </c:pt>
                <c:pt idx="682">
                  <c:v>11.366666666666811</c:v>
                </c:pt>
                <c:pt idx="683">
                  <c:v>11.383333333333479</c:v>
                </c:pt>
                <c:pt idx="684">
                  <c:v>11.400000000000146</c:v>
                </c:pt>
                <c:pt idx="685">
                  <c:v>11.416666666666814</c:v>
                </c:pt>
                <c:pt idx="686">
                  <c:v>11.433333333333481</c:v>
                </c:pt>
                <c:pt idx="687">
                  <c:v>11.450000000000149</c:v>
                </c:pt>
                <c:pt idx="688">
                  <c:v>11.466666666666816</c:v>
                </c:pt>
                <c:pt idx="689">
                  <c:v>11.483333333333483</c:v>
                </c:pt>
                <c:pt idx="690">
                  <c:v>11.500000000000151</c:v>
                </c:pt>
                <c:pt idx="691">
                  <c:v>11.516666666666818</c:v>
                </c:pt>
                <c:pt idx="692">
                  <c:v>11.533333333333486</c:v>
                </c:pt>
                <c:pt idx="693">
                  <c:v>11.550000000000153</c:v>
                </c:pt>
                <c:pt idx="694">
                  <c:v>11.566666666666821</c:v>
                </c:pt>
                <c:pt idx="695">
                  <c:v>11.583333333333488</c:v>
                </c:pt>
                <c:pt idx="696">
                  <c:v>11.600000000000156</c:v>
                </c:pt>
                <c:pt idx="697">
                  <c:v>11.616666666666823</c:v>
                </c:pt>
                <c:pt idx="698">
                  <c:v>11.633333333333491</c:v>
                </c:pt>
                <c:pt idx="699">
                  <c:v>11.650000000000158</c:v>
                </c:pt>
                <c:pt idx="700">
                  <c:v>11.666666666666826</c:v>
                </c:pt>
                <c:pt idx="701">
                  <c:v>11.683333333333493</c:v>
                </c:pt>
                <c:pt idx="702">
                  <c:v>11.700000000000161</c:v>
                </c:pt>
                <c:pt idx="703">
                  <c:v>11.716666666666828</c:v>
                </c:pt>
                <c:pt idx="704">
                  <c:v>11.733333333333496</c:v>
                </c:pt>
                <c:pt idx="705">
                  <c:v>11.750000000000163</c:v>
                </c:pt>
                <c:pt idx="706">
                  <c:v>11.766666666666831</c:v>
                </c:pt>
                <c:pt idx="707">
                  <c:v>11.783333333333498</c:v>
                </c:pt>
                <c:pt idx="708">
                  <c:v>11.800000000000166</c:v>
                </c:pt>
                <c:pt idx="709">
                  <c:v>11.816666666666833</c:v>
                </c:pt>
                <c:pt idx="710">
                  <c:v>11.833333333333501</c:v>
                </c:pt>
                <c:pt idx="711">
                  <c:v>11.850000000000168</c:v>
                </c:pt>
                <c:pt idx="712">
                  <c:v>11.866666666666836</c:v>
                </c:pt>
                <c:pt idx="713">
                  <c:v>11.883333333333503</c:v>
                </c:pt>
                <c:pt idx="714">
                  <c:v>11.900000000000171</c:v>
                </c:pt>
                <c:pt idx="715">
                  <c:v>11.916666666666838</c:v>
                </c:pt>
                <c:pt idx="716">
                  <c:v>11.933333333333506</c:v>
                </c:pt>
                <c:pt idx="717">
                  <c:v>11.950000000000173</c:v>
                </c:pt>
                <c:pt idx="718">
                  <c:v>11.966666666666841</c:v>
                </c:pt>
                <c:pt idx="719">
                  <c:v>11.983333333333508</c:v>
                </c:pt>
                <c:pt idx="720">
                  <c:v>12.000000000000176</c:v>
                </c:pt>
                <c:pt idx="721">
                  <c:v>12.016666666666843</c:v>
                </c:pt>
                <c:pt idx="722">
                  <c:v>12.033333333333511</c:v>
                </c:pt>
                <c:pt idx="723">
                  <c:v>12.050000000000178</c:v>
                </c:pt>
                <c:pt idx="724">
                  <c:v>12.066666666666846</c:v>
                </c:pt>
                <c:pt idx="725">
                  <c:v>12.083333333333513</c:v>
                </c:pt>
                <c:pt idx="726">
                  <c:v>12.100000000000181</c:v>
                </c:pt>
                <c:pt idx="727">
                  <c:v>12.116666666666848</c:v>
                </c:pt>
                <c:pt idx="728">
                  <c:v>12.133333333333516</c:v>
                </c:pt>
                <c:pt idx="729">
                  <c:v>12.150000000000183</c:v>
                </c:pt>
                <c:pt idx="730">
                  <c:v>12.166666666666851</c:v>
                </c:pt>
                <c:pt idx="731">
                  <c:v>12.183333333333518</c:v>
                </c:pt>
                <c:pt idx="732">
                  <c:v>12.200000000000186</c:v>
                </c:pt>
                <c:pt idx="733">
                  <c:v>12.216666666666853</c:v>
                </c:pt>
                <c:pt idx="734">
                  <c:v>12.233333333333521</c:v>
                </c:pt>
                <c:pt idx="735">
                  <c:v>12.250000000000188</c:v>
                </c:pt>
                <c:pt idx="736">
                  <c:v>12.266666666666856</c:v>
                </c:pt>
                <c:pt idx="737">
                  <c:v>12.283333333333523</c:v>
                </c:pt>
                <c:pt idx="738">
                  <c:v>12.300000000000191</c:v>
                </c:pt>
                <c:pt idx="739">
                  <c:v>12.316666666666858</c:v>
                </c:pt>
                <c:pt idx="740">
                  <c:v>12.333333333333526</c:v>
                </c:pt>
                <c:pt idx="741">
                  <c:v>12.350000000000193</c:v>
                </c:pt>
                <c:pt idx="742">
                  <c:v>12.366666666666861</c:v>
                </c:pt>
                <c:pt idx="743">
                  <c:v>12.383333333333528</c:v>
                </c:pt>
                <c:pt idx="744">
                  <c:v>12.400000000000196</c:v>
                </c:pt>
                <c:pt idx="745">
                  <c:v>12.416666666666863</c:v>
                </c:pt>
                <c:pt idx="746">
                  <c:v>12.433333333333531</c:v>
                </c:pt>
                <c:pt idx="747">
                  <c:v>12.450000000000198</c:v>
                </c:pt>
                <c:pt idx="748">
                  <c:v>12.466666666666866</c:v>
                </c:pt>
                <c:pt idx="749">
                  <c:v>12.483333333333533</c:v>
                </c:pt>
                <c:pt idx="750">
                  <c:v>12.500000000000201</c:v>
                </c:pt>
                <c:pt idx="751">
                  <c:v>12.516666666666868</c:v>
                </c:pt>
                <c:pt idx="752">
                  <c:v>12.533333333333536</c:v>
                </c:pt>
                <c:pt idx="753">
                  <c:v>12.550000000000203</c:v>
                </c:pt>
                <c:pt idx="754">
                  <c:v>12.566666666666871</c:v>
                </c:pt>
                <c:pt idx="755">
                  <c:v>12.583333333333538</c:v>
                </c:pt>
                <c:pt idx="756">
                  <c:v>12.600000000000206</c:v>
                </c:pt>
                <c:pt idx="757">
                  <c:v>12.616666666666873</c:v>
                </c:pt>
                <c:pt idx="758">
                  <c:v>12.633333333333541</c:v>
                </c:pt>
                <c:pt idx="759">
                  <c:v>12.650000000000208</c:v>
                </c:pt>
                <c:pt idx="760">
                  <c:v>12.666666666666876</c:v>
                </c:pt>
                <c:pt idx="761">
                  <c:v>12.683333333333543</c:v>
                </c:pt>
                <c:pt idx="762">
                  <c:v>12.700000000000211</c:v>
                </c:pt>
                <c:pt idx="763">
                  <c:v>12.716666666666878</c:v>
                </c:pt>
                <c:pt idx="764">
                  <c:v>12.733333333333546</c:v>
                </c:pt>
                <c:pt idx="765">
                  <c:v>12.750000000000213</c:v>
                </c:pt>
                <c:pt idx="766">
                  <c:v>12.766666666666881</c:v>
                </c:pt>
                <c:pt idx="767">
                  <c:v>12.783333333333548</c:v>
                </c:pt>
                <c:pt idx="768">
                  <c:v>12.800000000000216</c:v>
                </c:pt>
                <c:pt idx="769">
                  <c:v>12.816666666666883</c:v>
                </c:pt>
                <c:pt idx="770">
                  <c:v>12.833333333333551</c:v>
                </c:pt>
                <c:pt idx="771">
                  <c:v>12.850000000000218</c:v>
                </c:pt>
                <c:pt idx="772">
                  <c:v>12.866666666666886</c:v>
                </c:pt>
                <c:pt idx="773">
                  <c:v>12.883333333333553</c:v>
                </c:pt>
                <c:pt idx="774">
                  <c:v>12.900000000000221</c:v>
                </c:pt>
                <c:pt idx="775">
                  <c:v>12.916666666666888</c:v>
                </c:pt>
                <c:pt idx="776">
                  <c:v>12.933333333333556</c:v>
                </c:pt>
                <c:pt idx="777">
                  <c:v>12.950000000000223</c:v>
                </c:pt>
                <c:pt idx="778">
                  <c:v>12.966666666666891</c:v>
                </c:pt>
                <c:pt idx="779">
                  <c:v>12.983333333333558</c:v>
                </c:pt>
                <c:pt idx="780">
                  <c:v>13.000000000000226</c:v>
                </c:pt>
                <c:pt idx="781">
                  <c:v>13.016666666666893</c:v>
                </c:pt>
                <c:pt idx="782">
                  <c:v>13.033333333333561</c:v>
                </c:pt>
                <c:pt idx="783">
                  <c:v>13.050000000000228</c:v>
                </c:pt>
                <c:pt idx="784">
                  <c:v>13.066666666666896</c:v>
                </c:pt>
                <c:pt idx="785">
                  <c:v>13.083333333333563</c:v>
                </c:pt>
                <c:pt idx="786">
                  <c:v>13.100000000000231</c:v>
                </c:pt>
                <c:pt idx="787">
                  <c:v>13.116666666666898</c:v>
                </c:pt>
                <c:pt idx="788">
                  <c:v>13.133333333333566</c:v>
                </c:pt>
                <c:pt idx="789">
                  <c:v>13.150000000000233</c:v>
                </c:pt>
                <c:pt idx="790">
                  <c:v>13.166666666666901</c:v>
                </c:pt>
                <c:pt idx="791">
                  <c:v>13.183333333333568</c:v>
                </c:pt>
                <c:pt idx="792">
                  <c:v>13.200000000000236</c:v>
                </c:pt>
                <c:pt idx="793">
                  <c:v>13.216666666666903</c:v>
                </c:pt>
                <c:pt idx="794">
                  <c:v>13.233333333333571</c:v>
                </c:pt>
                <c:pt idx="795">
                  <c:v>13.250000000000238</c:v>
                </c:pt>
                <c:pt idx="796">
                  <c:v>13.266666666666906</c:v>
                </c:pt>
                <c:pt idx="797">
                  <c:v>13.283333333333573</c:v>
                </c:pt>
                <c:pt idx="798">
                  <c:v>13.300000000000241</c:v>
                </c:pt>
                <c:pt idx="799">
                  <c:v>13.316666666666908</c:v>
                </c:pt>
                <c:pt idx="800">
                  <c:v>13.333333333333576</c:v>
                </c:pt>
                <c:pt idx="801">
                  <c:v>13.350000000000243</c:v>
                </c:pt>
                <c:pt idx="802">
                  <c:v>13.366666666666911</c:v>
                </c:pt>
                <c:pt idx="803">
                  <c:v>13.383333333333578</c:v>
                </c:pt>
                <c:pt idx="804">
                  <c:v>13.400000000000245</c:v>
                </c:pt>
                <c:pt idx="805">
                  <c:v>13.416666666666913</c:v>
                </c:pt>
                <c:pt idx="806">
                  <c:v>13.43333333333358</c:v>
                </c:pt>
                <c:pt idx="807">
                  <c:v>13.450000000000248</c:v>
                </c:pt>
                <c:pt idx="808">
                  <c:v>13.466666666666915</c:v>
                </c:pt>
                <c:pt idx="809">
                  <c:v>13.483333333333583</c:v>
                </c:pt>
                <c:pt idx="810">
                  <c:v>13.50000000000025</c:v>
                </c:pt>
                <c:pt idx="811">
                  <c:v>13.516666666666918</c:v>
                </c:pt>
                <c:pt idx="812">
                  <c:v>13.533333333333585</c:v>
                </c:pt>
                <c:pt idx="813">
                  <c:v>13.550000000000253</c:v>
                </c:pt>
                <c:pt idx="814">
                  <c:v>13.56666666666692</c:v>
                </c:pt>
                <c:pt idx="815">
                  <c:v>13.583333333333588</c:v>
                </c:pt>
                <c:pt idx="816">
                  <c:v>13.600000000000255</c:v>
                </c:pt>
                <c:pt idx="817">
                  <c:v>13.616666666666923</c:v>
                </c:pt>
                <c:pt idx="818">
                  <c:v>13.63333333333359</c:v>
                </c:pt>
                <c:pt idx="819">
                  <c:v>13.650000000000258</c:v>
                </c:pt>
                <c:pt idx="820">
                  <c:v>13.666666666666925</c:v>
                </c:pt>
                <c:pt idx="821">
                  <c:v>13.683333333333593</c:v>
                </c:pt>
                <c:pt idx="822">
                  <c:v>13.70000000000026</c:v>
                </c:pt>
                <c:pt idx="823">
                  <c:v>13.716666666666928</c:v>
                </c:pt>
                <c:pt idx="824">
                  <c:v>13.733333333333595</c:v>
                </c:pt>
                <c:pt idx="825">
                  <c:v>13.750000000000263</c:v>
                </c:pt>
                <c:pt idx="826">
                  <c:v>13.76666666666693</c:v>
                </c:pt>
                <c:pt idx="827">
                  <c:v>13.783333333333598</c:v>
                </c:pt>
                <c:pt idx="828">
                  <c:v>13.800000000000265</c:v>
                </c:pt>
                <c:pt idx="829">
                  <c:v>13.816666666666933</c:v>
                </c:pt>
                <c:pt idx="830">
                  <c:v>13.8333333333336</c:v>
                </c:pt>
                <c:pt idx="831">
                  <c:v>13.850000000000268</c:v>
                </c:pt>
                <c:pt idx="832">
                  <c:v>13.866666666666935</c:v>
                </c:pt>
                <c:pt idx="833">
                  <c:v>13.883333333333603</c:v>
                </c:pt>
                <c:pt idx="834">
                  <c:v>13.90000000000027</c:v>
                </c:pt>
                <c:pt idx="835">
                  <c:v>13.916666666666938</c:v>
                </c:pt>
                <c:pt idx="836">
                  <c:v>13.933333333333605</c:v>
                </c:pt>
                <c:pt idx="837">
                  <c:v>13.950000000000273</c:v>
                </c:pt>
                <c:pt idx="838">
                  <c:v>13.96666666666694</c:v>
                </c:pt>
                <c:pt idx="839">
                  <c:v>13.983333333333608</c:v>
                </c:pt>
                <c:pt idx="840">
                  <c:v>14.000000000000275</c:v>
                </c:pt>
                <c:pt idx="841">
                  <c:v>14.016666666666943</c:v>
                </c:pt>
                <c:pt idx="842">
                  <c:v>14.03333333333361</c:v>
                </c:pt>
                <c:pt idx="843">
                  <c:v>14.050000000000278</c:v>
                </c:pt>
                <c:pt idx="844">
                  <c:v>14.066666666666945</c:v>
                </c:pt>
                <c:pt idx="845">
                  <c:v>14.083333333333613</c:v>
                </c:pt>
                <c:pt idx="846">
                  <c:v>14.10000000000028</c:v>
                </c:pt>
                <c:pt idx="847">
                  <c:v>14.116666666666948</c:v>
                </c:pt>
                <c:pt idx="848">
                  <c:v>14.133333333333615</c:v>
                </c:pt>
                <c:pt idx="849">
                  <c:v>14.150000000000283</c:v>
                </c:pt>
                <c:pt idx="850">
                  <c:v>14.16666666666695</c:v>
                </c:pt>
                <c:pt idx="851">
                  <c:v>14.183333333333618</c:v>
                </c:pt>
                <c:pt idx="852">
                  <c:v>14.200000000000285</c:v>
                </c:pt>
                <c:pt idx="853">
                  <c:v>14.216666666666953</c:v>
                </c:pt>
                <c:pt idx="854">
                  <c:v>14.23333333333362</c:v>
                </c:pt>
                <c:pt idx="855">
                  <c:v>14.250000000000288</c:v>
                </c:pt>
                <c:pt idx="856">
                  <c:v>14.266666666666955</c:v>
                </c:pt>
                <c:pt idx="857">
                  <c:v>14.283333333333623</c:v>
                </c:pt>
                <c:pt idx="858">
                  <c:v>14.30000000000029</c:v>
                </c:pt>
                <c:pt idx="859">
                  <c:v>14.316666666666958</c:v>
                </c:pt>
                <c:pt idx="860">
                  <c:v>14.333333333333625</c:v>
                </c:pt>
                <c:pt idx="861">
                  <c:v>14.350000000000293</c:v>
                </c:pt>
                <c:pt idx="862">
                  <c:v>14.36666666666696</c:v>
                </c:pt>
                <c:pt idx="863">
                  <c:v>14.383333333333628</c:v>
                </c:pt>
                <c:pt idx="864">
                  <c:v>14.400000000000295</c:v>
                </c:pt>
                <c:pt idx="865">
                  <c:v>14.416666666666963</c:v>
                </c:pt>
                <c:pt idx="866">
                  <c:v>14.43333333333363</c:v>
                </c:pt>
                <c:pt idx="867">
                  <c:v>14.450000000000298</c:v>
                </c:pt>
                <c:pt idx="868">
                  <c:v>14.466666666666965</c:v>
                </c:pt>
                <c:pt idx="869">
                  <c:v>14.483333333333633</c:v>
                </c:pt>
                <c:pt idx="870">
                  <c:v>14.5000000000003</c:v>
                </c:pt>
                <c:pt idx="871">
                  <c:v>14.516666666666968</c:v>
                </c:pt>
                <c:pt idx="872">
                  <c:v>14.533333333333635</c:v>
                </c:pt>
                <c:pt idx="873">
                  <c:v>14.550000000000303</c:v>
                </c:pt>
                <c:pt idx="874">
                  <c:v>14.56666666666697</c:v>
                </c:pt>
                <c:pt idx="875">
                  <c:v>14.583333333333638</c:v>
                </c:pt>
                <c:pt idx="876">
                  <c:v>14.600000000000305</c:v>
                </c:pt>
                <c:pt idx="877">
                  <c:v>14.616666666666973</c:v>
                </c:pt>
                <c:pt idx="878">
                  <c:v>14.63333333333364</c:v>
                </c:pt>
                <c:pt idx="879">
                  <c:v>14.650000000000308</c:v>
                </c:pt>
                <c:pt idx="880">
                  <c:v>14.666666666666975</c:v>
                </c:pt>
                <c:pt idx="881">
                  <c:v>14.683333333333643</c:v>
                </c:pt>
                <c:pt idx="882">
                  <c:v>14.70000000000031</c:v>
                </c:pt>
                <c:pt idx="883">
                  <c:v>14.716666666666978</c:v>
                </c:pt>
                <c:pt idx="884">
                  <c:v>14.733333333333645</c:v>
                </c:pt>
                <c:pt idx="885">
                  <c:v>14.750000000000313</c:v>
                </c:pt>
                <c:pt idx="886">
                  <c:v>14.76666666666698</c:v>
                </c:pt>
                <c:pt idx="887">
                  <c:v>14.783333333333648</c:v>
                </c:pt>
                <c:pt idx="888">
                  <c:v>14.800000000000315</c:v>
                </c:pt>
                <c:pt idx="889">
                  <c:v>14.816666666666983</c:v>
                </c:pt>
                <c:pt idx="890">
                  <c:v>14.83333333333365</c:v>
                </c:pt>
                <c:pt idx="891">
                  <c:v>14.850000000000318</c:v>
                </c:pt>
                <c:pt idx="892">
                  <c:v>14.866666666666985</c:v>
                </c:pt>
                <c:pt idx="893">
                  <c:v>14.883333333333653</c:v>
                </c:pt>
                <c:pt idx="894">
                  <c:v>14.90000000000032</c:v>
                </c:pt>
                <c:pt idx="895">
                  <c:v>14.916666666666988</c:v>
                </c:pt>
                <c:pt idx="896">
                  <c:v>14.933333333333655</c:v>
                </c:pt>
                <c:pt idx="897">
                  <c:v>14.950000000000323</c:v>
                </c:pt>
                <c:pt idx="898">
                  <c:v>14.96666666666699</c:v>
                </c:pt>
                <c:pt idx="899">
                  <c:v>14.983333333333658</c:v>
                </c:pt>
                <c:pt idx="900">
                  <c:v>15.000000000000325</c:v>
                </c:pt>
                <c:pt idx="901">
                  <c:v>15.016666666666993</c:v>
                </c:pt>
                <c:pt idx="902">
                  <c:v>15.03333333333366</c:v>
                </c:pt>
                <c:pt idx="903">
                  <c:v>15.050000000000328</c:v>
                </c:pt>
                <c:pt idx="904">
                  <c:v>15.066666666666995</c:v>
                </c:pt>
                <c:pt idx="905">
                  <c:v>15.083333333333663</c:v>
                </c:pt>
                <c:pt idx="906">
                  <c:v>15.10000000000033</c:v>
                </c:pt>
                <c:pt idx="907">
                  <c:v>15.116666666666998</c:v>
                </c:pt>
                <c:pt idx="908">
                  <c:v>15.133333333333665</c:v>
                </c:pt>
                <c:pt idx="909">
                  <c:v>15.150000000000333</c:v>
                </c:pt>
                <c:pt idx="910">
                  <c:v>15.166666666667</c:v>
                </c:pt>
                <c:pt idx="911">
                  <c:v>15.183333333333668</c:v>
                </c:pt>
                <c:pt idx="912">
                  <c:v>15.200000000000335</c:v>
                </c:pt>
                <c:pt idx="913">
                  <c:v>15.216666666667003</c:v>
                </c:pt>
                <c:pt idx="914">
                  <c:v>15.23333333333367</c:v>
                </c:pt>
                <c:pt idx="915">
                  <c:v>15.250000000000338</c:v>
                </c:pt>
                <c:pt idx="916">
                  <c:v>15.266666666667005</c:v>
                </c:pt>
                <c:pt idx="917">
                  <c:v>15.283333333333672</c:v>
                </c:pt>
                <c:pt idx="918">
                  <c:v>15.30000000000034</c:v>
                </c:pt>
                <c:pt idx="919">
                  <c:v>15.316666666667007</c:v>
                </c:pt>
                <c:pt idx="920">
                  <c:v>15.333333333333675</c:v>
                </c:pt>
                <c:pt idx="921">
                  <c:v>15.350000000000342</c:v>
                </c:pt>
                <c:pt idx="922">
                  <c:v>15.36666666666701</c:v>
                </c:pt>
                <c:pt idx="923">
                  <c:v>15.383333333333677</c:v>
                </c:pt>
                <c:pt idx="924">
                  <c:v>15.400000000000345</c:v>
                </c:pt>
                <c:pt idx="925">
                  <c:v>15.416666666667012</c:v>
                </c:pt>
                <c:pt idx="926">
                  <c:v>15.43333333333368</c:v>
                </c:pt>
                <c:pt idx="927">
                  <c:v>15.450000000000347</c:v>
                </c:pt>
                <c:pt idx="928">
                  <c:v>15.466666666667015</c:v>
                </c:pt>
                <c:pt idx="929">
                  <c:v>15.483333333333682</c:v>
                </c:pt>
                <c:pt idx="930">
                  <c:v>15.50000000000035</c:v>
                </c:pt>
                <c:pt idx="931">
                  <c:v>15.516666666667017</c:v>
                </c:pt>
                <c:pt idx="932">
                  <c:v>15.533333333333685</c:v>
                </c:pt>
                <c:pt idx="933">
                  <c:v>15.550000000000352</c:v>
                </c:pt>
                <c:pt idx="934">
                  <c:v>15.56666666666702</c:v>
                </c:pt>
                <c:pt idx="935">
                  <c:v>15.583333333333687</c:v>
                </c:pt>
                <c:pt idx="936">
                  <c:v>15.600000000000355</c:v>
                </c:pt>
                <c:pt idx="937">
                  <c:v>15.616666666667022</c:v>
                </c:pt>
                <c:pt idx="938">
                  <c:v>15.63333333333369</c:v>
                </c:pt>
                <c:pt idx="939">
                  <c:v>15.650000000000357</c:v>
                </c:pt>
                <c:pt idx="940">
                  <c:v>15.666666666667025</c:v>
                </c:pt>
                <c:pt idx="941">
                  <c:v>15.683333333333692</c:v>
                </c:pt>
                <c:pt idx="942">
                  <c:v>15.70000000000036</c:v>
                </c:pt>
                <c:pt idx="943">
                  <c:v>15.716666666667027</c:v>
                </c:pt>
                <c:pt idx="944">
                  <c:v>15.733333333333695</c:v>
                </c:pt>
                <c:pt idx="945">
                  <c:v>15.750000000000362</c:v>
                </c:pt>
                <c:pt idx="946">
                  <c:v>15.76666666666703</c:v>
                </c:pt>
                <c:pt idx="947">
                  <c:v>15.783333333333697</c:v>
                </c:pt>
                <c:pt idx="948">
                  <c:v>15.800000000000365</c:v>
                </c:pt>
                <c:pt idx="949">
                  <c:v>15.816666666667032</c:v>
                </c:pt>
                <c:pt idx="950">
                  <c:v>15.8333333333337</c:v>
                </c:pt>
                <c:pt idx="951">
                  <c:v>15.850000000000367</c:v>
                </c:pt>
                <c:pt idx="952">
                  <c:v>15.866666666667035</c:v>
                </c:pt>
                <c:pt idx="953">
                  <c:v>15.883333333333702</c:v>
                </c:pt>
                <c:pt idx="954">
                  <c:v>15.90000000000037</c:v>
                </c:pt>
                <c:pt idx="955">
                  <c:v>15.916666666667037</c:v>
                </c:pt>
                <c:pt idx="956">
                  <c:v>15.933333333333705</c:v>
                </c:pt>
                <c:pt idx="957">
                  <c:v>15.950000000000372</c:v>
                </c:pt>
                <c:pt idx="958">
                  <c:v>15.96666666666704</c:v>
                </c:pt>
                <c:pt idx="959">
                  <c:v>15.983333333333707</c:v>
                </c:pt>
                <c:pt idx="960">
                  <c:v>16.000000000000373</c:v>
                </c:pt>
                <c:pt idx="961">
                  <c:v>16.016666666667039</c:v>
                </c:pt>
                <c:pt idx="962">
                  <c:v>16.033333333333704</c:v>
                </c:pt>
                <c:pt idx="963">
                  <c:v>16.05000000000037</c:v>
                </c:pt>
                <c:pt idx="964">
                  <c:v>16.066666666667036</c:v>
                </c:pt>
                <c:pt idx="965">
                  <c:v>16.083333333333702</c:v>
                </c:pt>
                <c:pt idx="966">
                  <c:v>16.100000000000367</c:v>
                </c:pt>
                <c:pt idx="967">
                  <c:v>16.116666666667033</c:v>
                </c:pt>
                <c:pt idx="968">
                  <c:v>16.133333333333699</c:v>
                </c:pt>
                <c:pt idx="969">
                  <c:v>16.150000000000365</c:v>
                </c:pt>
                <c:pt idx="970">
                  <c:v>16.16666666666703</c:v>
                </c:pt>
                <c:pt idx="971">
                  <c:v>16.183333333333696</c:v>
                </c:pt>
                <c:pt idx="972">
                  <c:v>16.200000000000362</c:v>
                </c:pt>
                <c:pt idx="973">
                  <c:v>16.216666666667027</c:v>
                </c:pt>
                <c:pt idx="974">
                  <c:v>16.233333333333693</c:v>
                </c:pt>
                <c:pt idx="975">
                  <c:v>16.250000000000359</c:v>
                </c:pt>
                <c:pt idx="976">
                  <c:v>16.266666666667025</c:v>
                </c:pt>
                <c:pt idx="977">
                  <c:v>16.28333333333369</c:v>
                </c:pt>
                <c:pt idx="978">
                  <c:v>16.300000000000356</c:v>
                </c:pt>
                <c:pt idx="979">
                  <c:v>16.316666666667022</c:v>
                </c:pt>
                <c:pt idx="980">
                  <c:v>16.333333333333687</c:v>
                </c:pt>
                <c:pt idx="981">
                  <c:v>16.350000000000353</c:v>
                </c:pt>
                <c:pt idx="982">
                  <c:v>16.366666666667019</c:v>
                </c:pt>
                <c:pt idx="983">
                  <c:v>16.383333333333685</c:v>
                </c:pt>
                <c:pt idx="984">
                  <c:v>16.40000000000035</c:v>
                </c:pt>
                <c:pt idx="985">
                  <c:v>16.416666666667016</c:v>
                </c:pt>
                <c:pt idx="986">
                  <c:v>16.433333333333682</c:v>
                </c:pt>
                <c:pt idx="987">
                  <c:v>16.450000000000347</c:v>
                </c:pt>
                <c:pt idx="988">
                  <c:v>16.466666666667013</c:v>
                </c:pt>
                <c:pt idx="989">
                  <c:v>16.483333333333679</c:v>
                </c:pt>
                <c:pt idx="990">
                  <c:v>16.500000000000345</c:v>
                </c:pt>
                <c:pt idx="991">
                  <c:v>16.51666666666701</c:v>
                </c:pt>
                <c:pt idx="992">
                  <c:v>16.533333333333676</c:v>
                </c:pt>
                <c:pt idx="993">
                  <c:v>16.550000000000342</c:v>
                </c:pt>
                <c:pt idx="994">
                  <c:v>16.566666666667007</c:v>
                </c:pt>
                <c:pt idx="995">
                  <c:v>16.583333333333673</c:v>
                </c:pt>
                <c:pt idx="996">
                  <c:v>16.600000000000339</c:v>
                </c:pt>
                <c:pt idx="997">
                  <c:v>16.616666666667005</c:v>
                </c:pt>
                <c:pt idx="998">
                  <c:v>16.63333333333367</c:v>
                </c:pt>
                <c:pt idx="999">
                  <c:v>16.650000000000336</c:v>
                </c:pt>
                <c:pt idx="1000">
                  <c:v>16.666666666667002</c:v>
                </c:pt>
                <c:pt idx="1001">
                  <c:v>16.683333333333668</c:v>
                </c:pt>
                <c:pt idx="1002">
                  <c:v>16.700000000000333</c:v>
                </c:pt>
                <c:pt idx="1003">
                  <c:v>16.716666666666999</c:v>
                </c:pt>
                <c:pt idx="1004">
                  <c:v>16.733333333333665</c:v>
                </c:pt>
                <c:pt idx="1005">
                  <c:v>16.75000000000033</c:v>
                </c:pt>
                <c:pt idx="1006">
                  <c:v>16.766666666666996</c:v>
                </c:pt>
                <c:pt idx="1007">
                  <c:v>16.783333333333662</c:v>
                </c:pt>
                <c:pt idx="1008">
                  <c:v>16.800000000000328</c:v>
                </c:pt>
                <c:pt idx="1009">
                  <c:v>16.816666666666993</c:v>
                </c:pt>
                <c:pt idx="1010">
                  <c:v>16.833333333333659</c:v>
                </c:pt>
                <c:pt idx="1011">
                  <c:v>16.850000000000325</c:v>
                </c:pt>
                <c:pt idx="1012">
                  <c:v>16.86666666666699</c:v>
                </c:pt>
                <c:pt idx="1013">
                  <c:v>16.883333333333656</c:v>
                </c:pt>
                <c:pt idx="1014">
                  <c:v>16.900000000000322</c:v>
                </c:pt>
                <c:pt idx="1015">
                  <c:v>16.916666666666988</c:v>
                </c:pt>
                <c:pt idx="1016">
                  <c:v>16.933333333333653</c:v>
                </c:pt>
                <c:pt idx="1017">
                  <c:v>16.950000000000319</c:v>
                </c:pt>
                <c:pt idx="1018">
                  <c:v>16.966666666666985</c:v>
                </c:pt>
                <c:pt idx="1019">
                  <c:v>16.98333333333365</c:v>
                </c:pt>
                <c:pt idx="1020">
                  <c:v>17.000000000000316</c:v>
                </c:pt>
                <c:pt idx="1021">
                  <c:v>17.016666666666982</c:v>
                </c:pt>
                <c:pt idx="1022">
                  <c:v>17.033333333333648</c:v>
                </c:pt>
                <c:pt idx="1023">
                  <c:v>17.050000000000313</c:v>
                </c:pt>
                <c:pt idx="1024">
                  <c:v>17.066666666666979</c:v>
                </c:pt>
                <c:pt idx="1025">
                  <c:v>17.083333333333645</c:v>
                </c:pt>
                <c:pt idx="1026">
                  <c:v>17.100000000000311</c:v>
                </c:pt>
                <c:pt idx="1027">
                  <c:v>17.116666666666976</c:v>
                </c:pt>
                <c:pt idx="1028">
                  <c:v>17.133333333333642</c:v>
                </c:pt>
                <c:pt idx="1029">
                  <c:v>17.150000000000308</c:v>
                </c:pt>
                <c:pt idx="1030">
                  <c:v>17.166666666666973</c:v>
                </c:pt>
                <c:pt idx="1031">
                  <c:v>17.183333333333639</c:v>
                </c:pt>
                <c:pt idx="1032">
                  <c:v>17.200000000000305</c:v>
                </c:pt>
                <c:pt idx="1033">
                  <c:v>17.216666666666971</c:v>
                </c:pt>
                <c:pt idx="1034">
                  <c:v>17.233333333333636</c:v>
                </c:pt>
                <c:pt idx="1035">
                  <c:v>17.250000000000302</c:v>
                </c:pt>
                <c:pt idx="1036">
                  <c:v>17.266666666666968</c:v>
                </c:pt>
                <c:pt idx="1037">
                  <c:v>17.283333333333633</c:v>
                </c:pt>
                <c:pt idx="1038">
                  <c:v>17.300000000000299</c:v>
                </c:pt>
                <c:pt idx="1039">
                  <c:v>17.316666666666965</c:v>
                </c:pt>
                <c:pt idx="1040">
                  <c:v>17.333333333333631</c:v>
                </c:pt>
                <c:pt idx="1041">
                  <c:v>17.350000000000296</c:v>
                </c:pt>
                <c:pt idx="1042">
                  <c:v>17.366666666666962</c:v>
                </c:pt>
                <c:pt idx="1043">
                  <c:v>17.383333333333628</c:v>
                </c:pt>
                <c:pt idx="1044">
                  <c:v>17.400000000000293</c:v>
                </c:pt>
                <c:pt idx="1045">
                  <c:v>17.416666666666959</c:v>
                </c:pt>
                <c:pt idx="1046">
                  <c:v>17.433333333333625</c:v>
                </c:pt>
                <c:pt idx="1047">
                  <c:v>17.450000000000291</c:v>
                </c:pt>
                <c:pt idx="1048">
                  <c:v>17.466666666666956</c:v>
                </c:pt>
                <c:pt idx="1049">
                  <c:v>17.483333333333622</c:v>
                </c:pt>
                <c:pt idx="1050">
                  <c:v>17.500000000000288</c:v>
                </c:pt>
                <c:pt idx="1051">
                  <c:v>17.516666666666953</c:v>
                </c:pt>
                <c:pt idx="1052">
                  <c:v>17.533333333333619</c:v>
                </c:pt>
                <c:pt idx="1053">
                  <c:v>17.550000000000285</c:v>
                </c:pt>
                <c:pt idx="1054">
                  <c:v>17.566666666666951</c:v>
                </c:pt>
                <c:pt idx="1055">
                  <c:v>17.583333333333616</c:v>
                </c:pt>
                <c:pt idx="1056">
                  <c:v>17.600000000000282</c:v>
                </c:pt>
                <c:pt idx="1057">
                  <c:v>17.616666666666948</c:v>
                </c:pt>
                <c:pt idx="1058">
                  <c:v>17.633333333333614</c:v>
                </c:pt>
                <c:pt idx="1059">
                  <c:v>17.650000000000279</c:v>
                </c:pt>
                <c:pt idx="1060">
                  <c:v>17.666666666666945</c:v>
                </c:pt>
                <c:pt idx="1061">
                  <c:v>17.683333333333611</c:v>
                </c:pt>
                <c:pt idx="1062">
                  <c:v>17.700000000000276</c:v>
                </c:pt>
                <c:pt idx="1063">
                  <c:v>17.716666666666942</c:v>
                </c:pt>
                <c:pt idx="1064">
                  <c:v>17.733333333333608</c:v>
                </c:pt>
                <c:pt idx="1065">
                  <c:v>17.750000000000274</c:v>
                </c:pt>
                <c:pt idx="1066">
                  <c:v>17.766666666666939</c:v>
                </c:pt>
                <c:pt idx="1067">
                  <c:v>17.783333333333605</c:v>
                </c:pt>
                <c:pt idx="1068">
                  <c:v>17.800000000000271</c:v>
                </c:pt>
                <c:pt idx="1069">
                  <c:v>17.816666666666936</c:v>
                </c:pt>
                <c:pt idx="1070">
                  <c:v>17.833333333333602</c:v>
                </c:pt>
                <c:pt idx="1071">
                  <c:v>17.850000000000268</c:v>
                </c:pt>
                <c:pt idx="1072">
                  <c:v>17.866666666666934</c:v>
                </c:pt>
                <c:pt idx="1073">
                  <c:v>17.883333333333599</c:v>
                </c:pt>
                <c:pt idx="1074">
                  <c:v>17.900000000000265</c:v>
                </c:pt>
                <c:pt idx="1075">
                  <c:v>17.916666666666931</c:v>
                </c:pt>
                <c:pt idx="1076">
                  <c:v>17.933333333333596</c:v>
                </c:pt>
                <c:pt idx="1077">
                  <c:v>17.950000000000262</c:v>
                </c:pt>
                <c:pt idx="1078">
                  <c:v>17.966666666666928</c:v>
                </c:pt>
                <c:pt idx="1079">
                  <c:v>17.983333333333594</c:v>
                </c:pt>
                <c:pt idx="1080">
                  <c:v>18.000000000000259</c:v>
                </c:pt>
                <c:pt idx="1081">
                  <c:v>18.016666666666925</c:v>
                </c:pt>
                <c:pt idx="1082">
                  <c:v>18.033333333333591</c:v>
                </c:pt>
                <c:pt idx="1083">
                  <c:v>18.050000000000257</c:v>
                </c:pt>
                <c:pt idx="1084">
                  <c:v>18.066666666666922</c:v>
                </c:pt>
                <c:pt idx="1085">
                  <c:v>18.083333333333588</c:v>
                </c:pt>
                <c:pt idx="1086">
                  <c:v>18.100000000000254</c:v>
                </c:pt>
                <c:pt idx="1087">
                  <c:v>18.116666666666919</c:v>
                </c:pt>
                <c:pt idx="1088">
                  <c:v>18.133333333333585</c:v>
                </c:pt>
                <c:pt idx="1089">
                  <c:v>18.150000000000251</c:v>
                </c:pt>
                <c:pt idx="1090">
                  <c:v>18.166666666666917</c:v>
                </c:pt>
                <c:pt idx="1091">
                  <c:v>18.183333333333582</c:v>
                </c:pt>
                <c:pt idx="1092">
                  <c:v>18.200000000000248</c:v>
                </c:pt>
                <c:pt idx="1093">
                  <c:v>18.216666666666914</c:v>
                </c:pt>
                <c:pt idx="1094">
                  <c:v>18.233333333333579</c:v>
                </c:pt>
                <c:pt idx="1095">
                  <c:v>18.250000000000245</c:v>
                </c:pt>
                <c:pt idx="1096">
                  <c:v>18.266666666666911</c:v>
                </c:pt>
                <c:pt idx="1097">
                  <c:v>18.283333333333577</c:v>
                </c:pt>
                <c:pt idx="1098">
                  <c:v>18.300000000000242</c:v>
                </c:pt>
                <c:pt idx="1099">
                  <c:v>18.316666666666908</c:v>
                </c:pt>
                <c:pt idx="1100">
                  <c:v>18.333333333333574</c:v>
                </c:pt>
                <c:pt idx="1101">
                  <c:v>18.350000000000239</c:v>
                </c:pt>
                <c:pt idx="1102">
                  <c:v>18.366666666666905</c:v>
                </c:pt>
                <c:pt idx="1103">
                  <c:v>18.383333333333571</c:v>
                </c:pt>
                <c:pt idx="1104">
                  <c:v>18.400000000000237</c:v>
                </c:pt>
                <c:pt idx="1105">
                  <c:v>18.416666666666902</c:v>
                </c:pt>
                <c:pt idx="1106">
                  <c:v>18.433333333333568</c:v>
                </c:pt>
                <c:pt idx="1107">
                  <c:v>18.450000000000234</c:v>
                </c:pt>
                <c:pt idx="1108">
                  <c:v>18.466666666666899</c:v>
                </c:pt>
                <c:pt idx="1109">
                  <c:v>18.483333333333565</c:v>
                </c:pt>
                <c:pt idx="1110">
                  <c:v>18.500000000000231</c:v>
                </c:pt>
                <c:pt idx="1111">
                  <c:v>18.516666666666897</c:v>
                </c:pt>
                <c:pt idx="1112">
                  <c:v>18.533333333333562</c:v>
                </c:pt>
                <c:pt idx="1113">
                  <c:v>18.550000000000228</c:v>
                </c:pt>
                <c:pt idx="1114">
                  <c:v>18.566666666666894</c:v>
                </c:pt>
                <c:pt idx="1115">
                  <c:v>18.58333333333356</c:v>
                </c:pt>
                <c:pt idx="1116">
                  <c:v>18.600000000000225</c:v>
                </c:pt>
                <c:pt idx="1117">
                  <c:v>18.616666666666891</c:v>
                </c:pt>
                <c:pt idx="1118">
                  <c:v>18.633333333333557</c:v>
                </c:pt>
                <c:pt idx="1119">
                  <c:v>18.650000000000222</c:v>
                </c:pt>
                <c:pt idx="1120">
                  <c:v>18.666666666666888</c:v>
                </c:pt>
                <c:pt idx="1121">
                  <c:v>18.683333333333554</c:v>
                </c:pt>
                <c:pt idx="1122">
                  <c:v>18.70000000000022</c:v>
                </c:pt>
                <c:pt idx="1123">
                  <c:v>18.716666666666885</c:v>
                </c:pt>
                <c:pt idx="1124">
                  <c:v>18.733333333333551</c:v>
                </c:pt>
                <c:pt idx="1125">
                  <c:v>18.750000000000217</c:v>
                </c:pt>
                <c:pt idx="1126">
                  <c:v>18.766666666666882</c:v>
                </c:pt>
                <c:pt idx="1127">
                  <c:v>18.783333333333548</c:v>
                </c:pt>
                <c:pt idx="1128">
                  <c:v>18.800000000000214</c:v>
                </c:pt>
                <c:pt idx="1129">
                  <c:v>18.81666666666688</c:v>
                </c:pt>
                <c:pt idx="1130">
                  <c:v>18.833333333333545</c:v>
                </c:pt>
                <c:pt idx="1131">
                  <c:v>18.850000000000211</c:v>
                </c:pt>
                <c:pt idx="1132">
                  <c:v>18.866666666666877</c:v>
                </c:pt>
                <c:pt idx="1133">
                  <c:v>18.883333333333542</c:v>
                </c:pt>
                <c:pt idx="1134">
                  <c:v>18.900000000000208</c:v>
                </c:pt>
                <c:pt idx="1135">
                  <c:v>18.916666666666874</c:v>
                </c:pt>
                <c:pt idx="1136">
                  <c:v>18.93333333333354</c:v>
                </c:pt>
                <c:pt idx="1137">
                  <c:v>18.950000000000205</c:v>
                </c:pt>
                <c:pt idx="1138">
                  <c:v>18.966666666666871</c:v>
                </c:pt>
                <c:pt idx="1139">
                  <c:v>18.983333333333537</c:v>
                </c:pt>
                <c:pt idx="1140">
                  <c:v>19.000000000000203</c:v>
                </c:pt>
                <c:pt idx="1141">
                  <c:v>19.016666666666868</c:v>
                </c:pt>
                <c:pt idx="1142">
                  <c:v>19.033333333333534</c:v>
                </c:pt>
                <c:pt idx="1143">
                  <c:v>19.0500000000002</c:v>
                </c:pt>
                <c:pt idx="1144">
                  <c:v>19.066666666666865</c:v>
                </c:pt>
                <c:pt idx="1145">
                  <c:v>19.083333333333531</c:v>
                </c:pt>
                <c:pt idx="1146">
                  <c:v>19.100000000000197</c:v>
                </c:pt>
                <c:pt idx="1147">
                  <c:v>19.116666666666863</c:v>
                </c:pt>
                <c:pt idx="1148">
                  <c:v>19.133333333333528</c:v>
                </c:pt>
                <c:pt idx="1149">
                  <c:v>19.150000000000194</c:v>
                </c:pt>
                <c:pt idx="1150">
                  <c:v>19.16666666666686</c:v>
                </c:pt>
                <c:pt idx="1151">
                  <c:v>19.183333333333525</c:v>
                </c:pt>
                <c:pt idx="1152">
                  <c:v>19.200000000000191</c:v>
                </c:pt>
                <c:pt idx="1153">
                  <c:v>19.216666666666857</c:v>
                </c:pt>
                <c:pt idx="1154">
                  <c:v>19.233333333333523</c:v>
                </c:pt>
                <c:pt idx="1155">
                  <c:v>19.250000000000188</c:v>
                </c:pt>
                <c:pt idx="1156">
                  <c:v>19.266666666666854</c:v>
                </c:pt>
                <c:pt idx="1157">
                  <c:v>19.28333333333352</c:v>
                </c:pt>
                <c:pt idx="1158">
                  <c:v>19.300000000000185</c:v>
                </c:pt>
                <c:pt idx="1159">
                  <c:v>19.316666666666851</c:v>
                </c:pt>
                <c:pt idx="1160">
                  <c:v>19.333333333333517</c:v>
                </c:pt>
                <c:pt idx="1161">
                  <c:v>19.350000000000183</c:v>
                </c:pt>
                <c:pt idx="1162">
                  <c:v>19.366666666666848</c:v>
                </c:pt>
                <c:pt idx="1163">
                  <c:v>19.383333333333514</c:v>
                </c:pt>
                <c:pt idx="1164">
                  <c:v>19.40000000000018</c:v>
                </c:pt>
                <c:pt idx="1165">
                  <c:v>19.416666666666845</c:v>
                </c:pt>
                <c:pt idx="1166">
                  <c:v>19.433333333333511</c:v>
                </c:pt>
                <c:pt idx="1167">
                  <c:v>19.450000000000177</c:v>
                </c:pt>
                <c:pt idx="1168">
                  <c:v>19.466666666666843</c:v>
                </c:pt>
                <c:pt idx="1169">
                  <c:v>19.483333333333508</c:v>
                </c:pt>
                <c:pt idx="1170">
                  <c:v>19.500000000000174</c:v>
                </c:pt>
                <c:pt idx="1171">
                  <c:v>19.51666666666684</c:v>
                </c:pt>
                <c:pt idx="1172">
                  <c:v>19.533333333333506</c:v>
                </c:pt>
                <c:pt idx="1173">
                  <c:v>19.550000000000171</c:v>
                </c:pt>
                <c:pt idx="1174">
                  <c:v>19.566666666666837</c:v>
                </c:pt>
                <c:pt idx="1175">
                  <c:v>19.583333333333503</c:v>
                </c:pt>
                <c:pt idx="1176">
                  <c:v>19.600000000000168</c:v>
                </c:pt>
                <c:pt idx="1177">
                  <c:v>19.616666666666834</c:v>
                </c:pt>
                <c:pt idx="1178">
                  <c:v>19.6333333333335</c:v>
                </c:pt>
                <c:pt idx="1179">
                  <c:v>19.650000000000166</c:v>
                </c:pt>
                <c:pt idx="1180">
                  <c:v>19.666666666666831</c:v>
                </c:pt>
                <c:pt idx="1181">
                  <c:v>19.683333333333497</c:v>
                </c:pt>
                <c:pt idx="1182">
                  <c:v>19.700000000000163</c:v>
                </c:pt>
                <c:pt idx="1183">
                  <c:v>19.716666666666828</c:v>
                </c:pt>
                <c:pt idx="1184">
                  <c:v>19.733333333333494</c:v>
                </c:pt>
                <c:pt idx="1185">
                  <c:v>19.75000000000016</c:v>
                </c:pt>
                <c:pt idx="1186">
                  <c:v>19.766666666666826</c:v>
                </c:pt>
                <c:pt idx="1187">
                  <c:v>19.783333333333491</c:v>
                </c:pt>
                <c:pt idx="1188">
                  <c:v>19.800000000000157</c:v>
                </c:pt>
                <c:pt idx="1189">
                  <c:v>19.816666666666823</c:v>
                </c:pt>
                <c:pt idx="1190">
                  <c:v>19.833333333333488</c:v>
                </c:pt>
                <c:pt idx="1191">
                  <c:v>19.850000000000154</c:v>
                </c:pt>
                <c:pt idx="1192">
                  <c:v>19.86666666666682</c:v>
                </c:pt>
                <c:pt idx="1193">
                  <c:v>19.883333333333486</c:v>
                </c:pt>
                <c:pt idx="1194">
                  <c:v>19.900000000000151</c:v>
                </c:pt>
                <c:pt idx="1195">
                  <c:v>19.916666666666817</c:v>
                </c:pt>
                <c:pt idx="1196">
                  <c:v>19.933333333333483</c:v>
                </c:pt>
                <c:pt idx="1197">
                  <c:v>19.950000000000149</c:v>
                </c:pt>
                <c:pt idx="1198">
                  <c:v>19.966666666666814</c:v>
                </c:pt>
                <c:pt idx="1199">
                  <c:v>19.98333333333348</c:v>
                </c:pt>
                <c:pt idx="1200">
                  <c:v>20.000000000000146</c:v>
                </c:pt>
                <c:pt idx="1201">
                  <c:v>20.016666666666811</c:v>
                </c:pt>
                <c:pt idx="1202">
                  <c:v>20.033333333333477</c:v>
                </c:pt>
                <c:pt idx="1203">
                  <c:v>20.050000000000143</c:v>
                </c:pt>
                <c:pt idx="1204">
                  <c:v>20.066666666666809</c:v>
                </c:pt>
                <c:pt idx="1205">
                  <c:v>20.083333333333474</c:v>
                </c:pt>
                <c:pt idx="1206">
                  <c:v>20.10000000000014</c:v>
                </c:pt>
                <c:pt idx="1207">
                  <c:v>20.116666666666806</c:v>
                </c:pt>
                <c:pt idx="1208">
                  <c:v>20.133333333333471</c:v>
                </c:pt>
                <c:pt idx="1209">
                  <c:v>20.150000000000137</c:v>
                </c:pt>
                <c:pt idx="1210">
                  <c:v>20.166666666666803</c:v>
                </c:pt>
                <c:pt idx="1211">
                  <c:v>20.183333333333469</c:v>
                </c:pt>
                <c:pt idx="1212">
                  <c:v>20.200000000000134</c:v>
                </c:pt>
                <c:pt idx="1213">
                  <c:v>20.2166666666668</c:v>
                </c:pt>
                <c:pt idx="1214">
                  <c:v>20.233333333333466</c:v>
                </c:pt>
                <c:pt idx="1215">
                  <c:v>20.250000000000131</c:v>
                </c:pt>
                <c:pt idx="1216">
                  <c:v>20.266666666666797</c:v>
                </c:pt>
                <c:pt idx="1217">
                  <c:v>20.283333333333463</c:v>
                </c:pt>
                <c:pt idx="1218">
                  <c:v>20.300000000000129</c:v>
                </c:pt>
                <c:pt idx="1219">
                  <c:v>20.316666666666794</c:v>
                </c:pt>
                <c:pt idx="1220">
                  <c:v>20.33333333333346</c:v>
                </c:pt>
                <c:pt idx="1221">
                  <c:v>20.350000000000126</c:v>
                </c:pt>
                <c:pt idx="1222">
                  <c:v>20.366666666666791</c:v>
                </c:pt>
                <c:pt idx="1223">
                  <c:v>20.383333333333457</c:v>
                </c:pt>
                <c:pt idx="1224">
                  <c:v>20.400000000000123</c:v>
                </c:pt>
                <c:pt idx="1225">
                  <c:v>20.416666666666789</c:v>
                </c:pt>
                <c:pt idx="1226">
                  <c:v>20.433333333333454</c:v>
                </c:pt>
                <c:pt idx="1227">
                  <c:v>20.45000000000012</c:v>
                </c:pt>
                <c:pt idx="1228">
                  <c:v>20.466666666666786</c:v>
                </c:pt>
                <c:pt idx="1229">
                  <c:v>20.483333333333452</c:v>
                </c:pt>
                <c:pt idx="1230">
                  <c:v>20.500000000000117</c:v>
                </c:pt>
                <c:pt idx="1231">
                  <c:v>20.516666666666783</c:v>
                </c:pt>
                <c:pt idx="1232">
                  <c:v>20.533333333333449</c:v>
                </c:pt>
                <c:pt idx="1233">
                  <c:v>20.550000000000114</c:v>
                </c:pt>
                <c:pt idx="1234">
                  <c:v>20.56666666666678</c:v>
                </c:pt>
                <c:pt idx="1235">
                  <c:v>20.583333333333446</c:v>
                </c:pt>
                <c:pt idx="1236">
                  <c:v>20.600000000000112</c:v>
                </c:pt>
                <c:pt idx="1237">
                  <c:v>20.616666666666777</c:v>
                </c:pt>
                <c:pt idx="1238">
                  <c:v>20.633333333333443</c:v>
                </c:pt>
                <c:pt idx="1239">
                  <c:v>20.650000000000109</c:v>
                </c:pt>
                <c:pt idx="1240">
                  <c:v>20.666666666666774</c:v>
                </c:pt>
                <c:pt idx="1241">
                  <c:v>20.68333333333344</c:v>
                </c:pt>
                <c:pt idx="1242">
                  <c:v>20.700000000000106</c:v>
                </c:pt>
                <c:pt idx="1243">
                  <c:v>20.716666666666772</c:v>
                </c:pt>
                <c:pt idx="1244">
                  <c:v>20.733333333333437</c:v>
                </c:pt>
                <c:pt idx="1245">
                  <c:v>20.750000000000103</c:v>
                </c:pt>
                <c:pt idx="1246">
                  <c:v>20.766666666666769</c:v>
                </c:pt>
                <c:pt idx="1247">
                  <c:v>20.783333333333434</c:v>
                </c:pt>
                <c:pt idx="1248">
                  <c:v>20.8000000000001</c:v>
                </c:pt>
                <c:pt idx="1249">
                  <c:v>20.816666666666766</c:v>
                </c:pt>
                <c:pt idx="1250">
                  <c:v>20.833333333333432</c:v>
                </c:pt>
                <c:pt idx="1251">
                  <c:v>20.850000000000097</c:v>
                </c:pt>
                <c:pt idx="1252">
                  <c:v>20.866666666666763</c:v>
                </c:pt>
                <c:pt idx="1253">
                  <c:v>20.883333333333429</c:v>
                </c:pt>
                <c:pt idx="1254">
                  <c:v>20.900000000000095</c:v>
                </c:pt>
                <c:pt idx="1255">
                  <c:v>20.91666666666676</c:v>
                </c:pt>
                <c:pt idx="1256">
                  <c:v>20.933333333333426</c:v>
                </c:pt>
                <c:pt idx="1257">
                  <c:v>20.950000000000092</c:v>
                </c:pt>
                <c:pt idx="1258">
                  <c:v>20.966666666666757</c:v>
                </c:pt>
                <c:pt idx="1259">
                  <c:v>20.983333333333423</c:v>
                </c:pt>
                <c:pt idx="1260">
                  <c:v>21.000000000000089</c:v>
                </c:pt>
                <c:pt idx="1261">
                  <c:v>21.016666666666755</c:v>
                </c:pt>
                <c:pt idx="1262">
                  <c:v>21.03333333333342</c:v>
                </c:pt>
                <c:pt idx="1263">
                  <c:v>21.050000000000086</c:v>
                </c:pt>
                <c:pt idx="1264">
                  <c:v>21.066666666666752</c:v>
                </c:pt>
                <c:pt idx="1265">
                  <c:v>21.083333333333417</c:v>
                </c:pt>
                <c:pt idx="1266">
                  <c:v>21.100000000000083</c:v>
                </c:pt>
                <c:pt idx="1267">
                  <c:v>21.116666666666749</c:v>
                </c:pt>
                <c:pt idx="1268">
                  <c:v>21.133333333333415</c:v>
                </c:pt>
                <c:pt idx="1269">
                  <c:v>21.15000000000008</c:v>
                </c:pt>
                <c:pt idx="1270">
                  <c:v>21.166666666666746</c:v>
                </c:pt>
                <c:pt idx="1271">
                  <c:v>21.183333333333412</c:v>
                </c:pt>
                <c:pt idx="1272">
                  <c:v>21.200000000000077</c:v>
                </c:pt>
                <c:pt idx="1273">
                  <c:v>21.216666666666743</c:v>
                </c:pt>
                <c:pt idx="1274">
                  <c:v>21.233333333333409</c:v>
                </c:pt>
                <c:pt idx="1275">
                  <c:v>21.250000000000075</c:v>
                </c:pt>
                <c:pt idx="1276">
                  <c:v>21.26666666666674</c:v>
                </c:pt>
                <c:pt idx="1277">
                  <c:v>21.283333333333406</c:v>
                </c:pt>
                <c:pt idx="1278">
                  <c:v>21.300000000000072</c:v>
                </c:pt>
                <c:pt idx="1279">
                  <c:v>21.316666666666737</c:v>
                </c:pt>
                <c:pt idx="1280">
                  <c:v>21.333333333333403</c:v>
                </c:pt>
                <c:pt idx="1281">
                  <c:v>21.350000000000069</c:v>
                </c:pt>
                <c:pt idx="1282">
                  <c:v>21.366666666666735</c:v>
                </c:pt>
                <c:pt idx="1283">
                  <c:v>21.3833333333334</c:v>
                </c:pt>
                <c:pt idx="1284">
                  <c:v>21.400000000000066</c:v>
                </c:pt>
                <c:pt idx="1285">
                  <c:v>21.416666666666732</c:v>
                </c:pt>
                <c:pt idx="1286">
                  <c:v>21.433333333333398</c:v>
                </c:pt>
                <c:pt idx="1287">
                  <c:v>21.450000000000063</c:v>
                </c:pt>
                <c:pt idx="1288">
                  <c:v>21.466666666666729</c:v>
                </c:pt>
                <c:pt idx="1289">
                  <c:v>21.483333333333395</c:v>
                </c:pt>
                <c:pt idx="1290">
                  <c:v>21.50000000000006</c:v>
                </c:pt>
                <c:pt idx="1291">
                  <c:v>21.516666666666726</c:v>
                </c:pt>
                <c:pt idx="1292">
                  <c:v>21.533333333333392</c:v>
                </c:pt>
                <c:pt idx="1293">
                  <c:v>21.550000000000058</c:v>
                </c:pt>
                <c:pt idx="1294">
                  <c:v>21.566666666666723</c:v>
                </c:pt>
                <c:pt idx="1295">
                  <c:v>21.583333333333389</c:v>
                </c:pt>
                <c:pt idx="1296">
                  <c:v>21.600000000000055</c:v>
                </c:pt>
                <c:pt idx="1297">
                  <c:v>21.61666666666672</c:v>
                </c:pt>
                <c:pt idx="1298">
                  <c:v>21.633333333333386</c:v>
                </c:pt>
                <c:pt idx="1299">
                  <c:v>21.650000000000052</c:v>
                </c:pt>
                <c:pt idx="1300">
                  <c:v>21.666666666666718</c:v>
                </c:pt>
                <c:pt idx="1301">
                  <c:v>21.683333333333383</c:v>
                </c:pt>
                <c:pt idx="1302">
                  <c:v>21.700000000000049</c:v>
                </c:pt>
                <c:pt idx="1303">
                  <c:v>21.716666666666715</c:v>
                </c:pt>
                <c:pt idx="1304">
                  <c:v>21.73333333333338</c:v>
                </c:pt>
                <c:pt idx="1305">
                  <c:v>21.750000000000046</c:v>
                </c:pt>
                <c:pt idx="1306">
                  <c:v>21.766666666666712</c:v>
                </c:pt>
                <c:pt idx="1307">
                  <c:v>21.783333333333378</c:v>
                </c:pt>
                <c:pt idx="1308">
                  <c:v>21.800000000000043</c:v>
                </c:pt>
                <c:pt idx="1309">
                  <c:v>21.816666666666709</c:v>
                </c:pt>
                <c:pt idx="1310">
                  <c:v>21.833333333333375</c:v>
                </c:pt>
                <c:pt idx="1311">
                  <c:v>21.850000000000041</c:v>
                </c:pt>
                <c:pt idx="1312">
                  <c:v>21.866666666666706</c:v>
                </c:pt>
                <c:pt idx="1313">
                  <c:v>21.883333333333372</c:v>
                </c:pt>
                <c:pt idx="1314">
                  <c:v>21.900000000000038</c:v>
                </c:pt>
                <c:pt idx="1315">
                  <c:v>21.916666666666703</c:v>
                </c:pt>
                <c:pt idx="1316">
                  <c:v>21.933333333333369</c:v>
                </c:pt>
                <c:pt idx="1317">
                  <c:v>21.950000000000035</c:v>
                </c:pt>
                <c:pt idx="1318">
                  <c:v>21.966666666666701</c:v>
                </c:pt>
                <c:pt idx="1319">
                  <c:v>21.983333333333366</c:v>
                </c:pt>
                <c:pt idx="1320">
                  <c:v>22.000000000000032</c:v>
                </c:pt>
                <c:pt idx="1321">
                  <c:v>22.016666666666698</c:v>
                </c:pt>
                <c:pt idx="1322">
                  <c:v>22.033333333333363</c:v>
                </c:pt>
                <c:pt idx="1323">
                  <c:v>22.050000000000029</c:v>
                </c:pt>
                <c:pt idx="1324">
                  <c:v>22.066666666666695</c:v>
                </c:pt>
                <c:pt idx="1325">
                  <c:v>22.083333333333361</c:v>
                </c:pt>
                <c:pt idx="1326">
                  <c:v>22.100000000000026</c:v>
                </c:pt>
                <c:pt idx="1327">
                  <c:v>22.116666666666692</c:v>
                </c:pt>
                <c:pt idx="1328">
                  <c:v>22.133333333333358</c:v>
                </c:pt>
                <c:pt idx="1329">
                  <c:v>22.150000000000023</c:v>
                </c:pt>
                <c:pt idx="1330">
                  <c:v>22.166666666666689</c:v>
                </c:pt>
                <c:pt idx="1331">
                  <c:v>22.183333333333355</c:v>
                </c:pt>
                <c:pt idx="1332">
                  <c:v>22.200000000000021</c:v>
                </c:pt>
                <c:pt idx="1333">
                  <c:v>22.216666666666686</c:v>
                </c:pt>
                <c:pt idx="1334">
                  <c:v>22.233333333333352</c:v>
                </c:pt>
                <c:pt idx="1335">
                  <c:v>22.250000000000018</c:v>
                </c:pt>
                <c:pt idx="1336">
                  <c:v>22.266666666666683</c:v>
                </c:pt>
                <c:pt idx="1337">
                  <c:v>22.283333333333349</c:v>
                </c:pt>
                <c:pt idx="1338">
                  <c:v>22.300000000000015</c:v>
                </c:pt>
                <c:pt idx="1339">
                  <c:v>22.316666666666681</c:v>
                </c:pt>
                <c:pt idx="1340">
                  <c:v>22.333333333333346</c:v>
                </c:pt>
                <c:pt idx="1341">
                  <c:v>22.350000000000012</c:v>
                </c:pt>
                <c:pt idx="1342">
                  <c:v>22.366666666666678</c:v>
                </c:pt>
                <c:pt idx="1343">
                  <c:v>22.383333333333344</c:v>
                </c:pt>
                <c:pt idx="1344">
                  <c:v>22.400000000000009</c:v>
                </c:pt>
                <c:pt idx="1345">
                  <c:v>22.416666666666675</c:v>
                </c:pt>
                <c:pt idx="1346">
                  <c:v>22.433333333333341</c:v>
                </c:pt>
                <c:pt idx="1347">
                  <c:v>22.450000000000006</c:v>
                </c:pt>
                <c:pt idx="1348">
                  <c:v>22.466666666666672</c:v>
                </c:pt>
                <c:pt idx="1349">
                  <c:v>22.483333333333338</c:v>
                </c:pt>
                <c:pt idx="1350">
                  <c:v>22.500000000000004</c:v>
                </c:pt>
                <c:pt idx="1351">
                  <c:v>22.516666666666669</c:v>
                </c:pt>
                <c:pt idx="1352">
                  <c:v>22.533333333333335</c:v>
                </c:pt>
                <c:pt idx="1353">
                  <c:v>22.55</c:v>
                </c:pt>
                <c:pt idx="1354">
                  <c:v>22.566666666666666</c:v>
                </c:pt>
                <c:pt idx="1355">
                  <c:v>22.583333333333332</c:v>
                </c:pt>
                <c:pt idx="1356">
                  <c:v>22.599999999999998</c:v>
                </c:pt>
                <c:pt idx="1357">
                  <c:v>22.616666666666664</c:v>
                </c:pt>
                <c:pt idx="1358">
                  <c:v>22.633333333333329</c:v>
                </c:pt>
                <c:pt idx="1359">
                  <c:v>22.649999999999995</c:v>
                </c:pt>
                <c:pt idx="1360">
                  <c:v>22.666666666666661</c:v>
                </c:pt>
                <c:pt idx="1361">
                  <c:v>22.683333333333326</c:v>
                </c:pt>
                <c:pt idx="1362">
                  <c:v>22.699999999999992</c:v>
                </c:pt>
                <c:pt idx="1363">
                  <c:v>22.716666666666658</c:v>
                </c:pt>
                <c:pt idx="1364">
                  <c:v>22.733333333333324</c:v>
                </c:pt>
                <c:pt idx="1365">
                  <c:v>22.749999999999989</c:v>
                </c:pt>
                <c:pt idx="1366">
                  <c:v>22.766666666666655</c:v>
                </c:pt>
                <c:pt idx="1367">
                  <c:v>22.783333333333321</c:v>
                </c:pt>
                <c:pt idx="1368">
                  <c:v>22.799999999999986</c:v>
                </c:pt>
                <c:pt idx="1369">
                  <c:v>22.816666666666652</c:v>
                </c:pt>
                <c:pt idx="1370">
                  <c:v>22.833333333333318</c:v>
                </c:pt>
                <c:pt idx="1371">
                  <c:v>22.849999999999984</c:v>
                </c:pt>
                <c:pt idx="1372">
                  <c:v>22.866666666666649</c:v>
                </c:pt>
                <c:pt idx="1373">
                  <c:v>22.883333333333315</c:v>
                </c:pt>
                <c:pt idx="1374">
                  <c:v>22.899999999999981</c:v>
                </c:pt>
                <c:pt idx="1375">
                  <c:v>22.916666666666647</c:v>
                </c:pt>
                <c:pt idx="1376">
                  <c:v>22.933333333333312</c:v>
                </c:pt>
                <c:pt idx="1377">
                  <c:v>22.949999999999978</c:v>
                </c:pt>
                <c:pt idx="1378">
                  <c:v>22.966666666666644</c:v>
                </c:pt>
                <c:pt idx="1379">
                  <c:v>22.983333333333309</c:v>
                </c:pt>
                <c:pt idx="1380">
                  <c:v>22.999999999999975</c:v>
                </c:pt>
                <c:pt idx="1381">
                  <c:v>23.016666666666641</c:v>
                </c:pt>
                <c:pt idx="1382">
                  <c:v>23.033333333333307</c:v>
                </c:pt>
                <c:pt idx="1383">
                  <c:v>23.049999999999972</c:v>
                </c:pt>
                <c:pt idx="1384">
                  <c:v>23.066666666666638</c:v>
                </c:pt>
                <c:pt idx="1385">
                  <c:v>23.083333333333304</c:v>
                </c:pt>
                <c:pt idx="1386">
                  <c:v>23.099999999999969</c:v>
                </c:pt>
                <c:pt idx="1387">
                  <c:v>23.116666666666635</c:v>
                </c:pt>
                <c:pt idx="1388">
                  <c:v>23.133333333333301</c:v>
                </c:pt>
                <c:pt idx="1389">
                  <c:v>23.149999999999967</c:v>
                </c:pt>
                <c:pt idx="1390">
                  <c:v>23.166666666666632</c:v>
                </c:pt>
                <c:pt idx="1391">
                  <c:v>23.183333333333298</c:v>
                </c:pt>
                <c:pt idx="1392">
                  <c:v>23.199999999999964</c:v>
                </c:pt>
                <c:pt idx="1393">
                  <c:v>23.216666666666629</c:v>
                </c:pt>
                <c:pt idx="1394">
                  <c:v>23.233333333333295</c:v>
                </c:pt>
                <c:pt idx="1395">
                  <c:v>23.249999999999961</c:v>
                </c:pt>
                <c:pt idx="1396">
                  <c:v>23.266666666666627</c:v>
                </c:pt>
                <c:pt idx="1397">
                  <c:v>23.283333333333292</c:v>
                </c:pt>
                <c:pt idx="1398">
                  <c:v>23.299999999999958</c:v>
                </c:pt>
                <c:pt idx="1399">
                  <c:v>23.316666666666624</c:v>
                </c:pt>
                <c:pt idx="1400">
                  <c:v>23.33333333333329</c:v>
                </c:pt>
                <c:pt idx="1401">
                  <c:v>23.349999999999955</c:v>
                </c:pt>
                <c:pt idx="1402">
                  <c:v>23.366666666666621</c:v>
                </c:pt>
                <c:pt idx="1403">
                  <c:v>23.383333333333287</c:v>
                </c:pt>
                <c:pt idx="1404">
                  <c:v>23.399999999999952</c:v>
                </c:pt>
                <c:pt idx="1405">
                  <c:v>23.416666666666618</c:v>
                </c:pt>
                <c:pt idx="1406">
                  <c:v>23.433333333333284</c:v>
                </c:pt>
                <c:pt idx="1407">
                  <c:v>23.44999999999995</c:v>
                </c:pt>
                <c:pt idx="1408">
                  <c:v>23.466666666666615</c:v>
                </c:pt>
                <c:pt idx="1409">
                  <c:v>23.483333333333281</c:v>
                </c:pt>
                <c:pt idx="1410">
                  <c:v>23.499999999999947</c:v>
                </c:pt>
                <c:pt idx="1411">
                  <c:v>23.516666666666612</c:v>
                </c:pt>
                <c:pt idx="1412">
                  <c:v>23.533333333333278</c:v>
                </c:pt>
                <c:pt idx="1413">
                  <c:v>23.549999999999944</c:v>
                </c:pt>
                <c:pt idx="1414">
                  <c:v>23.56666666666661</c:v>
                </c:pt>
                <c:pt idx="1415">
                  <c:v>23.583333333333275</c:v>
                </c:pt>
                <c:pt idx="1416">
                  <c:v>23.599999999999941</c:v>
                </c:pt>
                <c:pt idx="1417">
                  <c:v>23.616666666666607</c:v>
                </c:pt>
                <c:pt idx="1418">
                  <c:v>23.633333333333272</c:v>
                </c:pt>
                <c:pt idx="1419">
                  <c:v>23.649999999999938</c:v>
                </c:pt>
                <c:pt idx="1420">
                  <c:v>23.666666666666604</c:v>
                </c:pt>
                <c:pt idx="1421">
                  <c:v>23.68333333333327</c:v>
                </c:pt>
                <c:pt idx="1422">
                  <c:v>23.699999999999935</c:v>
                </c:pt>
                <c:pt idx="1423">
                  <c:v>23.716666666666601</c:v>
                </c:pt>
                <c:pt idx="1424">
                  <c:v>23.733333333333267</c:v>
                </c:pt>
                <c:pt idx="1425">
                  <c:v>23.749999999999932</c:v>
                </c:pt>
                <c:pt idx="1426">
                  <c:v>23.766666666666598</c:v>
                </c:pt>
                <c:pt idx="1427">
                  <c:v>23.783333333333264</c:v>
                </c:pt>
                <c:pt idx="1428">
                  <c:v>23.79999999999993</c:v>
                </c:pt>
                <c:pt idx="1429">
                  <c:v>23.816666666666595</c:v>
                </c:pt>
                <c:pt idx="1430">
                  <c:v>23.833333333333261</c:v>
                </c:pt>
                <c:pt idx="1431">
                  <c:v>23.849999999999927</c:v>
                </c:pt>
                <c:pt idx="1432">
                  <c:v>23.866666666666593</c:v>
                </c:pt>
                <c:pt idx="1433">
                  <c:v>23.883333333333258</c:v>
                </c:pt>
                <c:pt idx="1434">
                  <c:v>23.899999999999924</c:v>
                </c:pt>
                <c:pt idx="1435">
                  <c:v>23.91666666666659</c:v>
                </c:pt>
                <c:pt idx="1436">
                  <c:v>23.933333333333255</c:v>
                </c:pt>
              </c:numCache>
            </c:numRef>
          </c:xVal>
          <c:yVal>
            <c:numRef>
              <c:f>'Reactor analysis'!$AW$3:$AW$2625</c:f>
              <c:numCache>
                <c:formatCode>General</c:formatCode>
                <c:ptCount val="2623"/>
                <c:pt idx="59">
                  <c:v>0.81249999999999978</c:v>
                </c:pt>
                <c:pt idx="60">
                  <c:v>0.81249999999999967</c:v>
                </c:pt>
                <c:pt idx="61">
                  <c:v>0.81249999999999978</c:v>
                </c:pt>
                <c:pt idx="62">
                  <c:v>0.80999999999999972</c:v>
                </c:pt>
                <c:pt idx="63">
                  <c:v>0.80249999999999977</c:v>
                </c:pt>
                <c:pt idx="64">
                  <c:v>0.79999999999999971</c:v>
                </c:pt>
                <c:pt idx="65">
                  <c:v>0.79749999999999988</c:v>
                </c:pt>
                <c:pt idx="66">
                  <c:v>0.80249999999999999</c:v>
                </c:pt>
                <c:pt idx="67">
                  <c:v>0.8</c:v>
                </c:pt>
                <c:pt idx="68">
                  <c:v>0.8075</c:v>
                </c:pt>
                <c:pt idx="69">
                  <c:v>0.79250000000000009</c:v>
                </c:pt>
                <c:pt idx="70">
                  <c:v>0.78250000000000008</c:v>
                </c:pt>
                <c:pt idx="71">
                  <c:v>0.78999999999999992</c:v>
                </c:pt>
                <c:pt idx="72">
                  <c:v>0.79749999999999999</c:v>
                </c:pt>
                <c:pt idx="73">
                  <c:v>0.78999999999999992</c:v>
                </c:pt>
                <c:pt idx="74">
                  <c:v>0.77250000000000008</c:v>
                </c:pt>
                <c:pt idx="75">
                  <c:v>0.755</c:v>
                </c:pt>
                <c:pt idx="76">
                  <c:v>0.75249999999999984</c:v>
                </c:pt>
                <c:pt idx="77">
                  <c:v>0.75499999999999978</c:v>
                </c:pt>
                <c:pt idx="78">
                  <c:v>0.75749999999999984</c:v>
                </c:pt>
                <c:pt idx="79">
                  <c:v>0.75999999999999979</c:v>
                </c:pt>
                <c:pt idx="80">
                  <c:v>0.76249999999999973</c:v>
                </c:pt>
                <c:pt idx="81">
                  <c:v>0.75749999999999984</c:v>
                </c:pt>
                <c:pt idx="82">
                  <c:v>0.74999999999999989</c:v>
                </c:pt>
                <c:pt idx="83">
                  <c:v>0.74249999999999983</c:v>
                </c:pt>
                <c:pt idx="84">
                  <c:v>0.73999999999999988</c:v>
                </c:pt>
                <c:pt idx="85">
                  <c:v>0.73999999999999977</c:v>
                </c:pt>
                <c:pt idx="86">
                  <c:v>0.73499999999999976</c:v>
                </c:pt>
                <c:pt idx="87">
                  <c:v>0.73249999999999971</c:v>
                </c:pt>
                <c:pt idx="88">
                  <c:v>0.73249999999999971</c:v>
                </c:pt>
                <c:pt idx="89">
                  <c:v>0.72999999999999965</c:v>
                </c:pt>
                <c:pt idx="90">
                  <c:v>0.7324999999999996</c:v>
                </c:pt>
                <c:pt idx="91">
                  <c:v>0.73499999999999954</c:v>
                </c:pt>
                <c:pt idx="92">
                  <c:v>0.7324999999999996</c:v>
                </c:pt>
                <c:pt idx="93">
                  <c:v>0.7324999999999996</c:v>
                </c:pt>
                <c:pt idx="94">
                  <c:v>0.73749999999999971</c:v>
                </c:pt>
                <c:pt idx="95">
                  <c:v>0.73749999999999971</c:v>
                </c:pt>
                <c:pt idx="96">
                  <c:v>0.73749999999999971</c:v>
                </c:pt>
                <c:pt idx="97">
                  <c:v>0.74499999999999977</c:v>
                </c:pt>
                <c:pt idx="98">
                  <c:v>0.74499999999999988</c:v>
                </c:pt>
                <c:pt idx="99">
                  <c:v>0.74499999999999988</c:v>
                </c:pt>
                <c:pt idx="100">
                  <c:v>0.74750000000000005</c:v>
                </c:pt>
                <c:pt idx="101">
                  <c:v>0.755</c:v>
                </c:pt>
                <c:pt idx="102">
                  <c:v>0.75250000000000006</c:v>
                </c:pt>
                <c:pt idx="103">
                  <c:v>0.74999999999999989</c:v>
                </c:pt>
                <c:pt idx="104">
                  <c:v>0.74749999999999983</c:v>
                </c:pt>
                <c:pt idx="105">
                  <c:v>0.74999999999999989</c:v>
                </c:pt>
                <c:pt idx="106">
                  <c:v>0.74999999999999989</c:v>
                </c:pt>
                <c:pt idx="107">
                  <c:v>0.75249999999999995</c:v>
                </c:pt>
                <c:pt idx="108">
                  <c:v>0.755</c:v>
                </c:pt>
                <c:pt idx="109">
                  <c:v>0.75999999999999979</c:v>
                </c:pt>
                <c:pt idx="110">
                  <c:v>0.75249999999999984</c:v>
                </c:pt>
                <c:pt idx="111">
                  <c:v>0.74999999999999989</c:v>
                </c:pt>
                <c:pt idx="112">
                  <c:v>0.74999999999999989</c:v>
                </c:pt>
                <c:pt idx="113">
                  <c:v>0.74999999999999989</c:v>
                </c:pt>
                <c:pt idx="114">
                  <c:v>0.74749999999999994</c:v>
                </c:pt>
                <c:pt idx="115">
                  <c:v>0.74499999999999988</c:v>
                </c:pt>
                <c:pt idx="116">
                  <c:v>0.74499999999999977</c:v>
                </c:pt>
                <c:pt idx="117">
                  <c:v>0.74499999999999977</c:v>
                </c:pt>
                <c:pt idx="118">
                  <c:v>0.74499999999999977</c:v>
                </c:pt>
                <c:pt idx="119">
                  <c:v>0.74499999999999966</c:v>
                </c:pt>
                <c:pt idx="120">
                  <c:v>0.74249999999999972</c:v>
                </c:pt>
                <c:pt idx="121">
                  <c:v>0.73999999999999966</c:v>
                </c:pt>
                <c:pt idx="122">
                  <c:v>0.7424999999999996</c:v>
                </c:pt>
                <c:pt idx="123">
                  <c:v>0.74249999999999972</c:v>
                </c:pt>
                <c:pt idx="124">
                  <c:v>0.74249999999999972</c:v>
                </c:pt>
                <c:pt idx="125">
                  <c:v>0.74249999999999983</c:v>
                </c:pt>
                <c:pt idx="126">
                  <c:v>0.73999999999999977</c:v>
                </c:pt>
                <c:pt idx="127">
                  <c:v>0.74749999999999983</c:v>
                </c:pt>
                <c:pt idx="128">
                  <c:v>0.74749999999999994</c:v>
                </c:pt>
                <c:pt idx="129">
                  <c:v>0.74499999999999988</c:v>
                </c:pt>
                <c:pt idx="130">
                  <c:v>0.74499999999999988</c:v>
                </c:pt>
                <c:pt idx="131">
                  <c:v>0.74499999999999988</c:v>
                </c:pt>
                <c:pt idx="132">
                  <c:v>0.74499999999999988</c:v>
                </c:pt>
                <c:pt idx="133">
                  <c:v>0.73999999999999977</c:v>
                </c:pt>
                <c:pt idx="134">
                  <c:v>0.73999999999999988</c:v>
                </c:pt>
                <c:pt idx="135">
                  <c:v>0.73999999999999988</c:v>
                </c:pt>
                <c:pt idx="136">
                  <c:v>0.73749999999999993</c:v>
                </c:pt>
                <c:pt idx="137">
                  <c:v>0.73249999999999993</c:v>
                </c:pt>
                <c:pt idx="138">
                  <c:v>0.72999999999999987</c:v>
                </c:pt>
                <c:pt idx="139">
                  <c:v>0.72999999999999987</c:v>
                </c:pt>
                <c:pt idx="140">
                  <c:v>0.72749999999999981</c:v>
                </c:pt>
                <c:pt idx="141">
                  <c:v>0.73249999999999982</c:v>
                </c:pt>
                <c:pt idx="142">
                  <c:v>0.73249999999999993</c:v>
                </c:pt>
                <c:pt idx="143">
                  <c:v>0.73249999999999993</c:v>
                </c:pt>
                <c:pt idx="144">
                  <c:v>0.73249999999999982</c:v>
                </c:pt>
                <c:pt idx="145">
                  <c:v>0.73249999999999982</c:v>
                </c:pt>
                <c:pt idx="146">
                  <c:v>0.73249999999999982</c:v>
                </c:pt>
                <c:pt idx="147">
                  <c:v>0.73249999999999982</c:v>
                </c:pt>
                <c:pt idx="148">
                  <c:v>0.72999999999999976</c:v>
                </c:pt>
                <c:pt idx="149">
                  <c:v>0.73249999999999971</c:v>
                </c:pt>
                <c:pt idx="150">
                  <c:v>0.73249999999999971</c:v>
                </c:pt>
                <c:pt idx="151">
                  <c:v>0.72999999999999965</c:v>
                </c:pt>
                <c:pt idx="152">
                  <c:v>0.73499999999999965</c:v>
                </c:pt>
                <c:pt idx="153">
                  <c:v>0.73499999999999965</c:v>
                </c:pt>
                <c:pt idx="154">
                  <c:v>0.73499999999999965</c:v>
                </c:pt>
                <c:pt idx="155">
                  <c:v>0.73499999999999976</c:v>
                </c:pt>
                <c:pt idx="156">
                  <c:v>0.74499999999999988</c:v>
                </c:pt>
                <c:pt idx="157">
                  <c:v>0.76749999999999996</c:v>
                </c:pt>
                <c:pt idx="158">
                  <c:v>0.76250000000000007</c:v>
                </c:pt>
                <c:pt idx="159">
                  <c:v>0.76500000000000012</c:v>
                </c:pt>
                <c:pt idx="160">
                  <c:v>0.76750000000000018</c:v>
                </c:pt>
                <c:pt idx="161">
                  <c:v>0.76000000000000023</c:v>
                </c:pt>
                <c:pt idx="162">
                  <c:v>0.75750000000000017</c:v>
                </c:pt>
                <c:pt idx="163">
                  <c:v>0.755</c:v>
                </c:pt>
                <c:pt idx="164">
                  <c:v>0.76249999999999996</c:v>
                </c:pt>
                <c:pt idx="165">
                  <c:v>0.76999999999999991</c:v>
                </c:pt>
                <c:pt idx="166">
                  <c:v>0.78499999999999992</c:v>
                </c:pt>
                <c:pt idx="167">
                  <c:v>0.78999999999999992</c:v>
                </c:pt>
                <c:pt idx="168">
                  <c:v>0.78999999999999981</c:v>
                </c:pt>
                <c:pt idx="169">
                  <c:v>0.78249999999999997</c:v>
                </c:pt>
                <c:pt idx="170">
                  <c:v>0.77749999999999997</c:v>
                </c:pt>
                <c:pt idx="171">
                  <c:v>0.77250000000000008</c:v>
                </c:pt>
                <c:pt idx="172">
                  <c:v>0.76</c:v>
                </c:pt>
                <c:pt idx="173">
                  <c:v>0.76</c:v>
                </c:pt>
                <c:pt idx="174">
                  <c:v>0.76249999999999996</c:v>
                </c:pt>
                <c:pt idx="175">
                  <c:v>0.76500000000000001</c:v>
                </c:pt>
                <c:pt idx="176">
                  <c:v>0.76749999999999996</c:v>
                </c:pt>
                <c:pt idx="177">
                  <c:v>0.76749999999999985</c:v>
                </c:pt>
                <c:pt idx="178">
                  <c:v>0.7699999999999998</c:v>
                </c:pt>
                <c:pt idx="179">
                  <c:v>0.76749999999999985</c:v>
                </c:pt>
                <c:pt idx="180">
                  <c:v>0.77249999999999974</c:v>
                </c:pt>
                <c:pt idx="181">
                  <c:v>0.7749999999999998</c:v>
                </c:pt>
                <c:pt idx="182">
                  <c:v>0.77749999999999975</c:v>
                </c:pt>
                <c:pt idx="183">
                  <c:v>0.78249999999999986</c:v>
                </c:pt>
                <c:pt idx="184">
                  <c:v>0.7899999999999997</c:v>
                </c:pt>
                <c:pt idx="185">
                  <c:v>0.7899999999999997</c:v>
                </c:pt>
                <c:pt idx="186">
                  <c:v>0.79999999999999993</c:v>
                </c:pt>
                <c:pt idx="187">
                  <c:v>0.79999999999999971</c:v>
                </c:pt>
                <c:pt idx="188">
                  <c:v>0.8</c:v>
                </c:pt>
                <c:pt idx="189">
                  <c:v>0.81499999999999995</c:v>
                </c:pt>
                <c:pt idx="190">
                  <c:v>0.80999999999999994</c:v>
                </c:pt>
                <c:pt idx="191">
                  <c:v>0.79499999999999982</c:v>
                </c:pt>
                <c:pt idx="192">
                  <c:v>0.78249999999999997</c:v>
                </c:pt>
                <c:pt idx="193">
                  <c:v>0.78749999999999976</c:v>
                </c:pt>
                <c:pt idx="194">
                  <c:v>0.78999999999999959</c:v>
                </c:pt>
                <c:pt idx="195">
                  <c:v>0.79749999999999965</c:v>
                </c:pt>
                <c:pt idx="196">
                  <c:v>0.80249999999999966</c:v>
                </c:pt>
                <c:pt idx="197">
                  <c:v>0.80249999999999977</c:v>
                </c:pt>
                <c:pt idx="198">
                  <c:v>0.7999999999999996</c:v>
                </c:pt>
                <c:pt idx="199">
                  <c:v>0.79499999999999982</c:v>
                </c:pt>
                <c:pt idx="200">
                  <c:v>0.78999999999999981</c:v>
                </c:pt>
                <c:pt idx="201">
                  <c:v>0.77499999999999991</c:v>
                </c:pt>
                <c:pt idx="202">
                  <c:v>0.76749999999999974</c:v>
                </c:pt>
                <c:pt idx="203">
                  <c:v>0.76749999999999974</c:v>
                </c:pt>
                <c:pt idx="204">
                  <c:v>0.7649999999999999</c:v>
                </c:pt>
                <c:pt idx="205">
                  <c:v>0.76249999999999973</c:v>
                </c:pt>
                <c:pt idx="206">
                  <c:v>0.76499999999999979</c:v>
                </c:pt>
                <c:pt idx="207">
                  <c:v>0.76749999999999985</c:v>
                </c:pt>
                <c:pt idx="208">
                  <c:v>0.76749999999999974</c:v>
                </c:pt>
                <c:pt idx="209">
                  <c:v>0.76749999999999974</c:v>
                </c:pt>
                <c:pt idx="210">
                  <c:v>0.76999999999999968</c:v>
                </c:pt>
                <c:pt idx="211">
                  <c:v>0.77249999999999963</c:v>
                </c:pt>
                <c:pt idx="212">
                  <c:v>0.77499999999999991</c:v>
                </c:pt>
                <c:pt idx="213">
                  <c:v>0.7799999999999998</c:v>
                </c:pt>
                <c:pt idx="214">
                  <c:v>0.78499999999999981</c:v>
                </c:pt>
                <c:pt idx="215">
                  <c:v>0.79249999999999987</c:v>
                </c:pt>
                <c:pt idx="216">
                  <c:v>0.79499999999999982</c:v>
                </c:pt>
                <c:pt idx="217">
                  <c:v>0.77499999999999991</c:v>
                </c:pt>
                <c:pt idx="218">
                  <c:v>0.78500000000000003</c:v>
                </c:pt>
                <c:pt idx="219">
                  <c:v>0.79250000000000009</c:v>
                </c:pt>
                <c:pt idx="220">
                  <c:v>0.77749999999999997</c:v>
                </c:pt>
                <c:pt idx="221">
                  <c:v>0.76250000000000007</c:v>
                </c:pt>
                <c:pt idx="222">
                  <c:v>0.76</c:v>
                </c:pt>
                <c:pt idx="223">
                  <c:v>0.75750000000000006</c:v>
                </c:pt>
                <c:pt idx="224">
                  <c:v>0.755</c:v>
                </c:pt>
                <c:pt idx="225">
                  <c:v>0.75</c:v>
                </c:pt>
                <c:pt idx="226">
                  <c:v>0.74</c:v>
                </c:pt>
                <c:pt idx="227">
                  <c:v>0.74249999999999994</c:v>
                </c:pt>
                <c:pt idx="228">
                  <c:v>0.73999999999999988</c:v>
                </c:pt>
                <c:pt idx="229">
                  <c:v>0.74</c:v>
                </c:pt>
                <c:pt idx="230">
                  <c:v>0.74</c:v>
                </c:pt>
                <c:pt idx="231">
                  <c:v>0.73749999999999993</c:v>
                </c:pt>
                <c:pt idx="232">
                  <c:v>0.73499999999999988</c:v>
                </c:pt>
                <c:pt idx="233">
                  <c:v>0.73499999999999988</c:v>
                </c:pt>
                <c:pt idx="234">
                  <c:v>0.73249999999999993</c:v>
                </c:pt>
                <c:pt idx="235">
                  <c:v>0.73249999999999993</c:v>
                </c:pt>
                <c:pt idx="236">
                  <c:v>0.72999999999999987</c:v>
                </c:pt>
                <c:pt idx="237">
                  <c:v>0.72999999999999987</c:v>
                </c:pt>
                <c:pt idx="238">
                  <c:v>0.72999999999999987</c:v>
                </c:pt>
                <c:pt idx="239">
                  <c:v>0.72999999999999987</c:v>
                </c:pt>
                <c:pt idx="240">
                  <c:v>0.72999999999999987</c:v>
                </c:pt>
                <c:pt idx="241">
                  <c:v>0.73</c:v>
                </c:pt>
                <c:pt idx="242">
                  <c:v>0.73</c:v>
                </c:pt>
                <c:pt idx="243">
                  <c:v>0.72499999999999987</c:v>
                </c:pt>
                <c:pt idx="244">
                  <c:v>0.7174999999999998</c:v>
                </c:pt>
                <c:pt idx="245">
                  <c:v>0.72</c:v>
                </c:pt>
                <c:pt idx="246">
                  <c:v>0.72250000000000003</c:v>
                </c:pt>
                <c:pt idx="247">
                  <c:v>0.72000000000000008</c:v>
                </c:pt>
                <c:pt idx="248">
                  <c:v>0.71500000000000008</c:v>
                </c:pt>
                <c:pt idx="249">
                  <c:v>0.71750000000000003</c:v>
                </c:pt>
                <c:pt idx="250">
                  <c:v>0.72000000000000008</c:v>
                </c:pt>
                <c:pt idx="251">
                  <c:v>0.71749999999999992</c:v>
                </c:pt>
                <c:pt idx="252">
                  <c:v>0.71499999999999997</c:v>
                </c:pt>
                <c:pt idx="253">
                  <c:v>0.71249999999999991</c:v>
                </c:pt>
                <c:pt idx="254">
                  <c:v>0.70999999999999985</c:v>
                </c:pt>
                <c:pt idx="255">
                  <c:v>0.7024999999999999</c:v>
                </c:pt>
                <c:pt idx="256">
                  <c:v>0.7024999999999999</c:v>
                </c:pt>
                <c:pt idx="257">
                  <c:v>0.70999999999999974</c:v>
                </c:pt>
                <c:pt idx="258">
                  <c:v>0.71749999999999969</c:v>
                </c:pt>
                <c:pt idx="259">
                  <c:v>0.7174999999999998</c:v>
                </c:pt>
                <c:pt idx="260">
                  <c:v>0.7174999999999998</c:v>
                </c:pt>
                <c:pt idx="261">
                  <c:v>0.72249999999999992</c:v>
                </c:pt>
                <c:pt idx="262">
                  <c:v>0.72249999999999992</c:v>
                </c:pt>
                <c:pt idx="263">
                  <c:v>0.72249999999999992</c:v>
                </c:pt>
                <c:pt idx="264">
                  <c:v>0.72249999999999992</c:v>
                </c:pt>
                <c:pt idx="265">
                  <c:v>0.72249999999999992</c:v>
                </c:pt>
                <c:pt idx="266">
                  <c:v>0.72249999999999992</c:v>
                </c:pt>
                <c:pt idx="267">
                  <c:v>0.71999999999999986</c:v>
                </c:pt>
                <c:pt idx="268">
                  <c:v>0.71999999999999986</c:v>
                </c:pt>
                <c:pt idx="269">
                  <c:v>0.7174999999999998</c:v>
                </c:pt>
                <c:pt idx="270">
                  <c:v>0.71499999999999975</c:v>
                </c:pt>
                <c:pt idx="271">
                  <c:v>0.71499999999999986</c:v>
                </c:pt>
                <c:pt idx="272">
                  <c:v>0.70999999999999985</c:v>
                </c:pt>
                <c:pt idx="273">
                  <c:v>0.70499999999999996</c:v>
                </c:pt>
                <c:pt idx="274">
                  <c:v>0.7</c:v>
                </c:pt>
                <c:pt idx="275">
                  <c:v>0.6974999999999999</c:v>
                </c:pt>
                <c:pt idx="276">
                  <c:v>0.70499999999999985</c:v>
                </c:pt>
                <c:pt idx="277">
                  <c:v>0.71499999999999997</c:v>
                </c:pt>
                <c:pt idx="278">
                  <c:v>0.70250000000000012</c:v>
                </c:pt>
                <c:pt idx="279">
                  <c:v>0.69500000000000006</c:v>
                </c:pt>
                <c:pt idx="280">
                  <c:v>0.7</c:v>
                </c:pt>
                <c:pt idx="281">
                  <c:v>0.71000000000000008</c:v>
                </c:pt>
                <c:pt idx="282">
                  <c:v>0.70499999999999996</c:v>
                </c:pt>
                <c:pt idx="283">
                  <c:v>0.70750000000000002</c:v>
                </c:pt>
                <c:pt idx="284">
                  <c:v>0.70250000000000012</c:v>
                </c:pt>
                <c:pt idx="285">
                  <c:v>0.69750000000000012</c:v>
                </c:pt>
                <c:pt idx="286">
                  <c:v>0.69500000000000006</c:v>
                </c:pt>
                <c:pt idx="287">
                  <c:v>0.68750000000000011</c:v>
                </c:pt>
                <c:pt idx="288">
                  <c:v>0.68500000000000005</c:v>
                </c:pt>
                <c:pt idx="289">
                  <c:v>0.69000000000000006</c:v>
                </c:pt>
                <c:pt idx="290">
                  <c:v>0.70000000000000007</c:v>
                </c:pt>
                <c:pt idx="291">
                  <c:v>0.70250000000000012</c:v>
                </c:pt>
                <c:pt idx="292">
                  <c:v>0.70250000000000012</c:v>
                </c:pt>
                <c:pt idx="293">
                  <c:v>0.70250000000000012</c:v>
                </c:pt>
                <c:pt idx="294">
                  <c:v>0.70250000000000012</c:v>
                </c:pt>
                <c:pt idx="295">
                  <c:v>0.70000000000000007</c:v>
                </c:pt>
                <c:pt idx="296">
                  <c:v>0.69750000000000012</c:v>
                </c:pt>
                <c:pt idx="297">
                  <c:v>0.69750000000000001</c:v>
                </c:pt>
                <c:pt idx="298">
                  <c:v>0.69750000000000001</c:v>
                </c:pt>
                <c:pt idx="299">
                  <c:v>0.69750000000000001</c:v>
                </c:pt>
                <c:pt idx="300">
                  <c:v>0.69750000000000012</c:v>
                </c:pt>
                <c:pt idx="301">
                  <c:v>0.69500000000000006</c:v>
                </c:pt>
                <c:pt idx="302">
                  <c:v>0.69</c:v>
                </c:pt>
                <c:pt idx="303">
                  <c:v>0.69</c:v>
                </c:pt>
                <c:pt idx="304">
                  <c:v>0.68499999999999994</c:v>
                </c:pt>
                <c:pt idx="305">
                  <c:v>0.67999999999999994</c:v>
                </c:pt>
                <c:pt idx="306">
                  <c:v>0.68</c:v>
                </c:pt>
                <c:pt idx="307">
                  <c:v>0.70250000000000012</c:v>
                </c:pt>
                <c:pt idx="308">
                  <c:v>0.70750000000000002</c:v>
                </c:pt>
                <c:pt idx="309">
                  <c:v>0.69250000000000012</c:v>
                </c:pt>
                <c:pt idx="310">
                  <c:v>0.70250000000000012</c:v>
                </c:pt>
                <c:pt idx="311">
                  <c:v>0.72250000000000014</c:v>
                </c:pt>
                <c:pt idx="312">
                  <c:v>0.73000000000000009</c:v>
                </c:pt>
                <c:pt idx="313">
                  <c:v>0.73250000000000004</c:v>
                </c:pt>
                <c:pt idx="314">
                  <c:v>0.73750000000000004</c:v>
                </c:pt>
                <c:pt idx="315">
                  <c:v>0.74499999999999988</c:v>
                </c:pt>
                <c:pt idx="316">
                  <c:v>0.74749999999999994</c:v>
                </c:pt>
                <c:pt idx="317">
                  <c:v>0.74749999999999994</c:v>
                </c:pt>
                <c:pt idx="318">
                  <c:v>0.74249999999999983</c:v>
                </c:pt>
                <c:pt idx="319">
                  <c:v>0.74249999999999983</c:v>
                </c:pt>
                <c:pt idx="320">
                  <c:v>0.74499999999999988</c:v>
                </c:pt>
                <c:pt idx="321">
                  <c:v>0.73999999999999988</c:v>
                </c:pt>
                <c:pt idx="322">
                  <c:v>0.73999999999999988</c:v>
                </c:pt>
                <c:pt idx="323">
                  <c:v>0.73999999999999988</c:v>
                </c:pt>
                <c:pt idx="324">
                  <c:v>0.73999999999999988</c:v>
                </c:pt>
                <c:pt idx="325">
                  <c:v>0.74249999999999983</c:v>
                </c:pt>
                <c:pt idx="326">
                  <c:v>0.73999999999999977</c:v>
                </c:pt>
                <c:pt idx="327">
                  <c:v>0.73999999999999977</c:v>
                </c:pt>
                <c:pt idx="328">
                  <c:v>0.73999999999999977</c:v>
                </c:pt>
                <c:pt idx="329">
                  <c:v>0.74249999999999972</c:v>
                </c:pt>
                <c:pt idx="330">
                  <c:v>0.7424999999999996</c:v>
                </c:pt>
                <c:pt idx="331">
                  <c:v>0.73999999999999966</c:v>
                </c:pt>
                <c:pt idx="332">
                  <c:v>0.73999999999999955</c:v>
                </c:pt>
                <c:pt idx="333">
                  <c:v>0.74249999999999949</c:v>
                </c:pt>
                <c:pt idx="334">
                  <c:v>0.7424999999999996</c:v>
                </c:pt>
                <c:pt idx="335">
                  <c:v>0.74499999999999955</c:v>
                </c:pt>
                <c:pt idx="336">
                  <c:v>0.74499999999999944</c:v>
                </c:pt>
                <c:pt idx="337">
                  <c:v>0.73999999999999977</c:v>
                </c:pt>
                <c:pt idx="338">
                  <c:v>0.74249999999999983</c:v>
                </c:pt>
                <c:pt idx="339">
                  <c:v>0.73999999999999977</c:v>
                </c:pt>
                <c:pt idx="340">
                  <c:v>0.74249999999999983</c:v>
                </c:pt>
                <c:pt idx="341">
                  <c:v>0.73750000000000004</c:v>
                </c:pt>
                <c:pt idx="342">
                  <c:v>0.73499999999999999</c:v>
                </c:pt>
                <c:pt idx="343">
                  <c:v>0.73499999999999999</c:v>
                </c:pt>
                <c:pt idx="344">
                  <c:v>0.73750000000000004</c:v>
                </c:pt>
                <c:pt idx="345">
                  <c:v>0.73750000000000016</c:v>
                </c:pt>
                <c:pt idx="346">
                  <c:v>0.7400000000000001</c:v>
                </c:pt>
                <c:pt idx="347">
                  <c:v>0.745</c:v>
                </c:pt>
                <c:pt idx="348">
                  <c:v>0.74750000000000005</c:v>
                </c:pt>
                <c:pt idx="349">
                  <c:v>0.74750000000000005</c:v>
                </c:pt>
                <c:pt idx="350">
                  <c:v>0.74</c:v>
                </c:pt>
                <c:pt idx="351">
                  <c:v>0.73749999999999993</c:v>
                </c:pt>
                <c:pt idx="352">
                  <c:v>0.73749999999999993</c:v>
                </c:pt>
                <c:pt idx="353">
                  <c:v>0.73749999999999993</c:v>
                </c:pt>
                <c:pt idx="354">
                  <c:v>0.73749999999999993</c:v>
                </c:pt>
                <c:pt idx="355">
                  <c:v>0.73749999999999993</c:v>
                </c:pt>
                <c:pt idx="356">
                  <c:v>0.73999999999999988</c:v>
                </c:pt>
                <c:pt idx="357">
                  <c:v>0.73749999999999993</c:v>
                </c:pt>
                <c:pt idx="358">
                  <c:v>0.73749999999999971</c:v>
                </c:pt>
                <c:pt idx="359">
                  <c:v>0.73999999999999977</c:v>
                </c:pt>
                <c:pt idx="360">
                  <c:v>0.73499999999999976</c:v>
                </c:pt>
                <c:pt idx="361">
                  <c:v>0.73749999999999993</c:v>
                </c:pt>
                <c:pt idx="362">
                  <c:v>0.73749999999999971</c:v>
                </c:pt>
                <c:pt idx="363">
                  <c:v>0.73749999999999971</c:v>
                </c:pt>
                <c:pt idx="364">
                  <c:v>0.73999999999999988</c:v>
                </c:pt>
                <c:pt idx="365">
                  <c:v>0.74249999999999994</c:v>
                </c:pt>
                <c:pt idx="366">
                  <c:v>0.74249999999999994</c:v>
                </c:pt>
                <c:pt idx="367">
                  <c:v>0.73499999999999988</c:v>
                </c:pt>
                <c:pt idx="368">
                  <c:v>0.72749999999999992</c:v>
                </c:pt>
                <c:pt idx="369">
                  <c:v>0.72749999999999981</c:v>
                </c:pt>
                <c:pt idx="370">
                  <c:v>0.71750000000000003</c:v>
                </c:pt>
                <c:pt idx="371">
                  <c:v>0.71249999999999991</c:v>
                </c:pt>
                <c:pt idx="372">
                  <c:v>0.7074999999999998</c:v>
                </c:pt>
                <c:pt idx="373">
                  <c:v>0.70249999999999979</c:v>
                </c:pt>
                <c:pt idx="374">
                  <c:v>0.69499999999999984</c:v>
                </c:pt>
                <c:pt idx="375">
                  <c:v>0.68249999999999977</c:v>
                </c:pt>
                <c:pt idx="376">
                  <c:v>0.67499999999999971</c:v>
                </c:pt>
                <c:pt idx="377">
                  <c:v>0.66749999999999998</c:v>
                </c:pt>
                <c:pt idx="378">
                  <c:v>0.66499999999999992</c:v>
                </c:pt>
                <c:pt idx="379">
                  <c:v>0.66499999999999992</c:v>
                </c:pt>
                <c:pt idx="380">
                  <c:v>0.67249999999999976</c:v>
                </c:pt>
                <c:pt idx="381">
                  <c:v>0.67499999999999993</c:v>
                </c:pt>
                <c:pt idx="382">
                  <c:v>0.67499999999999993</c:v>
                </c:pt>
                <c:pt idx="383">
                  <c:v>0.67499999999999993</c:v>
                </c:pt>
                <c:pt idx="384">
                  <c:v>0.67499999999999993</c:v>
                </c:pt>
                <c:pt idx="385">
                  <c:v>0.67249999999999976</c:v>
                </c:pt>
                <c:pt idx="386">
                  <c:v>0.67499999999999971</c:v>
                </c:pt>
                <c:pt idx="387">
                  <c:v>0.67749999999999977</c:v>
                </c:pt>
                <c:pt idx="388">
                  <c:v>0.68249999999999977</c:v>
                </c:pt>
                <c:pt idx="389">
                  <c:v>0.68249999999999977</c:v>
                </c:pt>
                <c:pt idx="390">
                  <c:v>0.68499999999999983</c:v>
                </c:pt>
                <c:pt idx="391">
                  <c:v>0.68499999999999983</c:v>
                </c:pt>
                <c:pt idx="392">
                  <c:v>0.68499999999999983</c:v>
                </c:pt>
                <c:pt idx="393">
                  <c:v>0.67999999999999972</c:v>
                </c:pt>
                <c:pt idx="394">
                  <c:v>0.67749999999999977</c:v>
                </c:pt>
                <c:pt idx="395">
                  <c:v>0.66999999999999971</c:v>
                </c:pt>
                <c:pt idx="396">
                  <c:v>0.65499999999999969</c:v>
                </c:pt>
                <c:pt idx="397">
                  <c:v>0.65999999999999992</c:v>
                </c:pt>
                <c:pt idx="398">
                  <c:v>0.67249999999999999</c:v>
                </c:pt>
                <c:pt idx="399">
                  <c:v>0.67000000000000015</c:v>
                </c:pt>
                <c:pt idx="400">
                  <c:v>0.66250000000000009</c:v>
                </c:pt>
                <c:pt idx="401">
                  <c:v>0.6675000000000002</c:v>
                </c:pt>
                <c:pt idx="402">
                  <c:v>0.67500000000000016</c:v>
                </c:pt>
                <c:pt idx="403">
                  <c:v>0.68250000000000022</c:v>
                </c:pt>
                <c:pt idx="404">
                  <c:v>0.68000000000000016</c:v>
                </c:pt>
                <c:pt idx="405">
                  <c:v>0.67750000000000032</c:v>
                </c:pt>
                <c:pt idx="406">
                  <c:v>0.67250000000000021</c:v>
                </c:pt>
                <c:pt idx="407">
                  <c:v>0.66750000000000043</c:v>
                </c:pt>
                <c:pt idx="408">
                  <c:v>0.66500000000000048</c:v>
                </c:pt>
                <c:pt idx="409">
                  <c:v>0.65250000000000041</c:v>
                </c:pt>
                <c:pt idx="410">
                  <c:v>0.64750000000000041</c:v>
                </c:pt>
                <c:pt idx="411">
                  <c:v>0.6475000000000003</c:v>
                </c:pt>
                <c:pt idx="412">
                  <c:v>0.6475000000000003</c:v>
                </c:pt>
                <c:pt idx="413">
                  <c:v>0.6475000000000003</c:v>
                </c:pt>
                <c:pt idx="414">
                  <c:v>0.6475000000000003</c:v>
                </c:pt>
                <c:pt idx="415">
                  <c:v>0.6475000000000003</c:v>
                </c:pt>
                <c:pt idx="416">
                  <c:v>0.64500000000000024</c:v>
                </c:pt>
                <c:pt idx="417">
                  <c:v>0.65000000000000024</c:v>
                </c:pt>
                <c:pt idx="418">
                  <c:v>0.6475000000000003</c:v>
                </c:pt>
                <c:pt idx="419">
                  <c:v>0.64750000000000019</c:v>
                </c:pt>
                <c:pt idx="420">
                  <c:v>0.65250000000000008</c:v>
                </c:pt>
                <c:pt idx="421">
                  <c:v>0.65500000000000014</c:v>
                </c:pt>
                <c:pt idx="422">
                  <c:v>0.66000000000000014</c:v>
                </c:pt>
                <c:pt idx="423">
                  <c:v>0.66250000000000009</c:v>
                </c:pt>
                <c:pt idx="424">
                  <c:v>0.66750000000000009</c:v>
                </c:pt>
                <c:pt idx="425">
                  <c:v>0.66750000000000009</c:v>
                </c:pt>
                <c:pt idx="426">
                  <c:v>0.66249999999999998</c:v>
                </c:pt>
                <c:pt idx="427">
                  <c:v>0.65249999999999997</c:v>
                </c:pt>
                <c:pt idx="428">
                  <c:v>0.66</c:v>
                </c:pt>
                <c:pt idx="429">
                  <c:v>0.67</c:v>
                </c:pt>
                <c:pt idx="430">
                  <c:v>0.66</c:v>
                </c:pt>
                <c:pt idx="431">
                  <c:v>0.64500000000000002</c:v>
                </c:pt>
                <c:pt idx="432">
                  <c:v>0.64250000000000007</c:v>
                </c:pt>
                <c:pt idx="433">
                  <c:v>0.64000000000000012</c:v>
                </c:pt>
                <c:pt idx="434">
                  <c:v>0.64250000000000007</c:v>
                </c:pt>
                <c:pt idx="435">
                  <c:v>0.65249999999999997</c:v>
                </c:pt>
                <c:pt idx="436">
                  <c:v>0.65750000000000008</c:v>
                </c:pt>
                <c:pt idx="437">
                  <c:v>0.66249999999999998</c:v>
                </c:pt>
                <c:pt idx="438">
                  <c:v>0.66499999999999992</c:v>
                </c:pt>
                <c:pt idx="439">
                  <c:v>0.66500000000000015</c:v>
                </c:pt>
                <c:pt idx="440">
                  <c:v>0.65750000000000008</c:v>
                </c:pt>
                <c:pt idx="441">
                  <c:v>0.65750000000000008</c:v>
                </c:pt>
                <c:pt idx="442">
                  <c:v>0.65750000000000008</c:v>
                </c:pt>
                <c:pt idx="443">
                  <c:v>0.65750000000000008</c:v>
                </c:pt>
                <c:pt idx="444">
                  <c:v>0.65750000000000008</c:v>
                </c:pt>
                <c:pt idx="445">
                  <c:v>0.65750000000000008</c:v>
                </c:pt>
                <c:pt idx="446">
                  <c:v>0.65499999999999992</c:v>
                </c:pt>
                <c:pt idx="447">
                  <c:v>0.65249999999999997</c:v>
                </c:pt>
                <c:pt idx="448">
                  <c:v>0.64749999999999985</c:v>
                </c:pt>
                <c:pt idx="449">
                  <c:v>0.64749999999999974</c:v>
                </c:pt>
                <c:pt idx="450">
                  <c:v>0.6449999999999998</c:v>
                </c:pt>
                <c:pt idx="451">
                  <c:v>0.64499999999999968</c:v>
                </c:pt>
                <c:pt idx="452">
                  <c:v>0.64499999999999968</c:v>
                </c:pt>
                <c:pt idx="453">
                  <c:v>0.6499999999999998</c:v>
                </c:pt>
                <c:pt idx="454">
                  <c:v>0.65249999999999986</c:v>
                </c:pt>
                <c:pt idx="455">
                  <c:v>0.6549999999999998</c:v>
                </c:pt>
                <c:pt idx="456">
                  <c:v>0.66499999999999981</c:v>
                </c:pt>
                <c:pt idx="457">
                  <c:v>0.6649999999999997</c:v>
                </c:pt>
                <c:pt idx="458">
                  <c:v>0.65000000000000013</c:v>
                </c:pt>
                <c:pt idx="459">
                  <c:v>0.6575000000000002</c:v>
                </c:pt>
                <c:pt idx="460">
                  <c:v>0.6725000000000001</c:v>
                </c:pt>
                <c:pt idx="461">
                  <c:v>0.6775000000000001</c:v>
                </c:pt>
                <c:pt idx="462">
                  <c:v>0.68</c:v>
                </c:pt>
                <c:pt idx="463">
                  <c:v>0.67749999999999999</c:v>
                </c:pt>
                <c:pt idx="464">
                  <c:v>0.68500000000000005</c:v>
                </c:pt>
                <c:pt idx="465">
                  <c:v>0.6974999999999999</c:v>
                </c:pt>
                <c:pt idx="466">
                  <c:v>0.70499999999999985</c:v>
                </c:pt>
                <c:pt idx="467">
                  <c:v>0.70749999999999991</c:v>
                </c:pt>
                <c:pt idx="468">
                  <c:v>0.70999999999999985</c:v>
                </c:pt>
                <c:pt idx="469">
                  <c:v>0.71749999999999992</c:v>
                </c:pt>
                <c:pt idx="470">
                  <c:v>0.71499999999999986</c:v>
                </c:pt>
                <c:pt idx="471">
                  <c:v>0.71249999999999991</c:v>
                </c:pt>
                <c:pt idx="472">
                  <c:v>0.71249999999999991</c:v>
                </c:pt>
                <c:pt idx="473">
                  <c:v>0.71249999999999991</c:v>
                </c:pt>
                <c:pt idx="474">
                  <c:v>0.71249999999999991</c:v>
                </c:pt>
                <c:pt idx="475">
                  <c:v>0.71499999999999986</c:v>
                </c:pt>
                <c:pt idx="476">
                  <c:v>0.7174999999999998</c:v>
                </c:pt>
                <c:pt idx="477">
                  <c:v>0.71249999999999991</c:v>
                </c:pt>
                <c:pt idx="478">
                  <c:v>0.71499999999999986</c:v>
                </c:pt>
                <c:pt idx="479">
                  <c:v>0.7124999999999998</c:v>
                </c:pt>
                <c:pt idx="480">
                  <c:v>0.70999999999999974</c:v>
                </c:pt>
                <c:pt idx="481">
                  <c:v>0.70499999999999974</c:v>
                </c:pt>
                <c:pt idx="482">
                  <c:v>0.70249999999999979</c:v>
                </c:pt>
                <c:pt idx="483">
                  <c:v>0.7024999999999999</c:v>
                </c:pt>
                <c:pt idx="484">
                  <c:v>0.70249999999999979</c:v>
                </c:pt>
                <c:pt idx="485">
                  <c:v>0.7024999999999999</c:v>
                </c:pt>
                <c:pt idx="486">
                  <c:v>0.71499999999999997</c:v>
                </c:pt>
                <c:pt idx="487">
                  <c:v>0.71499999999999986</c:v>
                </c:pt>
                <c:pt idx="488">
                  <c:v>0.71499999999999986</c:v>
                </c:pt>
                <c:pt idx="489">
                  <c:v>0.71250000000000013</c:v>
                </c:pt>
                <c:pt idx="490">
                  <c:v>0.7200000000000002</c:v>
                </c:pt>
                <c:pt idx="491">
                  <c:v>0.72250000000000003</c:v>
                </c:pt>
                <c:pt idx="492">
                  <c:v>0.71749999999999992</c:v>
                </c:pt>
                <c:pt idx="493">
                  <c:v>0.71750000000000003</c:v>
                </c:pt>
                <c:pt idx="494">
                  <c:v>0.71250000000000013</c:v>
                </c:pt>
                <c:pt idx="495">
                  <c:v>0.70750000000000013</c:v>
                </c:pt>
                <c:pt idx="496">
                  <c:v>0.70500000000000018</c:v>
                </c:pt>
                <c:pt idx="497">
                  <c:v>0.70250000000000024</c:v>
                </c:pt>
                <c:pt idx="498">
                  <c:v>0.70500000000000018</c:v>
                </c:pt>
                <c:pt idx="499">
                  <c:v>0.71000000000000019</c:v>
                </c:pt>
                <c:pt idx="500">
                  <c:v>0.71250000000000013</c:v>
                </c:pt>
                <c:pt idx="501">
                  <c:v>0.71250000000000002</c:v>
                </c:pt>
                <c:pt idx="502">
                  <c:v>0.71250000000000002</c:v>
                </c:pt>
                <c:pt idx="503">
                  <c:v>0.71250000000000002</c:v>
                </c:pt>
                <c:pt idx="504">
                  <c:v>0.71499999999999997</c:v>
                </c:pt>
                <c:pt idx="505">
                  <c:v>0.71499999999999997</c:v>
                </c:pt>
                <c:pt idx="506">
                  <c:v>0.71749999999999992</c:v>
                </c:pt>
                <c:pt idx="507">
                  <c:v>0.71749999999999992</c:v>
                </c:pt>
                <c:pt idx="508">
                  <c:v>0.71749999999999992</c:v>
                </c:pt>
                <c:pt idx="509">
                  <c:v>0.71499999999999997</c:v>
                </c:pt>
                <c:pt idx="510">
                  <c:v>0.71499999999999986</c:v>
                </c:pt>
                <c:pt idx="511">
                  <c:v>0.71499999999999986</c:v>
                </c:pt>
                <c:pt idx="512">
                  <c:v>0.71499999999999986</c:v>
                </c:pt>
                <c:pt idx="513">
                  <c:v>0.71249999999999991</c:v>
                </c:pt>
                <c:pt idx="514">
                  <c:v>0.70999999999999974</c:v>
                </c:pt>
                <c:pt idx="515">
                  <c:v>0.70999999999999974</c:v>
                </c:pt>
                <c:pt idx="516">
                  <c:v>0.70499999999999996</c:v>
                </c:pt>
                <c:pt idx="517">
                  <c:v>0.71499999999999986</c:v>
                </c:pt>
                <c:pt idx="518">
                  <c:v>0.71249999999999991</c:v>
                </c:pt>
                <c:pt idx="519">
                  <c:v>0.6974999999999999</c:v>
                </c:pt>
                <c:pt idx="520">
                  <c:v>0.6825</c:v>
                </c:pt>
                <c:pt idx="521">
                  <c:v>0.68</c:v>
                </c:pt>
                <c:pt idx="522">
                  <c:v>0.67999999999999994</c:v>
                </c:pt>
                <c:pt idx="523">
                  <c:v>0.6825</c:v>
                </c:pt>
                <c:pt idx="524">
                  <c:v>0.67749999999999999</c:v>
                </c:pt>
                <c:pt idx="525">
                  <c:v>0.66500000000000015</c:v>
                </c:pt>
                <c:pt idx="526">
                  <c:v>0.65750000000000008</c:v>
                </c:pt>
                <c:pt idx="527">
                  <c:v>0.65250000000000019</c:v>
                </c:pt>
                <c:pt idx="528">
                  <c:v>0.64500000000000002</c:v>
                </c:pt>
                <c:pt idx="529">
                  <c:v>0.64499999999999991</c:v>
                </c:pt>
                <c:pt idx="530">
                  <c:v>0.65</c:v>
                </c:pt>
                <c:pt idx="531">
                  <c:v>0.65249999999999997</c:v>
                </c:pt>
                <c:pt idx="532">
                  <c:v>0.65249999999999997</c:v>
                </c:pt>
                <c:pt idx="533">
                  <c:v>0.65249999999999997</c:v>
                </c:pt>
                <c:pt idx="534">
                  <c:v>0.65499999999999992</c:v>
                </c:pt>
                <c:pt idx="535">
                  <c:v>0.65249999999999997</c:v>
                </c:pt>
                <c:pt idx="536">
                  <c:v>0.6549999999999998</c:v>
                </c:pt>
                <c:pt idx="537">
                  <c:v>0.6549999999999998</c:v>
                </c:pt>
                <c:pt idx="538">
                  <c:v>0.65749999999999997</c:v>
                </c:pt>
                <c:pt idx="539">
                  <c:v>0.65999999999999992</c:v>
                </c:pt>
                <c:pt idx="540">
                  <c:v>0.65999999999999981</c:v>
                </c:pt>
                <c:pt idx="541">
                  <c:v>0.66499999999999981</c:v>
                </c:pt>
                <c:pt idx="542">
                  <c:v>0.66249999999999987</c:v>
                </c:pt>
                <c:pt idx="543">
                  <c:v>0.65999999999999992</c:v>
                </c:pt>
                <c:pt idx="544">
                  <c:v>0.65499999999999992</c:v>
                </c:pt>
                <c:pt idx="545">
                  <c:v>0.64999999999999991</c:v>
                </c:pt>
                <c:pt idx="546">
                  <c:v>0.63500000000000001</c:v>
                </c:pt>
                <c:pt idx="547">
                  <c:v>0.63250000000000006</c:v>
                </c:pt>
                <c:pt idx="548">
                  <c:v>0.64000000000000024</c:v>
                </c:pt>
                <c:pt idx="549">
                  <c:v>0.63750000000000029</c:v>
                </c:pt>
                <c:pt idx="550">
                  <c:v>0.63500000000000023</c:v>
                </c:pt>
                <c:pt idx="551">
                  <c:v>0.63500000000000012</c:v>
                </c:pt>
                <c:pt idx="552">
                  <c:v>0.64250000000000018</c:v>
                </c:pt>
                <c:pt idx="553">
                  <c:v>0.64500000000000013</c:v>
                </c:pt>
                <c:pt idx="554">
                  <c:v>0.65500000000000003</c:v>
                </c:pt>
                <c:pt idx="555">
                  <c:v>0.65750000000000008</c:v>
                </c:pt>
                <c:pt idx="556">
                  <c:v>0.66</c:v>
                </c:pt>
                <c:pt idx="557">
                  <c:v>0.65749999999999997</c:v>
                </c:pt>
                <c:pt idx="558">
                  <c:v>0.65</c:v>
                </c:pt>
                <c:pt idx="559">
                  <c:v>0.64500000000000002</c:v>
                </c:pt>
                <c:pt idx="560">
                  <c:v>0.64250000000000007</c:v>
                </c:pt>
                <c:pt idx="561">
                  <c:v>0.64000000000000012</c:v>
                </c:pt>
                <c:pt idx="562">
                  <c:v>0.64000000000000012</c:v>
                </c:pt>
                <c:pt idx="563">
                  <c:v>0.64000000000000012</c:v>
                </c:pt>
                <c:pt idx="564">
                  <c:v>0.63749999999999996</c:v>
                </c:pt>
                <c:pt idx="565">
                  <c:v>0.64</c:v>
                </c:pt>
                <c:pt idx="566">
                  <c:v>0.63749999999999996</c:v>
                </c:pt>
                <c:pt idx="567">
                  <c:v>0.64</c:v>
                </c:pt>
                <c:pt idx="568">
                  <c:v>0.6399999999999999</c:v>
                </c:pt>
                <c:pt idx="569">
                  <c:v>0.6399999999999999</c:v>
                </c:pt>
                <c:pt idx="570">
                  <c:v>0.6399999999999999</c:v>
                </c:pt>
                <c:pt idx="571">
                  <c:v>0.64249999999999985</c:v>
                </c:pt>
                <c:pt idx="572">
                  <c:v>0.64249999999999985</c:v>
                </c:pt>
                <c:pt idx="573">
                  <c:v>0.6449999999999998</c:v>
                </c:pt>
                <c:pt idx="574">
                  <c:v>0.64749999999999985</c:v>
                </c:pt>
                <c:pt idx="575">
                  <c:v>0.64499999999999991</c:v>
                </c:pt>
                <c:pt idx="576">
                  <c:v>0.65749999999999997</c:v>
                </c:pt>
                <c:pt idx="577">
                  <c:v>0.63749999999999996</c:v>
                </c:pt>
                <c:pt idx="578">
                  <c:v>0.64000000000000012</c:v>
                </c:pt>
                <c:pt idx="579">
                  <c:v>0.64999999999999991</c:v>
                </c:pt>
                <c:pt idx="580">
                  <c:v>0.65499999999999992</c:v>
                </c:pt>
                <c:pt idx="581">
                  <c:v>0.64499999999999991</c:v>
                </c:pt>
                <c:pt idx="582">
                  <c:v>0.6399999999999999</c:v>
                </c:pt>
                <c:pt idx="583">
                  <c:v>0.62999999999999978</c:v>
                </c:pt>
                <c:pt idx="584">
                  <c:v>0.62749999999999984</c:v>
                </c:pt>
                <c:pt idx="585">
                  <c:v>0.62749999999999995</c:v>
                </c:pt>
                <c:pt idx="586">
                  <c:v>0.62749999999999995</c:v>
                </c:pt>
                <c:pt idx="587">
                  <c:v>0.63000000000000012</c:v>
                </c:pt>
                <c:pt idx="588">
                  <c:v>0.63500000000000001</c:v>
                </c:pt>
                <c:pt idx="589">
                  <c:v>0.64250000000000007</c:v>
                </c:pt>
                <c:pt idx="590">
                  <c:v>0.64500000000000002</c:v>
                </c:pt>
                <c:pt idx="591">
                  <c:v>0.65249999999999997</c:v>
                </c:pt>
                <c:pt idx="592">
                  <c:v>0.65249999999999997</c:v>
                </c:pt>
                <c:pt idx="593">
                  <c:v>0.65249999999999997</c:v>
                </c:pt>
                <c:pt idx="594">
                  <c:v>0.65000000000000013</c:v>
                </c:pt>
                <c:pt idx="595">
                  <c:v>0.65000000000000013</c:v>
                </c:pt>
                <c:pt idx="596">
                  <c:v>0.64500000000000002</c:v>
                </c:pt>
                <c:pt idx="597">
                  <c:v>0.64750000000000008</c:v>
                </c:pt>
                <c:pt idx="598">
                  <c:v>0.64250000000000007</c:v>
                </c:pt>
                <c:pt idx="599">
                  <c:v>0.64249999999999996</c:v>
                </c:pt>
                <c:pt idx="600">
                  <c:v>0.64249999999999996</c:v>
                </c:pt>
                <c:pt idx="601">
                  <c:v>0.63749999999999984</c:v>
                </c:pt>
                <c:pt idx="602">
                  <c:v>0.63749999999999973</c:v>
                </c:pt>
                <c:pt idx="603">
                  <c:v>0.63499999999999968</c:v>
                </c:pt>
                <c:pt idx="604">
                  <c:v>0.63499999999999968</c:v>
                </c:pt>
                <c:pt idx="605">
                  <c:v>0.63499999999999968</c:v>
                </c:pt>
                <c:pt idx="606">
                  <c:v>0.64249999999999985</c:v>
                </c:pt>
                <c:pt idx="607">
                  <c:v>0.65999999999999992</c:v>
                </c:pt>
                <c:pt idx="608">
                  <c:v>0.65000000000000024</c:v>
                </c:pt>
                <c:pt idx="609">
                  <c:v>0.64000000000000024</c:v>
                </c:pt>
                <c:pt idx="610">
                  <c:v>0.64500000000000013</c:v>
                </c:pt>
                <c:pt idx="611">
                  <c:v>0.66000000000000014</c:v>
                </c:pt>
                <c:pt idx="612">
                  <c:v>0.67</c:v>
                </c:pt>
                <c:pt idx="613">
                  <c:v>0.67500000000000004</c:v>
                </c:pt>
                <c:pt idx="614">
                  <c:v>0.67500000000000004</c:v>
                </c:pt>
                <c:pt idx="615">
                  <c:v>0.67749999999999999</c:v>
                </c:pt>
                <c:pt idx="616">
                  <c:v>0.67999999999999983</c:v>
                </c:pt>
                <c:pt idx="617">
                  <c:v>0.67999999999999994</c:v>
                </c:pt>
                <c:pt idx="618">
                  <c:v>0.68499999999999994</c:v>
                </c:pt>
                <c:pt idx="619">
                  <c:v>0.69</c:v>
                </c:pt>
                <c:pt idx="620">
                  <c:v>0.69499999999999995</c:v>
                </c:pt>
                <c:pt idx="621">
                  <c:v>0.69749999999999979</c:v>
                </c:pt>
                <c:pt idx="622">
                  <c:v>0.69999999999999973</c:v>
                </c:pt>
                <c:pt idx="623">
                  <c:v>0.69999999999999973</c:v>
                </c:pt>
                <c:pt idx="624">
                  <c:v>0.69999999999999973</c:v>
                </c:pt>
                <c:pt idx="625">
                  <c:v>0.69999999999999973</c:v>
                </c:pt>
                <c:pt idx="626">
                  <c:v>0.70249999999999979</c:v>
                </c:pt>
                <c:pt idx="627">
                  <c:v>0.69749999999999979</c:v>
                </c:pt>
                <c:pt idx="628">
                  <c:v>0.69749999999999968</c:v>
                </c:pt>
                <c:pt idx="629">
                  <c:v>0.69999999999999962</c:v>
                </c:pt>
                <c:pt idx="630">
                  <c:v>0.69999999999999951</c:v>
                </c:pt>
                <c:pt idx="631">
                  <c:v>0.69749999999999956</c:v>
                </c:pt>
                <c:pt idx="632">
                  <c:v>0.69749999999999945</c:v>
                </c:pt>
                <c:pt idx="633">
                  <c:v>0.69249999999999945</c:v>
                </c:pt>
                <c:pt idx="634">
                  <c:v>0.68999999999999939</c:v>
                </c:pt>
                <c:pt idx="635">
                  <c:v>0.68749999999999944</c:v>
                </c:pt>
                <c:pt idx="636">
                  <c:v>0.67749999999999955</c:v>
                </c:pt>
                <c:pt idx="637">
                  <c:v>0.69749999999999968</c:v>
                </c:pt>
                <c:pt idx="638">
                  <c:v>0.69499999999999973</c:v>
                </c:pt>
                <c:pt idx="639">
                  <c:v>0.68999999999999972</c:v>
                </c:pt>
                <c:pt idx="640">
                  <c:v>0.6875</c:v>
                </c:pt>
                <c:pt idx="641">
                  <c:v>0.7</c:v>
                </c:pt>
                <c:pt idx="642">
                  <c:v>0.71000000000000008</c:v>
                </c:pt>
                <c:pt idx="643">
                  <c:v>0.71000000000000008</c:v>
                </c:pt>
                <c:pt idx="644">
                  <c:v>0.71000000000000008</c:v>
                </c:pt>
                <c:pt idx="645">
                  <c:v>0.71250000000000013</c:v>
                </c:pt>
                <c:pt idx="646">
                  <c:v>0.71000000000000019</c:v>
                </c:pt>
                <c:pt idx="647">
                  <c:v>0.71000000000000019</c:v>
                </c:pt>
                <c:pt idx="648">
                  <c:v>0.70750000000000024</c:v>
                </c:pt>
                <c:pt idx="649">
                  <c:v>0.70250000000000024</c:v>
                </c:pt>
                <c:pt idx="650">
                  <c:v>0.69750000000000034</c:v>
                </c:pt>
                <c:pt idx="651">
                  <c:v>0.68500000000000039</c:v>
                </c:pt>
                <c:pt idx="652">
                  <c:v>0.68750000000000033</c:v>
                </c:pt>
                <c:pt idx="653">
                  <c:v>0.68750000000000033</c:v>
                </c:pt>
                <c:pt idx="654">
                  <c:v>0.69000000000000028</c:v>
                </c:pt>
                <c:pt idx="655">
                  <c:v>0.69500000000000028</c:v>
                </c:pt>
                <c:pt idx="656">
                  <c:v>0.69750000000000023</c:v>
                </c:pt>
                <c:pt idx="657">
                  <c:v>0.69750000000000012</c:v>
                </c:pt>
                <c:pt idx="658">
                  <c:v>0.70250000000000024</c:v>
                </c:pt>
                <c:pt idx="659">
                  <c:v>0.70500000000000018</c:v>
                </c:pt>
                <c:pt idx="660">
                  <c:v>0.70750000000000024</c:v>
                </c:pt>
                <c:pt idx="661">
                  <c:v>0.71000000000000041</c:v>
                </c:pt>
                <c:pt idx="662">
                  <c:v>0.71500000000000041</c:v>
                </c:pt>
                <c:pt idx="663">
                  <c:v>0.7150000000000003</c:v>
                </c:pt>
                <c:pt idx="664">
                  <c:v>0.71500000000000041</c:v>
                </c:pt>
                <c:pt idx="665">
                  <c:v>0.72750000000000037</c:v>
                </c:pt>
                <c:pt idx="666">
                  <c:v>0.74250000000000027</c:v>
                </c:pt>
                <c:pt idx="667">
                  <c:v>0.74000000000000044</c:v>
                </c:pt>
                <c:pt idx="668">
                  <c:v>0.72750000000000048</c:v>
                </c:pt>
                <c:pt idx="669">
                  <c:v>0.72000000000000042</c:v>
                </c:pt>
                <c:pt idx="670">
                  <c:v>0.71000000000000008</c:v>
                </c:pt>
                <c:pt idx="671">
                  <c:v>0.69250000000000012</c:v>
                </c:pt>
                <c:pt idx="672">
                  <c:v>0.68</c:v>
                </c:pt>
                <c:pt idx="673">
                  <c:v>0.6825</c:v>
                </c:pt>
                <c:pt idx="674">
                  <c:v>0.6825</c:v>
                </c:pt>
                <c:pt idx="675">
                  <c:v>0.67749999999999999</c:v>
                </c:pt>
                <c:pt idx="676">
                  <c:v>0.67249999999999999</c:v>
                </c:pt>
                <c:pt idx="677">
                  <c:v>0.66749999999999998</c:v>
                </c:pt>
                <c:pt idx="678">
                  <c:v>0.66499999999999992</c:v>
                </c:pt>
                <c:pt idx="679">
                  <c:v>0.65750000000000008</c:v>
                </c:pt>
                <c:pt idx="680">
                  <c:v>0.64749999999999985</c:v>
                </c:pt>
                <c:pt idx="681">
                  <c:v>0.64249999999999996</c:v>
                </c:pt>
                <c:pt idx="682">
                  <c:v>0.6399999999999999</c:v>
                </c:pt>
                <c:pt idx="683">
                  <c:v>0.6399999999999999</c:v>
                </c:pt>
                <c:pt idx="684">
                  <c:v>0.64249999999999985</c:v>
                </c:pt>
                <c:pt idx="685">
                  <c:v>0.6399999999999999</c:v>
                </c:pt>
                <c:pt idx="686">
                  <c:v>0.6399999999999999</c:v>
                </c:pt>
                <c:pt idx="687">
                  <c:v>0.64249999999999985</c:v>
                </c:pt>
                <c:pt idx="688">
                  <c:v>0.64249999999999985</c:v>
                </c:pt>
                <c:pt idx="689">
                  <c:v>0.64249999999999974</c:v>
                </c:pt>
                <c:pt idx="690">
                  <c:v>0.64249999999999974</c:v>
                </c:pt>
                <c:pt idx="691">
                  <c:v>0.64499999999999968</c:v>
                </c:pt>
                <c:pt idx="692">
                  <c:v>0.64999999999999969</c:v>
                </c:pt>
                <c:pt idx="693">
                  <c:v>0.65499999999999969</c:v>
                </c:pt>
                <c:pt idx="694">
                  <c:v>0.65999999999999981</c:v>
                </c:pt>
                <c:pt idx="695">
                  <c:v>0.68499999999999972</c:v>
                </c:pt>
                <c:pt idx="696">
                  <c:v>0.69499999999999995</c:v>
                </c:pt>
                <c:pt idx="697">
                  <c:v>0.67500000000000004</c:v>
                </c:pt>
                <c:pt idx="698">
                  <c:v>0.67499999999999993</c:v>
                </c:pt>
                <c:pt idx="699">
                  <c:v>0.67749999999999999</c:v>
                </c:pt>
                <c:pt idx="700">
                  <c:v>0.66999999999999993</c:v>
                </c:pt>
                <c:pt idx="701">
                  <c:v>0.65499999999999992</c:v>
                </c:pt>
                <c:pt idx="702">
                  <c:v>0.64500000000000002</c:v>
                </c:pt>
                <c:pt idx="703">
                  <c:v>0.64250000000000007</c:v>
                </c:pt>
                <c:pt idx="704">
                  <c:v>0.64500000000000002</c:v>
                </c:pt>
                <c:pt idx="705">
                  <c:v>0.64750000000000008</c:v>
                </c:pt>
                <c:pt idx="706">
                  <c:v>0.65249999999999997</c:v>
                </c:pt>
                <c:pt idx="707">
                  <c:v>0.65250000000000008</c:v>
                </c:pt>
                <c:pt idx="708">
                  <c:v>0.6575000000000002</c:v>
                </c:pt>
                <c:pt idx="709">
                  <c:v>0.6575000000000002</c:v>
                </c:pt>
                <c:pt idx="710">
                  <c:v>0.65500000000000003</c:v>
                </c:pt>
                <c:pt idx="711">
                  <c:v>0.65500000000000003</c:v>
                </c:pt>
                <c:pt idx="712">
                  <c:v>0.65250000000000008</c:v>
                </c:pt>
                <c:pt idx="713">
                  <c:v>0.65500000000000003</c:v>
                </c:pt>
                <c:pt idx="714">
                  <c:v>0.65499999999999992</c:v>
                </c:pt>
                <c:pt idx="715">
                  <c:v>0.65249999999999997</c:v>
                </c:pt>
                <c:pt idx="716">
                  <c:v>0.65249999999999997</c:v>
                </c:pt>
                <c:pt idx="717">
                  <c:v>0.65249999999999986</c:v>
                </c:pt>
                <c:pt idx="718">
                  <c:v>0.64749999999999974</c:v>
                </c:pt>
                <c:pt idx="719">
                  <c:v>0.64249999999999996</c:v>
                </c:pt>
                <c:pt idx="720">
                  <c:v>0.63999999999999979</c:v>
                </c:pt>
                <c:pt idx="721">
                  <c:v>0.63749999999999973</c:v>
                </c:pt>
                <c:pt idx="722">
                  <c:v>0.63249999999999962</c:v>
                </c:pt>
                <c:pt idx="723">
                  <c:v>0.63499999999999968</c:v>
                </c:pt>
                <c:pt idx="724">
                  <c:v>0.63499999999999979</c:v>
                </c:pt>
                <c:pt idx="725">
                  <c:v>0.63249999999999984</c:v>
                </c:pt>
                <c:pt idx="726">
                  <c:v>0.64749999999999974</c:v>
                </c:pt>
                <c:pt idx="727">
                  <c:v>0.6399999999999999</c:v>
                </c:pt>
                <c:pt idx="728">
                  <c:v>0.63749999999999984</c:v>
                </c:pt>
                <c:pt idx="729">
                  <c:v>0.64249999999999996</c:v>
                </c:pt>
                <c:pt idx="730">
                  <c:v>0.64249999999999996</c:v>
                </c:pt>
                <c:pt idx="731">
                  <c:v>0.64749999999999985</c:v>
                </c:pt>
                <c:pt idx="732">
                  <c:v>0.65499999999999992</c:v>
                </c:pt>
                <c:pt idx="733">
                  <c:v>0.64749999999999985</c:v>
                </c:pt>
                <c:pt idx="734">
                  <c:v>0.64249999999999996</c:v>
                </c:pt>
                <c:pt idx="735">
                  <c:v>0.64</c:v>
                </c:pt>
                <c:pt idx="736">
                  <c:v>0.6349999999999999</c:v>
                </c:pt>
                <c:pt idx="737">
                  <c:v>0.63749999999999996</c:v>
                </c:pt>
                <c:pt idx="738">
                  <c:v>0.63500000000000001</c:v>
                </c:pt>
                <c:pt idx="739">
                  <c:v>0.63500000000000012</c:v>
                </c:pt>
                <c:pt idx="740">
                  <c:v>0.63500000000000001</c:v>
                </c:pt>
                <c:pt idx="741">
                  <c:v>0.63500000000000001</c:v>
                </c:pt>
                <c:pt idx="742">
                  <c:v>0.63500000000000001</c:v>
                </c:pt>
                <c:pt idx="743">
                  <c:v>0.63749999999999996</c:v>
                </c:pt>
                <c:pt idx="744">
                  <c:v>0.63500000000000001</c:v>
                </c:pt>
                <c:pt idx="745">
                  <c:v>0.63749999999999996</c:v>
                </c:pt>
                <c:pt idx="746">
                  <c:v>0.64</c:v>
                </c:pt>
                <c:pt idx="747">
                  <c:v>0.64</c:v>
                </c:pt>
                <c:pt idx="748">
                  <c:v>0.64249999999999985</c:v>
                </c:pt>
                <c:pt idx="749">
                  <c:v>0.64249999999999985</c:v>
                </c:pt>
                <c:pt idx="750">
                  <c:v>0.64749999999999985</c:v>
                </c:pt>
                <c:pt idx="751">
                  <c:v>0.64999999999999991</c:v>
                </c:pt>
                <c:pt idx="752">
                  <c:v>0.64999999999999991</c:v>
                </c:pt>
                <c:pt idx="753">
                  <c:v>0.64999999999999991</c:v>
                </c:pt>
                <c:pt idx="754">
                  <c:v>0.64999999999999991</c:v>
                </c:pt>
                <c:pt idx="755">
                  <c:v>0.63749999999999973</c:v>
                </c:pt>
                <c:pt idx="756">
                  <c:v>0.63749999999999996</c:v>
                </c:pt>
                <c:pt idx="757">
                  <c:v>0.65249999999999997</c:v>
                </c:pt>
                <c:pt idx="758">
                  <c:v>0.65500000000000003</c:v>
                </c:pt>
                <c:pt idx="759">
                  <c:v>0.65000000000000013</c:v>
                </c:pt>
                <c:pt idx="760">
                  <c:v>0.65</c:v>
                </c:pt>
                <c:pt idx="761">
                  <c:v>0.65750000000000008</c:v>
                </c:pt>
                <c:pt idx="762">
                  <c:v>0.67249999999999999</c:v>
                </c:pt>
                <c:pt idx="763">
                  <c:v>0.69</c:v>
                </c:pt>
                <c:pt idx="764">
                  <c:v>0.69499999999999995</c:v>
                </c:pt>
                <c:pt idx="765">
                  <c:v>0.69499999999999995</c:v>
                </c:pt>
                <c:pt idx="766">
                  <c:v>0.6925</c:v>
                </c:pt>
                <c:pt idx="767">
                  <c:v>0.6925</c:v>
                </c:pt>
                <c:pt idx="768">
                  <c:v>0.69</c:v>
                </c:pt>
                <c:pt idx="769">
                  <c:v>0.6875</c:v>
                </c:pt>
                <c:pt idx="770">
                  <c:v>0.69000000000000006</c:v>
                </c:pt>
                <c:pt idx="771">
                  <c:v>0.69000000000000006</c:v>
                </c:pt>
                <c:pt idx="772">
                  <c:v>0.69250000000000012</c:v>
                </c:pt>
                <c:pt idx="773">
                  <c:v>0.69250000000000012</c:v>
                </c:pt>
                <c:pt idx="774">
                  <c:v>0.69500000000000006</c:v>
                </c:pt>
                <c:pt idx="775">
                  <c:v>0.69499999999999995</c:v>
                </c:pt>
                <c:pt idx="776">
                  <c:v>0.7</c:v>
                </c:pt>
                <c:pt idx="777">
                  <c:v>0.70250000000000001</c:v>
                </c:pt>
                <c:pt idx="778">
                  <c:v>0.70250000000000001</c:v>
                </c:pt>
                <c:pt idx="779">
                  <c:v>0.70749999999999991</c:v>
                </c:pt>
                <c:pt idx="780">
                  <c:v>0.71499999999999997</c:v>
                </c:pt>
                <c:pt idx="781">
                  <c:v>0.71499999999999997</c:v>
                </c:pt>
                <c:pt idx="782">
                  <c:v>0.71750000000000003</c:v>
                </c:pt>
                <c:pt idx="783">
                  <c:v>0.71750000000000003</c:v>
                </c:pt>
                <c:pt idx="784">
                  <c:v>0.71500000000000008</c:v>
                </c:pt>
                <c:pt idx="785">
                  <c:v>0.71250000000000013</c:v>
                </c:pt>
                <c:pt idx="786">
                  <c:v>0.6925</c:v>
                </c:pt>
                <c:pt idx="787">
                  <c:v>0.70250000000000012</c:v>
                </c:pt>
                <c:pt idx="788">
                  <c:v>0.71250000000000013</c:v>
                </c:pt>
                <c:pt idx="789">
                  <c:v>0.70749999999999991</c:v>
                </c:pt>
                <c:pt idx="790">
                  <c:v>0.70999999999999974</c:v>
                </c:pt>
                <c:pt idx="791">
                  <c:v>0.7074999999999998</c:v>
                </c:pt>
                <c:pt idx="792">
                  <c:v>0.69999999999999973</c:v>
                </c:pt>
                <c:pt idx="793">
                  <c:v>0.70499999999999974</c:v>
                </c:pt>
                <c:pt idx="794">
                  <c:v>0.70499999999999974</c:v>
                </c:pt>
                <c:pt idx="795">
                  <c:v>0.70999999999999974</c:v>
                </c:pt>
                <c:pt idx="796">
                  <c:v>0.7124999999999998</c:v>
                </c:pt>
                <c:pt idx="797">
                  <c:v>0.71249999999999991</c:v>
                </c:pt>
                <c:pt idx="798">
                  <c:v>0.71249999999999991</c:v>
                </c:pt>
                <c:pt idx="799">
                  <c:v>0.71250000000000002</c:v>
                </c:pt>
                <c:pt idx="800">
                  <c:v>0.71000000000000008</c:v>
                </c:pt>
                <c:pt idx="801">
                  <c:v>0.71000000000000008</c:v>
                </c:pt>
                <c:pt idx="802">
                  <c:v>0.71000000000000008</c:v>
                </c:pt>
                <c:pt idx="803">
                  <c:v>0.70999999999999985</c:v>
                </c:pt>
                <c:pt idx="804">
                  <c:v>0.70999999999999985</c:v>
                </c:pt>
                <c:pt idx="805">
                  <c:v>0.70999999999999985</c:v>
                </c:pt>
                <c:pt idx="806">
                  <c:v>0.70749999999999991</c:v>
                </c:pt>
                <c:pt idx="807">
                  <c:v>0.70749999999999991</c:v>
                </c:pt>
                <c:pt idx="808">
                  <c:v>0.70499999999999985</c:v>
                </c:pt>
                <c:pt idx="809">
                  <c:v>0.70499999999999985</c:v>
                </c:pt>
                <c:pt idx="810">
                  <c:v>0.69999999999999973</c:v>
                </c:pt>
                <c:pt idx="811">
                  <c:v>0.6974999999999999</c:v>
                </c:pt>
                <c:pt idx="812">
                  <c:v>0.69499999999999995</c:v>
                </c:pt>
                <c:pt idx="813">
                  <c:v>0.69499999999999995</c:v>
                </c:pt>
                <c:pt idx="814">
                  <c:v>0.69250000000000012</c:v>
                </c:pt>
                <c:pt idx="815">
                  <c:v>0.70750000000000002</c:v>
                </c:pt>
                <c:pt idx="816">
                  <c:v>0.71000000000000008</c:v>
                </c:pt>
                <c:pt idx="817">
                  <c:v>0.69750000000000001</c:v>
                </c:pt>
                <c:pt idx="818">
                  <c:v>0.69499999999999995</c:v>
                </c:pt>
                <c:pt idx="819">
                  <c:v>0.69999999999999973</c:v>
                </c:pt>
                <c:pt idx="820">
                  <c:v>0.70249999999999979</c:v>
                </c:pt>
                <c:pt idx="821">
                  <c:v>0.69749999999999979</c:v>
                </c:pt>
                <c:pt idx="822">
                  <c:v>0.67999999999999972</c:v>
                </c:pt>
                <c:pt idx="823">
                  <c:v>0.66499999999999981</c:v>
                </c:pt>
                <c:pt idx="824">
                  <c:v>0.6549999999999998</c:v>
                </c:pt>
                <c:pt idx="825">
                  <c:v>0.64999999999999991</c:v>
                </c:pt>
                <c:pt idx="826">
                  <c:v>0.65249999999999997</c:v>
                </c:pt>
                <c:pt idx="827">
                  <c:v>0.65499999999999992</c:v>
                </c:pt>
                <c:pt idx="828">
                  <c:v>0.65500000000000003</c:v>
                </c:pt>
                <c:pt idx="829">
                  <c:v>0.66</c:v>
                </c:pt>
                <c:pt idx="830">
                  <c:v>0.65749999999999997</c:v>
                </c:pt>
                <c:pt idx="831">
                  <c:v>0.65749999999999997</c:v>
                </c:pt>
                <c:pt idx="832">
                  <c:v>0.65499999999999992</c:v>
                </c:pt>
                <c:pt idx="833">
                  <c:v>0.65499999999999992</c:v>
                </c:pt>
                <c:pt idx="834">
                  <c:v>0.65249999999999997</c:v>
                </c:pt>
                <c:pt idx="835">
                  <c:v>0.65499999999999992</c:v>
                </c:pt>
                <c:pt idx="836">
                  <c:v>0.64999999999999991</c:v>
                </c:pt>
                <c:pt idx="837">
                  <c:v>0.64999999999999991</c:v>
                </c:pt>
                <c:pt idx="838">
                  <c:v>0.6499999999999998</c:v>
                </c:pt>
                <c:pt idx="839">
                  <c:v>0.64749999999999974</c:v>
                </c:pt>
                <c:pt idx="840">
                  <c:v>0.63999999999999979</c:v>
                </c:pt>
                <c:pt idx="841">
                  <c:v>0.64249999999999974</c:v>
                </c:pt>
                <c:pt idx="842">
                  <c:v>0.64249999999999974</c:v>
                </c:pt>
                <c:pt idx="843">
                  <c:v>0.64249999999999985</c:v>
                </c:pt>
                <c:pt idx="844">
                  <c:v>0.64249999999999985</c:v>
                </c:pt>
                <c:pt idx="845">
                  <c:v>0.64999999999999991</c:v>
                </c:pt>
                <c:pt idx="846">
                  <c:v>0.66249999999999987</c:v>
                </c:pt>
                <c:pt idx="847">
                  <c:v>0.64750000000000008</c:v>
                </c:pt>
                <c:pt idx="848">
                  <c:v>0.63499999999999979</c:v>
                </c:pt>
                <c:pt idx="849">
                  <c:v>0.63499999999999979</c:v>
                </c:pt>
                <c:pt idx="850">
                  <c:v>0.63499999999999979</c:v>
                </c:pt>
                <c:pt idx="851">
                  <c:v>0.63499999999999979</c:v>
                </c:pt>
                <c:pt idx="852">
                  <c:v>0.64249999999999996</c:v>
                </c:pt>
                <c:pt idx="853">
                  <c:v>0.63749999999999984</c:v>
                </c:pt>
                <c:pt idx="854">
                  <c:v>0.64249999999999985</c:v>
                </c:pt>
                <c:pt idx="855">
                  <c:v>0.63749999999999996</c:v>
                </c:pt>
                <c:pt idx="856">
                  <c:v>0.63749999999999996</c:v>
                </c:pt>
                <c:pt idx="857">
                  <c:v>0.63750000000000007</c:v>
                </c:pt>
                <c:pt idx="858">
                  <c:v>0.63750000000000007</c:v>
                </c:pt>
                <c:pt idx="859">
                  <c:v>0.64000000000000024</c:v>
                </c:pt>
                <c:pt idx="860">
                  <c:v>0.64000000000000012</c:v>
                </c:pt>
                <c:pt idx="861">
                  <c:v>0.64000000000000012</c:v>
                </c:pt>
                <c:pt idx="862">
                  <c:v>0.64250000000000007</c:v>
                </c:pt>
                <c:pt idx="863">
                  <c:v>0.64000000000000012</c:v>
                </c:pt>
                <c:pt idx="864">
                  <c:v>0.64250000000000007</c:v>
                </c:pt>
                <c:pt idx="865">
                  <c:v>0.64000000000000012</c:v>
                </c:pt>
                <c:pt idx="866">
                  <c:v>0.64250000000000007</c:v>
                </c:pt>
                <c:pt idx="867">
                  <c:v>0.64249999999999996</c:v>
                </c:pt>
                <c:pt idx="868">
                  <c:v>0.64499999999999991</c:v>
                </c:pt>
                <c:pt idx="869">
                  <c:v>0.64750000000000008</c:v>
                </c:pt>
                <c:pt idx="870">
                  <c:v>0.64749999999999985</c:v>
                </c:pt>
                <c:pt idx="871">
                  <c:v>0.64749999999999985</c:v>
                </c:pt>
                <c:pt idx="872">
                  <c:v>0.65249999999999986</c:v>
                </c:pt>
                <c:pt idx="873">
                  <c:v>0.65249999999999997</c:v>
                </c:pt>
                <c:pt idx="874">
                  <c:v>0.64999999999999991</c:v>
                </c:pt>
                <c:pt idx="875">
                  <c:v>0.63499999999999979</c:v>
                </c:pt>
                <c:pt idx="876">
                  <c:v>0.62499999999999989</c:v>
                </c:pt>
                <c:pt idx="877">
                  <c:v>0.63249999999999995</c:v>
                </c:pt>
                <c:pt idx="878">
                  <c:v>0.63249999999999995</c:v>
                </c:pt>
                <c:pt idx="879">
                  <c:v>0.62249999999999994</c:v>
                </c:pt>
                <c:pt idx="880">
                  <c:v>0.61749999999999983</c:v>
                </c:pt>
                <c:pt idx="881">
                  <c:v>0.61749999999999994</c:v>
                </c:pt>
                <c:pt idx="882">
                  <c:v>0.61749999999999983</c:v>
                </c:pt>
                <c:pt idx="883">
                  <c:v>0.61999999999999988</c:v>
                </c:pt>
                <c:pt idx="884">
                  <c:v>0.625</c:v>
                </c:pt>
                <c:pt idx="885">
                  <c:v>0.63</c:v>
                </c:pt>
                <c:pt idx="886">
                  <c:v>0.62500000000000011</c:v>
                </c:pt>
                <c:pt idx="887">
                  <c:v>0.62500000000000011</c:v>
                </c:pt>
                <c:pt idx="888">
                  <c:v>0.62500000000000011</c:v>
                </c:pt>
                <c:pt idx="889">
                  <c:v>0.62000000000000022</c:v>
                </c:pt>
                <c:pt idx="890">
                  <c:v>0.61750000000000005</c:v>
                </c:pt>
                <c:pt idx="891">
                  <c:v>0.61750000000000005</c:v>
                </c:pt>
                <c:pt idx="892">
                  <c:v>0.61750000000000005</c:v>
                </c:pt>
                <c:pt idx="893">
                  <c:v>0.6150000000000001</c:v>
                </c:pt>
                <c:pt idx="894">
                  <c:v>0.6150000000000001</c:v>
                </c:pt>
                <c:pt idx="895">
                  <c:v>0.61250000000000016</c:v>
                </c:pt>
                <c:pt idx="896">
                  <c:v>0.61</c:v>
                </c:pt>
                <c:pt idx="897">
                  <c:v>0.61</c:v>
                </c:pt>
                <c:pt idx="898">
                  <c:v>0.60999999999999988</c:v>
                </c:pt>
                <c:pt idx="899">
                  <c:v>0.60999999999999988</c:v>
                </c:pt>
                <c:pt idx="900">
                  <c:v>0.60999999999999988</c:v>
                </c:pt>
                <c:pt idx="901">
                  <c:v>0.60499999999999987</c:v>
                </c:pt>
                <c:pt idx="902">
                  <c:v>0.60499999999999987</c:v>
                </c:pt>
                <c:pt idx="903">
                  <c:v>0.60499999999999987</c:v>
                </c:pt>
                <c:pt idx="904">
                  <c:v>0.60499999999999987</c:v>
                </c:pt>
                <c:pt idx="905">
                  <c:v>0.60999999999999988</c:v>
                </c:pt>
                <c:pt idx="906">
                  <c:v>0.61749999999999994</c:v>
                </c:pt>
                <c:pt idx="907">
                  <c:v>0.61499999999999999</c:v>
                </c:pt>
                <c:pt idx="908">
                  <c:v>0.62250000000000005</c:v>
                </c:pt>
                <c:pt idx="909">
                  <c:v>0.63749999999999984</c:v>
                </c:pt>
                <c:pt idx="910">
                  <c:v>0.64999999999999991</c:v>
                </c:pt>
                <c:pt idx="911">
                  <c:v>0.65249999999999986</c:v>
                </c:pt>
                <c:pt idx="912">
                  <c:v>0.6499999999999998</c:v>
                </c:pt>
                <c:pt idx="913">
                  <c:v>0.6499999999999998</c:v>
                </c:pt>
                <c:pt idx="914">
                  <c:v>0.6449999999999998</c:v>
                </c:pt>
                <c:pt idx="915">
                  <c:v>1.1599999999999999</c:v>
                </c:pt>
                <c:pt idx="916">
                  <c:v>1.6149999999999995</c:v>
                </c:pt>
                <c:pt idx="917">
                  <c:v>1.6099999999999999</c:v>
                </c:pt>
                <c:pt idx="918">
                  <c:v>1.6125</c:v>
                </c:pt>
                <c:pt idx="919">
                  <c:v>1.615</c:v>
                </c:pt>
                <c:pt idx="920">
                  <c:v>1.62</c:v>
                </c:pt>
                <c:pt idx="921">
                  <c:v>1.62</c:v>
                </c:pt>
                <c:pt idx="922">
                  <c:v>1.62</c:v>
                </c:pt>
                <c:pt idx="923">
                  <c:v>1.625</c:v>
                </c:pt>
                <c:pt idx="924">
                  <c:v>1.6274999999999999</c:v>
                </c:pt>
                <c:pt idx="925">
                  <c:v>1.6324999999999998</c:v>
                </c:pt>
                <c:pt idx="926">
                  <c:v>1.6300000000000001</c:v>
                </c:pt>
                <c:pt idx="927">
                  <c:v>1.6350000000000002</c:v>
                </c:pt>
                <c:pt idx="928">
                  <c:v>1.635</c:v>
                </c:pt>
                <c:pt idx="929">
                  <c:v>1.6350000000000002</c:v>
                </c:pt>
                <c:pt idx="930">
                  <c:v>1.6375</c:v>
                </c:pt>
                <c:pt idx="931">
                  <c:v>1.6375000000000002</c:v>
                </c:pt>
                <c:pt idx="932">
                  <c:v>1.6325000000000003</c:v>
                </c:pt>
                <c:pt idx="933">
                  <c:v>1.6275000000000004</c:v>
                </c:pt>
                <c:pt idx="934">
                  <c:v>1.6325000000000001</c:v>
                </c:pt>
                <c:pt idx="935">
                  <c:v>1.6350000000000005</c:v>
                </c:pt>
                <c:pt idx="936">
                  <c:v>1.6450000000000002</c:v>
                </c:pt>
                <c:pt idx="937">
                  <c:v>1.6425000000000003</c:v>
                </c:pt>
                <c:pt idx="938">
                  <c:v>1.635</c:v>
                </c:pt>
                <c:pt idx="939">
                  <c:v>1.6325000000000001</c:v>
                </c:pt>
                <c:pt idx="940">
                  <c:v>1.63</c:v>
                </c:pt>
                <c:pt idx="941">
                  <c:v>1.63</c:v>
                </c:pt>
                <c:pt idx="942">
                  <c:v>1.64</c:v>
                </c:pt>
                <c:pt idx="943">
                  <c:v>1.6449999999999998</c:v>
                </c:pt>
                <c:pt idx="944">
                  <c:v>1.6499999999999997</c:v>
                </c:pt>
                <c:pt idx="945">
                  <c:v>1.6474999999999997</c:v>
                </c:pt>
                <c:pt idx="946">
                  <c:v>1.6499999999999997</c:v>
                </c:pt>
                <c:pt idx="947">
                  <c:v>1.6449999999999998</c:v>
                </c:pt>
                <c:pt idx="948">
                  <c:v>1.6449999999999998</c:v>
                </c:pt>
                <c:pt idx="949">
                  <c:v>1.6424999999999996</c:v>
                </c:pt>
                <c:pt idx="950">
                  <c:v>1.6449999999999998</c:v>
                </c:pt>
                <c:pt idx="951">
                  <c:v>1.6449999999999998</c:v>
                </c:pt>
                <c:pt idx="952">
                  <c:v>1.6449999999999998</c:v>
                </c:pt>
                <c:pt idx="953">
                  <c:v>1.6475</c:v>
                </c:pt>
                <c:pt idx="954">
                  <c:v>1.6449999999999998</c:v>
                </c:pt>
                <c:pt idx="955">
                  <c:v>1.6449999999999998</c:v>
                </c:pt>
                <c:pt idx="956">
                  <c:v>1.6475</c:v>
                </c:pt>
                <c:pt idx="957">
                  <c:v>1.6475</c:v>
                </c:pt>
                <c:pt idx="958">
                  <c:v>1.65</c:v>
                </c:pt>
                <c:pt idx="959">
                  <c:v>1.6524999999999999</c:v>
                </c:pt>
                <c:pt idx="960">
                  <c:v>1.6524999999999999</c:v>
                </c:pt>
                <c:pt idx="961">
                  <c:v>1.66</c:v>
                </c:pt>
                <c:pt idx="962">
                  <c:v>1.6649999999999996</c:v>
                </c:pt>
                <c:pt idx="963">
                  <c:v>1.6699999999999997</c:v>
                </c:pt>
                <c:pt idx="964">
                  <c:v>1.6724999999999997</c:v>
                </c:pt>
                <c:pt idx="965">
                  <c:v>1.6674999999999998</c:v>
                </c:pt>
                <c:pt idx="966">
                  <c:v>1.6449999999999998</c:v>
                </c:pt>
                <c:pt idx="967">
                  <c:v>1.6524999999999996</c:v>
                </c:pt>
                <c:pt idx="968">
                  <c:v>1.66</c:v>
                </c:pt>
                <c:pt idx="969">
                  <c:v>1.655</c:v>
                </c:pt>
                <c:pt idx="970">
                  <c:v>1.64</c:v>
                </c:pt>
                <c:pt idx="971">
                  <c:v>1.635</c:v>
                </c:pt>
                <c:pt idx="972">
                  <c:v>1.6299999999999997</c:v>
                </c:pt>
                <c:pt idx="973">
                  <c:v>1.6274999999999997</c:v>
                </c:pt>
                <c:pt idx="974">
                  <c:v>1.6299999999999997</c:v>
                </c:pt>
                <c:pt idx="975">
                  <c:v>1.1200000000000003</c:v>
                </c:pt>
                <c:pt idx="976">
                  <c:v>0.67</c:v>
                </c:pt>
                <c:pt idx="977">
                  <c:v>0.67999999999999994</c:v>
                </c:pt>
                <c:pt idx="978">
                  <c:v>0.68</c:v>
                </c:pt>
                <c:pt idx="979">
                  <c:v>0.67500000000000004</c:v>
                </c:pt>
                <c:pt idx="980">
                  <c:v>0.67249999999999999</c:v>
                </c:pt>
                <c:pt idx="981">
                  <c:v>0.67249999999999999</c:v>
                </c:pt>
                <c:pt idx="982">
                  <c:v>0.66999999999999993</c:v>
                </c:pt>
                <c:pt idx="983">
                  <c:v>0.66749999999999998</c:v>
                </c:pt>
                <c:pt idx="984">
                  <c:v>0.66249999999999998</c:v>
                </c:pt>
                <c:pt idx="985">
                  <c:v>0.65999999999999992</c:v>
                </c:pt>
                <c:pt idx="986">
                  <c:v>0.65999999999999992</c:v>
                </c:pt>
                <c:pt idx="987">
                  <c:v>0.6549999999999998</c:v>
                </c:pt>
                <c:pt idx="988">
                  <c:v>0.65499999999999969</c:v>
                </c:pt>
                <c:pt idx="989">
                  <c:v>0.6499999999999998</c:v>
                </c:pt>
                <c:pt idx="990">
                  <c:v>0.64749999999999963</c:v>
                </c:pt>
                <c:pt idx="991">
                  <c:v>0.64499999999999957</c:v>
                </c:pt>
                <c:pt idx="992">
                  <c:v>0.64249999999999963</c:v>
                </c:pt>
                <c:pt idx="993">
                  <c:v>0.64499999999999968</c:v>
                </c:pt>
                <c:pt idx="994">
                  <c:v>0.64249999999999985</c:v>
                </c:pt>
                <c:pt idx="995">
                  <c:v>0.6499999999999998</c:v>
                </c:pt>
                <c:pt idx="996">
                  <c:v>0.65749999999999964</c:v>
                </c:pt>
                <c:pt idx="997">
                  <c:v>0.64749999999999985</c:v>
                </c:pt>
                <c:pt idx="998">
                  <c:v>0.64749999999999985</c:v>
                </c:pt>
                <c:pt idx="999">
                  <c:v>0.65749999999999986</c:v>
                </c:pt>
                <c:pt idx="1000">
                  <c:v>0.67249999999999976</c:v>
                </c:pt>
                <c:pt idx="1001">
                  <c:v>0.67749999999999988</c:v>
                </c:pt>
                <c:pt idx="1002">
                  <c:v>0.66749999999999987</c:v>
                </c:pt>
                <c:pt idx="1003">
                  <c:v>0.65999999999999981</c:v>
                </c:pt>
                <c:pt idx="1004">
                  <c:v>0.65249999999999986</c:v>
                </c:pt>
                <c:pt idx="1005">
                  <c:v>0.65249999999999986</c:v>
                </c:pt>
                <c:pt idx="1006">
                  <c:v>0.65</c:v>
                </c:pt>
                <c:pt idx="1007">
                  <c:v>0.65249999999999997</c:v>
                </c:pt>
                <c:pt idx="1008">
                  <c:v>0.65500000000000003</c:v>
                </c:pt>
                <c:pt idx="1009">
                  <c:v>0.66</c:v>
                </c:pt>
                <c:pt idx="1010">
                  <c:v>0.66</c:v>
                </c:pt>
                <c:pt idx="1011">
                  <c:v>0.66249999999999998</c:v>
                </c:pt>
                <c:pt idx="1012">
                  <c:v>0.66249999999999998</c:v>
                </c:pt>
                <c:pt idx="1013">
                  <c:v>0.66249999999999987</c:v>
                </c:pt>
                <c:pt idx="1014">
                  <c:v>0.66249999999999987</c:v>
                </c:pt>
                <c:pt idx="1015">
                  <c:v>0.66749999999999998</c:v>
                </c:pt>
                <c:pt idx="1016">
                  <c:v>0.66749999999999998</c:v>
                </c:pt>
                <c:pt idx="1017">
                  <c:v>0.66499999999999992</c:v>
                </c:pt>
                <c:pt idx="1018">
                  <c:v>0.66499999999999992</c:v>
                </c:pt>
                <c:pt idx="1019">
                  <c:v>0.66249999999999987</c:v>
                </c:pt>
                <c:pt idx="1020">
                  <c:v>0.66499999999999992</c:v>
                </c:pt>
                <c:pt idx="1021">
                  <c:v>0.66249999999999998</c:v>
                </c:pt>
                <c:pt idx="1022">
                  <c:v>0.65499999999999992</c:v>
                </c:pt>
                <c:pt idx="1023">
                  <c:v>0.64749999999999985</c:v>
                </c:pt>
                <c:pt idx="1024">
                  <c:v>0.64749999999999985</c:v>
                </c:pt>
                <c:pt idx="1025">
                  <c:v>0.64499999999999991</c:v>
                </c:pt>
                <c:pt idx="1026">
                  <c:v>0.65</c:v>
                </c:pt>
                <c:pt idx="1027">
                  <c:v>0.65500000000000014</c:v>
                </c:pt>
                <c:pt idx="1028">
                  <c:v>0.64250000000000018</c:v>
                </c:pt>
                <c:pt idx="1029">
                  <c:v>0.63250000000000017</c:v>
                </c:pt>
                <c:pt idx="1030">
                  <c:v>0.63000000000000012</c:v>
                </c:pt>
                <c:pt idx="1031">
                  <c:v>0.63000000000000012</c:v>
                </c:pt>
                <c:pt idx="1032">
                  <c:v>0.63250000000000006</c:v>
                </c:pt>
                <c:pt idx="1033">
                  <c:v>0.64</c:v>
                </c:pt>
                <c:pt idx="1034">
                  <c:v>0.64249999999999985</c:v>
                </c:pt>
                <c:pt idx="1035">
                  <c:v>0.6449999999999998</c:v>
                </c:pt>
                <c:pt idx="1036">
                  <c:v>0.6399999999999999</c:v>
                </c:pt>
                <c:pt idx="1037">
                  <c:v>0.63499999999999979</c:v>
                </c:pt>
                <c:pt idx="1038">
                  <c:v>0.6349999999999999</c:v>
                </c:pt>
                <c:pt idx="1039">
                  <c:v>0.63249999999999984</c:v>
                </c:pt>
                <c:pt idx="1040">
                  <c:v>0.63249999999999984</c:v>
                </c:pt>
                <c:pt idx="1041">
                  <c:v>0.63249999999999984</c:v>
                </c:pt>
                <c:pt idx="1042">
                  <c:v>0.63249999999999984</c:v>
                </c:pt>
                <c:pt idx="1043">
                  <c:v>0.62999999999999967</c:v>
                </c:pt>
                <c:pt idx="1044">
                  <c:v>0.63249999999999973</c:v>
                </c:pt>
                <c:pt idx="1045">
                  <c:v>0.62999999999999967</c:v>
                </c:pt>
                <c:pt idx="1046">
                  <c:v>0.62999999999999967</c:v>
                </c:pt>
                <c:pt idx="1047">
                  <c:v>0.62999999999999967</c:v>
                </c:pt>
                <c:pt idx="1048">
                  <c:v>0.62749999999999961</c:v>
                </c:pt>
                <c:pt idx="1049">
                  <c:v>0.62999999999999956</c:v>
                </c:pt>
                <c:pt idx="1050">
                  <c:v>0.62999999999999945</c:v>
                </c:pt>
                <c:pt idx="1051">
                  <c:v>0.62999999999999945</c:v>
                </c:pt>
                <c:pt idx="1052">
                  <c:v>0.63499999999999956</c:v>
                </c:pt>
                <c:pt idx="1053">
                  <c:v>0.63499999999999968</c:v>
                </c:pt>
                <c:pt idx="1054">
                  <c:v>0.63499999999999968</c:v>
                </c:pt>
                <c:pt idx="1055">
                  <c:v>0.64249999999999985</c:v>
                </c:pt>
                <c:pt idx="1056">
                  <c:v>0.62749999999999995</c:v>
                </c:pt>
                <c:pt idx="1057">
                  <c:v>0.63</c:v>
                </c:pt>
                <c:pt idx="1058">
                  <c:v>0.64249999999999996</c:v>
                </c:pt>
                <c:pt idx="1059">
                  <c:v>0.65</c:v>
                </c:pt>
                <c:pt idx="1060">
                  <c:v>0.64500000000000002</c:v>
                </c:pt>
                <c:pt idx="1061">
                  <c:v>0.64500000000000002</c:v>
                </c:pt>
                <c:pt idx="1062">
                  <c:v>0.65</c:v>
                </c:pt>
                <c:pt idx="1063">
                  <c:v>0.66</c:v>
                </c:pt>
                <c:pt idx="1064">
                  <c:v>0.67</c:v>
                </c:pt>
                <c:pt idx="1065">
                  <c:v>0.67749999999999999</c:v>
                </c:pt>
                <c:pt idx="1066">
                  <c:v>0.68</c:v>
                </c:pt>
                <c:pt idx="1067">
                  <c:v>0.68</c:v>
                </c:pt>
                <c:pt idx="1068">
                  <c:v>0.6775000000000001</c:v>
                </c:pt>
                <c:pt idx="1069">
                  <c:v>0.6725000000000001</c:v>
                </c:pt>
                <c:pt idx="1070">
                  <c:v>0.67</c:v>
                </c:pt>
                <c:pt idx="1071">
                  <c:v>0.66750000000000009</c:v>
                </c:pt>
                <c:pt idx="1072">
                  <c:v>0.67</c:v>
                </c:pt>
                <c:pt idx="1073">
                  <c:v>0.67</c:v>
                </c:pt>
                <c:pt idx="1074">
                  <c:v>0.67</c:v>
                </c:pt>
                <c:pt idx="1075">
                  <c:v>0.66499999999999992</c:v>
                </c:pt>
                <c:pt idx="1076">
                  <c:v>0.66749999999999998</c:v>
                </c:pt>
                <c:pt idx="1077">
                  <c:v>0.66499999999999992</c:v>
                </c:pt>
                <c:pt idx="1078">
                  <c:v>0.66499999999999992</c:v>
                </c:pt>
                <c:pt idx="1079">
                  <c:v>0.66249999999999987</c:v>
                </c:pt>
                <c:pt idx="1080">
                  <c:v>0.65999999999999992</c:v>
                </c:pt>
                <c:pt idx="1081">
                  <c:v>0.65749999999999964</c:v>
                </c:pt>
                <c:pt idx="1082">
                  <c:v>0.65999999999999981</c:v>
                </c:pt>
                <c:pt idx="1083">
                  <c:v>0.66499999999999981</c:v>
                </c:pt>
                <c:pt idx="1084">
                  <c:v>0.66749999999999998</c:v>
                </c:pt>
                <c:pt idx="1085">
                  <c:v>0.68499999999999994</c:v>
                </c:pt>
                <c:pt idx="1086">
                  <c:v>0.68249999999999977</c:v>
                </c:pt>
                <c:pt idx="1087">
                  <c:v>0.67499999999999993</c:v>
                </c:pt>
                <c:pt idx="1088">
                  <c:v>0.6825</c:v>
                </c:pt>
                <c:pt idx="1089">
                  <c:v>0.6974999999999999</c:v>
                </c:pt>
                <c:pt idx="1090">
                  <c:v>0.7024999999999999</c:v>
                </c:pt>
                <c:pt idx="1091">
                  <c:v>0.7024999999999999</c:v>
                </c:pt>
                <c:pt idx="1092">
                  <c:v>0.69999999999999984</c:v>
                </c:pt>
                <c:pt idx="1093">
                  <c:v>0.6925</c:v>
                </c:pt>
                <c:pt idx="1094">
                  <c:v>0.68749999999999989</c:v>
                </c:pt>
                <c:pt idx="1095">
                  <c:v>0.67999999999999994</c:v>
                </c:pt>
                <c:pt idx="1096">
                  <c:v>0.68499999999999994</c:v>
                </c:pt>
                <c:pt idx="1097">
                  <c:v>0.69499999999999995</c:v>
                </c:pt>
                <c:pt idx="1098">
                  <c:v>0.69999999999999984</c:v>
                </c:pt>
                <c:pt idx="1099">
                  <c:v>0.69499999999999995</c:v>
                </c:pt>
                <c:pt idx="1100">
                  <c:v>0.69</c:v>
                </c:pt>
                <c:pt idx="1101">
                  <c:v>0.6925</c:v>
                </c:pt>
                <c:pt idx="1102">
                  <c:v>0.69499999999999995</c:v>
                </c:pt>
                <c:pt idx="1103">
                  <c:v>0.6974999999999999</c:v>
                </c:pt>
                <c:pt idx="1104">
                  <c:v>0.6974999999999999</c:v>
                </c:pt>
                <c:pt idx="1105">
                  <c:v>0.69999999999999984</c:v>
                </c:pt>
                <c:pt idx="1106">
                  <c:v>0.69999999999999973</c:v>
                </c:pt>
                <c:pt idx="1107">
                  <c:v>0.69999999999999973</c:v>
                </c:pt>
                <c:pt idx="1108">
                  <c:v>0.70249999999999979</c:v>
                </c:pt>
                <c:pt idx="1109">
                  <c:v>0.70249999999999957</c:v>
                </c:pt>
                <c:pt idx="1110">
                  <c:v>0.70499999999999974</c:v>
                </c:pt>
                <c:pt idx="1111">
                  <c:v>0.70499999999999974</c:v>
                </c:pt>
                <c:pt idx="1112">
                  <c:v>0.70249999999999979</c:v>
                </c:pt>
                <c:pt idx="1113">
                  <c:v>0.70249999999999979</c:v>
                </c:pt>
                <c:pt idx="1114">
                  <c:v>0.71499999999999986</c:v>
                </c:pt>
                <c:pt idx="1115">
                  <c:v>0.71999999999999986</c:v>
                </c:pt>
                <c:pt idx="1116">
                  <c:v>0.71499999999999986</c:v>
                </c:pt>
                <c:pt idx="1117">
                  <c:v>0.70749999999999991</c:v>
                </c:pt>
                <c:pt idx="1118">
                  <c:v>0.69</c:v>
                </c:pt>
                <c:pt idx="1119">
                  <c:v>0.67499999999999993</c:v>
                </c:pt>
                <c:pt idx="1120">
                  <c:v>0.67249999999999976</c:v>
                </c:pt>
                <c:pt idx="1121">
                  <c:v>0.67249999999999965</c:v>
                </c:pt>
                <c:pt idx="1122">
                  <c:v>0.6749999999999996</c:v>
                </c:pt>
                <c:pt idx="1123">
                  <c:v>0.66499999999999959</c:v>
                </c:pt>
                <c:pt idx="1124">
                  <c:v>0.65249999999999964</c:v>
                </c:pt>
                <c:pt idx="1125">
                  <c:v>0.64499999999999968</c:v>
                </c:pt>
                <c:pt idx="1126">
                  <c:v>0.64499999999999968</c:v>
                </c:pt>
                <c:pt idx="1127">
                  <c:v>0.64249999999999985</c:v>
                </c:pt>
                <c:pt idx="1128">
                  <c:v>0.64249999999999985</c:v>
                </c:pt>
                <c:pt idx="1129">
                  <c:v>0.63749999999999984</c:v>
                </c:pt>
                <c:pt idx="1130">
                  <c:v>0.6349999999999999</c:v>
                </c:pt>
                <c:pt idx="1131">
                  <c:v>0.6349999999999999</c:v>
                </c:pt>
                <c:pt idx="1132">
                  <c:v>0.63499999999999979</c:v>
                </c:pt>
                <c:pt idx="1133">
                  <c:v>0.63499999999999979</c:v>
                </c:pt>
                <c:pt idx="1134">
                  <c:v>0.63749999999999973</c:v>
                </c:pt>
                <c:pt idx="1135">
                  <c:v>0.63749999999999973</c:v>
                </c:pt>
                <c:pt idx="1136">
                  <c:v>0.63749999999999973</c:v>
                </c:pt>
                <c:pt idx="1137">
                  <c:v>0.64249999999999974</c:v>
                </c:pt>
                <c:pt idx="1138">
                  <c:v>0.64249999999999974</c:v>
                </c:pt>
                <c:pt idx="1139">
                  <c:v>0.6499999999999998</c:v>
                </c:pt>
                <c:pt idx="1140">
                  <c:v>0.65499999999999969</c:v>
                </c:pt>
                <c:pt idx="1141">
                  <c:v>0.65999999999999981</c:v>
                </c:pt>
                <c:pt idx="1142">
                  <c:v>0.65999999999999992</c:v>
                </c:pt>
                <c:pt idx="1143">
                  <c:v>0.65749999999999997</c:v>
                </c:pt>
                <c:pt idx="1144">
                  <c:v>0.66499999999999981</c:v>
                </c:pt>
                <c:pt idx="1145">
                  <c:v>0.66249999999999998</c:v>
                </c:pt>
                <c:pt idx="1146">
                  <c:v>0.6675000000000002</c:v>
                </c:pt>
                <c:pt idx="1147">
                  <c:v>0.6625000000000002</c:v>
                </c:pt>
                <c:pt idx="1148">
                  <c:v>0.65250000000000008</c:v>
                </c:pt>
                <c:pt idx="1149">
                  <c:v>0.63750000000000007</c:v>
                </c:pt>
                <c:pt idx="1150">
                  <c:v>0.63</c:v>
                </c:pt>
                <c:pt idx="1151">
                  <c:v>0.62749999999999995</c:v>
                </c:pt>
                <c:pt idx="1152">
                  <c:v>0.62750000000000006</c:v>
                </c:pt>
                <c:pt idx="1153">
                  <c:v>0.63000000000000012</c:v>
                </c:pt>
                <c:pt idx="1154">
                  <c:v>0.63000000000000012</c:v>
                </c:pt>
                <c:pt idx="1155">
                  <c:v>0.63250000000000006</c:v>
                </c:pt>
                <c:pt idx="1156">
                  <c:v>0.63000000000000012</c:v>
                </c:pt>
                <c:pt idx="1157">
                  <c:v>0.62500000000000011</c:v>
                </c:pt>
                <c:pt idx="1158">
                  <c:v>0.61750000000000005</c:v>
                </c:pt>
                <c:pt idx="1159">
                  <c:v>0.62</c:v>
                </c:pt>
                <c:pt idx="1160">
                  <c:v>0.62</c:v>
                </c:pt>
                <c:pt idx="1161">
                  <c:v>0.61750000000000005</c:v>
                </c:pt>
                <c:pt idx="1162">
                  <c:v>0.61750000000000005</c:v>
                </c:pt>
                <c:pt idx="1163">
                  <c:v>0.61499999999999999</c:v>
                </c:pt>
                <c:pt idx="1164">
                  <c:v>0.6150000000000001</c:v>
                </c:pt>
                <c:pt idx="1165">
                  <c:v>0.61499999999999999</c:v>
                </c:pt>
                <c:pt idx="1166">
                  <c:v>0.61499999999999999</c:v>
                </c:pt>
                <c:pt idx="1167">
                  <c:v>0.61499999999999999</c:v>
                </c:pt>
                <c:pt idx="1168">
                  <c:v>0.61499999999999999</c:v>
                </c:pt>
                <c:pt idx="1169">
                  <c:v>0.61499999999999988</c:v>
                </c:pt>
                <c:pt idx="1170">
                  <c:v>0.61249999999999993</c:v>
                </c:pt>
                <c:pt idx="1171">
                  <c:v>0.61249999999999993</c:v>
                </c:pt>
                <c:pt idx="1172">
                  <c:v>0.61249999999999993</c:v>
                </c:pt>
                <c:pt idx="1173">
                  <c:v>0.61250000000000004</c:v>
                </c:pt>
                <c:pt idx="1174">
                  <c:v>0.61250000000000004</c:v>
                </c:pt>
                <c:pt idx="1175">
                  <c:v>0.62</c:v>
                </c:pt>
                <c:pt idx="1176">
                  <c:v>0.62250000000000005</c:v>
                </c:pt>
                <c:pt idx="1177">
                  <c:v>0.62249999999999994</c:v>
                </c:pt>
                <c:pt idx="1178">
                  <c:v>0.625</c:v>
                </c:pt>
                <c:pt idx="1179">
                  <c:v>0.62749999999999995</c:v>
                </c:pt>
                <c:pt idx="1180">
                  <c:v>0.63000000000000023</c:v>
                </c:pt>
                <c:pt idx="1181">
                  <c:v>0.62500000000000011</c:v>
                </c:pt>
                <c:pt idx="1182">
                  <c:v>0.61750000000000005</c:v>
                </c:pt>
                <c:pt idx="1183">
                  <c:v>0.61</c:v>
                </c:pt>
                <c:pt idx="1184">
                  <c:v>0.61</c:v>
                </c:pt>
                <c:pt idx="1185">
                  <c:v>0.60750000000000004</c:v>
                </c:pt>
                <c:pt idx="1186">
                  <c:v>0.60500000000000009</c:v>
                </c:pt>
                <c:pt idx="1187">
                  <c:v>0.60750000000000004</c:v>
                </c:pt>
                <c:pt idx="1188">
                  <c:v>0.60500000000000009</c:v>
                </c:pt>
                <c:pt idx="1189">
                  <c:v>0.60750000000000004</c:v>
                </c:pt>
                <c:pt idx="1190">
                  <c:v>0.60750000000000004</c:v>
                </c:pt>
                <c:pt idx="1191">
                  <c:v>0.61</c:v>
                </c:pt>
                <c:pt idx="1192">
                  <c:v>0.61</c:v>
                </c:pt>
                <c:pt idx="1193">
                  <c:v>0.60749999999999993</c:v>
                </c:pt>
                <c:pt idx="1194">
                  <c:v>0.60750000000000004</c:v>
                </c:pt>
                <c:pt idx="1195">
                  <c:v>0.61250000000000004</c:v>
                </c:pt>
                <c:pt idx="1196">
                  <c:v>0.61</c:v>
                </c:pt>
                <c:pt idx="1197">
                  <c:v>0.60999999999999988</c:v>
                </c:pt>
                <c:pt idx="1198">
                  <c:v>0.60749999999999993</c:v>
                </c:pt>
                <c:pt idx="1199">
                  <c:v>0.60499999999999998</c:v>
                </c:pt>
                <c:pt idx="1200">
                  <c:v>0.60249999999999981</c:v>
                </c:pt>
                <c:pt idx="1201">
                  <c:v>0.60249999999999981</c:v>
                </c:pt>
                <c:pt idx="1202">
                  <c:v>0.60249999999999992</c:v>
                </c:pt>
                <c:pt idx="1203">
                  <c:v>0.60249999999999992</c:v>
                </c:pt>
                <c:pt idx="1204">
                  <c:v>0.60249999999999992</c:v>
                </c:pt>
                <c:pt idx="1205">
                  <c:v>0.59999999999999976</c:v>
                </c:pt>
                <c:pt idx="1206">
                  <c:v>0.60749999999999971</c:v>
                </c:pt>
                <c:pt idx="1207">
                  <c:v>0.60749999999999971</c:v>
                </c:pt>
                <c:pt idx="1208">
                  <c:v>0.60999999999999988</c:v>
                </c:pt>
                <c:pt idx="1209">
                  <c:v>0.61249999999999971</c:v>
                </c:pt>
                <c:pt idx="1210">
                  <c:v>0.62249999999999994</c:v>
                </c:pt>
                <c:pt idx="1211">
                  <c:v>0.63749999999999984</c:v>
                </c:pt>
                <c:pt idx="1212">
                  <c:v>0.64499999999999991</c:v>
                </c:pt>
                <c:pt idx="1213">
                  <c:v>0.64999999999999991</c:v>
                </c:pt>
                <c:pt idx="1214">
                  <c:v>0.64999999999999991</c:v>
                </c:pt>
                <c:pt idx="1215">
                  <c:v>0.64999999999999991</c:v>
                </c:pt>
                <c:pt idx="1216">
                  <c:v>0.64749999999999985</c:v>
                </c:pt>
                <c:pt idx="1217">
                  <c:v>0.64249999999999996</c:v>
                </c:pt>
                <c:pt idx="1218">
                  <c:v>0.64499999999999991</c:v>
                </c:pt>
                <c:pt idx="1219">
                  <c:v>0.64499999999999991</c:v>
                </c:pt>
                <c:pt idx="1220">
                  <c:v>0.64499999999999991</c:v>
                </c:pt>
                <c:pt idx="1221">
                  <c:v>0.64499999999999991</c:v>
                </c:pt>
                <c:pt idx="1222">
                  <c:v>0.64499999999999991</c:v>
                </c:pt>
                <c:pt idx="1223">
                  <c:v>0.64749999999999985</c:v>
                </c:pt>
                <c:pt idx="1224">
                  <c:v>0.64749999999999974</c:v>
                </c:pt>
                <c:pt idx="1225">
                  <c:v>0.6499999999999998</c:v>
                </c:pt>
                <c:pt idx="1226">
                  <c:v>0.65249999999999975</c:v>
                </c:pt>
                <c:pt idx="1227">
                  <c:v>0.65499999999999958</c:v>
                </c:pt>
                <c:pt idx="1228">
                  <c:v>0.65499999999999958</c:v>
                </c:pt>
                <c:pt idx="1229">
                  <c:v>0.65999999999999959</c:v>
                </c:pt>
                <c:pt idx="1230">
                  <c:v>0.6649999999999997</c:v>
                </c:pt>
                <c:pt idx="1231">
                  <c:v>0.66999999999999982</c:v>
                </c:pt>
                <c:pt idx="1232">
                  <c:v>0.66999999999999982</c:v>
                </c:pt>
                <c:pt idx="1233">
                  <c:v>0.66999999999999993</c:v>
                </c:pt>
                <c:pt idx="1234">
                  <c:v>0.67</c:v>
                </c:pt>
                <c:pt idx="1235">
                  <c:v>0.65499999999999992</c:v>
                </c:pt>
                <c:pt idx="1236">
                  <c:v>0.6675000000000002</c:v>
                </c:pt>
                <c:pt idx="1237">
                  <c:v>0.6775000000000001</c:v>
                </c:pt>
                <c:pt idx="1238">
                  <c:v>0.67249999999999999</c:v>
                </c:pt>
                <c:pt idx="1239">
                  <c:v>0.66750000000000009</c:v>
                </c:pt>
                <c:pt idx="1240">
                  <c:v>0.65750000000000008</c:v>
                </c:pt>
                <c:pt idx="1241">
                  <c:v>0.65749999999999997</c:v>
                </c:pt>
                <c:pt idx="1242">
                  <c:v>0.66249999999999998</c:v>
                </c:pt>
                <c:pt idx="1243">
                  <c:v>0.66999999999999993</c:v>
                </c:pt>
                <c:pt idx="1244">
                  <c:v>0.67500000000000004</c:v>
                </c:pt>
                <c:pt idx="1245">
                  <c:v>0.68</c:v>
                </c:pt>
                <c:pt idx="1246">
                  <c:v>0.6875</c:v>
                </c:pt>
                <c:pt idx="1247">
                  <c:v>0.68500000000000005</c:v>
                </c:pt>
                <c:pt idx="1248">
                  <c:v>0.6875</c:v>
                </c:pt>
                <c:pt idx="1249">
                  <c:v>0.6825</c:v>
                </c:pt>
                <c:pt idx="1250">
                  <c:v>0.6825</c:v>
                </c:pt>
                <c:pt idx="1251">
                  <c:v>0.68</c:v>
                </c:pt>
                <c:pt idx="1252">
                  <c:v>0.6775000000000001</c:v>
                </c:pt>
                <c:pt idx="1253">
                  <c:v>0.68</c:v>
                </c:pt>
                <c:pt idx="1254">
                  <c:v>0.67749999999999999</c:v>
                </c:pt>
                <c:pt idx="1255">
                  <c:v>0.67249999999999999</c:v>
                </c:pt>
                <c:pt idx="1256">
                  <c:v>0.67249999999999999</c:v>
                </c:pt>
                <c:pt idx="1257">
                  <c:v>0.66999999999999993</c:v>
                </c:pt>
                <c:pt idx="1258">
                  <c:v>0.67249999999999988</c:v>
                </c:pt>
                <c:pt idx="1259">
                  <c:v>0.66749999999999998</c:v>
                </c:pt>
                <c:pt idx="1260">
                  <c:v>0.66749999999999998</c:v>
                </c:pt>
                <c:pt idx="1261">
                  <c:v>0.66249999999999987</c:v>
                </c:pt>
                <c:pt idx="1262">
                  <c:v>0.66249999999999987</c:v>
                </c:pt>
                <c:pt idx="1263">
                  <c:v>0.66249999999999987</c:v>
                </c:pt>
                <c:pt idx="1264">
                  <c:v>0.67249999999999988</c:v>
                </c:pt>
                <c:pt idx="1265">
                  <c:v>0.69</c:v>
                </c:pt>
                <c:pt idx="1266">
                  <c:v>0.66999999999999993</c:v>
                </c:pt>
                <c:pt idx="1267">
                  <c:v>0.65999999999999992</c:v>
                </c:pt>
                <c:pt idx="1268">
                  <c:v>0.66249999999999987</c:v>
                </c:pt>
                <c:pt idx="1269">
                  <c:v>0.66249999999999987</c:v>
                </c:pt>
                <c:pt idx="1270">
                  <c:v>0.66249999999999976</c:v>
                </c:pt>
                <c:pt idx="1271">
                  <c:v>0.6499999999999998</c:v>
                </c:pt>
                <c:pt idx="1272">
                  <c:v>0.6399999999999999</c:v>
                </c:pt>
                <c:pt idx="1273">
                  <c:v>0.63249999999999995</c:v>
                </c:pt>
                <c:pt idx="1274">
                  <c:v>0.62749999999999995</c:v>
                </c:pt>
                <c:pt idx="1275">
                  <c:v>0.625</c:v>
                </c:pt>
                <c:pt idx="1276">
                  <c:v>0.62500000000000011</c:v>
                </c:pt>
                <c:pt idx="1277">
                  <c:v>0.62250000000000016</c:v>
                </c:pt>
                <c:pt idx="1278">
                  <c:v>0.62500000000000011</c:v>
                </c:pt>
                <c:pt idx="1279">
                  <c:v>0.62500000000000011</c:v>
                </c:pt>
                <c:pt idx="1280">
                  <c:v>0.62500000000000011</c:v>
                </c:pt>
                <c:pt idx="1281">
                  <c:v>0.62500000000000011</c:v>
                </c:pt>
                <c:pt idx="1282">
                  <c:v>0.62250000000000016</c:v>
                </c:pt>
                <c:pt idx="1283">
                  <c:v>0.62250000000000005</c:v>
                </c:pt>
                <c:pt idx="1284">
                  <c:v>0.62</c:v>
                </c:pt>
                <c:pt idx="1285">
                  <c:v>0.61750000000000005</c:v>
                </c:pt>
                <c:pt idx="1286">
                  <c:v>0.62</c:v>
                </c:pt>
                <c:pt idx="1287">
                  <c:v>0.62</c:v>
                </c:pt>
                <c:pt idx="1288">
                  <c:v>0.62250000000000005</c:v>
                </c:pt>
                <c:pt idx="1289">
                  <c:v>0.61749999999999994</c:v>
                </c:pt>
                <c:pt idx="1290">
                  <c:v>0.6150000000000001</c:v>
                </c:pt>
                <c:pt idx="1291">
                  <c:v>0.61250000000000004</c:v>
                </c:pt>
                <c:pt idx="1292">
                  <c:v>0.61250000000000004</c:v>
                </c:pt>
                <c:pt idx="1293">
                  <c:v>0.61250000000000016</c:v>
                </c:pt>
                <c:pt idx="1294">
                  <c:v>0.61750000000000027</c:v>
                </c:pt>
                <c:pt idx="1295">
                  <c:v>0.62250000000000028</c:v>
                </c:pt>
                <c:pt idx="1296">
                  <c:v>0.61499999999999999</c:v>
                </c:pt>
                <c:pt idx="1297">
                  <c:v>0.60999999999999988</c:v>
                </c:pt>
                <c:pt idx="1298">
                  <c:v>0.60749999999999993</c:v>
                </c:pt>
                <c:pt idx="1299">
                  <c:v>0.60499999999999998</c:v>
                </c:pt>
                <c:pt idx="1300">
                  <c:v>0.60499999999999998</c:v>
                </c:pt>
                <c:pt idx="1301">
                  <c:v>0.60249999999999992</c:v>
                </c:pt>
                <c:pt idx="1302">
                  <c:v>0.59750000000000003</c:v>
                </c:pt>
                <c:pt idx="1303">
                  <c:v>0.60000000000000009</c:v>
                </c:pt>
                <c:pt idx="1304">
                  <c:v>0.59750000000000003</c:v>
                </c:pt>
                <c:pt idx="1305">
                  <c:v>0.6</c:v>
                </c:pt>
                <c:pt idx="1306">
                  <c:v>0.59999999999999987</c:v>
                </c:pt>
                <c:pt idx="1307">
                  <c:v>0.60499999999999998</c:v>
                </c:pt>
                <c:pt idx="1308">
                  <c:v>0.60249999999999992</c:v>
                </c:pt>
                <c:pt idx="1309">
                  <c:v>0.60499999999999998</c:v>
                </c:pt>
                <c:pt idx="1310">
                  <c:v>0.60499999999999998</c:v>
                </c:pt>
                <c:pt idx="1311">
                  <c:v>0.60499999999999998</c:v>
                </c:pt>
                <c:pt idx="1312">
                  <c:v>0.60499999999999998</c:v>
                </c:pt>
                <c:pt idx="1313">
                  <c:v>0.60249999999999992</c:v>
                </c:pt>
                <c:pt idx="1314">
                  <c:v>0.60499999999999998</c:v>
                </c:pt>
                <c:pt idx="1315">
                  <c:v>0.60249999999999992</c:v>
                </c:pt>
                <c:pt idx="1316">
                  <c:v>0.60249999999999981</c:v>
                </c:pt>
                <c:pt idx="1317">
                  <c:v>0.60249999999999981</c:v>
                </c:pt>
                <c:pt idx="1318">
                  <c:v>0.59999999999999976</c:v>
                </c:pt>
                <c:pt idx="1319">
                  <c:v>0.6024999999999997</c:v>
                </c:pt>
                <c:pt idx="1320">
                  <c:v>0.59999999999999976</c:v>
                </c:pt>
                <c:pt idx="1321">
                  <c:v>0.59749999999999981</c:v>
                </c:pt>
                <c:pt idx="1322">
                  <c:v>0.59499999999999986</c:v>
                </c:pt>
                <c:pt idx="1323">
                  <c:v>0.59499999999999986</c:v>
                </c:pt>
                <c:pt idx="1324">
                  <c:v>0.5924999999999998</c:v>
                </c:pt>
                <c:pt idx="1325">
                  <c:v>0.59</c:v>
                </c:pt>
                <c:pt idx="1326">
                  <c:v>0.59249999999999992</c:v>
                </c:pt>
                <c:pt idx="1327">
                  <c:v>0.5924999999999998</c:v>
                </c:pt>
                <c:pt idx="1328">
                  <c:v>0.5874999999999998</c:v>
                </c:pt>
                <c:pt idx="1329">
                  <c:v>0.5874999999999998</c:v>
                </c:pt>
                <c:pt idx="1330">
                  <c:v>0.58750000000000002</c:v>
                </c:pt>
                <c:pt idx="1331">
                  <c:v>0.5924999999999998</c:v>
                </c:pt>
                <c:pt idx="1332">
                  <c:v>0.59499999999999997</c:v>
                </c:pt>
                <c:pt idx="1333">
                  <c:v>0.59499999999999997</c:v>
                </c:pt>
                <c:pt idx="1334">
                  <c:v>0.59749999999999992</c:v>
                </c:pt>
                <c:pt idx="1335">
                  <c:v>0.59999999999999987</c:v>
                </c:pt>
                <c:pt idx="1336">
                  <c:v>0.59749999999999992</c:v>
                </c:pt>
                <c:pt idx="1337">
                  <c:v>0.6</c:v>
                </c:pt>
                <c:pt idx="1338">
                  <c:v>0.59500000000000008</c:v>
                </c:pt>
                <c:pt idx="1339">
                  <c:v>0.59500000000000008</c:v>
                </c:pt>
                <c:pt idx="1340">
                  <c:v>0.59500000000000008</c:v>
                </c:pt>
                <c:pt idx="1341">
                  <c:v>0.59750000000000003</c:v>
                </c:pt>
                <c:pt idx="1342">
                  <c:v>0.59750000000000003</c:v>
                </c:pt>
                <c:pt idx="1343">
                  <c:v>0.59750000000000003</c:v>
                </c:pt>
                <c:pt idx="1344">
                  <c:v>0.6</c:v>
                </c:pt>
                <c:pt idx="1345">
                  <c:v>0.6</c:v>
                </c:pt>
                <c:pt idx="1346">
                  <c:v>0.59749999999999992</c:v>
                </c:pt>
                <c:pt idx="1347">
                  <c:v>0.59499999999999997</c:v>
                </c:pt>
                <c:pt idx="1348">
                  <c:v>0.5924999999999998</c:v>
                </c:pt>
                <c:pt idx="1349">
                  <c:v>0.59249999999999969</c:v>
                </c:pt>
                <c:pt idx="1350">
                  <c:v>0.59499999999999986</c:v>
                </c:pt>
                <c:pt idx="1351">
                  <c:v>0.59499999999999986</c:v>
                </c:pt>
                <c:pt idx="1352">
                  <c:v>0.59749999999999992</c:v>
                </c:pt>
                <c:pt idx="1353">
                  <c:v>0.59749999999999992</c:v>
                </c:pt>
                <c:pt idx="1354">
                  <c:v>0.5950000000000002</c:v>
                </c:pt>
                <c:pt idx="1355">
                  <c:v>0.58750000000000002</c:v>
                </c:pt>
                <c:pt idx="1356">
                  <c:v>0.58500000000000008</c:v>
                </c:pt>
                <c:pt idx="1357">
                  <c:v>0.60250000000000015</c:v>
                </c:pt>
                <c:pt idx="1358">
                  <c:v>0.61250000000000016</c:v>
                </c:pt>
                <c:pt idx="1359">
                  <c:v>0.62</c:v>
                </c:pt>
                <c:pt idx="1360">
                  <c:v>0.625</c:v>
                </c:pt>
                <c:pt idx="1361">
                  <c:v>0.63250000000000006</c:v>
                </c:pt>
                <c:pt idx="1362">
                  <c:v>0.64</c:v>
                </c:pt>
                <c:pt idx="1363">
                  <c:v>0.64750000000000008</c:v>
                </c:pt>
                <c:pt idx="1364">
                  <c:v>0.65499999999999992</c:v>
                </c:pt>
                <c:pt idx="1365">
                  <c:v>0.65</c:v>
                </c:pt>
                <c:pt idx="1366">
                  <c:v>0.64499999999999991</c:v>
                </c:pt>
                <c:pt idx="1367">
                  <c:v>0.64249999999999996</c:v>
                </c:pt>
                <c:pt idx="1368">
                  <c:v>0.64249999999999996</c:v>
                </c:pt>
                <c:pt idx="1369">
                  <c:v>0.64249999999999996</c:v>
                </c:pt>
                <c:pt idx="1370">
                  <c:v>0.64249999999999996</c:v>
                </c:pt>
                <c:pt idx="1371">
                  <c:v>0.64499999999999991</c:v>
                </c:pt>
                <c:pt idx="1372">
                  <c:v>0.64749999999999985</c:v>
                </c:pt>
                <c:pt idx="1373">
                  <c:v>0.64999999999999991</c:v>
                </c:pt>
                <c:pt idx="1374">
                  <c:v>0.64999999999999991</c:v>
                </c:pt>
                <c:pt idx="1375">
                  <c:v>0.65249999999999986</c:v>
                </c:pt>
                <c:pt idx="1376">
                  <c:v>0.65249999999999986</c:v>
                </c:pt>
                <c:pt idx="1377">
                  <c:v>0.65249999999999975</c:v>
                </c:pt>
                <c:pt idx="1378">
                  <c:v>0.65499999999999969</c:v>
                </c:pt>
                <c:pt idx="1379">
                  <c:v>0.65499999999999969</c:v>
                </c:pt>
                <c:pt idx="1380">
                  <c:v>0.65749999999999986</c:v>
                </c:pt>
                <c:pt idx="1381">
                  <c:v>0.66249999999999987</c:v>
                </c:pt>
                <c:pt idx="1382">
                  <c:v>0.66749999999999998</c:v>
                </c:pt>
                <c:pt idx="1383">
                  <c:v>0.66999999999999993</c:v>
                </c:pt>
                <c:pt idx="1384">
                  <c:v>0.6775000000000001</c:v>
                </c:pt>
                <c:pt idx="1385">
                  <c:v>0.66500000000000015</c:v>
                </c:pt>
                <c:pt idx="1386">
                  <c:v>0.66999999999999993</c:v>
                </c:pt>
                <c:pt idx="1387">
                  <c:v>0.67749999999999999</c:v>
                </c:pt>
                <c:pt idx="1388">
                  <c:v>0.68</c:v>
                </c:pt>
                <c:pt idx="1389">
                  <c:v>0.67749999999999999</c:v>
                </c:pt>
                <c:pt idx="1390">
                  <c:v>0.67</c:v>
                </c:pt>
                <c:pt idx="1391">
                  <c:v>0.66249999999999998</c:v>
                </c:pt>
                <c:pt idx="1392">
                  <c:v>0.65499999999999992</c:v>
                </c:pt>
                <c:pt idx="1393">
                  <c:v>0.65499999999999992</c:v>
                </c:pt>
                <c:pt idx="1394">
                  <c:v>0.65499999999999992</c:v>
                </c:pt>
                <c:pt idx="1395">
                  <c:v>0.65249999999999997</c:v>
                </c:pt>
                <c:pt idx="1396">
                  <c:v>0.65750000000000008</c:v>
                </c:pt>
                <c:pt idx="1397">
                  <c:v>0.66749999999999998</c:v>
                </c:pt>
                <c:pt idx="1398">
                  <c:v>0.67249999999999988</c:v>
                </c:pt>
                <c:pt idx="1399">
                  <c:v>0.6775000000000001</c:v>
                </c:pt>
                <c:pt idx="1400">
                  <c:v>0.6775000000000001</c:v>
                </c:pt>
                <c:pt idx="1401">
                  <c:v>0.67500000000000004</c:v>
                </c:pt>
                <c:pt idx="1402">
                  <c:v>0.67749999999999999</c:v>
                </c:pt>
                <c:pt idx="1403">
                  <c:v>0.67749999999999999</c:v>
                </c:pt>
                <c:pt idx="1404">
                  <c:v>0.67749999999999988</c:v>
                </c:pt>
                <c:pt idx="1405">
                  <c:v>0.67749999999999988</c:v>
                </c:pt>
                <c:pt idx="1406">
                  <c:v>0.67499999999999993</c:v>
                </c:pt>
                <c:pt idx="1407">
                  <c:v>0.67749999999999988</c:v>
                </c:pt>
                <c:pt idx="1408">
                  <c:v>0.67499999999999971</c:v>
                </c:pt>
                <c:pt idx="1409">
                  <c:v>0.67499999999999971</c:v>
                </c:pt>
                <c:pt idx="1410">
                  <c:v>0.66999999999999971</c:v>
                </c:pt>
                <c:pt idx="1411">
                  <c:v>0.66749999999999965</c:v>
                </c:pt>
                <c:pt idx="1412">
                  <c:v>0.66499999999999959</c:v>
                </c:pt>
                <c:pt idx="1413">
                  <c:v>0.66249999999999964</c:v>
                </c:pt>
                <c:pt idx="1414">
                  <c:v>0.6599999999999997</c:v>
                </c:pt>
                <c:pt idx="1415">
                  <c:v>0.68249999999999977</c:v>
                </c:pt>
                <c:pt idx="1416">
                  <c:v>0.67999999999999972</c:v>
                </c:pt>
                <c:pt idx="1417">
                  <c:v>0.65499999999999992</c:v>
                </c:pt>
                <c:pt idx="1418">
                  <c:v>0.64499999999999991</c:v>
                </c:pt>
                <c:pt idx="1419">
                  <c:v>0.63749999999999984</c:v>
                </c:pt>
                <c:pt idx="1420">
                  <c:v>0.63749999999999984</c:v>
                </c:pt>
                <c:pt idx="1421">
                  <c:v>0.63499999999999979</c:v>
                </c:pt>
                <c:pt idx="1422">
                  <c:v>0.63249999999999984</c:v>
                </c:pt>
                <c:pt idx="1423">
                  <c:v>0.62999999999999978</c:v>
                </c:pt>
                <c:pt idx="1424">
                  <c:v>0.62249999999999983</c:v>
                </c:pt>
                <c:pt idx="1425">
                  <c:v>0.61999999999999977</c:v>
                </c:pt>
                <c:pt idx="1426">
                  <c:v>0.61249999999999993</c:v>
                </c:pt>
                <c:pt idx="1427">
                  <c:v>0.61499999999999988</c:v>
                </c:pt>
                <c:pt idx="1428">
                  <c:v>0.61499999999999988</c:v>
                </c:pt>
                <c:pt idx="1429">
                  <c:v>0.61249999999999993</c:v>
                </c:pt>
                <c:pt idx="1430">
                  <c:v>0.61249999999999993</c:v>
                </c:pt>
                <c:pt idx="1431">
                  <c:v>0.60999999999999988</c:v>
                </c:pt>
                <c:pt idx="1432">
                  <c:v>0.60749999999999993</c:v>
                </c:pt>
                <c:pt idx="1433">
                  <c:v>0.60749999999999982</c:v>
                </c:pt>
                <c:pt idx="1434">
                  <c:v>0.60499999999999987</c:v>
                </c:pt>
                <c:pt idx="1435">
                  <c:v>0.60499999999999987</c:v>
                </c:pt>
                <c:pt idx="1436">
                  <c:v>0.60499999999999987</c:v>
                </c:pt>
              </c:numCache>
            </c:numRef>
          </c:yVal>
          <c:smooth val="1"/>
          <c:extLst>
            <c:ext xmlns:c16="http://schemas.microsoft.com/office/drawing/2014/chart" uri="{C3380CC4-5D6E-409C-BE32-E72D297353CC}">
              <c16:uniqueId val="{00000000-9773-416C-8346-02C478AA78C5}"/>
            </c:ext>
          </c:extLst>
        </c:ser>
        <c:dLbls>
          <c:showLegendKey val="0"/>
          <c:showVal val="0"/>
          <c:showCatName val="0"/>
          <c:showSerName val="0"/>
          <c:showPercent val="0"/>
          <c:showBubbleSize val="0"/>
        </c:dLbls>
        <c:axId val="2029341696"/>
        <c:axId val="1683145424"/>
      </c:scatterChart>
      <c:valAx>
        <c:axId val="202934169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3145424"/>
        <c:crosses val="autoZero"/>
        <c:crossBetween val="midCat"/>
      </c:valAx>
      <c:valAx>
        <c:axId val="16831454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9341696"/>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249283</xdr:colOff>
      <xdr:row>10</xdr:row>
      <xdr:rowOff>87630</xdr:rowOff>
    </xdr:from>
    <xdr:to>
      <xdr:col>8</xdr:col>
      <xdr:colOff>554083</xdr:colOff>
      <xdr:row>25</xdr:row>
      <xdr:rowOff>87630</xdr:rowOff>
    </xdr:to>
    <xdr:graphicFrame macro="">
      <xdr:nvGraphicFramePr>
        <xdr:cNvPr id="10" name="Grafico 9">
          <a:extLst>
            <a:ext uri="{FF2B5EF4-FFF2-40B4-BE49-F238E27FC236}">
              <a16:creationId xmlns:a16="http://schemas.microsoft.com/office/drawing/2014/main" id="{0BE98CAA-AE50-778B-E8AF-CDE6383E6F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472439</xdr:colOff>
      <xdr:row>10</xdr:row>
      <xdr:rowOff>100148</xdr:rowOff>
    </xdr:from>
    <xdr:to>
      <xdr:col>17</xdr:col>
      <xdr:colOff>26125</xdr:colOff>
      <xdr:row>25</xdr:row>
      <xdr:rowOff>100147</xdr:rowOff>
    </xdr:to>
    <xdr:graphicFrame macro="">
      <xdr:nvGraphicFramePr>
        <xdr:cNvPr id="11" name="Grafico 10">
          <a:extLst>
            <a:ext uri="{FF2B5EF4-FFF2-40B4-BE49-F238E27FC236}">
              <a16:creationId xmlns:a16="http://schemas.microsoft.com/office/drawing/2014/main" id="{81718771-EE98-4784-BC1C-BE182A39E4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21</xdr:col>
      <xdr:colOff>468085</xdr:colOff>
      <xdr:row>26</xdr:row>
      <xdr:rowOff>141516</xdr:rowOff>
    </xdr:from>
    <xdr:to>
      <xdr:col>27</xdr:col>
      <xdr:colOff>239485</xdr:colOff>
      <xdr:row>41</xdr:row>
      <xdr:rowOff>108859</xdr:rowOff>
    </xdr:to>
    <xdr:graphicFrame macro="">
      <xdr:nvGraphicFramePr>
        <xdr:cNvPr id="12" name="Grafico 11">
          <a:extLst>
            <a:ext uri="{FF2B5EF4-FFF2-40B4-BE49-F238E27FC236}">
              <a16:creationId xmlns:a16="http://schemas.microsoft.com/office/drawing/2014/main" id="{65AAE2F5-AF6E-2E79-90D5-89A208F2A3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27</xdr:col>
      <xdr:colOff>381000</xdr:colOff>
      <xdr:row>26</xdr:row>
      <xdr:rowOff>152400</xdr:rowOff>
    </xdr:from>
    <xdr:to>
      <xdr:col>34</xdr:col>
      <xdr:colOff>315686</xdr:colOff>
      <xdr:row>41</xdr:row>
      <xdr:rowOff>119743</xdr:rowOff>
    </xdr:to>
    <xdr:graphicFrame macro="">
      <xdr:nvGraphicFramePr>
        <xdr:cNvPr id="13" name="Grafico 12">
          <a:extLst>
            <a:ext uri="{FF2B5EF4-FFF2-40B4-BE49-F238E27FC236}">
              <a16:creationId xmlns:a16="http://schemas.microsoft.com/office/drawing/2014/main" id="{32A2BADE-B450-45EA-8117-546102855B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21</xdr:col>
      <xdr:colOff>522515</xdr:colOff>
      <xdr:row>23</xdr:row>
      <xdr:rowOff>108858</xdr:rowOff>
    </xdr:from>
    <xdr:to>
      <xdr:col>27</xdr:col>
      <xdr:colOff>293915</xdr:colOff>
      <xdr:row>38</xdr:row>
      <xdr:rowOff>76201</xdr:rowOff>
    </xdr:to>
    <xdr:graphicFrame macro="">
      <xdr:nvGraphicFramePr>
        <xdr:cNvPr id="14" name="Grafico 13">
          <a:extLst>
            <a:ext uri="{FF2B5EF4-FFF2-40B4-BE49-F238E27FC236}">
              <a16:creationId xmlns:a16="http://schemas.microsoft.com/office/drawing/2014/main" id="{1657538D-54D2-43FD-8CDF-9CB6AB3067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27</xdr:col>
      <xdr:colOff>391885</xdr:colOff>
      <xdr:row>23</xdr:row>
      <xdr:rowOff>97971</xdr:rowOff>
    </xdr:from>
    <xdr:to>
      <xdr:col>34</xdr:col>
      <xdr:colOff>326571</xdr:colOff>
      <xdr:row>38</xdr:row>
      <xdr:rowOff>65314</xdr:rowOff>
    </xdr:to>
    <xdr:graphicFrame macro="">
      <xdr:nvGraphicFramePr>
        <xdr:cNvPr id="15" name="Grafico 14">
          <a:extLst>
            <a:ext uri="{FF2B5EF4-FFF2-40B4-BE49-F238E27FC236}">
              <a16:creationId xmlns:a16="http://schemas.microsoft.com/office/drawing/2014/main" id="{AFC1A5B4-9EBA-4E49-BEF8-227A48A65C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Davide Carecci" id="{FEE53C90-F5CA-4815-AC32-9C921D9AF0ED}" userId="Davide Carecci" providerId="None"/>
  <person displayName="Davide Carecci" id="{0AF60FE4-2D6C-41C7-BF69-46414D61A1CA}" userId="S::10530006@polimi.it::84e7b30f-a1ef-4dac-bdce-f4de48039ba1"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V1" dT="2023-06-21T07:43:36.63" personId="{0AF60FE4-2D6C-41C7-BF69-46414D61A1CA}" id="{91FBC838-8D7C-40BC-9A86-3F37A1B6C96E}">
    <text>When possible CH-NDF, no CH-RF</text>
  </threadedComment>
  <threadedComment ref="AG1" dT="2023-06-21T07:43:36.63" personId="{0AF60FE4-2D6C-41C7-BF69-46414D61A1CA}" id="{F332A958-4D1C-4DA5-918A-8F95700F1093}">
    <text>When possible CH-NDF, no CH-RF</text>
  </threadedComment>
  <threadedComment ref="AL1" dT="2023-03-20T14:10:49.37" personId="{FEE53C90-F5CA-4815-AC32-9C921D9AF0ED}" id="{D22438F2-6E0A-46B5-8FA6-AACDDFFF8919}">
    <text>%=(NDF-VS*(1-Dvs))/(NDF-ADL) se si vuole considerare anche hemicellulosa, altrimenti (ADF-ADL)</text>
  </threadedComment>
  <threadedComment ref="BJ1" dT="2023-04-14T09:06:54.58" personId="{0AF60FE4-2D6C-41C7-BF69-46414D61A1CA}" id="{F962B170-58EB-4090-8C05-32A6D0C1F20B}">
    <text xml:space="preserve">Basato su BD VS e BMPth </text>
  </threadedComment>
  <threadedComment ref="BK1" dT="2023-04-14T09:06:33.56" personId="{0AF60FE4-2D6C-41C7-BF69-46414D61A1CA}" id="{A488B249-39AC-4E93-9A86-EA75AD7D77D9}">
    <text>Basato su BD nutrienti singoli</text>
  </threadedComment>
  <threadedComment ref="BL1" dT="2023-04-14T08:37:05.70" personId="{0AF60FE4-2D6C-41C7-BF69-46414D61A1CA}" id="{CB03BE4A-F9E4-403C-AB1C-90426D6C5BB0}">
    <text>Metodo BTS con ulteriore coefficiente correttivo 0.82-0.9 per efficienza impianto</text>
  </threadedComment>
  <threadedComment ref="BM1" dT="2023-04-14T07:57:26.15" personId="{0AF60FE4-2D6C-41C7-BF69-46414D61A1CA}" id="{1686B329-9F24-41E5-8F98-D509836D2909}">
    <text>Metodo LfL 
https://www.lfl.bayern.de/iba/energie/031560/index.php</text>
    <extLst>
      <x:ext xmlns:xltc2="http://schemas.microsoft.com/office/spreadsheetml/2020/threadedcomments2" uri="{F7C98A9C-CBB3-438F-8F68-D28B6AF4A901}">
        <xltc2:checksum>3228677986</xltc2:checksum>
        <xltc2:hyperlink startIndex="12" length="54" url="https://www.lfl.bayern.de/iba/energie/031560/index.php"/>
      </x:ext>
    </extLst>
  </threadedComment>
  <threadedComment ref="BQ1" dT="2023-03-07T11:29:17.54" personId="{FEE53C90-F5CA-4815-AC32-9C921D9AF0ED}" id="{13D1CB28-4735-40BF-B101-38100DC0178D}">
    <text>Lignin+(1-BDch)*Cellulose+Protein*(1-BDpr)</text>
  </threadedComment>
  <threadedComment ref="BT1" dT="2023-03-07T11:26:32.86" personId="{FEE53C90-F5CA-4815-AC32-9C921D9AF0ED}" id="{87B40BE5-B148-4163-AE78-671AC72EE9FB}">
    <text>Cellulosa*BD+Hemicellulosa</text>
  </threadedComment>
  <threadedComment ref="BV1" dT="2023-03-07T11:29:17.54" personId="{FEE53C90-F5CA-4815-AC32-9C921D9AF0ED}" id="{5EB30751-6DF9-42BF-B467-80BC4E260C47}">
    <text>Lignin+(1-BDch)*Cellulose+Protein*(1-BDpr)</text>
  </threadedComment>
  <threadedComment ref="BY1" dT="2023-03-07T11:26:32.86" personId="{FEE53C90-F5CA-4815-AC32-9C921D9AF0ED}" id="{0D284E66-C424-40B5-893C-EC7979D55F65}">
    <text>Cellulosa*BD+Hemicellulosa</text>
  </threadedComment>
  <threadedComment ref="BR3" dT="2023-03-15T15:06:40.53" personId="{FEE53C90-F5CA-4815-AC32-9C921D9AF0ED}" id="{734E9E9A-8290-491F-B36C-D34A9D0830C5}">
    <text>1.53 Weinrich 2021</text>
  </threadedComment>
  <threadedComment ref="BR3" dT="2023-03-30T06:50:46.15" personId="{0AF60FE4-2D6C-41C7-BF69-46414D61A1CA}" id="{CE316DD3-D806-4814-8FC6-9692DFB312A8}" parentId="{734E9E9A-8290-491F-B36C-D34A9D0830C5}">
    <text>1.42 C5H2O2N</text>
  </threadedComment>
  <threadedComment ref="BS3" dT="2023-03-15T15:06:53.61" personId="{FEE53C90-F5CA-4815-AC32-9C921D9AF0ED}" id="{8643A72A-E31E-4F79-8F3F-427E4D64AAD8}">
    <text>2.87 Weinrich 2021</text>
  </threadedComment>
  <threadedComment ref="BS3" dT="2023-03-30T06:51:02.19" personId="{0AF60FE4-2D6C-41C7-BF69-46414D61A1CA}" id="{90CCB44D-8E37-4AD3-930C-91B183A3ED47}" parentId="{8643A72A-E31E-4F79-8F3F-427E4D64AAD8}">
    <text>2.9 C5H104O6</text>
  </threadedComment>
  <threadedComment ref="BS3" dT="2023-10-19T09:14:18.18" personId="{0AF60FE4-2D6C-41C7-BF69-46414D61A1CA}" id="{C9A2AEF9-188A-46DF-B2C6-E28F072F7146}" parentId="{8643A72A-E31E-4F79-8F3F-427E4D64AAD8}">
    <text>In Modelica 2.83 perché c'è P!</text>
  </threadedComment>
  <threadedComment ref="BT3" dT="2023-03-15T15:07:03.61" personId="{FEE53C90-F5CA-4815-AC32-9C921D9AF0ED}" id="{16B42D42-7A4E-446E-B5B2-E53381E7BD78}">
    <text>1.18 Weinrich 2021</text>
  </threadedComment>
  <threadedComment ref="BT3" dT="2023-03-30T06:51:30.80" personId="{0AF60FE4-2D6C-41C7-BF69-46414D61A1CA}" id="{EB969554-6C8A-4F7E-A7B8-352FB7FAC18A}" parentId="{16B42D42-7A4E-446E-B5B2-E53381E7BD78}">
    <text>1.19 (C6H10O5)n</text>
  </threadedComment>
  <threadedComment ref="BT3" dT="2023-03-30T06:51:49.06" personId="{0AF60FE4-2D6C-41C7-BF69-46414D61A1CA}" id="{8073ED52-5825-489B-8DE2-576B0139AF55}" parentId="{16B42D42-7A4E-446E-B5B2-E53381E7BD78}">
    <text>1.067 C6H12O6</text>
  </threadedComment>
  <threadedComment ref="B4" dT="2023-04-14T07:36:20.32" personId="{0AF60FE4-2D6C-41C7-BF69-46414D61A1CA}" id="{D64DBBB0-6148-4B5C-A5FC-1F0ECBA929E7}">
    <text>C5H7O2N per biomassa batterica</text>
  </threadedComment>
  <threadedComment ref="AL8" dT="2023-03-20T16:34:55.06" personId="{FEE53C90-F5CA-4815-AC32-9C921D9AF0ED}" id="{1AAF5E5A-D142-462B-A910-4756FE9E6DD7}">
    <text>28% considerando il feed unico!</text>
  </threadedComment>
  <threadedComment ref="C16" dT="2023-10-24T07:02:13.95" personId="{0AF60FE4-2D6C-41C7-BF69-46414D61A1CA}" id="{4B33AB55-AA3D-4F2F-B705-A8BD762D215D}">
    <text>Measurements on CampoLargo LIDL (old glass bottle)</text>
  </threadedComment>
  <threadedComment ref="P16" dT="2023-07-21T15:10:20.23" personId="{0AF60FE4-2D6C-41C7-BF69-46414D61A1CA}" id="{793885C3-EB12-4821-80BF-282CF8760C64}">
    <text>0.8g-1.3g. 1.32/8.88=15%</text>
  </threadedComment>
  <threadedComment ref="P16" dT="2023-07-21T15:14:25.22" personId="{0AF60FE4-2D6C-41C7-BF69-46414D61A1CA}" id="{4923D4F6-3AB5-44AE-BA60-81D8A04FF64C}" parentId="{793885C3-EB12-4821-80BF-282CF8760C64}">
    <text>8% salsa Datterino esselunga</text>
  </threadedComment>
  <threadedComment ref="X16" dT="2023-07-21T15:13:46.91" personId="{0AF60FE4-2D6C-41C7-BF69-46414D61A1CA}" id="{E167CAD9-2FB5-40A1-8DCB-1BDBE7735AE2}">
    <text>55% Salsa datterino esselunga</text>
  </threadedComment>
  <threadedComment ref="AA16" dT="2023-07-21T15:10:20.23" personId="{0AF60FE4-2D6C-41C7-BF69-46414D61A1CA}" id="{F6813CC4-5224-4C01-B424-5D0615E2ED3D}">
    <text>0.8g-1.3g. 1.32/8.88=15%</text>
  </threadedComment>
  <threadedComment ref="AA16" dT="2023-07-21T15:14:25.22" personId="{0AF60FE4-2D6C-41C7-BF69-46414D61A1CA}" id="{EBF149B1-120E-4754-A0E8-350CA60A9504}" parentId="{F6813CC4-5224-4C01-B424-5D0615E2ED3D}">
    <text>8% salsa Datterino esselunga</text>
  </threadedComment>
  <threadedComment ref="AI16" dT="2023-07-21T15:13:46.91" personId="{0AF60FE4-2D6C-41C7-BF69-46414D61A1CA}" id="{9B70976F-D689-4FE2-84E1-753FDED4E593}">
    <text>55% Salsa datterino esselunga</text>
  </threadedComment>
  <threadedComment ref="C17" dT="2023-10-24T07:06:19.74" personId="{0AF60FE4-2D6C-41C7-BF69-46414D61A1CA}" id="{77AF9DC8-A661-40A7-BDE1-89C257ACE544}">
    <text>Composition from new CampoLargo tetrapack packaging</text>
  </threadedComment>
  <threadedComment ref="C17" dT="2023-10-24T07:08:40.90" personId="{0AF60FE4-2D6C-41C7-BF69-46414D61A1CA}" id="{C76C1FA6-D17A-4016-8532-877B74A56B0E}" parentId="{77AF9DC8-A661-40A7-BDE1-89C257ACE544}">
    <text>CH repartitioning as for Datterino Esselunga</text>
  </threadedComment>
  <threadedComment ref="C17" dT="2023-10-24T17:05:12.30" personId="{0AF60FE4-2D6C-41C7-BF69-46414D61A1CA}" id="{3F173BEC-81C0-4F4B-84A6-E6D7642641EA}" parentId="{77AF9DC8-A661-40A7-BDE1-89C257ACE544}">
    <text>I dediced to place some CH as starch instead of sugars based on sensitivity perfomed on 24.10.2023</text>
  </threadedComment>
  <threadedComment ref="C19" dT="2023-10-26T08:16:44.01" personId="{0AF60FE4-2D6C-41C7-BF69-46414D61A1CA}" id="{B43F7338-3BC6-41AE-AAEF-07950E53C04B}">
    <text>Was it the sieved one? Seems like it is not. But actually also reactor digestate before solid feeding was similar...</text>
  </threadedComment>
  <threadedComment ref="C25" dT="2023-10-26T08:23:07.09" personId="{0AF60FE4-2D6C-41C7-BF69-46414D61A1CA}" id="{8DBDE720-F4F9-4BA6-A852-60326825F0EF}">
    <text>Measurements on the new packaging CampoLargo LIDL</text>
  </threadedComment>
  <threadedComment ref="C26" dT="2023-10-26T08:23:07.09" personId="{0AF60FE4-2D6C-41C7-BF69-46414D61A1CA}" id="{B8A51B17-037C-4F62-82D9-4F6B454445AA}">
    <text>Measurements on the new packaging CampoLargo LIDL</text>
  </threadedComment>
  <threadedComment ref="C42" dT="2023-10-26T08:23:07.09" personId="{0AF60FE4-2D6C-41C7-BF69-46414D61A1CA}" id="{9A7F8A79-E572-44AF-BEE5-7EB3B2BEA6B9}">
    <text>Measurements on the new packaging CampoLargo LIDL</text>
  </threadedComment>
  <threadedComment ref="C43" dT="2023-10-26T08:23:07.09" personId="{0AF60FE4-2D6C-41C7-BF69-46414D61A1CA}" id="{C0259CE6-20EF-4B14-8B38-71F544725896}">
    <text>Measurements on the new packaging CampoLargo LIDL</text>
  </threadedComment>
  <threadedComment ref="C44" dT="2023-10-26T08:23:07.09" personId="{0AF60FE4-2D6C-41C7-BF69-46414D61A1CA}" id="{2BD177FF-73EF-494A-B4FB-46CB08237D4B}">
    <text>Measurements on the new packaging CampoLargo LIDL</text>
  </threadedComment>
</ThreadedComments>
</file>

<file path=xl/threadedComments/threadedComment2.xml><?xml version="1.0" encoding="utf-8"?>
<ThreadedComments xmlns="http://schemas.microsoft.com/office/spreadsheetml/2018/threadedcomments" xmlns:x="http://schemas.openxmlformats.org/spreadsheetml/2006/main">
  <threadedComment ref="T5" dT="2023-10-23T16:02:09.66" personId="{0AF60FE4-2D6C-41C7-BF69-46414D61A1CA}" id="{B62EC9EA-9DA7-49DF-887E-FE4379EA7B76}">
    <text>TAC 17'447
A 17.4
B 1.28
CH3COOH 4'179</text>
  </threadedComment>
  <threadedComment ref="AK26" dT="2023-12-11T22:17:58.77" personId="{0AF60FE4-2D6C-41C7-BF69-46414D61A1CA}" id="{24C7003A-C1C7-40CD-838A-9E896345D144}">
    <text>1:40 o 1:50??</text>
  </threadedComment>
</ThreadedComments>
</file>

<file path=xl/threadedComments/threadedComment3.xml><?xml version="1.0" encoding="utf-8"?>
<ThreadedComments xmlns="http://schemas.microsoft.com/office/spreadsheetml/2018/threadedcomments" xmlns:x="http://schemas.openxmlformats.org/spreadsheetml/2006/main">
  <threadedComment ref="R5" dT="2023-10-23T16:06:14.15" personId="{0AF60FE4-2D6C-41C7-BF69-46414D61A1CA}" id="{BEFBBD17-F05A-40FE-839D-BE99CA467922}">
    <text>10258*2 with deionized water</text>
  </threadedComment>
  <threadedComment ref="R5" dT="2023-10-25T16:29:59.95" personId="{0AF60FE4-2D6C-41C7-BF69-46414D61A1CA}" id="{9D927A41-2221-49D1-8681-894383090639}" parentId="{BEFBBD17-F05A-40FE-839D-BE99CA467922}">
    <text>11190*2 with tap water</text>
  </threadedComment>
  <threadedComment ref="S5" dT="2023-10-23T16:02:59.03" personId="{0AF60FE4-2D6C-41C7-BF69-46414D61A1CA}" id="{7DB756C1-C345-4D96-B830-C1BA105262CF}">
    <text>TAC 18'533
A 18.5
B 1.3
CH3COOH 4'245</text>
  </threadedComment>
  <threadedComment ref="U66" dT="2024-01-22T08:01:27.49" personId="{0AF60FE4-2D6C-41C7-BF69-46414D61A1CA}" id="{3DA804D6-4D09-4BAA-8AC8-5B7BFC016576}">
    <text>1442.5 (1:25, LCK302)</text>
  </threadedComment>
</ThreadedComments>
</file>

<file path=xl/threadedComments/threadedComment4.xml><?xml version="1.0" encoding="utf-8"?>
<ThreadedComments xmlns="http://schemas.microsoft.com/office/spreadsheetml/2018/threadedcomments" xmlns:x="http://schemas.openxmlformats.org/spreadsheetml/2006/main">
  <threadedComment ref="R95" dT="2023-07-21T15:10:20.23" personId="{0AF60FE4-2D6C-41C7-BF69-46414D61A1CA}" id="{D376A8B2-4809-441E-A95A-643AB5BEA6B8}">
    <text>0.8g-1.3g. 1.32/8.88=15%</text>
  </threadedComment>
  <threadedComment ref="R95" dT="2023-07-21T15:14:25.22" personId="{0AF60FE4-2D6C-41C7-BF69-46414D61A1CA}" id="{B032DE0F-A177-416B-A242-8471CED217B0}" parentId="{D376A8B2-4809-441E-A95A-643AB5BEA6B8}">
    <text>8% salsa Datterino esselunga</text>
  </threadedComment>
  <threadedComment ref="R96" dT="2023-07-21T15:10:20.23" personId="{0AF60FE4-2D6C-41C7-BF69-46414D61A1CA}" id="{E7994D61-64BA-4533-8A40-CB9FEDE208B1}">
    <text>0.8g-1.3g. 1.32/8.88=15%</text>
  </threadedComment>
  <threadedComment ref="R96" dT="2023-07-21T15:14:25.22" personId="{0AF60FE4-2D6C-41C7-BF69-46414D61A1CA}" id="{7BACF872-9DCF-4506-A628-923E2FD1E26F}" parentId="{E7994D61-64BA-4533-8A40-CB9FEDE208B1}">
    <text>8% salsa Datterino esselunga</text>
  </threadedComment>
</ThreadedComment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8.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9.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2.bin"/><Relationship Id="rId4" Type="http://schemas.microsoft.com/office/2017/10/relationships/threadedComment" Target="../threadedComments/threadedComment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ADD8B2-486B-4FBE-83C9-3A4EBADF1AF9}">
  <dimension ref="A1:A3"/>
  <sheetViews>
    <sheetView workbookViewId="0">
      <selection activeCell="A4" sqref="A4"/>
    </sheetView>
  </sheetViews>
  <sheetFormatPr defaultRowHeight="15" x14ac:dyDescent="0.25"/>
  <sheetData>
    <row r="1" spans="1:1" x14ac:dyDescent="0.25">
      <c r="A1" t="s">
        <v>0</v>
      </c>
    </row>
    <row r="2" spans="1:1" x14ac:dyDescent="0.25">
      <c r="A2" t="s">
        <v>1</v>
      </c>
    </row>
    <row r="3" spans="1:1" x14ac:dyDescent="0.25">
      <c r="A3" t="s">
        <v>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907CB6-5D54-44A6-A64E-B3E3B5A7DC47}">
  <dimension ref="A1:CC69"/>
  <sheetViews>
    <sheetView tabSelected="1" zoomScale="80" zoomScaleNormal="80" workbookViewId="0">
      <pane xSplit="3" ySplit="7" topLeftCell="D16" activePane="bottomRight" state="frozen"/>
      <selection pane="topRight" activeCell="D1" sqref="D1"/>
      <selection pane="bottomLeft" activeCell="A8" sqref="A8"/>
      <selection pane="bottomRight" activeCell="N44" sqref="N44"/>
    </sheetView>
  </sheetViews>
  <sheetFormatPr defaultRowHeight="15" outlineLevelCol="1" x14ac:dyDescent="0.25"/>
  <cols>
    <col min="1" max="1" width="52.85546875" customWidth="1"/>
    <col min="2" max="2" width="15.7109375" bestFit="1" customWidth="1"/>
    <col min="3" max="3" width="17.28515625" bestFit="1" customWidth="1"/>
    <col min="13" max="13" width="11" bestFit="1" customWidth="1"/>
    <col min="14" max="42" width="8.85546875" customWidth="1" outlineLevel="1"/>
    <col min="73" max="73" width="11" bestFit="1" customWidth="1"/>
  </cols>
  <sheetData>
    <row r="1" spans="1:81" x14ac:dyDescent="0.25">
      <c r="A1" s="50" t="s">
        <v>3</v>
      </c>
      <c r="C1" s="1"/>
      <c r="D1" s="51" t="s">
        <v>4</v>
      </c>
      <c r="E1" s="51" t="s">
        <v>5</v>
      </c>
      <c r="F1" s="2" t="s">
        <v>6</v>
      </c>
      <c r="G1" s="51" t="s">
        <v>7</v>
      </c>
      <c r="H1" s="4" t="s">
        <v>8</v>
      </c>
      <c r="I1" s="4" t="s">
        <v>9</v>
      </c>
      <c r="J1" s="51" t="s">
        <v>10</v>
      </c>
      <c r="K1" s="2" t="s">
        <v>11</v>
      </c>
      <c r="L1" s="51" t="s">
        <v>12</v>
      </c>
      <c r="M1" s="4" t="s">
        <v>13</v>
      </c>
      <c r="N1" s="51" t="s">
        <v>14</v>
      </c>
      <c r="O1" s="51" t="s">
        <v>15</v>
      </c>
      <c r="P1" s="51" t="s">
        <v>16</v>
      </c>
      <c r="Q1" s="51" t="s">
        <v>17</v>
      </c>
      <c r="R1" s="51" t="s">
        <v>18</v>
      </c>
      <c r="S1" s="51" t="s">
        <v>19</v>
      </c>
      <c r="T1" s="51" t="s">
        <v>20</v>
      </c>
      <c r="U1" s="51" t="s">
        <v>21</v>
      </c>
      <c r="V1" s="51" t="s">
        <v>22</v>
      </c>
      <c r="W1" s="51" t="s">
        <v>23</v>
      </c>
      <c r="X1" s="51" t="s">
        <v>24</v>
      </c>
      <c r="Y1" s="51" t="s">
        <v>25</v>
      </c>
      <c r="Z1" s="51" t="s">
        <v>26</v>
      </c>
      <c r="AA1" s="2" t="s">
        <v>27</v>
      </c>
      <c r="AB1" s="2" t="s">
        <v>28</v>
      </c>
      <c r="AC1" s="2" t="s">
        <v>29</v>
      </c>
      <c r="AD1" s="2" t="s">
        <v>30</v>
      </c>
      <c r="AE1" s="2" t="s">
        <v>31</v>
      </c>
      <c r="AF1" s="2" t="s">
        <v>32</v>
      </c>
      <c r="AG1" s="2" t="s">
        <v>33</v>
      </c>
      <c r="AH1" s="2" t="s">
        <v>34</v>
      </c>
      <c r="AI1" s="2" t="s">
        <v>35</v>
      </c>
      <c r="AJ1" s="2" t="s">
        <v>36</v>
      </c>
      <c r="AK1" s="2" t="s">
        <v>26</v>
      </c>
      <c r="AL1" t="s">
        <v>37</v>
      </c>
      <c r="AM1" t="s">
        <v>38</v>
      </c>
      <c r="AN1" t="s">
        <v>39</v>
      </c>
      <c r="AO1" t="s">
        <v>40</v>
      </c>
      <c r="AP1" t="s">
        <v>41</v>
      </c>
      <c r="AQ1" s="3" t="s">
        <v>4</v>
      </c>
      <c r="AR1" s="3" t="s">
        <v>42</v>
      </c>
      <c r="AS1" s="3" t="s">
        <v>43</v>
      </c>
      <c r="AT1" s="3" t="s">
        <v>44</v>
      </c>
      <c r="AU1" s="3" t="s">
        <v>45</v>
      </c>
      <c r="AV1" s="3" t="s">
        <v>46</v>
      </c>
      <c r="AW1" s="3" t="s">
        <v>47</v>
      </c>
      <c r="AX1" s="3" t="s">
        <v>48</v>
      </c>
      <c r="AY1" s="3" t="s">
        <v>49</v>
      </c>
      <c r="AZ1" s="3" t="s">
        <v>50</v>
      </c>
      <c r="BA1" s="3" t="s">
        <v>51</v>
      </c>
      <c r="BB1" s="3" t="s">
        <v>52</v>
      </c>
      <c r="BC1" s="3" t="s">
        <v>53</v>
      </c>
      <c r="BD1" s="3" t="s">
        <v>54</v>
      </c>
      <c r="BE1" s="3" t="s">
        <v>55</v>
      </c>
      <c r="BF1" s="3" t="s">
        <v>56</v>
      </c>
      <c r="BG1" s="3" t="s">
        <v>57</v>
      </c>
      <c r="BH1" s="3" t="s">
        <v>58</v>
      </c>
      <c r="BI1" s="3" t="s">
        <v>12</v>
      </c>
      <c r="BJ1" s="3" t="s">
        <v>59</v>
      </c>
      <c r="BK1" s="3" t="s">
        <v>59</v>
      </c>
      <c r="BL1" s="3" t="s">
        <v>59</v>
      </c>
      <c r="BM1" s="3" t="s">
        <v>60</v>
      </c>
      <c r="BN1" s="3" t="s">
        <v>60</v>
      </c>
      <c r="BO1" s="3" t="s">
        <v>60</v>
      </c>
      <c r="BP1" s="3" t="s">
        <v>60</v>
      </c>
      <c r="BQ1" s="4" t="s">
        <v>61</v>
      </c>
      <c r="BR1" s="4" t="s">
        <v>62</v>
      </c>
      <c r="BS1" s="4" t="s">
        <v>63</v>
      </c>
      <c r="BT1" s="4" t="s">
        <v>64</v>
      </c>
      <c r="BU1" s="4" t="s">
        <v>65</v>
      </c>
      <c r="BV1" s="4" t="s">
        <v>61</v>
      </c>
      <c r="BW1" s="4" t="s">
        <v>62</v>
      </c>
      <c r="BX1" s="4" t="s">
        <v>63</v>
      </c>
      <c r="BY1" s="4" t="s">
        <v>64</v>
      </c>
      <c r="BZ1" s="4" t="s">
        <v>461</v>
      </c>
    </row>
    <row r="2" spans="1:81" x14ac:dyDescent="0.25">
      <c r="A2" s="4" t="s">
        <v>66</v>
      </c>
      <c r="C2" s="1"/>
      <c r="D2" t="s">
        <v>67</v>
      </c>
      <c r="E2" t="s">
        <v>68</v>
      </c>
      <c r="F2" t="s">
        <v>68</v>
      </c>
      <c r="G2" t="s">
        <v>67</v>
      </c>
      <c r="H2" t="s">
        <v>67</v>
      </c>
      <c r="K2" t="s">
        <v>69</v>
      </c>
      <c r="L2" t="s">
        <v>70</v>
      </c>
      <c r="M2" t="s">
        <v>71</v>
      </c>
      <c r="N2" t="s">
        <v>72</v>
      </c>
      <c r="O2" t="s">
        <v>72</v>
      </c>
      <c r="P2" t="s">
        <v>69</v>
      </c>
      <c r="Q2" t="s">
        <v>69</v>
      </c>
      <c r="R2" t="s">
        <v>69</v>
      </c>
      <c r="S2" t="s">
        <v>69</v>
      </c>
      <c r="T2" t="s">
        <v>69</v>
      </c>
      <c r="U2" t="s">
        <v>69</v>
      </c>
      <c r="V2" t="s">
        <v>69</v>
      </c>
      <c r="W2" t="s">
        <v>69</v>
      </c>
      <c r="X2" t="s">
        <v>69</v>
      </c>
      <c r="Y2" t="s">
        <v>69</v>
      </c>
      <c r="AA2" t="s">
        <v>69</v>
      </c>
      <c r="AB2" t="s">
        <v>69</v>
      </c>
      <c r="AC2" t="s">
        <v>69</v>
      </c>
      <c r="AD2" t="s">
        <v>69</v>
      </c>
      <c r="AE2" t="s">
        <v>69</v>
      </c>
      <c r="AF2" t="s">
        <v>69</v>
      </c>
      <c r="AG2" t="s">
        <v>69</v>
      </c>
      <c r="AH2" t="s">
        <v>69</v>
      </c>
      <c r="AI2" t="s">
        <v>69</v>
      </c>
      <c r="AJ2" t="s">
        <v>69</v>
      </c>
      <c r="AL2" t="s">
        <v>68</v>
      </c>
      <c r="AM2" t="s">
        <v>68</v>
      </c>
      <c r="AN2" t="s">
        <v>68</v>
      </c>
      <c r="AO2" t="s">
        <v>68</v>
      </c>
      <c r="AP2" t="s">
        <v>68</v>
      </c>
      <c r="AQ2" t="s">
        <v>67</v>
      </c>
      <c r="AR2" t="s">
        <v>67</v>
      </c>
      <c r="AS2" t="s">
        <v>73</v>
      </c>
      <c r="AT2" t="s">
        <v>74</v>
      </c>
      <c r="AU2" t="s">
        <v>75</v>
      </c>
      <c r="AV2" t="s">
        <v>76</v>
      </c>
      <c r="AW2" t="s">
        <v>77</v>
      </c>
      <c r="AX2" t="s">
        <v>78</v>
      </c>
      <c r="AY2" t="s">
        <v>78</v>
      </c>
      <c r="AZ2" t="s">
        <v>79</v>
      </c>
      <c r="BA2" t="s">
        <v>79</v>
      </c>
      <c r="BB2" t="s">
        <v>79</v>
      </c>
      <c r="BC2" t="s">
        <v>79</v>
      </c>
      <c r="BD2" t="s">
        <v>79</v>
      </c>
      <c r="BE2" t="s">
        <v>79</v>
      </c>
      <c r="BF2" t="s">
        <v>79</v>
      </c>
      <c r="BG2" t="s">
        <v>68</v>
      </c>
      <c r="BH2" t="s">
        <v>79</v>
      </c>
      <c r="BI2" t="s">
        <v>70</v>
      </c>
      <c r="BJ2" t="s">
        <v>70</v>
      </c>
      <c r="BK2" t="s">
        <v>70</v>
      </c>
      <c r="BL2" t="s">
        <v>70</v>
      </c>
      <c r="BM2" t="s">
        <v>80</v>
      </c>
      <c r="BN2" t="s">
        <v>70</v>
      </c>
      <c r="BO2" t="s">
        <v>70</v>
      </c>
      <c r="BP2" t="s">
        <v>81</v>
      </c>
      <c r="BQ2" t="s">
        <v>79</v>
      </c>
      <c r="BR2" t="s">
        <v>79</v>
      </c>
      <c r="BS2" t="s">
        <v>79</v>
      </c>
      <c r="BT2" t="s">
        <v>79</v>
      </c>
      <c r="BU2" t="s">
        <v>79</v>
      </c>
      <c r="BV2" t="s">
        <v>82</v>
      </c>
      <c r="BW2" t="s">
        <v>82</v>
      </c>
      <c r="BX2" t="s">
        <v>82</v>
      </c>
      <c r="BY2" t="s">
        <v>82</v>
      </c>
    </row>
    <row r="3" spans="1:81" x14ac:dyDescent="0.25">
      <c r="A3" s="51" t="s">
        <v>83</v>
      </c>
      <c r="R3" t="s">
        <v>84</v>
      </c>
      <c r="S3" t="s">
        <v>85</v>
      </c>
      <c r="T3" t="s">
        <v>86</v>
      </c>
      <c r="U3" t="s">
        <v>87</v>
      </c>
      <c r="V3" t="s">
        <v>88</v>
      </c>
      <c r="X3" t="s">
        <v>89</v>
      </c>
      <c r="AC3" t="s">
        <v>84</v>
      </c>
      <c r="AD3" t="s">
        <v>85</v>
      </c>
      <c r="AE3" t="s">
        <v>86</v>
      </c>
      <c r="AF3" t="s">
        <v>87</v>
      </c>
      <c r="AG3" t="s">
        <v>88</v>
      </c>
      <c r="AI3" t="s">
        <v>89</v>
      </c>
      <c r="AM3" s="138" t="s">
        <v>90</v>
      </c>
      <c r="AN3" s="138"/>
      <c r="AO3" s="138"/>
      <c r="AZ3">
        <v>1.07</v>
      </c>
      <c r="BA3">
        <v>1.51</v>
      </c>
      <c r="BB3">
        <v>1.82</v>
      </c>
      <c r="BC3">
        <v>2.04</v>
      </c>
      <c r="BD3">
        <v>1.07</v>
      </c>
      <c r="BE3">
        <v>1.53</v>
      </c>
      <c r="BF3">
        <v>2.87</v>
      </c>
      <c r="BN3" t="s">
        <v>91</v>
      </c>
      <c r="BR3">
        <f>32*(AA4+AA5/4-3*AA6/4-AA7/2)/($AA$4*12+$AA$5+$AA$6*14+$AA$7*16)</f>
        <v>1.530355097365407</v>
      </c>
      <c r="BS3">
        <f>32*(AB4+AB5/4-3*AB6/4-AB7/2)/($AB$4*12+$AB$5+$AB$6*14+$AB$7*16)</f>
        <v>2.8784119106699753</v>
      </c>
      <c r="BT3">
        <f>32*(AI4+AI5/4-3*AI6/4-AI7/2)/($AI$4*12+$AI$5+$AI$6*14+$AI$7*16)</f>
        <v>1.1851851851851851</v>
      </c>
      <c r="BU3">
        <v>1.37</v>
      </c>
    </row>
    <row r="4" spans="1:81" x14ac:dyDescent="0.25">
      <c r="A4" s="1"/>
      <c r="B4" t="s">
        <v>92</v>
      </c>
      <c r="C4" t="s">
        <v>93</v>
      </c>
      <c r="D4">
        <v>12</v>
      </c>
      <c r="P4">
        <v>4</v>
      </c>
      <c r="Q4">
        <v>51</v>
      </c>
      <c r="T4">
        <v>10</v>
      </c>
      <c r="W4">
        <v>6</v>
      </c>
      <c r="X4">
        <v>6</v>
      </c>
      <c r="AA4">
        <v>4</v>
      </c>
      <c r="AB4">
        <v>51</v>
      </c>
      <c r="AE4">
        <v>10</v>
      </c>
      <c r="AH4">
        <v>6</v>
      </c>
      <c r="AI4">
        <v>6</v>
      </c>
      <c r="AM4" s="138"/>
      <c r="AN4" s="138"/>
      <c r="AO4" s="138"/>
      <c r="BJ4" s="5" t="s">
        <v>16</v>
      </c>
      <c r="BK4" s="6">
        <f>1000*22.4*(AA4/2+AA5/8-AA7/4-3*AA6/8)/(AA4*12+AA5+AA6*14+AA7*16)</f>
        <v>535.62428407789241</v>
      </c>
      <c r="BL4" s="6">
        <f>1000*22.4*(AA4/2-AA5/8+AA7/4+3*AA6/8)/(AA4*12+AA5+AA6*14+AA7*16)</f>
        <v>490.7216494845361</v>
      </c>
      <c r="BM4" s="7">
        <f>BK4/(BK4+BL4)</f>
        <v>0.52187500000000009</v>
      </c>
      <c r="BN4" s="6">
        <f>1000*22.4*(AA4/2+AA5/8-AA7/4-3*AA6/8-0.05*5/2)/(AA4*12+AA5+AA6*14+AA7*16)</f>
        <v>503.55097365406652</v>
      </c>
      <c r="BO4" s="6">
        <f>BK4/$BR$3</f>
        <v>350</v>
      </c>
      <c r="BP4" s="8">
        <f>BN4/$BR$3</f>
        <v>329.04191616766468</v>
      </c>
      <c r="BR4" s="9">
        <f>AA4/($AA$4*12+$AA$5+$AA$6*14+$AA$7*16)/$BR$3</f>
        <v>2.9940119760479039E-2</v>
      </c>
      <c r="BS4" s="10">
        <f>AB4/($AB$4*12+$AB$5+$AB$6*14+$AB$7*16)/$BS$3</f>
        <v>2.1982758620689654E-2</v>
      </c>
      <c r="BT4" s="11">
        <f>AI4/($AI$4*12+$AI$5+$AI$6*14+$AI$7*16)/$BT$3</f>
        <v>3.125E-2</v>
      </c>
      <c r="BU4" s="17"/>
    </row>
    <row r="5" spans="1:81" x14ac:dyDescent="0.25">
      <c r="A5" s="1"/>
      <c r="B5" t="s">
        <v>94</v>
      </c>
      <c r="C5" t="s">
        <v>93</v>
      </c>
      <c r="D5">
        <v>1</v>
      </c>
      <c r="P5">
        <v>6.1</v>
      </c>
      <c r="Q5">
        <v>98</v>
      </c>
      <c r="T5">
        <v>13</v>
      </c>
      <c r="W5">
        <v>12</v>
      </c>
      <c r="X5">
        <v>10</v>
      </c>
      <c r="AA5">
        <v>6.1</v>
      </c>
      <c r="AB5">
        <v>98</v>
      </c>
      <c r="AE5">
        <v>13</v>
      </c>
      <c r="AH5">
        <v>12</v>
      </c>
      <c r="AI5">
        <v>10</v>
      </c>
      <c r="AM5" s="138"/>
      <c r="AN5" s="138"/>
      <c r="AO5" s="138"/>
      <c r="BJ5" s="12" t="s">
        <v>17</v>
      </c>
      <c r="BK5" s="13">
        <f>1000*22.4*(AB4/2+AB5/8-AB7/4-3*AB6/8)/(AB4*12+AB5+AB6*14+AB7*16)</f>
        <v>1007.4441687344913</v>
      </c>
      <c r="BL5" s="13">
        <f>1000*22.4*(AB4/2-AB5/8+AB7/4+3*AB6/8)/(AB4*12+AB5+AB6*14+AB7*16)</f>
        <v>409.92555831265508</v>
      </c>
      <c r="BM5" s="14">
        <f t="shared" ref="BM5:BM6" si="0">BK5/(BK5+BL5)</f>
        <v>0.71078431372549022</v>
      </c>
      <c r="BN5" s="13">
        <f>1000*22.4*(AB4/2+AB5/8-AB7/4-3*AB6/8-0.05*5/2)/(AB4*12+AB5+AB6*14+AB7*16)</f>
        <v>1003.9702233250621</v>
      </c>
      <c r="BO5" s="13">
        <f>BK5/$BS$3</f>
        <v>350</v>
      </c>
      <c r="BP5" s="15">
        <f>BN5/$BS$3</f>
        <v>348.79310344827587</v>
      </c>
      <c r="BR5" s="16">
        <f>AA5/($AA$4*12+$AA$5+$AA$6*14+$AA$7*16)/$BR$3</f>
        <v>4.5658682634730531E-2</v>
      </c>
      <c r="BS5" s="17">
        <f>AB5/($AB$4*12+$AB$5+$AB$6*14+$AB$7*16)/$BS$3</f>
        <v>4.2241379310344822E-2</v>
      </c>
      <c r="BT5" s="18">
        <f>AI5/($AI$4*12+$AI$5+$AI$6*14+$AI$7*16)/$BT$3</f>
        <v>5.2083333333333336E-2</v>
      </c>
      <c r="BU5" s="17"/>
    </row>
    <row r="6" spans="1:81" x14ac:dyDescent="0.25">
      <c r="A6" s="1"/>
      <c r="B6" t="s">
        <v>95</v>
      </c>
      <c r="C6" t="s">
        <v>93</v>
      </c>
      <c r="D6">
        <v>14</v>
      </c>
      <c r="P6">
        <v>1</v>
      </c>
      <c r="Q6">
        <v>0</v>
      </c>
      <c r="T6">
        <v>0</v>
      </c>
      <c r="W6">
        <v>0</v>
      </c>
      <c r="X6">
        <v>0</v>
      </c>
      <c r="AA6">
        <v>1</v>
      </c>
      <c r="AB6">
        <v>0</v>
      </c>
      <c r="AE6">
        <v>0</v>
      </c>
      <c r="AH6">
        <v>0</v>
      </c>
      <c r="AI6">
        <v>0</v>
      </c>
      <c r="AM6" s="138"/>
      <c r="AN6" s="138"/>
      <c r="AO6" s="138"/>
      <c r="BJ6" s="19" t="s">
        <v>24</v>
      </c>
      <c r="BK6" s="20">
        <f>1000*22.4*(AI4/2+AI5/8-AI7/4-3*AI6/8)/(AI4*12+AI5+AI6*14+AI7*16)</f>
        <v>414.81481481481484</v>
      </c>
      <c r="BL6" s="20">
        <f>1000*22.4*(AI4/2-AI5/8+AI7/4+3*AI6/8)/(AI4*12+AI5+AI6*14+AI7*16)</f>
        <v>414.81481481481484</v>
      </c>
      <c r="BM6" s="21">
        <f t="shared" si="0"/>
        <v>0.5</v>
      </c>
      <c r="BN6" s="20">
        <f>1000*22.4*(AI4/2+AI5/8-AI7/4-3*AI6/8-0.05*5/2)/(AI4*12+AI5+AI6*14+AI7*16)</f>
        <v>397.53086419753089</v>
      </c>
      <c r="BO6" s="20">
        <f>BK6/$BT$3</f>
        <v>350.00000000000006</v>
      </c>
      <c r="BP6" s="22">
        <f>BN6/$BT$3</f>
        <v>335.41666666666669</v>
      </c>
      <c r="BR6" s="23">
        <f>AA6/($AA$4*12+$AA$5+$AA$6*14+$AA$7*16)/$BR$3</f>
        <v>7.4850299401197596E-3</v>
      </c>
      <c r="BS6" s="24">
        <f>AB6/($AB$4*12+$AB$5+$AB$6*14+$AB$7*16)/$BS$3</f>
        <v>0</v>
      </c>
      <c r="BT6" s="25">
        <f>AI6/($AI$4*12+$AI$5+$AI$6*14+$AI$7*16)/$BT$3</f>
        <v>0</v>
      </c>
      <c r="BU6" s="17"/>
    </row>
    <row r="7" spans="1:81" x14ac:dyDescent="0.25">
      <c r="A7" s="1"/>
      <c r="B7" t="s">
        <v>96</v>
      </c>
      <c r="C7" t="s">
        <v>93</v>
      </c>
      <c r="D7">
        <v>12</v>
      </c>
      <c r="F7" s="53"/>
      <c r="H7" s="53"/>
      <c r="I7" s="53"/>
      <c r="J7" s="53"/>
      <c r="P7">
        <v>1.2</v>
      </c>
      <c r="Q7">
        <v>6</v>
      </c>
      <c r="T7">
        <v>3</v>
      </c>
      <c r="W7">
        <v>6</v>
      </c>
      <c r="X7">
        <v>5</v>
      </c>
      <c r="Z7" s="53"/>
      <c r="AA7">
        <v>1.2</v>
      </c>
      <c r="AB7">
        <v>6</v>
      </c>
      <c r="AE7">
        <v>3</v>
      </c>
      <c r="AH7">
        <v>6</v>
      </c>
      <c r="AI7">
        <v>5</v>
      </c>
      <c r="AK7" s="53"/>
      <c r="AM7" s="26">
        <v>3.5</v>
      </c>
      <c r="AN7" s="26">
        <v>2</v>
      </c>
      <c r="AO7" s="26">
        <v>0.5</v>
      </c>
      <c r="BR7" s="13">
        <f>AA7/($AA$4*12+$AA$5+$AA$6*14+$AA$7*16)/$BR$3</f>
        <v>8.9820359281437105E-3</v>
      </c>
      <c r="BS7" s="27">
        <f>AB7/($AB$4*12+$AB$5+$AB$6*14+$AB$7*16)/$BS$3</f>
        <v>2.5862068965517241E-3</v>
      </c>
      <c r="BT7">
        <f>AI7/($AI$4*12+$AI$5+$AI$6*14+$AI$7*16)/$BT$3</f>
        <v>2.6041666666666668E-2</v>
      </c>
    </row>
    <row r="8" spans="1:81" ht="16.149999999999999" customHeight="1" x14ac:dyDescent="0.25">
      <c r="A8" s="49" t="s">
        <v>97</v>
      </c>
      <c r="B8" s="33">
        <v>45117</v>
      </c>
      <c r="C8" s="28" t="s">
        <v>98</v>
      </c>
      <c r="D8" s="46">
        <v>87.4</v>
      </c>
      <c r="E8" s="46">
        <v>77.2</v>
      </c>
      <c r="G8" s="46"/>
      <c r="H8" s="48">
        <f>(AH8*$AZ$3+(AI8-AH8-AE8)*$BT$3+$BS$3*AB8+$BR$3*AA8+K8*$AZ$3+AE8*$BU$3)*D8/100</f>
        <v>0</v>
      </c>
      <c r="I8" s="48"/>
      <c r="J8" s="48"/>
      <c r="K8" s="46"/>
      <c r="L8" s="46">
        <v>124</v>
      </c>
      <c r="M8" s="29" t="e">
        <f>L8/I8/330</f>
        <v>#DIV/0!</v>
      </c>
      <c r="N8" s="28"/>
      <c r="O8" s="28"/>
      <c r="P8" s="28"/>
      <c r="Q8" s="28"/>
      <c r="R8" s="28"/>
      <c r="S8" s="28"/>
      <c r="T8" s="28"/>
      <c r="U8" s="28"/>
      <c r="V8" s="28"/>
      <c r="W8" s="28"/>
      <c r="X8" s="28"/>
      <c r="Y8" s="28"/>
      <c r="Z8" s="31">
        <f t="shared" ref="Z8:Z15" si="1">E8-P8-Q8-X8-J8</f>
        <v>77.2</v>
      </c>
      <c r="AA8" s="28"/>
      <c r="AB8" s="28"/>
      <c r="AC8" s="28"/>
      <c r="AD8" s="28"/>
      <c r="AE8" s="28"/>
      <c r="AF8" s="28"/>
      <c r="AG8" s="28"/>
      <c r="AH8" s="28"/>
      <c r="AI8" s="28"/>
      <c r="AJ8" s="28"/>
      <c r="AK8">
        <f>F8-AA8-AB8-AI8</f>
        <v>0</v>
      </c>
      <c r="AL8" s="29">
        <v>28</v>
      </c>
      <c r="AM8" s="30">
        <v>43</v>
      </c>
      <c r="AN8" s="30">
        <f>204/279*100</f>
        <v>73.118279569892479</v>
      </c>
      <c r="AO8" s="29">
        <f>26/52*100</f>
        <v>50</v>
      </c>
      <c r="AP8" s="29">
        <f>IF(D8&lt;150,47,56)</f>
        <v>47</v>
      </c>
      <c r="AQ8" s="28">
        <f>D8</f>
        <v>87.4</v>
      </c>
      <c r="AR8" s="28">
        <f>E8*D8/100</f>
        <v>67.472800000000007</v>
      </c>
      <c r="AS8" s="29">
        <v>7.4</v>
      </c>
      <c r="AT8" s="28">
        <f>2*AVERAGE(9209,9090)</f>
        <v>18299</v>
      </c>
      <c r="AU8" s="28">
        <f>23.7*100</f>
        <v>2370</v>
      </c>
      <c r="AV8" s="28"/>
      <c r="AW8" s="28">
        <f>190*100</f>
        <v>19000</v>
      </c>
      <c r="AX8" s="28"/>
      <c r="AY8" s="28"/>
      <c r="AZ8" s="28"/>
      <c r="BA8" s="28"/>
      <c r="BB8" s="28"/>
      <c r="BC8" s="28"/>
      <c r="BD8" s="28"/>
      <c r="BE8" s="28"/>
      <c r="BF8" s="28"/>
      <c r="BG8" s="28"/>
      <c r="BH8" s="28"/>
      <c r="BI8" s="28"/>
      <c r="BJ8" s="29">
        <f>AP8/100*BO8</f>
        <v>0</v>
      </c>
      <c r="BK8" s="29">
        <f>(AA8*AN8/100*0.496+AB8*AO8/100*1.014+AI8*AM8/100*0.415)/E8*1000</f>
        <v>0</v>
      </c>
      <c r="BL8" s="29">
        <f>(0.5495*AN8/100*AA8+0.415*AF8+0.383*AH8+0.948*AB8+0.373*(AG8-AF8)+(AM8/100*AI8-AF8)*0.415)/E8*1000</f>
        <v>0</v>
      </c>
      <c r="BM8" s="29">
        <f>(AA8*0.7+AB8*1.25+AI8*0.79)/E8*1000</f>
        <v>0</v>
      </c>
      <c r="BN8" s="29">
        <f>(AA8*0.7*0.71+AB8*1.25*0.68+AI8*0.79*0.5)/E8*1000</f>
        <v>0</v>
      </c>
      <c r="BO8" s="29">
        <f>(AA8*0.496+AB8*1.014+AI8*0.415)/E8*1000</f>
        <v>0</v>
      </c>
      <c r="BP8" s="29" t="e">
        <f>IF(H8="","",BO8/(H8/(D8*E8/100)))</f>
        <v>#DIV/0!</v>
      </c>
      <c r="BQ8" s="29">
        <f>D8/100*(((100-AM8)/100*AI8*$BT$3)+((100-AN8)/100*AA8*$BR$3)+((100-AO8)/100*AB8*$BS$3))</f>
        <v>0</v>
      </c>
      <c r="BR8" s="29">
        <f>AA8*D8/100*AN8/100*$BR$3</f>
        <v>0</v>
      </c>
      <c r="BS8" s="29">
        <f>AB8*D8/100*AO8/100*$BS$3</f>
        <v>0</v>
      </c>
      <c r="BT8" s="29">
        <f>AI8*D8/100*AM8/100*$BT$3</f>
        <v>0</v>
      </c>
      <c r="BU8" s="29"/>
      <c r="BV8" s="35">
        <f>BQ8/(D8*E8/100)</f>
        <v>0</v>
      </c>
      <c r="BW8" s="35">
        <f>BR8/(D8*E8/100)</f>
        <v>0</v>
      </c>
      <c r="BX8" s="35">
        <f>BS8/(D8*E8/100)</f>
        <v>0</v>
      </c>
      <c r="BY8" s="35">
        <f>BT8/(D8*E8/100)</f>
        <v>0</v>
      </c>
      <c r="BZ8" s="134">
        <f t="shared" ref="BZ8:BZ39" si="2">G8/(D8*E8)/10</f>
        <v>0</v>
      </c>
      <c r="CA8" s="35"/>
      <c r="CB8" s="35"/>
      <c r="CC8" s="35"/>
    </row>
    <row r="9" spans="1:81" x14ac:dyDescent="0.25">
      <c r="A9" t="s">
        <v>99</v>
      </c>
      <c r="B9" s="34">
        <v>45117</v>
      </c>
      <c r="C9" t="s">
        <v>100</v>
      </c>
      <c r="D9" s="47">
        <v>41.5</v>
      </c>
      <c r="E9" s="47">
        <v>86.9</v>
      </c>
      <c r="G9" s="47"/>
      <c r="H9" s="48">
        <f t="shared" ref="H9:H13" si="3">(AH9*$AZ$3+(AI9-AH9-AE9)*$BT$3+$BS$3*AB9+$BR$3*AA9+K9*$AZ$3+AE9*$BU$3)*D9/100</f>
        <v>0</v>
      </c>
      <c r="I9" s="48"/>
      <c r="J9" s="48"/>
      <c r="K9" s="47"/>
      <c r="L9" s="47">
        <v>379</v>
      </c>
      <c r="M9" s="32" t="e">
        <f>L9/I9/330</f>
        <v>#DIV/0!</v>
      </c>
      <c r="Z9" s="31">
        <f t="shared" si="1"/>
        <v>86.9</v>
      </c>
      <c r="AK9">
        <f>F9-AA9-AB9-AI9</f>
        <v>0</v>
      </c>
      <c r="AL9" s="32">
        <v>28</v>
      </c>
      <c r="AM9" s="32" t="e">
        <f t="shared" ref="AM9" si="4">100*(AI9*10-(35+0.47*AJ9*10+0.00104*(AJ9*10)^2)+35)/(AI9*10)</f>
        <v>#DIV/0!</v>
      </c>
      <c r="AN9" s="32" t="e">
        <f>100*(AA9*10-36+20)/(AA9*10)</f>
        <v>#DIV/0!</v>
      </c>
      <c r="AO9" s="32" t="e">
        <f>100*(AB9*10-5+5)/(AB9*10)</f>
        <v>#DIV/0!</v>
      </c>
      <c r="AP9" s="32" t="e">
        <f>(AN9*AA9+AM9*AI9+AO9*AB9)/E9</f>
        <v>#DIV/0!</v>
      </c>
      <c r="AQ9">
        <f>D9</f>
        <v>41.5</v>
      </c>
      <c r="AR9">
        <f>E9*D9/100</f>
        <v>36.063500000000005</v>
      </c>
      <c r="BB9" s="91"/>
      <c r="BC9" s="91"/>
      <c r="BJ9" s="32" t="e">
        <f>AP9/100*BO9</f>
        <v>#DIV/0!</v>
      </c>
      <c r="BK9" s="32" t="e">
        <f>(AA9*AN9/100*0.496+AB9*AO9/100*1.014+AI9*AM9/100*0.415)/E9*1000</f>
        <v>#DIV/0!</v>
      </c>
      <c r="BL9" s="32" t="e">
        <f>(0.5495*AN9/100*AA9+0.415*AF9+0.383*AH9+0.948*AB9+0.373*(AG9-AF9)+(AM9/100*AI9-AF9)*0.415)/E9*1000</f>
        <v>#DIV/0!</v>
      </c>
      <c r="BM9" s="32">
        <f>(AA9*0.7+AB9*1.25+AI9*0.79)/E9*1000</f>
        <v>0</v>
      </c>
      <c r="BN9" s="32">
        <f>(AA9*0.7*0.71+AB9*1.25*0.68+AI9*0.79*0.5)/E9*1000</f>
        <v>0</v>
      </c>
      <c r="BO9" s="32">
        <f>(AA9*0.496+AB9*1.014+AI9*0.415)/E9*1000</f>
        <v>0</v>
      </c>
      <c r="BP9" s="32" t="e">
        <f>IF(H9="","",BO9/(H9/(D9*E9/100)))</f>
        <v>#DIV/0!</v>
      </c>
      <c r="BQ9" s="32">
        <f>G9-BR9-BS9-BT9</f>
        <v>0</v>
      </c>
      <c r="BR9" s="32">
        <f>$BR$3*AA9*$AN$8/100*D9/100</f>
        <v>0</v>
      </c>
      <c r="BS9" s="32">
        <f>$BS$3*$AO$8/100*AB9*D9/100</f>
        <v>0</v>
      </c>
      <c r="BT9" s="32">
        <f>$BT$3*($AL$8/100*AC9+AD9+AF9)/100*D9</f>
        <v>0</v>
      </c>
      <c r="BU9" s="32"/>
      <c r="BV9" s="36">
        <f>BQ9/(D9*E9/100)</f>
        <v>0</v>
      </c>
      <c r="BW9" s="36">
        <f>BR9/(D9*E9/100)</f>
        <v>0</v>
      </c>
      <c r="BX9" s="36">
        <f>BS9/(D9*E9/100)</f>
        <v>0</v>
      </c>
      <c r="BY9" s="36">
        <f>BT9/(D9*E9/100)</f>
        <v>0</v>
      </c>
      <c r="BZ9" s="134">
        <f t="shared" si="2"/>
        <v>0</v>
      </c>
      <c r="CA9" s="32"/>
      <c r="CB9" s="32"/>
      <c r="CC9" s="32"/>
    </row>
    <row r="10" spans="1:81" x14ac:dyDescent="0.25">
      <c r="A10" t="s">
        <v>101</v>
      </c>
      <c r="B10" s="34">
        <v>45117</v>
      </c>
      <c r="C10" t="s">
        <v>102</v>
      </c>
      <c r="D10">
        <v>672.2</v>
      </c>
      <c r="E10">
        <v>99</v>
      </c>
      <c r="F10">
        <v>99</v>
      </c>
      <c r="H10" s="48">
        <f>(AH10*$AZ$3+(AI10-AH10-AE10)*$BT$3+$BS$3*AB10+$BR$3*AA10+K10*$AZ$3+AE10*$BU$3)*D10/100</f>
        <v>905.46328839519481</v>
      </c>
      <c r="I10" s="52">
        <f t="shared" ref="I10:I14" si="5">H10/(F10*D10/100)</f>
        <v>1.360620919692604</v>
      </c>
      <c r="J10" s="48"/>
      <c r="L10">
        <v>361</v>
      </c>
      <c r="M10" s="32">
        <f t="shared" ref="M10:M15" si="6">L10/I10/330</f>
        <v>0.80400012825507661</v>
      </c>
      <c r="P10">
        <f>AA10*$E$10/$F$10</f>
        <v>17.809439002671418</v>
      </c>
      <c r="Q10">
        <f t="shared" ref="Q10:X10" si="7">AB10*$E$10/$F$10</f>
        <v>6.2333036509349959</v>
      </c>
      <c r="R10">
        <f t="shared" si="7"/>
        <v>0</v>
      </c>
      <c r="S10">
        <f t="shared" si="7"/>
        <v>3.45</v>
      </c>
      <c r="T10">
        <f t="shared" si="7"/>
        <v>0</v>
      </c>
      <c r="U10">
        <f t="shared" si="7"/>
        <v>69.456812110418539</v>
      </c>
      <c r="V10">
        <f t="shared" si="7"/>
        <v>72.350845948352642</v>
      </c>
      <c r="W10">
        <f t="shared" si="7"/>
        <v>2.8940338379341055</v>
      </c>
      <c r="X10">
        <f t="shared" si="7"/>
        <v>75.800845948352645</v>
      </c>
      <c r="Y10" s="32"/>
      <c r="Z10" s="31">
        <f t="shared" si="1"/>
        <v>-0.8435886019590555</v>
      </c>
      <c r="AA10">
        <v>17.809439002671418</v>
      </c>
      <c r="AB10">
        <v>6.2333036509349959</v>
      </c>
      <c r="AD10">
        <v>3.45</v>
      </c>
      <c r="AF10">
        <v>69.456812110418539</v>
      </c>
      <c r="AG10">
        <v>72.350845948352642</v>
      </c>
      <c r="AH10">
        <v>2.8940338379341055</v>
      </c>
      <c r="AI10">
        <f>SUM(AC10:AF10,AH10)</f>
        <v>75.800845948352645</v>
      </c>
      <c r="AJ10" s="32"/>
      <c r="AK10">
        <f>F10-AA10-AB10-AI10-K10</f>
        <v>-0.8435886019590555</v>
      </c>
      <c r="BZ10" s="134">
        <f t="shared" si="2"/>
        <v>0</v>
      </c>
    </row>
    <row r="11" spans="1:81" x14ac:dyDescent="0.25">
      <c r="A11" t="s">
        <v>103</v>
      </c>
      <c r="B11" s="34">
        <v>45117</v>
      </c>
      <c r="C11" t="s">
        <v>104</v>
      </c>
      <c r="H11" s="48">
        <f t="shared" si="3"/>
        <v>0</v>
      </c>
      <c r="I11" s="52"/>
      <c r="J11" s="48"/>
      <c r="M11" s="32"/>
      <c r="Z11" s="31">
        <f t="shared" si="1"/>
        <v>0</v>
      </c>
      <c r="AK11">
        <f>F11-AA11-AB11-AI11-K11</f>
        <v>0</v>
      </c>
      <c r="BZ11" s="134" t="e">
        <f t="shared" si="2"/>
        <v>#DIV/0!</v>
      </c>
    </row>
    <row r="12" spans="1:81" x14ac:dyDescent="0.25">
      <c r="A12" t="s">
        <v>105</v>
      </c>
      <c r="B12" s="34">
        <v>45117</v>
      </c>
      <c r="C12" t="s">
        <v>106</v>
      </c>
      <c r="D12">
        <v>466.2</v>
      </c>
      <c r="E12">
        <v>83.7</v>
      </c>
      <c r="F12">
        <v>83.7</v>
      </c>
      <c r="H12" s="48">
        <f t="shared" si="3"/>
        <v>500.49102566921118</v>
      </c>
      <c r="I12" s="52">
        <f t="shared" si="5"/>
        <v>1.2826216530642551</v>
      </c>
      <c r="J12" s="48">
        <f t="shared" ref="J12" si="8">K12*$E$13/$F$13</f>
        <v>0</v>
      </c>
      <c r="K12">
        <v>0</v>
      </c>
      <c r="L12">
        <v>346</v>
      </c>
      <c r="M12" s="32">
        <f t="shared" si="6"/>
        <v>0.81745450498201033</v>
      </c>
      <c r="P12">
        <f>AA12*$E$12/$F$12</f>
        <v>13.608924205378976</v>
      </c>
      <c r="Q12">
        <f t="shared" ref="Q12:X12" si="9">AB12*$E$12/$F$12</f>
        <v>2.2511002444987778</v>
      </c>
      <c r="R12">
        <f t="shared" si="9"/>
        <v>5.6993765281173605</v>
      </c>
      <c r="S12">
        <f t="shared" si="9"/>
        <v>1.5655378973105136</v>
      </c>
      <c r="T12">
        <f t="shared" si="9"/>
        <v>0</v>
      </c>
      <c r="U12">
        <f t="shared" si="9"/>
        <v>57.505378973105138</v>
      </c>
      <c r="V12">
        <f t="shared" si="9"/>
        <v>57.505378973105138</v>
      </c>
      <c r="W12">
        <f t="shared" si="9"/>
        <v>3.0696821515892423</v>
      </c>
      <c r="X12">
        <f t="shared" si="9"/>
        <v>67.839975550122261</v>
      </c>
      <c r="Z12" s="31">
        <f t="shared" si="1"/>
        <v>-1.4210854715202004E-14</v>
      </c>
      <c r="AA12">
        <v>13.608924205378976</v>
      </c>
      <c r="AB12">
        <v>2.2511002444987778</v>
      </c>
      <c r="AC12">
        <v>5.6993765281173605</v>
      </c>
      <c r="AD12">
        <v>1.5655378973105136</v>
      </c>
      <c r="AE12">
        <v>0</v>
      </c>
      <c r="AF12">
        <v>57.505378973105145</v>
      </c>
      <c r="AG12">
        <v>57.505378973105145</v>
      </c>
      <c r="AH12">
        <v>3.0696821515892423</v>
      </c>
      <c r="AI12">
        <f t="shared" ref="AI12" si="10">SUM(AC12:AF12,AH12)</f>
        <v>67.839975550122261</v>
      </c>
      <c r="AK12">
        <f>F12-AA12-AB12-AI12-K12</f>
        <v>-1.4210854715202004E-14</v>
      </c>
      <c r="BZ12" s="134">
        <f t="shared" si="2"/>
        <v>0</v>
      </c>
    </row>
    <row r="13" spans="1:81" x14ac:dyDescent="0.25">
      <c r="B13" s="34">
        <v>45160</v>
      </c>
      <c r="C13" t="s">
        <v>107</v>
      </c>
      <c r="D13">
        <v>278.3</v>
      </c>
      <c r="E13">
        <v>95.9</v>
      </c>
      <c r="F13">
        <v>96.5</v>
      </c>
      <c r="H13" s="48">
        <f t="shared" si="3"/>
        <v>337.42687285362672</v>
      </c>
      <c r="I13" s="52">
        <f t="shared" si="5"/>
        <v>1.2564324585562108</v>
      </c>
      <c r="J13" s="48">
        <f>K13*$E$13/$F$13</f>
        <v>2.9714093264248711</v>
      </c>
      <c r="K13">
        <v>2.99</v>
      </c>
      <c r="L13">
        <v>344</v>
      </c>
      <c r="M13" s="32">
        <f t="shared" si="6"/>
        <v>0.82966993993621496</v>
      </c>
      <c r="P13">
        <f>AA13*$E$13/$F$13</f>
        <v>6.857098445595855</v>
      </c>
      <c r="Q13">
        <f t="shared" ref="Q13:X13" si="11">AB13*$E$13/$F$13</f>
        <v>2.5838341968911922</v>
      </c>
      <c r="R13">
        <f t="shared" si="11"/>
        <v>22.161347150259068</v>
      </c>
      <c r="S13">
        <f t="shared" si="11"/>
        <v>14.60860103626943</v>
      </c>
      <c r="T13">
        <f t="shared" si="11"/>
        <v>1.6894300518134715</v>
      </c>
      <c r="U13">
        <f t="shared" si="11"/>
        <v>44.322694300518137</v>
      </c>
      <c r="V13">
        <f t="shared" si="11"/>
        <v>0</v>
      </c>
      <c r="W13">
        <f t="shared" si="11"/>
        <v>0.89440414507772026</v>
      </c>
      <c r="X13">
        <f t="shared" si="11"/>
        <v>83.67647668393785</v>
      </c>
      <c r="Z13" s="31">
        <f t="shared" si="1"/>
        <v>-0.18881865284975641</v>
      </c>
      <c r="AA13">
        <v>6.9</v>
      </c>
      <c r="AB13">
        <v>2.6</v>
      </c>
      <c r="AC13">
        <v>22.3</v>
      </c>
      <c r="AD13">
        <v>14.7</v>
      </c>
      <c r="AE13">
        <v>1.7</v>
      </c>
      <c r="AF13">
        <f>31.2+13.4</f>
        <v>44.6</v>
      </c>
      <c r="AH13">
        <v>0.9</v>
      </c>
      <c r="AI13">
        <f>SUM(AC13:AF13,AH13)</f>
        <v>84.200000000000017</v>
      </c>
      <c r="AK13">
        <f>F13-AA13-AB13-AI13-K13</f>
        <v>-0.19000000000001727</v>
      </c>
      <c r="BZ13" s="134">
        <f t="shared" si="2"/>
        <v>0</v>
      </c>
    </row>
    <row r="14" spans="1:81" x14ac:dyDescent="0.25">
      <c r="B14" s="34">
        <v>45160</v>
      </c>
      <c r="C14" t="s">
        <v>108</v>
      </c>
      <c r="D14">
        <v>48.4</v>
      </c>
      <c r="E14">
        <v>76</v>
      </c>
      <c r="F14">
        <v>80</v>
      </c>
      <c r="H14" s="48">
        <f>(AH14*$AZ$3+(AI14-AH14-AE14)*$BT$3+$BS$3*AB14+$BR$3*AA14+K14*$AZ$3+AE14*$BU$3)*D14/100</f>
        <v>59.423395335808856</v>
      </c>
      <c r="I14" s="52">
        <f t="shared" si="5"/>
        <v>1.5346951274744023</v>
      </c>
      <c r="J14" s="48">
        <f>K14*$E$14/$F$14</f>
        <v>9.3384999999999998</v>
      </c>
      <c r="K14">
        <v>9.83</v>
      </c>
      <c r="L14">
        <v>273</v>
      </c>
      <c r="M14" s="32">
        <f t="shared" si="6"/>
        <v>0.53904694975746947</v>
      </c>
      <c r="P14">
        <f>AA14*$E$14/$F$14</f>
        <v>16.055</v>
      </c>
      <c r="Q14">
        <f t="shared" ref="Q14:X14" si="12">AB14*$E$14/$F$14</f>
        <v>5.0350000000000001</v>
      </c>
      <c r="R14">
        <f t="shared" si="12"/>
        <v>17.29</v>
      </c>
      <c r="S14">
        <f t="shared" si="12"/>
        <v>10.545</v>
      </c>
      <c r="T14">
        <f t="shared" si="12"/>
        <v>14.155000000000001</v>
      </c>
      <c r="U14">
        <f t="shared" si="12"/>
        <v>12.824999999999999</v>
      </c>
      <c r="V14">
        <f t="shared" si="12"/>
        <v>0</v>
      </c>
      <c r="W14">
        <f t="shared" si="12"/>
        <v>0</v>
      </c>
      <c r="X14">
        <f t="shared" si="12"/>
        <v>54.814999999999998</v>
      </c>
      <c r="Z14" s="31">
        <f t="shared" si="1"/>
        <v>-9.2435000000000009</v>
      </c>
      <c r="AA14">
        <v>16.899999999999999</v>
      </c>
      <c r="AB14">
        <v>5.3</v>
      </c>
      <c r="AC14">
        <v>18.2</v>
      </c>
      <c r="AD14">
        <v>11.1</v>
      </c>
      <c r="AE14">
        <v>14.9</v>
      </c>
      <c r="AF14">
        <v>13.5</v>
      </c>
      <c r="AI14">
        <f>SUM(AC14:AF14,AH14)</f>
        <v>57.699999999999996</v>
      </c>
      <c r="AK14">
        <f>F14-AA14-AB14-AI14-K14</f>
        <v>-9.7299999999999915</v>
      </c>
      <c r="BZ14" s="134">
        <f t="shared" si="2"/>
        <v>0</v>
      </c>
    </row>
    <row r="15" spans="1:81" x14ac:dyDescent="0.25">
      <c r="B15" s="34">
        <v>45160</v>
      </c>
      <c r="C15" t="s">
        <v>109</v>
      </c>
      <c r="D15">
        <v>48.1</v>
      </c>
      <c r="E15">
        <v>61.4</v>
      </c>
      <c r="H15" s="48">
        <f t="shared" ref="H15:H16" si="13">(AH15*$AZ$3+(AI15-AH15-AE15)*$BT$3+$BS$3*AB15+$BR$3*AA15+K15*$AZ$3+AE15*$BU$3)*D15/100</f>
        <v>0</v>
      </c>
      <c r="I15" s="52"/>
      <c r="J15" s="48"/>
      <c r="L15">
        <v>60</v>
      </c>
      <c r="M15" s="32" t="e">
        <f t="shared" si="6"/>
        <v>#DIV/0!</v>
      </c>
      <c r="Z15" s="31">
        <f t="shared" si="1"/>
        <v>61.4</v>
      </c>
      <c r="AK15">
        <f>F15-AA15-AB15-AI15</f>
        <v>0</v>
      </c>
      <c r="BZ15" s="134">
        <f t="shared" si="2"/>
        <v>0</v>
      </c>
    </row>
    <row r="16" spans="1:81" x14ac:dyDescent="0.25">
      <c r="B16" s="34">
        <v>45160</v>
      </c>
      <c r="C16" t="s">
        <v>110</v>
      </c>
      <c r="D16">
        <v>76.900000000000006</v>
      </c>
      <c r="E16">
        <v>85.4</v>
      </c>
      <c r="F16">
        <v>95</v>
      </c>
      <c r="H16" s="48">
        <f t="shared" si="13"/>
        <v>106.27060920259612</v>
      </c>
      <c r="I16" s="52">
        <f>H16/(F16*D16/100)</f>
        <v>1.4546657888248047</v>
      </c>
      <c r="J16" s="48">
        <f>K16*$E$16/$F$16</f>
        <v>1.6720421052631582</v>
      </c>
      <c r="K16">
        <v>1.86</v>
      </c>
      <c r="L16">
        <v>383</v>
      </c>
      <c r="M16" s="32">
        <f>L16/I16/330</f>
        <v>0.79785066062747723</v>
      </c>
      <c r="P16">
        <f>AA16*$E$16/$F$16</f>
        <v>7.2642211589580015</v>
      </c>
      <c r="Q16">
        <f t="shared" ref="Q16:X16" si="14">AB16*$E$16/$F$16</f>
        <v>13.620414673046252</v>
      </c>
      <c r="R16">
        <f t="shared" si="14"/>
        <v>0</v>
      </c>
      <c r="S16">
        <f t="shared" si="14"/>
        <v>27.238105263157898</v>
      </c>
      <c r="T16">
        <f t="shared" si="14"/>
        <v>0</v>
      </c>
      <c r="U16">
        <f t="shared" si="14"/>
        <v>0</v>
      </c>
      <c r="V16">
        <f t="shared" si="14"/>
        <v>0</v>
      </c>
      <c r="W16">
        <f t="shared" si="14"/>
        <v>37.229133439659755</v>
      </c>
      <c r="X16">
        <f t="shared" si="14"/>
        <v>64.467238702817653</v>
      </c>
      <c r="Z16" s="31">
        <f>E16-P16-Q16-X16-J16</f>
        <v>-1.6239166400850695</v>
      </c>
      <c r="AA16">
        <f>0.8/(1.5+5.5+1.6+0.8+0.5)*100</f>
        <v>8.0808080808080813</v>
      </c>
      <c r="AB16">
        <f>1.5/(1.5+5.5+1.6+0.8+0.5)*100</f>
        <v>15.151515151515152</v>
      </c>
      <c r="AD16">
        <v>30.3</v>
      </c>
      <c r="AH16">
        <f>4.1/(1.5+5.5+1.6+0.8+0.5)*100</f>
        <v>41.414141414141412</v>
      </c>
      <c r="AI16">
        <f t="shared" ref="AI16" si="15">SUM(AC16:AF16,AH16)</f>
        <v>71.714141414141409</v>
      </c>
      <c r="AK16">
        <f>F16-AA16-AB16-AI16-K16</f>
        <v>-1.8064646464646479</v>
      </c>
      <c r="BZ16" s="134">
        <f t="shared" si="2"/>
        <v>0</v>
      </c>
    </row>
    <row r="17" spans="2:78" x14ac:dyDescent="0.25">
      <c r="B17" s="34">
        <v>45160</v>
      </c>
      <c r="C17" t="s">
        <v>110</v>
      </c>
      <c r="D17">
        <v>76.900000000000006</v>
      </c>
      <c r="E17">
        <v>85.4</v>
      </c>
      <c r="F17">
        <f>(1.3+5.3)/(0.4+1.3+5.3)*100</f>
        <v>94.285714285714278</v>
      </c>
      <c r="H17" s="48"/>
      <c r="I17" s="52"/>
      <c r="J17" s="48">
        <f>K17*$E$17/$F$17</f>
        <v>1.6847090909090914</v>
      </c>
      <c r="K17">
        <v>1.86</v>
      </c>
      <c r="M17" s="32"/>
      <c r="P17">
        <f t="shared" ref="P17:X17" si="16">AA17*$E$17/$F$17</f>
        <v>16.821212121212124</v>
      </c>
      <c r="Q17">
        <f t="shared" si="16"/>
        <v>0</v>
      </c>
      <c r="R17">
        <f t="shared" si="16"/>
        <v>0</v>
      </c>
      <c r="S17">
        <f t="shared" si="16"/>
        <v>28.803090909090916</v>
      </c>
      <c r="T17">
        <f t="shared" si="16"/>
        <v>0</v>
      </c>
      <c r="U17">
        <f t="shared" si="16"/>
        <v>0</v>
      </c>
      <c r="V17">
        <f t="shared" si="16"/>
        <v>0</v>
      </c>
      <c r="W17">
        <f t="shared" si="16"/>
        <v>39.77569696969698</v>
      </c>
      <c r="X17">
        <f t="shared" si="16"/>
        <v>68.578787878787892</v>
      </c>
      <c r="Z17" s="31">
        <f>E17-P17-Q17-X17-J17</f>
        <v>-1.6847090909091056</v>
      </c>
      <c r="AA17">
        <f>1.3/((0.4+1.3+5.3))*100</f>
        <v>18.571428571428573</v>
      </c>
      <c r="AD17">
        <f>5.3*0.42/((0.4+1.3+5.3))*100</f>
        <v>31.8</v>
      </c>
      <c r="AH17">
        <f>5.3*(1-0.42)/((0.4+1.3+5.3))*100</f>
        <v>43.914285714285718</v>
      </c>
      <c r="AI17">
        <f>SUM(AC17:AF17,AH17)</f>
        <v>75.714285714285722</v>
      </c>
      <c r="AK17">
        <f>F17-AA17-AB17-AI17-K17</f>
        <v>-1.8600000000000143</v>
      </c>
      <c r="BZ17" s="134">
        <f t="shared" si="2"/>
        <v>0</v>
      </c>
    </row>
    <row r="18" spans="2:78" x14ac:dyDescent="0.25">
      <c r="B18" s="34">
        <v>45160</v>
      </c>
      <c r="C18" t="s">
        <v>111</v>
      </c>
      <c r="BZ18" s="134" t="e">
        <f t="shared" si="2"/>
        <v>#DIV/0!</v>
      </c>
    </row>
    <row r="19" spans="2:78" x14ac:dyDescent="0.25">
      <c r="B19" s="34">
        <v>45219</v>
      </c>
      <c r="C19" t="s">
        <v>109</v>
      </c>
      <c r="D19" s="31">
        <f>(6.0607-4.6455)/(29.6598-4.6455)*1000</f>
        <v>56.575638734643768</v>
      </c>
      <c r="E19" s="31">
        <f>(D19-(5.1238-4.6455)/(29.6598-4.6455)*1000)/D19*100</f>
        <v>66.202656868287164</v>
      </c>
      <c r="AS19">
        <v>8.1199999999999992</v>
      </c>
      <c r="AT19">
        <v>21097.759999999998</v>
      </c>
      <c r="AU19">
        <v>2260</v>
      </c>
      <c r="AV19">
        <v>94.4</v>
      </c>
      <c r="BZ19" s="134">
        <f t="shared" si="2"/>
        <v>0</v>
      </c>
    </row>
    <row r="20" spans="2:78" x14ac:dyDescent="0.25">
      <c r="B20" s="34">
        <v>45219</v>
      </c>
      <c r="C20" t="s">
        <v>109</v>
      </c>
      <c r="D20" s="31">
        <f>(6.1667-4.3933)/(35.7883-4.3933)*1000</f>
        <v>56.486701704093001</v>
      </c>
      <c r="E20" s="31">
        <f>(D20-(4.9968-4.3933)/(35.7883-4.3933)*1000)/D20*100</f>
        <v>65.969324461486394</v>
      </c>
      <c r="BZ20" s="134">
        <f t="shared" si="2"/>
        <v>0</v>
      </c>
    </row>
    <row r="21" spans="2:78" x14ac:dyDescent="0.25">
      <c r="B21" s="34">
        <v>45222</v>
      </c>
      <c r="C21" t="s">
        <v>108</v>
      </c>
      <c r="D21" s="31">
        <f>(6.128-4.407)/(30.4458-4.407)*1000</f>
        <v>66.093675591809145</v>
      </c>
      <c r="E21" s="31">
        <f>(D21-(4.7656-4.407)/(30.4458-4.407)*1000)/D21*100</f>
        <v>79.163277164439279</v>
      </c>
      <c r="BZ21" s="134">
        <f t="shared" si="2"/>
        <v>0</v>
      </c>
    </row>
    <row r="22" spans="2:78" x14ac:dyDescent="0.25">
      <c r="B22" s="34">
        <v>45222</v>
      </c>
      <c r="C22" t="s">
        <v>108</v>
      </c>
      <c r="D22" s="31">
        <f>(6.0943-4.4178)/(29.4099-4.4178)*1000</f>
        <v>67.08119765846007</v>
      </c>
      <c r="E22" s="31">
        <f>(D22-(4.7542-4.4178)/(29.4099-4.4178)*1000)/D22*100</f>
        <v>79.934387116015486</v>
      </c>
      <c r="BZ22" s="134">
        <f t="shared" si="2"/>
        <v>0</v>
      </c>
    </row>
    <row r="23" spans="2:78" x14ac:dyDescent="0.25">
      <c r="B23" s="34">
        <v>45224</v>
      </c>
      <c r="C23" t="s">
        <v>107</v>
      </c>
      <c r="D23" s="31">
        <f>(5.9775-4.4396)/(10.4616-4.4396)*1000</f>
        <v>255.38027233477246</v>
      </c>
      <c r="E23" s="31">
        <f>(D23-(4.5088-4.4396)/(10.4616-4.4396)*1000)/D23*100</f>
        <v>95.500357630535177</v>
      </c>
      <c r="AZ23">
        <f>(914.8*0.27522-115.4*0.25)/25.22*AZ3</f>
        <v>9.4578011070578913</v>
      </c>
      <c r="BA23">
        <f>(158.2*0.27522-0*0.25)/25.22*BA3</f>
        <v>2.6068637605075335</v>
      </c>
      <c r="BB23">
        <f>((12.6+18.3)*0.27522-11*0.25)/25.22*BB3</f>
        <v>0.4152586185567011</v>
      </c>
      <c r="BC23">
        <v>0</v>
      </c>
      <c r="BD23">
        <f>((84.14*0.27522-30.7*0.25)/25.22*BD3)</f>
        <v>0.65684978413957196</v>
      </c>
      <c r="BZ23" s="134">
        <f t="shared" si="2"/>
        <v>0</v>
      </c>
    </row>
    <row r="24" spans="2:78" x14ac:dyDescent="0.25">
      <c r="B24" s="34">
        <v>45224</v>
      </c>
      <c r="C24" t="s">
        <v>107</v>
      </c>
      <c r="D24" s="31">
        <f>(6.0368-4.3551)/(10.3591-4.3551)*1000</f>
        <v>280.0966022651566</v>
      </c>
      <c r="E24" s="31">
        <f>(D24-(4.4172-4.3551)/(10.3591-4.3551)*1000)/D24*100</f>
        <v>96.307308081108388</v>
      </c>
      <c r="BZ24" s="134">
        <f t="shared" si="2"/>
        <v>0</v>
      </c>
    </row>
    <row r="25" spans="2:78" x14ac:dyDescent="0.25">
      <c r="B25" s="34">
        <v>45224</v>
      </c>
      <c r="C25" t="s">
        <v>110</v>
      </c>
      <c r="D25" s="31">
        <f>(5.4239-4.4578)/(17.6867-4.4578)*1000</f>
        <v>73.029503586843958</v>
      </c>
      <c r="E25" s="31">
        <f>(D25-(4.6005-4.4578)/(17.6867-4.4578)*1000)/D25*100</f>
        <v>85.229272332056667</v>
      </c>
      <c r="BZ25" s="134">
        <f t="shared" si="2"/>
        <v>0</v>
      </c>
    </row>
    <row r="26" spans="2:78" x14ac:dyDescent="0.25">
      <c r="B26" s="34">
        <v>45224</v>
      </c>
      <c r="C26" t="s">
        <v>110</v>
      </c>
      <c r="D26" s="31">
        <f>(5.5463-4.4173)/(19.9584-4.4173)*1000</f>
        <v>72.646080393279732</v>
      </c>
      <c r="E26" s="31">
        <f>(D26-(4.5859-4.4173)/(19.9584-4.4173)*1000)/D26*100</f>
        <v>85.066430469442011</v>
      </c>
      <c r="BZ26" s="134">
        <f t="shared" si="2"/>
        <v>0</v>
      </c>
    </row>
    <row r="27" spans="2:78" x14ac:dyDescent="0.25">
      <c r="B27" s="34">
        <v>45233</v>
      </c>
      <c r="C27" t="s">
        <v>108</v>
      </c>
      <c r="D27" s="31">
        <f>(6.4514-4.2815)/(42.6476-4.2815)*1000</f>
        <v>56.557742381946554</v>
      </c>
      <c r="E27" s="31">
        <f>(D27-(4.7666-4.2815)/(42.6476-4.2815)*1000)/D27*100</f>
        <v>77.644131065947732</v>
      </c>
      <c r="BZ27" s="134">
        <f t="shared" si="2"/>
        <v>0</v>
      </c>
    </row>
    <row r="28" spans="2:78" x14ac:dyDescent="0.25">
      <c r="B28" s="34">
        <v>45233</v>
      </c>
      <c r="C28" t="s">
        <v>108</v>
      </c>
      <c r="D28" s="31">
        <f>(6.4404-4.3786)/(40.7965-4.3786)*1000</f>
        <v>56.615016242012871</v>
      </c>
      <c r="E28" s="31">
        <f>(D28-(4.8296-4.3786)/(40.7965-4.3786)*1000)/D28*100</f>
        <v>78.125909399553777</v>
      </c>
      <c r="BZ28" s="134">
        <f t="shared" si="2"/>
        <v>0</v>
      </c>
    </row>
    <row r="29" spans="2:78" x14ac:dyDescent="0.25">
      <c r="B29" s="34">
        <v>45233</v>
      </c>
      <c r="C29" s="67" t="s">
        <v>112</v>
      </c>
      <c r="D29" s="31">
        <v>54.101984488766227</v>
      </c>
      <c r="E29" s="31">
        <v>62.067174515235486</v>
      </c>
      <c r="F29" s="67"/>
      <c r="BZ29" s="134">
        <f t="shared" si="2"/>
        <v>0</v>
      </c>
    </row>
    <row r="30" spans="2:78" x14ac:dyDescent="0.25">
      <c r="B30" s="34">
        <v>45233</v>
      </c>
      <c r="C30" s="67" t="s">
        <v>112</v>
      </c>
      <c r="D30" s="31">
        <v>54.643182912554479</v>
      </c>
      <c r="E30" s="31">
        <v>62.630749391030214</v>
      </c>
      <c r="BZ30" s="134">
        <f t="shared" si="2"/>
        <v>0</v>
      </c>
    </row>
    <row r="31" spans="2:78" x14ac:dyDescent="0.25">
      <c r="B31" s="34">
        <v>45233</v>
      </c>
      <c r="C31" t="s">
        <v>113</v>
      </c>
      <c r="D31" s="31">
        <v>55.277459680353608</v>
      </c>
      <c r="E31" s="31">
        <v>64.920667913808629</v>
      </c>
      <c r="BZ31" s="134">
        <f t="shared" si="2"/>
        <v>0</v>
      </c>
    </row>
    <row r="32" spans="2:78" x14ac:dyDescent="0.25">
      <c r="B32" s="34">
        <v>45233</v>
      </c>
      <c r="C32" t="s">
        <v>113</v>
      </c>
      <c r="D32" s="31">
        <v>55.464860611676137</v>
      </c>
      <c r="E32" s="31">
        <v>64.580709313887979</v>
      </c>
      <c r="BZ32" s="134">
        <f t="shared" si="2"/>
        <v>0</v>
      </c>
    </row>
    <row r="33" spans="1:78" x14ac:dyDescent="0.25">
      <c r="B33" s="34">
        <v>45233</v>
      </c>
      <c r="C33" t="s">
        <v>108</v>
      </c>
      <c r="D33" s="31"/>
      <c r="E33" s="31"/>
      <c r="AS33">
        <v>7.68</v>
      </c>
      <c r="AT33">
        <f>5800.2*2</f>
        <v>11600.4</v>
      </c>
      <c r="AU33">
        <f>58.6*20</f>
        <v>1172</v>
      </c>
      <c r="AV33">
        <f>2.8*20</f>
        <v>56</v>
      </c>
      <c r="AW33">
        <f>648*20</f>
        <v>12960</v>
      </c>
      <c r="AZ33">
        <f>AZ3*3059/1000</f>
        <v>3.2731300000000001</v>
      </c>
      <c r="BA33">
        <f>BA3*1331/1000</f>
        <v>2.0098099999999999</v>
      </c>
      <c r="BB33">
        <f>BB3*(140+165)/1000</f>
        <v>0.55510000000000004</v>
      </c>
      <c r="BC33">
        <f>BC3*(191+53)/1000</f>
        <v>0.49775999999999998</v>
      </c>
      <c r="BZ33" s="134" t="e">
        <f t="shared" si="2"/>
        <v>#DIV/0!</v>
      </c>
    </row>
    <row r="34" spans="1:78" x14ac:dyDescent="0.25">
      <c r="B34" s="34">
        <v>45245</v>
      </c>
      <c r="C34" t="s">
        <v>108</v>
      </c>
      <c r="D34" s="31">
        <v>54.834954455926244</v>
      </c>
      <c r="E34" s="31">
        <v>78.347922326189831</v>
      </c>
      <c r="BZ34" s="134">
        <f t="shared" si="2"/>
        <v>0</v>
      </c>
    </row>
    <row r="35" spans="1:78" x14ac:dyDescent="0.25">
      <c r="B35" s="34">
        <v>45245</v>
      </c>
      <c r="C35" t="s">
        <v>108</v>
      </c>
      <c r="D35" s="31">
        <v>55.008447548404035</v>
      </c>
      <c r="E35" s="31">
        <v>77.211135747721144</v>
      </c>
      <c r="BZ35" s="134">
        <f t="shared" si="2"/>
        <v>0</v>
      </c>
    </row>
    <row r="36" spans="1:78" x14ac:dyDescent="0.25">
      <c r="B36" s="34">
        <v>45272</v>
      </c>
      <c r="C36" t="s">
        <v>107</v>
      </c>
      <c r="D36" s="31">
        <v>278.62396804635523</v>
      </c>
      <c r="E36" s="128">
        <v>95.159254959366024</v>
      </c>
      <c r="AZ36">
        <f>(1209.87*0.27522-115.4*0.25)/25.22*AZ3</f>
        <v>12.903233580412373</v>
      </c>
      <c r="BA36">
        <f>(134.73*0.27522-0*0.25)/25.22*BA3</f>
        <v>2.2201185490087236</v>
      </c>
      <c r="BB36">
        <f>(13.3*0.27522-11*0.25)/25.22*BB3</f>
        <v>6.5700845360824794E-2</v>
      </c>
      <c r="BC36">
        <v>0</v>
      </c>
      <c r="BD36">
        <f>((153.02*0.27522-30.7*0.25)/25.22*BD3)</f>
        <v>1.4611382199841403</v>
      </c>
      <c r="BZ36" s="134">
        <f t="shared" si="2"/>
        <v>0</v>
      </c>
    </row>
    <row r="37" spans="1:78" x14ac:dyDescent="0.25">
      <c r="B37" s="34">
        <v>45272</v>
      </c>
      <c r="C37" t="s">
        <v>107</v>
      </c>
      <c r="D37" s="31">
        <v>248.62515057874612</v>
      </c>
      <c r="E37" s="128">
        <v>94.389438943894376</v>
      </c>
      <c r="BZ37" s="134">
        <f t="shared" si="2"/>
        <v>0</v>
      </c>
    </row>
    <row r="38" spans="1:78" x14ac:dyDescent="0.25">
      <c r="B38" s="80">
        <v>45272</v>
      </c>
      <c r="C38" s="32" t="s">
        <v>108</v>
      </c>
      <c r="D38" s="81">
        <v>68.187593528531508</v>
      </c>
      <c r="E38" s="128">
        <v>80.467317361727282</v>
      </c>
      <c r="H38" s="131"/>
      <c r="BZ38" s="134">
        <f t="shared" si="2"/>
        <v>0</v>
      </c>
    </row>
    <row r="39" spans="1:78" x14ac:dyDescent="0.25">
      <c r="B39" s="80">
        <v>45272</v>
      </c>
      <c r="C39" s="32" t="s">
        <v>108</v>
      </c>
      <c r="D39" s="81">
        <v>69.637924432200521</v>
      </c>
      <c r="E39" s="128">
        <v>81.047461427579975</v>
      </c>
      <c r="BZ39" s="134">
        <f t="shared" si="2"/>
        <v>0</v>
      </c>
    </row>
    <row r="40" spans="1:78" x14ac:dyDescent="0.25">
      <c r="B40" s="34">
        <v>45280</v>
      </c>
      <c r="C40" t="s">
        <v>108</v>
      </c>
      <c r="D40" s="31">
        <v>46.607671889386765</v>
      </c>
      <c r="E40" s="31">
        <v>78.343527855843931</v>
      </c>
      <c r="BZ40" s="134">
        <f t="shared" ref="BZ40:BZ58" si="17">G40/(D40*E40)/10</f>
        <v>0</v>
      </c>
    </row>
    <row r="41" spans="1:78" x14ac:dyDescent="0.25">
      <c r="B41" s="34">
        <v>45280</v>
      </c>
      <c r="C41" t="s">
        <v>108</v>
      </c>
      <c r="D41" s="31">
        <v>47.463888066073054</v>
      </c>
      <c r="E41" s="31">
        <v>78.463044542340313</v>
      </c>
      <c r="BZ41" s="134">
        <f t="shared" si="17"/>
        <v>0</v>
      </c>
    </row>
    <row r="42" spans="1:78" x14ac:dyDescent="0.25">
      <c r="A42" t="s">
        <v>114</v>
      </c>
      <c r="B42" s="34">
        <v>45306</v>
      </c>
      <c r="C42" t="s">
        <v>107</v>
      </c>
      <c r="D42" s="31"/>
      <c r="AZ42">
        <f>(1209.8*0.275-373*0.25)/25.14*AZ3</f>
        <v>10.191175417661098</v>
      </c>
      <c r="BA42">
        <f>(292.73*0.22-0*0.2)/20*BA3</f>
        <v>4.8622453000000005</v>
      </c>
      <c r="BB42">
        <f>((14+17)*0.22-23.6*0.2)/20*BB3</f>
        <v>0.19109999999999996</v>
      </c>
      <c r="BC42">
        <v>0</v>
      </c>
      <c r="BD42" t="s">
        <v>115</v>
      </c>
      <c r="BZ42" s="134" t="e">
        <f t="shared" si="17"/>
        <v>#DIV/0!</v>
      </c>
    </row>
    <row r="43" spans="1:78" x14ac:dyDescent="0.25">
      <c r="B43" s="34">
        <v>45308</v>
      </c>
      <c r="C43" t="s">
        <v>110</v>
      </c>
      <c r="D43" s="81">
        <f>(5.4239-4.4578)/(17.6867-4.4578)*1000</f>
        <v>73.029503586843958</v>
      </c>
      <c r="E43" s="81">
        <f>(D43-(4.6005-4.4578)/(17.6867-4.4578)*1000)/D43*100</f>
        <v>85.229272332056667</v>
      </c>
      <c r="G43">
        <f>1916*50</f>
        <v>95800</v>
      </c>
      <c r="AW43">
        <f>640*50</f>
        <v>32000</v>
      </c>
      <c r="AZ43">
        <v>2.9970700000000003</v>
      </c>
      <c r="BA43">
        <v>0</v>
      </c>
      <c r="BB43">
        <v>0.20697404</v>
      </c>
      <c r="BC43">
        <v>5.0014679999999999E-2</v>
      </c>
      <c r="BZ43" s="134">
        <f t="shared" si="17"/>
        <v>1.5391409035705621</v>
      </c>
    </row>
    <row r="44" spans="1:78" x14ac:dyDescent="0.25">
      <c r="B44" s="34">
        <v>45313</v>
      </c>
      <c r="C44" t="s">
        <v>110</v>
      </c>
      <c r="D44" s="81">
        <f>(5.5463-4.4173)/(19.9584-4.4173)*1000</f>
        <v>72.646080393279732</v>
      </c>
      <c r="E44" s="81">
        <f>(D44-(4.5859-4.4173)/(19.9584-4.4173)*1000)/D44*100</f>
        <v>85.066430469442011</v>
      </c>
      <c r="AZ44">
        <v>1.0232410000000001</v>
      </c>
      <c r="BA44">
        <v>0</v>
      </c>
      <c r="BB44">
        <v>0</v>
      </c>
      <c r="BC44">
        <v>0.12298547999999999</v>
      </c>
      <c r="BZ44" s="134">
        <f t="shared" si="17"/>
        <v>0</v>
      </c>
    </row>
    <row r="45" spans="1:78" x14ac:dyDescent="0.25">
      <c r="A45" t="s">
        <v>116</v>
      </c>
      <c r="B45" s="34">
        <v>45313</v>
      </c>
      <c r="C45" t="s">
        <v>108</v>
      </c>
      <c r="D45" s="31">
        <v>54.55681333806222</v>
      </c>
      <c r="E45" s="128">
        <v>89.910893935038771</v>
      </c>
      <c r="G45">
        <f>1682*50</f>
        <v>84100</v>
      </c>
      <c r="AW45">
        <f>510*50</f>
        <v>25500</v>
      </c>
      <c r="BZ45" s="134">
        <f t="shared" si="17"/>
        <v>1.7144889282675588</v>
      </c>
    </row>
    <row r="46" spans="1:78" x14ac:dyDescent="0.25">
      <c r="A46" t="s">
        <v>116</v>
      </c>
      <c r="B46" s="34">
        <v>45313</v>
      </c>
      <c r="C46" t="s">
        <v>108</v>
      </c>
      <c r="D46" s="31">
        <v>54.79495206032329</v>
      </c>
      <c r="E46" s="128">
        <v>89.910893935038771</v>
      </c>
      <c r="BZ46" s="134">
        <f t="shared" si="17"/>
        <v>0</v>
      </c>
    </row>
    <row r="47" spans="1:78" x14ac:dyDescent="0.25">
      <c r="B47" s="34">
        <v>45329</v>
      </c>
      <c r="C47" t="s">
        <v>108</v>
      </c>
      <c r="D47" s="31">
        <v>49.939829200057247</v>
      </c>
      <c r="E47" s="128">
        <v>89.973655664032279</v>
      </c>
      <c r="BZ47" s="134">
        <f t="shared" si="17"/>
        <v>0</v>
      </c>
    </row>
    <row r="48" spans="1:78" x14ac:dyDescent="0.25">
      <c r="B48" s="34">
        <v>45329</v>
      </c>
      <c r="C48" t="s">
        <v>108</v>
      </c>
      <c r="D48" s="31">
        <v>52.109124043922058</v>
      </c>
      <c r="E48" s="128">
        <v>91.645323677470657</v>
      </c>
      <c r="BZ48" s="134">
        <f t="shared" si="17"/>
        <v>0</v>
      </c>
    </row>
    <row r="49" spans="1:78" x14ac:dyDescent="0.25">
      <c r="B49" s="34">
        <v>45341</v>
      </c>
      <c r="C49" t="s">
        <v>108</v>
      </c>
      <c r="D49" s="31">
        <v>45.242148569807249</v>
      </c>
      <c r="E49" s="128">
        <v>76.246937775600202</v>
      </c>
      <c r="BZ49" s="134">
        <f t="shared" si="17"/>
        <v>0</v>
      </c>
    </row>
    <row r="50" spans="1:78" x14ac:dyDescent="0.25">
      <c r="B50" s="34">
        <v>45341</v>
      </c>
      <c r="C50" t="s">
        <v>108</v>
      </c>
      <c r="D50" s="31">
        <v>42.827709353967293</v>
      </c>
      <c r="BZ50" s="134" t="e">
        <f t="shared" si="17"/>
        <v>#DIV/0!</v>
      </c>
    </row>
    <row r="51" spans="1:78" x14ac:dyDescent="0.25">
      <c r="B51" s="34">
        <v>45352</v>
      </c>
      <c r="C51" t="s">
        <v>108</v>
      </c>
      <c r="D51" s="31">
        <v>77.777014022546055</v>
      </c>
      <c r="E51">
        <v>82</v>
      </c>
      <c r="BZ51" s="134">
        <f t="shared" si="17"/>
        <v>0</v>
      </c>
    </row>
    <row r="52" spans="1:78" x14ac:dyDescent="0.25">
      <c r="B52" s="34">
        <v>45352</v>
      </c>
      <c r="C52" t="s">
        <v>108</v>
      </c>
      <c r="D52" s="31">
        <v>76.173321986378156</v>
      </c>
      <c r="E52">
        <v>82</v>
      </c>
      <c r="BZ52" s="134">
        <f t="shared" si="17"/>
        <v>0</v>
      </c>
    </row>
    <row r="53" spans="1:78" x14ac:dyDescent="0.25">
      <c r="B53" s="34">
        <v>45364</v>
      </c>
      <c r="C53" t="s">
        <v>108</v>
      </c>
      <c r="D53" s="31">
        <v>76.623047370165963</v>
      </c>
      <c r="E53" s="128">
        <v>75.393229829473185</v>
      </c>
      <c r="G53">
        <f>59.9*1000</f>
        <v>59900</v>
      </c>
      <c r="N53">
        <f>54*50</f>
        <v>2700</v>
      </c>
      <c r="O53">
        <f>34.5*50</f>
        <v>1725</v>
      </c>
      <c r="AS53">
        <v>7.24</v>
      </c>
      <c r="AT53">
        <f>5936*2</f>
        <v>11872</v>
      </c>
      <c r="AU53">
        <f>53.2*25</f>
        <v>1330</v>
      </c>
      <c r="AW53">
        <f>34.1*500</f>
        <v>17050</v>
      </c>
      <c r="AZ53">
        <f>2073.317/1000</f>
        <v>2.0733169999999999</v>
      </c>
      <c r="BA53">
        <v>1.1164940000000001</v>
      </c>
      <c r="BB53">
        <f>(196.803+165)/1000</f>
        <v>0.36180299999999999</v>
      </c>
      <c r="BC53">
        <f>(258+56)/1000</f>
        <v>0.314</v>
      </c>
      <c r="BZ53" s="134">
        <f t="shared" si="17"/>
        <v>1.0368956518803587</v>
      </c>
    </row>
    <row r="54" spans="1:78" x14ac:dyDescent="0.25">
      <c r="B54" s="34">
        <v>45364</v>
      </c>
      <c r="C54" t="s">
        <v>108</v>
      </c>
      <c r="D54" s="31">
        <v>77.237904187005114</v>
      </c>
      <c r="E54" s="128">
        <v>87.95878638241301</v>
      </c>
      <c r="BZ54" s="134">
        <f t="shared" si="17"/>
        <v>0</v>
      </c>
    </row>
    <row r="55" spans="1:78" x14ac:dyDescent="0.25">
      <c r="A55" t="s">
        <v>114</v>
      </c>
      <c r="B55" s="34">
        <v>45366</v>
      </c>
      <c r="C55" t="s">
        <v>107</v>
      </c>
      <c r="D55" s="31">
        <v>292.25352112676057</v>
      </c>
      <c r="AZ55">
        <f>(2296.926*0.275-419.613*0.25)/25.14*AZ3</f>
        <v>22.419411217183775</v>
      </c>
      <c r="BA55">
        <f>(100.449*0.22-0*0.2)/20*BA3</f>
        <v>1.6684578900000002</v>
      </c>
      <c r="BB55">
        <f>(22.494*0.22-23.6*0.2)/20*BB3</f>
        <v>2.0809879999999982E-2</v>
      </c>
      <c r="BC55">
        <v>0</v>
      </c>
      <c r="BZ55" s="134" t="e">
        <f t="shared" si="17"/>
        <v>#DIV/0!</v>
      </c>
    </row>
    <row r="56" spans="1:78" x14ac:dyDescent="0.25">
      <c r="B56" s="34">
        <v>45366</v>
      </c>
      <c r="C56" t="s">
        <v>107</v>
      </c>
      <c r="D56" s="31">
        <v>293.67631296891739</v>
      </c>
      <c r="BZ56" s="134" t="e">
        <f t="shared" si="17"/>
        <v>#DIV/0!</v>
      </c>
    </row>
    <row r="57" spans="1:78" x14ac:dyDescent="0.25">
      <c r="B57" s="34">
        <v>45392</v>
      </c>
      <c r="C57" t="s">
        <v>108</v>
      </c>
      <c r="D57" s="31">
        <v>91.902966658786568</v>
      </c>
      <c r="AW57">
        <f>200*48.1</f>
        <v>9620</v>
      </c>
      <c r="BZ57" s="134" t="e">
        <f t="shared" si="17"/>
        <v>#DIV/0!</v>
      </c>
    </row>
    <row r="58" spans="1:78" x14ac:dyDescent="0.25">
      <c r="B58" s="34">
        <v>45392</v>
      </c>
      <c r="C58" t="s">
        <v>108</v>
      </c>
      <c r="D58" s="31">
        <v>93.30926690226687</v>
      </c>
      <c r="AW58">
        <f>2*4.89*1000</f>
        <v>9780</v>
      </c>
      <c r="BZ58" s="134" t="e">
        <f t="shared" si="17"/>
        <v>#DIV/0!</v>
      </c>
    </row>
    <row r="59" spans="1:78" x14ac:dyDescent="0.25">
      <c r="A59" s="5" t="s">
        <v>4707</v>
      </c>
      <c r="B59" s="115" t="s">
        <v>4708</v>
      </c>
      <c r="BZ59" s="134"/>
    </row>
    <row r="60" spans="1:78" x14ac:dyDescent="0.25">
      <c r="A60" s="12">
        <f>(31-25)+3</f>
        <v>9</v>
      </c>
      <c r="B60" s="112">
        <v>137</v>
      </c>
    </row>
    <row r="61" spans="1:78" x14ac:dyDescent="0.25">
      <c r="A61" s="12">
        <f>A60+(15-3)</f>
        <v>21</v>
      </c>
      <c r="B61" s="112"/>
    </row>
    <row r="62" spans="1:78" x14ac:dyDescent="0.25">
      <c r="A62" s="12">
        <f>A61+(30-15)+11</f>
        <v>47</v>
      </c>
      <c r="B62" s="112"/>
    </row>
    <row r="63" spans="1:78" x14ac:dyDescent="0.25">
      <c r="A63" s="12">
        <f>A62+(20-12)</f>
        <v>55</v>
      </c>
      <c r="B63" s="112"/>
    </row>
    <row r="64" spans="1:78" x14ac:dyDescent="0.25">
      <c r="A64" s="12">
        <f>A63+(31-20)+21</f>
        <v>87</v>
      </c>
      <c r="B64" s="112"/>
    </row>
    <row r="65" spans="1:2" x14ac:dyDescent="0.25">
      <c r="A65" s="12">
        <f>A64+(30-22)+6</f>
        <v>101</v>
      </c>
      <c r="B65" s="112"/>
    </row>
    <row r="66" spans="1:2" x14ac:dyDescent="0.25">
      <c r="A66" s="12">
        <f>A65+(19-7)</f>
        <v>113</v>
      </c>
      <c r="B66" s="112"/>
    </row>
    <row r="67" spans="1:2" x14ac:dyDescent="0.25">
      <c r="A67" s="12">
        <f>A66+(29-19)</f>
        <v>123</v>
      </c>
      <c r="B67" s="112"/>
    </row>
    <row r="68" spans="1:2" x14ac:dyDescent="0.25">
      <c r="A68" s="12">
        <f>A67+(13-1)</f>
        <v>135</v>
      </c>
      <c r="B68" s="112"/>
    </row>
    <row r="69" spans="1:2" x14ac:dyDescent="0.25">
      <c r="A69" s="19">
        <f>A68+(31-13)+10</f>
        <v>163</v>
      </c>
      <c r="B69" s="119"/>
    </row>
  </sheetData>
  <autoFilter ref="C1:C63" xr:uid="{D9907CB6-5D54-44A6-A64E-B3E3B5A7DC47}"/>
  <mergeCells count="1">
    <mergeCell ref="AM3:AO6"/>
  </mergeCells>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BC88-FB6D-4478-880E-ED52DC485706}">
  <dimension ref="A1:AA102"/>
  <sheetViews>
    <sheetView zoomScale="85" zoomScaleNormal="85" workbookViewId="0">
      <pane xSplit="1" ySplit="2" topLeftCell="B82" activePane="bottomRight" state="frozen"/>
      <selection pane="topRight" activeCell="B1" sqref="B1"/>
      <selection pane="bottomLeft" activeCell="A3" sqref="A3"/>
      <selection pane="bottomRight" activeCell="C108" sqref="C108"/>
    </sheetView>
  </sheetViews>
  <sheetFormatPr defaultRowHeight="15" x14ac:dyDescent="0.25"/>
  <cols>
    <col min="1" max="1" width="10.85546875" customWidth="1"/>
    <col min="2" max="3" width="18.42578125" customWidth="1"/>
    <col min="12" max="12" width="11" bestFit="1" customWidth="1"/>
    <col min="18" max="18" width="9.28515625" bestFit="1" customWidth="1"/>
    <col min="19" max="20" width="9.5703125" bestFit="1" customWidth="1"/>
    <col min="21" max="21" width="9.28515625" bestFit="1" customWidth="1"/>
    <col min="22" max="24" width="11.85546875" bestFit="1" customWidth="1"/>
  </cols>
  <sheetData>
    <row r="1" spans="1:27" ht="38.25" x14ac:dyDescent="0.25">
      <c r="A1" t="s">
        <v>117</v>
      </c>
      <c r="B1" t="s">
        <v>118</v>
      </c>
      <c r="C1" t="s">
        <v>119</v>
      </c>
      <c r="D1" s="55" t="s">
        <v>120</v>
      </c>
      <c r="E1" s="55" t="s">
        <v>121</v>
      </c>
      <c r="F1" s="55" t="s">
        <v>100</v>
      </c>
      <c r="G1" s="55" t="s">
        <v>122</v>
      </c>
      <c r="H1" s="60" t="s">
        <v>123</v>
      </c>
      <c r="I1" s="99" t="s">
        <v>124</v>
      </c>
      <c r="J1" s="99" t="s">
        <v>125</v>
      </c>
      <c r="K1" s="103" t="s">
        <v>126</v>
      </c>
      <c r="L1" s="103" t="s">
        <v>127</v>
      </c>
      <c r="M1" s="103" t="s">
        <v>128</v>
      </c>
      <c r="N1" s="103" t="s">
        <v>129</v>
      </c>
      <c r="O1" s="103" t="s">
        <v>130</v>
      </c>
      <c r="P1" s="103" t="s">
        <v>131</v>
      </c>
      <c r="Q1" s="103" t="s">
        <v>132</v>
      </c>
      <c r="R1" t="s">
        <v>133</v>
      </c>
    </row>
    <row r="2" spans="1:27" x14ac:dyDescent="0.25">
      <c r="A2" s="32"/>
      <c r="D2" s="58" t="s">
        <v>134</v>
      </c>
      <c r="E2" s="58" t="s">
        <v>134</v>
      </c>
      <c r="F2" s="58" t="s">
        <v>134</v>
      </c>
      <c r="G2" s="58"/>
      <c r="H2" s="58"/>
      <c r="K2" s="32">
        <v>1.53</v>
      </c>
      <c r="L2" s="32">
        <v>1.26</v>
      </c>
      <c r="M2" s="32">
        <v>1.3</v>
      </c>
      <c r="N2" s="32"/>
      <c r="O2" s="32"/>
      <c r="P2" s="32"/>
      <c r="Q2" s="32"/>
      <c r="R2">
        <f>86400*2+13*3600</f>
        <v>219600</v>
      </c>
      <c r="V2" t="s">
        <v>135</v>
      </c>
    </row>
    <row r="3" spans="1:27" x14ac:dyDescent="0.25">
      <c r="A3" s="74" t="s">
        <v>136</v>
      </c>
      <c r="B3" s="74" t="s">
        <v>137</v>
      </c>
      <c r="C3" s="45" t="str">
        <f>TEXT(DATEVALUE(A3) + TIMEVALUE(B3), "gg-mm-aaaa hh:mm")</f>
        <v>23-10-2023 15:00</v>
      </c>
      <c r="D3" s="93">
        <f>243*2</f>
        <v>486</v>
      </c>
      <c r="E3" s="93">
        <f>61*2</f>
        <v>122</v>
      </c>
      <c r="F3" s="93">
        <v>0</v>
      </c>
      <c r="G3" s="93"/>
      <c r="I3" s="93">
        <v>1</v>
      </c>
      <c r="J3" s="31">
        <f>66.4*79.5/100</f>
        <v>52.788000000000004</v>
      </c>
      <c r="K3" s="31">
        <f>J3*$K$2</f>
        <v>80.765640000000005</v>
      </c>
      <c r="L3" s="31">
        <f>267.7*95.9/100*$L$2</f>
        <v>323.47261800000001</v>
      </c>
      <c r="M3" s="31">
        <f>72.8*85.1/100*$M$2</f>
        <v>80.538640000000001</v>
      </c>
      <c r="N3" s="31">
        <f>K3*D3/1000</f>
        <v>39.252101039999999</v>
      </c>
      <c r="O3" s="31">
        <f t="shared" ref="O3:P18" si="0">L3*E3/1000</f>
        <v>39.463659396000004</v>
      </c>
      <c r="P3" s="31">
        <f t="shared" si="0"/>
        <v>0</v>
      </c>
      <c r="Q3" s="31">
        <f>SUM(N3:P3)</f>
        <v>78.715760436000011</v>
      </c>
      <c r="R3" s="31">
        <f t="shared" ref="R3:R34" si="1">TIMEVALUE(C3)</f>
        <v>0.625</v>
      </c>
      <c r="S3" s="31">
        <f t="shared" ref="S3:S34" si="2">DATEVALUE(A3)-MIN($A$3:$A$68)</f>
        <v>45222</v>
      </c>
      <c r="T3" s="31">
        <f>R3*86400</f>
        <v>54000</v>
      </c>
      <c r="U3" s="31">
        <f>S3-MIN($S$3:$S$68)</f>
        <v>0</v>
      </c>
      <c r="V3" s="31">
        <f>U3*86400</f>
        <v>0</v>
      </c>
      <c r="W3" s="31">
        <f>V3+T3</f>
        <v>54000</v>
      </c>
      <c r="X3" s="31">
        <f t="shared" ref="X3:X35" si="3">W3-$R$2</f>
        <v>-165600</v>
      </c>
      <c r="Y3" s="31">
        <f t="shared" ref="Y3" si="4">E3</f>
        <v>122</v>
      </c>
      <c r="Z3" s="31">
        <f t="shared" ref="Z3" si="5">D3</f>
        <v>486</v>
      </c>
      <c r="AA3" s="31"/>
    </row>
    <row r="4" spans="1:27" x14ac:dyDescent="0.25">
      <c r="A4" s="74" t="s">
        <v>138</v>
      </c>
      <c r="B4" s="74" t="s">
        <v>137</v>
      </c>
      <c r="C4" s="45" t="str">
        <f t="shared" ref="C4:C68" si="6">TEXT(DATEVALUE(A4) + TIMEVALUE(B4), "gg-mm-aaaa hh:mm")</f>
        <v>25-10-2023 15:00</v>
      </c>
      <c r="D4" s="93">
        <f>243*2</f>
        <v>486</v>
      </c>
      <c r="E4" s="93">
        <f>61*2</f>
        <v>122</v>
      </c>
      <c r="F4" s="93">
        <v>0</v>
      </c>
      <c r="G4" s="93"/>
      <c r="H4" t="s">
        <v>139</v>
      </c>
      <c r="I4" s="93">
        <v>1</v>
      </c>
      <c r="J4" s="31">
        <f t="shared" ref="J4:J8" si="7">66.4*79.5/100</f>
        <v>52.788000000000004</v>
      </c>
      <c r="K4" s="31">
        <f t="shared" ref="K4:K67" si="8">J4*$K$2</f>
        <v>80.765640000000005</v>
      </c>
      <c r="L4" s="31">
        <f t="shared" ref="L4:L59" si="9">267.7*95.9/100*$L$2</f>
        <v>323.47261800000001</v>
      </c>
      <c r="M4" s="31">
        <f t="shared" ref="M4:M67" si="10">72.8*85.1/100*$M$2</f>
        <v>80.538640000000001</v>
      </c>
      <c r="N4" s="31">
        <f t="shared" ref="N4:P67" si="11">K4*D4/1000</f>
        <v>39.252101039999999</v>
      </c>
      <c r="O4" s="31">
        <f t="shared" si="0"/>
        <v>39.463659396000004</v>
      </c>
      <c r="P4" s="31">
        <f t="shared" si="0"/>
        <v>0</v>
      </c>
      <c r="Q4" s="31">
        <f t="shared" ref="Q4:Q67" si="12">SUM(N4:P4)</f>
        <v>78.715760436000011</v>
      </c>
      <c r="R4" s="31">
        <f t="shared" si="1"/>
        <v>0.625</v>
      </c>
      <c r="S4" s="31">
        <f t="shared" si="2"/>
        <v>45224</v>
      </c>
      <c r="T4" s="31">
        <f t="shared" ref="T4:T68" si="13">R4*86400</f>
        <v>54000</v>
      </c>
      <c r="U4" s="31">
        <f t="shared" ref="U4:U68" si="14">S4-MIN($S$3:$S$68)</f>
        <v>2</v>
      </c>
      <c r="V4" s="31">
        <f t="shared" ref="V4:V68" si="15">U4*86400</f>
        <v>172800</v>
      </c>
      <c r="W4" s="31">
        <f t="shared" ref="W4:W68" si="16">V4+T4</f>
        <v>226800</v>
      </c>
      <c r="X4" s="31">
        <f t="shared" si="3"/>
        <v>7200</v>
      </c>
      <c r="Y4" s="31">
        <f t="shared" ref="Y4:Y67" si="17">E4</f>
        <v>122</v>
      </c>
      <c r="Z4" s="31">
        <f t="shared" ref="Z4:Z67" si="18">D4</f>
        <v>486</v>
      </c>
    </row>
    <row r="5" spans="1:27" x14ac:dyDescent="0.25">
      <c r="A5" s="74" t="s">
        <v>138</v>
      </c>
      <c r="B5" s="74" t="s">
        <v>140</v>
      </c>
      <c r="C5" s="45" t="str">
        <f t="shared" si="6"/>
        <v>25-10-2023 15:21</v>
      </c>
      <c r="D5" s="93"/>
      <c r="E5" s="93"/>
      <c r="F5" s="93">
        <v>0</v>
      </c>
      <c r="G5" s="93"/>
      <c r="H5" t="s">
        <v>141</v>
      </c>
      <c r="I5" s="74"/>
      <c r="J5" s="31">
        <f t="shared" si="7"/>
        <v>52.788000000000004</v>
      </c>
      <c r="K5" s="31">
        <f t="shared" si="8"/>
        <v>80.765640000000005</v>
      </c>
      <c r="L5" s="31">
        <f t="shared" si="9"/>
        <v>323.47261800000001</v>
      </c>
      <c r="M5" s="31">
        <f t="shared" si="10"/>
        <v>80.538640000000001</v>
      </c>
      <c r="N5" s="31">
        <f t="shared" si="11"/>
        <v>0</v>
      </c>
      <c r="O5" s="31">
        <f t="shared" si="0"/>
        <v>0</v>
      </c>
      <c r="P5" s="31">
        <f t="shared" si="0"/>
        <v>0</v>
      </c>
      <c r="Q5" s="31">
        <f t="shared" si="12"/>
        <v>0</v>
      </c>
      <c r="R5" s="31">
        <f t="shared" si="1"/>
        <v>0.63958333332993789</v>
      </c>
      <c r="S5" s="31">
        <f t="shared" si="2"/>
        <v>45224</v>
      </c>
      <c r="T5" s="31">
        <f t="shared" si="13"/>
        <v>55259.999999706633</v>
      </c>
      <c r="U5" s="31">
        <f t="shared" si="14"/>
        <v>2</v>
      </c>
      <c r="V5" s="31">
        <f t="shared" si="15"/>
        <v>172800</v>
      </c>
      <c r="W5" s="31">
        <f t="shared" si="16"/>
        <v>228059.99999970663</v>
      </c>
      <c r="X5" s="31">
        <f t="shared" si="3"/>
        <v>8459.9999997066334</v>
      </c>
      <c r="Y5" s="31">
        <f t="shared" si="17"/>
        <v>0</v>
      </c>
      <c r="Z5" s="31">
        <f t="shared" si="18"/>
        <v>0</v>
      </c>
    </row>
    <row r="6" spans="1:27" x14ac:dyDescent="0.25">
      <c r="A6" s="74" t="s">
        <v>138</v>
      </c>
      <c r="B6" s="74" t="s">
        <v>142</v>
      </c>
      <c r="C6" s="45" t="str">
        <f t="shared" si="6"/>
        <v>25-10-2023 15:22</v>
      </c>
      <c r="D6" s="93"/>
      <c r="E6" s="93"/>
      <c r="F6" s="93">
        <f>F5+60*0.166667</f>
        <v>10.000020000000001</v>
      </c>
      <c r="G6" s="93"/>
      <c r="I6" s="74"/>
      <c r="J6" s="31">
        <f t="shared" si="7"/>
        <v>52.788000000000004</v>
      </c>
      <c r="K6" s="31">
        <f t="shared" si="8"/>
        <v>80.765640000000005</v>
      </c>
      <c r="L6" s="31">
        <f t="shared" si="9"/>
        <v>323.47261800000001</v>
      </c>
      <c r="M6" s="31">
        <f t="shared" si="10"/>
        <v>80.538640000000001</v>
      </c>
      <c r="N6" s="31">
        <f t="shared" si="11"/>
        <v>0</v>
      </c>
      <c r="O6" s="31">
        <f t="shared" si="0"/>
        <v>0</v>
      </c>
      <c r="P6" s="31">
        <f t="shared" si="0"/>
        <v>0.80538801077280009</v>
      </c>
      <c r="Q6" s="31">
        <f t="shared" si="12"/>
        <v>0.80538801077280009</v>
      </c>
      <c r="R6" s="31">
        <f t="shared" si="1"/>
        <v>0.64027777777664596</v>
      </c>
      <c r="S6" s="31">
        <f t="shared" si="2"/>
        <v>45224</v>
      </c>
      <c r="T6" s="31">
        <f t="shared" si="13"/>
        <v>55319.999999902211</v>
      </c>
      <c r="U6" s="31">
        <f t="shared" si="14"/>
        <v>2</v>
      </c>
      <c r="V6" s="31">
        <f t="shared" si="15"/>
        <v>172800</v>
      </c>
      <c r="W6" s="31">
        <f t="shared" si="16"/>
        <v>228119.99999990221</v>
      </c>
      <c r="X6" s="31">
        <f t="shared" si="3"/>
        <v>8519.9999999022111</v>
      </c>
      <c r="Y6" s="31">
        <f t="shared" si="17"/>
        <v>0</v>
      </c>
      <c r="Z6" s="31">
        <f t="shared" si="18"/>
        <v>0</v>
      </c>
    </row>
    <row r="7" spans="1:27" x14ac:dyDescent="0.25">
      <c r="A7" s="74" t="s">
        <v>138</v>
      </c>
      <c r="B7" s="74" t="s">
        <v>143</v>
      </c>
      <c r="C7" s="45" t="str">
        <f t="shared" si="6"/>
        <v>25-10-2023 16:38</v>
      </c>
      <c r="D7" s="93"/>
      <c r="E7" s="93"/>
      <c r="F7" s="93">
        <f>F6</f>
        <v>10.000020000000001</v>
      </c>
      <c r="G7" s="93"/>
      <c r="H7" t="s">
        <v>144</v>
      </c>
      <c r="I7" s="74"/>
      <c r="J7" s="31">
        <f t="shared" si="7"/>
        <v>52.788000000000004</v>
      </c>
      <c r="K7" s="31">
        <f t="shared" si="8"/>
        <v>80.765640000000005</v>
      </c>
      <c r="L7" s="31">
        <f t="shared" si="9"/>
        <v>323.47261800000001</v>
      </c>
      <c r="M7" s="31">
        <f t="shared" si="10"/>
        <v>80.538640000000001</v>
      </c>
      <c r="N7" s="31">
        <f t="shared" si="11"/>
        <v>0</v>
      </c>
      <c r="O7" s="31">
        <f t="shared" si="0"/>
        <v>0</v>
      </c>
      <c r="P7" s="31">
        <f t="shared" si="0"/>
        <v>0.80538801077280009</v>
      </c>
      <c r="Q7" s="31">
        <f t="shared" si="12"/>
        <v>0.80538801077280009</v>
      </c>
      <c r="R7" s="31">
        <f t="shared" si="1"/>
        <v>0.69305555555911269</v>
      </c>
      <c r="S7" s="31">
        <f t="shared" si="2"/>
        <v>45224</v>
      </c>
      <c r="T7" s="31">
        <f t="shared" si="13"/>
        <v>59880.000000307336</v>
      </c>
      <c r="U7" s="31">
        <f t="shared" si="14"/>
        <v>2</v>
      </c>
      <c r="V7" s="31">
        <f t="shared" si="15"/>
        <v>172800</v>
      </c>
      <c r="W7" s="31">
        <f t="shared" si="16"/>
        <v>232680.00000030734</v>
      </c>
      <c r="X7" s="31">
        <f t="shared" si="3"/>
        <v>13080.000000307336</v>
      </c>
      <c r="Y7" s="31">
        <f t="shared" si="17"/>
        <v>0</v>
      </c>
      <c r="Z7" s="31">
        <f t="shared" si="18"/>
        <v>0</v>
      </c>
    </row>
    <row r="8" spans="1:27" x14ac:dyDescent="0.25">
      <c r="A8" s="74" t="s">
        <v>145</v>
      </c>
      <c r="B8" s="74" t="s">
        <v>146</v>
      </c>
      <c r="C8" s="45" t="str">
        <f t="shared" si="6"/>
        <v>27-10-2023 10:50</v>
      </c>
      <c r="D8" s="93">
        <v>730</v>
      </c>
      <c r="E8" s="93">
        <v>183</v>
      </c>
      <c r="F8" s="93">
        <v>0</v>
      </c>
      <c r="G8" s="93"/>
      <c r="H8" t="s">
        <v>147</v>
      </c>
      <c r="I8" s="93">
        <v>1</v>
      </c>
      <c r="J8" s="31">
        <f t="shared" si="7"/>
        <v>52.788000000000004</v>
      </c>
      <c r="K8" s="31">
        <f t="shared" si="8"/>
        <v>80.765640000000005</v>
      </c>
      <c r="L8" s="31">
        <f t="shared" si="9"/>
        <v>323.47261800000001</v>
      </c>
      <c r="M8" s="31">
        <f t="shared" si="10"/>
        <v>80.538640000000001</v>
      </c>
      <c r="N8" s="31">
        <f t="shared" si="11"/>
        <v>58.958917200000002</v>
      </c>
      <c r="O8" s="31">
        <f t="shared" si="0"/>
        <v>59.195489094000003</v>
      </c>
      <c r="P8" s="31">
        <f t="shared" si="0"/>
        <v>0</v>
      </c>
      <c r="Q8" s="31">
        <f t="shared" si="12"/>
        <v>118.15440629400001</v>
      </c>
      <c r="R8" s="31">
        <f t="shared" si="1"/>
        <v>0.45138888889050577</v>
      </c>
      <c r="S8" s="31">
        <f t="shared" si="2"/>
        <v>45226</v>
      </c>
      <c r="T8" s="31">
        <f t="shared" si="13"/>
        <v>39000.000000139698</v>
      </c>
      <c r="U8" s="31">
        <f t="shared" si="14"/>
        <v>4</v>
      </c>
      <c r="V8" s="31">
        <f t="shared" si="15"/>
        <v>345600</v>
      </c>
      <c r="W8" s="31">
        <f t="shared" si="16"/>
        <v>384600.0000001397</v>
      </c>
      <c r="X8" s="31">
        <f t="shared" si="3"/>
        <v>165000.0000001397</v>
      </c>
      <c r="Y8" s="31">
        <f t="shared" si="17"/>
        <v>183</v>
      </c>
      <c r="Z8" s="31">
        <f t="shared" si="18"/>
        <v>730</v>
      </c>
    </row>
    <row r="9" spans="1:27" x14ac:dyDescent="0.25">
      <c r="A9" s="74" t="s">
        <v>148</v>
      </c>
      <c r="B9" s="74" t="s">
        <v>149</v>
      </c>
      <c r="C9" s="45" t="str">
        <f t="shared" si="6"/>
        <v>30-10-2023 11:15</v>
      </c>
      <c r="D9" s="93"/>
      <c r="E9" s="93"/>
      <c r="F9" s="93" t="s">
        <v>150</v>
      </c>
      <c r="G9" s="93"/>
      <c r="H9" t="s">
        <v>151</v>
      </c>
      <c r="J9" s="31">
        <f t="shared" ref="J9:J13" si="19">56.6*77.9/100</f>
        <v>44.0914</v>
      </c>
      <c r="K9" s="31">
        <f t="shared" si="8"/>
        <v>67.459841999999995</v>
      </c>
      <c r="L9" s="31">
        <f t="shared" si="9"/>
        <v>323.47261800000001</v>
      </c>
      <c r="M9" s="31">
        <f t="shared" si="10"/>
        <v>80.538640000000001</v>
      </c>
      <c r="N9" s="31">
        <f t="shared" si="11"/>
        <v>0</v>
      </c>
      <c r="O9" s="31">
        <f t="shared" si="0"/>
        <v>0</v>
      </c>
      <c r="P9" s="31" t="e">
        <f t="shared" si="0"/>
        <v>#VALUE!</v>
      </c>
      <c r="Q9" s="31" t="e">
        <f t="shared" si="12"/>
        <v>#VALUE!</v>
      </c>
      <c r="R9" s="31">
        <f t="shared" si="1"/>
        <v>0.46875</v>
      </c>
      <c r="S9" s="31">
        <f t="shared" si="2"/>
        <v>45229</v>
      </c>
      <c r="T9" s="31">
        <f t="shared" si="13"/>
        <v>40500</v>
      </c>
      <c r="U9" s="31">
        <f t="shared" si="14"/>
        <v>7</v>
      </c>
      <c r="V9" s="31">
        <f t="shared" si="15"/>
        <v>604800</v>
      </c>
      <c r="W9" s="31">
        <f t="shared" si="16"/>
        <v>645300</v>
      </c>
      <c r="X9" s="31">
        <f t="shared" si="3"/>
        <v>425700</v>
      </c>
      <c r="Y9" s="31">
        <f t="shared" si="17"/>
        <v>0</v>
      </c>
      <c r="Z9" s="31">
        <f t="shared" si="18"/>
        <v>0</v>
      </c>
    </row>
    <row r="10" spans="1:27" x14ac:dyDescent="0.25">
      <c r="A10" s="74" t="s">
        <v>152</v>
      </c>
      <c r="B10" s="74" t="s">
        <v>153</v>
      </c>
      <c r="C10" s="45" t="str">
        <f t="shared" si="6"/>
        <v>03-11-2023 10:14</v>
      </c>
      <c r="D10" s="93">
        <v>730</v>
      </c>
      <c r="E10" s="93">
        <v>183</v>
      </c>
      <c r="F10" s="93">
        <v>0</v>
      </c>
      <c r="G10" s="93">
        <v>1088.98</v>
      </c>
      <c r="H10" t="s">
        <v>154</v>
      </c>
      <c r="I10" s="93">
        <v>1</v>
      </c>
      <c r="J10" s="31">
        <f t="shared" si="19"/>
        <v>44.0914</v>
      </c>
      <c r="K10" s="31">
        <f t="shared" si="8"/>
        <v>67.459841999999995</v>
      </c>
      <c r="L10" s="31">
        <f t="shared" si="9"/>
        <v>323.47261800000001</v>
      </c>
      <c r="M10" s="31">
        <f t="shared" si="10"/>
        <v>80.538640000000001</v>
      </c>
      <c r="N10" s="31">
        <f t="shared" si="11"/>
        <v>49.245684660000002</v>
      </c>
      <c r="O10" s="31">
        <f t="shared" si="0"/>
        <v>59.195489094000003</v>
      </c>
      <c r="P10" s="31">
        <f t="shared" si="0"/>
        <v>0</v>
      </c>
      <c r="Q10" s="31">
        <f t="shared" si="12"/>
        <v>108.441173754</v>
      </c>
      <c r="R10" s="31">
        <f t="shared" si="1"/>
        <v>0.42638888888905058</v>
      </c>
      <c r="S10" s="31">
        <f t="shared" si="2"/>
        <v>45233</v>
      </c>
      <c r="T10" s="31">
        <f t="shared" si="13"/>
        <v>36840.00000001397</v>
      </c>
      <c r="U10" s="31">
        <f t="shared" si="14"/>
        <v>11</v>
      </c>
      <c r="V10" s="31">
        <f t="shared" si="15"/>
        <v>950400</v>
      </c>
      <c r="W10" s="31">
        <f t="shared" si="16"/>
        <v>987240.00000001397</v>
      </c>
      <c r="X10" s="31">
        <f t="shared" si="3"/>
        <v>767640.00000001397</v>
      </c>
      <c r="Y10" s="31">
        <f t="shared" si="17"/>
        <v>183</v>
      </c>
      <c r="Z10" s="31">
        <f t="shared" si="18"/>
        <v>730</v>
      </c>
    </row>
    <row r="11" spans="1:27" x14ac:dyDescent="0.25">
      <c r="A11" s="74" t="s">
        <v>155</v>
      </c>
      <c r="B11" s="74" t="s">
        <v>156</v>
      </c>
      <c r="C11" s="45" t="str">
        <f t="shared" si="6"/>
        <v>06-11-2023 10:00</v>
      </c>
      <c r="D11" s="93">
        <v>0</v>
      </c>
      <c r="E11" s="93">
        <v>0</v>
      </c>
      <c r="F11" s="93">
        <f>G10-G11</f>
        <v>249.22000000000003</v>
      </c>
      <c r="G11" s="93">
        <v>839.76</v>
      </c>
      <c r="I11" s="93">
        <v>1</v>
      </c>
      <c r="J11" s="31">
        <f t="shared" si="19"/>
        <v>44.0914</v>
      </c>
      <c r="K11" s="31">
        <f t="shared" si="8"/>
        <v>67.459841999999995</v>
      </c>
      <c r="L11" s="31">
        <f t="shared" si="9"/>
        <v>323.47261800000001</v>
      </c>
      <c r="M11" s="31">
        <f t="shared" si="10"/>
        <v>80.538640000000001</v>
      </c>
      <c r="N11" s="31">
        <f t="shared" si="11"/>
        <v>0</v>
      </c>
      <c r="O11" s="31">
        <f t="shared" si="0"/>
        <v>0</v>
      </c>
      <c r="P11" s="31">
        <f t="shared" si="0"/>
        <v>20.071839860800001</v>
      </c>
      <c r="Q11" s="31">
        <f t="shared" si="12"/>
        <v>20.071839860800001</v>
      </c>
      <c r="R11" s="31">
        <f t="shared" si="1"/>
        <v>0.41666666666424135</v>
      </c>
      <c r="S11" s="31">
        <f t="shared" si="2"/>
        <v>45236</v>
      </c>
      <c r="T11" s="31">
        <f t="shared" si="13"/>
        <v>35999.999999790452</v>
      </c>
      <c r="U11" s="31">
        <f t="shared" si="14"/>
        <v>14</v>
      </c>
      <c r="V11" s="31">
        <f t="shared" si="15"/>
        <v>1209600</v>
      </c>
      <c r="W11" s="31">
        <f t="shared" si="16"/>
        <v>1245599.9999997905</v>
      </c>
      <c r="X11" s="31">
        <f t="shared" si="3"/>
        <v>1025999.9999997905</v>
      </c>
      <c r="Y11" s="31">
        <f t="shared" si="17"/>
        <v>0</v>
      </c>
      <c r="Z11" s="31">
        <f t="shared" si="18"/>
        <v>0</v>
      </c>
    </row>
    <row r="12" spans="1:27" x14ac:dyDescent="0.25">
      <c r="A12" s="74" t="s">
        <v>155</v>
      </c>
      <c r="B12" s="74" t="s">
        <v>156</v>
      </c>
      <c r="C12" s="45" t="str">
        <f t="shared" si="6"/>
        <v>06-11-2023 10:00</v>
      </c>
      <c r="D12" s="93"/>
      <c r="E12" s="93"/>
      <c r="F12" s="93"/>
      <c r="G12" s="93">
        <v>1088.0899999999999</v>
      </c>
      <c r="H12" t="s">
        <v>157</v>
      </c>
      <c r="J12" s="31">
        <f t="shared" si="19"/>
        <v>44.0914</v>
      </c>
      <c r="K12" s="31">
        <f t="shared" si="8"/>
        <v>67.459841999999995</v>
      </c>
      <c r="L12" s="31">
        <f t="shared" si="9"/>
        <v>323.47261800000001</v>
      </c>
      <c r="M12" s="31">
        <f t="shared" si="10"/>
        <v>80.538640000000001</v>
      </c>
      <c r="N12" s="31">
        <f t="shared" si="11"/>
        <v>0</v>
      </c>
      <c r="O12" s="31">
        <f t="shared" si="0"/>
        <v>0</v>
      </c>
      <c r="P12" s="31">
        <f t="shared" si="0"/>
        <v>0</v>
      </c>
      <c r="Q12" s="31">
        <f t="shared" si="12"/>
        <v>0</v>
      </c>
      <c r="R12" s="31">
        <f t="shared" si="1"/>
        <v>0.41666666666424135</v>
      </c>
      <c r="S12" s="31">
        <f t="shared" si="2"/>
        <v>45236</v>
      </c>
      <c r="T12" s="31">
        <f t="shared" si="13"/>
        <v>35999.999999790452</v>
      </c>
      <c r="U12" s="31">
        <f t="shared" si="14"/>
        <v>14</v>
      </c>
      <c r="V12" s="31">
        <f t="shared" si="15"/>
        <v>1209600</v>
      </c>
      <c r="W12" s="31">
        <f t="shared" si="16"/>
        <v>1245599.9999997905</v>
      </c>
      <c r="X12" s="31">
        <f t="shared" si="3"/>
        <v>1025999.9999997905</v>
      </c>
      <c r="Y12" s="31">
        <f t="shared" si="17"/>
        <v>0</v>
      </c>
      <c r="Z12" s="31">
        <f t="shared" si="18"/>
        <v>0</v>
      </c>
    </row>
    <row r="13" spans="1:27" x14ac:dyDescent="0.25">
      <c r="A13" s="74" t="s">
        <v>155</v>
      </c>
      <c r="B13" s="74" t="s">
        <v>158</v>
      </c>
      <c r="C13" s="45" t="str">
        <f t="shared" si="6"/>
        <v>06-11-2023 15:15</v>
      </c>
      <c r="D13" s="93">
        <f>243*2</f>
        <v>486</v>
      </c>
      <c r="E13" s="93">
        <f>61*2</f>
        <v>122</v>
      </c>
      <c r="F13" s="93">
        <v>0</v>
      </c>
      <c r="G13" s="93">
        <v>1044.81</v>
      </c>
      <c r="I13" s="93">
        <v>1</v>
      </c>
      <c r="J13" s="31">
        <f t="shared" si="19"/>
        <v>44.0914</v>
      </c>
      <c r="K13" s="31">
        <f t="shared" si="8"/>
        <v>67.459841999999995</v>
      </c>
      <c r="L13" s="31">
        <f t="shared" si="9"/>
        <v>323.47261800000001</v>
      </c>
      <c r="M13" s="31">
        <f t="shared" si="10"/>
        <v>80.538640000000001</v>
      </c>
      <c r="N13" s="31">
        <f t="shared" si="11"/>
        <v>32.785483212000003</v>
      </c>
      <c r="O13" s="31">
        <f t="shared" si="0"/>
        <v>39.463659396000004</v>
      </c>
      <c r="P13" s="31">
        <f t="shared" si="0"/>
        <v>0</v>
      </c>
      <c r="Q13" s="31">
        <f t="shared" si="12"/>
        <v>72.249142608</v>
      </c>
      <c r="R13" s="31">
        <f t="shared" si="1"/>
        <v>0.63541666666424135</v>
      </c>
      <c r="S13" s="31">
        <f t="shared" si="2"/>
        <v>45236</v>
      </c>
      <c r="T13" s="31">
        <f t="shared" si="13"/>
        <v>54899.999999790452</v>
      </c>
      <c r="U13" s="31">
        <f t="shared" si="14"/>
        <v>14</v>
      </c>
      <c r="V13" s="31">
        <f t="shared" si="15"/>
        <v>1209600</v>
      </c>
      <c r="W13" s="31">
        <f t="shared" si="16"/>
        <v>1264499.9999997905</v>
      </c>
      <c r="X13" s="31">
        <f t="shared" si="3"/>
        <v>1044899.9999997905</v>
      </c>
      <c r="Y13" s="31">
        <f t="shared" si="17"/>
        <v>122</v>
      </c>
      <c r="Z13" s="31">
        <f t="shared" si="18"/>
        <v>486</v>
      </c>
    </row>
    <row r="14" spans="1:27" x14ac:dyDescent="0.25">
      <c r="A14" s="74" t="s">
        <v>159</v>
      </c>
      <c r="B14" s="74" t="s">
        <v>160</v>
      </c>
      <c r="C14" s="45" t="str">
        <f t="shared" si="6"/>
        <v>08-11-2023 11:06</v>
      </c>
      <c r="D14" s="93">
        <v>0</v>
      </c>
      <c r="E14" s="93">
        <v>0</v>
      </c>
      <c r="F14" s="93">
        <f>G13-G14</f>
        <v>171.65999999999997</v>
      </c>
      <c r="G14" s="93">
        <v>873.15</v>
      </c>
      <c r="H14" t="s">
        <v>161</v>
      </c>
      <c r="I14" s="93">
        <v>1</v>
      </c>
      <c r="J14" s="31">
        <f>56.6*77.9/100</f>
        <v>44.0914</v>
      </c>
      <c r="K14" s="31">
        <f t="shared" si="8"/>
        <v>67.459841999999995</v>
      </c>
      <c r="L14" s="31">
        <f t="shared" si="9"/>
        <v>323.47261800000001</v>
      </c>
      <c r="M14" s="31">
        <f t="shared" si="10"/>
        <v>80.538640000000001</v>
      </c>
      <c r="N14" s="31">
        <f t="shared" si="11"/>
        <v>0</v>
      </c>
      <c r="O14" s="31">
        <f t="shared" si="0"/>
        <v>0</v>
      </c>
      <c r="P14" s="31">
        <f t="shared" si="0"/>
        <v>13.825262942399997</v>
      </c>
      <c r="Q14" s="31">
        <f t="shared" si="12"/>
        <v>13.825262942399997</v>
      </c>
      <c r="R14" s="31">
        <f t="shared" si="1"/>
        <v>0.46250000000145519</v>
      </c>
      <c r="S14" s="31">
        <f t="shared" si="2"/>
        <v>45238</v>
      </c>
      <c r="T14" s="31">
        <f t="shared" si="13"/>
        <v>39960.000000125729</v>
      </c>
      <c r="U14" s="31">
        <f t="shared" si="14"/>
        <v>16</v>
      </c>
      <c r="V14" s="31">
        <f t="shared" si="15"/>
        <v>1382400</v>
      </c>
      <c r="W14" s="31">
        <f t="shared" si="16"/>
        <v>1422360.0000001257</v>
      </c>
      <c r="X14" s="31">
        <f t="shared" si="3"/>
        <v>1202760.0000001257</v>
      </c>
      <c r="Y14" s="31">
        <f t="shared" si="17"/>
        <v>0</v>
      </c>
      <c r="Z14" s="31">
        <f t="shared" si="18"/>
        <v>0</v>
      </c>
    </row>
    <row r="15" spans="1:27" x14ac:dyDescent="0.25">
      <c r="A15" s="74" t="s">
        <v>159</v>
      </c>
      <c r="B15" s="74" t="s">
        <v>160</v>
      </c>
      <c r="C15" s="45" t="str">
        <f t="shared" si="6"/>
        <v>08-11-2023 11:06</v>
      </c>
      <c r="D15" s="93"/>
      <c r="E15" s="93"/>
      <c r="F15" s="93"/>
      <c r="G15" s="93">
        <v>1099.23</v>
      </c>
      <c r="H15" t="s">
        <v>162</v>
      </c>
      <c r="J15" s="31">
        <f>56.6*77.9/100</f>
        <v>44.0914</v>
      </c>
      <c r="K15" s="31">
        <f t="shared" si="8"/>
        <v>67.459841999999995</v>
      </c>
      <c r="L15" s="31">
        <f t="shared" si="9"/>
        <v>323.47261800000001</v>
      </c>
      <c r="M15" s="31">
        <f t="shared" si="10"/>
        <v>80.538640000000001</v>
      </c>
      <c r="N15" s="31">
        <f t="shared" si="11"/>
        <v>0</v>
      </c>
      <c r="O15" s="31">
        <f t="shared" si="0"/>
        <v>0</v>
      </c>
      <c r="P15" s="31">
        <f t="shared" si="0"/>
        <v>0</v>
      </c>
      <c r="Q15" s="31">
        <f t="shared" si="12"/>
        <v>0</v>
      </c>
      <c r="R15" s="31">
        <f t="shared" si="1"/>
        <v>0.46250000000145519</v>
      </c>
      <c r="S15" s="31">
        <f t="shared" si="2"/>
        <v>45238</v>
      </c>
      <c r="T15" s="31">
        <f t="shared" si="13"/>
        <v>39960.000000125729</v>
      </c>
      <c r="U15" s="31">
        <f t="shared" si="14"/>
        <v>16</v>
      </c>
      <c r="V15" s="31">
        <f t="shared" si="15"/>
        <v>1382400</v>
      </c>
      <c r="W15" s="31">
        <f t="shared" si="16"/>
        <v>1422360.0000001257</v>
      </c>
      <c r="X15" s="31">
        <f t="shared" si="3"/>
        <v>1202760.0000001257</v>
      </c>
      <c r="Y15" s="31">
        <f t="shared" si="17"/>
        <v>0</v>
      </c>
      <c r="Z15" s="31">
        <f t="shared" si="18"/>
        <v>0</v>
      </c>
    </row>
    <row r="16" spans="1:27" x14ac:dyDescent="0.25">
      <c r="A16" s="74" t="s">
        <v>159</v>
      </c>
      <c r="B16" s="74" t="s">
        <v>137</v>
      </c>
      <c r="C16" s="45" t="str">
        <f t="shared" si="6"/>
        <v>08-11-2023 15:00</v>
      </c>
      <c r="D16" s="93">
        <f>243*2</f>
        <v>486</v>
      </c>
      <c r="E16" s="93">
        <f>61*2</f>
        <v>122</v>
      </c>
      <c r="F16" s="93">
        <v>0</v>
      </c>
      <c r="G16" s="93"/>
      <c r="I16" s="93">
        <v>1</v>
      </c>
      <c r="J16" s="31">
        <f t="shared" ref="J16:J22" si="20">56.6*77.9/100</f>
        <v>44.0914</v>
      </c>
      <c r="K16" s="31">
        <f t="shared" si="8"/>
        <v>67.459841999999995</v>
      </c>
      <c r="L16" s="31">
        <f t="shared" si="9"/>
        <v>323.47261800000001</v>
      </c>
      <c r="M16" s="31">
        <f t="shared" si="10"/>
        <v>80.538640000000001</v>
      </c>
      <c r="N16" s="31">
        <f t="shared" si="11"/>
        <v>32.785483212000003</v>
      </c>
      <c r="O16" s="31">
        <f t="shared" si="0"/>
        <v>39.463659396000004</v>
      </c>
      <c r="P16" s="31">
        <f t="shared" si="0"/>
        <v>0</v>
      </c>
      <c r="Q16" s="31">
        <f t="shared" si="12"/>
        <v>72.249142608</v>
      </c>
      <c r="R16" s="31">
        <f t="shared" si="1"/>
        <v>0.625</v>
      </c>
      <c r="S16" s="31">
        <f t="shared" si="2"/>
        <v>45238</v>
      </c>
      <c r="T16" s="31">
        <f t="shared" si="13"/>
        <v>54000</v>
      </c>
      <c r="U16" s="31">
        <f t="shared" si="14"/>
        <v>16</v>
      </c>
      <c r="V16" s="31">
        <f t="shared" si="15"/>
        <v>1382400</v>
      </c>
      <c r="W16" s="31">
        <f t="shared" si="16"/>
        <v>1436400</v>
      </c>
      <c r="X16" s="31">
        <f t="shared" si="3"/>
        <v>1216800</v>
      </c>
      <c r="Y16" s="31">
        <f t="shared" si="17"/>
        <v>122</v>
      </c>
      <c r="Z16" s="31">
        <f t="shared" si="18"/>
        <v>486</v>
      </c>
    </row>
    <row r="17" spans="1:26" x14ac:dyDescent="0.25">
      <c r="A17" s="74" t="s">
        <v>159</v>
      </c>
      <c r="B17" s="74" t="s">
        <v>163</v>
      </c>
      <c r="C17" s="45" t="str">
        <f t="shared" si="6"/>
        <v>08-11-2023 17:00</v>
      </c>
      <c r="D17" s="93">
        <v>0</v>
      </c>
      <c r="E17" s="93">
        <v>0</v>
      </c>
      <c r="F17" s="93">
        <f>G15-G17</f>
        <v>15.710000000000036</v>
      </c>
      <c r="G17" s="93">
        <v>1083.52</v>
      </c>
      <c r="I17" s="93">
        <v>1</v>
      </c>
      <c r="J17" s="31">
        <f t="shared" si="20"/>
        <v>44.0914</v>
      </c>
      <c r="K17" s="31">
        <f t="shared" si="8"/>
        <v>67.459841999999995</v>
      </c>
      <c r="L17" s="31">
        <f t="shared" si="9"/>
        <v>323.47261800000001</v>
      </c>
      <c r="M17" s="31">
        <f t="shared" si="10"/>
        <v>80.538640000000001</v>
      </c>
      <c r="N17" s="31">
        <f t="shared" si="11"/>
        <v>0</v>
      </c>
      <c r="O17" s="31">
        <f t="shared" si="0"/>
        <v>0</v>
      </c>
      <c r="P17" s="31">
        <f t="shared" si="0"/>
        <v>1.265262034400003</v>
      </c>
      <c r="Q17" s="31">
        <f t="shared" si="12"/>
        <v>1.265262034400003</v>
      </c>
      <c r="R17" s="31">
        <f t="shared" si="1"/>
        <v>0.70833333333575865</v>
      </c>
      <c r="S17" s="31">
        <f t="shared" si="2"/>
        <v>45238</v>
      </c>
      <c r="T17" s="31">
        <f t="shared" si="13"/>
        <v>61200.000000209548</v>
      </c>
      <c r="U17" s="31">
        <f t="shared" si="14"/>
        <v>16</v>
      </c>
      <c r="V17" s="31">
        <f t="shared" si="15"/>
        <v>1382400</v>
      </c>
      <c r="W17" s="31">
        <f t="shared" si="16"/>
        <v>1443600.0000002095</v>
      </c>
      <c r="X17" s="31">
        <f t="shared" si="3"/>
        <v>1224000.0000002095</v>
      </c>
      <c r="Y17" s="31">
        <f t="shared" si="17"/>
        <v>0</v>
      </c>
      <c r="Z17" s="31">
        <f t="shared" si="18"/>
        <v>0</v>
      </c>
    </row>
    <row r="18" spans="1:26" x14ac:dyDescent="0.25">
      <c r="A18" s="74" t="s">
        <v>164</v>
      </c>
      <c r="B18" s="74" t="s">
        <v>165</v>
      </c>
      <c r="C18" s="45" t="str">
        <f t="shared" si="6"/>
        <v>10-11-2023 09:30</v>
      </c>
      <c r="D18" s="93">
        <v>730</v>
      </c>
      <c r="E18" s="93">
        <v>183</v>
      </c>
      <c r="F18" s="93">
        <v>0</v>
      </c>
      <c r="G18" s="93">
        <v>972.47</v>
      </c>
      <c r="H18" t="s">
        <v>166</v>
      </c>
      <c r="I18" s="93">
        <v>1</v>
      </c>
      <c r="J18" s="31">
        <f t="shared" si="20"/>
        <v>44.0914</v>
      </c>
      <c r="K18" s="31">
        <f t="shared" si="8"/>
        <v>67.459841999999995</v>
      </c>
      <c r="L18" s="31">
        <f t="shared" si="9"/>
        <v>323.47261800000001</v>
      </c>
      <c r="M18" s="31">
        <f t="shared" si="10"/>
        <v>80.538640000000001</v>
      </c>
      <c r="N18" s="31">
        <f t="shared" si="11"/>
        <v>49.245684660000002</v>
      </c>
      <c r="O18" s="31">
        <f t="shared" si="0"/>
        <v>59.195489094000003</v>
      </c>
      <c r="P18" s="31">
        <f t="shared" si="0"/>
        <v>0</v>
      </c>
      <c r="Q18" s="31">
        <f t="shared" si="12"/>
        <v>108.441173754</v>
      </c>
      <c r="R18" s="31">
        <f t="shared" si="1"/>
        <v>0.39583333333575865</v>
      </c>
      <c r="S18" s="31">
        <f t="shared" si="2"/>
        <v>45240</v>
      </c>
      <c r="T18" s="31">
        <f t="shared" si="13"/>
        <v>34200.000000209548</v>
      </c>
      <c r="U18" s="31">
        <f t="shared" si="14"/>
        <v>18</v>
      </c>
      <c r="V18" s="31">
        <f t="shared" si="15"/>
        <v>1555200</v>
      </c>
      <c r="W18" s="31">
        <f t="shared" si="16"/>
        <v>1589400.0000002095</v>
      </c>
      <c r="X18" s="31">
        <f t="shared" si="3"/>
        <v>1369800.0000002095</v>
      </c>
      <c r="Y18" s="31">
        <f t="shared" si="17"/>
        <v>183</v>
      </c>
      <c r="Z18" s="31">
        <f t="shared" si="18"/>
        <v>730</v>
      </c>
    </row>
    <row r="19" spans="1:26" x14ac:dyDescent="0.25">
      <c r="A19" s="74" t="s">
        <v>164</v>
      </c>
      <c r="B19" s="74" t="s">
        <v>167</v>
      </c>
      <c r="C19" s="45" t="str">
        <f t="shared" si="6"/>
        <v>10-11-2023 11:00</v>
      </c>
      <c r="D19" s="93"/>
      <c r="E19" s="93"/>
      <c r="F19" s="93"/>
      <c r="G19" s="93">
        <v>1219.25</v>
      </c>
      <c r="H19" t="s">
        <v>168</v>
      </c>
      <c r="J19" s="31">
        <f t="shared" si="20"/>
        <v>44.0914</v>
      </c>
      <c r="K19" s="31">
        <f t="shared" si="8"/>
        <v>67.459841999999995</v>
      </c>
      <c r="L19" s="31">
        <f t="shared" si="9"/>
        <v>323.47261800000001</v>
      </c>
      <c r="M19" s="31">
        <f t="shared" si="10"/>
        <v>80.538640000000001</v>
      </c>
      <c r="N19" s="31">
        <f t="shared" si="11"/>
        <v>0</v>
      </c>
      <c r="O19" s="31">
        <f t="shared" si="11"/>
        <v>0</v>
      </c>
      <c r="P19" s="31">
        <f t="shared" si="11"/>
        <v>0</v>
      </c>
      <c r="Q19" s="31">
        <f t="shared" si="12"/>
        <v>0</v>
      </c>
      <c r="R19" s="31">
        <f t="shared" si="1"/>
        <v>0.45833333333575865</v>
      </c>
      <c r="S19" s="31">
        <f t="shared" si="2"/>
        <v>45240</v>
      </c>
      <c r="T19" s="31">
        <f t="shared" si="13"/>
        <v>39600.000000209548</v>
      </c>
      <c r="U19" s="31">
        <f t="shared" si="14"/>
        <v>18</v>
      </c>
      <c r="V19" s="31">
        <f t="shared" si="15"/>
        <v>1555200</v>
      </c>
      <c r="W19" s="31">
        <f t="shared" si="16"/>
        <v>1594800.0000002095</v>
      </c>
      <c r="X19" s="31">
        <f t="shared" si="3"/>
        <v>1375200.0000002095</v>
      </c>
      <c r="Y19" s="31">
        <f t="shared" si="17"/>
        <v>0</v>
      </c>
      <c r="Z19" s="31">
        <f t="shared" si="18"/>
        <v>0</v>
      </c>
    </row>
    <row r="20" spans="1:26" x14ac:dyDescent="0.25">
      <c r="A20" s="74" t="s">
        <v>169</v>
      </c>
      <c r="B20" s="74" t="s">
        <v>170</v>
      </c>
      <c r="C20" s="45" t="str">
        <f t="shared" si="6"/>
        <v>13-11-2023 10:15</v>
      </c>
      <c r="D20" s="93">
        <v>0</v>
      </c>
      <c r="E20" s="93">
        <v>0</v>
      </c>
      <c r="F20" s="93">
        <f>G19-G20</f>
        <v>280.28999999999996</v>
      </c>
      <c r="G20" s="93">
        <v>938.96</v>
      </c>
      <c r="I20" s="93">
        <v>1</v>
      </c>
      <c r="J20" s="31">
        <f t="shared" si="20"/>
        <v>44.0914</v>
      </c>
      <c r="K20" s="31">
        <f t="shared" si="8"/>
        <v>67.459841999999995</v>
      </c>
      <c r="L20" s="31">
        <f t="shared" si="9"/>
        <v>323.47261800000001</v>
      </c>
      <c r="M20" s="31">
        <f t="shared" si="10"/>
        <v>80.538640000000001</v>
      </c>
      <c r="N20" s="31">
        <f t="shared" si="11"/>
        <v>0</v>
      </c>
      <c r="O20" s="31">
        <f t="shared" si="11"/>
        <v>0</v>
      </c>
      <c r="P20" s="31">
        <f t="shared" si="11"/>
        <v>22.574175405599998</v>
      </c>
      <c r="Q20" s="31">
        <f t="shared" si="12"/>
        <v>22.574175405599998</v>
      </c>
      <c r="R20" s="31">
        <f t="shared" si="1"/>
        <v>0.42708333333575865</v>
      </c>
      <c r="S20" s="31">
        <f t="shared" si="2"/>
        <v>45243</v>
      </c>
      <c r="T20" s="31">
        <f t="shared" si="13"/>
        <v>36900.000000209548</v>
      </c>
      <c r="U20" s="31">
        <f t="shared" si="14"/>
        <v>21</v>
      </c>
      <c r="V20" s="31">
        <f t="shared" si="15"/>
        <v>1814400</v>
      </c>
      <c r="W20" s="31">
        <f t="shared" si="16"/>
        <v>1851300.0000002095</v>
      </c>
      <c r="X20" s="31">
        <f t="shared" si="3"/>
        <v>1631700.0000002095</v>
      </c>
      <c r="Y20" s="31">
        <f t="shared" si="17"/>
        <v>0</v>
      </c>
      <c r="Z20" s="31">
        <f t="shared" si="18"/>
        <v>0</v>
      </c>
    </row>
    <row r="21" spans="1:26" x14ac:dyDescent="0.25">
      <c r="A21" s="74" t="s">
        <v>169</v>
      </c>
      <c r="B21" s="74" t="s">
        <v>170</v>
      </c>
      <c r="C21" s="45" t="str">
        <f t="shared" si="6"/>
        <v>13-11-2023 10:15</v>
      </c>
      <c r="D21" s="93"/>
      <c r="E21" s="93"/>
      <c r="F21" s="93"/>
      <c r="G21" s="93">
        <v>1205.8</v>
      </c>
      <c r="J21" s="31">
        <f t="shared" si="20"/>
        <v>44.0914</v>
      </c>
      <c r="K21" s="31">
        <f t="shared" si="8"/>
        <v>67.459841999999995</v>
      </c>
      <c r="L21" s="31">
        <f t="shared" si="9"/>
        <v>323.47261800000001</v>
      </c>
      <c r="M21" s="31">
        <f t="shared" si="10"/>
        <v>80.538640000000001</v>
      </c>
      <c r="N21" s="31">
        <f t="shared" si="11"/>
        <v>0</v>
      </c>
      <c r="O21" s="31">
        <f t="shared" si="11"/>
        <v>0</v>
      </c>
      <c r="P21" s="31">
        <f t="shared" si="11"/>
        <v>0</v>
      </c>
      <c r="Q21" s="31">
        <f t="shared" si="12"/>
        <v>0</v>
      </c>
      <c r="R21" s="31">
        <f t="shared" si="1"/>
        <v>0.42708333333575865</v>
      </c>
      <c r="S21" s="31">
        <f t="shared" si="2"/>
        <v>45243</v>
      </c>
      <c r="T21" s="31">
        <f t="shared" si="13"/>
        <v>36900.000000209548</v>
      </c>
      <c r="U21" s="31">
        <f t="shared" si="14"/>
        <v>21</v>
      </c>
      <c r="V21" s="31">
        <f t="shared" si="15"/>
        <v>1814400</v>
      </c>
      <c r="W21" s="31">
        <f t="shared" si="16"/>
        <v>1851300.0000002095</v>
      </c>
      <c r="X21" s="31">
        <f t="shared" si="3"/>
        <v>1631700.0000002095</v>
      </c>
      <c r="Y21" s="31">
        <f t="shared" si="17"/>
        <v>0</v>
      </c>
      <c r="Z21" s="31">
        <f t="shared" si="18"/>
        <v>0</v>
      </c>
    </row>
    <row r="22" spans="1:26" x14ac:dyDescent="0.25">
      <c r="A22" s="74" t="s">
        <v>169</v>
      </c>
      <c r="B22" s="74" t="s">
        <v>171</v>
      </c>
      <c r="C22" s="45" t="str">
        <f t="shared" si="6"/>
        <v>13-11-2023 12:30</v>
      </c>
      <c r="D22" s="94">
        <f>243*2</f>
        <v>486</v>
      </c>
      <c r="E22" s="94">
        <f>61*2</f>
        <v>122</v>
      </c>
      <c r="F22" s="93">
        <v>0</v>
      </c>
      <c r="G22" s="93"/>
      <c r="I22" s="93">
        <v>1</v>
      </c>
      <c r="J22" s="31">
        <f t="shared" si="20"/>
        <v>44.0914</v>
      </c>
      <c r="K22" s="31">
        <f t="shared" si="8"/>
        <v>67.459841999999995</v>
      </c>
      <c r="L22" s="31">
        <f t="shared" si="9"/>
        <v>323.47261800000001</v>
      </c>
      <c r="M22" s="31">
        <f t="shared" si="10"/>
        <v>80.538640000000001</v>
      </c>
      <c r="N22" s="31">
        <f t="shared" si="11"/>
        <v>32.785483212000003</v>
      </c>
      <c r="O22" s="31">
        <f t="shared" si="11"/>
        <v>39.463659396000004</v>
      </c>
      <c r="P22" s="31">
        <f t="shared" si="11"/>
        <v>0</v>
      </c>
      <c r="Q22" s="31">
        <f t="shared" si="12"/>
        <v>72.249142608</v>
      </c>
      <c r="R22" s="31">
        <f t="shared" si="1"/>
        <v>0.52083333333575865</v>
      </c>
      <c r="S22" s="31">
        <f t="shared" si="2"/>
        <v>45243</v>
      </c>
      <c r="T22" s="31">
        <f t="shared" ref="T22" si="21">R22*86400</f>
        <v>45000.000000209548</v>
      </c>
      <c r="U22" s="31">
        <f t="shared" ref="U22" si="22">S22-MIN($S$3:$S$68)</f>
        <v>21</v>
      </c>
      <c r="V22" s="31">
        <f t="shared" ref="V22" si="23">U22*86400</f>
        <v>1814400</v>
      </c>
      <c r="W22" s="31">
        <f t="shared" ref="W22" si="24">V22+T22</f>
        <v>1859400.0000002095</v>
      </c>
      <c r="X22" s="31">
        <f t="shared" ref="X22" si="25">W22-$R$2</f>
        <v>1639800.0000002095</v>
      </c>
      <c r="Y22" s="31">
        <f t="shared" si="17"/>
        <v>122</v>
      </c>
      <c r="Z22" s="31">
        <f t="shared" si="18"/>
        <v>486</v>
      </c>
    </row>
    <row r="23" spans="1:26" x14ac:dyDescent="0.25">
      <c r="A23" s="74" t="s">
        <v>172</v>
      </c>
      <c r="B23" s="74" t="s">
        <v>156</v>
      </c>
      <c r="C23" s="45" t="str">
        <f t="shared" si="6"/>
        <v>15-11-2023 10:00</v>
      </c>
      <c r="D23" s="93">
        <v>0</v>
      </c>
      <c r="E23" s="93">
        <v>0</v>
      </c>
      <c r="F23" s="93">
        <f>G21-G23</f>
        <v>180.76999999999998</v>
      </c>
      <c r="G23" s="93">
        <v>1025.03</v>
      </c>
      <c r="I23" s="93">
        <v>1</v>
      </c>
      <c r="J23" s="31">
        <f t="shared" ref="J23:J25" si="26">54.9*77.7/100</f>
        <v>42.657300000000006</v>
      </c>
      <c r="K23" s="31">
        <f t="shared" si="8"/>
        <v>65.265669000000017</v>
      </c>
      <c r="L23" s="31">
        <f t="shared" si="9"/>
        <v>323.47261800000001</v>
      </c>
      <c r="M23" s="31">
        <f t="shared" si="10"/>
        <v>80.538640000000001</v>
      </c>
      <c r="N23" s="31">
        <f t="shared" si="11"/>
        <v>0</v>
      </c>
      <c r="O23" s="31">
        <f t="shared" si="11"/>
        <v>0</v>
      </c>
      <c r="P23" s="31">
        <f t="shared" si="11"/>
        <v>14.558969952799998</v>
      </c>
      <c r="Q23" s="31">
        <f t="shared" si="12"/>
        <v>14.558969952799998</v>
      </c>
      <c r="R23" s="31">
        <f t="shared" si="1"/>
        <v>0.41666666666424135</v>
      </c>
      <c r="S23" s="31">
        <f t="shared" si="2"/>
        <v>45245</v>
      </c>
      <c r="T23" s="31">
        <f t="shared" si="13"/>
        <v>35999.999999790452</v>
      </c>
      <c r="U23" s="31">
        <f t="shared" si="14"/>
        <v>23</v>
      </c>
      <c r="V23" s="31">
        <f t="shared" si="15"/>
        <v>1987200</v>
      </c>
      <c r="W23" s="31">
        <f t="shared" si="16"/>
        <v>2023199.9999997905</v>
      </c>
      <c r="X23" s="31">
        <f t="shared" si="3"/>
        <v>1803599.9999997905</v>
      </c>
      <c r="Y23" s="31">
        <f t="shared" si="17"/>
        <v>0</v>
      </c>
      <c r="Z23" s="31">
        <f t="shared" si="18"/>
        <v>0</v>
      </c>
    </row>
    <row r="24" spans="1:26" x14ac:dyDescent="0.25">
      <c r="A24" s="74" t="s">
        <v>172</v>
      </c>
      <c r="B24" s="74" t="s">
        <v>156</v>
      </c>
      <c r="C24" s="45" t="str">
        <f t="shared" si="6"/>
        <v>15-11-2023 10:00</v>
      </c>
      <c r="D24" s="93"/>
      <c r="E24" s="93"/>
      <c r="F24" s="93"/>
      <c r="G24" s="93">
        <v>1019.85</v>
      </c>
      <c r="J24" s="31">
        <f t="shared" si="26"/>
        <v>42.657300000000006</v>
      </c>
      <c r="K24" s="31">
        <f t="shared" si="8"/>
        <v>65.265669000000017</v>
      </c>
      <c r="L24" s="31">
        <f t="shared" si="9"/>
        <v>323.47261800000001</v>
      </c>
      <c r="M24" s="31">
        <f t="shared" si="10"/>
        <v>80.538640000000001</v>
      </c>
      <c r="N24" s="31">
        <f t="shared" si="11"/>
        <v>0</v>
      </c>
      <c r="O24" s="31">
        <f t="shared" si="11"/>
        <v>0</v>
      </c>
      <c r="P24" s="31">
        <f t="shared" si="11"/>
        <v>0</v>
      </c>
      <c r="Q24" s="31">
        <f t="shared" si="12"/>
        <v>0</v>
      </c>
      <c r="R24" s="31">
        <f t="shared" si="1"/>
        <v>0.41666666666424135</v>
      </c>
      <c r="S24" s="31">
        <f t="shared" si="2"/>
        <v>45245</v>
      </c>
      <c r="T24" s="31">
        <f t="shared" si="13"/>
        <v>35999.999999790452</v>
      </c>
      <c r="U24" s="31">
        <f t="shared" si="14"/>
        <v>23</v>
      </c>
      <c r="V24" s="31">
        <f t="shared" si="15"/>
        <v>1987200</v>
      </c>
      <c r="W24" s="31">
        <f t="shared" si="16"/>
        <v>2023199.9999997905</v>
      </c>
      <c r="X24" s="31">
        <f t="shared" si="3"/>
        <v>1803599.9999997905</v>
      </c>
      <c r="Y24" s="31">
        <f t="shared" si="17"/>
        <v>0</v>
      </c>
      <c r="Z24" s="31">
        <f t="shared" si="18"/>
        <v>0</v>
      </c>
    </row>
    <row r="25" spans="1:26" x14ac:dyDescent="0.25">
      <c r="A25" s="74" t="s">
        <v>172</v>
      </c>
      <c r="B25" s="74" t="s">
        <v>173</v>
      </c>
      <c r="C25" s="45" t="str">
        <f t="shared" si="6"/>
        <v>15-11-2023 13:00</v>
      </c>
      <c r="D25" s="93">
        <f>243*2</f>
        <v>486</v>
      </c>
      <c r="E25" s="93">
        <f>61*2</f>
        <v>122</v>
      </c>
      <c r="F25" s="93">
        <v>0</v>
      </c>
      <c r="G25" s="93"/>
      <c r="H25" t="s">
        <v>174</v>
      </c>
      <c r="I25" s="93">
        <v>1</v>
      </c>
      <c r="J25" s="31">
        <f t="shared" si="26"/>
        <v>42.657300000000006</v>
      </c>
      <c r="K25" s="31">
        <f t="shared" si="8"/>
        <v>65.265669000000017</v>
      </c>
      <c r="L25" s="31">
        <f t="shared" si="9"/>
        <v>323.47261800000001</v>
      </c>
      <c r="M25" s="31">
        <f t="shared" si="10"/>
        <v>80.538640000000001</v>
      </c>
      <c r="N25" s="31">
        <f t="shared" si="11"/>
        <v>31.719115134000006</v>
      </c>
      <c r="O25" s="31">
        <f t="shared" si="11"/>
        <v>39.463659396000004</v>
      </c>
      <c r="P25" s="31">
        <f t="shared" si="11"/>
        <v>0</v>
      </c>
      <c r="Q25" s="31">
        <f t="shared" si="12"/>
        <v>71.182774530000017</v>
      </c>
      <c r="R25" s="31">
        <f t="shared" si="1"/>
        <v>0.54166666666424135</v>
      </c>
      <c r="S25" s="31">
        <f t="shared" si="2"/>
        <v>45245</v>
      </c>
      <c r="T25" s="31">
        <f t="shared" si="13"/>
        <v>46799.999999790452</v>
      </c>
      <c r="U25" s="31">
        <f t="shared" si="14"/>
        <v>23</v>
      </c>
      <c r="V25" s="31">
        <f t="shared" si="15"/>
        <v>1987200</v>
      </c>
      <c r="W25" s="31">
        <f t="shared" si="16"/>
        <v>2033999.9999997905</v>
      </c>
      <c r="X25" s="31">
        <f t="shared" si="3"/>
        <v>1814399.9999997905</v>
      </c>
      <c r="Y25" s="31">
        <f t="shared" si="17"/>
        <v>122</v>
      </c>
      <c r="Z25" s="31">
        <f t="shared" si="18"/>
        <v>486</v>
      </c>
    </row>
    <row r="26" spans="1:26" x14ac:dyDescent="0.25">
      <c r="A26" s="74" t="s">
        <v>175</v>
      </c>
      <c r="B26" s="74" t="s">
        <v>176</v>
      </c>
      <c r="C26" s="45" t="str">
        <f t="shared" si="6"/>
        <v>17-11-2023 09:15</v>
      </c>
      <c r="D26" s="93">
        <v>730</v>
      </c>
      <c r="E26" s="93">
        <v>183</v>
      </c>
      <c r="F26" s="93">
        <f>G24-G26</f>
        <v>183.30000000000007</v>
      </c>
      <c r="G26" s="93">
        <v>836.55</v>
      </c>
      <c r="H26" t="s">
        <v>177</v>
      </c>
      <c r="I26" s="93">
        <v>1</v>
      </c>
      <c r="J26" s="31">
        <f>54.9*77.7/100</f>
        <v>42.657300000000006</v>
      </c>
      <c r="K26" s="31">
        <f t="shared" si="8"/>
        <v>65.265669000000017</v>
      </c>
      <c r="L26" s="31">
        <f t="shared" si="9"/>
        <v>323.47261800000001</v>
      </c>
      <c r="M26" s="31">
        <f t="shared" si="10"/>
        <v>80.538640000000001</v>
      </c>
      <c r="N26" s="31">
        <f t="shared" si="11"/>
        <v>47.643938370000008</v>
      </c>
      <c r="O26" s="31">
        <f t="shared" si="11"/>
        <v>59.195489094000003</v>
      </c>
      <c r="P26" s="31">
        <f t="shared" si="11"/>
        <v>14.762732712000007</v>
      </c>
      <c r="Q26" s="31">
        <f t="shared" si="12"/>
        <v>121.60216017600001</v>
      </c>
      <c r="R26" s="31">
        <f t="shared" si="1"/>
        <v>0.38541666666424135</v>
      </c>
      <c r="S26" s="31">
        <f t="shared" si="2"/>
        <v>45247</v>
      </c>
      <c r="T26" s="31">
        <f t="shared" si="13"/>
        <v>33299.999999790452</v>
      </c>
      <c r="U26" s="31">
        <f t="shared" si="14"/>
        <v>25</v>
      </c>
      <c r="V26" s="31">
        <f t="shared" si="15"/>
        <v>2160000</v>
      </c>
      <c r="W26" s="31">
        <f t="shared" si="16"/>
        <v>2193299.9999997905</v>
      </c>
      <c r="X26" s="31">
        <f t="shared" si="3"/>
        <v>1973699.9999997905</v>
      </c>
      <c r="Y26" s="31">
        <f t="shared" si="17"/>
        <v>183</v>
      </c>
      <c r="Z26" s="31">
        <f t="shared" si="18"/>
        <v>730</v>
      </c>
    </row>
    <row r="27" spans="1:26" x14ac:dyDescent="0.25">
      <c r="A27" s="74" t="s">
        <v>175</v>
      </c>
      <c r="B27" s="74" t="s">
        <v>176</v>
      </c>
      <c r="C27" s="45" t="str">
        <f t="shared" si="6"/>
        <v>17-11-2023 09:15</v>
      </c>
      <c r="D27" s="93"/>
      <c r="E27" s="93"/>
      <c r="F27" s="93"/>
      <c r="G27" s="93">
        <v>1229.2</v>
      </c>
      <c r="H27" t="s">
        <v>168</v>
      </c>
      <c r="J27" s="31">
        <f>54.9*77.7/100</f>
        <v>42.657300000000006</v>
      </c>
      <c r="K27" s="31">
        <f t="shared" si="8"/>
        <v>65.265669000000017</v>
      </c>
      <c r="L27" s="31">
        <f t="shared" si="9"/>
        <v>323.47261800000001</v>
      </c>
      <c r="M27" s="31">
        <f t="shared" si="10"/>
        <v>80.538640000000001</v>
      </c>
      <c r="N27" s="31">
        <f t="shared" si="11"/>
        <v>0</v>
      </c>
      <c r="O27" s="31">
        <f t="shared" si="11"/>
        <v>0</v>
      </c>
      <c r="P27" s="31">
        <f t="shared" si="11"/>
        <v>0</v>
      </c>
      <c r="Q27" s="31">
        <f t="shared" si="12"/>
        <v>0</v>
      </c>
      <c r="R27" s="31">
        <f t="shared" si="1"/>
        <v>0.38541666666424135</v>
      </c>
      <c r="S27" s="31">
        <f t="shared" si="2"/>
        <v>45247</v>
      </c>
      <c r="T27" s="31">
        <f t="shared" si="13"/>
        <v>33299.999999790452</v>
      </c>
      <c r="U27" s="31">
        <f t="shared" si="14"/>
        <v>25</v>
      </c>
      <c r="V27" s="31">
        <f t="shared" si="15"/>
        <v>2160000</v>
      </c>
      <c r="W27" s="31">
        <f t="shared" si="16"/>
        <v>2193299.9999997905</v>
      </c>
      <c r="X27" s="31">
        <f t="shared" si="3"/>
        <v>1973699.9999997905</v>
      </c>
      <c r="Y27" s="31">
        <f t="shared" si="17"/>
        <v>0</v>
      </c>
      <c r="Z27" s="31">
        <f t="shared" si="18"/>
        <v>0</v>
      </c>
    </row>
    <row r="28" spans="1:26" x14ac:dyDescent="0.25">
      <c r="A28" s="74" t="s">
        <v>178</v>
      </c>
      <c r="B28" s="74" t="s">
        <v>179</v>
      </c>
      <c r="C28" s="45" t="str">
        <f t="shared" si="6"/>
        <v>20-11-2023 10:20</v>
      </c>
      <c r="D28" s="93">
        <v>0</v>
      </c>
      <c r="E28" s="93">
        <v>0</v>
      </c>
      <c r="F28" s="93">
        <f>G27-G28</f>
        <v>270.34000000000003</v>
      </c>
      <c r="G28" s="93">
        <v>958.86</v>
      </c>
      <c r="I28" s="93">
        <v>1</v>
      </c>
      <c r="J28" s="31">
        <f t="shared" ref="J28:J53" si="27">54.9*77.7/100</f>
        <v>42.657300000000006</v>
      </c>
      <c r="K28" s="31">
        <f t="shared" si="8"/>
        <v>65.265669000000017</v>
      </c>
      <c r="L28" s="31">
        <f t="shared" si="9"/>
        <v>323.47261800000001</v>
      </c>
      <c r="M28" s="31">
        <f t="shared" si="10"/>
        <v>80.538640000000001</v>
      </c>
      <c r="N28" s="31">
        <f t="shared" si="11"/>
        <v>0</v>
      </c>
      <c r="O28" s="31">
        <f t="shared" si="11"/>
        <v>0</v>
      </c>
      <c r="P28" s="31">
        <f t="shared" si="11"/>
        <v>21.772815937600004</v>
      </c>
      <c r="Q28" s="31">
        <f t="shared" si="12"/>
        <v>21.772815937600004</v>
      </c>
      <c r="R28" s="31">
        <f t="shared" si="1"/>
        <v>0.43055555555474712</v>
      </c>
      <c r="S28" s="31">
        <f t="shared" si="2"/>
        <v>45250</v>
      </c>
      <c r="T28" s="31">
        <f t="shared" si="13"/>
        <v>37199.999999930151</v>
      </c>
      <c r="U28" s="31">
        <f t="shared" si="14"/>
        <v>28</v>
      </c>
      <c r="V28" s="31">
        <f t="shared" si="15"/>
        <v>2419200</v>
      </c>
      <c r="W28" s="31">
        <f t="shared" si="16"/>
        <v>2456399.9999999302</v>
      </c>
      <c r="X28" s="31">
        <f t="shared" si="3"/>
        <v>2236799.9999999302</v>
      </c>
      <c r="Y28" s="31">
        <f t="shared" si="17"/>
        <v>0</v>
      </c>
      <c r="Z28" s="31">
        <f t="shared" si="18"/>
        <v>0</v>
      </c>
    </row>
    <row r="29" spans="1:26" x14ac:dyDescent="0.25">
      <c r="A29" s="74" t="s">
        <v>178</v>
      </c>
      <c r="B29" s="74" t="s">
        <v>179</v>
      </c>
      <c r="C29" s="45" t="str">
        <f t="shared" si="6"/>
        <v>20-11-2023 10:20</v>
      </c>
      <c r="D29" s="93"/>
      <c r="E29" s="93"/>
      <c r="F29" s="93"/>
      <c r="G29" s="93">
        <v>1081.5</v>
      </c>
      <c r="J29" s="31">
        <f t="shared" si="27"/>
        <v>42.657300000000006</v>
      </c>
      <c r="K29" s="31">
        <f t="shared" si="8"/>
        <v>65.265669000000017</v>
      </c>
      <c r="L29" s="31">
        <f t="shared" si="9"/>
        <v>323.47261800000001</v>
      </c>
      <c r="M29" s="31">
        <f t="shared" si="10"/>
        <v>80.538640000000001</v>
      </c>
      <c r="N29" s="31">
        <f t="shared" si="11"/>
        <v>0</v>
      </c>
      <c r="O29" s="31">
        <f t="shared" si="11"/>
        <v>0</v>
      </c>
      <c r="P29" s="31">
        <f t="shared" si="11"/>
        <v>0</v>
      </c>
      <c r="Q29" s="31">
        <f t="shared" si="12"/>
        <v>0</v>
      </c>
      <c r="R29" s="31">
        <f t="shared" si="1"/>
        <v>0.43055555555474712</v>
      </c>
      <c r="S29" s="31">
        <f t="shared" si="2"/>
        <v>45250</v>
      </c>
      <c r="T29" s="31">
        <f t="shared" si="13"/>
        <v>37199.999999930151</v>
      </c>
      <c r="U29" s="31">
        <f t="shared" si="14"/>
        <v>28</v>
      </c>
      <c r="V29" s="31">
        <f t="shared" si="15"/>
        <v>2419200</v>
      </c>
      <c r="W29" s="31">
        <f t="shared" si="16"/>
        <v>2456399.9999999302</v>
      </c>
      <c r="X29" s="31">
        <f t="shared" si="3"/>
        <v>2236799.9999999302</v>
      </c>
      <c r="Y29" s="31">
        <f t="shared" si="17"/>
        <v>0</v>
      </c>
      <c r="Z29" s="31">
        <f t="shared" si="18"/>
        <v>0</v>
      </c>
    </row>
    <row r="30" spans="1:26" x14ac:dyDescent="0.25">
      <c r="A30" s="74" t="s">
        <v>178</v>
      </c>
      <c r="B30" s="74" t="s">
        <v>180</v>
      </c>
      <c r="C30" s="45" t="str">
        <f t="shared" si="6"/>
        <v>20-11-2023 12:00</v>
      </c>
      <c r="D30" s="93">
        <f>243*2</f>
        <v>486</v>
      </c>
      <c r="E30" s="93">
        <f>61*2</f>
        <v>122</v>
      </c>
      <c r="F30" s="93">
        <v>0</v>
      </c>
      <c r="G30" s="93"/>
      <c r="I30" s="93">
        <v>1</v>
      </c>
      <c r="J30" s="31">
        <f t="shared" si="27"/>
        <v>42.657300000000006</v>
      </c>
      <c r="K30" s="31">
        <f t="shared" si="8"/>
        <v>65.265669000000017</v>
      </c>
      <c r="L30" s="31">
        <f t="shared" si="9"/>
        <v>323.47261800000001</v>
      </c>
      <c r="M30" s="31">
        <f t="shared" si="10"/>
        <v>80.538640000000001</v>
      </c>
      <c r="N30" s="31">
        <f t="shared" si="11"/>
        <v>31.719115134000006</v>
      </c>
      <c r="O30" s="31">
        <f t="shared" si="11"/>
        <v>39.463659396000004</v>
      </c>
      <c r="P30" s="31">
        <f t="shared" si="11"/>
        <v>0</v>
      </c>
      <c r="Q30" s="31">
        <f t="shared" si="12"/>
        <v>71.182774530000017</v>
      </c>
      <c r="R30" s="31">
        <f t="shared" si="1"/>
        <v>0.5</v>
      </c>
      <c r="S30" s="31">
        <f t="shared" si="2"/>
        <v>45250</v>
      </c>
      <c r="T30" s="31">
        <f t="shared" si="13"/>
        <v>43200</v>
      </c>
      <c r="U30" s="31">
        <f t="shared" si="14"/>
        <v>28</v>
      </c>
      <c r="V30" s="31">
        <f t="shared" si="15"/>
        <v>2419200</v>
      </c>
      <c r="W30" s="31">
        <f t="shared" si="16"/>
        <v>2462400</v>
      </c>
      <c r="X30" s="31">
        <f t="shared" si="3"/>
        <v>2242800</v>
      </c>
      <c r="Y30" s="31">
        <f t="shared" si="17"/>
        <v>122</v>
      </c>
      <c r="Z30" s="31">
        <f t="shared" si="18"/>
        <v>486</v>
      </c>
    </row>
    <row r="31" spans="1:26" x14ac:dyDescent="0.25">
      <c r="A31" s="74" t="s">
        <v>181</v>
      </c>
      <c r="B31" s="74" t="s">
        <v>156</v>
      </c>
      <c r="C31" s="45" t="str">
        <f t="shared" si="6"/>
        <v>22-11-2023 10:00</v>
      </c>
      <c r="D31" s="93">
        <v>0</v>
      </c>
      <c r="E31" s="93">
        <v>0</v>
      </c>
      <c r="F31" s="93">
        <f>G29-G31</f>
        <v>173.34000000000003</v>
      </c>
      <c r="G31" s="93">
        <v>908.16</v>
      </c>
      <c r="I31" s="93">
        <v>1</v>
      </c>
      <c r="J31" s="31">
        <f t="shared" si="27"/>
        <v>42.657300000000006</v>
      </c>
      <c r="K31" s="31">
        <f t="shared" si="8"/>
        <v>65.265669000000017</v>
      </c>
      <c r="L31" s="31">
        <f t="shared" si="9"/>
        <v>323.47261800000001</v>
      </c>
      <c r="M31" s="31">
        <f t="shared" si="10"/>
        <v>80.538640000000001</v>
      </c>
      <c r="N31" s="31">
        <f t="shared" si="11"/>
        <v>0</v>
      </c>
      <c r="O31" s="31">
        <f t="shared" si="11"/>
        <v>0</v>
      </c>
      <c r="P31" s="31">
        <f t="shared" si="11"/>
        <v>13.960567857600003</v>
      </c>
      <c r="Q31" s="31">
        <f t="shared" si="12"/>
        <v>13.960567857600003</v>
      </c>
      <c r="R31" s="31">
        <f t="shared" si="1"/>
        <v>0.41666666666424135</v>
      </c>
      <c r="S31" s="31">
        <f t="shared" si="2"/>
        <v>45252</v>
      </c>
      <c r="T31" s="31">
        <f t="shared" si="13"/>
        <v>35999.999999790452</v>
      </c>
      <c r="U31" s="31">
        <f t="shared" si="14"/>
        <v>30</v>
      </c>
      <c r="V31" s="31">
        <f t="shared" si="15"/>
        <v>2592000</v>
      </c>
      <c r="W31" s="31">
        <f t="shared" si="16"/>
        <v>2627999.9999997905</v>
      </c>
      <c r="X31" s="31">
        <f t="shared" si="3"/>
        <v>2408399.9999997905</v>
      </c>
      <c r="Y31" s="31">
        <f t="shared" si="17"/>
        <v>0</v>
      </c>
      <c r="Z31" s="31">
        <f t="shared" si="18"/>
        <v>0</v>
      </c>
    </row>
    <row r="32" spans="1:26" x14ac:dyDescent="0.25">
      <c r="A32" s="74" t="s">
        <v>181</v>
      </c>
      <c r="B32" s="74" t="s">
        <v>156</v>
      </c>
      <c r="C32" s="45" t="str">
        <f t="shared" si="6"/>
        <v>22-11-2023 10:00</v>
      </c>
      <c r="D32" s="93"/>
      <c r="E32" s="93"/>
      <c r="F32" s="93"/>
      <c r="G32" s="93">
        <v>1112.72</v>
      </c>
      <c r="J32" s="31">
        <f t="shared" si="27"/>
        <v>42.657300000000006</v>
      </c>
      <c r="K32" s="31">
        <f t="shared" si="8"/>
        <v>65.265669000000017</v>
      </c>
      <c r="L32" s="31">
        <f t="shared" si="9"/>
        <v>323.47261800000001</v>
      </c>
      <c r="M32" s="31">
        <f t="shared" si="10"/>
        <v>80.538640000000001</v>
      </c>
      <c r="N32" s="31">
        <f t="shared" si="11"/>
        <v>0</v>
      </c>
      <c r="O32" s="31">
        <f t="shared" si="11"/>
        <v>0</v>
      </c>
      <c r="P32" s="31">
        <f t="shared" si="11"/>
        <v>0</v>
      </c>
      <c r="Q32" s="31">
        <f t="shared" si="12"/>
        <v>0</v>
      </c>
      <c r="R32" s="31">
        <f t="shared" si="1"/>
        <v>0.41666666666424135</v>
      </c>
      <c r="S32" s="31">
        <f t="shared" si="2"/>
        <v>45252</v>
      </c>
      <c r="T32" s="31">
        <f t="shared" si="13"/>
        <v>35999.999999790452</v>
      </c>
      <c r="U32" s="31">
        <f t="shared" si="14"/>
        <v>30</v>
      </c>
      <c r="V32" s="31">
        <f t="shared" si="15"/>
        <v>2592000</v>
      </c>
      <c r="W32" s="31">
        <f t="shared" si="16"/>
        <v>2627999.9999997905</v>
      </c>
      <c r="X32" s="31">
        <f t="shared" si="3"/>
        <v>2408399.9999997905</v>
      </c>
      <c r="Y32" s="31">
        <f t="shared" si="17"/>
        <v>0</v>
      </c>
      <c r="Z32" s="31">
        <f t="shared" si="18"/>
        <v>0</v>
      </c>
    </row>
    <row r="33" spans="1:26" x14ac:dyDescent="0.25">
      <c r="A33" s="74" t="s">
        <v>181</v>
      </c>
      <c r="B33" s="74" t="s">
        <v>173</v>
      </c>
      <c r="C33" s="45" t="str">
        <f t="shared" si="6"/>
        <v>22-11-2023 13:00</v>
      </c>
      <c r="D33" s="93">
        <f>243*2</f>
        <v>486</v>
      </c>
      <c r="E33" s="93">
        <f>61*2</f>
        <v>122</v>
      </c>
      <c r="F33" s="93">
        <v>0</v>
      </c>
      <c r="G33" s="93"/>
      <c r="I33" s="93">
        <v>1</v>
      </c>
      <c r="J33" s="31">
        <f t="shared" si="27"/>
        <v>42.657300000000006</v>
      </c>
      <c r="K33" s="31">
        <f t="shared" si="8"/>
        <v>65.265669000000017</v>
      </c>
      <c r="L33" s="31">
        <f t="shared" si="9"/>
        <v>323.47261800000001</v>
      </c>
      <c r="M33" s="31">
        <f t="shared" si="10"/>
        <v>80.538640000000001</v>
      </c>
      <c r="N33" s="31">
        <f t="shared" si="11"/>
        <v>31.719115134000006</v>
      </c>
      <c r="O33" s="31">
        <f t="shared" si="11"/>
        <v>39.463659396000004</v>
      </c>
      <c r="P33" s="31">
        <f t="shared" si="11"/>
        <v>0</v>
      </c>
      <c r="Q33" s="31">
        <f t="shared" si="12"/>
        <v>71.182774530000017</v>
      </c>
      <c r="R33" s="31">
        <f t="shared" si="1"/>
        <v>0.54166666666424135</v>
      </c>
      <c r="S33" s="31">
        <f t="shared" si="2"/>
        <v>45252</v>
      </c>
      <c r="T33" s="31">
        <f t="shared" si="13"/>
        <v>46799.999999790452</v>
      </c>
      <c r="U33" s="31">
        <f t="shared" si="14"/>
        <v>30</v>
      </c>
      <c r="V33" s="31">
        <f t="shared" si="15"/>
        <v>2592000</v>
      </c>
      <c r="W33" s="31">
        <f t="shared" si="16"/>
        <v>2638799.9999997905</v>
      </c>
      <c r="X33" s="31">
        <f t="shared" si="3"/>
        <v>2419199.9999997905</v>
      </c>
      <c r="Y33" s="31">
        <f t="shared" si="17"/>
        <v>122</v>
      </c>
      <c r="Z33" s="31">
        <f t="shared" si="18"/>
        <v>486</v>
      </c>
    </row>
    <row r="34" spans="1:26" x14ac:dyDescent="0.25">
      <c r="A34" s="74" t="s">
        <v>182</v>
      </c>
      <c r="B34" s="74" t="s">
        <v>183</v>
      </c>
      <c r="C34" s="45" t="str">
        <f t="shared" si="6"/>
        <v>24-11-2023 09:20</v>
      </c>
      <c r="D34" s="93">
        <v>0</v>
      </c>
      <c r="E34" s="93">
        <v>0</v>
      </c>
      <c r="F34" s="93">
        <f>(G32-G34)</f>
        <v>211.74</v>
      </c>
      <c r="G34" s="93">
        <v>900.98</v>
      </c>
      <c r="H34" s="61" t="s">
        <v>184</v>
      </c>
      <c r="I34" s="93">
        <v>1</v>
      </c>
      <c r="J34" s="31">
        <f t="shared" si="27"/>
        <v>42.657300000000006</v>
      </c>
      <c r="K34" s="31">
        <f t="shared" si="8"/>
        <v>65.265669000000017</v>
      </c>
      <c r="L34" s="31">
        <f t="shared" si="9"/>
        <v>323.47261800000001</v>
      </c>
      <c r="M34" s="31">
        <f t="shared" si="10"/>
        <v>80.538640000000001</v>
      </c>
      <c r="N34" s="31">
        <f t="shared" si="11"/>
        <v>0</v>
      </c>
      <c r="O34" s="31">
        <f t="shared" si="11"/>
        <v>0</v>
      </c>
      <c r="P34" s="31">
        <f t="shared" si="11"/>
        <v>17.053251633600002</v>
      </c>
      <c r="Q34" s="31">
        <f t="shared" si="12"/>
        <v>17.053251633600002</v>
      </c>
      <c r="R34" s="31">
        <f t="shared" si="1"/>
        <v>0.38888888889050577</v>
      </c>
      <c r="S34" s="31">
        <f t="shared" si="2"/>
        <v>45254</v>
      </c>
      <c r="T34" s="31">
        <f t="shared" si="13"/>
        <v>33600.000000139698</v>
      </c>
      <c r="U34" s="31">
        <f t="shared" si="14"/>
        <v>32</v>
      </c>
      <c r="V34" s="31">
        <f t="shared" si="15"/>
        <v>2764800</v>
      </c>
      <c r="W34" s="31">
        <f t="shared" si="16"/>
        <v>2798400.0000001397</v>
      </c>
      <c r="X34" s="31">
        <f t="shared" si="3"/>
        <v>2578800.0000001397</v>
      </c>
      <c r="Y34" s="31">
        <f t="shared" si="17"/>
        <v>0</v>
      </c>
      <c r="Z34" s="31">
        <f t="shared" si="18"/>
        <v>0</v>
      </c>
    </row>
    <row r="35" spans="1:26" x14ac:dyDescent="0.25">
      <c r="A35" s="74" t="s">
        <v>182</v>
      </c>
      <c r="B35" s="74" t="s">
        <v>185</v>
      </c>
      <c r="C35" s="45" t="str">
        <f t="shared" si="6"/>
        <v>24-11-2023 10:30</v>
      </c>
      <c r="D35" s="93"/>
      <c r="E35" s="93"/>
      <c r="F35" s="93"/>
      <c r="G35" s="93">
        <v>1207.31</v>
      </c>
      <c r="H35" s="61" t="s">
        <v>186</v>
      </c>
      <c r="J35" s="31">
        <f t="shared" si="27"/>
        <v>42.657300000000006</v>
      </c>
      <c r="K35" s="31">
        <f t="shared" si="8"/>
        <v>65.265669000000017</v>
      </c>
      <c r="L35" s="31">
        <f t="shared" si="9"/>
        <v>323.47261800000001</v>
      </c>
      <c r="M35" s="31">
        <f t="shared" si="10"/>
        <v>80.538640000000001</v>
      </c>
      <c r="N35" s="31">
        <f t="shared" si="11"/>
        <v>0</v>
      </c>
      <c r="O35" s="31">
        <f t="shared" si="11"/>
        <v>0</v>
      </c>
      <c r="P35" s="31">
        <f t="shared" si="11"/>
        <v>0</v>
      </c>
      <c r="Q35" s="31">
        <f t="shared" si="12"/>
        <v>0</v>
      </c>
      <c r="R35" s="31">
        <f t="shared" ref="R35:R66" si="28">TIMEVALUE(C35)</f>
        <v>0.4375</v>
      </c>
      <c r="S35" s="31">
        <f t="shared" ref="S35:S66" si="29">DATEVALUE(A35)-MIN($A$3:$A$68)</f>
        <v>45254</v>
      </c>
      <c r="T35" s="31">
        <f t="shared" si="13"/>
        <v>37800</v>
      </c>
      <c r="U35" s="31">
        <f t="shared" si="14"/>
        <v>32</v>
      </c>
      <c r="V35" s="31">
        <f t="shared" si="15"/>
        <v>2764800</v>
      </c>
      <c r="W35" s="31">
        <f t="shared" si="16"/>
        <v>2802600</v>
      </c>
      <c r="X35" s="31">
        <f t="shared" si="3"/>
        <v>2583000</v>
      </c>
      <c r="Y35" s="31">
        <f t="shared" si="17"/>
        <v>0</v>
      </c>
      <c r="Z35" s="31">
        <f t="shared" si="18"/>
        <v>0</v>
      </c>
    </row>
    <row r="36" spans="1:26" x14ac:dyDescent="0.25">
      <c r="A36" s="74" t="s">
        <v>182</v>
      </c>
      <c r="B36" s="74" t="s">
        <v>187</v>
      </c>
      <c r="C36" s="45" t="str">
        <f t="shared" si="6"/>
        <v>24-11-2023 15:10</v>
      </c>
      <c r="D36" s="93">
        <v>730</v>
      </c>
      <c r="E36" s="93">
        <v>183</v>
      </c>
      <c r="F36" s="93">
        <v>0</v>
      </c>
      <c r="G36" s="93"/>
      <c r="I36" s="93">
        <v>1</v>
      </c>
      <c r="J36" s="31">
        <f t="shared" si="27"/>
        <v>42.657300000000006</v>
      </c>
      <c r="K36" s="31">
        <f t="shared" si="8"/>
        <v>65.265669000000017</v>
      </c>
      <c r="L36" s="31">
        <f t="shared" si="9"/>
        <v>323.47261800000001</v>
      </c>
      <c r="M36" s="31">
        <f t="shared" si="10"/>
        <v>80.538640000000001</v>
      </c>
      <c r="N36" s="31">
        <f t="shared" si="11"/>
        <v>47.643938370000008</v>
      </c>
      <c r="O36" s="31">
        <f t="shared" si="11"/>
        <v>59.195489094000003</v>
      </c>
      <c r="P36" s="31">
        <f t="shared" si="11"/>
        <v>0</v>
      </c>
      <c r="Q36" s="31">
        <f t="shared" si="12"/>
        <v>106.83942746400001</v>
      </c>
      <c r="R36" s="31">
        <f t="shared" si="28"/>
        <v>0.63194444444525288</v>
      </c>
      <c r="S36" s="31">
        <f t="shared" si="29"/>
        <v>45254</v>
      </c>
      <c r="T36" s="31">
        <f t="shared" si="13"/>
        <v>54600.000000069849</v>
      </c>
      <c r="U36" s="31">
        <f t="shared" si="14"/>
        <v>32</v>
      </c>
      <c r="V36" s="31">
        <f t="shared" si="15"/>
        <v>2764800</v>
      </c>
      <c r="W36" s="31">
        <f t="shared" si="16"/>
        <v>2819400.0000000698</v>
      </c>
      <c r="X36" s="31">
        <f t="shared" ref="X36:X67" si="30">W36-$R$2</f>
        <v>2599800.0000000698</v>
      </c>
      <c r="Y36" s="31">
        <f t="shared" si="17"/>
        <v>183</v>
      </c>
      <c r="Z36" s="31">
        <f t="shared" si="18"/>
        <v>730</v>
      </c>
    </row>
    <row r="37" spans="1:26" x14ac:dyDescent="0.25">
      <c r="A37" s="74" t="s">
        <v>188</v>
      </c>
      <c r="B37" s="74" t="s">
        <v>156</v>
      </c>
      <c r="C37" s="45" t="str">
        <f t="shared" si="6"/>
        <v>27-11-2023 10:00</v>
      </c>
      <c r="D37" s="93">
        <v>0</v>
      </c>
      <c r="E37" s="93">
        <v>0</v>
      </c>
      <c r="F37" s="93">
        <f>G35-G37</f>
        <v>271.21999999999991</v>
      </c>
      <c r="G37" s="93">
        <v>936.09</v>
      </c>
      <c r="I37" s="93">
        <v>1</v>
      </c>
      <c r="J37" s="31">
        <f t="shared" si="27"/>
        <v>42.657300000000006</v>
      </c>
      <c r="K37" s="31">
        <f t="shared" si="8"/>
        <v>65.265669000000017</v>
      </c>
      <c r="L37" s="31">
        <f t="shared" si="9"/>
        <v>323.47261800000001</v>
      </c>
      <c r="M37" s="31">
        <f t="shared" si="10"/>
        <v>80.538640000000001</v>
      </c>
      <c r="N37" s="31">
        <f t="shared" si="11"/>
        <v>0</v>
      </c>
      <c r="O37" s="31">
        <f t="shared" si="11"/>
        <v>0</v>
      </c>
      <c r="P37" s="31">
        <f t="shared" si="11"/>
        <v>21.84368994079999</v>
      </c>
      <c r="Q37" s="31">
        <f t="shared" si="12"/>
        <v>21.84368994079999</v>
      </c>
      <c r="R37" s="31">
        <f t="shared" si="28"/>
        <v>0.41666666666424135</v>
      </c>
      <c r="S37" s="31">
        <f t="shared" si="29"/>
        <v>45257</v>
      </c>
      <c r="T37" s="31">
        <f t="shared" si="13"/>
        <v>35999.999999790452</v>
      </c>
      <c r="U37" s="31">
        <f t="shared" si="14"/>
        <v>35</v>
      </c>
      <c r="V37" s="31">
        <f t="shared" si="15"/>
        <v>3024000</v>
      </c>
      <c r="W37" s="31">
        <f t="shared" si="16"/>
        <v>3059999.9999997905</v>
      </c>
      <c r="X37" s="31">
        <f t="shared" si="30"/>
        <v>2840399.9999997905</v>
      </c>
      <c r="Y37" s="31">
        <f t="shared" si="17"/>
        <v>0</v>
      </c>
      <c r="Z37" s="31">
        <f t="shared" si="18"/>
        <v>0</v>
      </c>
    </row>
    <row r="38" spans="1:26" x14ac:dyDescent="0.25">
      <c r="A38" s="74" t="s">
        <v>188</v>
      </c>
      <c r="B38" s="74" t="s">
        <v>156</v>
      </c>
      <c r="C38" s="45" t="str">
        <f t="shared" si="6"/>
        <v>27-11-2023 10:00</v>
      </c>
      <c r="D38" s="93"/>
      <c r="E38" s="93"/>
      <c r="F38" s="93"/>
      <c r="G38" s="93">
        <v>1118.21</v>
      </c>
      <c r="J38" s="31">
        <f t="shared" si="27"/>
        <v>42.657300000000006</v>
      </c>
      <c r="K38" s="31">
        <f t="shared" si="8"/>
        <v>65.265669000000017</v>
      </c>
      <c r="L38" s="31">
        <f t="shared" si="9"/>
        <v>323.47261800000001</v>
      </c>
      <c r="M38" s="31">
        <f t="shared" si="10"/>
        <v>80.538640000000001</v>
      </c>
      <c r="N38" s="31">
        <f t="shared" si="11"/>
        <v>0</v>
      </c>
      <c r="O38" s="31">
        <f t="shared" si="11"/>
        <v>0</v>
      </c>
      <c r="P38" s="31">
        <f t="shared" si="11"/>
        <v>0</v>
      </c>
      <c r="Q38" s="31">
        <f t="shared" si="12"/>
        <v>0</v>
      </c>
      <c r="R38" s="31">
        <f t="shared" si="28"/>
        <v>0.41666666666424135</v>
      </c>
      <c r="S38" s="31">
        <f t="shared" si="29"/>
        <v>45257</v>
      </c>
      <c r="T38" s="31">
        <f t="shared" si="13"/>
        <v>35999.999999790452</v>
      </c>
      <c r="U38" s="31">
        <f t="shared" si="14"/>
        <v>35</v>
      </c>
      <c r="V38" s="31">
        <f t="shared" si="15"/>
        <v>3024000</v>
      </c>
      <c r="W38" s="31">
        <f t="shared" si="16"/>
        <v>3059999.9999997905</v>
      </c>
      <c r="X38" s="31">
        <f t="shared" si="30"/>
        <v>2840399.9999997905</v>
      </c>
      <c r="Y38" s="31">
        <f t="shared" si="17"/>
        <v>0</v>
      </c>
      <c r="Z38" s="31">
        <f t="shared" si="18"/>
        <v>0</v>
      </c>
    </row>
    <row r="39" spans="1:26" x14ac:dyDescent="0.25">
      <c r="A39" s="74" t="s">
        <v>188</v>
      </c>
      <c r="B39" s="74" t="s">
        <v>173</v>
      </c>
      <c r="C39" s="45" t="str">
        <f t="shared" si="6"/>
        <v>27-11-2023 13:00</v>
      </c>
      <c r="D39" s="93">
        <f>243*2</f>
        <v>486</v>
      </c>
      <c r="E39" s="93">
        <f>61*2</f>
        <v>122</v>
      </c>
      <c r="F39" s="93">
        <v>0</v>
      </c>
      <c r="G39" s="93"/>
      <c r="I39" s="93">
        <v>1</v>
      </c>
      <c r="J39" s="31">
        <f t="shared" si="27"/>
        <v>42.657300000000006</v>
      </c>
      <c r="K39" s="31">
        <f t="shared" si="8"/>
        <v>65.265669000000017</v>
      </c>
      <c r="L39" s="31">
        <f t="shared" si="9"/>
        <v>323.47261800000001</v>
      </c>
      <c r="M39" s="31">
        <f t="shared" si="10"/>
        <v>80.538640000000001</v>
      </c>
      <c r="N39" s="31">
        <f t="shared" si="11"/>
        <v>31.719115134000006</v>
      </c>
      <c r="O39" s="31">
        <f t="shared" si="11"/>
        <v>39.463659396000004</v>
      </c>
      <c r="P39" s="31">
        <f t="shared" si="11"/>
        <v>0</v>
      </c>
      <c r="Q39" s="31">
        <f t="shared" si="12"/>
        <v>71.182774530000017</v>
      </c>
      <c r="R39" s="31">
        <f t="shared" si="28"/>
        <v>0.54166666666424135</v>
      </c>
      <c r="S39" s="31">
        <f t="shared" si="29"/>
        <v>45257</v>
      </c>
      <c r="T39" s="31">
        <f t="shared" si="13"/>
        <v>46799.999999790452</v>
      </c>
      <c r="U39" s="31">
        <f t="shared" si="14"/>
        <v>35</v>
      </c>
      <c r="V39" s="31">
        <f t="shared" si="15"/>
        <v>3024000</v>
      </c>
      <c r="W39" s="31">
        <f t="shared" si="16"/>
        <v>3070799.9999997905</v>
      </c>
      <c r="X39" s="31">
        <f t="shared" si="30"/>
        <v>2851199.9999997905</v>
      </c>
      <c r="Y39" s="31">
        <f t="shared" si="17"/>
        <v>122</v>
      </c>
      <c r="Z39" s="31">
        <f t="shared" si="18"/>
        <v>486</v>
      </c>
    </row>
    <row r="40" spans="1:26" x14ac:dyDescent="0.25">
      <c r="A40" s="74" t="s">
        <v>189</v>
      </c>
      <c r="B40" s="74" t="s">
        <v>156</v>
      </c>
      <c r="C40" s="45" t="str">
        <f t="shared" si="6"/>
        <v>29-11-2023 10:00</v>
      </c>
      <c r="D40" s="93">
        <v>0</v>
      </c>
      <c r="E40" s="93">
        <v>0</v>
      </c>
      <c r="F40" s="93">
        <f>G38-G40</f>
        <v>189.04000000000008</v>
      </c>
      <c r="G40" s="93">
        <v>929.17</v>
      </c>
      <c r="I40" s="93">
        <v>1</v>
      </c>
      <c r="J40" s="31">
        <f t="shared" si="27"/>
        <v>42.657300000000006</v>
      </c>
      <c r="K40" s="31">
        <f t="shared" si="8"/>
        <v>65.265669000000017</v>
      </c>
      <c r="L40" s="31">
        <f t="shared" si="9"/>
        <v>323.47261800000001</v>
      </c>
      <c r="M40" s="31">
        <f t="shared" si="10"/>
        <v>80.538640000000001</v>
      </c>
      <c r="N40" s="31">
        <f t="shared" si="11"/>
        <v>0</v>
      </c>
      <c r="O40" s="31">
        <f t="shared" si="11"/>
        <v>0</v>
      </c>
      <c r="P40" s="31">
        <f t="shared" si="11"/>
        <v>15.225024505600006</v>
      </c>
      <c r="Q40" s="31">
        <f t="shared" si="12"/>
        <v>15.225024505600006</v>
      </c>
      <c r="R40" s="31">
        <f t="shared" si="28"/>
        <v>0.41666666666424135</v>
      </c>
      <c r="S40" s="31">
        <f t="shared" si="29"/>
        <v>45259</v>
      </c>
      <c r="T40" s="31">
        <f t="shared" si="13"/>
        <v>35999.999999790452</v>
      </c>
      <c r="U40" s="31">
        <f t="shared" si="14"/>
        <v>37</v>
      </c>
      <c r="V40" s="31">
        <f t="shared" si="15"/>
        <v>3196800</v>
      </c>
      <c r="W40" s="31">
        <f t="shared" si="16"/>
        <v>3232799.9999997905</v>
      </c>
      <c r="X40" s="31">
        <f t="shared" si="30"/>
        <v>3013199.9999997905</v>
      </c>
      <c r="Y40" s="31">
        <f t="shared" si="17"/>
        <v>0</v>
      </c>
      <c r="Z40" s="31">
        <f t="shared" si="18"/>
        <v>0</v>
      </c>
    </row>
    <row r="41" spans="1:26" x14ac:dyDescent="0.25">
      <c r="A41" s="74" t="s">
        <v>189</v>
      </c>
      <c r="B41" s="74" t="s">
        <v>156</v>
      </c>
      <c r="C41" s="45" t="str">
        <f t="shared" si="6"/>
        <v>29-11-2023 10:00</v>
      </c>
      <c r="D41" s="93"/>
      <c r="E41" s="93"/>
      <c r="F41" s="93"/>
      <c r="G41" s="93">
        <v>1118.0999999999999</v>
      </c>
      <c r="J41" s="31">
        <f t="shared" si="27"/>
        <v>42.657300000000006</v>
      </c>
      <c r="K41" s="31">
        <f t="shared" si="8"/>
        <v>65.265669000000017</v>
      </c>
      <c r="L41" s="31">
        <f t="shared" si="9"/>
        <v>323.47261800000001</v>
      </c>
      <c r="M41" s="31">
        <f t="shared" si="10"/>
        <v>80.538640000000001</v>
      </c>
      <c r="N41" s="31">
        <f t="shared" si="11"/>
        <v>0</v>
      </c>
      <c r="O41" s="31">
        <f t="shared" si="11"/>
        <v>0</v>
      </c>
      <c r="P41" s="31">
        <f t="shared" si="11"/>
        <v>0</v>
      </c>
      <c r="Q41" s="31">
        <f t="shared" si="12"/>
        <v>0</v>
      </c>
      <c r="R41" s="31">
        <f t="shared" si="28"/>
        <v>0.41666666666424135</v>
      </c>
      <c r="S41" s="31">
        <f t="shared" si="29"/>
        <v>45259</v>
      </c>
      <c r="T41" s="31">
        <f t="shared" si="13"/>
        <v>35999.999999790452</v>
      </c>
      <c r="U41" s="31">
        <f t="shared" si="14"/>
        <v>37</v>
      </c>
      <c r="V41" s="31">
        <f t="shared" si="15"/>
        <v>3196800</v>
      </c>
      <c r="W41" s="31">
        <f t="shared" si="16"/>
        <v>3232799.9999997905</v>
      </c>
      <c r="X41" s="31">
        <f t="shared" si="30"/>
        <v>3013199.9999997905</v>
      </c>
      <c r="Y41" s="31">
        <f t="shared" si="17"/>
        <v>0</v>
      </c>
      <c r="Z41" s="31">
        <f t="shared" si="18"/>
        <v>0</v>
      </c>
    </row>
    <row r="42" spans="1:26" x14ac:dyDescent="0.25">
      <c r="A42" s="74" t="s">
        <v>189</v>
      </c>
      <c r="B42" s="74" t="s">
        <v>173</v>
      </c>
      <c r="C42" s="45" t="str">
        <f t="shared" si="6"/>
        <v>29-11-2023 13:00</v>
      </c>
      <c r="D42" s="93">
        <f>243*2</f>
        <v>486</v>
      </c>
      <c r="E42" s="93">
        <f>61*2</f>
        <v>122</v>
      </c>
      <c r="F42" s="93">
        <v>0</v>
      </c>
      <c r="G42" s="93"/>
      <c r="I42" s="93">
        <v>1</v>
      </c>
      <c r="J42" s="31">
        <f t="shared" si="27"/>
        <v>42.657300000000006</v>
      </c>
      <c r="K42" s="31">
        <f t="shared" si="8"/>
        <v>65.265669000000017</v>
      </c>
      <c r="L42" s="31">
        <f t="shared" si="9"/>
        <v>323.47261800000001</v>
      </c>
      <c r="M42" s="31">
        <f t="shared" si="10"/>
        <v>80.538640000000001</v>
      </c>
      <c r="N42" s="31">
        <f t="shared" si="11"/>
        <v>31.719115134000006</v>
      </c>
      <c r="O42" s="31">
        <f t="shared" si="11"/>
        <v>39.463659396000004</v>
      </c>
      <c r="P42" s="31">
        <f t="shared" si="11"/>
        <v>0</v>
      </c>
      <c r="Q42" s="31">
        <f t="shared" si="12"/>
        <v>71.182774530000017</v>
      </c>
      <c r="R42" s="31">
        <f t="shared" si="28"/>
        <v>0.54166666666424135</v>
      </c>
      <c r="S42" s="31">
        <f t="shared" si="29"/>
        <v>45259</v>
      </c>
      <c r="T42" s="31">
        <f t="shared" si="13"/>
        <v>46799.999999790452</v>
      </c>
      <c r="U42" s="31">
        <f t="shared" si="14"/>
        <v>37</v>
      </c>
      <c r="V42" s="31">
        <f t="shared" si="15"/>
        <v>3196800</v>
      </c>
      <c r="W42" s="31">
        <f t="shared" si="16"/>
        <v>3243599.9999997905</v>
      </c>
      <c r="X42" s="31">
        <f t="shared" si="30"/>
        <v>3023999.9999997905</v>
      </c>
      <c r="Y42" s="31">
        <f t="shared" si="17"/>
        <v>122</v>
      </c>
      <c r="Z42" s="31">
        <f t="shared" si="18"/>
        <v>486</v>
      </c>
    </row>
    <row r="43" spans="1:26" x14ac:dyDescent="0.25">
      <c r="A43" s="74" t="s">
        <v>190</v>
      </c>
      <c r="B43" s="74" t="s">
        <v>191</v>
      </c>
      <c r="C43" s="45" t="str">
        <f t="shared" si="6"/>
        <v>01-12-2023 09:45</v>
      </c>
      <c r="D43" s="93">
        <v>0</v>
      </c>
      <c r="E43" s="93">
        <v>0</v>
      </c>
      <c r="F43" s="93">
        <f>G41-G43</f>
        <v>178.80999999999995</v>
      </c>
      <c r="G43" s="93">
        <v>939.29</v>
      </c>
      <c r="H43" s="61" t="s">
        <v>184</v>
      </c>
      <c r="I43" s="93">
        <v>1</v>
      </c>
      <c r="J43" s="31">
        <f t="shared" si="27"/>
        <v>42.657300000000006</v>
      </c>
      <c r="K43" s="31">
        <f t="shared" si="8"/>
        <v>65.265669000000017</v>
      </c>
      <c r="L43" s="31">
        <f t="shared" si="9"/>
        <v>323.47261800000001</v>
      </c>
      <c r="M43" s="31">
        <f t="shared" si="10"/>
        <v>80.538640000000001</v>
      </c>
      <c r="N43" s="31">
        <f t="shared" si="11"/>
        <v>0</v>
      </c>
      <c r="O43" s="31">
        <f t="shared" si="11"/>
        <v>0</v>
      </c>
      <c r="P43" s="31">
        <f t="shared" si="11"/>
        <v>14.401114218399997</v>
      </c>
      <c r="Q43" s="31">
        <f t="shared" si="12"/>
        <v>14.401114218399997</v>
      </c>
      <c r="R43" s="31">
        <f t="shared" si="28"/>
        <v>0.40625</v>
      </c>
      <c r="S43" s="31">
        <f t="shared" si="29"/>
        <v>45261</v>
      </c>
      <c r="T43" s="31">
        <f t="shared" si="13"/>
        <v>35100</v>
      </c>
      <c r="U43" s="31">
        <f t="shared" si="14"/>
        <v>39</v>
      </c>
      <c r="V43" s="31">
        <f t="shared" si="15"/>
        <v>3369600</v>
      </c>
      <c r="W43" s="31">
        <f t="shared" si="16"/>
        <v>3404700</v>
      </c>
      <c r="X43" s="31">
        <f t="shared" si="30"/>
        <v>3185100</v>
      </c>
      <c r="Y43" s="31">
        <f t="shared" si="17"/>
        <v>0</v>
      </c>
      <c r="Z43" s="31">
        <f t="shared" si="18"/>
        <v>0</v>
      </c>
    </row>
    <row r="44" spans="1:26" x14ac:dyDescent="0.25">
      <c r="A44" s="74" t="s">
        <v>190</v>
      </c>
      <c r="B44" s="74" t="s">
        <v>171</v>
      </c>
      <c r="C44" s="45" t="str">
        <f t="shared" si="6"/>
        <v>01-12-2023 12:30</v>
      </c>
      <c r="D44" s="93"/>
      <c r="E44" s="93"/>
      <c r="F44" s="93"/>
      <c r="G44" s="93">
        <v>1214.1500000000001</v>
      </c>
      <c r="H44" s="61" t="s">
        <v>192</v>
      </c>
      <c r="J44" s="31">
        <f t="shared" si="27"/>
        <v>42.657300000000006</v>
      </c>
      <c r="K44" s="31">
        <f t="shared" si="8"/>
        <v>65.265669000000017</v>
      </c>
      <c r="L44" s="31">
        <f t="shared" si="9"/>
        <v>323.47261800000001</v>
      </c>
      <c r="M44" s="31">
        <f t="shared" si="10"/>
        <v>80.538640000000001</v>
      </c>
      <c r="N44" s="31">
        <f t="shared" si="11"/>
        <v>0</v>
      </c>
      <c r="O44" s="31">
        <f t="shared" si="11"/>
        <v>0</v>
      </c>
      <c r="P44" s="31">
        <f t="shared" si="11"/>
        <v>0</v>
      </c>
      <c r="Q44" s="31">
        <f t="shared" si="12"/>
        <v>0</v>
      </c>
      <c r="R44" s="31">
        <f t="shared" si="28"/>
        <v>0.52083333333575865</v>
      </c>
      <c r="S44" s="31">
        <f t="shared" si="29"/>
        <v>45261</v>
      </c>
      <c r="T44" s="31">
        <f t="shared" si="13"/>
        <v>45000.000000209548</v>
      </c>
      <c r="U44" s="31">
        <f t="shared" si="14"/>
        <v>39</v>
      </c>
      <c r="V44" s="31">
        <f t="shared" si="15"/>
        <v>3369600</v>
      </c>
      <c r="W44" s="31">
        <f t="shared" si="16"/>
        <v>3414600.0000002095</v>
      </c>
      <c r="X44" s="31">
        <f t="shared" si="30"/>
        <v>3195000.0000002095</v>
      </c>
      <c r="Y44" s="31">
        <f t="shared" si="17"/>
        <v>0</v>
      </c>
      <c r="Z44" s="31">
        <f t="shared" si="18"/>
        <v>0</v>
      </c>
    </row>
    <row r="45" spans="1:26" x14ac:dyDescent="0.25">
      <c r="A45" s="74" t="s">
        <v>190</v>
      </c>
      <c r="B45" s="74" t="s">
        <v>193</v>
      </c>
      <c r="C45" s="45" t="str">
        <f t="shared" si="6"/>
        <v>01-12-2023 13:40</v>
      </c>
      <c r="D45" s="93">
        <v>365</v>
      </c>
      <c r="E45" s="93">
        <v>91.5</v>
      </c>
      <c r="F45" s="93">
        <v>0</v>
      </c>
      <c r="G45" s="93"/>
      <c r="H45" t="s">
        <v>194</v>
      </c>
      <c r="I45" s="93">
        <v>1</v>
      </c>
      <c r="J45" s="31">
        <f t="shared" si="27"/>
        <v>42.657300000000006</v>
      </c>
      <c r="K45" s="31">
        <f t="shared" si="8"/>
        <v>65.265669000000017</v>
      </c>
      <c r="L45" s="31">
        <f t="shared" si="9"/>
        <v>323.47261800000001</v>
      </c>
      <c r="M45" s="31">
        <f t="shared" si="10"/>
        <v>80.538640000000001</v>
      </c>
      <c r="N45" s="31">
        <f t="shared" si="11"/>
        <v>23.821969185000004</v>
      </c>
      <c r="O45" s="31">
        <f t="shared" si="11"/>
        <v>29.597744547000001</v>
      </c>
      <c r="P45" s="31">
        <f t="shared" si="11"/>
        <v>0</v>
      </c>
      <c r="Q45" s="31">
        <f t="shared" si="12"/>
        <v>53.419713732000005</v>
      </c>
      <c r="R45" s="31">
        <f t="shared" si="28"/>
        <v>0.56944444444525288</v>
      </c>
      <c r="S45" s="31">
        <f t="shared" si="29"/>
        <v>45261</v>
      </c>
      <c r="T45" s="31">
        <f t="shared" si="13"/>
        <v>49200.000000069849</v>
      </c>
      <c r="U45" s="31">
        <f t="shared" si="14"/>
        <v>39</v>
      </c>
      <c r="V45" s="31">
        <f t="shared" si="15"/>
        <v>3369600</v>
      </c>
      <c r="W45" s="31">
        <f t="shared" si="16"/>
        <v>3418800.0000000698</v>
      </c>
      <c r="X45" s="31">
        <f t="shared" si="30"/>
        <v>3199200.0000000698</v>
      </c>
      <c r="Y45" s="31">
        <f t="shared" si="17"/>
        <v>91.5</v>
      </c>
      <c r="Z45" s="31">
        <f t="shared" si="18"/>
        <v>365</v>
      </c>
    </row>
    <row r="46" spans="1:26" x14ac:dyDescent="0.25">
      <c r="A46" s="74" t="s">
        <v>195</v>
      </c>
      <c r="B46" s="74" t="s">
        <v>185</v>
      </c>
      <c r="C46" s="45" t="str">
        <f t="shared" si="6"/>
        <v>04-12-2023 10:30</v>
      </c>
      <c r="D46" s="93">
        <v>0</v>
      </c>
      <c r="E46" s="93">
        <v>0</v>
      </c>
      <c r="F46" s="93">
        <f>G44-G46</f>
        <v>-1.0199999999999818</v>
      </c>
      <c r="G46" s="93">
        <v>1215.17</v>
      </c>
      <c r="I46" s="93">
        <v>1</v>
      </c>
      <c r="J46" s="31">
        <f t="shared" si="27"/>
        <v>42.657300000000006</v>
      </c>
      <c r="K46" s="31">
        <f t="shared" si="8"/>
        <v>65.265669000000017</v>
      </c>
      <c r="L46" s="31">
        <f t="shared" si="9"/>
        <v>323.47261800000001</v>
      </c>
      <c r="M46" s="31">
        <f t="shared" si="10"/>
        <v>80.538640000000001</v>
      </c>
      <c r="N46" s="31">
        <f t="shared" si="11"/>
        <v>0</v>
      </c>
      <c r="O46" s="31">
        <f t="shared" si="11"/>
        <v>0</v>
      </c>
      <c r="P46" s="31">
        <f t="shared" si="11"/>
        <v>-8.2149412799998531E-2</v>
      </c>
      <c r="Q46" s="31">
        <f t="shared" si="12"/>
        <v>-8.2149412799998531E-2</v>
      </c>
      <c r="R46" s="31">
        <f t="shared" si="28"/>
        <v>0.4375</v>
      </c>
      <c r="S46" s="31">
        <f t="shared" si="29"/>
        <v>45264</v>
      </c>
      <c r="T46" s="31">
        <f t="shared" si="13"/>
        <v>37800</v>
      </c>
      <c r="U46" s="31">
        <f t="shared" si="14"/>
        <v>42</v>
      </c>
      <c r="V46" s="31">
        <f t="shared" si="15"/>
        <v>3628800</v>
      </c>
      <c r="W46" s="31">
        <f t="shared" si="16"/>
        <v>3666600</v>
      </c>
      <c r="X46" s="31">
        <f t="shared" si="30"/>
        <v>3447000</v>
      </c>
      <c r="Y46" s="31">
        <f t="shared" si="17"/>
        <v>0</v>
      </c>
      <c r="Z46" s="31">
        <f t="shared" si="18"/>
        <v>0</v>
      </c>
    </row>
    <row r="47" spans="1:26" x14ac:dyDescent="0.25">
      <c r="A47" s="74" t="s">
        <v>195</v>
      </c>
      <c r="B47" s="74" t="s">
        <v>196</v>
      </c>
      <c r="C47" s="45" t="str">
        <f t="shared" si="6"/>
        <v>04-12-2023 16:00</v>
      </c>
      <c r="D47" s="93">
        <v>243</v>
      </c>
      <c r="E47" s="93">
        <v>61</v>
      </c>
      <c r="F47" s="93">
        <v>0</v>
      </c>
      <c r="G47" s="93"/>
      <c r="I47" s="93">
        <v>1</v>
      </c>
      <c r="J47" s="31">
        <f t="shared" si="27"/>
        <v>42.657300000000006</v>
      </c>
      <c r="K47" s="31">
        <f t="shared" si="8"/>
        <v>65.265669000000017</v>
      </c>
      <c r="L47" s="31">
        <f t="shared" si="9"/>
        <v>323.47261800000001</v>
      </c>
      <c r="M47" s="31">
        <f t="shared" si="10"/>
        <v>80.538640000000001</v>
      </c>
      <c r="N47" s="31">
        <f t="shared" si="11"/>
        <v>15.859557567000003</v>
      </c>
      <c r="O47" s="31">
        <f t="shared" si="11"/>
        <v>19.731829698000002</v>
      </c>
      <c r="P47" s="31">
        <f t="shared" si="11"/>
        <v>0</v>
      </c>
      <c r="Q47" s="31">
        <f t="shared" si="12"/>
        <v>35.591387265000009</v>
      </c>
      <c r="R47" s="31">
        <f t="shared" si="28"/>
        <v>0.66666666666424135</v>
      </c>
      <c r="S47" s="31">
        <f t="shared" si="29"/>
        <v>45264</v>
      </c>
      <c r="T47" s="31">
        <f t="shared" si="13"/>
        <v>57599.999999790452</v>
      </c>
      <c r="U47" s="31">
        <f t="shared" si="14"/>
        <v>42</v>
      </c>
      <c r="V47" s="31">
        <f t="shared" si="15"/>
        <v>3628800</v>
      </c>
      <c r="W47" s="31">
        <f t="shared" si="16"/>
        <v>3686399.9999997905</v>
      </c>
      <c r="X47" s="31">
        <f t="shared" si="30"/>
        <v>3466799.9999997905</v>
      </c>
      <c r="Y47" s="31">
        <f t="shared" si="17"/>
        <v>61</v>
      </c>
      <c r="Z47" s="31">
        <f t="shared" si="18"/>
        <v>243</v>
      </c>
    </row>
    <row r="48" spans="1:26" x14ac:dyDescent="0.25">
      <c r="A48" s="74" t="s">
        <v>197</v>
      </c>
      <c r="B48" s="74" t="s">
        <v>185</v>
      </c>
      <c r="C48" s="45" t="str">
        <f t="shared" si="6"/>
        <v>06-12-2023 10:30</v>
      </c>
      <c r="D48" s="93">
        <v>0</v>
      </c>
      <c r="E48" s="93">
        <v>0</v>
      </c>
      <c r="F48" s="93">
        <f>G46-G48</f>
        <v>210.50000000000011</v>
      </c>
      <c r="G48" s="93">
        <v>1004.67</v>
      </c>
      <c r="I48" s="93">
        <v>1</v>
      </c>
      <c r="J48" s="31">
        <f t="shared" si="27"/>
        <v>42.657300000000006</v>
      </c>
      <c r="K48" s="31">
        <f t="shared" si="8"/>
        <v>65.265669000000017</v>
      </c>
      <c r="L48" s="31">
        <f t="shared" si="9"/>
        <v>323.47261800000001</v>
      </c>
      <c r="M48" s="31">
        <f t="shared" si="10"/>
        <v>80.538640000000001</v>
      </c>
      <c r="N48" s="31">
        <f t="shared" si="11"/>
        <v>0</v>
      </c>
      <c r="O48" s="31">
        <f t="shared" si="11"/>
        <v>0</v>
      </c>
      <c r="P48" s="31">
        <f t="shared" si="11"/>
        <v>16.953383720000009</v>
      </c>
      <c r="Q48" s="31">
        <f t="shared" si="12"/>
        <v>16.953383720000009</v>
      </c>
      <c r="R48" s="31">
        <f t="shared" si="28"/>
        <v>0.4375</v>
      </c>
      <c r="S48" s="31">
        <f t="shared" si="29"/>
        <v>45266</v>
      </c>
      <c r="T48" s="31">
        <f t="shared" si="13"/>
        <v>37800</v>
      </c>
      <c r="U48" s="31">
        <f t="shared" si="14"/>
        <v>44</v>
      </c>
      <c r="V48" s="31">
        <f t="shared" si="15"/>
        <v>3801600</v>
      </c>
      <c r="W48" s="31">
        <f t="shared" si="16"/>
        <v>3839400</v>
      </c>
      <c r="X48" s="31">
        <f t="shared" si="30"/>
        <v>3619800</v>
      </c>
      <c r="Y48" s="31">
        <f t="shared" si="17"/>
        <v>0</v>
      </c>
      <c r="Z48" s="31">
        <f t="shared" si="18"/>
        <v>0</v>
      </c>
    </row>
    <row r="49" spans="1:26" x14ac:dyDescent="0.25">
      <c r="A49" s="74" t="s">
        <v>197</v>
      </c>
      <c r="B49" s="74" t="s">
        <v>185</v>
      </c>
      <c r="C49" s="45" t="str">
        <f t="shared" si="6"/>
        <v>06-12-2023 10:30</v>
      </c>
      <c r="D49" s="93"/>
      <c r="E49" s="93"/>
      <c r="F49" s="93"/>
      <c r="G49" s="93">
        <v>1425.7</v>
      </c>
      <c r="J49" s="31">
        <f t="shared" si="27"/>
        <v>42.657300000000006</v>
      </c>
      <c r="K49" s="31">
        <f t="shared" si="8"/>
        <v>65.265669000000017</v>
      </c>
      <c r="L49" s="31">
        <f t="shared" si="9"/>
        <v>323.47261800000001</v>
      </c>
      <c r="M49" s="31">
        <f t="shared" si="10"/>
        <v>80.538640000000001</v>
      </c>
      <c r="N49" s="31">
        <f t="shared" si="11"/>
        <v>0</v>
      </c>
      <c r="O49" s="31">
        <f t="shared" si="11"/>
        <v>0</v>
      </c>
      <c r="P49" s="31">
        <f t="shared" si="11"/>
        <v>0</v>
      </c>
      <c r="Q49" s="31">
        <f t="shared" si="12"/>
        <v>0</v>
      </c>
      <c r="R49" s="31">
        <f t="shared" si="28"/>
        <v>0.4375</v>
      </c>
      <c r="S49" s="31">
        <f t="shared" si="29"/>
        <v>45266</v>
      </c>
      <c r="T49" s="31">
        <f t="shared" si="13"/>
        <v>37800</v>
      </c>
      <c r="U49" s="31">
        <f t="shared" si="14"/>
        <v>44</v>
      </c>
      <c r="V49" s="31">
        <f t="shared" si="15"/>
        <v>3801600</v>
      </c>
      <c r="W49" s="31">
        <f t="shared" si="16"/>
        <v>3839400</v>
      </c>
      <c r="X49" s="31">
        <f t="shared" si="30"/>
        <v>3619800</v>
      </c>
      <c r="Y49" s="31">
        <f t="shared" si="17"/>
        <v>0</v>
      </c>
      <c r="Z49" s="31">
        <f t="shared" si="18"/>
        <v>0</v>
      </c>
    </row>
    <row r="50" spans="1:26" x14ac:dyDescent="0.25">
      <c r="A50" s="74" t="s">
        <v>197</v>
      </c>
      <c r="B50" s="74" t="s">
        <v>171</v>
      </c>
      <c r="C50" s="45" t="str">
        <f t="shared" si="6"/>
        <v>06-12-2023 12:30</v>
      </c>
      <c r="D50" s="93">
        <f>243*2</f>
        <v>486</v>
      </c>
      <c r="E50" s="93">
        <f>61*2</f>
        <v>122</v>
      </c>
      <c r="F50" s="93">
        <v>0</v>
      </c>
      <c r="G50" s="93"/>
      <c r="I50" s="93">
        <v>1</v>
      </c>
      <c r="J50" s="31">
        <f t="shared" si="27"/>
        <v>42.657300000000006</v>
      </c>
      <c r="K50" s="31">
        <f t="shared" si="8"/>
        <v>65.265669000000017</v>
      </c>
      <c r="L50" s="31">
        <f t="shared" si="9"/>
        <v>323.47261800000001</v>
      </c>
      <c r="M50" s="31">
        <f t="shared" si="10"/>
        <v>80.538640000000001</v>
      </c>
      <c r="N50" s="31">
        <f t="shared" si="11"/>
        <v>31.719115134000006</v>
      </c>
      <c r="O50" s="31">
        <f t="shared" si="11"/>
        <v>39.463659396000004</v>
      </c>
      <c r="P50" s="31">
        <f t="shared" si="11"/>
        <v>0</v>
      </c>
      <c r="Q50" s="31">
        <f t="shared" si="12"/>
        <v>71.182774530000017</v>
      </c>
      <c r="R50" s="31">
        <f t="shared" si="28"/>
        <v>0.52083333333575865</v>
      </c>
      <c r="S50" s="31">
        <f t="shared" si="29"/>
        <v>45266</v>
      </c>
      <c r="T50" s="31">
        <f t="shared" si="13"/>
        <v>45000.000000209548</v>
      </c>
      <c r="U50" s="31">
        <f t="shared" si="14"/>
        <v>44</v>
      </c>
      <c r="V50" s="31">
        <f t="shared" si="15"/>
        <v>3801600</v>
      </c>
      <c r="W50" s="31">
        <f t="shared" si="16"/>
        <v>3846600.0000002095</v>
      </c>
      <c r="X50" s="31">
        <f t="shared" si="30"/>
        <v>3627000.0000002095</v>
      </c>
      <c r="Y50" s="31">
        <f t="shared" si="17"/>
        <v>122</v>
      </c>
      <c r="Z50" s="31">
        <f t="shared" si="18"/>
        <v>486</v>
      </c>
    </row>
    <row r="51" spans="1:26" x14ac:dyDescent="0.25">
      <c r="A51" s="74" t="s">
        <v>198</v>
      </c>
      <c r="B51" s="74" t="s">
        <v>199</v>
      </c>
      <c r="C51" s="45" t="str">
        <f t="shared" si="6"/>
        <v>11-12-2023 11:50</v>
      </c>
      <c r="D51" s="93">
        <f>243*2</f>
        <v>486</v>
      </c>
      <c r="E51" s="93">
        <v>0</v>
      </c>
      <c r="F51" s="93">
        <v>0</v>
      </c>
      <c r="G51" s="93"/>
      <c r="I51" s="93">
        <v>1</v>
      </c>
      <c r="J51" s="31">
        <f t="shared" si="27"/>
        <v>42.657300000000006</v>
      </c>
      <c r="K51" s="31">
        <f t="shared" si="8"/>
        <v>65.265669000000017</v>
      </c>
      <c r="L51" s="31">
        <f t="shared" si="9"/>
        <v>323.47261800000001</v>
      </c>
      <c r="M51" s="31">
        <f t="shared" si="10"/>
        <v>80.538640000000001</v>
      </c>
      <c r="N51" s="31">
        <f t="shared" si="11"/>
        <v>31.719115134000006</v>
      </c>
      <c r="O51" s="31">
        <f t="shared" si="11"/>
        <v>0</v>
      </c>
      <c r="P51" s="31">
        <f t="shared" si="11"/>
        <v>0</v>
      </c>
      <c r="Q51" s="31">
        <f t="shared" si="12"/>
        <v>31.719115134000006</v>
      </c>
      <c r="R51" s="31">
        <f t="shared" si="28"/>
        <v>0.49305555555474712</v>
      </c>
      <c r="S51" s="31">
        <f t="shared" si="29"/>
        <v>45271</v>
      </c>
      <c r="T51" s="31">
        <f t="shared" si="13"/>
        <v>42599.999999930151</v>
      </c>
      <c r="U51" s="31">
        <f t="shared" si="14"/>
        <v>49</v>
      </c>
      <c r="V51" s="31">
        <f t="shared" si="15"/>
        <v>4233600</v>
      </c>
      <c r="W51" s="31">
        <f t="shared" si="16"/>
        <v>4276199.9999999302</v>
      </c>
      <c r="X51" s="31">
        <f t="shared" si="30"/>
        <v>4056599.9999999302</v>
      </c>
      <c r="Y51" s="31">
        <f t="shared" si="17"/>
        <v>0</v>
      </c>
      <c r="Z51" s="31">
        <f t="shared" si="18"/>
        <v>486</v>
      </c>
    </row>
    <row r="52" spans="1:26" x14ac:dyDescent="0.25">
      <c r="A52" s="74" t="s">
        <v>198</v>
      </c>
      <c r="B52" s="74" t="s">
        <v>137</v>
      </c>
      <c r="C52" s="45" t="str">
        <f t="shared" si="6"/>
        <v>11-12-2023 15:00</v>
      </c>
      <c r="D52" s="93">
        <v>0</v>
      </c>
      <c r="E52" s="93">
        <v>0</v>
      </c>
      <c r="F52" s="93">
        <f>G49-G52</f>
        <v>436.31000000000006</v>
      </c>
      <c r="G52" s="93">
        <v>989.39</v>
      </c>
      <c r="I52" s="93">
        <v>1</v>
      </c>
      <c r="J52" s="31">
        <f t="shared" si="27"/>
        <v>42.657300000000006</v>
      </c>
      <c r="K52" s="31">
        <f t="shared" si="8"/>
        <v>65.265669000000017</v>
      </c>
      <c r="L52" s="31">
        <f t="shared" si="9"/>
        <v>323.47261800000001</v>
      </c>
      <c r="M52" s="31">
        <f t="shared" si="10"/>
        <v>80.538640000000001</v>
      </c>
      <c r="N52" s="31">
        <f t="shared" si="11"/>
        <v>0</v>
      </c>
      <c r="O52" s="31">
        <f t="shared" si="11"/>
        <v>0</v>
      </c>
      <c r="P52" s="31">
        <f t="shared" si="11"/>
        <v>35.13981401840001</v>
      </c>
      <c r="Q52" s="31">
        <f t="shared" si="12"/>
        <v>35.13981401840001</v>
      </c>
      <c r="R52" s="31">
        <f t="shared" si="28"/>
        <v>0.625</v>
      </c>
      <c r="S52" s="31">
        <f t="shared" si="29"/>
        <v>45271</v>
      </c>
      <c r="T52" s="31">
        <f t="shared" si="13"/>
        <v>54000</v>
      </c>
      <c r="U52" s="31">
        <f t="shared" si="14"/>
        <v>49</v>
      </c>
      <c r="V52" s="31">
        <f t="shared" si="15"/>
        <v>4233600</v>
      </c>
      <c r="W52" s="31">
        <f t="shared" si="16"/>
        <v>4287600</v>
      </c>
      <c r="X52" s="31">
        <f t="shared" si="30"/>
        <v>4068000</v>
      </c>
      <c r="Y52" s="31">
        <f t="shared" si="17"/>
        <v>0</v>
      </c>
      <c r="Z52" s="31">
        <f t="shared" si="18"/>
        <v>0</v>
      </c>
    </row>
    <row r="53" spans="1:26" x14ac:dyDescent="0.25">
      <c r="A53" s="74" t="s">
        <v>198</v>
      </c>
      <c r="B53" s="74" t="s">
        <v>137</v>
      </c>
      <c r="C53" s="45" t="str">
        <f t="shared" si="6"/>
        <v>11-12-2023 15:00</v>
      </c>
      <c r="D53" s="93"/>
      <c r="E53" s="93"/>
      <c r="F53" s="93"/>
      <c r="G53" s="93">
        <v>1117.0999999999999</v>
      </c>
      <c r="J53" s="31">
        <f t="shared" si="27"/>
        <v>42.657300000000006</v>
      </c>
      <c r="K53" s="31">
        <f t="shared" si="8"/>
        <v>65.265669000000017</v>
      </c>
      <c r="L53" s="31">
        <f t="shared" si="9"/>
        <v>323.47261800000001</v>
      </c>
      <c r="M53" s="31">
        <f t="shared" si="10"/>
        <v>80.538640000000001</v>
      </c>
      <c r="N53" s="31">
        <f t="shared" si="11"/>
        <v>0</v>
      </c>
      <c r="O53" s="31">
        <f t="shared" si="11"/>
        <v>0</v>
      </c>
      <c r="P53" s="31">
        <f t="shared" si="11"/>
        <v>0</v>
      </c>
      <c r="Q53" s="31">
        <f t="shared" si="12"/>
        <v>0</v>
      </c>
      <c r="R53" s="31">
        <f t="shared" si="28"/>
        <v>0.625</v>
      </c>
      <c r="S53" s="31">
        <f t="shared" si="29"/>
        <v>45271</v>
      </c>
      <c r="T53" s="31">
        <f t="shared" si="13"/>
        <v>54000</v>
      </c>
      <c r="U53" s="31">
        <f t="shared" si="14"/>
        <v>49</v>
      </c>
      <c r="V53" s="31">
        <f t="shared" si="15"/>
        <v>4233600</v>
      </c>
      <c r="W53" s="31">
        <f t="shared" si="16"/>
        <v>4287600</v>
      </c>
      <c r="X53" s="31">
        <f t="shared" si="30"/>
        <v>4068000</v>
      </c>
      <c r="Y53" s="31">
        <f t="shared" si="17"/>
        <v>0</v>
      </c>
      <c r="Z53" s="31">
        <f t="shared" si="18"/>
        <v>0</v>
      </c>
    </row>
    <row r="54" spans="1:26" x14ac:dyDescent="0.25">
      <c r="A54" s="74" t="s">
        <v>200</v>
      </c>
      <c r="B54" s="74" t="s">
        <v>180</v>
      </c>
      <c r="C54" s="45" t="str">
        <f t="shared" si="6"/>
        <v>13-12-2023 12:00</v>
      </c>
      <c r="D54" s="93"/>
      <c r="E54" s="93"/>
      <c r="F54" s="93"/>
      <c r="G54" s="93">
        <v>997.66</v>
      </c>
      <c r="J54" s="31">
        <f t="shared" ref="J54:J59" si="31">68.1*77.5/100</f>
        <v>52.777500000000003</v>
      </c>
      <c r="K54" s="31">
        <f t="shared" si="8"/>
        <v>80.749575000000007</v>
      </c>
      <c r="L54" s="31">
        <f t="shared" si="9"/>
        <v>323.47261800000001</v>
      </c>
      <c r="M54" s="31">
        <f t="shared" si="10"/>
        <v>80.538640000000001</v>
      </c>
      <c r="N54" s="31">
        <f t="shared" si="11"/>
        <v>0</v>
      </c>
      <c r="O54" s="31">
        <f t="shared" si="11"/>
        <v>0</v>
      </c>
      <c r="P54" s="31">
        <f t="shared" si="11"/>
        <v>0</v>
      </c>
      <c r="Q54" s="31">
        <f t="shared" si="12"/>
        <v>0</v>
      </c>
      <c r="R54" s="31">
        <f t="shared" si="28"/>
        <v>0.5</v>
      </c>
      <c r="S54" s="31">
        <f t="shared" si="29"/>
        <v>45273</v>
      </c>
      <c r="T54" s="31">
        <f t="shared" si="13"/>
        <v>43200</v>
      </c>
      <c r="U54" s="31">
        <f t="shared" si="14"/>
        <v>51</v>
      </c>
      <c r="V54" s="31">
        <f t="shared" si="15"/>
        <v>4406400</v>
      </c>
      <c r="W54" s="31">
        <f t="shared" si="16"/>
        <v>4449600</v>
      </c>
      <c r="X54" s="31">
        <f t="shared" si="30"/>
        <v>4230000</v>
      </c>
      <c r="Y54" s="31">
        <f t="shared" si="17"/>
        <v>0</v>
      </c>
      <c r="Z54" s="31">
        <f t="shared" si="18"/>
        <v>0</v>
      </c>
    </row>
    <row r="55" spans="1:26" x14ac:dyDescent="0.25">
      <c r="A55" s="74" t="s">
        <v>200</v>
      </c>
      <c r="B55" s="74" t="s">
        <v>180</v>
      </c>
      <c r="C55" s="45" t="str">
        <f t="shared" si="6"/>
        <v>13-12-2023 12:00</v>
      </c>
      <c r="D55" s="93">
        <v>0</v>
      </c>
      <c r="E55" s="93">
        <v>0</v>
      </c>
      <c r="F55" s="93">
        <f>G53-G54</f>
        <v>119.43999999999994</v>
      </c>
      <c r="G55" s="93">
        <v>1114.52</v>
      </c>
      <c r="I55" s="93">
        <v>1</v>
      </c>
      <c r="J55" s="31">
        <f t="shared" si="31"/>
        <v>52.777500000000003</v>
      </c>
      <c r="K55" s="31">
        <f t="shared" si="8"/>
        <v>80.749575000000007</v>
      </c>
      <c r="L55" s="31">
        <f t="shared" si="9"/>
        <v>323.47261800000001</v>
      </c>
      <c r="M55" s="31">
        <f t="shared" si="10"/>
        <v>80.538640000000001</v>
      </c>
      <c r="N55" s="31">
        <f t="shared" si="11"/>
        <v>0</v>
      </c>
      <c r="O55" s="31">
        <f t="shared" si="11"/>
        <v>0</v>
      </c>
      <c r="P55" s="31">
        <f t="shared" si="11"/>
        <v>9.6195351615999947</v>
      </c>
      <c r="Q55" s="31">
        <f t="shared" si="12"/>
        <v>9.6195351615999947</v>
      </c>
      <c r="R55" s="31">
        <f t="shared" si="28"/>
        <v>0.5</v>
      </c>
      <c r="S55" s="31">
        <f t="shared" si="29"/>
        <v>45273</v>
      </c>
      <c r="T55" s="31">
        <f t="shared" si="13"/>
        <v>43200</v>
      </c>
      <c r="U55" s="31">
        <f t="shared" si="14"/>
        <v>51</v>
      </c>
      <c r="V55" s="31">
        <f t="shared" si="15"/>
        <v>4406400</v>
      </c>
      <c r="W55" s="31">
        <f t="shared" si="16"/>
        <v>4449600</v>
      </c>
      <c r="X55" s="31">
        <f t="shared" si="30"/>
        <v>4230000</v>
      </c>
      <c r="Y55" s="31">
        <f t="shared" si="17"/>
        <v>0</v>
      </c>
      <c r="Z55" s="31">
        <f t="shared" si="18"/>
        <v>0</v>
      </c>
    </row>
    <row r="56" spans="1:26" x14ac:dyDescent="0.25">
      <c r="A56" s="74" t="s">
        <v>200</v>
      </c>
      <c r="B56" s="74" t="s">
        <v>171</v>
      </c>
      <c r="C56" s="45" t="str">
        <f t="shared" si="6"/>
        <v>13-12-2023 12:30</v>
      </c>
      <c r="D56" s="93">
        <f>243*2</f>
        <v>486</v>
      </c>
      <c r="E56" s="93">
        <f>61*2</f>
        <v>122</v>
      </c>
      <c r="F56" s="93">
        <v>0</v>
      </c>
      <c r="G56" s="93"/>
      <c r="I56" s="93">
        <v>1</v>
      </c>
      <c r="J56" s="31">
        <f t="shared" si="31"/>
        <v>52.777500000000003</v>
      </c>
      <c r="K56" s="31">
        <f t="shared" si="8"/>
        <v>80.749575000000007</v>
      </c>
      <c r="L56" s="31">
        <f t="shared" si="9"/>
        <v>323.47261800000001</v>
      </c>
      <c r="M56" s="31">
        <f t="shared" si="10"/>
        <v>80.538640000000001</v>
      </c>
      <c r="N56" s="31">
        <f t="shared" si="11"/>
        <v>39.244293450000008</v>
      </c>
      <c r="O56" s="31">
        <f t="shared" si="11"/>
        <v>39.463659396000004</v>
      </c>
      <c r="P56" s="31">
        <f t="shared" si="11"/>
        <v>0</v>
      </c>
      <c r="Q56" s="31">
        <f t="shared" si="12"/>
        <v>78.707952846000012</v>
      </c>
      <c r="R56" s="31">
        <f t="shared" si="28"/>
        <v>0.52083333333575865</v>
      </c>
      <c r="S56" s="31">
        <f t="shared" si="29"/>
        <v>45273</v>
      </c>
      <c r="T56" s="31">
        <f t="shared" si="13"/>
        <v>45000.000000209548</v>
      </c>
      <c r="U56" s="31">
        <f t="shared" si="14"/>
        <v>51</v>
      </c>
      <c r="V56" s="31">
        <f t="shared" si="15"/>
        <v>4406400</v>
      </c>
      <c r="W56" s="31">
        <f t="shared" si="16"/>
        <v>4451400.0000002095</v>
      </c>
      <c r="X56" s="31">
        <f t="shared" si="30"/>
        <v>4231800.0000002095</v>
      </c>
      <c r="Y56" s="31">
        <f t="shared" si="17"/>
        <v>122</v>
      </c>
      <c r="Z56" s="31">
        <f t="shared" si="18"/>
        <v>486</v>
      </c>
    </row>
    <row r="57" spans="1:26" x14ac:dyDescent="0.25">
      <c r="A57" s="74" t="s">
        <v>201</v>
      </c>
      <c r="B57" s="74" t="s">
        <v>167</v>
      </c>
      <c r="C57" s="45" t="str">
        <f t="shared" si="6"/>
        <v>15-12-2023 11:00</v>
      </c>
      <c r="D57" s="93">
        <v>0</v>
      </c>
      <c r="E57" s="93">
        <v>0</v>
      </c>
      <c r="F57" s="93">
        <f>G55-G57</f>
        <v>175.98000000000002</v>
      </c>
      <c r="G57" s="93">
        <v>938.54</v>
      </c>
      <c r="H57" t="s">
        <v>184</v>
      </c>
      <c r="I57" s="93">
        <v>1</v>
      </c>
      <c r="J57" s="31">
        <f t="shared" si="31"/>
        <v>52.777500000000003</v>
      </c>
      <c r="K57" s="31">
        <f t="shared" si="8"/>
        <v>80.749575000000007</v>
      </c>
      <c r="L57" s="31">
        <f t="shared" si="9"/>
        <v>323.47261800000001</v>
      </c>
      <c r="M57" s="31">
        <f t="shared" si="10"/>
        <v>80.538640000000001</v>
      </c>
      <c r="N57" s="31">
        <f>K57*D57/1000</f>
        <v>0</v>
      </c>
      <c r="O57" s="31">
        <f t="shared" si="11"/>
        <v>0</v>
      </c>
      <c r="P57" s="31">
        <f t="shared" si="11"/>
        <v>14.173189867200003</v>
      </c>
      <c r="Q57" s="31">
        <f t="shared" si="12"/>
        <v>14.173189867200003</v>
      </c>
      <c r="R57" s="31">
        <f t="shared" si="28"/>
        <v>0.45833333333575865</v>
      </c>
      <c r="S57" s="31">
        <f t="shared" si="29"/>
        <v>45275</v>
      </c>
      <c r="T57" s="31">
        <f t="shared" si="13"/>
        <v>39600.000000209548</v>
      </c>
      <c r="U57" s="31">
        <f t="shared" si="14"/>
        <v>53</v>
      </c>
      <c r="V57" s="31">
        <f t="shared" si="15"/>
        <v>4579200</v>
      </c>
      <c r="W57" s="31">
        <f t="shared" si="16"/>
        <v>4618800.0000002095</v>
      </c>
      <c r="X57" s="31">
        <f t="shared" si="30"/>
        <v>4399200.0000002095</v>
      </c>
      <c r="Y57" s="31">
        <f t="shared" si="17"/>
        <v>0</v>
      </c>
      <c r="Z57" s="31">
        <f t="shared" si="18"/>
        <v>0</v>
      </c>
    </row>
    <row r="58" spans="1:26" x14ac:dyDescent="0.25">
      <c r="A58" s="74" t="s">
        <v>201</v>
      </c>
      <c r="B58" s="74" t="s">
        <v>171</v>
      </c>
      <c r="C58" s="45" t="str">
        <f t="shared" si="6"/>
        <v>15-12-2023 12:30</v>
      </c>
      <c r="D58" s="93"/>
      <c r="E58" s="93"/>
      <c r="F58" s="93"/>
      <c r="G58" s="93">
        <v>1222.6600000000001</v>
      </c>
      <c r="H58" t="s">
        <v>192</v>
      </c>
      <c r="J58" s="31">
        <f t="shared" si="31"/>
        <v>52.777500000000003</v>
      </c>
      <c r="K58" s="31">
        <f t="shared" si="8"/>
        <v>80.749575000000007</v>
      </c>
      <c r="L58" s="31">
        <f t="shared" si="9"/>
        <v>323.47261800000001</v>
      </c>
      <c r="M58" s="31">
        <f t="shared" si="10"/>
        <v>80.538640000000001</v>
      </c>
      <c r="N58" s="31">
        <f t="shared" si="11"/>
        <v>0</v>
      </c>
      <c r="O58" s="31">
        <f t="shared" si="11"/>
        <v>0</v>
      </c>
      <c r="P58" s="31">
        <f t="shared" si="11"/>
        <v>0</v>
      </c>
      <c r="Q58" s="31">
        <f t="shared" si="12"/>
        <v>0</v>
      </c>
      <c r="R58" s="31">
        <f t="shared" si="28"/>
        <v>0.52083333333575865</v>
      </c>
      <c r="S58" s="31">
        <f t="shared" si="29"/>
        <v>45275</v>
      </c>
      <c r="T58" s="31">
        <f t="shared" si="13"/>
        <v>45000.000000209548</v>
      </c>
      <c r="U58" s="31">
        <f t="shared" si="14"/>
        <v>53</v>
      </c>
      <c r="V58" s="31">
        <f t="shared" si="15"/>
        <v>4579200</v>
      </c>
      <c r="W58" s="31">
        <f t="shared" si="16"/>
        <v>4624200.0000002095</v>
      </c>
      <c r="X58" s="31">
        <f t="shared" si="30"/>
        <v>4404600.0000002095</v>
      </c>
      <c r="Y58" s="31">
        <f t="shared" si="17"/>
        <v>0</v>
      </c>
      <c r="Z58" s="31">
        <f t="shared" si="18"/>
        <v>0</v>
      </c>
    </row>
    <row r="59" spans="1:26" x14ac:dyDescent="0.25">
      <c r="A59" s="74" t="s">
        <v>201</v>
      </c>
      <c r="B59" s="74" t="s">
        <v>202</v>
      </c>
      <c r="C59" s="45" t="str">
        <f t="shared" si="6"/>
        <v>15-12-2023 14:30</v>
      </c>
      <c r="D59" s="93">
        <v>730</v>
      </c>
      <c r="E59" s="93">
        <v>183</v>
      </c>
      <c r="F59" s="93">
        <v>0</v>
      </c>
      <c r="G59" s="93"/>
      <c r="I59" s="93">
        <v>1</v>
      </c>
      <c r="J59" s="31">
        <f t="shared" si="31"/>
        <v>52.777500000000003</v>
      </c>
      <c r="K59" s="31">
        <f t="shared" si="8"/>
        <v>80.749575000000007</v>
      </c>
      <c r="L59" s="31">
        <f t="shared" si="9"/>
        <v>323.47261800000001</v>
      </c>
      <c r="M59" s="31">
        <f t="shared" si="10"/>
        <v>80.538640000000001</v>
      </c>
      <c r="N59" s="31">
        <f t="shared" si="11"/>
        <v>58.947189750000007</v>
      </c>
      <c r="O59" s="31">
        <f t="shared" si="11"/>
        <v>59.195489094000003</v>
      </c>
      <c r="P59" s="31">
        <f t="shared" si="11"/>
        <v>0</v>
      </c>
      <c r="Q59" s="31">
        <f t="shared" si="12"/>
        <v>118.14267884400002</v>
      </c>
      <c r="R59" s="31">
        <f t="shared" si="28"/>
        <v>0.60416666666424135</v>
      </c>
      <c r="S59" s="31">
        <f t="shared" si="29"/>
        <v>45275</v>
      </c>
      <c r="T59" s="31">
        <f t="shared" si="13"/>
        <v>52199.999999790452</v>
      </c>
      <c r="U59" s="31">
        <f t="shared" si="14"/>
        <v>53</v>
      </c>
      <c r="V59" s="31">
        <f t="shared" si="15"/>
        <v>4579200</v>
      </c>
      <c r="W59" s="31">
        <f t="shared" si="16"/>
        <v>4631399.9999997905</v>
      </c>
      <c r="X59" s="31">
        <f t="shared" si="30"/>
        <v>4411799.9999997905</v>
      </c>
      <c r="Y59" s="31">
        <f t="shared" si="17"/>
        <v>183</v>
      </c>
      <c r="Z59" s="31">
        <f t="shared" si="18"/>
        <v>730</v>
      </c>
    </row>
    <row r="60" spans="1:26" x14ac:dyDescent="0.25">
      <c r="A60" s="74" t="s">
        <v>203</v>
      </c>
      <c r="B60" s="74" t="s">
        <v>180</v>
      </c>
      <c r="C60" s="45" t="str">
        <f t="shared" si="6"/>
        <v>18-12-2023 12:00</v>
      </c>
      <c r="D60" s="93">
        <v>0</v>
      </c>
      <c r="E60" s="93">
        <v>0</v>
      </c>
      <c r="F60" s="93">
        <f>G58-G60</f>
        <v>266.95000000000005</v>
      </c>
      <c r="G60" s="93">
        <v>955.71</v>
      </c>
      <c r="I60" s="93">
        <v>1</v>
      </c>
      <c r="J60" s="31">
        <f>46.6*77.5/100</f>
        <v>36.115000000000002</v>
      </c>
      <c r="K60" s="31">
        <f t="shared" si="8"/>
        <v>55.255950000000006</v>
      </c>
      <c r="L60" s="31">
        <f>263.6*95.9/100*$L$2</f>
        <v>318.51842400000004</v>
      </c>
      <c r="M60" s="31">
        <f t="shared" si="10"/>
        <v>80.538640000000001</v>
      </c>
      <c r="N60" s="31">
        <f t="shared" si="11"/>
        <v>0</v>
      </c>
      <c r="O60" s="31">
        <f t="shared" si="11"/>
        <v>0</v>
      </c>
      <c r="P60" s="31">
        <f t="shared" si="11"/>
        <v>21.499789948000004</v>
      </c>
      <c r="Q60" s="31">
        <f t="shared" si="12"/>
        <v>21.499789948000004</v>
      </c>
      <c r="R60" s="31">
        <f t="shared" si="28"/>
        <v>0.5</v>
      </c>
      <c r="S60" s="31">
        <f t="shared" si="29"/>
        <v>45278</v>
      </c>
      <c r="T60" s="31">
        <f t="shared" si="13"/>
        <v>43200</v>
      </c>
      <c r="U60" s="31">
        <f t="shared" si="14"/>
        <v>56</v>
      </c>
      <c r="V60" s="31">
        <f t="shared" si="15"/>
        <v>4838400</v>
      </c>
      <c r="W60" s="31">
        <f t="shared" si="16"/>
        <v>4881600</v>
      </c>
      <c r="X60" s="31">
        <f t="shared" si="30"/>
        <v>4662000</v>
      </c>
      <c r="Y60" s="31">
        <f t="shared" si="17"/>
        <v>0</v>
      </c>
      <c r="Z60" s="31">
        <f t="shared" si="18"/>
        <v>0</v>
      </c>
    </row>
    <row r="61" spans="1:26" x14ac:dyDescent="0.25">
      <c r="A61" s="74" t="s">
        <v>203</v>
      </c>
      <c r="B61" s="74" t="s">
        <v>173</v>
      </c>
      <c r="C61" s="45" t="str">
        <f t="shared" si="6"/>
        <v>18-12-2023 13:00</v>
      </c>
      <c r="D61" s="93"/>
      <c r="E61" s="93"/>
      <c r="F61" s="93"/>
      <c r="G61" s="93">
        <v>1003.5</v>
      </c>
      <c r="J61" s="31">
        <f t="shared" ref="J61:J74" si="32">46.6*77.5/100</f>
        <v>36.115000000000002</v>
      </c>
      <c r="K61" s="31">
        <f t="shared" si="8"/>
        <v>55.255950000000006</v>
      </c>
      <c r="L61" s="31">
        <f t="shared" ref="L61:L97" si="33">263.6*95.9/100*$L$2</f>
        <v>318.51842400000004</v>
      </c>
      <c r="M61" s="31">
        <f t="shared" si="10"/>
        <v>80.538640000000001</v>
      </c>
      <c r="N61" s="31">
        <f t="shared" si="11"/>
        <v>0</v>
      </c>
      <c r="O61" s="31">
        <f t="shared" si="11"/>
        <v>0</v>
      </c>
      <c r="P61" s="31">
        <f t="shared" si="11"/>
        <v>0</v>
      </c>
      <c r="Q61" s="31">
        <f t="shared" si="12"/>
        <v>0</v>
      </c>
      <c r="R61" s="31">
        <f t="shared" si="28"/>
        <v>0.54166666666424135</v>
      </c>
      <c r="S61" s="31">
        <f t="shared" si="29"/>
        <v>45278</v>
      </c>
      <c r="T61" s="31">
        <f t="shared" si="13"/>
        <v>46799.999999790452</v>
      </c>
      <c r="U61" s="31">
        <f t="shared" si="14"/>
        <v>56</v>
      </c>
      <c r="V61" s="31">
        <f t="shared" si="15"/>
        <v>4838400</v>
      </c>
      <c r="W61" s="31">
        <f t="shared" si="16"/>
        <v>4885199.9999997905</v>
      </c>
      <c r="X61" s="31">
        <f t="shared" si="30"/>
        <v>4665599.9999997905</v>
      </c>
      <c r="Y61" s="31">
        <f t="shared" si="17"/>
        <v>0</v>
      </c>
      <c r="Z61" s="31">
        <f t="shared" si="18"/>
        <v>0</v>
      </c>
    </row>
    <row r="62" spans="1:26" x14ac:dyDescent="0.25">
      <c r="A62" s="74" t="s">
        <v>203</v>
      </c>
      <c r="B62" s="74" t="s">
        <v>173</v>
      </c>
      <c r="C62" s="45" t="str">
        <f t="shared" si="6"/>
        <v>18-12-2023 13:00</v>
      </c>
      <c r="D62" s="93">
        <f>243*2</f>
        <v>486</v>
      </c>
      <c r="E62" s="93">
        <f>61*2</f>
        <v>122</v>
      </c>
      <c r="F62" s="93">
        <v>0</v>
      </c>
      <c r="G62" s="93"/>
      <c r="H62" t="s">
        <v>204</v>
      </c>
      <c r="I62" s="93">
        <v>1</v>
      </c>
      <c r="J62" s="31">
        <f t="shared" si="32"/>
        <v>36.115000000000002</v>
      </c>
      <c r="K62" s="31">
        <f t="shared" si="8"/>
        <v>55.255950000000006</v>
      </c>
      <c r="L62" s="31">
        <f t="shared" si="33"/>
        <v>318.51842400000004</v>
      </c>
      <c r="M62" s="31">
        <f t="shared" si="10"/>
        <v>80.538640000000001</v>
      </c>
      <c r="N62" s="31">
        <f t="shared" si="11"/>
        <v>26.854391700000004</v>
      </c>
      <c r="O62" s="31">
        <f t="shared" si="11"/>
        <v>38.859247728</v>
      </c>
      <c r="P62" s="31">
        <f t="shared" si="11"/>
        <v>0</v>
      </c>
      <c r="Q62" s="31">
        <f t="shared" si="12"/>
        <v>65.713639428000008</v>
      </c>
      <c r="R62" s="31">
        <f t="shared" si="28"/>
        <v>0.54166666666424135</v>
      </c>
      <c r="S62" s="31">
        <f t="shared" si="29"/>
        <v>45278</v>
      </c>
      <c r="T62" s="31">
        <f t="shared" si="13"/>
        <v>46799.999999790452</v>
      </c>
      <c r="U62" s="31">
        <f t="shared" si="14"/>
        <v>56</v>
      </c>
      <c r="V62" s="31">
        <f t="shared" si="15"/>
        <v>4838400</v>
      </c>
      <c r="W62" s="31">
        <f t="shared" si="16"/>
        <v>4885199.9999997905</v>
      </c>
      <c r="X62" s="31">
        <f t="shared" si="30"/>
        <v>4665599.9999997905</v>
      </c>
      <c r="Y62" s="31">
        <f t="shared" si="17"/>
        <v>122</v>
      </c>
      <c r="Z62" s="31">
        <f t="shared" si="18"/>
        <v>486</v>
      </c>
    </row>
    <row r="63" spans="1:26" x14ac:dyDescent="0.25">
      <c r="A63" s="74" t="s">
        <v>205</v>
      </c>
      <c r="B63" s="74" t="s">
        <v>156</v>
      </c>
      <c r="C63" s="45" t="str">
        <f t="shared" si="6"/>
        <v>20-12-2023 10:00</v>
      </c>
      <c r="D63" s="93">
        <v>0</v>
      </c>
      <c r="E63" s="93">
        <v>0</v>
      </c>
      <c r="F63" s="93">
        <f>G61-G63</f>
        <v>141.66999999999996</v>
      </c>
      <c r="G63" s="93">
        <v>861.83</v>
      </c>
      <c r="I63" s="93">
        <v>1</v>
      </c>
      <c r="J63" s="31">
        <f t="shared" si="32"/>
        <v>36.115000000000002</v>
      </c>
      <c r="K63" s="31">
        <f t="shared" si="8"/>
        <v>55.255950000000006</v>
      </c>
      <c r="L63" s="31">
        <f t="shared" si="33"/>
        <v>318.51842400000004</v>
      </c>
      <c r="M63" s="31">
        <f t="shared" si="10"/>
        <v>80.538640000000001</v>
      </c>
      <c r="N63" s="31">
        <f t="shared" si="11"/>
        <v>0</v>
      </c>
      <c r="O63" s="31">
        <f t="shared" si="11"/>
        <v>0</v>
      </c>
      <c r="P63" s="31">
        <f t="shared" si="11"/>
        <v>11.409909128799997</v>
      </c>
      <c r="Q63" s="31">
        <f t="shared" si="12"/>
        <v>11.409909128799997</v>
      </c>
      <c r="R63" s="31">
        <f t="shared" si="28"/>
        <v>0.41666666666424135</v>
      </c>
      <c r="S63" s="31">
        <f t="shared" si="29"/>
        <v>45280</v>
      </c>
      <c r="T63" s="31">
        <f t="shared" si="13"/>
        <v>35999.999999790452</v>
      </c>
      <c r="U63" s="31">
        <f t="shared" si="14"/>
        <v>58</v>
      </c>
      <c r="V63" s="31">
        <f t="shared" si="15"/>
        <v>5011200</v>
      </c>
      <c r="W63" s="31">
        <f t="shared" si="16"/>
        <v>5047199.9999997905</v>
      </c>
      <c r="X63" s="31">
        <f t="shared" si="30"/>
        <v>4827599.9999997905</v>
      </c>
      <c r="Y63" s="31">
        <f t="shared" si="17"/>
        <v>0</v>
      </c>
      <c r="Z63" s="31">
        <f t="shared" si="18"/>
        <v>0</v>
      </c>
    </row>
    <row r="64" spans="1:26" x14ac:dyDescent="0.25">
      <c r="A64" s="74" t="s">
        <v>205</v>
      </c>
      <c r="B64" s="74" t="s">
        <v>156</v>
      </c>
      <c r="C64" s="45" t="str">
        <f t="shared" si="6"/>
        <v>20-12-2023 10:00</v>
      </c>
      <c r="D64" s="93"/>
      <c r="E64" s="93"/>
      <c r="F64" s="93"/>
      <c r="G64" s="93">
        <v>1172.22</v>
      </c>
      <c r="J64" s="31">
        <f t="shared" si="32"/>
        <v>36.115000000000002</v>
      </c>
      <c r="K64" s="31">
        <f t="shared" si="8"/>
        <v>55.255950000000006</v>
      </c>
      <c r="L64" s="31">
        <f t="shared" si="33"/>
        <v>318.51842400000004</v>
      </c>
      <c r="M64" s="31">
        <f t="shared" si="10"/>
        <v>80.538640000000001</v>
      </c>
      <c r="N64" s="31">
        <f t="shared" si="11"/>
        <v>0</v>
      </c>
      <c r="O64" s="31">
        <f t="shared" si="11"/>
        <v>0</v>
      </c>
      <c r="P64" s="31">
        <f t="shared" si="11"/>
        <v>0</v>
      </c>
      <c r="Q64" s="31">
        <f t="shared" si="12"/>
        <v>0</v>
      </c>
      <c r="R64" s="31">
        <f t="shared" si="28"/>
        <v>0.41666666666424135</v>
      </c>
      <c r="S64" s="31">
        <f t="shared" si="29"/>
        <v>45280</v>
      </c>
      <c r="T64" s="31">
        <f t="shared" si="13"/>
        <v>35999.999999790452</v>
      </c>
      <c r="U64" s="31">
        <f t="shared" si="14"/>
        <v>58</v>
      </c>
      <c r="V64" s="31">
        <f t="shared" si="15"/>
        <v>5011200</v>
      </c>
      <c r="W64" s="31">
        <f t="shared" si="16"/>
        <v>5047199.9999997905</v>
      </c>
      <c r="X64" s="31">
        <f t="shared" si="30"/>
        <v>4827599.9999997905</v>
      </c>
      <c r="Y64" s="31">
        <f t="shared" si="17"/>
        <v>0</v>
      </c>
      <c r="Z64" s="31">
        <f t="shared" si="18"/>
        <v>0</v>
      </c>
    </row>
    <row r="65" spans="1:26" x14ac:dyDescent="0.25">
      <c r="A65" s="74" t="s">
        <v>205</v>
      </c>
      <c r="B65" s="74" t="s">
        <v>173</v>
      </c>
      <c r="C65" s="45" t="str">
        <f t="shared" si="6"/>
        <v>20-12-2023 13:00</v>
      </c>
      <c r="D65" s="93">
        <f>243*2</f>
        <v>486</v>
      </c>
      <c r="E65" s="93">
        <f>61*2</f>
        <v>122</v>
      </c>
      <c r="F65" s="93">
        <v>0</v>
      </c>
      <c r="G65" s="93"/>
      <c r="I65" s="93">
        <v>1</v>
      </c>
      <c r="J65" s="31">
        <f t="shared" si="32"/>
        <v>36.115000000000002</v>
      </c>
      <c r="K65" s="31">
        <f t="shared" si="8"/>
        <v>55.255950000000006</v>
      </c>
      <c r="L65" s="31">
        <f t="shared" si="33"/>
        <v>318.51842400000004</v>
      </c>
      <c r="M65" s="31">
        <f t="shared" si="10"/>
        <v>80.538640000000001</v>
      </c>
      <c r="N65" s="31">
        <f t="shared" si="11"/>
        <v>26.854391700000004</v>
      </c>
      <c r="O65" s="31">
        <f t="shared" si="11"/>
        <v>38.859247728</v>
      </c>
      <c r="P65" s="31">
        <f t="shared" si="11"/>
        <v>0</v>
      </c>
      <c r="Q65" s="31">
        <f t="shared" si="12"/>
        <v>65.713639428000008</v>
      </c>
      <c r="R65" s="31">
        <f t="shared" si="28"/>
        <v>0.54166666666424135</v>
      </c>
      <c r="S65" s="31">
        <f t="shared" si="29"/>
        <v>45280</v>
      </c>
      <c r="T65" s="31">
        <f t="shared" si="13"/>
        <v>46799.999999790452</v>
      </c>
      <c r="U65" s="31">
        <f t="shared" si="14"/>
        <v>58</v>
      </c>
      <c r="V65" s="31">
        <f t="shared" si="15"/>
        <v>5011200</v>
      </c>
      <c r="W65" s="31">
        <f t="shared" si="16"/>
        <v>5057999.9999997905</v>
      </c>
      <c r="X65" s="31">
        <f t="shared" si="30"/>
        <v>4838399.9999997905</v>
      </c>
      <c r="Y65" s="31">
        <f t="shared" si="17"/>
        <v>122</v>
      </c>
      <c r="Z65" s="31">
        <f t="shared" si="18"/>
        <v>486</v>
      </c>
    </row>
    <row r="66" spans="1:26" x14ac:dyDescent="0.25">
      <c r="A66" s="74" t="s">
        <v>206</v>
      </c>
      <c r="B66" s="74" t="s">
        <v>156</v>
      </c>
      <c r="C66" s="45" t="str">
        <f t="shared" si="6"/>
        <v>22-12-2023 10:00</v>
      </c>
      <c r="D66" s="93">
        <v>0</v>
      </c>
      <c r="E66" s="93">
        <v>0</v>
      </c>
      <c r="F66" s="93">
        <f>G64-G66</f>
        <v>156.24</v>
      </c>
      <c r="G66" s="93">
        <v>1015.98</v>
      </c>
      <c r="I66" s="93">
        <v>1</v>
      </c>
      <c r="J66" s="31">
        <f t="shared" si="32"/>
        <v>36.115000000000002</v>
      </c>
      <c r="K66" s="31">
        <f t="shared" si="8"/>
        <v>55.255950000000006</v>
      </c>
      <c r="L66" s="31">
        <f t="shared" si="33"/>
        <v>318.51842400000004</v>
      </c>
      <c r="M66" s="31">
        <f t="shared" si="10"/>
        <v>80.538640000000001</v>
      </c>
      <c r="N66" s="31">
        <f t="shared" si="11"/>
        <v>0</v>
      </c>
      <c r="O66" s="31">
        <f t="shared" si="11"/>
        <v>0</v>
      </c>
      <c r="P66" s="31">
        <f t="shared" si="11"/>
        <v>12.583357113600002</v>
      </c>
      <c r="Q66" s="31">
        <f t="shared" si="12"/>
        <v>12.583357113600002</v>
      </c>
      <c r="R66" s="31">
        <f t="shared" si="28"/>
        <v>0.41666666666424135</v>
      </c>
      <c r="S66" s="31">
        <f t="shared" si="29"/>
        <v>45282</v>
      </c>
      <c r="T66" s="31">
        <f t="shared" si="13"/>
        <v>35999.999999790452</v>
      </c>
      <c r="U66" s="31">
        <f t="shared" si="14"/>
        <v>60</v>
      </c>
      <c r="V66" s="31">
        <f t="shared" si="15"/>
        <v>5184000</v>
      </c>
      <c r="W66" s="31">
        <f t="shared" si="16"/>
        <v>5219999.9999997905</v>
      </c>
      <c r="X66" s="31">
        <f t="shared" si="30"/>
        <v>5000399.9999997905</v>
      </c>
      <c r="Y66" s="31">
        <f t="shared" si="17"/>
        <v>0</v>
      </c>
      <c r="Z66" s="31">
        <f t="shared" si="18"/>
        <v>0</v>
      </c>
    </row>
    <row r="67" spans="1:26" ht="15.75" thickBot="1" x14ac:dyDescent="0.3">
      <c r="A67" s="77" t="s">
        <v>206</v>
      </c>
      <c r="B67" s="77" t="s">
        <v>207</v>
      </c>
      <c r="C67" s="78" t="str">
        <f t="shared" si="6"/>
        <v>22-12-2023 16:30</v>
      </c>
      <c r="D67" s="95">
        <v>730</v>
      </c>
      <c r="E67" s="95">
        <v>183</v>
      </c>
      <c r="F67" s="95">
        <v>0</v>
      </c>
      <c r="G67" s="95"/>
      <c r="I67" s="93">
        <v>1</v>
      </c>
      <c r="J67" s="31">
        <f t="shared" si="32"/>
        <v>36.115000000000002</v>
      </c>
      <c r="K67" s="31">
        <f t="shared" si="8"/>
        <v>55.255950000000006</v>
      </c>
      <c r="L67" s="31">
        <f t="shared" si="33"/>
        <v>318.51842400000004</v>
      </c>
      <c r="M67" s="31">
        <f t="shared" si="10"/>
        <v>80.538640000000001</v>
      </c>
      <c r="N67" s="31">
        <f t="shared" si="11"/>
        <v>40.336843500000001</v>
      </c>
      <c r="O67" s="31">
        <f t="shared" si="11"/>
        <v>58.288871592000014</v>
      </c>
      <c r="P67" s="31">
        <f t="shared" si="11"/>
        <v>0</v>
      </c>
      <c r="Q67" s="31">
        <f t="shared" si="12"/>
        <v>98.625715092000007</v>
      </c>
      <c r="R67" s="31">
        <f t="shared" ref="R67:R78" si="34">TIMEVALUE(C67)</f>
        <v>0.6875</v>
      </c>
      <c r="S67" s="31">
        <f t="shared" ref="S67:S78" si="35">DATEVALUE(A67)-MIN($A$3:$A$68)</f>
        <v>45282</v>
      </c>
      <c r="T67" s="31">
        <f t="shared" si="13"/>
        <v>59400</v>
      </c>
      <c r="U67" s="31">
        <f t="shared" si="14"/>
        <v>60</v>
      </c>
      <c r="V67" s="31">
        <f t="shared" si="15"/>
        <v>5184000</v>
      </c>
      <c r="W67" s="31">
        <f t="shared" si="16"/>
        <v>5243400</v>
      </c>
      <c r="X67" s="31">
        <f t="shared" si="30"/>
        <v>5023800</v>
      </c>
      <c r="Y67" s="31">
        <f t="shared" si="17"/>
        <v>183</v>
      </c>
      <c r="Z67" s="31">
        <f t="shared" si="18"/>
        <v>730</v>
      </c>
    </row>
    <row r="68" spans="1:26" x14ac:dyDescent="0.25">
      <c r="A68" s="74" t="s">
        <v>208</v>
      </c>
      <c r="B68" s="74" t="s">
        <v>156</v>
      </c>
      <c r="C68" s="45" t="str">
        <f t="shared" si="6"/>
        <v>08-01-2024 10:00</v>
      </c>
      <c r="D68" s="93">
        <v>0</v>
      </c>
      <c r="E68" s="93">
        <v>0</v>
      </c>
      <c r="F68" s="93">
        <v>0</v>
      </c>
      <c r="G68" s="93">
        <v>1050.29</v>
      </c>
      <c r="J68" s="31">
        <f t="shared" si="32"/>
        <v>36.115000000000002</v>
      </c>
      <c r="K68" s="31">
        <f t="shared" ref="K68:K90" si="36">J68*$K$2</f>
        <v>55.255950000000006</v>
      </c>
      <c r="L68" s="31">
        <f t="shared" si="33"/>
        <v>318.51842400000004</v>
      </c>
      <c r="M68" s="31">
        <f t="shared" ref="M68:M99" si="37">72.8*85.1/100*$M$2</f>
        <v>80.538640000000001</v>
      </c>
      <c r="N68" s="31">
        <f t="shared" ref="N68:P90" si="38">K68*D68/1000</f>
        <v>0</v>
      </c>
      <c r="O68" s="31">
        <f t="shared" si="38"/>
        <v>0</v>
      </c>
      <c r="P68" s="31">
        <f t="shared" si="38"/>
        <v>0</v>
      </c>
      <c r="Q68" s="31">
        <f t="shared" ref="Q68:Q90" si="39">SUM(N68:P68)</f>
        <v>0</v>
      </c>
      <c r="R68" s="31">
        <f t="shared" si="34"/>
        <v>0.41666666666424135</v>
      </c>
      <c r="S68" s="31">
        <f t="shared" si="35"/>
        <v>45299</v>
      </c>
      <c r="T68" s="31">
        <f t="shared" si="13"/>
        <v>35999.999999790452</v>
      </c>
      <c r="U68" s="31">
        <f t="shared" si="14"/>
        <v>77</v>
      </c>
      <c r="V68" s="31">
        <f t="shared" si="15"/>
        <v>6652800</v>
      </c>
      <c r="W68" s="31">
        <f t="shared" si="16"/>
        <v>6688799.9999997905</v>
      </c>
      <c r="X68" s="31">
        <f t="shared" ref="X68" si="40">W68-$R$2</f>
        <v>6469199.9999997905</v>
      </c>
      <c r="Y68" s="31">
        <f t="shared" ref="Y68:Y90" si="41">E68</f>
        <v>0</v>
      </c>
      <c r="Z68" s="31">
        <f t="shared" ref="Z68:Z90" si="42">D68</f>
        <v>0</v>
      </c>
    </row>
    <row r="69" spans="1:26" x14ac:dyDescent="0.25">
      <c r="A69" s="74" t="s">
        <v>208</v>
      </c>
      <c r="B69" s="74" t="s">
        <v>173</v>
      </c>
      <c r="C69" s="45" t="str">
        <f t="shared" ref="C69:C73" si="43">TEXT(DATEVALUE(A69) + TIMEVALUE(B69), "gg-mm-aaaa hh:mm")</f>
        <v>08-01-2024 13:00</v>
      </c>
      <c r="D69" s="93">
        <f>243*2</f>
        <v>486</v>
      </c>
      <c r="E69" s="93">
        <f>61*2</f>
        <v>122</v>
      </c>
      <c r="F69" s="93">
        <v>0</v>
      </c>
      <c r="G69" s="93"/>
      <c r="I69" s="93">
        <v>1</v>
      </c>
      <c r="J69" s="31">
        <f t="shared" si="32"/>
        <v>36.115000000000002</v>
      </c>
      <c r="K69" s="31">
        <f t="shared" si="36"/>
        <v>55.255950000000006</v>
      </c>
      <c r="L69" s="31">
        <f t="shared" si="33"/>
        <v>318.51842400000004</v>
      </c>
      <c r="M69" s="31">
        <f t="shared" si="37"/>
        <v>80.538640000000001</v>
      </c>
      <c r="N69" s="31">
        <f t="shared" si="38"/>
        <v>26.854391700000004</v>
      </c>
      <c r="O69" s="31">
        <f t="shared" si="38"/>
        <v>38.859247728</v>
      </c>
      <c r="P69" s="31">
        <f t="shared" si="38"/>
        <v>0</v>
      </c>
      <c r="Q69" s="31">
        <f t="shared" si="39"/>
        <v>65.713639428000008</v>
      </c>
      <c r="R69" s="31">
        <f t="shared" si="34"/>
        <v>0.54166666666424135</v>
      </c>
      <c r="S69" s="31">
        <f t="shared" si="35"/>
        <v>45299</v>
      </c>
      <c r="T69" s="31">
        <f t="shared" ref="T69:T78" si="44">R69*86400</f>
        <v>46799.999999790452</v>
      </c>
      <c r="U69" s="31">
        <f t="shared" ref="U69:U78" si="45">S69-MIN($S$3:$S$68)</f>
        <v>77</v>
      </c>
      <c r="V69" s="31">
        <f t="shared" ref="V69:V78" si="46">U69*86400</f>
        <v>6652800</v>
      </c>
      <c r="W69" s="31">
        <f t="shared" ref="W69:W78" si="47">V69+T69</f>
        <v>6699599.9999997905</v>
      </c>
      <c r="X69" s="31">
        <f t="shared" ref="X69:X78" si="48">W69-$R$2</f>
        <v>6479999.9999997905</v>
      </c>
      <c r="Y69" s="31">
        <f t="shared" si="41"/>
        <v>122</v>
      </c>
      <c r="Z69" s="31">
        <f t="shared" si="42"/>
        <v>486</v>
      </c>
    </row>
    <row r="70" spans="1:26" x14ac:dyDescent="0.25">
      <c r="A70" s="74" t="s">
        <v>209</v>
      </c>
      <c r="B70" s="74" t="s">
        <v>156</v>
      </c>
      <c r="C70" s="45" t="str">
        <f t="shared" si="43"/>
        <v>10-01-2024 10:00</v>
      </c>
      <c r="D70" s="93">
        <f>243*2</f>
        <v>486</v>
      </c>
      <c r="E70" s="93">
        <f>61*2</f>
        <v>122</v>
      </c>
      <c r="F70" s="93">
        <f>G68-G70</f>
        <v>161.01</v>
      </c>
      <c r="G70" s="93">
        <v>889.28</v>
      </c>
      <c r="H70" s="93">
        <v>1124.47</v>
      </c>
      <c r="I70" s="93">
        <v>1</v>
      </c>
      <c r="J70" s="31">
        <f t="shared" si="32"/>
        <v>36.115000000000002</v>
      </c>
      <c r="K70" s="31">
        <f t="shared" si="36"/>
        <v>55.255950000000006</v>
      </c>
      <c r="L70" s="31">
        <f t="shared" si="33"/>
        <v>318.51842400000004</v>
      </c>
      <c r="M70" s="31">
        <f t="shared" si="37"/>
        <v>80.538640000000001</v>
      </c>
      <c r="N70" s="31">
        <f t="shared" si="38"/>
        <v>26.854391700000004</v>
      </c>
      <c r="O70" s="31">
        <f t="shared" si="38"/>
        <v>38.859247728</v>
      </c>
      <c r="P70" s="31">
        <f t="shared" si="38"/>
        <v>12.967526426399999</v>
      </c>
      <c r="Q70" s="31">
        <f t="shared" si="39"/>
        <v>78.681165854400007</v>
      </c>
      <c r="R70" s="31">
        <f t="shared" si="34"/>
        <v>0.41666666666424135</v>
      </c>
      <c r="S70" s="31">
        <f t="shared" si="35"/>
        <v>45301</v>
      </c>
      <c r="T70" s="31">
        <f t="shared" si="44"/>
        <v>35999.999999790452</v>
      </c>
      <c r="U70" s="31">
        <f t="shared" si="45"/>
        <v>79</v>
      </c>
      <c r="V70" s="31">
        <f t="shared" si="46"/>
        <v>6825600</v>
      </c>
      <c r="W70" s="31">
        <f t="shared" si="47"/>
        <v>6861599.9999997905</v>
      </c>
      <c r="X70" s="31">
        <f t="shared" si="48"/>
        <v>6641999.9999997905</v>
      </c>
      <c r="Y70" s="31">
        <f t="shared" si="41"/>
        <v>122</v>
      </c>
      <c r="Z70" s="31">
        <f t="shared" si="42"/>
        <v>486</v>
      </c>
    </row>
    <row r="71" spans="1:26" x14ac:dyDescent="0.25">
      <c r="A71" s="74" t="s">
        <v>210</v>
      </c>
      <c r="B71" s="74" t="s">
        <v>146</v>
      </c>
      <c r="C71" s="45" t="str">
        <f t="shared" si="43"/>
        <v>12-01-2024 10:50</v>
      </c>
      <c r="D71" s="93">
        <v>730</v>
      </c>
      <c r="E71" s="93">
        <v>183</v>
      </c>
      <c r="F71" s="93">
        <f>H70-G71</f>
        <v>177.04000000000008</v>
      </c>
      <c r="G71" s="93">
        <v>947.43</v>
      </c>
      <c r="I71" s="93">
        <v>1</v>
      </c>
      <c r="J71" s="31">
        <f t="shared" si="32"/>
        <v>36.115000000000002</v>
      </c>
      <c r="K71" s="31">
        <f t="shared" si="36"/>
        <v>55.255950000000006</v>
      </c>
      <c r="L71" s="31">
        <f t="shared" si="33"/>
        <v>318.51842400000004</v>
      </c>
      <c r="M71" s="31">
        <f t="shared" si="37"/>
        <v>80.538640000000001</v>
      </c>
      <c r="N71" s="31">
        <f t="shared" si="38"/>
        <v>40.336843500000001</v>
      </c>
      <c r="O71" s="31">
        <f t="shared" si="38"/>
        <v>58.288871592000014</v>
      </c>
      <c r="P71" s="31">
        <f t="shared" si="38"/>
        <v>14.258560825600007</v>
      </c>
      <c r="Q71" s="31">
        <f t="shared" si="39"/>
        <v>112.88427591760001</v>
      </c>
      <c r="R71" s="31">
        <f t="shared" si="34"/>
        <v>0.45138888889050577</v>
      </c>
      <c r="S71" s="31">
        <f t="shared" si="35"/>
        <v>45303</v>
      </c>
      <c r="T71" s="31">
        <f t="shared" si="44"/>
        <v>39000.000000139698</v>
      </c>
      <c r="U71" s="31">
        <f t="shared" si="45"/>
        <v>81</v>
      </c>
      <c r="V71" s="31">
        <f t="shared" si="46"/>
        <v>6998400</v>
      </c>
      <c r="W71" s="31">
        <f t="shared" si="47"/>
        <v>7037400.0000001397</v>
      </c>
      <c r="X71" s="31">
        <f t="shared" si="48"/>
        <v>6817800.0000001397</v>
      </c>
      <c r="Y71" s="31">
        <f t="shared" si="41"/>
        <v>183</v>
      </c>
      <c r="Z71" s="31">
        <f t="shared" si="42"/>
        <v>730</v>
      </c>
    </row>
    <row r="72" spans="1:26" x14ac:dyDescent="0.25">
      <c r="A72" s="74" t="s">
        <v>211</v>
      </c>
      <c r="B72" s="74" t="s">
        <v>185</v>
      </c>
      <c r="C72" s="45" t="str">
        <f t="shared" si="43"/>
        <v>15-01-2024 10:30</v>
      </c>
      <c r="D72" s="93">
        <f>243*2</f>
        <v>486</v>
      </c>
      <c r="E72" s="93">
        <f>61*2</f>
        <v>122</v>
      </c>
      <c r="F72" s="93">
        <v>0</v>
      </c>
      <c r="G72" s="93"/>
      <c r="I72" s="93">
        <v>1</v>
      </c>
      <c r="J72" s="31">
        <f t="shared" si="32"/>
        <v>36.115000000000002</v>
      </c>
      <c r="K72" s="31">
        <f t="shared" si="36"/>
        <v>55.255950000000006</v>
      </c>
      <c r="L72" s="31">
        <f t="shared" si="33"/>
        <v>318.51842400000004</v>
      </c>
      <c r="M72" s="31">
        <f t="shared" si="37"/>
        <v>80.538640000000001</v>
      </c>
      <c r="N72" s="31">
        <f t="shared" si="38"/>
        <v>26.854391700000004</v>
      </c>
      <c r="O72" s="31">
        <f t="shared" si="38"/>
        <v>38.859247728</v>
      </c>
      <c r="P72" s="31">
        <f t="shared" si="38"/>
        <v>0</v>
      </c>
      <c r="Q72" s="31">
        <f t="shared" si="39"/>
        <v>65.713639428000008</v>
      </c>
      <c r="R72" s="31">
        <f t="shared" si="34"/>
        <v>0.4375</v>
      </c>
      <c r="S72" s="31">
        <f t="shared" si="35"/>
        <v>45306</v>
      </c>
      <c r="T72" s="31">
        <f t="shared" si="44"/>
        <v>37800</v>
      </c>
      <c r="U72" s="31">
        <f t="shared" si="45"/>
        <v>84</v>
      </c>
      <c r="V72" s="31">
        <f t="shared" si="46"/>
        <v>7257600</v>
      </c>
      <c r="W72" s="31">
        <f t="shared" si="47"/>
        <v>7295400</v>
      </c>
      <c r="X72" s="31">
        <f t="shared" si="48"/>
        <v>7075800</v>
      </c>
      <c r="Y72" s="31">
        <f t="shared" si="41"/>
        <v>122</v>
      </c>
      <c r="Z72" s="31">
        <f t="shared" si="42"/>
        <v>486</v>
      </c>
    </row>
    <row r="73" spans="1:26" x14ac:dyDescent="0.25">
      <c r="A73" s="74" t="s">
        <v>212</v>
      </c>
      <c r="B73" s="74" t="s">
        <v>167</v>
      </c>
      <c r="C73" s="45" t="str">
        <f t="shared" si="43"/>
        <v>17-01-2024 11:00</v>
      </c>
      <c r="D73" s="93">
        <f>243*2</f>
        <v>486</v>
      </c>
      <c r="E73" s="93">
        <f>61*2</f>
        <v>122</v>
      </c>
      <c r="F73" s="93">
        <v>0</v>
      </c>
      <c r="G73" s="93"/>
      <c r="I73" s="93">
        <v>1</v>
      </c>
      <c r="J73" s="31">
        <f t="shared" si="32"/>
        <v>36.115000000000002</v>
      </c>
      <c r="K73" s="31">
        <f t="shared" si="36"/>
        <v>55.255950000000006</v>
      </c>
      <c r="L73" s="31">
        <f t="shared" si="33"/>
        <v>318.51842400000004</v>
      </c>
      <c r="M73" s="31">
        <f t="shared" si="37"/>
        <v>80.538640000000001</v>
      </c>
      <c r="N73" s="31">
        <f t="shared" si="38"/>
        <v>26.854391700000004</v>
      </c>
      <c r="O73" s="31">
        <f t="shared" si="38"/>
        <v>38.859247728</v>
      </c>
      <c r="P73" s="31">
        <f t="shared" si="38"/>
        <v>0</v>
      </c>
      <c r="Q73" s="31">
        <f t="shared" si="39"/>
        <v>65.713639428000008</v>
      </c>
      <c r="R73" s="31">
        <f t="shared" si="34"/>
        <v>0.45833333333575865</v>
      </c>
      <c r="S73" s="31">
        <f t="shared" si="35"/>
        <v>45308</v>
      </c>
      <c r="T73" s="31">
        <f t="shared" si="44"/>
        <v>39600.000000209548</v>
      </c>
      <c r="U73" s="31">
        <f t="shared" si="45"/>
        <v>86</v>
      </c>
      <c r="V73" s="31">
        <f t="shared" si="46"/>
        <v>7430400</v>
      </c>
      <c r="W73" s="31">
        <f t="shared" si="47"/>
        <v>7470000.0000002095</v>
      </c>
      <c r="X73" s="31">
        <f t="shared" si="48"/>
        <v>7250400.0000002095</v>
      </c>
      <c r="Y73" s="31">
        <f t="shared" si="41"/>
        <v>122</v>
      </c>
      <c r="Z73" s="31">
        <f t="shared" si="42"/>
        <v>486</v>
      </c>
    </row>
    <row r="74" spans="1:26" x14ac:dyDescent="0.25">
      <c r="A74" s="74" t="s">
        <v>213</v>
      </c>
      <c r="B74" s="74" t="s">
        <v>171</v>
      </c>
      <c r="C74" s="45" t="str">
        <f t="shared" ref="C74:C102" si="49">TEXT(DATEVALUE(A74) + TIMEVALUE(B74), "gg-mm-aaaa hh:mm")</f>
        <v>19-01-2024 12:30</v>
      </c>
      <c r="D74" s="93">
        <v>700</v>
      </c>
      <c r="E74" s="93">
        <v>122</v>
      </c>
      <c r="F74" s="93">
        <v>0</v>
      </c>
      <c r="G74" s="93">
        <v>1134</v>
      </c>
      <c r="H74" t="s">
        <v>214</v>
      </c>
      <c r="I74" s="93">
        <v>1</v>
      </c>
      <c r="J74" s="31">
        <f t="shared" si="32"/>
        <v>36.115000000000002</v>
      </c>
      <c r="K74" s="31">
        <f t="shared" si="36"/>
        <v>55.255950000000006</v>
      </c>
      <c r="L74" s="31">
        <f t="shared" si="33"/>
        <v>318.51842400000004</v>
      </c>
      <c r="M74" s="31">
        <f t="shared" si="37"/>
        <v>80.538640000000001</v>
      </c>
      <c r="N74" s="31">
        <f t="shared" si="38"/>
        <v>38.679164999999998</v>
      </c>
      <c r="O74" s="31">
        <f t="shared" si="38"/>
        <v>38.859247728</v>
      </c>
      <c r="P74" s="31">
        <f t="shared" si="38"/>
        <v>0</v>
      </c>
      <c r="Q74" s="31">
        <f t="shared" si="39"/>
        <v>77.538412727999997</v>
      </c>
      <c r="R74" s="31">
        <f t="shared" si="34"/>
        <v>0.52083333333575865</v>
      </c>
      <c r="S74" s="31">
        <f t="shared" si="35"/>
        <v>45310</v>
      </c>
      <c r="T74" s="31">
        <f t="shared" si="44"/>
        <v>45000.000000209548</v>
      </c>
      <c r="U74" s="31">
        <f t="shared" si="45"/>
        <v>88</v>
      </c>
      <c r="V74" s="31">
        <f t="shared" si="46"/>
        <v>7603200</v>
      </c>
      <c r="W74" s="31">
        <f t="shared" si="47"/>
        <v>7648200.0000002095</v>
      </c>
      <c r="X74" s="31">
        <f t="shared" si="48"/>
        <v>7428600.0000002095</v>
      </c>
      <c r="Y74" s="31">
        <f t="shared" si="41"/>
        <v>122</v>
      </c>
      <c r="Z74" s="31">
        <f t="shared" si="42"/>
        <v>700</v>
      </c>
    </row>
    <row r="75" spans="1:26" x14ac:dyDescent="0.25">
      <c r="A75" s="74" t="s">
        <v>215</v>
      </c>
      <c r="B75" s="74" t="s">
        <v>216</v>
      </c>
      <c r="C75" s="45" t="str">
        <f t="shared" si="49"/>
        <v>22-01-2024 10:44</v>
      </c>
      <c r="D75" s="93">
        <v>486</v>
      </c>
      <c r="E75" s="93">
        <v>64</v>
      </c>
      <c r="F75" s="93">
        <f>G74-G75</f>
        <v>233</v>
      </c>
      <c r="G75" s="93">
        <v>901</v>
      </c>
      <c r="H75" s="93">
        <v>1022</v>
      </c>
      <c r="I75" s="93">
        <v>1</v>
      </c>
      <c r="J75" s="31">
        <f>54.5*77.5/100</f>
        <v>42.237499999999997</v>
      </c>
      <c r="K75" s="31">
        <f t="shared" si="36"/>
        <v>64.623374999999996</v>
      </c>
      <c r="L75" s="31">
        <f t="shared" si="33"/>
        <v>318.51842400000004</v>
      </c>
      <c r="M75" s="31">
        <f t="shared" si="37"/>
        <v>80.538640000000001</v>
      </c>
      <c r="N75" s="31">
        <f t="shared" si="38"/>
        <v>31.406960249999997</v>
      </c>
      <c r="O75" s="31">
        <f t="shared" si="38"/>
        <v>20.385179136000001</v>
      </c>
      <c r="P75" s="31">
        <f t="shared" si="38"/>
        <v>18.765503120000002</v>
      </c>
      <c r="Q75" s="31">
        <f t="shared" si="39"/>
        <v>70.557642506000008</v>
      </c>
      <c r="R75" s="31">
        <f t="shared" si="34"/>
        <v>0.44722222222480923</v>
      </c>
      <c r="S75" s="31">
        <f t="shared" si="35"/>
        <v>45313</v>
      </c>
      <c r="T75" s="31">
        <f t="shared" si="44"/>
        <v>38640.000000223517</v>
      </c>
      <c r="U75" s="31">
        <f t="shared" si="45"/>
        <v>91</v>
      </c>
      <c r="V75" s="31">
        <f t="shared" si="46"/>
        <v>7862400</v>
      </c>
      <c r="W75" s="31">
        <f t="shared" si="47"/>
        <v>7901040.0000002235</v>
      </c>
      <c r="X75" s="31">
        <f t="shared" si="48"/>
        <v>7681440.0000002235</v>
      </c>
      <c r="Y75" s="31">
        <f t="shared" si="41"/>
        <v>64</v>
      </c>
      <c r="Z75" s="31">
        <f t="shared" si="42"/>
        <v>486</v>
      </c>
    </row>
    <row r="76" spans="1:26" x14ac:dyDescent="0.25">
      <c r="A76" s="74" t="s">
        <v>217</v>
      </c>
      <c r="B76" s="74" t="s">
        <v>173</v>
      </c>
      <c r="C76" s="45" t="str">
        <f t="shared" si="49"/>
        <v>24-01-2024 13:00</v>
      </c>
      <c r="D76" s="93">
        <v>486</v>
      </c>
      <c r="E76" s="93">
        <v>64</v>
      </c>
      <c r="F76" s="93">
        <f t="shared" ref="F76:F89" si="50">H75-G76</f>
        <v>181</v>
      </c>
      <c r="G76" s="93">
        <v>841</v>
      </c>
      <c r="H76" s="93">
        <v>1100</v>
      </c>
      <c r="I76" s="93">
        <v>1</v>
      </c>
      <c r="J76" s="31">
        <f t="shared" ref="J76:J82" si="51">54.5*77.5/100</f>
        <v>42.237499999999997</v>
      </c>
      <c r="K76" s="31">
        <f t="shared" si="36"/>
        <v>64.623374999999996</v>
      </c>
      <c r="L76" s="31">
        <f t="shared" si="33"/>
        <v>318.51842400000004</v>
      </c>
      <c r="M76" s="31">
        <f t="shared" si="37"/>
        <v>80.538640000000001</v>
      </c>
      <c r="N76" s="31">
        <f t="shared" si="38"/>
        <v>31.406960249999997</v>
      </c>
      <c r="O76" s="31">
        <f t="shared" si="38"/>
        <v>20.385179136000001</v>
      </c>
      <c r="P76" s="31">
        <f t="shared" si="38"/>
        <v>14.577493840000001</v>
      </c>
      <c r="Q76" s="31">
        <f t="shared" si="39"/>
        <v>66.369633226000005</v>
      </c>
      <c r="R76" s="31">
        <f t="shared" si="34"/>
        <v>0.54166666666424135</v>
      </c>
      <c r="S76" s="31">
        <f t="shared" si="35"/>
        <v>45315</v>
      </c>
      <c r="T76" s="31">
        <f t="shared" si="44"/>
        <v>46799.999999790452</v>
      </c>
      <c r="U76" s="31">
        <f t="shared" si="45"/>
        <v>93</v>
      </c>
      <c r="V76" s="31">
        <f t="shared" si="46"/>
        <v>8035200</v>
      </c>
      <c r="W76" s="31">
        <f t="shared" si="47"/>
        <v>8081999.9999997905</v>
      </c>
      <c r="X76" s="31">
        <f t="shared" si="48"/>
        <v>7862399.9999997905</v>
      </c>
      <c r="Y76" s="31">
        <f t="shared" si="41"/>
        <v>64</v>
      </c>
      <c r="Z76" s="31">
        <f t="shared" si="42"/>
        <v>486</v>
      </c>
    </row>
    <row r="77" spans="1:26" x14ac:dyDescent="0.25">
      <c r="A77" s="74" t="s">
        <v>218</v>
      </c>
      <c r="B77" s="74" t="s">
        <v>219</v>
      </c>
      <c r="C77" s="45" t="str">
        <f t="shared" si="49"/>
        <v>26-01-2024 16:45</v>
      </c>
      <c r="D77" s="93">
        <v>730</v>
      </c>
      <c r="E77" s="93">
        <v>93</v>
      </c>
      <c r="F77" s="93">
        <f t="shared" si="50"/>
        <v>190.10000000000002</v>
      </c>
      <c r="G77" s="93">
        <v>909.9</v>
      </c>
      <c r="H77" s="93">
        <v>1211</v>
      </c>
      <c r="I77" s="93">
        <v>1</v>
      </c>
      <c r="J77" s="31">
        <f t="shared" si="51"/>
        <v>42.237499999999997</v>
      </c>
      <c r="K77" s="31">
        <f t="shared" si="36"/>
        <v>64.623374999999996</v>
      </c>
      <c r="L77" s="31">
        <f t="shared" si="33"/>
        <v>318.51842400000004</v>
      </c>
      <c r="M77" s="31">
        <f t="shared" si="37"/>
        <v>80.538640000000001</v>
      </c>
      <c r="N77" s="31">
        <f t="shared" si="38"/>
        <v>47.175063749999993</v>
      </c>
      <c r="O77" s="31">
        <f t="shared" si="38"/>
        <v>29.622213432000002</v>
      </c>
      <c r="P77" s="31">
        <f t="shared" si="38"/>
        <v>15.310395464000003</v>
      </c>
      <c r="Q77" s="31">
        <f t="shared" si="39"/>
        <v>92.107672645999997</v>
      </c>
      <c r="R77" s="31">
        <f t="shared" si="34"/>
        <v>0.69791666666424135</v>
      </c>
      <c r="S77" s="31">
        <f t="shared" si="35"/>
        <v>45317</v>
      </c>
      <c r="T77" s="31">
        <f t="shared" si="44"/>
        <v>60299.999999790452</v>
      </c>
      <c r="U77" s="31">
        <f t="shared" si="45"/>
        <v>95</v>
      </c>
      <c r="V77" s="31">
        <f t="shared" si="46"/>
        <v>8208000</v>
      </c>
      <c r="W77" s="31">
        <f t="shared" si="47"/>
        <v>8268299.9999997905</v>
      </c>
      <c r="X77" s="31">
        <f t="shared" si="48"/>
        <v>8048699.9999997905</v>
      </c>
      <c r="Y77" s="31">
        <f t="shared" si="41"/>
        <v>93</v>
      </c>
      <c r="Z77" s="31">
        <f t="shared" si="42"/>
        <v>730</v>
      </c>
    </row>
    <row r="78" spans="1:26" x14ac:dyDescent="0.25">
      <c r="A78" s="74" t="s">
        <v>220</v>
      </c>
      <c r="B78" s="74" t="s">
        <v>149</v>
      </c>
      <c r="C78" s="45" t="str">
        <f t="shared" si="49"/>
        <v>29-01-2024 11:15</v>
      </c>
      <c r="D78" s="93">
        <v>486</v>
      </c>
      <c r="E78" s="93">
        <v>64</v>
      </c>
      <c r="F78" s="93">
        <f t="shared" si="50"/>
        <v>250.20000000000005</v>
      </c>
      <c r="G78" s="93">
        <v>960.8</v>
      </c>
      <c r="H78" s="93">
        <v>1110.9000000000001</v>
      </c>
      <c r="I78" s="93">
        <v>1</v>
      </c>
      <c r="J78" s="31">
        <f t="shared" si="51"/>
        <v>42.237499999999997</v>
      </c>
      <c r="K78" s="31">
        <f t="shared" si="36"/>
        <v>64.623374999999996</v>
      </c>
      <c r="L78" s="31">
        <f t="shared" si="33"/>
        <v>318.51842400000004</v>
      </c>
      <c r="M78" s="31">
        <f t="shared" si="37"/>
        <v>80.538640000000001</v>
      </c>
      <c r="N78" s="31">
        <f t="shared" si="38"/>
        <v>31.406960249999997</v>
      </c>
      <c r="O78" s="31">
        <f t="shared" si="38"/>
        <v>20.385179136000001</v>
      </c>
      <c r="P78" s="31">
        <f t="shared" si="38"/>
        <v>20.150767728000002</v>
      </c>
      <c r="Q78" s="31">
        <f t="shared" si="39"/>
        <v>71.942907114000008</v>
      </c>
      <c r="R78" s="31">
        <f t="shared" si="34"/>
        <v>0.46875</v>
      </c>
      <c r="S78" s="31">
        <f t="shared" si="35"/>
        <v>45320</v>
      </c>
      <c r="T78" s="31">
        <f t="shared" si="44"/>
        <v>40500</v>
      </c>
      <c r="U78" s="31">
        <f t="shared" si="45"/>
        <v>98</v>
      </c>
      <c r="V78" s="31">
        <f t="shared" si="46"/>
        <v>8467200</v>
      </c>
      <c r="W78" s="31">
        <f t="shared" si="47"/>
        <v>8507700</v>
      </c>
      <c r="X78" s="31">
        <f t="shared" si="48"/>
        <v>8288100</v>
      </c>
      <c r="Y78" s="31">
        <f t="shared" si="41"/>
        <v>64</v>
      </c>
      <c r="Z78" s="31">
        <f t="shared" si="42"/>
        <v>486</v>
      </c>
    </row>
    <row r="79" spans="1:26" x14ac:dyDescent="0.25">
      <c r="A79" s="74" t="s">
        <v>221</v>
      </c>
      <c r="B79" s="74" t="s">
        <v>173</v>
      </c>
      <c r="C79" s="45" t="str">
        <f t="shared" si="49"/>
        <v>31-01-2024 13:00</v>
      </c>
      <c r="D79" s="93">
        <v>486</v>
      </c>
      <c r="E79" s="93">
        <v>64</v>
      </c>
      <c r="F79" s="93">
        <f t="shared" si="50"/>
        <v>169.40000000000009</v>
      </c>
      <c r="G79" s="93">
        <v>941.5</v>
      </c>
      <c r="H79" s="93">
        <v>1159</v>
      </c>
      <c r="I79" s="93">
        <v>1</v>
      </c>
      <c r="J79" s="31">
        <f t="shared" si="51"/>
        <v>42.237499999999997</v>
      </c>
      <c r="K79" s="31">
        <f t="shared" si="36"/>
        <v>64.623374999999996</v>
      </c>
      <c r="L79" s="31">
        <f t="shared" si="33"/>
        <v>318.51842400000004</v>
      </c>
      <c r="M79" s="31">
        <f t="shared" si="37"/>
        <v>80.538640000000001</v>
      </c>
      <c r="N79" s="31">
        <f t="shared" si="38"/>
        <v>31.406960249999997</v>
      </c>
      <c r="O79" s="31">
        <f t="shared" si="38"/>
        <v>20.385179136000001</v>
      </c>
      <c r="P79" s="31">
        <f t="shared" si="38"/>
        <v>13.643245616000007</v>
      </c>
      <c r="Q79" s="31">
        <f t="shared" si="39"/>
        <v>65.435385002000004</v>
      </c>
      <c r="R79" s="31">
        <f t="shared" ref="R79:R90" si="52">TIMEVALUE(C79)</f>
        <v>0.54166666666424135</v>
      </c>
      <c r="S79" s="31">
        <f t="shared" ref="S79:S90" si="53">DATEVALUE(A79)-MIN($A$3:$A$68)</f>
        <v>45322</v>
      </c>
      <c r="T79" s="31">
        <f t="shared" ref="T79:T90" si="54">R79*86400</f>
        <v>46799.999999790452</v>
      </c>
      <c r="U79" s="31">
        <f t="shared" ref="U79:U90" si="55">S79-MIN($S$3:$S$68)</f>
        <v>100</v>
      </c>
      <c r="V79" s="31">
        <f t="shared" ref="V79:V90" si="56">U79*86400</f>
        <v>8640000</v>
      </c>
      <c r="W79" s="31">
        <f t="shared" ref="W79:W90" si="57">V79+T79</f>
        <v>8686799.9999997914</v>
      </c>
      <c r="X79" s="31">
        <f t="shared" ref="X79:X90" si="58">W79-$R$2</f>
        <v>8467199.9999997914</v>
      </c>
      <c r="Y79" s="31">
        <f t="shared" si="41"/>
        <v>64</v>
      </c>
      <c r="Z79" s="31">
        <f t="shared" si="42"/>
        <v>486</v>
      </c>
    </row>
    <row r="80" spans="1:26" x14ac:dyDescent="0.25">
      <c r="A80" s="74" t="s">
        <v>222</v>
      </c>
      <c r="B80" s="74" t="s">
        <v>223</v>
      </c>
      <c r="C80" s="45" t="str">
        <f t="shared" si="49"/>
        <v>02-02-2024 11:30</v>
      </c>
      <c r="D80" s="93">
        <v>730</v>
      </c>
      <c r="E80" s="93">
        <v>96</v>
      </c>
      <c r="F80" s="93">
        <f t="shared" si="50"/>
        <v>165.70000000000005</v>
      </c>
      <c r="G80" s="93">
        <v>993.3</v>
      </c>
      <c r="H80" s="93">
        <v>1085.5</v>
      </c>
      <c r="I80" s="93">
        <v>1</v>
      </c>
      <c r="J80" s="31">
        <f t="shared" si="51"/>
        <v>42.237499999999997</v>
      </c>
      <c r="K80" s="31">
        <f t="shared" si="36"/>
        <v>64.623374999999996</v>
      </c>
      <c r="L80" s="31">
        <f t="shared" si="33"/>
        <v>318.51842400000004</v>
      </c>
      <c r="M80" s="31">
        <f t="shared" si="37"/>
        <v>80.538640000000001</v>
      </c>
      <c r="N80" s="31">
        <f t="shared" si="38"/>
        <v>47.175063749999993</v>
      </c>
      <c r="O80" s="31">
        <f t="shared" si="38"/>
        <v>30.577768704</v>
      </c>
      <c r="P80" s="31">
        <f t="shared" si="38"/>
        <v>13.345252648000002</v>
      </c>
      <c r="Q80" s="31">
        <f t="shared" si="39"/>
        <v>91.098085101999985</v>
      </c>
      <c r="R80" s="31">
        <f t="shared" si="52"/>
        <v>0.47916666666424135</v>
      </c>
      <c r="S80" s="31">
        <f t="shared" si="53"/>
        <v>45324</v>
      </c>
      <c r="T80" s="31">
        <f t="shared" si="54"/>
        <v>41399.999999790452</v>
      </c>
      <c r="U80" s="31">
        <f t="shared" si="55"/>
        <v>102</v>
      </c>
      <c r="V80" s="31">
        <f t="shared" si="56"/>
        <v>8812800</v>
      </c>
      <c r="W80" s="31">
        <f t="shared" si="57"/>
        <v>8854199.9999997914</v>
      </c>
      <c r="X80" s="31">
        <f t="shared" si="58"/>
        <v>8634599.9999997914</v>
      </c>
      <c r="Y80" s="31">
        <f t="shared" si="41"/>
        <v>96</v>
      </c>
      <c r="Z80" s="31">
        <f t="shared" si="42"/>
        <v>730</v>
      </c>
    </row>
    <row r="81" spans="1:26" x14ac:dyDescent="0.25">
      <c r="A81" s="74" t="s">
        <v>224</v>
      </c>
      <c r="B81" s="74" t="s">
        <v>225</v>
      </c>
      <c r="C81" s="45" t="str">
        <f t="shared" si="49"/>
        <v>05-02-2024 13:15</v>
      </c>
      <c r="D81" s="93">
        <v>486</v>
      </c>
      <c r="E81" s="93">
        <v>64</v>
      </c>
      <c r="F81" s="93">
        <f t="shared" si="50"/>
        <v>175.5</v>
      </c>
      <c r="G81" s="93">
        <v>910</v>
      </c>
      <c r="H81" s="93">
        <v>1110</v>
      </c>
      <c r="I81" s="93">
        <v>1</v>
      </c>
      <c r="J81" s="31">
        <f t="shared" si="51"/>
        <v>42.237499999999997</v>
      </c>
      <c r="K81" s="31">
        <f t="shared" si="36"/>
        <v>64.623374999999996</v>
      </c>
      <c r="L81" s="31">
        <f t="shared" si="33"/>
        <v>318.51842400000004</v>
      </c>
      <c r="M81" s="31">
        <f t="shared" si="37"/>
        <v>80.538640000000001</v>
      </c>
      <c r="N81" s="31">
        <f t="shared" si="38"/>
        <v>31.406960249999997</v>
      </c>
      <c r="O81" s="31">
        <f t="shared" si="38"/>
        <v>20.385179136000001</v>
      </c>
      <c r="P81" s="31">
        <f t="shared" si="38"/>
        <v>14.134531320000001</v>
      </c>
      <c r="Q81" s="31">
        <f t="shared" si="39"/>
        <v>65.92667070600001</v>
      </c>
      <c r="R81" s="31">
        <f t="shared" si="52"/>
        <v>0.55208333333575865</v>
      </c>
      <c r="S81" s="31">
        <f t="shared" si="53"/>
        <v>45327</v>
      </c>
      <c r="T81" s="31">
        <f t="shared" si="54"/>
        <v>47700.000000209548</v>
      </c>
      <c r="U81" s="31">
        <f t="shared" si="55"/>
        <v>105</v>
      </c>
      <c r="V81" s="31">
        <f t="shared" si="56"/>
        <v>9072000</v>
      </c>
      <c r="W81" s="31">
        <f t="shared" si="57"/>
        <v>9119700.0000002086</v>
      </c>
      <c r="X81" s="31">
        <f t="shared" si="58"/>
        <v>8900100.0000002086</v>
      </c>
      <c r="Y81" s="31">
        <f t="shared" si="41"/>
        <v>64</v>
      </c>
      <c r="Z81" s="31">
        <f t="shared" si="42"/>
        <v>486</v>
      </c>
    </row>
    <row r="82" spans="1:26" x14ac:dyDescent="0.25">
      <c r="A82" s="74" t="s">
        <v>226</v>
      </c>
      <c r="B82" s="74" t="s">
        <v>137</v>
      </c>
      <c r="C82" s="45" t="str">
        <f t="shared" si="49"/>
        <v>07-02-2024 15:00</v>
      </c>
      <c r="D82" s="93">
        <v>486</v>
      </c>
      <c r="E82" s="93">
        <v>64</v>
      </c>
      <c r="F82" s="93">
        <f t="shared" si="50"/>
        <v>173.5</v>
      </c>
      <c r="G82" s="93">
        <v>936.5</v>
      </c>
      <c r="H82" s="93">
        <v>1043.2</v>
      </c>
      <c r="I82" s="93">
        <v>1</v>
      </c>
      <c r="J82" s="31">
        <f t="shared" si="51"/>
        <v>42.237499999999997</v>
      </c>
      <c r="K82" s="31">
        <f t="shared" si="36"/>
        <v>64.623374999999996</v>
      </c>
      <c r="L82" s="31">
        <f t="shared" si="33"/>
        <v>318.51842400000004</v>
      </c>
      <c r="M82" s="31">
        <f t="shared" si="37"/>
        <v>80.538640000000001</v>
      </c>
      <c r="N82" s="31">
        <f t="shared" si="38"/>
        <v>31.406960249999997</v>
      </c>
      <c r="O82" s="31">
        <f t="shared" si="38"/>
        <v>20.385179136000001</v>
      </c>
      <c r="P82" s="31">
        <f t="shared" si="38"/>
        <v>13.97345404</v>
      </c>
      <c r="Q82" s="31">
        <f t="shared" si="39"/>
        <v>65.765593426000009</v>
      </c>
      <c r="R82" s="31">
        <f t="shared" si="52"/>
        <v>0.625</v>
      </c>
      <c r="S82" s="31">
        <f t="shared" si="53"/>
        <v>45329</v>
      </c>
      <c r="T82" s="31">
        <f t="shared" si="54"/>
        <v>54000</v>
      </c>
      <c r="U82" s="31">
        <f t="shared" si="55"/>
        <v>107</v>
      </c>
      <c r="V82" s="31">
        <f t="shared" si="56"/>
        <v>9244800</v>
      </c>
      <c r="W82" s="31">
        <f t="shared" si="57"/>
        <v>9298800</v>
      </c>
      <c r="X82" s="31">
        <f t="shared" si="58"/>
        <v>9079200</v>
      </c>
      <c r="Y82" s="31">
        <f t="shared" si="41"/>
        <v>64</v>
      </c>
      <c r="Z82" s="31">
        <f t="shared" si="42"/>
        <v>486</v>
      </c>
    </row>
    <row r="83" spans="1:26" x14ac:dyDescent="0.25">
      <c r="A83" s="74" t="s">
        <v>227</v>
      </c>
      <c r="B83" s="74" t="s">
        <v>228</v>
      </c>
      <c r="C83" s="45" t="str">
        <f t="shared" si="49"/>
        <v>09-02-2024 16:15</v>
      </c>
      <c r="D83" s="93">
        <v>730</v>
      </c>
      <c r="E83" s="93">
        <v>96</v>
      </c>
      <c r="F83" s="93">
        <f t="shared" si="50"/>
        <v>185.70000000000005</v>
      </c>
      <c r="G83" s="93">
        <v>857.5</v>
      </c>
      <c r="H83" s="93">
        <v>1153.5999999999999</v>
      </c>
      <c r="I83" s="93">
        <v>1</v>
      </c>
      <c r="J83" s="31">
        <f>49.9*77.5/100</f>
        <v>38.672499999999999</v>
      </c>
      <c r="K83" s="31">
        <f t="shared" si="36"/>
        <v>59.168925000000002</v>
      </c>
      <c r="L83" s="31">
        <f t="shared" si="33"/>
        <v>318.51842400000004</v>
      </c>
      <c r="M83" s="31">
        <f t="shared" si="37"/>
        <v>80.538640000000001</v>
      </c>
      <c r="N83" s="31">
        <f t="shared" si="38"/>
        <v>43.193315249999998</v>
      </c>
      <c r="O83" s="31">
        <f t="shared" si="38"/>
        <v>30.577768704</v>
      </c>
      <c r="P83" s="31">
        <f t="shared" si="38"/>
        <v>14.956025448000004</v>
      </c>
      <c r="Q83" s="31">
        <f t="shared" si="39"/>
        <v>88.727109402000011</v>
      </c>
      <c r="R83" s="31">
        <f t="shared" si="52"/>
        <v>0.67708333333575865</v>
      </c>
      <c r="S83" s="31">
        <f t="shared" si="53"/>
        <v>45331</v>
      </c>
      <c r="T83" s="31">
        <f t="shared" si="54"/>
        <v>58500.000000209548</v>
      </c>
      <c r="U83" s="31">
        <f t="shared" si="55"/>
        <v>109</v>
      </c>
      <c r="V83" s="31">
        <f t="shared" si="56"/>
        <v>9417600</v>
      </c>
      <c r="W83" s="31">
        <f t="shared" si="57"/>
        <v>9476100.0000002086</v>
      </c>
      <c r="X83" s="31">
        <f t="shared" si="58"/>
        <v>9256500.0000002086</v>
      </c>
      <c r="Y83" s="31">
        <f t="shared" si="41"/>
        <v>96</v>
      </c>
      <c r="Z83" s="31">
        <f t="shared" si="42"/>
        <v>730</v>
      </c>
    </row>
    <row r="84" spans="1:26" x14ac:dyDescent="0.25">
      <c r="A84" s="74" t="s">
        <v>229</v>
      </c>
      <c r="B84" s="74" t="s">
        <v>230</v>
      </c>
      <c r="C84" s="45" t="str">
        <f t="shared" si="49"/>
        <v>12-02-2024 11:45</v>
      </c>
      <c r="D84" s="93">
        <v>486</v>
      </c>
      <c r="E84" s="93">
        <v>64</v>
      </c>
      <c r="F84" s="93">
        <f t="shared" si="50"/>
        <v>242.89999999999986</v>
      </c>
      <c r="G84" s="93">
        <v>910.7</v>
      </c>
      <c r="H84" s="93">
        <v>1125</v>
      </c>
      <c r="I84" s="93">
        <v>1</v>
      </c>
      <c r="J84" s="31">
        <f t="shared" ref="J84:J86" si="59">49.9*77.5/100</f>
        <v>38.672499999999999</v>
      </c>
      <c r="K84" s="31">
        <f t="shared" si="36"/>
        <v>59.168925000000002</v>
      </c>
      <c r="L84" s="31">
        <f t="shared" si="33"/>
        <v>318.51842400000004</v>
      </c>
      <c r="M84" s="31">
        <f t="shared" si="37"/>
        <v>80.538640000000001</v>
      </c>
      <c r="N84" s="31">
        <f t="shared" si="38"/>
        <v>28.756097550000003</v>
      </c>
      <c r="O84" s="31">
        <f t="shared" si="38"/>
        <v>20.385179136000001</v>
      </c>
      <c r="P84" s="31">
        <f t="shared" si="38"/>
        <v>19.56283565599999</v>
      </c>
      <c r="Q84" s="31">
        <f t="shared" si="39"/>
        <v>68.704112342000002</v>
      </c>
      <c r="R84" s="31">
        <f t="shared" si="52"/>
        <v>0.48958333333575865</v>
      </c>
      <c r="S84" s="31">
        <f t="shared" si="53"/>
        <v>45334</v>
      </c>
      <c r="T84" s="31">
        <f t="shared" si="54"/>
        <v>42300.000000209548</v>
      </c>
      <c r="U84" s="31">
        <f t="shared" si="55"/>
        <v>112</v>
      </c>
      <c r="V84" s="31">
        <f t="shared" si="56"/>
        <v>9676800</v>
      </c>
      <c r="W84" s="31">
        <f t="shared" si="57"/>
        <v>9719100.0000002086</v>
      </c>
      <c r="X84" s="31">
        <f t="shared" si="58"/>
        <v>9499500.0000002086</v>
      </c>
      <c r="Y84" s="31">
        <f t="shared" si="41"/>
        <v>64</v>
      </c>
      <c r="Z84" s="31">
        <f t="shared" si="42"/>
        <v>486</v>
      </c>
    </row>
    <row r="85" spans="1:26" x14ac:dyDescent="0.25">
      <c r="A85" s="100" t="s">
        <v>231</v>
      </c>
      <c r="B85" s="100" t="s">
        <v>137</v>
      </c>
      <c r="C85" s="45" t="str">
        <f t="shared" si="49"/>
        <v>14-02-2024 15:00</v>
      </c>
      <c r="D85" s="93">
        <v>486</v>
      </c>
      <c r="E85" s="93">
        <v>64</v>
      </c>
      <c r="F85" s="93">
        <f t="shared" si="50"/>
        <v>184</v>
      </c>
      <c r="G85" s="93">
        <v>941</v>
      </c>
      <c r="H85" s="93">
        <v>1077.4000000000001</v>
      </c>
      <c r="I85" s="93">
        <v>1</v>
      </c>
      <c r="J85" s="31">
        <f t="shared" si="59"/>
        <v>38.672499999999999</v>
      </c>
      <c r="K85" s="31">
        <f t="shared" si="36"/>
        <v>59.168925000000002</v>
      </c>
      <c r="L85" s="31">
        <f t="shared" si="33"/>
        <v>318.51842400000004</v>
      </c>
      <c r="M85" s="31">
        <f t="shared" si="37"/>
        <v>80.538640000000001</v>
      </c>
      <c r="N85" s="31">
        <f t="shared" si="38"/>
        <v>28.756097550000003</v>
      </c>
      <c r="O85" s="31">
        <f t="shared" si="38"/>
        <v>20.385179136000001</v>
      </c>
      <c r="P85" s="31">
        <f t="shared" si="38"/>
        <v>14.81910976</v>
      </c>
      <c r="Q85" s="31">
        <f t="shared" si="39"/>
        <v>63.960386446000001</v>
      </c>
      <c r="R85" s="31">
        <f t="shared" si="52"/>
        <v>0.625</v>
      </c>
      <c r="S85" s="31">
        <f t="shared" si="53"/>
        <v>45336</v>
      </c>
      <c r="T85" s="31">
        <f t="shared" si="54"/>
        <v>54000</v>
      </c>
      <c r="U85" s="31">
        <f t="shared" si="55"/>
        <v>114</v>
      </c>
      <c r="V85" s="31">
        <f t="shared" si="56"/>
        <v>9849600</v>
      </c>
      <c r="W85" s="31">
        <f t="shared" si="57"/>
        <v>9903600</v>
      </c>
      <c r="X85" s="31">
        <f t="shared" si="58"/>
        <v>9684000</v>
      </c>
      <c r="Y85" s="31">
        <f t="shared" si="41"/>
        <v>64</v>
      </c>
      <c r="Z85" s="31">
        <f t="shared" si="42"/>
        <v>486</v>
      </c>
    </row>
    <row r="86" spans="1:26" x14ac:dyDescent="0.25">
      <c r="A86" s="100" t="s">
        <v>232</v>
      </c>
      <c r="B86" s="100" t="s">
        <v>233</v>
      </c>
      <c r="C86" s="45" t="str">
        <f t="shared" si="49"/>
        <v>16-02-2024 15:30</v>
      </c>
      <c r="D86" s="125">
        <v>730</v>
      </c>
      <c r="E86" s="125">
        <v>96</v>
      </c>
      <c r="F86" s="93">
        <f t="shared" si="50"/>
        <v>171.10000000000014</v>
      </c>
      <c r="G86" s="93">
        <v>906.3</v>
      </c>
      <c r="H86" s="93">
        <v>1192.8</v>
      </c>
      <c r="I86" s="93">
        <v>1</v>
      </c>
      <c r="J86" s="31">
        <f t="shared" si="59"/>
        <v>38.672499999999999</v>
      </c>
      <c r="K86" s="31">
        <f t="shared" si="36"/>
        <v>59.168925000000002</v>
      </c>
      <c r="L86" s="31">
        <f t="shared" si="33"/>
        <v>318.51842400000004</v>
      </c>
      <c r="M86" s="31">
        <f t="shared" si="37"/>
        <v>80.538640000000001</v>
      </c>
      <c r="N86" s="31">
        <f t="shared" si="38"/>
        <v>43.193315249999998</v>
      </c>
      <c r="O86" s="31">
        <f t="shared" si="38"/>
        <v>30.577768704</v>
      </c>
      <c r="P86" s="31">
        <f t="shared" si="38"/>
        <v>13.780161304000012</v>
      </c>
      <c r="Q86" s="31">
        <f t="shared" si="39"/>
        <v>87.551245258000023</v>
      </c>
      <c r="R86" s="31">
        <f t="shared" si="52"/>
        <v>0.64583333333575865</v>
      </c>
      <c r="S86" s="31">
        <f t="shared" si="53"/>
        <v>45338</v>
      </c>
      <c r="T86" s="31">
        <f t="shared" si="54"/>
        <v>55800.000000209548</v>
      </c>
      <c r="U86" s="31">
        <f t="shared" si="55"/>
        <v>116</v>
      </c>
      <c r="V86" s="31">
        <f t="shared" si="56"/>
        <v>10022400</v>
      </c>
      <c r="W86" s="31">
        <f t="shared" si="57"/>
        <v>10078200.000000209</v>
      </c>
      <c r="X86" s="31">
        <f t="shared" si="58"/>
        <v>9858600.0000002086</v>
      </c>
      <c r="Y86" s="31">
        <f t="shared" si="41"/>
        <v>96</v>
      </c>
      <c r="Z86" s="31">
        <f t="shared" si="42"/>
        <v>730</v>
      </c>
    </row>
    <row r="87" spans="1:26" x14ac:dyDescent="0.25">
      <c r="A87" s="100" t="s">
        <v>234</v>
      </c>
      <c r="B87" s="89" t="s">
        <v>137</v>
      </c>
      <c r="C87" s="45" t="str">
        <f t="shared" si="49"/>
        <v>19-02-2024 15:00</v>
      </c>
      <c r="D87" s="125">
        <v>486</v>
      </c>
      <c r="E87" s="125">
        <v>64</v>
      </c>
      <c r="F87" s="93">
        <f t="shared" si="50"/>
        <v>257.5</v>
      </c>
      <c r="G87" s="93">
        <v>935.3</v>
      </c>
      <c r="H87" s="93">
        <v>1054.3</v>
      </c>
      <c r="I87" s="93">
        <v>1</v>
      </c>
      <c r="J87" s="31">
        <f>45.2*77.5/100</f>
        <v>35.03</v>
      </c>
      <c r="K87" s="31">
        <f t="shared" si="36"/>
        <v>53.5959</v>
      </c>
      <c r="L87" s="31">
        <f t="shared" si="33"/>
        <v>318.51842400000004</v>
      </c>
      <c r="M87" s="31">
        <f t="shared" si="37"/>
        <v>80.538640000000001</v>
      </c>
      <c r="N87" s="31">
        <f t="shared" si="38"/>
        <v>26.0476074</v>
      </c>
      <c r="O87" s="31">
        <f t="shared" si="38"/>
        <v>20.385179136000001</v>
      </c>
      <c r="P87" s="31">
        <f t="shared" si="38"/>
        <v>20.738699799999999</v>
      </c>
      <c r="Q87" s="31">
        <f t="shared" si="39"/>
        <v>67.171486336000001</v>
      </c>
      <c r="R87" s="31">
        <f t="shared" si="52"/>
        <v>0.625</v>
      </c>
      <c r="S87" s="31">
        <f t="shared" si="53"/>
        <v>45341</v>
      </c>
      <c r="T87" s="31">
        <f t="shared" si="54"/>
        <v>54000</v>
      </c>
      <c r="U87" s="31">
        <f t="shared" si="55"/>
        <v>119</v>
      </c>
      <c r="V87" s="31">
        <f t="shared" si="56"/>
        <v>10281600</v>
      </c>
      <c r="W87" s="31">
        <f t="shared" si="57"/>
        <v>10335600</v>
      </c>
      <c r="X87" s="31">
        <f t="shared" si="58"/>
        <v>10116000</v>
      </c>
      <c r="Y87" s="31">
        <f t="shared" si="41"/>
        <v>64</v>
      </c>
      <c r="Z87" s="31">
        <f t="shared" si="42"/>
        <v>486</v>
      </c>
    </row>
    <row r="88" spans="1:26" x14ac:dyDescent="0.25">
      <c r="A88" s="100" t="s">
        <v>235</v>
      </c>
      <c r="B88" s="100" t="s">
        <v>225</v>
      </c>
      <c r="C88" s="45" t="str">
        <f t="shared" si="49"/>
        <v>21-02-2024 13:15</v>
      </c>
      <c r="D88" s="125">
        <v>486</v>
      </c>
      <c r="E88" s="125">
        <v>64</v>
      </c>
      <c r="F88" s="93">
        <f t="shared" si="50"/>
        <v>170.5</v>
      </c>
      <c r="G88" s="93">
        <v>883.8</v>
      </c>
      <c r="H88" s="93">
        <v>1108.7</v>
      </c>
      <c r="I88" s="93">
        <v>1</v>
      </c>
      <c r="J88" s="31">
        <f t="shared" ref="J88:J91" si="60">45.2*77.5/100</f>
        <v>35.03</v>
      </c>
      <c r="K88" s="31">
        <f t="shared" si="36"/>
        <v>53.5959</v>
      </c>
      <c r="L88" s="31">
        <f t="shared" si="33"/>
        <v>318.51842400000004</v>
      </c>
      <c r="M88" s="31">
        <f t="shared" si="37"/>
        <v>80.538640000000001</v>
      </c>
      <c r="N88" s="31">
        <f t="shared" si="38"/>
        <v>26.0476074</v>
      </c>
      <c r="O88" s="31">
        <f t="shared" si="38"/>
        <v>20.385179136000001</v>
      </c>
      <c r="P88" s="31">
        <f t="shared" si="38"/>
        <v>13.731838120000001</v>
      </c>
      <c r="Q88" s="31">
        <f t="shared" si="39"/>
        <v>60.164624656000001</v>
      </c>
      <c r="R88" s="31">
        <f t="shared" si="52"/>
        <v>0.55208333333575865</v>
      </c>
      <c r="S88" s="31">
        <f t="shared" si="53"/>
        <v>45343</v>
      </c>
      <c r="T88" s="31">
        <f t="shared" si="54"/>
        <v>47700.000000209548</v>
      </c>
      <c r="U88" s="31">
        <f t="shared" si="55"/>
        <v>121</v>
      </c>
      <c r="V88" s="31">
        <f t="shared" si="56"/>
        <v>10454400</v>
      </c>
      <c r="W88" s="31">
        <f t="shared" si="57"/>
        <v>10502100.000000209</v>
      </c>
      <c r="X88" s="31">
        <f t="shared" si="58"/>
        <v>10282500.000000209</v>
      </c>
      <c r="Y88" s="31">
        <f t="shared" si="41"/>
        <v>64</v>
      </c>
      <c r="Z88" s="31">
        <f t="shared" si="42"/>
        <v>486</v>
      </c>
    </row>
    <row r="89" spans="1:26" x14ac:dyDescent="0.25">
      <c r="A89" s="100" t="s">
        <v>236</v>
      </c>
      <c r="B89" s="100" t="s">
        <v>137</v>
      </c>
      <c r="C89" s="45" t="str">
        <f t="shared" si="49"/>
        <v>23-02-2024 15:00</v>
      </c>
      <c r="D89" s="125">
        <v>730</v>
      </c>
      <c r="E89" s="125">
        <v>96</v>
      </c>
      <c r="F89" s="93">
        <f t="shared" si="50"/>
        <v>36.600000000000136</v>
      </c>
      <c r="G89" s="93">
        <v>1072.0999999999999</v>
      </c>
      <c r="H89" s="32" t="s">
        <v>237</v>
      </c>
      <c r="I89" s="93">
        <v>1</v>
      </c>
      <c r="J89" s="31">
        <f t="shared" si="60"/>
        <v>35.03</v>
      </c>
      <c r="K89" s="31">
        <f t="shared" si="36"/>
        <v>53.5959</v>
      </c>
      <c r="L89" s="31">
        <f t="shared" si="33"/>
        <v>318.51842400000004</v>
      </c>
      <c r="M89" s="31">
        <f t="shared" si="37"/>
        <v>80.538640000000001</v>
      </c>
      <c r="N89" s="31">
        <f t="shared" si="38"/>
        <v>39.125006999999997</v>
      </c>
      <c r="O89" s="31">
        <f t="shared" si="38"/>
        <v>30.577768704</v>
      </c>
      <c r="P89" s="31">
        <f t="shared" si="38"/>
        <v>2.9477142240000114</v>
      </c>
      <c r="Q89" s="31">
        <f t="shared" si="39"/>
        <v>72.650489928000013</v>
      </c>
      <c r="R89" s="31">
        <f t="shared" si="52"/>
        <v>0.625</v>
      </c>
      <c r="S89" s="31">
        <f t="shared" si="53"/>
        <v>45345</v>
      </c>
      <c r="T89" s="31">
        <f t="shared" si="54"/>
        <v>54000</v>
      </c>
      <c r="U89" s="31">
        <f t="shared" si="55"/>
        <v>123</v>
      </c>
      <c r="V89" s="31">
        <f t="shared" si="56"/>
        <v>10627200</v>
      </c>
      <c r="W89" s="31">
        <f t="shared" si="57"/>
        <v>10681200</v>
      </c>
      <c r="X89" s="31">
        <f t="shared" si="58"/>
        <v>10461600</v>
      </c>
      <c r="Y89" s="31">
        <f t="shared" si="41"/>
        <v>96</v>
      </c>
      <c r="Z89" s="31">
        <f t="shared" si="42"/>
        <v>730</v>
      </c>
    </row>
    <row r="90" spans="1:26" x14ac:dyDescent="0.25">
      <c r="A90" s="100" t="s">
        <v>238</v>
      </c>
      <c r="B90" s="100" t="s">
        <v>239</v>
      </c>
      <c r="C90" s="45" t="str">
        <f t="shared" si="49"/>
        <v>26-02-2024 14:20</v>
      </c>
      <c r="D90" s="125">
        <v>486</v>
      </c>
      <c r="E90" s="125">
        <v>64</v>
      </c>
      <c r="F90" s="94">
        <v>250</v>
      </c>
      <c r="G90" s="93">
        <v>1064.5</v>
      </c>
      <c r="H90" s="93">
        <v>1193</v>
      </c>
      <c r="I90" s="93">
        <v>1</v>
      </c>
      <c r="J90" s="31">
        <f t="shared" si="60"/>
        <v>35.03</v>
      </c>
      <c r="K90" s="31">
        <f t="shared" si="36"/>
        <v>53.5959</v>
      </c>
      <c r="L90" s="31">
        <f t="shared" si="33"/>
        <v>318.51842400000004</v>
      </c>
      <c r="M90" s="31">
        <f t="shared" si="37"/>
        <v>80.538640000000001</v>
      </c>
      <c r="N90" s="31">
        <f t="shared" si="38"/>
        <v>26.0476074</v>
      </c>
      <c r="O90" s="31">
        <f t="shared" si="38"/>
        <v>20.385179136000001</v>
      </c>
      <c r="P90" s="31">
        <f t="shared" si="38"/>
        <v>20.13466</v>
      </c>
      <c r="Q90" s="31">
        <f t="shared" si="39"/>
        <v>66.567446536000006</v>
      </c>
      <c r="R90" s="31">
        <f t="shared" si="52"/>
        <v>0.59722222221898846</v>
      </c>
      <c r="S90" s="31">
        <f t="shared" si="53"/>
        <v>45348</v>
      </c>
      <c r="T90" s="31">
        <f t="shared" si="54"/>
        <v>51599.999999720603</v>
      </c>
      <c r="U90" s="31">
        <f t="shared" si="55"/>
        <v>126</v>
      </c>
      <c r="V90" s="31">
        <f t="shared" si="56"/>
        <v>10886400</v>
      </c>
      <c r="W90" s="31">
        <f t="shared" si="57"/>
        <v>10937999.999999721</v>
      </c>
      <c r="X90" s="31">
        <f t="shared" si="58"/>
        <v>10718399.999999721</v>
      </c>
      <c r="Y90" s="31">
        <f t="shared" si="41"/>
        <v>64</v>
      </c>
      <c r="Z90" s="31">
        <f t="shared" si="42"/>
        <v>486</v>
      </c>
    </row>
    <row r="91" spans="1:26" x14ac:dyDescent="0.25">
      <c r="A91" s="100" t="s">
        <v>240</v>
      </c>
      <c r="B91" s="100" t="s">
        <v>137</v>
      </c>
      <c r="C91" s="101" t="str">
        <f t="shared" si="49"/>
        <v>28-02-2024 15:00</v>
      </c>
      <c r="D91" s="125">
        <v>486</v>
      </c>
      <c r="E91" s="125">
        <v>64</v>
      </c>
      <c r="F91" s="96">
        <f t="shared" ref="F91:F94" si="61">H90-G91</f>
        <v>179.04999999999995</v>
      </c>
      <c r="G91" s="96">
        <v>1013.95</v>
      </c>
      <c r="H91" s="93">
        <v>1342.1</v>
      </c>
      <c r="I91" s="93">
        <v>1</v>
      </c>
      <c r="J91" s="31">
        <f t="shared" si="60"/>
        <v>35.03</v>
      </c>
      <c r="K91" s="31">
        <f t="shared" ref="K91:K96" si="62">J91*$K$2</f>
        <v>53.5959</v>
      </c>
      <c r="L91" s="31">
        <f t="shared" si="33"/>
        <v>318.51842400000004</v>
      </c>
      <c r="M91" s="31">
        <f t="shared" si="37"/>
        <v>80.538640000000001</v>
      </c>
      <c r="N91" s="31">
        <f t="shared" ref="N91:N96" si="63">K91*D91/1000</f>
        <v>26.0476074</v>
      </c>
      <c r="O91" s="31">
        <f t="shared" ref="O91:O96" si="64">L91*E91/1000</f>
        <v>20.385179136000001</v>
      </c>
      <c r="P91" s="31">
        <f t="shared" ref="P91:P96" si="65">M91*F91/1000</f>
        <v>14.420443491999997</v>
      </c>
      <c r="Q91" s="31">
        <f t="shared" ref="Q91:Q96" si="66">SUM(N91:P91)</f>
        <v>60.853230027999999</v>
      </c>
      <c r="R91" s="31">
        <f t="shared" ref="R91:R96" si="67">TIMEVALUE(C91)</f>
        <v>0.625</v>
      </c>
      <c r="S91" s="31">
        <f t="shared" ref="S91:S96" si="68">DATEVALUE(A91)-MIN($A$3:$A$68)</f>
        <v>45350</v>
      </c>
      <c r="T91" s="31">
        <f t="shared" ref="T91:T96" si="69">R91*86400</f>
        <v>54000</v>
      </c>
      <c r="U91" s="31">
        <f t="shared" ref="U91:U96" si="70">S91-MIN($S$3:$S$68)</f>
        <v>128</v>
      </c>
      <c r="V91" s="31">
        <f t="shared" ref="V91:V96" si="71">U91*86400</f>
        <v>11059200</v>
      </c>
      <c r="W91" s="31">
        <f t="shared" ref="W91:W96" si="72">V91+T91</f>
        <v>11113200</v>
      </c>
      <c r="X91" s="31">
        <f t="shared" ref="X91:X96" si="73">W91-$R$2</f>
        <v>10893600</v>
      </c>
      <c r="Y91" s="31">
        <f t="shared" ref="Y91:Y96" si="74">E91</f>
        <v>64</v>
      </c>
      <c r="Z91" s="31">
        <f t="shared" ref="Z91:Z96" si="75">D91</f>
        <v>486</v>
      </c>
    </row>
    <row r="92" spans="1:26" x14ac:dyDescent="0.25">
      <c r="A92" s="100" t="s">
        <v>241</v>
      </c>
      <c r="B92" s="100" t="s">
        <v>163</v>
      </c>
      <c r="C92" s="101" t="str">
        <f t="shared" si="49"/>
        <v>01-03-2024 17:00</v>
      </c>
      <c r="D92" s="125">
        <v>730</v>
      </c>
      <c r="E92" s="125">
        <v>96</v>
      </c>
      <c r="F92" s="96">
        <f t="shared" si="61"/>
        <v>185.91999999999985</v>
      </c>
      <c r="G92" s="96">
        <v>1156.18</v>
      </c>
      <c r="H92" s="93">
        <v>1304.82</v>
      </c>
      <c r="I92" s="93">
        <v>1</v>
      </c>
      <c r="J92" s="31">
        <f t="shared" ref="J92:J101" si="76">77.7*82/100</f>
        <v>63.714000000000006</v>
      </c>
      <c r="K92" s="31">
        <f t="shared" si="62"/>
        <v>97.482420000000005</v>
      </c>
      <c r="L92" s="31">
        <f t="shared" si="33"/>
        <v>318.51842400000004</v>
      </c>
      <c r="M92" s="31">
        <f t="shared" si="37"/>
        <v>80.538640000000001</v>
      </c>
      <c r="N92" s="31">
        <f t="shared" si="63"/>
        <v>71.162166599999992</v>
      </c>
      <c r="O92" s="31">
        <f t="shared" si="64"/>
        <v>30.577768704</v>
      </c>
      <c r="P92" s="31">
        <f t="shared" si="65"/>
        <v>14.973743948799987</v>
      </c>
      <c r="Q92" s="31">
        <f t="shared" si="66"/>
        <v>116.71367925279999</v>
      </c>
      <c r="R92" s="31">
        <f t="shared" si="67"/>
        <v>0.70833333333575865</v>
      </c>
      <c r="S92" s="31">
        <f t="shared" si="68"/>
        <v>45352</v>
      </c>
      <c r="T92" s="31">
        <f t="shared" si="69"/>
        <v>61200.000000209548</v>
      </c>
      <c r="U92" s="31">
        <f t="shared" si="70"/>
        <v>130</v>
      </c>
      <c r="V92" s="31">
        <f t="shared" si="71"/>
        <v>11232000</v>
      </c>
      <c r="W92" s="31">
        <f t="shared" si="72"/>
        <v>11293200.000000209</v>
      </c>
      <c r="X92" s="31">
        <f t="shared" si="73"/>
        <v>11073600.000000209</v>
      </c>
      <c r="Y92" s="31">
        <f t="shared" si="74"/>
        <v>96</v>
      </c>
      <c r="Z92" s="31">
        <f t="shared" si="75"/>
        <v>730</v>
      </c>
    </row>
    <row r="93" spans="1:26" x14ac:dyDescent="0.25">
      <c r="A93" s="100" t="s">
        <v>242</v>
      </c>
      <c r="B93" s="100" t="s">
        <v>223</v>
      </c>
      <c r="C93" s="101" t="str">
        <f t="shared" si="49"/>
        <v>04-03-2024 11:30</v>
      </c>
      <c r="D93" s="125">
        <v>486</v>
      </c>
      <c r="E93" s="125">
        <v>64</v>
      </c>
      <c r="F93" s="96">
        <f t="shared" si="61"/>
        <v>253.8599999999999</v>
      </c>
      <c r="G93" s="96">
        <v>1050.96</v>
      </c>
      <c r="H93" s="93">
        <v>1277</v>
      </c>
      <c r="I93" s="93">
        <v>1</v>
      </c>
      <c r="J93" s="31">
        <f t="shared" si="76"/>
        <v>63.714000000000006</v>
      </c>
      <c r="K93" s="31">
        <f t="shared" si="62"/>
        <v>97.482420000000005</v>
      </c>
      <c r="L93" s="31">
        <f t="shared" si="33"/>
        <v>318.51842400000004</v>
      </c>
      <c r="M93" s="31">
        <f t="shared" si="37"/>
        <v>80.538640000000001</v>
      </c>
      <c r="N93" s="31">
        <f t="shared" si="63"/>
        <v>47.37645612</v>
      </c>
      <c r="O93" s="31">
        <f t="shared" si="64"/>
        <v>20.385179136000001</v>
      </c>
      <c r="P93" s="31">
        <f t="shared" si="65"/>
        <v>20.445539150399991</v>
      </c>
      <c r="Q93" s="31">
        <f t="shared" si="66"/>
        <v>88.2071744064</v>
      </c>
      <c r="R93" s="31">
        <f t="shared" si="67"/>
        <v>0.47916666666424135</v>
      </c>
      <c r="S93" s="31">
        <f t="shared" si="68"/>
        <v>45355</v>
      </c>
      <c r="T93" s="31">
        <f t="shared" si="69"/>
        <v>41399.999999790452</v>
      </c>
      <c r="U93" s="31">
        <f t="shared" si="70"/>
        <v>133</v>
      </c>
      <c r="V93" s="31">
        <f t="shared" si="71"/>
        <v>11491200</v>
      </c>
      <c r="W93" s="31">
        <f t="shared" si="72"/>
        <v>11532599.999999791</v>
      </c>
      <c r="X93" s="31">
        <f t="shared" si="73"/>
        <v>11312999.999999791</v>
      </c>
      <c r="Y93" s="31">
        <f t="shared" si="74"/>
        <v>64</v>
      </c>
      <c r="Z93" s="31">
        <f t="shared" si="75"/>
        <v>486</v>
      </c>
    </row>
    <row r="94" spans="1:26" x14ac:dyDescent="0.25">
      <c r="A94" s="100" t="s">
        <v>243</v>
      </c>
      <c r="B94" s="100" t="s">
        <v>207</v>
      </c>
      <c r="C94" s="101" t="str">
        <f t="shared" si="49"/>
        <v>06-03-2024 16:30</v>
      </c>
      <c r="D94" s="125">
        <v>486</v>
      </c>
      <c r="E94" s="125">
        <v>64</v>
      </c>
      <c r="F94" s="96">
        <f t="shared" si="61"/>
        <v>189.29999999999995</v>
      </c>
      <c r="G94" s="96">
        <v>1087.7</v>
      </c>
      <c r="H94" s="93">
        <v>1127</v>
      </c>
      <c r="I94" s="93">
        <v>1</v>
      </c>
      <c r="J94" s="31">
        <f t="shared" si="76"/>
        <v>63.714000000000006</v>
      </c>
      <c r="K94" s="31">
        <f t="shared" si="62"/>
        <v>97.482420000000005</v>
      </c>
      <c r="L94" s="31">
        <f t="shared" si="33"/>
        <v>318.51842400000004</v>
      </c>
      <c r="M94" s="31">
        <f t="shared" si="37"/>
        <v>80.538640000000001</v>
      </c>
      <c r="N94" s="31">
        <f t="shared" si="63"/>
        <v>47.37645612</v>
      </c>
      <c r="O94" s="31">
        <f t="shared" si="64"/>
        <v>20.385179136000001</v>
      </c>
      <c r="P94" s="31">
        <f t="shared" si="65"/>
        <v>15.245964551999997</v>
      </c>
      <c r="Q94" s="31">
        <f t="shared" si="66"/>
        <v>83.007599808000009</v>
      </c>
      <c r="R94" s="31">
        <f t="shared" si="67"/>
        <v>0.6875</v>
      </c>
      <c r="S94" s="31">
        <f t="shared" si="68"/>
        <v>45357</v>
      </c>
      <c r="T94" s="31">
        <f t="shared" si="69"/>
        <v>59400</v>
      </c>
      <c r="U94" s="31">
        <f t="shared" si="70"/>
        <v>135</v>
      </c>
      <c r="V94" s="31">
        <f t="shared" si="71"/>
        <v>11664000</v>
      </c>
      <c r="W94" s="31">
        <f t="shared" si="72"/>
        <v>11723400</v>
      </c>
      <c r="X94" s="31">
        <f t="shared" si="73"/>
        <v>11503800</v>
      </c>
      <c r="Y94" s="31">
        <f t="shared" si="74"/>
        <v>64</v>
      </c>
      <c r="Z94" s="31">
        <f t="shared" si="75"/>
        <v>486</v>
      </c>
    </row>
    <row r="95" spans="1:26" x14ac:dyDescent="0.25">
      <c r="A95" s="100" t="s">
        <v>244</v>
      </c>
      <c r="B95" s="100" t="s">
        <v>196</v>
      </c>
      <c r="C95" s="101" t="str">
        <f t="shared" si="49"/>
        <v>08-03-2024 16:00</v>
      </c>
      <c r="D95" s="125">
        <v>730</v>
      </c>
      <c r="E95" s="125">
        <v>96</v>
      </c>
      <c r="F95" s="96">
        <f t="shared" ref="F95:F100" si="77">H94-G95</f>
        <v>180.5</v>
      </c>
      <c r="G95" s="96">
        <v>946.5</v>
      </c>
      <c r="H95" s="93">
        <v>1114.5</v>
      </c>
      <c r="I95" s="93">
        <v>1</v>
      </c>
      <c r="J95" s="31">
        <f t="shared" si="76"/>
        <v>63.714000000000006</v>
      </c>
      <c r="K95" s="31">
        <f t="shared" si="62"/>
        <v>97.482420000000005</v>
      </c>
      <c r="L95" s="31">
        <f t="shared" si="33"/>
        <v>318.51842400000004</v>
      </c>
      <c r="M95" s="31">
        <f t="shared" si="37"/>
        <v>80.538640000000001</v>
      </c>
      <c r="N95" s="31">
        <f t="shared" si="63"/>
        <v>71.162166599999992</v>
      </c>
      <c r="O95" s="31">
        <f t="shared" si="64"/>
        <v>30.577768704</v>
      </c>
      <c r="P95" s="31">
        <f t="shared" si="65"/>
        <v>14.537224520000001</v>
      </c>
      <c r="Q95" s="31">
        <f t="shared" si="66"/>
        <v>116.27715982399999</v>
      </c>
      <c r="R95" s="31">
        <f t="shared" si="67"/>
        <v>0.66666666666424135</v>
      </c>
      <c r="S95" s="31">
        <f t="shared" si="68"/>
        <v>45359</v>
      </c>
      <c r="T95" s="31">
        <f t="shared" si="69"/>
        <v>57599.999999790452</v>
      </c>
      <c r="U95" s="31">
        <f t="shared" si="70"/>
        <v>137</v>
      </c>
      <c r="V95" s="31">
        <f t="shared" si="71"/>
        <v>11836800</v>
      </c>
      <c r="W95" s="31">
        <f t="shared" si="72"/>
        <v>11894399.999999791</v>
      </c>
      <c r="X95" s="31">
        <f t="shared" si="73"/>
        <v>11674799.999999791</v>
      </c>
      <c r="Y95" s="31">
        <f t="shared" si="74"/>
        <v>96</v>
      </c>
      <c r="Z95" s="31">
        <f t="shared" si="75"/>
        <v>730</v>
      </c>
    </row>
    <row r="96" spans="1:26" x14ac:dyDescent="0.25">
      <c r="A96" s="100" t="s">
        <v>245</v>
      </c>
      <c r="B96" s="100" t="s">
        <v>223</v>
      </c>
      <c r="C96" s="101" t="str">
        <f t="shared" si="49"/>
        <v>11-03-2024 11:30</v>
      </c>
      <c r="D96" s="125">
        <v>486</v>
      </c>
      <c r="E96" s="125">
        <v>64</v>
      </c>
      <c r="F96" s="96">
        <f t="shared" si="77"/>
        <v>228</v>
      </c>
      <c r="G96" s="96">
        <v>886.5</v>
      </c>
      <c r="H96" s="93">
        <v>1136</v>
      </c>
      <c r="I96" s="93">
        <v>1</v>
      </c>
      <c r="J96" s="31">
        <f t="shared" si="76"/>
        <v>63.714000000000006</v>
      </c>
      <c r="K96" s="31">
        <f t="shared" si="62"/>
        <v>97.482420000000005</v>
      </c>
      <c r="L96" s="31">
        <f t="shared" si="33"/>
        <v>318.51842400000004</v>
      </c>
      <c r="M96" s="31">
        <f t="shared" si="37"/>
        <v>80.538640000000001</v>
      </c>
      <c r="N96" s="31">
        <f t="shared" si="63"/>
        <v>47.37645612</v>
      </c>
      <c r="O96" s="31">
        <f t="shared" si="64"/>
        <v>20.385179136000001</v>
      </c>
      <c r="P96" s="31">
        <f t="shared" si="65"/>
        <v>18.36280992</v>
      </c>
      <c r="Q96" s="31">
        <f t="shared" si="66"/>
        <v>86.124445176000009</v>
      </c>
      <c r="R96" s="31">
        <f t="shared" si="67"/>
        <v>0.47916666666424135</v>
      </c>
      <c r="S96" s="31">
        <f t="shared" si="68"/>
        <v>45362</v>
      </c>
      <c r="T96" s="31">
        <f t="shared" si="69"/>
        <v>41399.999999790452</v>
      </c>
      <c r="U96" s="31">
        <f t="shared" si="70"/>
        <v>140</v>
      </c>
      <c r="V96" s="31">
        <f t="shared" si="71"/>
        <v>12096000</v>
      </c>
      <c r="W96" s="31">
        <f t="shared" si="72"/>
        <v>12137399.999999791</v>
      </c>
      <c r="X96" s="31">
        <f t="shared" si="73"/>
        <v>11917799.999999791</v>
      </c>
      <c r="Y96" s="31">
        <f t="shared" si="74"/>
        <v>64</v>
      </c>
      <c r="Z96" s="31">
        <f t="shared" si="75"/>
        <v>486</v>
      </c>
    </row>
    <row r="97" spans="1:26" x14ac:dyDescent="0.25">
      <c r="A97" s="100" t="s">
        <v>246</v>
      </c>
      <c r="B97" s="100" t="s">
        <v>173</v>
      </c>
      <c r="C97" s="101" t="str">
        <f t="shared" si="49"/>
        <v>13-03-2024 13:00</v>
      </c>
      <c r="D97" s="125">
        <v>486</v>
      </c>
      <c r="E97" s="125">
        <v>64</v>
      </c>
      <c r="F97" s="96">
        <f t="shared" si="77"/>
        <v>157</v>
      </c>
      <c r="G97" s="96">
        <v>979</v>
      </c>
      <c r="H97" s="93">
        <v>1114.8499999999999</v>
      </c>
      <c r="I97" s="93">
        <v>1</v>
      </c>
      <c r="J97" s="31">
        <f t="shared" si="76"/>
        <v>63.714000000000006</v>
      </c>
      <c r="K97" s="31">
        <f t="shared" ref="K97:K99" si="78">J97*$K$2</f>
        <v>97.482420000000005</v>
      </c>
      <c r="L97" s="31">
        <f t="shared" si="33"/>
        <v>318.51842400000004</v>
      </c>
      <c r="M97" s="31">
        <f t="shared" si="37"/>
        <v>80.538640000000001</v>
      </c>
      <c r="N97" s="31">
        <f t="shared" ref="N97:N99" si="79">K97*D97/1000</f>
        <v>47.37645612</v>
      </c>
      <c r="O97" s="31">
        <f t="shared" ref="O97:O99" si="80">L97*E97/1000</f>
        <v>20.385179136000001</v>
      </c>
      <c r="P97" s="31">
        <f t="shared" ref="P97:P99" si="81">M97*F97/1000</f>
        <v>12.64456648</v>
      </c>
      <c r="Q97" s="31">
        <f t="shared" ref="Q97:Q99" si="82">SUM(N97:P97)</f>
        <v>80.406201736</v>
      </c>
      <c r="R97" s="31">
        <f t="shared" ref="R97:R99" si="83">TIMEVALUE(C97)</f>
        <v>0.54166666666424135</v>
      </c>
      <c r="S97" s="31">
        <f t="shared" ref="S97:S99" si="84">DATEVALUE(A97)-MIN($A$3:$A$68)</f>
        <v>45364</v>
      </c>
      <c r="T97" s="31">
        <f t="shared" ref="T97:T99" si="85">R97*86400</f>
        <v>46799.999999790452</v>
      </c>
      <c r="U97" s="31">
        <f t="shared" ref="U97:U99" si="86">S97-MIN($S$3:$S$68)</f>
        <v>142</v>
      </c>
      <c r="V97" s="31">
        <f t="shared" ref="V97:V99" si="87">U97*86400</f>
        <v>12268800</v>
      </c>
      <c r="W97" s="31">
        <f t="shared" ref="W97:W99" si="88">V97+T97</f>
        <v>12315599.999999791</v>
      </c>
      <c r="X97" s="31">
        <f t="shared" ref="X97:X99" si="89">W97-$R$2</f>
        <v>12095999.999999791</v>
      </c>
      <c r="Y97" s="31">
        <f t="shared" ref="Y97:Y99" si="90">E97</f>
        <v>64</v>
      </c>
      <c r="Z97" s="31">
        <f t="shared" ref="Z97:Z99" si="91">D97</f>
        <v>486</v>
      </c>
    </row>
    <row r="98" spans="1:26" x14ac:dyDescent="0.25">
      <c r="A98" s="100" t="s">
        <v>247</v>
      </c>
      <c r="B98" s="100" t="s">
        <v>173</v>
      </c>
      <c r="C98" s="101" t="str">
        <f t="shared" si="49"/>
        <v>15-03-2024 13:00</v>
      </c>
      <c r="D98" s="125">
        <v>730</v>
      </c>
      <c r="E98" s="125">
        <v>96</v>
      </c>
      <c r="F98" s="96">
        <f t="shared" si="77"/>
        <v>157.14999999999986</v>
      </c>
      <c r="G98" s="96">
        <v>957.7</v>
      </c>
      <c r="H98" s="93">
        <v>1107.8</v>
      </c>
      <c r="I98" s="93">
        <v>1</v>
      </c>
      <c r="J98" s="31">
        <f t="shared" si="76"/>
        <v>63.714000000000006</v>
      </c>
      <c r="K98" s="31">
        <f t="shared" si="78"/>
        <v>97.482420000000005</v>
      </c>
      <c r="L98" s="31">
        <f>293*95.9/100*$L$2</f>
        <v>354.04362000000003</v>
      </c>
      <c r="M98" s="31">
        <f t="shared" si="37"/>
        <v>80.538640000000001</v>
      </c>
      <c r="N98" s="31">
        <f t="shared" si="79"/>
        <v>71.162166599999992</v>
      </c>
      <c r="O98" s="31">
        <f t="shared" si="80"/>
        <v>33.988187520000004</v>
      </c>
      <c r="P98" s="31">
        <f t="shared" si="81"/>
        <v>12.656647275999989</v>
      </c>
      <c r="Q98" s="31">
        <f t="shared" si="82"/>
        <v>117.80700139599999</v>
      </c>
      <c r="R98" s="31">
        <f t="shared" si="83"/>
        <v>0.54166666666424135</v>
      </c>
      <c r="S98" s="31">
        <f t="shared" si="84"/>
        <v>45366</v>
      </c>
      <c r="T98" s="31">
        <f t="shared" si="85"/>
        <v>46799.999999790452</v>
      </c>
      <c r="U98" s="31">
        <f t="shared" si="86"/>
        <v>144</v>
      </c>
      <c r="V98" s="31">
        <f t="shared" si="87"/>
        <v>12441600</v>
      </c>
      <c r="W98" s="31">
        <f t="shared" si="88"/>
        <v>12488399.999999791</v>
      </c>
      <c r="X98" s="31">
        <f t="shared" si="89"/>
        <v>12268799.999999791</v>
      </c>
      <c r="Y98" s="31">
        <f t="shared" si="90"/>
        <v>96</v>
      </c>
      <c r="Z98" s="31">
        <f t="shared" si="91"/>
        <v>730</v>
      </c>
    </row>
    <row r="99" spans="1:26" x14ac:dyDescent="0.25">
      <c r="A99" s="100" t="s">
        <v>248</v>
      </c>
      <c r="B99" s="100" t="s">
        <v>202</v>
      </c>
      <c r="C99" s="101" t="str">
        <f t="shared" si="49"/>
        <v>18-03-2024 14:30</v>
      </c>
      <c r="D99" s="125">
        <v>486</v>
      </c>
      <c r="E99" s="125">
        <v>64</v>
      </c>
      <c r="F99" s="96">
        <f t="shared" si="77"/>
        <v>252.34999999999991</v>
      </c>
      <c r="G99" s="96">
        <v>855.45</v>
      </c>
      <c r="H99" s="93">
        <v>999.4</v>
      </c>
      <c r="I99" s="93">
        <v>1</v>
      </c>
      <c r="J99" s="31">
        <f t="shared" si="76"/>
        <v>63.714000000000006</v>
      </c>
      <c r="K99" s="31">
        <f t="shared" si="78"/>
        <v>97.482420000000005</v>
      </c>
      <c r="L99" s="31">
        <f>293*95.9/100*$L$2</f>
        <v>354.04362000000003</v>
      </c>
      <c r="M99" s="31">
        <f t="shared" si="37"/>
        <v>80.538640000000001</v>
      </c>
      <c r="N99" s="31">
        <f t="shared" si="79"/>
        <v>47.37645612</v>
      </c>
      <c r="O99" s="31">
        <f t="shared" si="80"/>
        <v>22.658791680000004</v>
      </c>
      <c r="P99" s="31">
        <f t="shared" si="81"/>
        <v>20.323925803999991</v>
      </c>
      <c r="Q99" s="31">
        <f t="shared" si="82"/>
        <v>90.359173604000006</v>
      </c>
      <c r="R99" s="31">
        <f t="shared" si="83"/>
        <v>0.60416666666424135</v>
      </c>
      <c r="S99" s="31">
        <f t="shared" si="84"/>
        <v>45369</v>
      </c>
      <c r="T99" s="31">
        <f t="shared" si="85"/>
        <v>52199.999999790452</v>
      </c>
      <c r="U99" s="31">
        <f t="shared" si="86"/>
        <v>147</v>
      </c>
      <c r="V99" s="31">
        <f t="shared" si="87"/>
        <v>12700800</v>
      </c>
      <c r="W99" s="31">
        <f t="shared" si="88"/>
        <v>12752999.999999791</v>
      </c>
      <c r="X99" s="31">
        <f t="shared" si="89"/>
        <v>12533399.999999791</v>
      </c>
      <c r="Y99" s="31">
        <f t="shared" si="90"/>
        <v>64</v>
      </c>
      <c r="Z99" s="31">
        <f t="shared" si="91"/>
        <v>486</v>
      </c>
    </row>
    <row r="100" spans="1:26" x14ac:dyDescent="0.25">
      <c r="A100" s="100" t="s">
        <v>249</v>
      </c>
      <c r="B100" s="100" t="s">
        <v>171</v>
      </c>
      <c r="C100" s="101" t="str">
        <f t="shared" si="49"/>
        <v>20-03-2024 12:30</v>
      </c>
      <c r="D100" s="125">
        <v>0</v>
      </c>
      <c r="E100" s="125">
        <v>0</v>
      </c>
      <c r="F100" s="96">
        <f t="shared" si="77"/>
        <v>171.70999999999992</v>
      </c>
      <c r="G100" s="96">
        <v>827.69</v>
      </c>
      <c r="I100" s="93">
        <v>1</v>
      </c>
      <c r="J100" s="31">
        <f t="shared" si="76"/>
        <v>63.714000000000006</v>
      </c>
      <c r="K100" s="31">
        <f>J100*$K$2</f>
        <v>97.482420000000005</v>
      </c>
      <c r="L100" s="31">
        <f>293*95.9/100*$L$2</f>
        <v>354.04362000000003</v>
      </c>
      <c r="M100" s="31">
        <f>72.8*85.1/100*$M$2</f>
        <v>80.538640000000001</v>
      </c>
      <c r="N100" s="31">
        <f t="shared" ref="N100:P102" si="92">K100*D100/1000</f>
        <v>0</v>
      </c>
      <c r="O100" s="31">
        <f t="shared" si="92"/>
        <v>0</v>
      </c>
      <c r="P100" s="31">
        <f t="shared" si="92"/>
        <v>13.829289874399993</v>
      </c>
      <c r="Q100" s="31">
        <f>SUM(N100:P100)</f>
        <v>13.829289874399993</v>
      </c>
      <c r="R100" s="31">
        <f>TIMEVALUE(C100)</f>
        <v>0.52083333333575865</v>
      </c>
      <c r="S100" s="31">
        <f>DATEVALUE(A100)-MIN($A$3:$A$68)</f>
        <v>45371</v>
      </c>
      <c r="T100" s="31">
        <f>R100*86400</f>
        <v>45000.000000209548</v>
      </c>
      <c r="U100" s="31">
        <f>S100-MIN($S$3:$S$68)</f>
        <v>149</v>
      </c>
      <c r="V100" s="31">
        <f>U100*86400</f>
        <v>12873600</v>
      </c>
      <c r="W100" s="31">
        <f>V100+T100</f>
        <v>12918600.000000209</v>
      </c>
      <c r="X100" s="31">
        <f>W100-$R$2</f>
        <v>12699000.000000209</v>
      </c>
      <c r="Y100" s="31">
        <f>E100</f>
        <v>0</v>
      </c>
      <c r="Z100" s="31">
        <f>D100</f>
        <v>0</v>
      </c>
    </row>
    <row r="101" spans="1:26" x14ac:dyDescent="0.25">
      <c r="A101" s="100" t="s">
        <v>276</v>
      </c>
      <c r="B101" s="100" t="s">
        <v>171</v>
      </c>
      <c r="C101" s="101" t="str">
        <f t="shared" si="49"/>
        <v>25-03-2024 12:30</v>
      </c>
      <c r="D101" s="102">
        <v>0</v>
      </c>
      <c r="E101" s="102">
        <v>400</v>
      </c>
      <c r="F101" s="102">
        <f>H100-G101</f>
        <v>0</v>
      </c>
      <c r="I101" s="96">
        <v>1</v>
      </c>
      <c r="J101" s="31">
        <f t="shared" si="76"/>
        <v>63.714000000000006</v>
      </c>
      <c r="K101" s="31">
        <f>J101*$K$2</f>
        <v>97.482420000000005</v>
      </c>
      <c r="L101" s="31">
        <f>293*95.9/100*$L$2</f>
        <v>354.04362000000003</v>
      </c>
      <c r="M101" s="31">
        <f>72.8*85.1/100*$M$2</f>
        <v>80.538640000000001</v>
      </c>
      <c r="N101" s="31">
        <f t="shared" si="92"/>
        <v>0</v>
      </c>
      <c r="O101" s="31">
        <f t="shared" si="92"/>
        <v>141.617448</v>
      </c>
      <c r="P101" s="31">
        <f t="shared" si="92"/>
        <v>0</v>
      </c>
      <c r="Q101" s="31">
        <f>SUM(N101:P101)</f>
        <v>141.617448</v>
      </c>
      <c r="R101" s="31">
        <f>TIMEVALUE(C101)</f>
        <v>0.52083333333575865</v>
      </c>
      <c r="S101" s="31">
        <f>DATEVALUE(A101)-MIN($A$3:$A$68)</f>
        <v>45376</v>
      </c>
      <c r="T101" s="31">
        <f>R101*86400</f>
        <v>45000.000000209548</v>
      </c>
      <c r="U101" s="31">
        <f>S101-MIN($S$3:$S$68)</f>
        <v>154</v>
      </c>
      <c r="V101" s="31">
        <f>U101*86400</f>
        <v>13305600</v>
      </c>
      <c r="W101" s="31">
        <f>V101+T101</f>
        <v>13350600.000000209</v>
      </c>
      <c r="X101" s="31">
        <f>W101-$R$2</f>
        <v>13131000.000000209</v>
      </c>
      <c r="Y101" s="31">
        <f>E101</f>
        <v>400</v>
      </c>
      <c r="Z101" s="31">
        <f>D101</f>
        <v>0</v>
      </c>
    </row>
    <row r="102" spans="1:26" x14ac:dyDescent="0.25">
      <c r="A102" s="100" t="s">
        <v>293</v>
      </c>
      <c r="B102" s="100" t="s">
        <v>294</v>
      </c>
      <c r="C102" s="101" t="str">
        <f t="shared" si="49"/>
        <v>11-04-2024 11:40</v>
      </c>
      <c r="D102" s="102">
        <v>2000</v>
      </c>
      <c r="E102" s="102">
        <v>0</v>
      </c>
      <c r="F102" s="102">
        <v>0</v>
      </c>
      <c r="I102" s="96">
        <v>1</v>
      </c>
      <c r="J102" s="31">
        <f>92.6*82/100</f>
        <v>75.932000000000002</v>
      </c>
      <c r="K102" s="31">
        <f>J102*$K$2</f>
        <v>116.17596</v>
      </c>
      <c r="L102" s="31">
        <f>293*95.9/100*$L$2</f>
        <v>354.04362000000003</v>
      </c>
      <c r="M102" s="31">
        <f>72.8*85.1/100*$M$2</f>
        <v>80.538640000000001</v>
      </c>
      <c r="N102" s="31">
        <f t="shared" si="92"/>
        <v>232.35192000000001</v>
      </c>
      <c r="O102" s="31">
        <f t="shared" si="92"/>
        <v>0</v>
      </c>
      <c r="P102" s="31">
        <f t="shared" si="92"/>
        <v>0</v>
      </c>
      <c r="Q102" s="31">
        <f>SUM(N102:P102)</f>
        <v>232.35192000000001</v>
      </c>
      <c r="R102" s="31">
        <f>TIMEVALUE(C102)</f>
        <v>0.48611111110949423</v>
      </c>
      <c r="S102" s="31">
        <f>DATEVALUE(A102)-MIN($A$3:$A$68)</f>
        <v>45393</v>
      </c>
      <c r="T102" s="31">
        <f>R102*86400</f>
        <v>41999.999999860302</v>
      </c>
      <c r="U102" s="31">
        <f>S102-MIN($S$3:$S$68)</f>
        <v>171</v>
      </c>
      <c r="V102" s="31">
        <f>U102*86400</f>
        <v>14774400</v>
      </c>
      <c r="W102" s="31">
        <f>V102+T102</f>
        <v>14816399.99999986</v>
      </c>
      <c r="X102" s="31">
        <f>W102-$R$2</f>
        <v>14596799.99999986</v>
      </c>
      <c r="Y102" s="31">
        <f>E102</f>
        <v>0</v>
      </c>
      <c r="Z102" s="31">
        <f>D102</f>
        <v>2000</v>
      </c>
    </row>
  </sheetData>
  <phoneticPr fontId="16"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620CB5-C12D-4C08-BFC2-2DFE6EFFCF70}">
  <dimension ref="A1:AF109"/>
  <sheetViews>
    <sheetView zoomScale="80" zoomScaleNormal="80" workbookViewId="0">
      <pane xSplit="1" ySplit="2" topLeftCell="B78" activePane="bottomRight" state="frozen"/>
      <selection pane="topRight" activeCell="B1" sqref="B1"/>
      <selection pane="bottomLeft" activeCell="A3" sqref="A3"/>
      <selection pane="bottomRight" activeCell="C111" sqref="C111"/>
    </sheetView>
  </sheetViews>
  <sheetFormatPr defaultRowHeight="15" x14ac:dyDescent="0.25"/>
  <cols>
    <col min="1" max="1" width="10.85546875" customWidth="1"/>
    <col min="2" max="3" width="18.42578125" customWidth="1"/>
    <col min="4" max="4" width="10" customWidth="1"/>
    <col min="12" max="12" width="11" bestFit="1" customWidth="1"/>
    <col min="18" max="21" width="9.28515625" bestFit="1" customWidth="1"/>
    <col min="22" max="22" width="20.5703125" bestFit="1" customWidth="1"/>
    <col min="23" max="24" width="11.42578125" bestFit="1" customWidth="1"/>
    <col min="25" max="27" width="9.28515625" bestFit="1" customWidth="1"/>
    <col min="39" max="39" width="10.85546875" customWidth="1"/>
  </cols>
  <sheetData>
    <row r="1" spans="1:32" ht="38.25" x14ac:dyDescent="0.25">
      <c r="A1" t="s">
        <v>117</v>
      </c>
      <c r="B1" t="s">
        <v>118</v>
      </c>
      <c r="C1" t="s">
        <v>119</v>
      </c>
      <c r="D1" s="55" t="s">
        <v>120</v>
      </c>
      <c r="E1" s="55" t="s">
        <v>121</v>
      </c>
      <c r="F1" s="55" t="s">
        <v>100</v>
      </c>
      <c r="G1" s="55" t="s">
        <v>122</v>
      </c>
      <c r="H1" s="60" t="s">
        <v>123</v>
      </c>
      <c r="I1" s="99" t="s">
        <v>124</v>
      </c>
      <c r="J1" s="99" t="s">
        <v>125</v>
      </c>
      <c r="K1" s="103" t="s">
        <v>126</v>
      </c>
      <c r="L1" s="103" t="s">
        <v>127</v>
      </c>
      <c r="M1" s="103" t="s">
        <v>128</v>
      </c>
      <c r="N1" s="103" t="s">
        <v>129</v>
      </c>
      <c r="O1" s="103" t="s">
        <v>130</v>
      </c>
      <c r="P1" s="103" t="s">
        <v>131</v>
      </c>
      <c r="Q1" s="103" t="s">
        <v>132</v>
      </c>
      <c r="R1" t="s">
        <v>133</v>
      </c>
    </row>
    <row r="2" spans="1:32" x14ac:dyDescent="0.25">
      <c r="A2" s="32"/>
      <c r="D2" s="58" t="s">
        <v>134</v>
      </c>
      <c r="E2" s="58" t="s">
        <v>134</v>
      </c>
      <c r="F2" s="58" t="s">
        <v>134</v>
      </c>
      <c r="G2" s="58"/>
      <c r="H2" s="58"/>
      <c r="K2" s="32">
        <v>1.53</v>
      </c>
      <c r="L2" s="32">
        <v>1.26</v>
      </c>
      <c r="M2" s="32">
        <v>1.3</v>
      </c>
      <c r="N2" s="32"/>
      <c r="O2" s="32"/>
      <c r="P2" s="32"/>
      <c r="Q2" s="32"/>
      <c r="R2">
        <f>86400*2+13*3600</f>
        <v>219600</v>
      </c>
      <c r="V2" t="s">
        <v>135</v>
      </c>
    </row>
    <row r="3" spans="1:32" x14ac:dyDescent="0.25">
      <c r="A3" s="74" t="s">
        <v>136</v>
      </c>
      <c r="B3" s="74" t="s">
        <v>167</v>
      </c>
      <c r="C3" s="45" t="str">
        <f t="shared" ref="C3:C67" si="0">TEXT(DATEVALUE(A3) + TIMEVALUE(B3), "gg-mm-aaaa hh:mm")</f>
        <v>23-10-2023 11:00</v>
      </c>
      <c r="D3" s="96">
        <f>243*2</f>
        <v>486</v>
      </c>
      <c r="E3" s="96">
        <f>61*2</f>
        <v>122</v>
      </c>
      <c r="F3" s="96">
        <v>0</v>
      </c>
      <c r="G3" s="96"/>
      <c r="H3" t="s">
        <v>250</v>
      </c>
      <c r="I3" s="96">
        <v>1</v>
      </c>
      <c r="J3" s="31">
        <f>66.4*79.5/100</f>
        <v>52.788000000000004</v>
      </c>
      <c r="K3" s="31">
        <f>J3*$K$2</f>
        <v>80.765640000000005</v>
      </c>
      <c r="L3" s="31">
        <f>267.7*95.9/100*$L$2</f>
        <v>323.47261800000001</v>
      </c>
      <c r="M3" s="31">
        <f t="shared" ref="M3:M4" si="1">72.8*85.1/100*$M$2</f>
        <v>80.538640000000001</v>
      </c>
      <c r="N3" s="31">
        <f>K3*D3/1000</f>
        <v>39.252101039999999</v>
      </c>
      <c r="O3" s="31">
        <f t="shared" ref="O3:P3" si="2">L3*E3/1000</f>
        <v>39.463659396000004</v>
      </c>
      <c r="P3" s="31">
        <f t="shared" si="2"/>
        <v>0</v>
      </c>
      <c r="Q3" s="31">
        <f>SUM(N3:P3)</f>
        <v>78.715760436000011</v>
      </c>
      <c r="R3" s="31">
        <f>TIMEVALUE(C3)</f>
        <v>0.45833333333575865</v>
      </c>
      <c r="S3" s="31">
        <f t="shared" ref="S3:S34" si="3">DATEVALUE(A3)-MIN($A$3:$A$68)</f>
        <v>45222</v>
      </c>
      <c r="T3" s="31">
        <f t="shared" ref="T3:T34" si="4">R3*86400</f>
        <v>39600.000000209548</v>
      </c>
      <c r="U3" s="31">
        <f>S3-MIN($S$3:$S$68)</f>
        <v>0</v>
      </c>
      <c r="V3" s="31">
        <f>U3*86400</f>
        <v>0</v>
      </c>
      <c r="W3" s="31">
        <f>V3+T3</f>
        <v>39600.000000209548</v>
      </c>
      <c r="X3" s="31">
        <f t="shared" ref="X3:X34" si="5">W3-$R$2</f>
        <v>-179999.99999979045</v>
      </c>
      <c r="Y3" s="31">
        <f t="shared" ref="Y3:Y34" si="6">E3</f>
        <v>122</v>
      </c>
      <c r="Z3" s="31">
        <f t="shared" ref="Z3:Z34" si="7">D3</f>
        <v>486</v>
      </c>
      <c r="AA3" s="31">
        <v>96</v>
      </c>
    </row>
    <row r="4" spans="1:32" x14ac:dyDescent="0.25">
      <c r="A4" s="74" t="s">
        <v>136</v>
      </c>
      <c r="B4" s="74" t="s">
        <v>167</v>
      </c>
      <c r="C4" s="45" t="str">
        <f t="shared" si="0"/>
        <v>23-10-2023 11:00</v>
      </c>
      <c r="D4" s="96"/>
      <c r="E4" s="96"/>
      <c r="F4" s="96"/>
      <c r="G4" s="96"/>
      <c r="J4" s="31">
        <f t="shared" ref="J4:J13" si="8">66.4*79.5/100</f>
        <v>52.788000000000004</v>
      </c>
      <c r="K4" s="31">
        <f t="shared" ref="K4:K67" si="9">J4*$K$2</f>
        <v>80.765640000000005</v>
      </c>
      <c r="L4" s="31">
        <f t="shared" ref="L4:L59" si="10">267.7*95.9/100*$L$2</f>
        <v>323.47261800000001</v>
      </c>
      <c r="M4" s="31">
        <f t="shared" si="1"/>
        <v>80.538640000000001</v>
      </c>
      <c r="N4" s="31">
        <f t="shared" ref="N4:N67" si="11">K4*D4/1000</f>
        <v>0</v>
      </c>
      <c r="O4" s="31">
        <f t="shared" ref="O4:O67" si="12">L4*E4/1000</f>
        <v>0</v>
      </c>
      <c r="P4" s="31">
        <f t="shared" ref="P4:P67" si="13">M4*F4/1000</f>
        <v>0</v>
      </c>
      <c r="Q4" s="31">
        <f t="shared" ref="Q4:Q67" si="14">SUM(N4:P4)</f>
        <v>0</v>
      </c>
      <c r="R4" s="31">
        <f t="shared" ref="R4:R68" si="15">TIMEVALUE(C4)</f>
        <v>0.45833333333575865</v>
      </c>
      <c r="S4" s="31">
        <f t="shared" si="3"/>
        <v>45222</v>
      </c>
      <c r="T4" s="31">
        <f t="shared" si="4"/>
        <v>39600.000000209548</v>
      </c>
      <c r="U4" s="31">
        <f t="shared" ref="U4:U68" si="16">S4-MIN($S$3:$S$68)</f>
        <v>0</v>
      </c>
      <c r="V4" s="31">
        <f t="shared" ref="V4:V69" si="17">U4*86400</f>
        <v>0</v>
      </c>
      <c r="W4" s="31">
        <f t="shared" ref="W4:W68" si="18">V4+T4</f>
        <v>39600.000000209548</v>
      </c>
      <c r="X4" s="31">
        <f t="shared" si="5"/>
        <v>-179999.99999979045</v>
      </c>
      <c r="Y4" s="31">
        <f t="shared" si="6"/>
        <v>0</v>
      </c>
      <c r="Z4" s="31">
        <f t="shared" si="7"/>
        <v>0</v>
      </c>
      <c r="AA4" s="31">
        <v>96</v>
      </c>
    </row>
    <row r="5" spans="1:32" x14ac:dyDescent="0.25">
      <c r="A5" s="74" t="s">
        <v>138</v>
      </c>
      <c r="B5" s="74" t="s">
        <v>149</v>
      </c>
      <c r="C5" s="45" t="str">
        <f t="shared" si="0"/>
        <v>25-10-2023 11:15</v>
      </c>
      <c r="D5" s="96">
        <f>243*2</f>
        <v>486</v>
      </c>
      <c r="E5" s="96">
        <f>61*2</f>
        <v>122</v>
      </c>
      <c r="F5" s="96">
        <v>0</v>
      </c>
      <c r="G5" s="96"/>
      <c r="H5" t="s">
        <v>251</v>
      </c>
      <c r="I5" s="96">
        <v>1</v>
      </c>
      <c r="J5" s="31">
        <f t="shared" si="8"/>
        <v>52.788000000000004</v>
      </c>
      <c r="K5" s="31">
        <f t="shared" si="9"/>
        <v>80.765640000000005</v>
      </c>
      <c r="L5" s="31">
        <f t="shared" si="10"/>
        <v>323.47261800000001</v>
      </c>
      <c r="M5" s="31">
        <f>72.8*85.1/100*$M$2</f>
        <v>80.538640000000001</v>
      </c>
      <c r="N5" s="31">
        <f t="shared" si="11"/>
        <v>39.252101039999999</v>
      </c>
      <c r="O5" s="31">
        <f t="shared" si="12"/>
        <v>39.463659396000004</v>
      </c>
      <c r="P5" s="31">
        <f t="shared" si="13"/>
        <v>0</v>
      </c>
      <c r="Q5" s="31">
        <f t="shared" si="14"/>
        <v>78.715760436000011</v>
      </c>
      <c r="R5" s="31">
        <f t="shared" si="15"/>
        <v>0.46875</v>
      </c>
      <c r="S5" s="31">
        <f t="shared" si="3"/>
        <v>45224</v>
      </c>
      <c r="T5" s="31">
        <f t="shared" si="4"/>
        <v>40500</v>
      </c>
      <c r="U5" s="31">
        <f t="shared" si="16"/>
        <v>2</v>
      </c>
      <c r="V5" s="31">
        <f t="shared" si="17"/>
        <v>172800</v>
      </c>
      <c r="W5" s="31">
        <f t="shared" si="18"/>
        <v>213300</v>
      </c>
      <c r="X5" s="31">
        <f t="shared" si="5"/>
        <v>-6300</v>
      </c>
      <c r="Y5" s="31">
        <f t="shared" si="6"/>
        <v>122</v>
      </c>
      <c r="Z5" s="31">
        <f t="shared" si="7"/>
        <v>486</v>
      </c>
      <c r="AA5" s="31">
        <v>96</v>
      </c>
    </row>
    <row r="6" spans="1:32" x14ac:dyDescent="0.25">
      <c r="A6" s="74" t="s">
        <v>138</v>
      </c>
      <c r="B6" s="74" t="s">
        <v>252</v>
      </c>
      <c r="C6" s="45" t="str">
        <f t="shared" si="0"/>
        <v>25-10-2023 12:07</v>
      </c>
      <c r="D6" s="96"/>
      <c r="E6" s="96"/>
      <c r="F6" s="96">
        <v>0</v>
      </c>
      <c r="G6" s="96"/>
      <c r="H6" t="s">
        <v>253</v>
      </c>
      <c r="J6" s="31">
        <f t="shared" si="8"/>
        <v>52.788000000000004</v>
      </c>
      <c r="K6" s="31">
        <f t="shared" si="9"/>
        <v>80.765640000000005</v>
      </c>
      <c r="L6" s="31">
        <f t="shared" si="10"/>
        <v>323.47261800000001</v>
      </c>
      <c r="M6" s="31">
        <f t="shared" ref="M6:M69" si="19">72.8*85.1/100*$M$2</f>
        <v>80.538640000000001</v>
      </c>
      <c r="N6" s="31">
        <f t="shared" si="11"/>
        <v>0</v>
      </c>
      <c r="O6" s="31">
        <f t="shared" si="12"/>
        <v>0</v>
      </c>
      <c r="P6" s="31">
        <f t="shared" si="13"/>
        <v>0</v>
      </c>
      <c r="Q6" s="31">
        <f t="shared" si="14"/>
        <v>0</v>
      </c>
      <c r="R6" s="31">
        <f t="shared" si="15"/>
        <v>0.50486111111240461</v>
      </c>
      <c r="S6" s="31">
        <f t="shared" si="3"/>
        <v>45224</v>
      </c>
      <c r="T6" s="31">
        <f t="shared" si="4"/>
        <v>43620.000000111759</v>
      </c>
      <c r="U6" s="31">
        <f t="shared" si="16"/>
        <v>2</v>
      </c>
      <c r="V6" s="31">
        <f t="shared" si="17"/>
        <v>172800</v>
      </c>
      <c r="W6" s="31">
        <f t="shared" si="18"/>
        <v>216420.00000011176</v>
      </c>
      <c r="X6" s="31">
        <f t="shared" si="5"/>
        <v>-3179.9999998882413</v>
      </c>
      <c r="Y6" s="31">
        <f t="shared" si="6"/>
        <v>0</v>
      </c>
      <c r="Z6" s="31">
        <f t="shared" si="7"/>
        <v>0</v>
      </c>
      <c r="AA6" s="31">
        <v>96</v>
      </c>
    </row>
    <row r="7" spans="1:32" x14ac:dyDescent="0.25">
      <c r="A7" s="74" t="s">
        <v>138</v>
      </c>
      <c r="B7" s="74" t="s">
        <v>254</v>
      </c>
      <c r="C7" s="45" t="str">
        <f t="shared" si="0"/>
        <v>25-10-2023 13:07</v>
      </c>
      <c r="D7" s="96"/>
      <c r="E7" s="96"/>
      <c r="F7" s="96">
        <f>6*4*0.16666667</f>
        <v>4.0000000799999995</v>
      </c>
      <c r="G7" s="96"/>
      <c r="J7" s="31">
        <f t="shared" si="8"/>
        <v>52.788000000000004</v>
      </c>
      <c r="K7" s="31">
        <f t="shared" si="9"/>
        <v>80.765640000000005</v>
      </c>
      <c r="L7" s="31">
        <f t="shared" si="10"/>
        <v>323.47261800000001</v>
      </c>
      <c r="M7" s="31">
        <f t="shared" si="19"/>
        <v>80.538640000000001</v>
      </c>
      <c r="N7" s="31">
        <f t="shared" si="11"/>
        <v>0</v>
      </c>
      <c r="O7" s="31">
        <f t="shared" si="12"/>
        <v>0</v>
      </c>
      <c r="P7" s="31">
        <f t="shared" si="13"/>
        <v>0.32215456644309115</v>
      </c>
      <c r="Q7" s="31">
        <f t="shared" si="14"/>
        <v>0.32215456644309115</v>
      </c>
      <c r="R7" s="31">
        <f t="shared" si="15"/>
        <v>0.54652777777664596</v>
      </c>
      <c r="S7" s="31">
        <f t="shared" si="3"/>
        <v>45224</v>
      </c>
      <c r="T7" s="31">
        <f t="shared" si="4"/>
        <v>47219.999999902211</v>
      </c>
      <c r="U7" s="31">
        <f t="shared" si="16"/>
        <v>2</v>
      </c>
      <c r="V7" s="31">
        <f t="shared" si="17"/>
        <v>172800</v>
      </c>
      <c r="W7" s="31">
        <f t="shared" si="18"/>
        <v>220019.99999990221</v>
      </c>
      <c r="X7" s="31">
        <f t="shared" si="5"/>
        <v>419.99999990221113</v>
      </c>
      <c r="Y7" s="31">
        <f t="shared" si="6"/>
        <v>0</v>
      </c>
      <c r="Z7" s="31">
        <f t="shared" si="7"/>
        <v>0</v>
      </c>
      <c r="AA7" s="31">
        <v>96</v>
      </c>
    </row>
    <row r="8" spans="1:32" x14ac:dyDescent="0.25">
      <c r="A8" s="74" t="s">
        <v>138</v>
      </c>
      <c r="B8" s="74" t="s">
        <v>255</v>
      </c>
      <c r="C8" s="45" t="str">
        <f t="shared" si="0"/>
        <v>25-10-2023 13:30</v>
      </c>
      <c r="D8" s="96"/>
      <c r="E8" s="96"/>
      <c r="F8" s="96">
        <f>10</f>
        <v>10</v>
      </c>
      <c r="G8" s="96"/>
      <c r="H8" t="s">
        <v>256</v>
      </c>
      <c r="J8" s="31">
        <f t="shared" si="8"/>
        <v>52.788000000000004</v>
      </c>
      <c r="K8" s="31">
        <f t="shared" si="9"/>
        <v>80.765640000000005</v>
      </c>
      <c r="L8" s="31">
        <f t="shared" si="10"/>
        <v>323.47261800000001</v>
      </c>
      <c r="M8" s="31">
        <f t="shared" si="19"/>
        <v>80.538640000000001</v>
      </c>
      <c r="N8" s="31">
        <f t="shared" si="11"/>
        <v>0</v>
      </c>
      <c r="O8" s="31">
        <f t="shared" si="12"/>
        <v>0</v>
      </c>
      <c r="P8" s="31">
        <f t="shared" si="13"/>
        <v>0.80538639999999995</v>
      </c>
      <c r="Q8" s="31">
        <f t="shared" si="14"/>
        <v>0.80538639999999995</v>
      </c>
      <c r="R8" s="31">
        <f t="shared" si="15"/>
        <v>0.5625</v>
      </c>
      <c r="S8" s="31">
        <f t="shared" si="3"/>
        <v>45224</v>
      </c>
      <c r="T8" s="31">
        <f t="shared" si="4"/>
        <v>48600</v>
      </c>
      <c r="U8" s="31">
        <f t="shared" si="16"/>
        <v>2</v>
      </c>
      <c r="V8" s="31">
        <f t="shared" si="17"/>
        <v>172800</v>
      </c>
      <c r="W8" s="31">
        <f t="shared" si="18"/>
        <v>221400</v>
      </c>
      <c r="X8" s="31">
        <f t="shared" si="5"/>
        <v>1800</v>
      </c>
      <c r="Y8" s="31">
        <f t="shared" si="6"/>
        <v>0</v>
      </c>
      <c r="Z8" s="31">
        <f t="shared" si="7"/>
        <v>0</v>
      </c>
      <c r="AA8" s="31">
        <v>96</v>
      </c>
    </row>
    <row r="9" spans="1:32" x14ac:dyDescent="0.25">
      <c r="A9" s="74" t="s">
        <v>138</v>
      </c>
      <c r="B9" s="74" t="s">
        <v>193</v>
      </c>
      <c r="C9" s="45" t="str">
        <f t="shared" si="0"/>
        <v>25-10-2023 13:40</v>
      </c>
      <c r="D9" s="96"/>
      <c r="E9" s="96"/>
      <c r="F9" s="96">
        <f>5</f>
        <v>5</v>
      </c>
      <c r="G9" s="96"/>
      <c r="J9" s="31">
        <f t="shared" si="8"/>
        <v>52.788000000000004</v>
      </c>
      <c r="K9" s="31">
        <f t="shared" si="9"/>
        <v>80.765640000000005</v>
      </c>
      <c r="L9" s="31">
        <f t="shared" si="10"/>
        <v>323.47261800000001</v>
      </c>
      <c r="M9" s="31">
        <f t="shared" si="19"/>
        <v>80.538640000000001</v>
      </c>
      <c r="N9" s="31">
        <f t="shared" si="11"/>
        <v>0</v>
      </c>
      <c r="O9" s="31">
        <f t="shared" si="12"/>
        <v>0</v>
      </c>
      <c r="P9" s="31">
        <f t="shared" si="13"/>
        <v>0.40269319999999997</v>
      </c>
      <c r="Q9" s="31">
        <f t="shared" si="14"/>
        <v>0.40269319999999997</v>
      </c>
      <c r="R9" s="31">
        <f t="shared" si="15"/>
        <v>0.56944444444525288</v>
      </c>
      <c r="S9" s="31">
        <f t="shared" si="3"/>
        <v>45224</v>
      </c>
      <c r="T9" s="31">
        <f t="shared" si="4"/>
        <v>49200.000000069849</v>
      </c>
      <c r="U9" s="31">
        <f t="shared" si="16"/>
        <v>2</v>
      </c>
      <c r="V9" s="31">
        <f t="shared" si="17"/>
        <v>172800</v>
      </c>
      <c r="W9" s="31">
        <f t="shared" si="18"/>
        <v>222000.00000006985</v>
      </c>
      <c r="X9" s="31">
        <f t="shared" si="5"/>
        <v>2400.0000000698492</v>
      </c>
      <c r="Y9" s="31">
        <f t="shared" si="6"/>
        <v>0</v>
      </c>
      <c r="Z9" s="31">
        <f t="shared" si="7"/>
        <v>0</v>
      </c>
      <c r="AA9" s="31">
        <v>96</v>
      </c>
      <c r="AF9" s="131"/>
    </row>
    <row r="10" spans="1:32" x14ac:dyDescent="0.25">
      <c r="A10" s="74" t="s">
        <v>138</v>
      </c>
      <c r="B10" s="74" t="s">
        <v>257</v>
      </c>
      <c r="C10" s="45" t="str">
        <f t="shared" si="0"/>
        <v>25-10-2023 15:03</v>
      </c>
      <c r="D10" s="96"/>
      <c r="E10" s="96"/>
      <c r="F10" s="96">
        <f>60*0.166667</f>
        <v>10.000020000000001</v>
      </c>
      <c r="G10" s="96"/>
      <c r="J10" s="31">
        <f t="shared" si="8"/>
        <v>52.788000000000004</v>
      </c>
      <c r="K10" s="31">
        <f t="shared" si="9"/>
        <v>80.765640000000005</v>
      </c>
      <c r="L10" s="31">
        <f t="shared" si="10"/>
        <v>323.47261800000001</v>
      </c>
      <c r="M10" s="31">
        <f t="shared" si="19"/>
        <v>80.538640000000001</v>
      </c>
      <c r="N10" s="31">
        <f t="shared" si="11"/>
        <v>0</v>
      </c>
      <c r="O10" s="31">
        <f t="shared" si="12"/>
        <v>0</v>
      </c>
      <c r="P10" s="31">
        <f t="shared" si="13"/>
        <v>0.80538801077280009</v>
      </c>
      <c r="Q10" s="31">
        <f t="shared" si="14"/>
        <v>0.80538801077280009</v>
      </c>
      <c r="R10" s="31">
        <f t="shared" si="15"/>
        <v>0.62708333333284827</v>
      </c>
      <c r="S10" s="31">
        <f t="shared" si="3"/>
        <v>45224</v>
      </c>
      <c r="T10" s="31">
        <f t="shared" si="4"/>
        <v>54179.99999995809</v>
      </c>
      <c r="U10" s="31">
        <f t="shared" si="16"/>
        <v>2</v>
      </c>
      <c r="V10" s="31">
        <f t="shared" si="17"/>
        <v>172800</v>
      </c>
      <c r="W10" s="31">
        <f t="shared" si="18"/>
        <v>226979.99999995809</v>
      </c>
      <c r="X10" s="31">
        <f t="shared" si="5"/>
        <v>7379.9999999580905</v>
      </c>
      <c r="Y10" s="31">
        <f t="shared" si="6"/>
        <v>0</v>
      </c>
      <c r="Z10" s="31">
        <f t="shared" si="7"/>
        <v>0</v>
      </c>
      <c r="AA10" s="31">
        <v>96</v>
      </c>
    </row>
    <row r="11" spans="1:32" x14ac:dyDescent="0.25">
      <c r="A11" s="74" t="s">
        <v>138</v>
      </c>
      <c r="B11" s="74" t="s">
        <v>258</v>
      </c>
      <c r="C11" s="45" t="str">
        <f t="shared" si="0"/>
        <v>25-10-2023 16:33</v>
      </c>
      <c r="D11" s="96"/>
      <c r="E11" s="96"/>
      <c r="F11" s="96">
        <f>60*0.166667</f>
        <v>10.000020000000001</v>
      </c>
      <c r="G11" s="96"/>
      <c r="H11" t="s">
        <v>144</v>
      </c>
      <c r="J11" s="31">
        <f t="shared" si="8"/>
        <v>52.788000000000004</v>
      </c>
      <c r="K11" s="31">
        <f t="shared" si="9"/>
        <v>80.765640000000005</v>
      </c>
      <c r="L11" s="31">
        <f t="shared" si="10"/>
        <v>323.47261800000001</v>
      </c>
      <c r="M11" s="31">
        <f t="shared" si="19"/>
        <v>80.538640000000001</v>
      </c>
      <c r="N11" s="31">
        <f t="shared" si="11"/>
        <v>0</v>
      </c>
      <c r="O11" s="31">
        <f t="shared" si="12"/>
        <v>0</v>
      </c>
      <c r="P11" s="31">
        <f t="shared" si="13"/>
        <v>0.80538801077280009</v>
      </c>
      <c r="Q11" s="31">
        <f t="shared" si="14"/>
        <v>0.80538801077280009</v>
      </c>
      <c r="R11" s="31">
        <f t="shared" si="15"/>
        <v>0.68958333333284827</v>
      </c>
      <c r="S11" s="31">
        <f t="shared" si="3"/>
        <v>45224</v>
      </c>
      <c r="T11" s="31">
        <f t="shared" si="4"/>
        <v>59579.99999995809</v>
      </c>
      <c r="U11" s="31">
        <f t="shared" si="16"/>
        <v>2</v>
      </c>
      <c r="V11" s="31">
        <f t="shared" si="17"/>
        <v>172800</v>
      </c>
      <c r="W11" s="31">
        <f t="shared" si="18"/>
        <v>232379.99999995809</v>
      </c>
      <c r="X11" s="31">
        <f t="shared" si="5"/>
        <v>12779.99999995809</v>
      </c>
      <c r="Y11" s="31">
        <f t="shared" si="6"/>
        <v>0</v>
      </c>
      <c r="Z11" s="31">
        <f t="shared" si="7"/>
        <v>0</v>
      </c>
      <c r="AA11" s="31">
        <v>96</v>
      </c>
    </row>
    <row r="12" spans="1:32" x14ac:dyDescent="0.25">
      <c r="A12" s="74" t="s">
        <v>145</v>
      </c>
      <c r="B12" s="74" t="s">
        <v>146</v>
      </c>
      <c r="C12" s="45" t="str">
        <f t="shared" si="0"/>
        <v>27-10-2023 10:50</v>
      </c>
      <c r="D12" s="96">
        <v>730</v>
      </c>
      <c r="E12" s="96">
        <v>183</v>
      </c>
      <c r="F12" s="97">
        <v>0</v>
      </c>
      <c r="G12" s="96"/>
      <c r="H12" t="s">
        <v>259</v>
      </c>
      <c r="I12" s="96">
        <v>1</v>
      </c>
      <c r="J12" s="31">
        <f t="shared" si="8"/>
        <v>52.788000000000004</v>
      </c>
      <c r="K12" s="31">
        <f t="shared" si="9"/>
        <v>80.765640000000005</v>
      </c>
      <c r="L12" s="31">
        <f t="shared" si="10"/>
        <v>323.47261800000001</v>
      </c>
      <c r="M12" s="31">
        <f t="shared" si="19"/>
        <v>80.538640000000001</v>
      </c>
      <c r="N12" s="31">
        <f t="shared" si="11"/>
        <v>58.958917200000002</v>
      </c>
      <c r="O12" s="31">
        <f t="shared" si="12"/>
        <v>59.195489094000003</v>
      </c>
      <c r="P12" s="31">
        <f t="shared" si="13"/>
        <v>0</v>
      </c>
      <c r="Q12" s="31">
        <f t="shared" si="14"/>
        <v>118.15440629400001</v>
      </c>
      <c r="R12" s="31">
        <f t="shared" si="15"/>
        <v>0.45138888889050577</v>
      </c>
      <c r="S12" s="31">
        <f t="shared" si="3"/>
        <v>45226</v>
      </c>
      <c r="T12" s="31">
        <f t="shared" si="4"/>
        <v>39000.000000139698</v>
      </c>
      <c r="U12" s="31">
        <f t="shared" si="16"/>
        <v>4</v>
      </c>
      <c r="V12" s="31">
        <f t="shared" si="17"/>
        <v>345600</v>
      </c>
      <c r="W12" s="31">
        <f t="shared" si="18"/>
        <v>384600.0000001397</v>
      </c>
      <c r="X12" s="31">
        <f t="shared" si="5"/>
        <v>165000.0000001397</v>
      </c>
      <c r="Y12" s="31">
        <f t="shared" si="6"/>
        <v>183</v>
      </c>
      <c r="Z12" s="31">
        <f t="shared" si="7"/>
        <v>730</v>
      </c>
      <c r="AA12" s="31">
        <v>96</v>
      </c>
    </row>
    <row r="13" spans="1:32" x14ac:dyDescent="0.25">
      <c r="A13" s="74" t="s">
        <v>148</v>
      </c>
      <c r="B13" s="74" t="s">
        <v>149</v>
      </c>
      <c r="C13" s="45" t="str">
        <f t="shared" si="0"/>
        <v>30-10-2023 11:15</v>
      </c>
      <c r="D13" s="96"/>
      <c r="E13" s="96"/>
      <c r="F13" s="96" t="s">
        <v>150</v>
      </c>
      <c r="G13" s="96"/>
      <c r="H13" t="s">
        <v>260</v>
      </c>
      <c r="J13" s="31">
        <f t="shared" si="8"/>
        <v>52.788000000000004</v>
      </c>
      <c r="K13" s="31">
        <f t="shared" si="9"/>
        <v>80.765640000000005</v>
      </c>
      <c r="L13" s="31">
        <f t="shared" si="10"/>
        <v>323.47261800000001</v>
      </c>
      <c r="M13" s="31">
        <f t="shared" si="19"/>
        <v>80.538640000000001</v>
      </c>
      <c r="N13" s="31">
        <f t="shared" si="11"/>
        <v>0</v>
      </c>
      <c r="O13" s="31">
        <f t="shared" si="12"/>
        <v>0</v>
      </c>
      <c r="P13" s="31" t="e">
        <f t="shared" si="13"/>
        <v>#VALUE!</v>
      </c>
      <c r="Q13" s="31" t="e">
        <f t="shared" si="14"/>
        <v>#VALUE!</v>
      </c>
      <c r="R13" s="31">
        <f t="shared" si="15"/>
        <v>0.46875</v>
      </c>
      <c r="S13" s="31">
        <f t="shared" si="3"/>
        <v>45229</v>
      </c>
      <c r="T13" s="31">
        <f t="shared" si="4"/>
        <v>40500</v>
      </c>
      <c r="U13" s="31">
        <f t="shared" si="16"/>
        <v>7</v>
      </c>
      <c r="V13" s="31">
        <f t="shared" si="17"/>
        <v>604800</v>
      </c>
      <c r="W13" s="31">
        <f t="shared" si="18"/>
        <v>645300</v>
      </c>
      <c r="X13" s="31">
        <f t="shared" si="5"/>
        <v>425700</v>
      </c>
      <c r="Y13" s="31">
        <f t="shared" si="6"/>
        <v>0</v>
      </c>
      <c r="Z13" s="31">
        <f t="shared" si="7"/>
        <v>0</v>
      </c>
      <c r="AA13" s="31">
        <v>96</v>
      </c>
    </row>
    <row r="14" spans="1:32" x14ac:dyDescent="0.25">
      <c r="A14" s="74" t="s">
        <v>152</v>
      </c>
      <c r="B14" s="74" t="s">
        <v>170</v>
      </c>
      <c r="C14" s="45" t="str">
        <f t="shared" si="0"/>
        <v>03-11-2023 10:15</v>
      </c>
      <c r="D14" s="96">
        <v>730</v>
      </c>
      <c r="E14" s="96">
        <v>183</v>
      </c>
      <c r="F14" s="96">
        <v>0</v>
      </c>
      <c r="G14" s="96">
        <v>1143.3599999999999</v>
      </c>
      <c r="H14" s="64" t="s">
        <v>261</v>
      </c>
      <c r="I14" s="96">
        <v>1</v>
      </c>
      <c r="J14" s="31">
        <f>56.6*77.9/100</f>
        <v>44.0914</v>
      </c>
      <c r="K14" s="31">
        <f t="shared" si="9"/>
        <v>67.459841999999995</v>
      </c>
      <c r="L14" s="31">
        <f t="shared" si="10"/>
        <v>323.47261800000001</v>
      </c>
      <c r="M14" s="31">
        <f t="shared" si="19"/>
        <v>80.538640000000001</v>
      </c>
      <c r="N14" s="31">
        <f t="shared" si="11"/>
        <v>49.245684660000002</v>
      </c>
      <c r="O14" s="31">
        <f t="shared" si="12"/>
        <v>59.195489094000003</v>
      </c>
      <c r="P14" s="31">
        <f t="shared" si="13"/>
        <v>0</v>
      </c>
      <c r="Q14" s="31">
        <f t="shared" si="14"/>
        <v>108.441173754</v>
      </c>
      <c r="R14" s="31">
        <f t="shared" si="15"/>
        <v>0.42708333333575865</v>
      </c>
      <c r="S14" s="31">
        <f t="shared" si="3"/>
        <v>45233</v>
      </c>
      <c r="T14" s="31">
        <f t="shared" si="4"/>
        <v>36900.000000209548</v>
      </c>
      <c r="U14" s="31">
        <f t="shared" si="16"/>
        <v>11</v>
      </c>
      <c r="V14" s="31">
        <f t="shared" si="17"/>
        <v>950400</v>
      </c>
      <c r="W14" s="31">
        <f t="shared" si="18"/>
        <v>987300.00000020955</v>
      </c>
      <c r="X14" s="31">
        <f t="shared" si="5"/>
        <v>767700.00000020955</v>
      </c>
      <c r="Y14" s="31">
        <f t="shared" si="6"/>
        <v>183</v>
      </c>
      <c r="Z14" s="31">
        <f t="shared" si="7"/>
        <v>730</v>
      </c>
      <c r="AA14" s="31">
        <v>96</v>
      </c>
    </row>
    <row r="15" spans="1:32" x14ac:dyDescent="0.25">
      <c r="A15" s="74" t="s">
        <v>155</v>
      </c>
      <c r="B15" s="74" t="s">
        <v>156</v>
      </c>
      <c r="C15" s="45" t="str">
        <f t="shared" si="0"/>
        <v>06-11-2023 10:00</v>
      </c>
      <c r="D15" s="96">
        <v>0</v>
      </c>
      <c r="E15" s="96">
        <v>0</v>
      </c>
      <c r="F15" s="96">
        <f>G14-G15</f>
        <v>273.8599999999999</v>
      </c>
      <c r="G15" s="96">
        <v>869.5</v>
      </c>
      <c r="H15" t="s">
        <v>262</v>
      </c>
      <c r="I15" s="96">
        <v>1</v>
      </c>
      <c r="J15" s="31">
        <f>56.6*77.9/100</f>
        <v>44.0914</v>
      </c>
      <c r="K15" s="31">
        <f t="shared" si="9"/>
        <v>67.459841999999995</v>
      </c>
      <c r="L15" s="31">
        <f t="shared" si="10"/>
        <v>323.47261800000001</v>
      </c>
      <c r="M15" s="31">
        <f t="shared" si="19"/>
        <v>80.538640000000001</v>
      </c>
      <c r="N15" s="31">
        <f t="shared" si="11"/>
        <v>0</v>
      </c>
      <c r="O15" s="31">
        <f t="shared" si="12"/>
        <v>0</v>
      </c>
      <c r="P15" s="31">
        <f t="shared" si="13"/>
        <v>22.056311950399991</v>
      </c>
      <c r="Q15" s="31">
        <f t="shared" si="14"/>
        <v>22.056311950399991</v>
      </c>
      <c r="R15" s="31">
        <f t="shared" si="15"/>
        <v>0.41666666666424135</v>
      </c>
      <c r="S15" s="31">
        <f t="shared" si="3"/>
        <v>45236</v>
      </c>
      <c r="T15" s="31">
        <f t="shared" si="4"/>
        <v>35999.999999790452</v>
      </c>
      <c r="U15" s="31">
        <f t="shared" si="16"/>
        <v>14</v>
      </c>
      <c r="V15" s="31">
        <f t="shared" si="17"/>
        <v>1209600</v>
      </c>
      <c r="W15" s="31">
        <f t="shared" si="18"/>
        <v>1245599.9999997905</v>
      </c>
      <c r="X15" s="31">
        <f t="shared" si="5"/>
        <v>1025999.9999997905</v>
      </c>
      <c r="Y15" s="31">
        <f t="shared" si="6"/>
        <v>0</v>
      </c>
      <c r="Z15" s="31">
        <f t="shared" si="7"/>
        <v>0</v>
      </c>
      <c r="AA15" s="31">
        <v>96</v>
      </c>
    </row>
    <row r="16" spans="1:32" x14ac:dyDescent="0.25">
      <c r="A16" s="74" t="s">
        <v>155</v>
      </c>
      <c r="B16" s="74" t="s">
        <v>156</v>
      </c>
      <c r="C16" s="45" t="str">
        <f t="shared" si="0"/>
        <v>06-11-2023 10:00</v>
      </c>
      <c r="D16" s="96"/>
      <c r="E16" s="96"/>
      <c r="F16" s="96"/>
      <c r="G16" s="96">
        <v>1269.58</v>
      </c>
      <c r="J16" s="31">
        <f t="shared" ref="J16:J26" si="20">56.6*77.9/100</f>
        <v>44.0914</v>
      </c>
      <c r="K16" s="31">
        <f t="shared" si="9"/>
        <v>67.459841999999995</v>
      </c>
      <c r="L16" s="31">
        <f t="shared" si="10"/>
        <v>323.47261800000001</v>
      </c>
      <c r="M16" s="31">
        <f t="shared" si="19"/>
        <v>80.538640000000001</v>
      </c>
      <c r="N16" s="31">
        <f t="shared" si="11"/>
        <v>0</v>
      </c>
      <c r="O16" s="31">
        <f t="shared" si="12"/>
        <v>0</v>
      </c>
      <c r="P16" s="31">
        <f t="shared" si="13"/>
        <v>0</v>
      </c>
      <c r="Q16" s="31">
        <f t="shared" si="14"/>
        <v>0</v>
      </c>
      <c r="R16" s="31">
        <f t="shared" si="15"/>
        <v>0.41666666666424135</v>
      </c>
      <c r="S16" s="31">
        <f t="shared" si="3"/>
        <v>45236</v>
      </c>
      <c r="T16" s="31">
        <f t="shared" si="4"/>
        <v>35999.999999790452</v>
      </c>
      <c r="U16" s="31">
        <f t="shared" si="16"/>
        <v>14</v>
      </c>
      <c r="V16" s="31">
        <f t="shared" si="17"/>
        <v>1209600</v>
      </c>
      <c r="W16" s="31">
        <f t="shared" si="18"/>
        <v>1245599.9999997905</v>
      </c>
      <c r="X16" s="31">
        <f t="shared" si="5"/>
        <v>1025999.9999997905</v>
      </c>
      <c r="Y16" s="31">
        <f t="shared" si="6"/>
        <v>0</v>
      </c>
      <c r="Z16" s="31">
        <f t="shared" si="7"/>
        <v>0</v>
      </c>
      <c r="AA16" s="31">
        <v>96</v>
      </c>
    </row>
    <row r="17" spans="1:27" x14ac:dyDescent="0.25">
      <c r="A17" s="74" t="s">
        <v>155</v>
      </c>
      <c r="B17" s="74" t="s">
        <v>158</v>
      </c>
      <c r="C17" s="45" t="str">
        <f t="shared" si="0"/>
        <v>06-11-2023 15:15</v>
      </c>
      <c r="D17" s="96">
        <f>243*2</f>
        <v>486</v>
      </c>
      <c r="E17" s="96">
        <f>61*2</f>
        <v>122</v>
      </c>
      <c r="F17" s="96">
        <v>0</v>
      </c>
      <c r="G17" s="96"/>
      <c r="I17" s="96">
        <v>1</v>
      </c>
      <c r="J17" s="31">
        <f t="shared" si="20"/>
        <v>44.0914</v>
      </c>
      <c r="K17" s="31">
        <f t="shared" si="9"/>
        <v>67.459841999999995</v>
      </c>
      <c r="L17" s="31">
        <f t="shared" si="10"/>
        <v>323.47261800000001</v>
      </c>
      <c r="M17" s="31">
        <f t="shared" si="19"/>
        <v>80.538640000000001</v>
      </c>
      <c r="N17" s="31">
        <f t="shared" si="11"/>
        <v>32.785483212000003</v>
      </c>
      <c r="O17" s="31">
        <f t="shared" si="12"/>
        <v>39.463659396000004</v>
      </c>
      <c r="P17" s="31">
        <f t="shared" si="13"/>
        <v>0</v>
      </c>
      <c r="Q17" s="31">
        <f t="shared" si="14"/>
        <v>72.249142608</v>
      </c>
      <c r="R17" s="31">
        <f t="shared" si="15"/>
        <v>0.63541666666424135</v>
      </c>
      <c r="S17" s="31">
        <f t="shared" si="3"/>
        <v>45236</v>
      </c>
      <c r="T17" s="31">
        <f t="shared" si="4"/>
        <v>54899.999999790452</v>
      </c>
      <c r="U17" s="31">
        <f t="shared" si="16"/>
        <v>14</v>
      </c>
      <c r="V17" s="31">
        <f t="shared" si="17"/>
        <v>1209600</v>
      </c>
      <c r="W17" s="31">
        <f t="shared" si="18"/>
        <v>1264499.9999997905</v>
      </c>
      <c r="X17" s="31">
        <f t="shared" si="5"/>
        <v>1044899.9999997905</v>
      </c>
      <c r="Y17" s="31">
        <f t="shared" si="6"/>
        <v>122</v>
      </c>
      <c r="Z17" s="31">
        <f t="shared" si="7"/>
        <v>486</v>
      </c>
      <c r="AA17" s="31">
        <v>96</v>
      </c>
    </row>
    <row r="18" spans="1:27" x14ac:dyDescent="0.25">
      <c r="A18" s="74" t="s">
        <v>159</v>
      </c>
      <c r="B18" s="74" t="s">
        <v>160</v>
      </c>
      <c r="C18" s="45" t="str">
        <f t="shared" si="0"/>
        <v>08-11-2023 11:06</v>
      </c>
      <c r="D18" s="96">
        <v>0</v>
      </c>
      <c r="E18" s="96">
        <v>0</v>
      </c>
      <c r="F18" s="96">
        <f>G16-G18</f>
        <v>177.27999999999997</v>
      </c>
      <c r="G18" s="96">
        <v>1092.3</v>
      </c>
      <c r="I18" s="96">
        <v>1</v>
      </c>
      <c r="J18" s="31">
        <f t="shared" si="20"/>
        <v>44.0914</v>
      </c>
      <c r="K18" s="31">
        <f t="shared" si="9"/>
        <v>67.459841999999995</v>
      </c>
      <c r="L18" s="31">
        <f t="shared" si="10"/>
        <v>323.47261800000001</v>
      </c>
      <c r="M18" s="31">
        <f t="shared" si="19"/>
        <v>80.538640000000001</v>
      </c>
      <c r="N18" s="31">
        <f t="shared" si="11"/>
        <v>0</v>
      </c>
      <c r="O18" s="31">
        <f t="shared" si="12"/>
        <v>0</v>
      </c>
      <c r="P18" s="31">
        <f t="shared" si="13"/>
        <v>14.277890099199999</v>
      </c>
      <c r="Q18" s="31">
        <f t="shared" si="14"/>
        <v>14.277890099199999</v>
      </c>
      <c r="R18" s="31">
        <f t="shared" si="15"/>
        <v>0.46250000000145519</v>
      </c>
      <c r="S18" s="31">
        <f t="shared" si="3"/>
        <v>45238</v>
      </c>
      <c r="T18" s="31">
        <f t="shared" si="4"/>
        <v>39960.000000125729</v>
      </c>
      <c r="U18" s="31">
        <f t="shared" si="16"/>
        <v>16</v>
      </c>
      <c r="V18" s="31">
        <f t="shared" si="17"/>
        <v>1382400</v>
      </c>
      <c r="W18" s="31">
        <f t="shared" si="18"/>
        <v>1422360.0000001257</v>
      </c>
      <c r="X18" s="31">
        <f t="shared" si="5"/>
        <v>1202760.0000001257</v>
      </c>
      <c r="Y18" s="31">
        <f t="shared" si="6"/>
        <v>0</v>
      </c>
      <c r="Z18" s="31">
        <f t="shared" si="7"/>
        <v>0</v>
      </c>
      <c r="AA18" s="31">
        <v>96</v>
      </c>
    </row>
    <row r="19" spans="1:27" x14ac:dyDescent="0.25">
      <c r="A19" s="74" t="s">
        <v>159</v>
      </c>
      <c r="B19" s="74" t="s">
        <v>160</v>
      </c>
      <c r="C19" s="45" t="str">
        <f t="shared" si="0"/>
        <v>08-11-2023 11:06</v>
      </c>
      <c r="D19" s="96"/>
      <c r="E19" s="96"/>
      <c r="F19" s="96"/>
      <c r="G19" s="96">
        <v>1129.25</v>
      </c>
      <c r="J19" s="31">
        <f t="shared" si="20"/>
        <v>44.0914</v>
      </c>
      <c r="K19" s="31">
        <f t="shared" si="9"/>
        <v>67.459841999999995</v>
      </c>
      <c r="L19" s="31">
        <f t="shared" si="10"/>
        <v>323.47261800000001</v>
      </c>
      <c r="M19" s="31">
        <f t="shared" si="19"/>
        <v>80.538640000000001</v>
      </c>
      <c r="N19" s="31">
        <f t="shared" si="11"/>
        <v>0</v>
      </c>
      <c r="O19" s="31">
        <f t="shared" si="12"/>
        <v>0</v>
      </c>
      <c r="P19" s="31">
        <f t="shared" si="13"/>
        <v>0</v>
      </c>
      <c r="Q19" s="31">
        <f t="shared" si="14"/>
        <v>0</v>
      </c>
      <c r="R19" s="31">
        <f t="shared" si="15"/>
        <v>0.46250000000145519</v>
      </c>
      <c r="S19" s="31">
        <f t="shared" si="3"/>
        <v>45238</v>
      </c>
      <c r="T19" s="31">
        <f t="shared" si="4"/>
        <v>39960.000000125729</v>
      </c>
      <c r="U19" s="31">
        <f t="shared" si="16"/>
        <v>16</v>
      </c>
      <c r="V19" s="31">
        <f t="shared" si="17"/>
        <v>1382400</v>
      </c>
      <c r="W19" s="31">
        <f t="shared" si="18"/>
        <v>1422360.0000001257</v>
      </c>
      <c r="X19" s="31">
        <f t="shared" si="5"/>
        <v>1202760.0000001257</v>
      </c>
      <c r="Y19" s="31">
        <f t="shared" si="6"/>
        <v>0</v>
      </c>
      <c r="Z19" s="31">
        <f t="shared" si="7"/>
        <v>0</v>
      </c>
      <c r="AA19" s="31">
        <v>96</v>
      </c>
    </row>
    <row r="20" spans="1:27" x14ac:dyDescent="0.25">
      <c r="A20" s="74" t="s">
        <v>159</v>
      </c>
      <c r="B20" s="74" t="s">
        <v>137</v>
      </c>
      <c r="C20" s="45" t="str">
        <f t="shared" si="0"/>
        <v>08-11-2023 15:00</v>
      </c>
      <c r="D20" s="96">
        <f>243*2</f>
        <v>486</v>
      </c>
      <c r="E20" s="96">
        <f>61*2</f>
        <v>122</v>
      </c>
      <c r="F20" s="96">
        <v>0</v>
      </c>
      <c r="G20" s="96"/>
      <c r="I20" s="96">
        <v>1</v>
      </c>
      <c r="J20" s="31">
        <f t="shared" si="20"/>
        <v>44.0914</v>
      </c>
      <c r="K20" s="31">
        <f t="shared" si="9"/>
        <v>67.459841999999995</v>
      </c>
      <c r="L20" s="31">
        <f t="shared" si="10"/>
        <v>323.47261800000001</v>
      </c>
      <c r="M20" s="31">
        <f t="shared" si="19"/>
        <v>80.538640000000001</v>
      </c>
      <c r="N20" s="31">
        <f t="shared" si="11"/>
        <v>32.785483212000003</v>
      </c>
      <c r="O20" s="31">
        <f t="shared" si="12"/>
        <v>39.463659396000004</v>
      </c>
      <c r="P20" s="31">
        <f t="shared" si="13"/>
        <v>0</v>
      </c>
      <c r="Q20" s="31">
        <f t="shared" si="14"/>
        <v>72.249142608</v>
      </c>
      <c r="R20" s="31">
        <f t="shared" si="15"/>
        <v>0.625</v>
      </c>
      <c r="S20" s="31">
        <f t="shared" si="3"/>
        <v>45238</v>
      </c>
      <c r="T20" s="31">
        <f t="shared" si="4"/>
        <v>54000</v>
      </c>
      <c r="U20" s="31">
        <f t="shared" si="16"/>
        <v>16</v>
      </c>
      <c r="V20" s="31">
        <f t="shared" si="17"/>
        <v>1382400</v>
      </c>
      <c r="W20" s="31">
        <f t="shared" si="18"/>
        <v>1436400</v>
      </c>
      <c r="X20" s="31">
        <f t="shared" si="5"/>
        <v>1216800</v>
      </c>
      <c r="Y20" s="31">
        <f t="shared" si="6"/>
        <v>122</v>
      </c>
      <c r="Z20" s="31">
        <f t="shared" si="7"/>
        <v>486</v>
      </c>
      <c r="AA20" s="31">
        <v>96</v>
      </c>
    </row>
    <row r="21" spans="1:27" x14ac:dyDescent="0.25">
      <c r="A21" s="74" t="s">
        <v>159</v>
      </c>
      <c r="B21" s="74" t="s">
        <v>163</v>
      </c>
      <c r="C21" s="45" t="str">
        <f t="shared" si="0"/>
        <v>08-11-2023 17:00</v>
      </c>
      <c r="D21" s="96">
        <v>0</v>
      </c>
      <c r="E21" s="96">
        <v>0</v>
      </c>
      <c r="F21" s="96">
        <f>G19-G21</f>
        <v>15.410000000000082</v>
      </c>
      <c r="G21" s="96">
        <v>1113.8399999999999</v>
      </c>
      <c r="I21" s="96">
        <v>1</v>
      </c>
      <c r="J21" s="31">
        <f t="shared" si="20"/>
        <v>44.0914</v>
      </c>
      <c r="K21" s="31">
        <f t="shared" si="9"/>
        <v>67.459841999999995</v>
      </c>
      <c r="L21" s="31">
        <f t="shared" si="10"/>
        <v>323.47261800000001</v>
      </c>
      <c r="M21" s="31">
        <f t="shared" si="19"/>
        <v>80.538640000000001</v>
      </c>
      <c r="N21" s="31">
        <f t="shared" si="11"/>
        <v>0</v>
      </c>
      <c r="O21" s="31">
        <f t="shared" si="12"/>
        <v>0</v>
      </c>
      <c r="P21" s="31">
        <f t="shared" si="13"/>
        <v>1.2411004424000067</v>
      </c>
      <c r="Q21" s="31">
        <f t="shared" si="14"/>
        <v>1.2411004424000067</v>
      </c>
      <c r="R21" s="31">
        <f t="shared" si="15"/>
        <v>0.70833333333575865</v>
      </c>
      <c r="S21" s="31">
        <f t="shared" si="3"/>
        <v>45238</v>
      </c>
      <c r="T21" s="31">
        <f t="shared" si="4"/>
        <v>61200.000000209548</v>
      </c>
      <c r="U21" s="31">
        <f t="shared" si="16"/>
        <v>16</v>
      </c>
      <c r="V21" s="31">
        <f t="shared" si="17"/>
        <v>1382400</v>
      </c>
      <c r="W21" s="31">
        <f t="shared" si="18"/>
        <v>1443600.0000002095</v>
      </c>
      <c r="X21" s="31">
        <f t="shared" si="5"/>
        <v>1224000.0000002095</v>
      </c>
      <c r="Y21" s="31">
        <f t="shared" si="6"/>
        <v>0</v>
      </c>
      <c r="Z21" s="31">
        <f t="shared" si="7"/>
        <v>0</v>
      </c>
      <c r="AA21" s="31">
        <v>96</v>
      </c>
    </row>
    <row r="22" spans="1:27" x14ac:dyDescent="0.25">
      <c r="A22" s="74" t="s">
        <v>164</v>
      </c>
      <c r="B22" s="74" t="s">
        <v>165</v>
      </c>
      <c r="C22" s="45" t="str">
        <f t="shared" si="0"/>
        <v>10-11-2023 09:30</v>
      </c>
      <c r="D22" s="96">
        <v>730</v>
      </c>
      <c r="E22" s="96">
        <v>183</v>
      </c>
      <c r="F22" s="96">
        <v>0</v>
      </c>
      <c r="G22" s="96">
        <v>921.37</v>
      </c>
      <c r="H22" t="s">
        <v>166</v>
      </c>
      <c r="I22" s="96">
        <v>1</v>
      </c>
      <c r="J22" s="31">
        <f t="shared" si="20"/>
        <v>44.0914</v>
      </c>
      <c r="K22" s="31">
        <f t="shared" si="9"/>
        <v>67.459841999999995</v>
      </c>
      <c r="L22" s="31">
        <f t="shared" si="10"/>
        <v>323.47261800000001</v>
      </c>
      <c r="M22" s="31">
        <f t="shared" si="19"/>
        <v>80.538640000000001</v>
      </c>
      <c r="N22" s="31">
        <f t="shared" si="11"/>
        <v>49.245684660000002</v>
      </c>
      <c r="O22" s="31">
        <f t="shared" si="12"/>
        <v>59.195489094000003</v>
      </c>
      <c r="P22" s="31">
        <f t="shared" si="13"/>
        <v>0</v>
      </c>
      <c r="Q22" s="31">
        <f t="shared" si="14"/>
        <v>108.441173754</v>
      </c>
      <c r="R22" s="31">
        <f t="shared" si="15"/>
        <v>0.39583333333575865</v>
      </c>
      <c r="S22" s="31">
        <f t="shared" si="3"/>
        <v>45240</v>
      </c>
      <c r="T22" s="31">
        <f t="shared" si="4"/>
        <v>34200.000000209548</v>
      </c>
      <c r="U22" s="31">
        <f t="shared" si="16"/>
        <v>18</v>
      </c>
      <c r="V22" s="31">
        <f t="shared" si="17"/>
        <v>1555200</v>
      </c>
      <c r="W22" s="31">
        <f t="shared" si="18"/>
        <v>1589400.0000002095</v>
      </c>
      <c r="X22" s="31">
        <f t="shared" si="5"/>
        <v>1369800.0000002095</v>
      </c>
      <c r="Y22" s="31">
        <f t="shared" si="6"/>
        <v>183</v>
      </c>
      <c r="Z22" s="31">
        <f t="shared" si="7"/>
        <v>730</v>
      </c>
      <c r="AA22" s="31">
        <v>96</v>
      </c>
    </row>
    <row r="23" spans="1:27" x14ac:dyDescent="0.25">
      <c r="A23" s="74" t="s">
        <v>164</v>
      </c>
      <c r="B23" s="74" t="s">
        <v>167</v>
      </c>
      <c r="C23" s="45" t="str">
        <f t="shared" si="0"/>
        <v>10-11-2023 11:00</v>
      </c>
      <c r="D23" s="96"/>
      <c r="E23" s="96"/>
      <c r="F23" s="96"/>
      <c r="G23" s="96">
        <v>1189.79</v>
      </c>
      <c r="H23" s="64" t="s">
        <v>263</v>
      </c>
      <c r="J23" s="31">
        <f t="shared" si="20"/>
        <v>44.0914</v>
      </c>
      <c r="K23" s="31">
        <f t="shared" si="9"/>
        <v>67.459841999999995</v>
      </c>
      <c r="L23" s="31">
        <f t="shared" si="10"/>
        <v>323.47261800000001</v>
      </c>
      <c r="M23" s="31">
        <f t="shared" si="19"/>
        <v>80.538640000000001</v>
      </c>
      <c r="N23" s="31">
        <f t="shared" si="11"/>
        <v>0</v>
      </c>
      <c r="O23" s="31">
        <f t="shared" si="12"/>
        <v>0</v>
      </c>
      <c r="P23" s="31">
        <f t="shared" si="13"/>
        <v>0</v>
      </c>
      <c r="Q23" s="31">
        <f t="shared" si="14"/>
        <v>0</v>
      </c>
      <c r="R23" s="31">
        <f t="shared" si="15"/>
        <v>0.45833333333575865</v>
      </c>
      <c r="S23" s="31">
        <f t="shared" si="3"/>
        <v>45240</v>
      </c>
      <c r="T23" s="31">
        <f t="shared" si="4"/>
        <v>39600.000000209548</v>
      </c>
      <c r="U23" s="31">
        <f t="shared" si="16"/>
        <v>18</v>
      </c>
      <c r="V23" s="31">
        <f t="shared" si="17"/>
        <v>1555200</v>
      </c>
      <c r="W23" s="31">
        <f t="shared" si="18"/>
        <v>1594800.0000002095</v>
      </c>
      <c r="X23" s="31">
        <f t="shared" si="5"/>
        <v>1375200.0000002095</v>
      </c>
      <c r="Y23" s="31">
        <f t="shared" si="6"/>
        <v>0</v>
      </c>
      <c r="Z23" s="31">
        <f t="shared" si="7"/>
        <v>0</v>
      </c>
      <c r="AA23" s="31">
        <v>96</v>
      </c>
    </row>
    <row r="24" spans="1:27" x14ac:dyDescent="0.25">
      <c r="A24" s="74" t="s">
        <v>169</v>
      </c>
      <c r="B24" s="74" t="s">
        <v>170</v>
      </c>
      <c r="C24" s="45" t="str">
        <f t="shared" si="0"/>
        <v>13-11-2023 10:15</v>
      </c>
      <c r="D24" s="96">
        <v>0</v>
      </c>
      <c r="E24" s="96">
        <v>0</v>
      </c>
      <c r="F24" s="96">
        <f>G23-G24</f>
        <v>248.28999999999996</v>
      </c>
      <c r="G24" s="96">
        <v>941.5</v>
      </c>
      <c r="I24" s="96">
        <v>1</v>
      </c>
      <c r="J24" s="31">
        <f t="shared" si="20"/>
        <v>44.0914</v>
      </c>
      <c r="K24" s="31">
        <f t="shared" si="9"/>
        <v>67.459841999999995</v>
      </c>
      <c r="L24" s="31">
        <f t="shared" si="10"/>
        <v>323.47261800000001</v>
      </c>
      <c r="M24" s="31">
        <f t="shared" si="19"/>
        <v>80.538640000000001</v>
      </c>
      <c r="N24" s="31">
        <f t="shared" si="11"/>
        <v>0</v>
      </c>
      <c r="O24" s="31">
        <f t="shared" si="12"/>
        <v>0</v>
      </c>
      <c r="P24" s="31">
        <f t="shared" si="13"/>
        <v>19.996938925599995</v>
      </c>
      <c r="Q24" s="31">
        <f t="shared" si="14"/>
        <v>19.996938925599995</v>
      </c>
      <c r="R24" s="31">
        <f t="shared" si="15"/>
        <v>0.42708333333575865</v>
      </c>
      <c r="S24" s="31">
        <f t="shared" si="3"/>
        <v>45243</v>
      </c>
      <c r="T24" s="31">
        <f t="shared" si="4"/>
        <v>36900.000000209548</v>
      </c>
      <c r="U24" s="31">
        <f t="shared" si="16"/>
        <v>21</v>
      </c>
      <c r="V24" s="31">
        <f t="shared" si="17"/>
        <v>1814400</v>
      </c>
      <c r="W24" s="31">
        <f t="shared" si="18"/>
        <v>1851300.0000002095</v>
      </c>
      <c r="X24" s="31">
        <f t="shared" si="5"/>
        <v>1631700.0000002095</v>
      </c>
      <c r="Y24" s="31">
        <f t="shared" si="6"/>
        <v>0</v>
      </c>
      <c r="Z24" s="31">
        <f t="shared" si="7"/>
        <v>0</v>
      </c>
      <c r="AA24" s="31">
        <v>96</v>
      </c>
    </row>
    <row r="25" spans="1:27" x14ac:dyDescent="0.25">
      <c r="A25" s="74" t="s">
        <v>169</v>
      </c>
      <c r="B25" s="74" t="s">
        <v>170</v>
      </c>
      <c r="C25" s="45" t="str">
        <f t="shared" si="0"/>
        <v>13-11-2023 10:15</v>
      </c>
      <c r="D25" s="96"/>
      <c r="E25" s="96"/>
      <c r="F25" s="96"/>
      <c r="G25" s="96">
        <v>1217.44</v>
      </c>
      <c r="J25" s="31">
        <f t="shared" si="20"/>
        <v>44.0914</v>
      </c>
      <c r="K25" s="31">
        <f t="shared" si="9"/>
        <v>67.459841999999995</v>
      </c>
      <c r="L25" s="31">
        <f t="shared" si="10"/>
        <v>323.47261800000001</v>
      </c>
      <c r="M25" s="31">
        <f t="shared" si="19"/>
        <v>80.538640000000001</v>
      </c>
      <c r="N25" s="31">
        <f t="shared" si="11"/>
        <v>0</v>
      </c>
      <c r="O25" s="31">
        <f t="shared" si="12"/>
        <v>0</v>
      </c>
      <c r="P25" s="31">
        <f t="shared" si="13"/>
        <v>0</v>
      </c>
      <c r="Q25" s="31">
        <f t="shared" si="14"/>
        <v>0</v>
      </c>
      <c r="R25" s="31">
        <f t="shared" si="15"/>
        <v>0.42708333333575865</v>
      </c>
      <c r="S25" s="31">
        <f t="shared" si="3"/>
        <v>45243</v>
      </c>
      <c r="T25" s="31">
        <f t="shared" si="4"/>
        <v>36900.000000209548</v>
      </c>
      <c r="U25" s="31">
        <f t="shared" si="16"/>
        <v>21</v>
      </c>
      <c r="V25" s="31">
        <f t="shared" si="17"/>
        <v>1814400</v>
      </c>
      <c r="W25" s="31">
        <f t="shared" si="18"/>
        <v>1851300.0000002095</v>
      </c>
      <c r="X25" s="31">
        <f t="shared" si="5"/>
        <v>1631700.0000002095</v>
      </c>
      <c r="Y25" s="31">
        <f t="shared" si="6"/>
        <v>0</v>
      </c>
      <c r="Z25" s="31">
        <f t="shared" si="7"/>
        <v>0</v>
      </c>
      <c r="AA25" s="31">
        <v>96</v>
      </c>
    </row>
    <row r="26" spans="1:27" x14ac:dyDescent="0.25">
      <c r="A26" s="74" t="s">
        <v>169</v>
      </c>
      <c r="B26" s="74" t="s">
        <v>171</v>
      </c>
      <c r="C26" s="45" t="str">
        <f t="shared" si="0"/>
        <v>13-11-2023 12:30</v>
      </c>
      <c r="D26" s="97">
        <f>243*2</f>
        <v>486</v>
      </c>
      <c r="E26" s="97">
        <f>61*2</f>
        <v>122</v>
      </c>
      <c r="F26" s="96">
        <v>0</v>
      </c>
      <c r="G26" s="96"/>
      <c r="I26" s="96">
        <v>1</v>
      </c>
      <c r="J26" s="31">
        <f t="shared" si="20"/>
        <v>44.0914</v>
      </c>
      <c r="K26" s="31">
        <f t="shared" si="9"/>
        <v>67.459841999999995</v>
      </c>
      <c r="L26" s="31">
        <f t="shared" si="10"/>
        <v>323.47261800000001</v>
      </c>
      <c r="M26" s="31">
        <f t="shared" si="19"/>
        <v>80.538640000000001</v>
      </c>
      <c r="N26" s="31">
        <f t="shared" si="11"/>
        <v>32.785483212000003</v>
      </c>
      <c r="O26" s="31">
        <f t="shared" si="12"/>
        <v>39.463659396000004</v>
      </c>
      <c r="P26" s="31">
        <f t="shared" si="13"/>
        <v>0</v>
      </c>
      <c r="Q26" s="31">
        <f t="shared" si="14"/>
        <v>72.249142608</v>
      </c>
      <c r="R26" s="31">
        <f t="shared" si="15"/>
        <v>0.52083333333575865</v>
      </c>
      <c r="S26" s="31">
        <f t="shared" si="3"/>
        <v>45243</v>
      </c>
      <c r="T26" s="31">
        <f t="shared" si="4"/>
        <v>45000.000000209548</v>
      </c>
      <c r="U26" s="31">
        <f t="shared" si="16"/>
        <v>21</v>
      </c>
      <c r="V26" s="31">
        <f t="shared" si="17"/>
        <v>1814400</v>
      </c>
      <c r="W26" s="31">
        <f t="shared" si="18"/>
        <v>1859400.0000002095</v>
      </c>
      <c r="X26" s="31">
        <f t="shared" si="5"/>
        <v>1639800.0000002095</v>
      </c>
      <c r="Y26" s="31">
        <f t="shared" si="6"/>
        <v>122</v>
      </c>
      <c r="Z26" s="31">
        <f t="shared" si="7"/>
        <v>486</v>
      </c>
      <c r="AA26" s="31">
        <v>96</v>
      </c>
    </row>
    <row r="27" spans="1:27" x14ac:dyDescent="0.25">
      <c r="A27" s="74" t="s">
        <v>172</v>
      </c>
      <c r="B27" s="74" t="s">
        <v>156</v>
      </c>
      <c r="C27" s="45" t="str">
        <f t="shared" si="0"/>
        <v>15-11-2023 10:00</v>
      </c>
      <c r="D27" s="96">
        <v>0</v>
      </c>
      <c r="E27" s="96">
        <v>0</v>
      </c>
      <c r="F27" s="96">
        <f>G25-G27</f>
        <v>174.8900000000001</v>
      </c>
      <c r="G27" s="96">
        <v>1042.55</v>
      </c>
      <c r="I27" s="96">
        <v>1</v>
      </c>
      <c r="J27" s="31">
        <f>54.9*77.7/100</f>
        <v>42.657300000000006</v>
      </c>
      <c r="K27" s="31">
        <f t="shared" si="9"/>
        <v>65.265669000000017</v>
      </c>
      <c r="L27" s="31">
        <f t="shared" si="10"/>
        <v>323.47261800000001</v>
      </c>
      <c r="M27" s="31">
        <f t="shared" si="19"/>
        <v>80.538640000000001</v>
      </c>
      <c r="N27" s="31">
        <f t="shared" si="11"/>
        <v>0</v>
      </c>
      <c r="O27" s="31">
        <f t="shared" si="12"/>
        <v>0</v>
      </c>
      <c r="P27" s="31">
        <f t="shared" si="13"/>
        <v>14.085402749600009</v>
      </c>
      <c r="Q27" s="31">
        <f t="shared" si="14"/>
        <v>14.085402749600009</v>
      </c>
      <c r="R27" s="31">
        <f t="shared" si="15"/>
        <v>0.41666666666424135</v>
      </c>
      <c r="S27" s="31">
        <f t="shared" si="3"/>
        <v>45245</v>
      </c>
      <c r="T27" s="31">
        <f t="shared" si="4"/>
        <v>35999.999999790452</v>
      </c>
      <c r="U27" s="31">
        <f t="shared" si="16"/>
        <v>23</v>
      </c>
      <c r="V27" s="31">
        <f t="shared" si="17"/>
        <v>1987200</v>
      </c>
      <c r="W27" s="31">
        <f t="shared" si="18"/>
        <v>2023199.9999997905</v>
      </c>
      <c r="X27" s="31">
        <f t="shared" si="5"/>
        <v>1803599.9999997905</v>
      </c>
      <c r="Y27" s="31">
        <f t="shared" si="6"/>
        <v>0</v>
      </c>
      <c r="Z27" s="31">
        <f t="shared" si="7"/>
        <v>0</v>
      </c>
      <c r="AA27" s="31">
        <v>96</v>
      </c>
    </row>
    <row r="28" spans="1:27" x14ac:dyDescent="0.25">
      <c r="A28" s="74" t="s">
        <v>172</v>
      </c>
      <c r="B28" s="74" t="s">
        <v>156</v>
      </c>
      <c r="C28" s="45" t="str">
        <f t="shared" si="0"/>
        <v>15-11-2023 10:00</v>
      </c>
      <c r="D28" s="96"/>
      <c r="E28" s="96"/>
      <c r="F28" s="96"/>
      <c r="G28" s="96">
        <v>956.96</v>
      </c>
      <c r="J28" s="31">
        <f t="shared" ref="J28:J59" si="21">54.9*77.7/100</f>
        <v>42.657300000000006</v>
      </c>
      <c r="K28" s="31">
        <f t="shared" si="9"/>
        <v>65.265669000000017</v>
      </c>
      <c r="L28" s="31">
        <f t="shared" si="10"/>
        <v>323.47261800000001</v>
      </c>
      <c r="M28" s="31">
        <f t="shared" si="19"/>
        <v>80.538640000000001</v>
      </c>
      <c r="N28" s="31">
        <f t="shared" si="11"/>
        <v>0</v>
      </c>
      <c r="O28" s="31">
        <f t="shared" si="12"/>
        <v>0</v>
      </c>
      <c r="P28" s="31">
        <f t="shared" si="13"/>
        <v>0</v>
      </c>
      <c r="Q28" s="31">
        <f t="shared" si="14"/>
        <v>0</v>
      </c>
      <c r="R28" s="31">
        <f t="shared" si="15"/>
        <v>0.41666666666424135</v>
      </c>
      <c r="S28" s="31">
        <f t="shared" si="3"/>
        <v>45245</v>
      </c>
      <c r="T28" s="31">
        <f t="shared" si="4"/>
        <v>35999.999999790452</v>
      </c>
      <c r="U28" s="31">
        <f t="shared" si="16"/>
        <v>23</v>
      </c>
      <c r="V28" s="31">
        <f t="shared" si="17"/>
        <v>1987200</v>
      </c>
      <c r="W28" s="31">
        <f t="shared" si="18"/>
        <v>2023199.9999997905</v>
      </c>
      <c r="X28" s="31">
        <f t="shared" si="5"/>
        <v>1803599.9999997905</v>
      </c>
      <c r="Y28" s="31">
        <f t="shared" si="6"/>
        <v>0</v>
      </c>
      <c r="Z28" s="31">
        <f t="shared" si="7"/>
        <v>0</v>
      </c>
      <c r="AA28" s="31">
        <v>96</v>
      </c>
    </row>
    <row r="29" spans="1:27" x14ac:dyDescent="0.25">
      <c r="A29" s="74" t="s">
        <v>172</v>
      </c>
      <c r="B29" s="74" t="s">
        <v>171</v>
      </c>
      <c r="C29" s="45" t="str">
        <f t="shared" si="0"/>
        <v>15-11-2023 12:30</v>
      </c>
      <c r="D29" s="96">
        <f>243*2</f>
        <v>486</v>
      </c>
      <c r="E29" s="96">
        <f>61*2</f>
        <v>122</v>
      </c>
      <c r="F29" s="96">
        <v>0</v>
      </c>
      <c r="G29" s="96"/>
      <c r="H29" t="s">
        <v>174</v>
      </c>
      <c r="I29" s="96">
        <v>1</v>
      </c>
      <c r="J29" s="31">
        <f t="shared" si="21"/>
        <v>42.657300000000006</v>
      </c>
      <c r="K29" s="31">
        <f t="shared" si="9"/>
        <v>65.265669000000017</v>
      </c>
      <c r="L29" s="31">
        <f t="shared" si="10"/>
        <v>323.47261800000001</v>
      </c>
      <c r="M29" s="31">
        <f t="shared" si="19"/>
        <v>80.538640000000001</v>
      </c>
      <c r="N29" s="31">
        <f t="shared" si="11"/>
        <v>31.719115134000006</v>
      </c>
      <c r="O29" s="31">
        <f t="shared" si="12"/>
        <v>39.463659396000004</v>
      </c>
      <c r="P29" s="31">
        <f t="shared" si="13"/>
        <v>0</v>
      </c>
      <c r="Q29" s="31">
        <f t="shared" si="14"/>
        <v>71.182774530000017</v>
      </c>
      <c r="R29" s="31">
        <f t="shared" si="15"/>
        <v>0.52083333333575865</v>
      </c>
      <c r="S29" s="31">
        <f t="shared" si="3"/>
        <v>45245</v>
      </c>
      <c r="T29" s="31">
        <f t="shared" si="4"/>
        <v>45000.000000209548</v>
      </c>
      <c r="U29" s="31">
        <f t="shared" si="16"/>
        <v>23</v>
      </c>
      <c r="V29" s="31">
        <f t="shared" si="17"/>
        <v>1987200</v>
      </c>
      <c r="W29" s="31">
        <f t="shared" si="18"/>
        <v>2032200.0000002095</v>
      </c>
      <c r="X29" s="31">
        <f t="shared" si="5"/>
        <v>1812600.0000002095</v>
      </c>
      <c r="Y29" s="31">
        <f t="shared" si="6"/>
        <v>122</v>
      </c>
      <c r="Z29" s="31">
        <f t="shared" si="7"/>
        <v>486</v>
      </c>
      <c r="AA29" s="31">
        <v>96</v>
      </c>
    </row>
    <row r="30" spans="1:27" x14ac:dyDescent="0.25">
      <c r="A30" s="74" t="s">
        <v>175</v>
      </c>
      <c r="B30" s="74" t="s">
        <v>173</v>
      </c>
      <c r="C30" s="45" t="str">
        <f t="shared" si="0"/>
        <v>17-11-2023 13:00</v>
      </c>
      <c r="D30" s="96">
        <v>730</v>
      </c>
      <c r="E30" s="96">
        <v>183</v>
      </c>
      <c r="F30" s="96">
        <f>G28-G30</f>
        <v>75.190000000000055</v>
      </c>
      <c r="G30" s="96">
        <v>881.77</v>
      </c>
      <c r="H30" t="s">
        <v>166</v>
      </c>
      <c r="I30" s="96">
        <v>1</v>
      </c>
      <c r="J30" s="31">
        <f t="shared" si="21"/>
        <v>42.657300000000006</v>
      </c>
      <c r="K30" s="31">
        <f t="shared" si="9"/>
        <v>65.265669000000017</v>
      </c>
      <c r="L30" s="31">
        <f t="shared" si="10"/>
        <v>323.47261800000001</v>
      </c>
      <c r="M30" s="31">
        <f t="shared" si="19"/>
        <v>80.538640000000001</v>
      </c>
      <c r="N30" s="31">
        <f t="shared" si="11"/>
        <v>47.643938370000008</v>
      </c>
      <c r="O30" s="31">
        <f t="shared" si="12"/>
        <v>59.195489094000003</v>
      </c>
      <c r="P30" s="31">
        <f t="shared" si="13"/>
        <v>6.0557003416000041</v>
      </c>
      <c r="Q30" s="31">
        <f t="shared" si="14"/>
        <v>112.89512780560001</v>
      </c>
      <c r="R30" s="31">
        <f t="shared" si="15"/>
        <v>0.54166666666424135</v>
      </c>
      <c r="S30" s="31">
        <f t="shared" si="3"/>
        <v>45247</v>
      </c>
      <c r="T30" s="31">
        <f t="shared" si="4"/>
        <v>46799.999999790452</v>
      </c>
      <c r="U30" s="31">
        <f t="shared" si="16"/>
        <v>25</v>
      </c>
      <c r="V30" s="31">
        <f t="shared" si="17"/>
        <v>2160000</v>
      </c>
      <c r="W30" s="31">
        <f t="shared" si="18"/>
        <v>2206799.9999997905</v>
      </c>
      <c r="X30" s="31">
        <f t="shared" si="5"/>
        <v>1987199.9999997905</v>
      </c>
      <c r="Y30" s="31">
        <f t="shared" si="6"/>
        <v>183</v>
      </c>
      <c r="Z30" s="31">
        <f t="shared" si="7"/>
        <v>730</v>
      </c>
      <c r="AA30" s="31">
        <v>96</v>
      </c>
    </row>
    <row r="31" spans="1:27" x14ac:dyDescent="0.25">
      <c r="A31" s="74" t="s">
        <v>175</v>
      </c>
      <c r="B31" s="74" t="s">
        <v>176</v>
      </c>
      <c r="C31" s="45" t="str">
        <f t="shared" si="0"/>
        <v>17-11-2023 09:15</v>
      </c>
      <c r="D31" s="96"/>
      <c r="E31" s="96"/>
      <c r="F31" s="96"/>
      <c r="G31" s="96">
        <v>1179.45</v>
      </c>
      <c r="H31" t="s">
        <v>263</v>
      </c>
      <c r="J31" s="31">
        <f t="shared" si="21"/>
        <v>42.657300000000006</v>
      </c>
      <c r="K31" s="31">
        <f t="shared" si="9"/>
        <v>65.265669000000017</v>
      </c>
      <c r="L31" s="31">
        <f t="shared" si="10"/>
        <v>323.47261800000001</v>
      </c>
      <c r="M31" s="31">
        <f t="shared" si="19"/>
        <v>80.538640000000001</v>
      </c>
      <c r="N31" s="31">
        <f t="shared" si="11"/>
        <v>0</v>
      </c>
      <c r="O31" s="31">
        <f t="shared" si="12"/>
        <v>0</v>
      </c>
      <c r="P31" s="31">
        <f t="shared" si="13"/>
        <v>0</v>
      </c>
      <c r="Q31" s="31">
        <f t="shared" si="14"/>
        <v>0</v>
      </c>
      <c r="R31" s="31">
        <f t="shared" si="15"/>
        <v>0.38541666666424135</v>
      </c>
      <c r="S31" s="31">
        <f t="shared" si="3"/>
        <v>45247</v>
      </c>
      <c r="T31" s="31">
        <f t="shared" si="4"/>
        <v>33299.999999790452</v>
      </c>
      <c r="U31" s="31">
        <f t="shared" si="16"/>
        <v>25</v>
      </c>
      <c r="V31" s="31">
        <f t="shared" si="17"/>
        <v>2160000</v>
      </c>
      <c r="W31" s="31">
        <f t="shared" si="18"/>
        <v>2193299.9999997905</v>
      </c>
      <c r="X31" s="31">
        <f t="shared" si="5"/>
        <v>1973699.9999997905</v>
      </c>
      <c r="Y31" s="31">
        <f t="shared" si="6"/>
        <v>0</v>
      </c>
      <c r="Z31" s="31">
        <f t="shared" si="7"/>
        <v>0</v>
      </c>
      <c r="AA31" s="31">
        <v>96</v>
      </c>
    </row>
    <row r="32" spans="1:27" x14ac:dyDescent="0.25">
      <c r="A32" s="74" t="s">
        <v>178</v>
      </c>
      <c r="B32" s="74" t="s">
        <v>179</v>
      </c>
      <c r="C32" s="45" t="str">
        <f t="shared" si="0"/>
        <v>20-11-2023 10:20</v>
      </c>
      <c r="D32" s="96">
        <v>0</v>
      </c>
      <c r="E32" s="96">
        <v>0</v>
      </c>
      <c r="F32" s="96">
        <f>G31-G32</f>
        <v>83.730000000000018</v>
      </c>
      <c r="G32" s="96">
        <v>1095.72</v>
      </c>
      <c r="I32" s="96">
        <v>1</v>
      </c>
      <c r="J32" s="31">
        <f t="shared" si="21"/>
        <v>42.657300000000006</v>
      </c>
      <c r="K32" s="31">
        <f t="shared" si="9"/>
        <v>65.265669000000017</v>
      </c>
      <c r="L32" s="31">
        <f t="shared" si="10"/>
        <v>323.47261800000001</v>
      </c>
      <c r="M32" s="31">
        <f t="shared" si="19"/>
        <v>80.538640000000001</v>
      </c>
      <c r="N32" s="31">
        <f t="shared" si="11"/>
        <v>0</v>
      </c>
      <c r="O32" s="31">
        <f t="shared" si="12"/>
        <v>0</v>
      </c>
      <c r="P32" s="31">
        <f t="shared" si="13"/>
        <v>6.7435003272000014</v>
      </c>
      <c r="Q32" s="31">
        <f t="shared" si="14"/>
        <v>6.7435003272000014</v>
      </c>
      <c r="R32" s="31">
        <f t="shared" si="15"/>
        <v>0.43055555555474712</v>
      </c>
      <c r="S32" s="31">
        <f t="shared" si="3"/>
        <v>45250</v>
      </c>
      <c r="T32" s="31">
        <f t="shared" si="4"/>
        <v>37199.999999930151</v>
      </c>
      <c r="U32" s="31">
        <f t="shared" si="16"/>
        <v>28</v>
      </c>
      <c r="V32" s="31">
        <f t="shared" si="17"/>
        <v>2419200</v>
      </c>
      <c r="W32" s="31">
        <f t="shared" si="18"/>
        <v>2456399.9999999302</v>
      </c>
      <c r="X32" s="31">
        <f t="shared" si="5"/>
        <v>2236799.9999999302</v>
      </c>
      <c r="Y32" s="31">
        <f t="shared" si="6"/>
        <v>0</v>
      </c>
      <c r="Z32" s="31">
        <f t="shared" si="7"/>
        <v>0</v>
      </c>
      <c r="AA32" s="31">
        <v>96</v>
      </c>
    </row>
    <row r="33" spans="1:27" x14ac:dyDescent="0.25">
      <c r="A33" s="74" t="s">
        <v>178</v>
      </c>
      <c r="B33" s="74" t="s">
        <v>167</v>
      </c>
      <c r="C33" s="45" t="str">
        <f t="shared" si="0"/>
        <v>20-11-2023 11:00</v>
      </c>
      <c r="D33" s="96">
        <f>243*2</f>
        <v>486</v>
      </c>
      <c r="E33" s="96">
        <f>61*2</f>
        <v>122</v>
      </c>
      <c r="F33" s="96">
        <v>0</v>
      </c>
      <c r="G33" s="96"/>
      <c r="I33" s="96">
        <v>1</v>
      </c>
      <c r="J33" s="31">
        <f t="shared" si="21"/>
        <v>42.657300000000006</v>
      </c>
      <c r="K33" s="31">
        <f t="shared" si="9"/>
        <v>65.265669000000017</v>
      </c>
      <c r="L33" s="31">
        <f t="shared" si="10"/>
        <v>323.47261800000001</v>
      </c>
      <c r="M33" s="31">
        <f t="shared" si="19"/>
        <v>80.538640000000001</v>
      </c>
      <c r="N33" s="31">
        <f t="shared" si="11"/>
        <v>31.719115134000006</v>
      </c>
      <c r="O33" s="31">
        <f t="shared" si="12"/>
        <v>39.463659396000004</v>
      </c>
      <c r="P33" s="31">
        <f t="shared" si="13"/>
        <v>0</v>
      </c>
      <c r="Q33" s="31">
        <f t="shared" si="14"/>
        <v>71.182774530000017</v>
      </c>
      <c r="R33" s="31">
        <f t="shared" si="15"/>
        <v>0.45833333333575865</v>
      </c>
      <c r="S33" s="31">
        <f t="shared" si="3"/>
        <v>45250</v>
      </c>
      <c r="T33" s="31">
        <f t="shared" si="4"/>
        <v>39600.000000209548</v>
      </c>
      <c r="U33" s="31">
        <f t="shared" si="16"/>
        <v>28</v>
      </c>
      <c r="V33" s="31">
        <f t="shared" si="17"/>
        <v>2419200</v>
      </c>
      <c r="W33" s="31">
        <f t="shared" si="18"/>
        <v>2458800.0000002095</v>
      </c>
      <c r="X33" s="31">
        <f t="shared" si="5"/>
        <v>2239200.0000002095</v>
      </c>
      <c r="Y33" s="31">
        <f t="shared" si="6"/>
        <v>122</v>
      </c>
      <c r="Z33" s="31">
        <f t="shared" si="7"/>
        <v>486</v>
      </c>
      <c r="AA33" s="31">
        <v>96</v>
      </c>
    </row>
    <row r="34" spans="1:27" x14ac:dyDescent="0.25">
      <c r="A34" s="74" t="s">
        <v>181</v>
      </c>
      <c r="B34" s="74" t="s">
        <v>156</v>
      </c>
      <c r="C34" s="45" t="str">
        <f t="shared" si="0"/>
        <v>22-11-2023 10:00</v>
      </c>
      <c r="D34" s="96">
        <v>0</v>
      </c>
      <c r="E34" s="96">
        <v>0</v>
      </c>
      <c r="F34" s="96">
        <f>G32-G34</f>
        <v>99.389999999999986</v>
      </c>
      <c r="G34" s="96">
        <v>996.33</v>
      </c>
      <c r="H34" t="s">
        <v>264</v>
      </c>
      <c r="I34" s="96">
        <v>1</v>
      </c>
      <c r="J34" s="31">
        <f t="shared" si="21"/>
        <v>42.657300000000006</v>
      </c>
      <c r="K34" s="31">
        <f t="shared" si="9"/>
        <v>65.265669000000017</v>
      </c>
      <c r="L34" s="31">
        <f t="shared" si="10"/>
        <v>323.47261800000001</v>
      </c>
      <c r="M34" s="31">
        <f t="shared" si="19"/>
        <v>80.538640000000001</v>
      </c>
      <c r="N34" s="31">
        <f t="shared" si="11"/>
        <v>0</v>
      </c>
      <c r="O34" s="31">
        <f t="shared" si="12"/>
        <v>0</v>
      </c>
      <c r="P34" s="31">
        <f t="shared" si="13"/>
        <v>8.0047354296000002</v>
      </c>
      <c r="Q34" s="31">
        <f t="shared" si="14"/>
        <v>8.0047354296000002</v>
      </c>
      <c r="R34" s="31">
        <f t="shared" si="15"/>
        <v>0.41666666666424135</v>
      </c>
      <c r="S34" s="31">
        <f t="shared" si="3"/>
        <v>45252</v>
      </c>
      <c r="T34" s="31">
        <f t="shared" si="4"/>
        <v>35999.999999790452</v>
      </c>
      <c r="U34" s="31">
        <f t="shared" si="16"/>
        <v>30</v>
      </c>
      <c r="V34" s="31">
        <f t="shared" si="17"/>
        <v>2592000</v>
      </c>
      <c r="W34" s="31">
        <f t="shared" si="18"/>
        <v>2627999.9999997905</v>
      </c>
      <c r="X34" s="31">
        <f t="shared" si="5"/>
        <v>2408399.9999997905</v>
      </c>
      <c r="Y34" s="31">
        <f t="shared" si="6"/>
        <v>0</v>
      </c>
      <c r="Z34" s="31">
        <f t="shared" si="7"/>
        <v>0</v>
      </c>
      <c r="AA34" s="31">
        <v>96</v>
      </c>
    </row>
    <row r="35" spans="1:27" x14ac:dyDescent="0.25">
      <c r="A35" s="74" t="s">
        <v>181</v>
      </c>
      <c r="B35" s="74" t="s">
        <v>156</v>
      </c>
      <c r="C35" s="45" t="str">
        <f t="shared" si="0"/>
        <v>22-11-2023 10:00</v>
      </c>
      <c r="D35" s="96"/>
      <c r="E35" s="96"/>
      <c r="F35" s="96"/>
      <c r="G35" s="96">
        <v>1133.7</v>
      </c>
      <c r="H35" t="s">
        <v>265</v>
      </c>
      <c r="J35" s="31">
        <f t="shared" si="21"/>
        <v>42.657300000000006</v>
      </c>
      <c r="K35" s="31">
        <f t="shared" si="9"/>
        <v>65.265669000000017</v>
      </c>
      <c r="L35" s="31">
        <f t="shared" si="10"/>
        <v>323.47261800000001</v>
      </c>
      <c r="M35" s="31">
        <f t="shared" si="19"/>
        <v>80.538640000000001</v>
      </c>
      <c r="N35" s="31">
        <f t="shared" si="11"/>
        <v>0</v>
      </c>
      <c r="O35" s="31">
        <f t="shared" si="12"/>
        <v>0</v>
      </c>
      <c r="P35" s="31">
        <f t="shared" si="13"/>
        <v>0</v>
      </c>
      <c r="Q35" s="31">
        <f t="shared" si="14"/>
        <v>0</v>
      </c>
      <c r="R35" s="31">
        <f t="shared" si="15"/>
        <v>0.41666666666424135</v>
      </c>
      <c r="S35" s="31">
        <f t="shared" ref="S35:S66" si="22">DATEVALUE(A35)-MIN($A$3:$A$68)</f>
        <v>45252</v>
      </c>
      <c r="T35" s="31">
        <f t="shared" ref="T35:T66" si="23">R35*86400</f>
        <v>35999.999999790452</v>
      </c>
      <c r="U35" s="31">
        <f t="shared" si="16"/>
        <v>30</v>
      </c>
      <c r="V35" s="31">
        <f t="shared" si="17"/>
        <v>2592000</v>
      </c>
      <c r="W35" s="31">
        <f t="shared" si="18"/>
        <v>2627999.9999997905</v>
      </c>
      <c r="X35" s="31">
        <f t="shared" ref="X35:X66" si="24">W35-$R$2</f>
        <v>2408399.9999997905</v>
      </c>
      <c r="Y35" s="31">
        <f t="shared" ref="Y35:Y66" si="25">E35</f>
        <v>0</v>
      </c>
      <c r="Z35" s="31">
        <f t="shared" ref="Z35:Z66" si="26">D35</f>
        <v>0</v>
      </c>
      <c r="AA35" s="31">
        <v>96</v>
      </c>
    </row>
    <row r="36" spans="1:27" x14ac:dyDescent="0.25">
      <c r="A36" s="74" t="s">
        <v>181</v>
      </c>
      <c r="B36" s="74" t="s">
        <v>266</v>
      </c>
      <c r="C36" s="45" t="str">
        <f t="shared" si="0"/>
        <v>22-11-2023 11:04</v>
      </c>
      <c r="D36" s="96">
        <v>0</v>
      </c>
      <c r="E36" s="96">
        <v>0</v>
      </c>
      <c r="F36" s="96">
        <v>374</v>
      </c>
      <c r="G36" s="96"/>
      <c r="H36" t="s">
        <v>267</v>
      </c>
      <c r="I36" s="96">
        <v>1</v>
      </c>
      <c r="J36" s="31">
        <f t="shared" si="21"/>
        <v>42.657300000000006</v>
      </c>
      <c r="K36" s="31">
        <f t="shared" si="9"/>
        <v>65.265669000000017</v>
      </c>
      <c r="L36" s="31">
        <f t="shared" si="10"/>
        <v>323.47261800000001</v>
      </c>
      <c r="M36" s="31">
        <f t="shared" si="19"/>
        <v>80.538640000000001</v>
      </c>
      <c r="N36" s="31">
        <f t="shared" si="11"/>
        <v>0</v>
      </c>
      <c r="O36" s="31">
        <f t="shared" si="12"/>
        <v>0</v>
      </c>
      <c r="P36" s="31">
        <f t="shared" si="13"/>
        <v>30.121451359999998</v>
      </c>
      <c r="Q36" s="31">
        <f t="shared" si="14"/>
        <v>30.121451359999998</v>
      </c>
      <c r="R36" s="31">
        <f t="shared" si="15"/>
        <v>0.46111111110803904</v>
      </c>
      <c r="S36" s="31">
        <f t="shared" si="22"/>
        <v>45252</v>
      </c>
      <c r="T36" s="31">
        <f t="shared" si="23"/>
        <v>39839.999999734573</v>
      </c>
      <c r="U36" s="31">
        <f t="shared" si="16"/>
        <v>30</v>
      </c>
      <c r="V36" s="31">
        <f t="shared" si="17"/>
        <v>2592000</v>
      </c>
      <c r="W36" s="31">
        <f t="shared" si="18"/>
        <v>2631839.9999997346</v>
      </c>
      <c r="X36" s="31">
        <f t="shared" si="24"/>
        <v>2412239.9999997346</v>
      </c>
      <c r="Y36" s="31">
        <f t="shared" si="25"/>
        <v>0</v>
      </c>
      <c r="Z36" s="31">
        <f t="shared" si="26"/>
        <v>0</v>
      </c>
      <c r="AA36" s="31">
        <v>96</v>
      </c>
    </row>
    <row r="37" spans="1:27" x14ac:dyDescent="0.25">
      <c r="A37" s="74" t="s">
        <v>181</v>
      </c>
      <c r="B37" s="74" t="s">
        <v>268</v>
      </c>
      <c r="C37" s="45" t="str">
        <f t="shared" si="0"/>
        <v>22-11-2023 12:10</v>
      </c>
      <c r="D37" s="96"/>
      <c r="E37" s="96"/>
      <c r="F37" s="96"/>
      <c r="G37" s="96">
        <v>1125.8800000000001</v>
      </c>
      <c r="H37" t="s">
        <v>269</v>
      </c>
      <c r="J37" s="31">
        <f t="shared" si="21"/>
        <v>42.657300000000006</v>
      </c>
      <c r="K37" s="31">
        <f t="shared" si="9"/>
        <v>65.265669000000017</v>
      </c>
      <c r="L37" s="31">
        <f t="shared" si="10"/>
        <v>323.47261800000001</v>
      </c>
      <c r="M37" s="31">
        <f t="shared" si="19"/>
        <v>80.538640000000001</v>
      </c>
      <c r="N37" s="31">
        <f t="shared" si="11"/>
        <v>0</v>
      </c>
      <c r="O37" s="31">
        <f t="shared" si="12"/>
        <v>0</v>
      </c>
      <c r="P37" s="31">
        <f t="shared" si="13"/>
        <v>0</v>
      </c>
      <c r="Q37" s="31">
        <f t="shared" si="14"/>
        <v>0</v>
      </c>
      <c r="R37" s="31">
        <f t="shared" si="15"/>
        <v>0.50694444444525288</v>
      </c>
      <c r="S37" s="31">
        <f t="shared" si="22"/>
        <v>45252</v>
      </c>
      <c r="T37" s="31">
        <f t="shared" si="23"/>
        <v>43800.000000069849</v>
      </c>
      <c r="U37" s="31">
        <f t="shared" si="16"/>
        <v>30</v>
      </c>
      <c r="V37" s="31">
        <f t="shared" si="17"/>
        <v>2592000</v>
      </c>
      <c r="W37" s="31">
        <f t="shared" si="18"/>
        <v>2635800.0000000698</v>
      </c>
      <c r="X37" s="31">
        <f t="shared" si="24"/>
        <v>2416200.0000000698</v>
      </c>
      <c r="Y37" s="31">
        <f t="shared" si="25"/>
        <v>0</v>
      </c>
      <c r="Z37" s="31">
        <f t="shared" si="26"/>
        <v>0</v>
      </c>
      <c r="AA37" s="31">
        <v>96</v>
      </c>
    </row>
    <row r="38" spans="1:27" x14ac:dyDescent="0.25">
      <c r="A38" s="74" t="s">
        <v>181</v>
      </c>
      <c r="B38" s="74" t="s">
        <v>156</v>
      </c>
      <c r="C38" s="45" t="str">
        <f t="shared" si="0"/>
        <v>22-11-2023 10:00</v>
      </c>
      <c r="D38" s="96">
        <f>243*2</f>
        <v>486</v>
      </c>
      <c r="E38" s="96">
        <f>61*2</f>
        <v>122</v>
      </c>
      <c r="F38" s="96">
        <v>0</v>
      </c>
      <c r="G38" s="96"/>
      <c r="I38" s="96">
        <v>1</v>
      </c>
      <c r="J38" s="31">
        <f t="shared" si="21"/>
        <v>42.657300000000006</v>
      </c>
      <c r="K38" s="31">
        <f t="shared" si="9"/>
        <v>65.265669000000017</v>
      </c>
      <c r="L38" s="31">
        <f t="shared" si="10"/>
        <v>323.47261800000001</v>
      </c>
      <c r="M38" s="31">
        <f t="shared" si="19"/>
        <v>80.538640000000001</v>
      </c>
      <c r="N38" s="31">
        <f t="shared" si="11"/>
        <v>31.719115134000006</v>
      </c>
      <c r="O38" s="31">
        <f t="shared" si="12"/>
        <v>39.463659396000004</v>
      </c>
      <c r="P38" s="31">
        <f t="shared" si="13"/>
        <v>0</v>
      </c>
      <c r="Q38" s="31">
        <f t="shared" si="14"/>
        <v>71.182774530000017</v>
      </c>
      <c r="R38" s="31">
        <f t="shared" si="15"/>
        <v>0.41666666666424135</v>
      </c>
      <c r="S38" s="31">
        <f t="shared" si="22"/>
        <v>45252</v>
      </c>
      <c r="T38" s="31">
        <f t="shared" si="23"/>
        <v>35999.999999790452</v>
      </c>
      <c r="U38" s="31">
        <f t="shared" si="16"/>
        <v>30</v>
      </c>
      <c r="V38" s="31">
        <f t="shared" si="17"/>
        <v>2592000</v>
      </c>
      <c r="W38" s="31">
        <f t="shared" si="18"/>
        <v>2627999.9999997905</v>
      </c>
      <c r="X38" s="31">
        <f t="shared" si="24"/>
        <v>2408399.9999997905</v>
      </c>
      <c r="Y38" s="31">
        <f t="shared" si="25"/>
        <v>122</v>
      </c>
      <c r="Z38" s="31">
        <f t="shared" si="26"/>
        <v>486</v>
      </c>
      <c r="AA38" s="31">
        <v>96</v>
      </c>
    </row>
    <row r="39" spans="1:27" x14ac:dyDescent="0.25">
      <c r="A39" s="74" t="s">
        <v>182</v>
      </c>
      <c r="B39" s="74" t="s">
        <v>183</v>
      </c>
      <c r="C39" s="45" t="str">
        <f t="shared" si="0"/>
        <v>24-11-2023 09:20</v>
      </c>
      <c r="D39" s="96">
        <v>0</v>
      </c>
      <c r="E39" s="96">
        <v>0</v>
      </c>
      <c r="F39" s="96">
        <f>(G37-G39)</f>
        <v>218.90000000000009</v>
      </c>
      <c r="G39" s="96">
        <v>906.98</v>
      </c>
      <c r="H39" s="61" t="s">
        <v>270</v>
      </c>
      <c r="I39" s="96">
        <v>1</v>
      </c>
      <c r="J39" s="31">
        <f t="shared" si="21"/>
        <v>42.657300000000006</v>
      </c>
      <c r="K39" s="31">
        <f t="shared" si="9"/>
        <v>65.265669000000017</v>
      </c>
      <c r="L39" s="31">
        <f t="shared" si="10"/>
        <v>323.47261800000001</v>
      </c>
      <c r="M39" s="31">
        <f t="shared" si="19"/>
        <v>80.538640000000001</v>
      </c>
      <c r="N39" s="31">
        <f t="shared" si="11"/>
        <v>0</v>
      </c>
      <c r="O39" s="31">
        <f t="shared" si="12"/>
        <v>0</v>
      </c>
      <c r="P39" s="31">
        <f t="shared" si="13"/>
        <v>17.629908296000007</v>
      </c>
      <c r="Q39" s="31">
        <f t="shared" si="14"/>
        <v>17.629908296000007</v>
      </c>
      <c r="R39" s="31">
        <f t="shared" si="15"/>
        <v>0.38888888889050577</v>
      </c>
      <c r="S39" s="31">
        <f t="shared" si="22"/>
        <v>45254</v>
      </c>
      <c r="T39" s="31">
        <f t="shared" si="23"/>
        <v>33600.000000139698</v>
      </c>
      <c r="U39" s="31">
        <f t="shared" si="16"/>
        <v>32</v>
      </c>
      <c r="V39" s="31">
        <f t="shared" si="17"/>
        <v>2764800</v>
      </c>
      <c r="W39" s="31">
        <f t="shared" si="18"/>
        <v>2798400.0000001397</v>
      </c>
      <c r="X39" s="31">
        <f t="shared" si="24"/>
        <v>2578800.0000001397</v>
      </c>
      <c r="Y39" s="31">
        <f t="shared" si="25"/>
        <v>0</v>
      </c>
      <c r="Z39" s="31">
        <f t="shared" si="26"/>
        <v>0</v>
      </c>
      <c r="AA39" s="31">
        <v>96</v>
      </c>
    </row>
    <row r="40" spans="1:27" x14ac:dyDescent="0.25">
      <c r="A40" s="74" t="s">
        <v>182</v>
      </c>
      <c r="B40" s="74" t="s">
        <v>185</v>
      </c>
      <c r="C40" s="45" t="str">
        <f t="shared" si="0"/>
        <v>24-11-2023 10:30</v>
      </c>
      <c r="D40" s="96"/>
      <c r="E40" s="96"/>
      <c r="F40" s="96"/>
      <c r="G40" s="96">
        <v>1241.3499999999999</v>
      </c>
      <c r="H40" s="61" t="s">
        <v>271</v>
      </c>
      <c r="J40" s="31">
        <f t="shared" si="21"/>
        <v>42.657300000000006</v>
      </c>
      <c r="K40" s="31">
        <f t="shared" si="9"/>
        <v>65.265669000000017</v>
      </c>
      <c r="L40" s="31">
        <f t="shared" si="10"/>
        <v>323.47261800000001</v>
      </c>
      <c r="M40" s="31">
        <f t="shared" si="19"/>
        <v>80.538640000000001</v>
      </c>
      <c r="N40" s="31">
        <f t="shared" si="11"/>
        <v>0</v>
      </c>
      <c r="O40" s="31">
        <f t="shared" si="12"/>
        <v>0</v>
      </c>
      <c r="P40" s="31">
        <f t="shared" si="13"/>
        <v>0</v>
      </c>
      <c r="Q40" s="31">
        <f t="shared" si="14"/>
        <v>0</v>
      </c>
      <c r="R40" s="31">
        <f t="shared" si="15"/>
        <v>0.4375</v>
      </c>
      <c r="S40" s="31">
        <f t="shared" si="22"/>
        <v>45254</v>
      </c>
      <c r="T40" s="31">
        <f t="shared" si="23"/>
        <v>37800</v>
      </c>
      <c r="U40" s="31">
        <f t="shared" si="16"/>
        <v>32</v>
      </c>
      <c r="V40" s="31">
        <f t="shared" si="17"/>
        <v>2764800</v>
      </c>
      <c r="W40" s="31">
        <f t="shared" si="18"/>
        <v>2802600</v>
      </c>
      <c r="X40" s="31">
        <f t="shared" si="24"/>
        <v>2583000</v>
      </c>
      <c r="Y40" s="31">
        <f t="shared" si="25"/>
        <v>0</v>
      </c>
      <c r="Z40" s="31">
        <f t="shared" si="26"/>
        <v>0</v>
      </c>
      <c r="AA40" s="31">
        <v>96</v>
      </c>
    </row>
    <row r="41" spans="1:27" x14ac:dyDescent="0.25">
      <c r="A41" s="74" t="s">
        <v>182</v>
      </c>
      <c r="B41" s="74" t="s">
        <v>187</v>
      </c>
      <c r="C41" s="45" t="str">
        <f t="shared" si="0"/>
        <v>24-11-2023 15:10</v>
      </c>
      <c r="D41" s="96">
        <v>730</v>
      </c>
      <c r="E41" s="96">
        <v>183</v>
      </c>
      <c r="F41" s="96">
        <v>0</v>
      </c>
      <c r="G41" s="96"/>
      <c r="I41" s="96">
        <v>1</v>
      </c>
      <c r="J41" s="31">
        <f t="shared" si="21"/>
        <v>42.657300000000006</v>
      </c>
      <c r="K41" s="31">
        <f t="shared" si="9"/>
        <v>65.265669000000017</v>
      </c>
      <c r="L41" s="31">
        <f t="shared" si="10"/>
        <v>323.47261800000001</v>
      </c>
      <c r="M41" s="31">
        <f t="shared" si="19"/>
        <v>80.538640000000001</v>
      </c>
      <c r="N41" s="31">
        <f t="shared" si="11"/>
        <v>47.643938370000008</v>
      </c>
      <c r="O41" s="31">
        <f t="shared" si="12"/>
        <v>59.195489094000003</v>
      </c>
      <c r="P41" s="31">
        <f t="shared" si="13"/>
        <v>0</v>
      </c>
      <c r="Q41" s="31">
        <f t="shared" si="14"/>
        <v>106.83942746400001</v>
      </c>
      <c r="R41" s="31">
        <f t="shared" si="15"/>
        <v>0.63194444444525288</v>
      </c>
      <c r="S41" s="31">
        <f t="shared" si="22"/>
        <v>45254</v>
      </c>
      <c r="T41" s="31">
        <f t="shared" si="23"/>
        <v>54600.000000069849</v>
      </c>
      <c r="U41" s="31">
        <f t="shared" si="16"/>
        <v>32</v>
      </c>
      <c r="V41" s="31">
        <f t="shared" si="17"/>
        <v>2764800</v>
      </c>
      <c r="W41" s="31">
        <f t="shared" si="18"/>
        <v>2819400.0000000698</v>
      </c>
      <c r="X41" s="31">
        <f t="shared" si="24"/>
        <v>2599800.0000000698</v>
      </c>
      <c r="Y41" s="31">
        <f t="shared" si="25"/>
        <v>183</v>
      </c>
      <c r="Z41" s="31">
        <f t="shared" si="26"/>
        <v>730</v>
      </c>
      <c r="AA41" s="31">
        <v>96</v>
      </c>
    </row>
    <row r="42" spans="1:27" x14ac:dyDescent="0.25">
      <c r="A42" s="74" t="s">
        <v>188</v>
      </c>
      <c r="B42" s="74" t="s">
        <v>156</v>
      </c>
      <c r="C42" s="45" t="str">
        <f t="shared" si="0"/>
        <v>27-11-2023 10:00</v>
      </c>
      <c r="D42" s="96">
        <v>0</v>
      </c>
      <c r="E42" s="96">
        <v>0</v>
      </c>
      <c r="F42" s="96">
        <f>G40-G42</f>
        <v>170.26999999999998</v>
      </c>
      <c r="G42" s="96">
        <v>1071.08</v>
      </c>
      <c r="H42" t="s">
        <v>272</v>
      </c>
      <c r="I42" s="96">
        <v>1</v>
      </c>
      <c r="J42" s="31">
        <f t="shared" si="21"/>
        <v>42.657300000000006</v>
      </c>
      <c r="K42" s="31">
        <f t="shared" si="9"/>
        <v>65.265669000000017</v>
      </c>
      <c r="L42" s="31">
        <f t="shared" si="10"/>
        <v>323.47261800000001</v>
      </c>
      <c r="M42" s="31">
        <f t="shared" si="19"/>
        <v>80.538640000000001</v>
      </c>
      <c r="N42" s="31">
        <f t="shared" si="11"/>
        <v>0</v>
      </c>
      <c r="O42" s="31">
        <f t="shared" si="12"/>
        <v>0</v>
      </c>
      <c r="P42" s="31">
        <f t="shared" si="13"/>
        <v>13.7133142328</v>
      </c>
      <c r="Q42" s="31">
        <f t="shared" si="14"/>
        <v>13.7133142328</v>
      </c>
      <c r="R42" s="31">
        <f t="shared" si="15"/>
        <v>0.41666666666424135</v>
      </c>
      <c r="S42" s="31">
        <f t="shared" si="22"/>
        <v>45257</v>
      </c>
      <c r="T42" s="31">
        <f t="shared" si="23"/>
        <v>35999.999999790452</v>
      </c>
      <c r="U42" s="31">
        <f t="shared" si="16"/>
        <v>35</v>
      </c>
      <c r="V42" s="31">
        <f t="shared" si="17"/>
        <v>3024000</v>
      </c>
      <c r="W42" s="31">
        <f t="shared" si="18"/>
        <v>3059999.9999997905</v>
      </c>
      <c r="X42" s="31">
        <f t="shared" si="24"/>
        <v>2840399.9999997905</v>
      </c>
      <c r="Y42" s="31">
        <f t="shared" si="25"/>
        <v>0</v>
      </c>
      <c r="Z42" s="31">
        <f t="shared" si="26"/>
        <v>0</v>
      </c>
      <c r="AA42" s="31">
        <v>96</v>
      </c>
    </row>
    <row r="43" spans="1:27" x14ac:dyDescent="0.25">
      <c r="A43" s="74" t="s">
        <v>188</v>
      </c>
      <c r="B43" s="74" t="s">
        <v>173</v>
      </c>
      <c r="C43" s="45" t="str">
        <f t="shared" si="0"/>
        <v>27-11-2023 13:00</v>
      </c>
      <c r="D43" s="96">
        <f>243*2</f>
        <v>486</v>
      </c>
      <c r="E43" s="96">
        <f>61*2</f>
        <v>122</v>
      </c>
      <c r="F43" s="96">
        <v>0</v>
      </c>
      <c r="G43" s="96"/>
      <c r="I43" s="96">
        <v>1</v>
      </c>
      <c r="J43" s="31">
        <f t="shared" si="21"/>
        <v>42.657300000000006</v>
      </c>
      <c r="K43" s="31">
        <f t="shared" si="9"/>
        <v>65.265669000000017</v>
      </c>
      <c r="L43" s="31">
        <f t="shared" si="10"/>
        <v>323.47261800000001</v>
      </c>
      <c r="M43" s="31">
        <f t="shared" si="19"/>
        <v>80.538640000000001</v>
      </c>
      <c r="N43" s="31">
        <f t="shared" si="11"/>
        <v>31.719115134000006</v>
      </c>
      <c r="O43" s="31">
        <f t="shared" si="12"/>
        <v>39.463659396000004</v>
      </c>
      <c r="P43" s="31">
        <f t="shared" si="13"/>
        <v>0</v>
      </c>
      <c r="Q43" s="31">
        <f t="shared" si="14"/>
        <v>71.182774530000017</v>
      </c>
      <c r="R43" s="31">
        <f t="shared" si="15"/>
        <v>0.54166666666424135</v>
      </c>
      <c r="S43" s="31">
        <f t="shared" si="22"/>
        <v>45257</v>
      </c>
      <c r="T43" s="31">
        <f t="shared" si="23"/>
        <v>46799.999999790452</v>
      </c>
      <c r="U43" s="31">
        <f t="shared" si="16"/>
        <v>35</v>
      </c>
      <c r="V43" s="31">
        <f t="shared" si="17"/>
        <v>3024000</v>
      </c>
      <c r="W43" s="31">
        <f t="shared" si="18"/>
        <v>3070799.9999997905</v>
      </c>
      <c r="X43" s="31">
        <f t="shared" si="24"/>
        <v>2851199.9999997905</v>
      </c>
      <c r="Y43" s="31">
        <f t="shared" si="25"/>
        <v>122</v>
      </c>
      <c r="Z43" s="31">
        <f t="shared" si="26"/>
        <v>486</v>
      </c>
      <c r="AA43" s="31">
        <v>96</v>
      </c>
    </row>
    <row r="44" spans="1:27" x14ac:dyDescent="0.25">
      <c r="A44" s="74" t="s">
        <v>189</v>
      </c>
      <c r="B44" s="74" t="s">
        <v>156</v>
      </c>
      <c r="C44" s="45" t="str">
        <f t="shared" si="0"/>
        <v>29-11-2023 10:00</v>
      </c>
      <c r="D44" s="96">
        <v>0</v>
      </c>
      <c r="E44" s="96">
        <v>0</v>
      </c>
      <c r="F44" s="96">
        <f>G42-G44</f>
        <v>196.27999999999997</v>
      </c>
      <c r="G44" s="96">
        <v>874.8</v>
      </c>
      <c r="I44" s="96">
        <v>1</v>
      </c>
      <c r="J44" s="31">
        <f t="shared" si="21"/>
        <v>42.657300000000006</v>
      </c>
      <c r="K44" s="31">
        <f t="shared" si="9"/>
        <v>65.265669000000017</v>
      </c>
      <c r="L44" s="31">
        <f t="shared" si="10"/>
        <v>323.47261800000001</v>
      </c>
      <c r="M44" s="31">
        <f t="shared" si="19"/>
        <v>80.538640000000001</v>
      </c>
      <c r="N44" s="31">
        <f t="shared" si="11"/>
        <v>0</v>
      </c>
      <c r="O44" s="31">
        <f t="shared" si="12"/>
        <v>0</v>
      </c>
      <c r="P44" s="31">
        <f t="shared" si="13"/>
        <v>15.808124259199998</v>
      </c>
      <c r="Q44" s="31">
        <f t="shared" si="14"/>
        <v>15.808124259199998</v>
      </c>
      <c r="R44" s="31">
        <f t="shared" si="15"/>
        <v>0.41666666666424135</v>
      </c>
      <c r="S44" s="31">
        <f t="shared" si="22"/>
        <v>45259</v>
      </c>
      <c r="T44" s="31">
        <f t="shared" si="23"/>
        <v>35999.999999790452</v>
      </c>
      <c r="U44" s="31">
        <f t="shared" si="16"/>
        <v>37</v>
      </c>
      <c r="V44" s="31">
        <f t="shared" si="17"/>
        <v>3196800</v>
      </c>
      <c r="W44" s="31">
        <f t="shared" si="18"/>
        <v>3232799.9999997905</v>
      </c>
      <c r="X44" s="31">
        <f t="shared" si="24"/>
        <v>3013199.9999997905</v>
      </c>
      <c r="Y44" s="31">
        <f t="shared" si="25"/>
        <v>0</v>
      </c>
      <c r="Z44" s="31">
        <f t="shared" si="26"/>
        <v>0</v>
      </c>
      <c r="AA44" s="31">
        <v>96</v>
      </c>
    </row>
    <row r="45" spans="1:27" x14ac:dyDescent="0.25">
      <c r="A45" s="74" t="s">
        <v>189</v>
      </c>
      <c r="B45" s="74" t="s">
        <v>156</v>
      </c>
      <c r="C45" s="45" t="str">
        <f t="shared" si="0"/>
        <v>29-11-2023 10:00</v>
      </c>
      <c r="D45" s="96"/>
      <c r="E45" s="96"/>
      <c r="F45" s="96"/>
      <c r="G45" s="96">
        <v>1103.79</v>
      </c>
      <c r="J45" s="31">
        <f t="shared" si="21"/>
        <v>42.657300000000006</v>
      </c>
      <c r="K45" s="31">
        <f t="shared" si="9"/>
        <v>65.265669000000017</v>
      </c>
      <c r="L45" s="31">
        <f t="shared" si="10"/>
        <v>323.47261800000001</v>
      </c>
      <c r="M45" s="31">
        <f t="shared" si="19"/>
        <v>80.538640000000001</v>
      </c>
      <c r="N45" s="31">
        <f t="shared" si="11"/>
        <v>0</v>
      </c>
      <c r="O45" s="31">
        <f t="shared" si="12"/>
        <v>0</v>
      </c>
      <c r="P45" s="31">
        <f t="shared" si="13"/>
        <v>0</v>
      </c>
      <c r="Q45" s="31">
        <f t="shared" si="14"/>
        <v>0</v>
      </c>
      <c r="R45" s="31">
        <f t="shared" si="15"/>
        <v>0.41666666666424135</v>
      </c>
      <c r="S45" s="31">
        <f t="shared" si="22"/>
        <v>45259</v>
      </c>
      <c r="T45" s="31">
        <f t="shared" si="23"/>
        <v>35999.999999790452</v>
      </c>
      <c r="U45" s="31">
        <f t="shared" si="16"/>
        <v>37</v>
      </c>
      <c r="V45" s="31">
        <f t="shared" si="17"/>
        <v>3196800</v>
      </c>
      <c r="W45" s="31">
        <f t="shared" si="18"/>
        <v>3232799.9999997905</v>
      </c>
      <c r="X45" s="31">
        <f t="shared" si="24"/>
        <v>3013199.9999997905</v>
      </c>
      <c r="Y45" s="31">
        <f t="shared" si="25"/>
        <v>0</v>
      </c>
      <c r="Z45" s="31">
        <f t="shared" si="26"/>
        <v>0</v>
      </c>
      <c r="AA45" s="31">
        <v>96</v>
      </c>
    </row>
    <row r="46" spans="1:27" x14ac:dyDescent="0.25">
      <c r="A46" s="74" t="s">
        <v>189</v>
      </c>
      <c r="B46" s="74" t="s">
        <v>173</v>
      </c>
      <c r="C46" s="45" t="str">
        <f t="shared" si="0"/>
        <v>29-11-2023 13:00</v>
      </c>
      <c r="D46" s="96">
        <f>243*2</f>
        <v>486</v>
      </c>
      <c r="E46" s="96">
        <f>61*2</f>
        <v>122</v>
      </c>
      <c r="F46" s="96">
        <v>0</v>
      </c>
      <c r="G46" s="96"/>
      <c r="I46" s="96">
        <v>1</v>
      </c>
      <c r="J46" s="31">
        <f t="shared" si="21"/>
        <v>42.657300000000006</v>
      </c>
      <c r="K46" s="31">
        <f t="shared" si="9"/>
        <v>65.265669000000017</v>
      </c>
      <c r="L46" s="31">
        <f t="shared" si="10"/>
        <v>323.47261800000001</v>
      </c>
      <c r="M46" s="31">
        <f t="shared" si="19"/>
        <v>80.538640000000001</v>
      </c>
      <c r="N46" s="31">
        <f t="shared" si="11"/>
        <v>31.719115134000006</v>
      </c>
      <c r="O46" s="31">
        <f t="shared" si="12"/>
        <v>39.463659396000004</v>
      </c>
      <c r="P46" s="31">
        <f t="shared" si="13"/>
        <v>0</v>
      </c>
      <c r="Q46" s="31">
        <f t="shared" si="14"/>
        <v>71.182774530000017</v>
      </c>
      <c r="R46" s="31">
        <f t="shared" si="15"/>
        <v>0.54166666666424135</v>
      </c>
      <c r="S46" s="31">
        <f t="shared" si="22"/>
        <v>45259</v>
      </c>
      <c r="T46" s="31">
        <f t="shared" si="23"/>
        <v>46799.999999790452</v>
      </c>
      <c r="U46" s="31">
        <f t="shared" si="16"/>
        <v>37</v>
      </c>
      <c r="V46" s="31">
        <f t="shared" si="17"/>
        <v>3196800</v>
      </c>
      <c r="W46" s="31">
        <f t="shared" si="18"/>
        <v>3243599.9999997905</v>
      </c>
      <c r="X46" s="31">
        <f t="shared" si="24"/>
        <v>3023999.9999997905</v>
      </c>
      <c r="Y46" s="31">
        <f t="shared" si="25"/>
        <v>122</v>
      </c>
      <c r="Z46" s="31">
        <f t="shared" si="26"/>
        <v>486</v>
      </c>
      <c r="AA46" s="31">
        <v>96</v>
      </c>
    </row>
    <row r="47" spans="1:27" x14ac:dyDescent="0.25">
      <c r="A47" s="74" t="s">
        <v>190</v>
      </c>
      <c r="B47" s="74" t="s">
        <v>191</v>
      </c>
      <c r="C47" s="45" t="str">
        <f t="shared" si="0"/>
        <v>01-12-2023 09:45</v>
      </c>
      <c r="D47" s="96">
        <v>0</v>
      </c>
      <c r="E47" s="96">
        <v>0</v>
      </c>
      <c r="F47" s="96">
        <f>G45-G47</f>
        <v>191.51</v>
      </c>
      <c r="G47" s="96">
        <v>912.28</v>
      </c>
      <c r="H47" s="61" t="s">
        <v>270</v>
      </c>
      <c r="I47" s="96">
        <v>1</v>
      </c>
      <c r="J47" s="31">
        <f t="shared" si="21"/>
        <v>42.657300000000006</v>
      </c>
      <c r="K47" s="31">
        <f t="shared" si="9"/>
        <v>65.265669000000017</v>
      </c>
      <c r="L47" s="31">
        <f t="shared" si="10"/>
        <v>323.47261800000001</v>
      </c>
      <c r="M47" s="31">
        <f t="shared" si="19"/>
        <v>80.538640000000001</v>
      </c>
      <c r="N47" s="31">
        <f t="shared" si="11"/>
        <v>0</v>
      </c>
      <c r="O47" s="31">
        <f t="shared" si="12"/>
        <v>0</v>
      </c>
      <c r="P47" s="31">
        <f t="shared" si="13"/>
        <v>15.423954946399999</v>
      </c>
      <c r="Q47" s="31">
        <f t="shared" si="14"/>
        <v>15.423954946399999</v>
      </c>
      <c r="R47" s="31">
        <f t="shared" si="15"/>
        <v>0.40625</v>
      </c>
      <c r="S47" s="31">
        <f t="shared" si="22"/>
        <v>45261</v>
      </c>
      <c r="T47" s="31">
        <f t="shared" si="23"/>
        <v>35100</v>
      </c>
      <c r="U47" s="31">
        <f t="shared" si="16"/>
        <v>39</v>
      </c>
      <c r="V47" s="31">
        <f t="shared" si="17"/>
        <v>3369600</v>
      </c>
      <c r="W47" s="31">
        <f t="shared" si="18"/>
        <v>3404700</v>
      </c>
      <c r="X47" s="31">
        <f t="shared" si="24"/>
        <v>3185100</v>
      </c>
      <c r="Y47" s="31">
        <f t="shared" si="25"/>
        <v>0</v>
      </c>
      <c r="Z47" s="31">
        <f t="shared" si="26"/>
        <v>0</v>
      </c>
      <c r="AA47" s="31">
        <v>96</v>
      </c>
    </row>
    <row r="48" spans="1:27" x14ac:dyDescent="0.25">
      <c r="A48" s="74" t="s">
        <v>190</v>
      </c>
      <c r="B48" s="74" t="s">
        <v>171</v>
      </c>
      <c r="C48" s="45" t="str">
        <f t="shared" si="0"/>
        <v>01-12-2023 12:30</v>
      </c>
      <c r="D48" s="96"/>
      <c r="E48" s="96"/>
      <c r="F48" s="96"/>
      <c r="G48" s="96">
        <v>1168.48</v>
      </c>
      <c r="H48" s="61" t="s">
        <v>273</v>
      </c>
      <c r="J48" s="31">
        <f t="shared" si="21"/>
        <v>42.657300000000006</v>
      </c>
      <c r="K48" s="31">
        <f t="shared" si="9"/>
        <v>65.265669000000017</v>
      </c>
      <c r="L48" s="31">
        <f t="shared" si="10"/>
        <v>323.47261800000001</v>
      </c>
      <c r="M48" s="31">
        <f t="shared" si="19"/>
        <v>80.538640000000001</v>
      </c>
      <c r="N48" s="31">
        <f t="shared" si="11"/>
        <v>0</v>
      </c>
      <c r="O48" s="31">
        <f t="shared" si="12"/>
        <v>0</v>
      </c>
      <c r="P48" s="31">
        <f t="shared" si="13"/>
        <v>0</v>
      </c>
      <c r="Q48" s="31">
        <f t="shared" si="14"/>
        <v>0</v>
      </c>
      <c r="R48" s="31">
        <f t="shared" si="15"/>
        <v>0.52083333333575865</v>
      </c>
      <c r="S48" s="31">
        <f t="shared" si="22"/>
        <v>45261</v>
      </c>
      <c r="T48" s="31">
        <f t="shared" si="23"/>
        <v>45000.000000209548</v>
      </c>
      <c r="U48" s="31">
        <f t="shared" si="16"/>
        <v>39</v>
      </c>
      <c r="V48" s="31">
        <f t="shared" si="17"/>
        <v>3369600</v>
      </c>
      <c r="W48" s="31">
        <f t="shared" si="18"/>
        <v>3414600.0000002095</v>
      </c>
      <c r="X48" s="31">
        <f t="shared" si="24"/>
        <v>3195000.0000002095</v>
      </c>
      <c r="Y48" s="31">
        <f t="shared" si="25"/>
        <v>0</v>
      </c>
      <c r="Z48" s="31">
        <f t="shared" si="26"/>
        <v>0</v>
      </c>
      <c r="AA48" s="31">
        <v>96</v>
      </c>
    </row>
    <row r="49" spans="1:27" x14ac:dyDescent="0.25">
      <c r="A49" s="74" t="s">
        <v>190</v>
      </c>
      <c r="B49" s="74" t="s">
        <v>193</v>
      </c>
      <c r="C49" s="45" t="str">
        <f t="shared" si="0"/>
        <v>01-12-2023 13:40</v>
      </c>
      <c r="D49" s="96">
        <v>365</v>
      </c>
      <c r="E49" s="96">
        <v>91.5</v>
      </c>
      <c r="F49" s="96">
        <v>0</v>
      </c>
      <c r="G49" s="96"/>
      <c r="H49" s="64" t="s">
        <v>194</v>
      </c>
      <c r="I49" s="96">
        <v>1</v>
      </c>
      <c r="J49" s="31">
        <f t="shared" si="21"/>
        <v>42.657300000000006</v>
      </c>
      <c r="K49" s="31">
        <f t="shared" si="9"/>
        <v>65.265669000000017</v>
      </c>
      <c r="L49" s="31">
        <f t="shared" si="10"/>
        <v>323.47261800000001</v>
      </c>
      <c r="M49" s="31">
        <f t="shared" si="19"/>
        <v>80.538640000000001</v>
      </c>
      <c r="N49" s="31">
        <f t="shared" si="11"/>
        <v>23.821969185000004</v>
      </c>
      <c r="O49" s="31">
        <f t="shared" si="12"/>
        <v>29.597744547000001</v>
      </c>
      <c r="P49" s="31">
        <f t="shared" si="13"/>
        <v>0</v>
      </c>
      <c r="Q49" s="31">
        <f t="shared" si="14"/>
        <v>53.419713732000005</v>
      </c>
      <c r="R49" s="31">
        <f t="shared" si="15"/>
        <v>0.56944444444525288</v>
      </c>
      <c r="S49" s="31">
        <f t="shared" si="22"/>
        <v>45261</v>
      </c>
      <c r="T49" s="31">
        <f t="shared" si="23"/>
        <v>49200.000000069849</v>
      </c>
      <c r="U49" s="31">
        <f t="shared" si="16"/>
        <v>39</v>
      </c>
      <c r="V49" s="31">
        <f t="shared" si="17"/>
        <v>3369600</v>
      </c>
      <c r="W49" s="31">
        <f t="shared" si="18"/>
        <v>3418800.0000000698</v>
      </c>
      <c r="X49" s="31">
        <f t="shared" si="24"/>
        <v>3199200.0000000698</v>
      </c>
      <c r="Y49" s="31">
        <f t="shared" si="25"/>
        <v>91.5</v>
      </c>
      <c r="Z49" s="31">
        <f t="shared" si="26"/>
        <v>365</v>
      </c>
      <c r="AA49" s="31">
        <v>96</v>
      </c>
    </row>
    <row r="50" spans="1:27" x14ac:dyDescent="0.25">
      <c r="A50" s="74" t="s">
        <v>195</v>
      </c>
      <c r="B50" s="74" t="s">
        <v>185</v>
      </c>
      <c r="C50" s="45" t="str">
        <f t="shared" si="0"/>
        <v>04-12-2023 10:30</v>
      </c>
      <c r="D50" s="96">
        <v>0</v>
      </c>
      <c r="E50" s="96">
        <v>0</v>
      </c>
      <c r="F50" s="96">
        <f>G48-G50</f>
        <v>276.63</v>
      </c>
      <c r="G50" s="96">
        <v>891.85</v>
      </c>
      <c r="I50" s="96">
        <v>1</v>
      </c>
      <c r="J50" s="31">
        <f t="shared" si="21"/>
        <v>42.657300000000006</v>
      </c>
      <c r="K50" s="31">
        <f t="shared" si="9"/>
        <v>65.265669000000017</v>
      </c>
      <c r="L50" s="31">
        <f t="shared" si="10"/>
        <v>323.47261800000001</v>
      </c>
      <c r="M50" s="31">
        <f t="shared" si="19"/>
        <v>80.538640000000001</v>
      </c>
      <c r="N50" s="31">
        <f t="shared" si="11"/>
        <v>0</v>
      </c>
      <c r="O50" s="31">
        <f t="shared" si="12"/>
        <v>0</v>
      </c>
      <c r="P50" s="31">
        <f t="shared" si="13"/>
        <v>22.279403983200002</v>
      </c>
      <c r="Q50" s="31">
        <f t="shared" si="14"/>
        <v>22.279403983200002</v>
      </c>
      <c r="R50" s="31">
        <f t="shared" si="15"/>
        <v>0.4375</v>
      </c>
      <c r="S50" s="31">
        <f t="shared" si="22"/>
        <v>45264</v>
      </c>
      <c r="T50" s="31">
        <f t="shared" si="23"/>
        <v>37800</v>
      </c>
      <c r="U50" s="31">
        <f t="shared" si="16"/>
        <v>42</v>
      </c>
      <c r="V50" s="31">
        <f t="shared" si="17"/>
        <v>3628800</v>
      </c>
      <c r="W50" s="31">
        <f t="shared" si="18"/>
        <v>3666600</v>
      </c>
      <c r="X50" s="31">
        <f t="shared" si="24"/>
        <v>3447000</v>
      </c>
      <c r="Y50" s="31">
        <f t="shared" si="25"/>
        <v>0</v>
      </c>
      <c r="Z50" s="31">
        <f t="shared" si="26"/>
        <v>0</v>
      </c>
      <c r="AA50" s="31">
        <v>96</v>
      </c>
    </row>
    <row r="51" spans="1:27" x14ac:dyDescent="0.25">
      <c r="A51" s="74" t="s">
        <v>195</v>
      </c>
      <c r="B51" s="74" t="s">
        <v>185</v>
      </c>
      <c r="C51" s="45" t="str">
        <f t="shared" si="0"/>
        <v>04-12-2023 10:30</v>
      </c>
      <c r="D51" s="96"/>
      <c r="E51" s="96"/>
      <c r="F51" s="96"/>
      <c r="G51" s="96">
        <v>1054.05</v>
      </c>
      <c r="I51" s="74"/>
      <c r="J51" s="31">
        <f t="shared" si="21"/>
        <v>42.657300000000006</v>
      </c>
      <c r="K51" s="31">
        <f t="shared" si="9"/>
        <v>65.265669000000017</v>
      </c>
      <c r="L51" s="31">
        <f t="shared" si="10"/>
        <v>323.47261800000001</v>
      </c>
      <c r="M51" s="31">
        <f t="shared" si="19"/>
        <v>80.538640000000001</v>
      </c>
      <c r="N51" s="31">
        <f t="shared" si="11"/>
        <v>0</v>
      </c>
      <c r="O51" s="31">
        <f t="shared" si="12"/>
        <v>0</v>
      </c>
      <c r="P51" s="31">
        <f t="shared" si="13"/>
        <v>0</v>
      </c>
      <c r="Q51" s="31">
        <f t="shared" si="14"/>
        <v>0</v>
      </c>
      <c r="R51" s="31">
        <f t="shared" si="15"/>
        <v>0.4375</v>
      </c>
      <c r="S51" s="31">
        <f t="shared" si="22"/>
        <v>45264</v>
      </c>
      <c r="T51" s="31">
        <f t="shared" si="23"/>
        <v>37800</v>
      </c>
      <c r="U51" s="31">
        <f t="shared" si="16"/>
        <v>42</v>
      </c>
      <c r="V51" s="31">
        <f t="shared" si="17"/>
        <v>3628800</v>
      </c>
      <c r="W51" s="31">
        <f t="shared" si="18"/>
        <v>3666600</v>
      </c>
      <c r="X51" s="31">
        <f t="shared" si="24"/>
        <v>3447000</v>
      </c>
      <c r="Y51" s="31">
        <f t="shared" si="25"/>
        <v>0</v>
      </c>
      <c r="Z51" s="31">
        <f t="shared" si="26"/>
        <v>0</v>
      </c>
      <c r="AA51" s="31">
        <v>96</v>
      </c>
    </row>
    <row r="52" spans="1:27" x14ac:dyDescent="0.25">
      <c r="A52" s="74" t="s">
        <v>195</v>
      </c>
      <c r="B52" s="74" t="s">
        <v>196</v>
      </c>
      <c r="C52" s="45" t="str">
        <f t="shared" si="0"/>
        <v>04-12-2023 16:00</v>
      </c>
      <c r="D52" s="96">
        <v>243</v>
      </c>
      <c r="E52" s="96">
        <v>61</v>
      </c>
      <c r="F52" s="96">
        <v>0</v>
      </c>
      <c r="G52" s="96"/>
      <c r="I52" s="96">
        <v>1</v>
      </c>
      <c r="J52" s="31">
        <f t="shared" si="21"/>
        <v>42.657300000000006</v>
      </c>
      <c r="K52" s="31">
        <f t="shared" si="9"/>
        <v>65.265669000000017</v>
      </c>
      <c r="L52" s="31">
        <f t="shared" si="10"/>
        <v>323.47261800000001</v>
      </c>
      <c r="M52" s="31">
        <f t="shared" si="19"/>
        <v>80.538640000000001</v>
      </c>
      <c r="N52" s="31">
        <f t="shared" si="11"/>
        <v>15.859557567000003</v>
      </c>
      <c r="O52" s="31">
        <f t="shared" si="12"/>
        <v>19.731829698000002</v>
      </c>
      <c r="P52" s="31">
        <f t="shared" si="13"/>
        <v>0</v>
      </c>
      <c r="Q52" s="31">
        <f t="shared" si="14"/>
        <v>35.591387265000009</v>
      </c>
      <c r="R52" s="31">
        <f t="shared" si="15"/>
        <v>0.66666666666424135</v>
      </c>
      <c r="S52" s="31">
        <f t="shared" si="22"/>
        <v>45264</v>
      </c>
      <c r="T52" s="31">
        <f t="shared" si="23"/>
        <v>57599.999999790452</v>
      </c>
      <c r="U52" s="31">
        <f t="shared" si="16"/>
        <v>42</v>
      </c>
      <c r="V52" s="31">
        <f t="shared" si="17"/>
        <v>3628800</v>
      </c>
      <c r="W52" s="31">
        <f t="shared" si="18"/>
        <v>3686399.9999997905</v>
      </c>
      <c r="X52" s="31">
        <f t="shared" si="24"/>
        <v>3466799.9999997905</v>
      </c>
      <c r="Y52" s="31">
        <f t="shared" si="25"/>
        <v>61</v>
      </c>
      <c r="Z52" s="31">
        <f t="shared" si="26"/>
        <v>243</v>
      </c>
      <c r="AA52" s="31">
        <v>96</v>
      </c>
    </row>
    <row r="53" spans="1:27" x14ac:dyDescent="0.25">
      <c r="A53" s="74" t="s">
        <v>197</v>
      </c>
      <c r="B53" s="74" t="s">
        <v>185</v>
      </c>
      <c r="C53" s="45" t="str">
        <f t="shared" si="0"/>
        <v>06-12-2023 10:30</v>
      </c>
      <c r="D53" s="96">
        <v>0</v>
      </c>
      <c r="E53" s="96">
        <v>0</v>
      </c>
      <c r="F53" s="96">
        <f>G51-G53</f>
        <v>174.26</v>
      </c>
      <c r="G53" s="96">
        <v>879.79</v>
      </c>
      <c r="I53" s="96">
        <v>1</v>
      </c>
      <c r="J53" s="31">
        <f t="shared" si="21"/>
        <v>42.657300000000006</v>
      </c>
      <c r="K53" s="31">
        <f t="shared" si="9"/>
        <v>65.265669000000017</v>
      </c>
      <c r="L53" s="31">
        <f t="shared" si="10"/>
        <v>323.47261800000001</v>
      </c>
      <c r="M53" s="31">
        <f t="shared" si="19"/>
        <v>80.538640000000001</v>
      </c>
      <c r="N53" s="31">
        <f t="shared" si="11"/>
        <v>0</v>
      </c>
      <c r="O53" s="31">
        <f t="shared" si="12"/>
        <v>0</v>
      </c>
      <c r="P53" s="31">
        <f t="shared" si="13"/>
        <v>14.034663406399998</v>
      </c>
      <c r="Q53" s="31">
        <f t="shared" si="14"/>
        <v>14.034663406399998</v>
      </c>
      <c r="R53" s="31">
        <f t="shared" si="15"/>
        <v>0.4375</v>
      </c>
      <c r="S53" s="31">
        <f t="shared" si="22"/>
        <v>45266</v>
      </c>
      <c r="T53" s="31">
        <f t="shared" si="23"/>
        <v>37800</v>
      </c>
      <c r="U53" s="31">
        <f t="shared" si="16"/>
        <v>44</v>
      </c>
      <c r="V53" s="31">
        <f t="shared" si="17"/>
        <v>3801600</v>
      </c>
      <c r="W53" s="31">
        <f t="shared" si="18"/>
        <v>3839400</v>
      </c>
      <c r="X53" s="31">
        <f t="shared" si="24"/>
        <v>3619800</v>
      </c>
      <c r="Y53" s="31">
        <f t="shared" si="25"/>
        <v>0</v>
      </c>
      <c r="Z53" s="31">
        <f t="shared" si="26"/>
        <v>0</v>
      </c>
      <c r="AA53" s="31">
        <v>96</v>
      </c>
    </row>
    <row r="54" spans="1:27" x14ac:dyDescent="0.25">
      <c r="A54" s="74" t="s">
        <v>197</v>
      </c>
      <c r="B54" s="74" t="s">
        <v>185</v>
      </c>
      <c r="C54" s="45" t="str">
        <f t="shared" si="0"/>
        <v>06-12-2023 10:30</v>
      </c>
      <c r="D54" s="96"/>
      <c r="E54" s="96"/>
      <c r="F54" s="96"/>
      <c r="G54" s="96">
        <v>1409.7</v>
      </c>
      <c r="J54" s="31">
        <f t="shared" si="21"/>
        <v>42.657300000000006</v>
      </c>
      <c r="K54" s="31">
        <f t="shared" si="9"/>
        <v>65.265669000000017</v>
      </c>
      <c r="L54" s="31">
        <f t="shared" si="10"/>
        <v>323.47261800000001</v>
      </c>
      <c r="M54" s="31">
        <f t="shared" si="19"/>
        <v>80.538640000000001</v>
      </c>
      <c r="N54" s="31">
        <f t="shared" si="11"/>
        <v>0</v>
      </c>
      <c r="O54" s="31">
        <f t="shared" si="12"/>
        <v>0</v>
      </c>
      <c r="P54" s="31">
        <f t="shared" si="13"/>
        <v>0</v>
      </c>
      <c r="Q54" s="31">
        <f t="shared" si="14"/>
        <v>0</v>
      </c>
      <c r="R54" s="31">
        <f t="shared" si="15"/>
        <v>0.4375</v>
      </c>
      <c r="S54" s="31">
        <f t="shared" si="22"/>
        <v>45266</v>
      </c>
      <c r="T54" s="31">
        <f t="shared" si="23"/>
        <v>37800</v>
      </c>
      <c r="U54" s="31">
        <f t="shared" si="16"/>
        <v>44</v>
      </c>
      <c r="V54" s="31">
        <f t="shared" si="17"/>
        <v>3801600</v>
      </c>
      <c r="W54" s="31">
        <f t="shared" si="18"/>
        <v>3839400</v>
      </c>
      <c r="X54" s="31">
        <f t="shared" si="24"/>
        <v>3619800</v>
      </c>
      <c r="Y54" s="31">
        <f t="shared" si="25"/>
        <v>0</v>
      </c>
      <c r="Z54" s="31">
        <f t="shared" si="26"/>
        <v>0</v>
      </c>
      <c r="AA54" s="31">
        <v>96</v>
      </c>
    </row>
    <row r="55" spans="1:27" x14ac:dyDescent="0.25">
      <c r="A55" s="74" t="s">
        <v>197</v>
      </c>
      <c r="B55" s="74" t="s">
        <v>171</v>
      </c>
      <c r="C55" s="45" t="str">
        <f t="shared" si="0"/>
        <v>06-12-2023 12:30</v>
      </c>
      <c r="D55" s="96">
        <f>243*2</f>
        <v>486</v>
      </c>
      <c r="E55" s="96">
        <f>61*2</f>
        <v>122</v>
      </c>
      <c r="F55" s="96">
        <v>0</v>
      </c>
      <c r="G55" s="96"/>
      <c r="I55" s="96">
        <v>1</v>
      </c>
      <c r="J55" s="31">
        <f t="shared" si="21"/>
        <v>42.657300000000006</v>
      </c>
      <c r="K55" s="31">
        <f t="shared" si="9"/>
        <v>65.265669000000017</v>
      </c>
      <c r="L55" s="31">
        <f t="shared" si="10"/>
        <v>323.47261800000001</v>
      </c>
      <c r="M55" s="31">
        <f t="shared" si="19"/>
        <v>80.538640000000001</v>
      </c>
      <c r="N55" s="31">
        <f t="shared" si="11"/>
        <v>31.719115134000006</v>
      </c>
      <c r="O55" s="31">
        <f t="shared" si="12"/>
        <v>39.463659396000004</v>
      </c>
      <c r="P55" s="31">
        <f t="shared" si="13"/>
        <v>0</v>
      </c>
      <c r="Q55" s="31">
        <f t="shared" si="14"/>
        <v>71.182774530000017</v>
      </c>
      <c r="R55" s="31">
        <f t="shared" si="15"/>
        <v>0.52083333333575865</v>
      </c>
      <c r="S55" s="31">
        <f t="shared" si="22"/>
        <v>45266</v>
      </c>
      <c r="T55" s="31">
        <f t="shared" si="23"/>
        <v>45000.000000209548</v>
      </c>
      <c r="U55" s="31">
        <f t="shared" si="16"/>
        <v>44</v>
      </c>
      <c r="V55" s="31">
        <f t="shared" si="17"/>
        <v>3801600</v>
      </c>
      <c r="W55" s="31">
        <f t="shared" si="18"/>
        <v>3846600.0000002095</v>
      </c>
      <c r="X55" s="31">
        <f t="shared" si="24"/>
        <v>3627000.0000002095</v>
      </c>
      <c r="Y55" s="31">
        <f t="shared" si="25"/>
        <v>122</v>
      </c>
      <c r="Z55" s="31">
        <f t="shared" si="26"/>
        <v>486</v>
      </c>
      <c r="AA55" s="31">
        <v>96</v>
      </c>
    </row>
    <row r="56" spans="1:27" x14ac:dyDescent="0.25">
      <c r="A56" s="74" t="s">
        <v>198</v>
      </c>
      <c r="B56" s="74" t="s">
        <v>274</v>
      </c>
      <c r="C56" s="45" t="str">
        <f t="shared" si="0"/>
        <v>11-12-2023 11:35</v>
      </c>
      <c r="D56" s="96">
        <v>0</v>
      </c>
      <c r="E56" s="96">
        <v>122</v>
      </c>
      <c r="F56" s="96">
        <v>0</v>
      </c>
      <c r="G56" s="96"/>
      <c r="I56" s="96">
        <v>1</v>
      </c>
      <c r="J56" s="31">
        <f t="shared" si="21"/>
        <v>42.657300000000006</v>
      </c>
      <c r="K56" s="31">
        <f t="shared" si="9"/>
        <v>65.265669000000017</v>
      </c>
      <c r="L56" s="31">
        <f t="shared" si="10"/>
        <v>323.47261800000001</v>
      </c>
      <c r="M56" s="31">
        <f t="shared" si="19"/>
        <v>80.538640000000001</v>
      </c>
      <c r="N56" s="31">
        <f t="shared" si="11"/>
        <v>0</v>
      </c>
      <c r="O56" s="31">
        <f t="shared" si="12"/>
        <v>39.463659396000004</v>
      </c>
      <c r="P56" s="31">
        <f t="shared" si="13"/>
        <v>0</v>
      </c>
      <c r="Q56" s="31">
        <f t="shared" si="14"/>
        <v>39.463659396000004</v>
      </c>
      <c r="R56" s="31">
        <f t="shared" si="15"/>
        <v>0.48263888889050577</v>
      </c>
      <c r="S56" s="31">
        <f t="shared" si="22"/>
        <v>45271</v>
      </c>
      <c r="T56" s="31">
        <f t="shared" si="23"/>
        <v>41700.000000139698</v>
      </c>
      <c r="U56" s="31">
        <f t="shared" si="16"/>
        <v>49</v>
      </c>
      <c r="V56" s="31">
        <f t="shared" si="17"/>
        <v>4233600</v>
      </c>
      <c r="W56" s="31">
        <f t="shared" si="18"/>
        <v>4275300.0000001397</v>
      </c>
      <c r="X56" s="31">
        <f t="shared" si="24"/>
        <v>4055700.0000001397</v>
      </c>
      <c r="Y56" s="31">
        <f t="shared" si="25"/>
        <v>122</v>
      </c>
      <c r="Z56" s="31">
        <f t="shared" si="26"/>
        <v>0</v>
      </c>
      <c r="AA56" s="31">
        <v>96</v>
      </c>
    </row>
    <row r="57" spans="1:27" x14ac:dyDescent="0.25">
      <c r="A57" s="74" t="s">
        <v>198</v>
      </c>
      <c r="B57" s="74" t="s">
        <v>199</v>
      </c>
      <c r="C57" s="45" t="str">
        <f t="shared" si="0"/>
        <v>11-12-2023 11:50</v>
      </c>
      <c r="D57" s="96">
        <f>243*2</f>
        <v>486</v>
      </c>
      <c r="E57" s="96">
        <v>0</v>
      </c>
      <c r="F57" s="96">
        <v>0</v>
      </c>
      <c r="G57" s="96"/>
      <c r="I57" s="96">
        <v>1</v>
      </c>
      <c r="J57" s="31">
        <f t="shared" si="21"/>
        <v>42.657300000000006</v>
      </c>
      <c r="K57" s="31">
        <f t="shared" si="9"/>
        <v>65.265669000000017</v>
      </c>
      <c r="L57" s="31">
        <f t="shared" si="10"/>
        <v>323.47261800000001</v>
      </c>
      <c r="M57" s="31">
        <f t="shared" si="19"/>
        <v>80.538640000000001</v>
      </c>
      <c r="N57" s="31">
        <f>K57*D57/1000</f>
        <v>31.719115134000006</v>
      </c>
      <c r="O57" s="31">
        <f t="shared" si="12"/>
        <v>0</v>
      </c>
      <c r="P57" s="31">
        <f t="shared" si="13"/>
        <v>0</v>
      </c>
      <c r="Q57" s="31">
        <f t="shared" si="14"/>
        <v>31.719115134000006</v>
      </c>
      <c r="R57" s="31">
        <f t="shared" si="15"/>
        <v>0.49305555555474712</v>
      </c>
      <c r="S57" s="31">
        <f t="shared" si="22"/>
        <v>45271</v>
      </c>
      <c r="T57" s="31">
        <f t="shared" si="23"/>
        <v>42599.999999930151</v>
      </c>
      <c r="U57" s="31">
        <f t="shared" si="16"/>
        <v>49</v>
      </c>
      <c r="V57" s="31">
        <f t="shared" si="17"/>
        <v>4233600</v>
      </c>
      <c r="W57" s="31">
        <f t="shared" si="18"/>
        <v>4276199.9999999302</v>
      </c>
      <c r="X57" s="31">
        <f t="shared" si="24"/>
        <v>4056599.9999999302</v>
      </c>
      <c r="Y57" s="31">
        <f t="shared" si="25"/>
        <v>0</v>
      </c>
      <c r="Z57" s="31">
        <f t="shared" si="26"/>
        <v>486</v>
      </c>
      <c r="AA57" s="31">
        <v>96</v>
      </c>
    </row>
    <row r="58" spans="1:27" x14ac:dyDescent="0.25">
      <c r="A58" s="74" t="s">
        <v>198</v>
      </c>
      <c r="B58" s="74" t="s">
        <v>137</v>
      </c>
      <c r="C58" s="45" t="str">
        <f t="shared" si="0"/>
        <v>11-12-2023 15:00</v>
      </c>
      <c r="D58" s="96">
        <v>0</v>
      </c>
      <c r="E58" s="96">
        <v>0</v>
      </c>
      <c r="F58" s="96">
        <f>G54-G58</f>
        <v>509.69000000000005</v>
      </c>
      <c r="G58" s="96">
        <v>900.01</v>
      </c>
      <c r="I58" s="96">
        <v>1</v>
      </c>
      <c r="J58" s="31">
        <f t="shared" si="21"/>
        <v>42.657300000000006</v>
      </c>
      <c r="K58" s="31">
        <f t="shared" si="9"/>
        <v>65.265669000000017</v>
      </c>
      <c r="L58" s="31">
        <f t="shared" si="10"/>
        <v>323.47261800000001</v>
      </c>
      <c r="M58" s="31">
        <f t="shared" si="19"/>
        <v>80.538640000000001</v>
      </c>
      <c r="N58" s="31">
        <f t="shared" si="11"/>
        <v>0</v>
      </c>
      <c r="O58" s="31">
        <f t="shared" si="12"/>
        <v>0</v>
      </c>
      <c r="P58" s="31">
        <f t="shared" si="13"/>
        <v>41.049739421600002</v>
      </c>
      <c r="Q58" s="31">
        <f t="shared" si="14"/>
        <v>41.049739421600002</v>
      </c>
      <c r="R58" s="31">
        <f t="shared" si="15"/>
        <v>0.625</v>
      </c>
      <c r="S58" s="31">
        <f t="shared" si="22"/>
        <v>45271</v>
      </c>
      <c r="T58" s="31">
        <f t="shared" si="23"/>
        <v>54000</v>
      </c>
      <c r="U58" s="31">
        <f t="shared" si="16"/>
        <v>49</v>
      </c>
      <c r="V58" s="31">
        <f t="shared" si="17"/>
        <v>4233600</v>
      </c>
      <c r="W58" s="31">
        <f t="shared" si="18"/>
        <v>4287600</v>
      </c>
      <c r="X58" s="31">
        <f t="shared" si="24"/>
        <v>4068000</v>
      </c>
      <c r="Y58" s="31">
        <f t="shared" si="25"/>
        <v>0</v>
      </c>
      <c r="Z58" s="31">
        <f t="shared" si="26"/>
        <v>0</v>
      </c>
      <c r="AA58" s="31">
        <v>96</v>
      </c>
    </row>
    <row r="59" spans="1:27" x14ac:dyDescent="0.25">
      <c r="A59" s="74" t="s">
        <v>198</v>
      </c>
      <c r="B59" s="74" t="s">
        <v>137</v>
      </c>
      <c r="C59" s="45" t="str">
        <f t="shared" si="0"/>
        <v>11-12-2023 15:00</v>
      </c>
      <c r="D59" s="96"/>
      <c r="E59" s="96"/>
      <c r="F59" s="96"/>
      <c r="G59" s="96">
        <v>1138.67</v>
      </c>
      <c r="I59" s="96"/>
      <c r="J59" s="31">
        <f t="shared" si="21"/>
        <v>42.657300000000006</v>
      </c>
      <c r="K59" s="31">
        <f t="shared" si="9"/>
        <v>65.265669000000017</v>
      </c>
      <c r="L59" s="31">
        <f t="shared" si="10"/>
        <v>323.47261800000001</v>
      </c>
      <c r="M59" s="31">
        <f t="shared" si="19"/>
        <v>80.538640000000001</v>
      </c>
      <c r="N59" s="31">
        <f t="shared" si="11"/>
        <v>0</v>
      </c>
      <c r="O59" s="31">
        <f t="shared" si="12"/>
        <v>0</v>
      </c>
      <c r="P59" s="31">
        <f t="shared" si="13"/>
        <v>0</v>
      </c>
      <c r="Q59" s="31">
        <f t="shared" si="14"/>
        <v>0</v>
      </c>
      <c r="R59" s="31">
        <f t="shared" si="15"/>
        <v>0.625</v>
      </c>
      <c r="S59" s="31">
        <f t="shared" si="22"/>
        <v>45271</v>
      </c>
      <c r="T59" s="31">
        <f t="shared" si="23"/>
        <v>54000</v>
      </c>
      <c r="U59" s="31">
        <f t="shared" si="16"/>
        <v>49</v>
      </c>
      <c r="V59" s="31">
        <f t="shared" si="17"/>
        <v>4233600</v>
      </c>
      <c r="W59" s="31">
        <f t="shared" si="18"/>
        <v>4287600</v>
      </c>
      <c r="X59" s="31">
        <f t="shared" si="24"/>
        <v>4068000</v>
      </c>
      <c r="Y59" s="31">
        <f t="shared" si="25"/>
        <v>0</v>
      </c>
      <c r="Z59" s="31">
        <f t="shared" si="26"/>
        <v>0</v>
      </c>
      <c r="AA59" s="31">
        <v>96</v>
      </c>
    </row>
    <row r="60" spans="1:27" x14ac:dyDescent="0.25">
      <c r="A60" s="74" t="s">
        <v>200</v>
      </c>
      <c r="B60" s="74" t="s">
        <v>180</v>
      </c>
      <c r="C60" s="45" t="str">
        <f t="shared" si="0"/>
        <v>13-12-2023 12:00</v>
      </c>
      <c r="D60" s="96"/>
      <c r="E60" s="96"/>
      <c r="F60" s="96"/>
      <c r="G60" s="96">
        <v>997.66</v>
      </c>
      <c r="J60" s="31">
        <f t="shared" ref="J60:J64" si="27">68.1*77.5/100</f>
        <v>52.777500000000003</v>
      </c>
      <c r="K60" s="31">
        <f t="shared" si="9"/>
        <v>80.749575000000007</v>
      </c>
      <c r="L60" s="31">
        <f>263.6*95.9/100*$L$2</f>
        <v>318.51842400000004</v>
      </c>
      <c r="M60" s="31">
        <f t="shared" si="19"/>
        <v>80.538640000000001</v>
      </c>
      <c r="N60" s="31">
        <f t="shared" si="11"/>
        <v>0</v>
      </c>
      <c r="O60" s="31">
        <f t="shared" si="12"/>
        <v>0</v>
      </c>
      <c r="P60" s="31">
        <f t="shared" si="13"/>
        <v>0</v>
      </c>
      <c r="Q60" s="31">
        <f t="shared" si="14"/>
        <v>0</v>
      </c>
      <c r="R60" s="31">
        <f t="shared" si="15"/>
        <v>0.5</v>
      </c>
      <c r="S60" s="31">
        <f t="shared" si="22"/>
        <v>45273</v>
      </c>
      <c r="T60" s="31">
        <f t="shared" si="23"/>
        <v>43200</v>
      </c>
      <c r="U60" s="31">
        <f t="shared" si="16"/>
        <v>51</v>
      </c>
      <c r="V60" s="31">
        <f t="shared" si="17"/>
        <v>4406400</v>
      </c>
      <c r="W60" s="31">
        <f t="shared" si="18"/>
        <v>4449600</v>
      </c>
      <c r="X60" s="31">
        <f t="shared" si="24"/>
        <v>4230000</v>
      </c>
      <c r="Y60" s="31">
        <f t="shared" si="25"/>
        <v>0</v>
      </c>
      <c r="Z60" s="31">
        <f t="shared" si="26"/>
        <v>0</v>
      </c>
      <c r="AA60" s="31">
        <v>96</v>
      </c>
    </row>
    <row r="61" spans="1:27" x14ac:dyDescent="0.25">
      <c r="A61" s="74" t="s">
        <v>200</v>
      </c>
      <c r="B61" s="74" t="s">
        <v>180</v>
      </c>
      <c r="C61" s="45" t="str">
        <f t="shared" si="0"/>
        <v>13-12-2023 12:00</v>
      </c>
      <c r="D61" s="96">
        <v>0</v>
      </c>
      <c r="E61" s="96">
        <v>0</v>
      </c>
      <c r="F61" s="96">
        <f>G59-G60</f>
        <v>141.0100000000001</v>
      </c>
      <c r="G61" s="96">
        <v>1114.52</v>
      </c>
      <c r="I61" s="96">
        <v>1</v>
      </c>
      <c r="J61" s="31">
        <f t="shared" si="27"/>
        <v>52.777500000000003</v>
      </c>
      <c r="K61" s="31">
        <f t="shared" si="9"/>
        <v>80.749575000000007</v>
      </c>
      <c r="L61" s="31">
        <f t="shared" ref="L61:L103" si="28">263.6*95.9/100*$L$2</f>
        <v>318.51842400000004</v>
      </c>
      <c r="M61" s="31">
        <f t="shared" si="19"/>
        <v>80.538640000000001</v>
      </c>
      <c r="N61" s="31">
        <f t="shared" si="11"/>
        <v>0</v>
      </c>
      <c r="O61" s="31">
        <f t="shared" si="12"/>
        <v>0</v>
      </c>
      <c r="P61" s="31">
        <f t="shared" si="13"/>
        <v>11.356753626400009</v>
      </c>
      <c r="Q61" s="31">
        <f t="shared" si="14"/>
        <v>11.356753626400009</v>
      </c>
      <c r="R61" s="31">
        <f t="shared" si="15"/>
        <v>0.5</v>
      </c>
      <c r="S61" s="31">
        <f t="shared" si="22"/>
        <v>45273</v>
      </c>
      <c r="T61" s="31">
        <f t="shared" si="23"/>
        <v>43200</v>
      </c>
      <c r="U61" s="31">
        <f t="shared" si="16"/>
        <v>51</v>
      </c>
      <c r="V61" s="31">
        <f t="shared" si="17"/>
        <v>4406400</v>
      </c>
      <c r="W61" s="31">
        <f t="shared" si="18"/>
        <v>4449600</v>
      </c>
      <c r="X61" s="31">
        <f t="shared" si="24"/>
        <v>4230000</v>
      </c>
      <c r="Y61" s="31">
        <f t="shared" si="25"/>
        <v>0</v>
      </c>
      <c r="Z61" s="31">
        <f t="shared" si="26"/>
        <v>0</v>
      </c>
      <c r="AA61" s="31">
        <v>96</v>
      </c>
    </row>
    <row r="62" spans="1:27" x14ac:dyDescent="0.25">
      <c r="A62" s="74" t="s">
        <v>200</v>
      </c>
      <c r="B62" s="74" t="s">
        <v>171</v>
      </c>
      <c r="C62" s="45" t="str">
        <f t="shared" si="0"/>
        <v>13-12-2023 12:30</v>
      </c>
      <c r="D62" s="96">
        <f>243*2</f>
        <v>486</v>
      </c>
      <c r="E62" s="96">
        <f>61*2</f>
        <v>122</v>
      </c>
      <c r="F62" s="96">
        <v>0</v>
      </c>
      <c r="G62" s="96"/>
      <c r="I62" s="96">
        <v>1</v>
      </c>
      <c r="J62" s="31">
        <f t="shared" si="27"/>
        <v>52.777500000000003</v>
      </c>
      <c r="K62" s="31">
        <f t="shared" si="9"/>
        <v>80.749575000000007</v>
      </c>
      <c r="L62" s="31">
        <f t="shared" si="28"/>
        <v>318.51842400000004</v>
      </c>
      <c r="M62" s="31">
        <f t="shared" si="19"/>
        <v>80.538640000000001</v>
      </c>
      <c r="N62" s="31">
        <f t="shared" si="11"/>
        <v>39.244293450000008</v>
      </c>
      <c r="O62" s="31">
        <f t="shared" si="12"/>
        <v>38.859247728</v>
      </c>
      <c r="P62" s="31">
        <f t="shared" si="13"/>
        <v>0</v>
      </c>
      <c r="Q62" s="31">
        <f t="shared" si="14"/>
        <v>78.103541178</v>
      </c>
      <c r="R62" s="31">
        <f t="shared" si="15"/>
        <v>0.52083333333575865</v>
      </c>
      <c r="S62" s="31">
        <f t="shared" si="22"/>
        <v>45273</v>
      </c>
      <c r="T62" s="31">
        <f t="shared" si="23"/>
        <v>45000.000000209548</v>
      </c>
      <c r="U62" s="31">
        <f t="shared" si="16"/>
        <v>51</v>
      </c>
      <c r="V62" s="31">
        <f t="shared" si="17"/>
        <v>4406400</v>
      </c>
      <c r="W62" s="31">
        <f t="shared" si="18"/>
        <v>4451400.0000002095</v>
      </c>
      <c r="X62" s="31">
        <f t="shared" si="24"/>
        <v>4231800.0000002095</v>
      </c>
      <c r="Y62" s="31">
        <f t="shared" si="25"/>
        <v>122</v>
      </c>
      <c r="Z62" s="31">
        <f t="shared" si="26"/>
        <v>486</v>
      </c>
      <c r="AA62" s="31">
        <v>96</v>
      </c>
    </row>
    <row r="63" spans="1:27" x14ac:dyDescent="0.25">
      <c r="A63" s="74" t="s">
        <v>201</v>
      </c>
      <c r="B63" s="74" t="s">
        <v>167</v>
      </c>
      <c r="C63" s="45" t="str">
        <f t="shared" si="0"/>
        <v>15-12-2023 11:00</v>
      </c>
      <c r="D63" s="96">
        <v>0</v>
      </c>
      <c r="E63" s="96">
        <v>0</v>
      </c>
      <c r="F63" s="96">
        <f>G61-G63</f>
        <v>153.44999999999993</v>
      </c>
      <c r="G63" s="96">
        <v>961.07</v>
      </c>
      <c r="I63" s="96">
        <v>1</v>
      </c>
      <c r="J63" s="31">
        <f t="shared" si="27"/>
        <v>52.777500000000003</v>
      </c>
      <c r="K63" s="31">
        <f t="shared" si="9"/>
        <v>80.749575000000007</v>
      </c>
      <c r="L63" s="31">
        <f t="shared" si="28"/>
        <v>318.51842400000004</v>
      </c>
      <c r="M63" s="31">
        <f t="shared" si="19"/>
        <v>80.538640000000001</v>
      </c>
      <c r="N63" s="31">
        <f t="shared" si="11"/>
        <v>0</v>
      </c>
      <c r="O63" s="31">
        <f t="shared" si="12"/>
        <v>0</v>
      </c>
      <c r="P63" s="31">
        <f t="shared" si="13"/>
        <v>12.358654307999993</v>
      </c>
      <c r="Q63" s="31">
        <f t="shared" si="14"/>
        <v>12.358654307999993</v>
      </c>
      <c r="R63" s="31">
        <f t="shared" si="15"/>
        <v>0.45833333333575865</v>
      </c>
      <c r="S63" s="31">
        <f t="shared" si="22"/>
        <v>45275</v>
      </c>
      <c r="T63" s="31">
        <f t="shared" si="23"/>
        <v>39600.000000209548</v>
      </c>
      <c r="U63" s="31">
        <f t="shared" si="16"/>
        <v>53</v>
      </c>
      <c r="V63" s="31">
        <f t="shared" si="17"/>
        <v>4579200</v>
      </c>
      <c r="W63" s="31">
        <f t="shared" si="18"/>
        <v>4618800.0000002095</v>
      </c>
      <c r="X63" s="31">
        <f t="shared" si="24"/>
        <v>4399200.0000002095</v>
      </c>
      <c r="Y63" s="31">
        <f t="shared" si="25"/>
        <v>0</v>
      </c>
      <c r="Z63" s="31">
        <f t="shared" si="26"/>
        <v>0</v>
      </c>
      <c r="AA63" s="31">
        <v>96</v>
      </c>
    </row>
    <row r="64" spans="1:27" x14ac:dyDescent="0.25">
      <c r="A64" s="74" t="s">
        <v>201</v>
      </c>
      <c r="B64" s="74" t="s">
        <v>171</v>
      </c>
      <c r="C64" s="45" t="str">
        <f t="shared" si="0"/>
        <v>15-12-2023 12:30</v>
      </c>
      <c r="D64" s="96"/>
      <c r="E64" s="96"/>
      <c r="F64" s="96"/>
      <c r="G64" s="96">
        <v>1208.07</v>
      </c>
      <c r="J64" s="31">
        <f t="shared" si="27"/>
        <v>52.777500000000003</v>
      </c>
      <c r="K64" s="31">
        <f t="shared" si="9"/>
        <v>80.749575000000007</v>
      </c>
      <c r="L64" s="31">
        <f t="shared" si="28"/>
        <v>318.51842400000004</v>
      </c>
      <c r="M64" s="31">
        <f t="shared" si="19"/>
        <v>80.538640000000001</v>
      </c>
      <c r="N64" s="31">
        <f t="shared" si="11"/>
        <v>0</v>
      </c>
      <c r="O64" s="31">
        <f t="shared" si="12"/>
        <v>0</v>
      </c>
      <c r="P64" s="31">
        <f t="shared" si="13"/>
        <v>0</v>
      </c>
      <c r="Q64" s="31">
        <f t="shared" si="14"/>
        <v>0</v>
      </c>
      <c r="R64" s="31">
        <f t="shared" si="15"/>
        <v>0.52083333333575865</v>
      </c>
      <c r="S64" s="31">
        <f t="shared" si="22"/>
        <v>45275</v>
      </c>
      <c r="T64" s="31">
        <f t="shared" si="23"/>
        <v>45000.000000209548</v>
      </c>
      <c r="U64" s="31">
        <f t="shared" si="16"/>
        <v>53</v>
      </c>
      <c r="V64" s="31">
        <f t="shared" si="17"/>
        <v>4579200</v>
      </c>
      <c r="W64" s="31">
        <f t="shared" si="18"/>
        <v>4624200.0000002095</v>
      </c>
      <c r="X64" s="31">
        <f t="shared" si="24"/>
        <v>4404600.0000002095</v>
      </c>
      <c r="Y64" s="31">
        <f t="shared" si="25"/>
        <v>0</v>
      </c>
      <c r="Z64" s="31">
        <f t="shared" si="26"/>
        <v>0</v>
      </c>
      <c r="AA64" s="31">
        <v>96</v>
      </c>
    </row>
    <row r="65" spans="1:27" x14ac:dyDescent="0.25">
      <c r="A65" s="74" t="s">
        <v>201</v>
      </c>
      <c r="B65" s="74" t="s">
        <v>173</v>
      </c>
      <c r="C65" s="45" t="str">
        <f t="shared" si="0"/>
        <v>15-12-2023 13:00</v>
      </c>
      <c r="D65" s="96">
        <v>730</v>
      </c>
      <c r="E65" s="96">
        <v>183</v>
      </c>
      <c r="F65" s="96">
        <v>0</v>
      </c>
      <c r="G65" s="96"/>
      <c r="I65" s="96">
        <v>1</v>
      </c>
      <c r="J65" s="31">
        <f t="shared" ref="J65" si="29">68.1*77.5/100</f>
        <v>52.777500000000003</v>
      </c>
      <c r="K65" s="31">
        <f t="shared" si="9"/>
        <v>80.749575000000007</v>
      </c>
      <c r="L65" s="31">
        <f t="shared" si="28"/>
        <v>318.51842400000004</v>
      </c>
      <c r="M65" s="31">
        <f t="shared" si="19"/>
        <v>80.538640000000001</v>
      </c>
      <c r="N65" s="31">
        <f t="shared" si="11"/>
        <v>58.947189750000007</v>
      </c>
      <c r="O65" s="31">
        <f t="shared" si="12"/>
        <v>58.288871592000014</v>
      </c>
      <c r="P65" s="31">
        <f t="shared" si="13"/>
        <v>0</v>
      </c>
      <c r="Q65" s="31">
        <f t="shared" si="14"/>
        <v>117.23606134200003</v>
      </c>
      <c r="R65" s="31">
        <f t="shared" si="15"/>
        <v>0.54166666666424135</v>
      </c>
      <c r="S65" s="31">
        <f t="shared" si="22"/>
        <v>45275</v>
      </c>
      <c r="T65" s="31">
        <f t="shared" si="23"/>
        <v>46799.999999790452</v>
      </c>
      <c r="U65" s="31">
        <f t="shared" si="16"/>
        <v>53</v>
      </c>
      <c r="V65" s="31">
        <f t="shared" si="17"/>
        <v>4579200</v>
      </c>
      <c r="W65" s="31">
        <f t="shared" si="18"/>
        <v>4625999.9999997905</v>
      </c>
      <c r="X65" s="31">
        <f t="shared" si="24"/>
        <v>4406399.9999997905</v>
      </c>
      <c r="Y65" s="31">
        <f t="shared" si="25"/>
        <v>183</v>
      </c>
      <c r="Z65" s="31">
        <f t="shared" si="26"/>
        <v>730</v>
      </c>
      <c r="AA65" s="31">
        <v>96</v>
      </c>
    </row>
    <row r="66" spans="1:27" x14ac:dyDescent="0.25">
      <c r="A66" s="74" t="s">
        <v>203</v>
      </c>
      <c r="B66" s="74" t="s">
        <v>180</v>
      </c>
      <c r="C66" s="45" t="str">
        <f t="shared" si="0"/>
        <v>18-12-2023 12:00</v>
      </c>
      <c r="D66" s="96">
        <v>0</v>
      </c>
      <c r="E66" s="96">
        <v>0</v>
      </c>
      <c r="F66" s="96">
        <f>G64-G66</f>
        <v>287.64999999999998</v>
      </c>
      <c r="G66" s="96">
        <v>920.42</v>
      </c>
      <c r="I66" s="96">
        <v>1</v>
      </c>
      <c r="J66" s="31">
        <f t="shared" ref="J66:J79" si="30">46.6*77.5/100</f>
        <v>36.115000000000002</v>
      </c>
      <c r="K66" s="31">
        <f t="shared" si="9"/>
        <v>55.255950000000006</v>
      </c>
      <c r="L66" s="31">
        <f t="shared" si="28"/>
        <v>318.51842400000004</v>
      </c>
      <c r="M66" s="31">
        <f t="shared" si="19"/>
        <v>80.538640000000001</v>
      </c>
      <c r="N66" s="31">
        <f t="shared" si="11"/>
        <v>0</v>
      </c>
      <c r="O66" s="31">
        <f t="shared" si="12"/>
        <v>0</v>
      </c>
      <c r="P66" s="31">
        <f t="shared" si="13"/>
        <v>23.166939795999998</v>
      </c>
      <c r="Q66" s="31">
        <f t="shared" si="14"/>
        <v>23.166939795999998</v>
      </c>
      <c r="R66" s="31">
        <f t="shared" si="15"/>
        <v>0.5</v>
      </c>
      <c r="S66" s="31">
        <f t="shared" si="22"/>
        <v>45278</v>
      </c>
      <c r="T66" s="31">
        <f t="shared" si="23"/>
        <v>43200</v>
      </c>
      <c r="U66" s="31">
        <f t="shared" si="16"/>
        <v>56</v>
      </c>
      <c r="V66" s="31">
        <f t="shared" si="17"/>
        <v>4838400</v>
      </c>
      <c r="W66" s="31">
        <f t="shared" si="18"/>
        <v>4881600</v>
      </c>
      <c r="X66" s="31">
        <f t="shared" si="24"/>
        <v>4662000</v>
      </c>
      <c r="Y66" s="31">
        <f t="shared" si="25"/>
        <v>0</v>
      </c>
      <c r="Z66" s="31">
        <f t="shared" si="26"/>
        <v>0</v>
      </c>
      <c r="AA66" s="31">
        <v>96</v>
      </c>
    </row>
    <row r="67" spans="1:27" x14ac:dyDescent="0.25">
      <c r="A67" s="74" t="s">
        <v>203</v>
      </c>
      <c r="B67" s="74" t="s">
        <v>173</v>
      </c>
      <c r="C67" s="45" t="str">
        <f t="shared" si="0"/>
        <v>18-12-2023 13:00</v>
      </c>
      <c r="D67" s="96"/>
      <c r="E67" s="96"/>
      <c r="F67" s="96"/>
      <c r="G67" s="96">
        <v>1022.23</v>
      </c>
      <c r="J67" s="31">
        <f t="shared" si="30"/>
        <v>36.115000000000002</v>
      </c>
      <c r="K67" s="31">
        <f t="shared" si="9"/>
        <v>55.255950000000006</v>
      </c>
      <c r="L67" s="31">
        <f t="shared" si="28"/>
        <v>318.51842400000004</v>
      </c>
      <c r="M67" s="31">
        <f t="shared" si="19"/>
        <v>80.538640000000001</v>
      </c>
      <c r="N67" s="31">
        <f t="shared" si="11"/>
        <v>0</v>
      </c>
      <c r="O67" s="31">
        <f t="shared" si="12"/>
        <v>0</v>
      </c>
      <c r="P67" s="31">
        <f t="shared" si="13"/>
        <v>0</v>
      </c>
      <c r="Q67" s="31">
        <f t="shared" si="14"/>
        <v>0</v>
      </c>
      <c r="R67" s="31">
        <f t="shared" si="15"/>
        <v>0.54166666666424135</v>
      </c>
      <c r="S67" s="31">
        <f t="shared" ref="S67:S84" si="31">DATEVALUE(A67)-MIN($A$3:$A$68)</f>
        <v>45278</v>
      </c>
      <c r="T67" s="31">
        <f t="shared" ref="T67:T84" si="32">R67*86400</f>
        <v>46799.999999790452</v>
      </c>
      <c r="U67" s="31">
        <f t="shared" si="16"/>
        <v>56</v>
      </c>
      <c r="V67" s="31">
        <f t="shared" si="17"/>
        <v>4838400</v>
      </c>
      <c r="W67" s="31">
        <f t="shared" si="18"/>
        <v>4885199.9999997905</v>
      </c>
      <c r="X67" s="31">
        <f t="shared" ref="X67:X83" si="33">W67-$R$2</f>
        <v>4665599.9999997905</v>
      </c>
      <c r="Y67" s="31">
        <f t="shared" ref="Y67:Y78" si="34">E67</f>
        <v>0</v>
      </c>
      <c r="Z67" s="31">
        <f t="shared" ref="Z67:Z78" si="35">D67</f>
        <v>0</v>
      </c>
      <c r="AA67" s="31">
        <v>96</v>
      </c>
    </row>
    <row r="68" spans="1:27" x14ac:dyDescent="0.25">
      <c r="A68" s="74" t="s">
        <v>203</v>
      </c>
      <c r="B68" s="74" t="s">
        <v>180</v>
      </c>
      <c r="C68" s="45" t="str">
        <f t="shared" ref="C68:C84" si="36">TEXT(DATEVALUE(A68) + TIMEVALUE(B68), "gg-mm-aaaa hh:mm")</f>
        <v>18-12-2023 12:00</v>
      </c>
      <c r="D68" s="96">
        <f>243*2</f>
        <v>486</v>
      </c>
      <c r="E68" s="96">
        <f>61*2</f>
        <v>122</v>
      </c>
      <c r="F68" s="96">
        <v>0</v>
      </c>
      <c r="G68" s="96"/>
      <c r="H68" t="s">
        <v>204</v>
      </c>
      <c r="I68" s="96">
        <v>1</v>
      </c>
      <c r="J68" s="31">
        <f t="shared" si="30"/>
        <v>36.115000000000002</v>
      </c>
      <c r="K68" s="31">
        <f t="shared" ref="K68:K96" si="37">J68*$K$2</f>
        <v>55.255950000000006</v>
      </c>
      <c r="L68" s="31">
        <f t="shared" si="28"/>
        <v>318.51842400000004</v>
      </c>
      <c r="M68" s="31">
        <f t="shared" si="19"/>
        <v>80.538640000000001</v>
      </c>
      <c r="N68" s="31">
        <f t="shared" ref="N68:N96" si="38">K68*D68/1000</f>
        <v>26.854391700000004</v>
      </c>
      <c r="O68" s="31">
        <f t="shared" ref="O68:O96" si="39">L68*E68/1000</f>
        <v>38.859247728</v>
      </c>
      <c r="P68" s="31">
        <f t="shared" ref="P68:P96" si="40">M68*F68/1000</f>
        <v>0</v>
      </c>
      <c r="Q68" s="31">
        <f t="shared" ref="Q68:Q96" si="41">SUM(N68:P68)</f>
        <v>65.713639428000008</v>
      </c>
      <c r="R68" s="31">
        <f t="shared" si="15"/>
        <v>0.5</v>
      </c>
      <c r="S68" s="31">
        <f t="shared" si="31"/>
        <v>45278</v>
      </c>
      <c r="T68" s="31">
        <f t="shared" si="32"/>
        <v>43200</v>
      </c>
      <c r="U68" s="31">
        <f t="shared" si="16"/>
        <v>56</v>
      </c>
      <c r="V68" s="31">
        <f t="shared" si="17"/>
        <v>4838400</v>
      </c>
      <c r="W68" s="31">
        <f t="shared" si="18"/>
        <v>4881600</v>
      </c>
      <c r="X68" s="31">
        <f t="shared" si="33"/>
        <v>4662000</v>
      </c>
      <c r="Y68" s="31">
        <f t="shared" si="34"/>
        <v>122</v>
      </c>
      <c r="Z68" s="31">
        <f t="shared" si="35"/>
        <v>486</v>
      </c>
      <c r="AA68" s="31">
        <v>96</v>
      </c>
    </row>
    <row r="69" spans="1:27" x14ac:dyDescent="0.25">
      <c r="A69" s="74" t="s">
        <v>205</v>
      </c>
      <c r="B69" s="74" t="s">
        <v>156</v>
      </c>
      <c r="C69" s="45" t="str">
        <f t="shared" si="36"/>
        <v>20-12-2023 10:00</v>
      </c>
      <c r="D69" s="96">
        <v>0</v>
      </c>
      <c r="E69" s="96">
        <v>0</v>
      </c>
      <c r="F69" s="96">
        <f>G67-G69</f>
        <v>153.30000000000007</v>
      </c>
      <c r="G69" s="96">
        <v>868.93</v>
      </c>
      <c r="I69" s="96">
        <v>1</v>
      </c>
      <c r="J69" s="31">
        <f t="shared" si="30"/>
        <v>36.115000000000002</v>
      </c>
      <c r="K69" s="31">
        <f t="shared" si="37"/>
        <v>55.255950000000006</v>
      </c>
      <c r="L69" s="31">
        <f t="shared" si="28"/>
        <v>318.51842400000004</v>
      </c>
      <c r="M69" s="31">
        <f t="shared" si="19"/>
        <v>80.538640000000001</v>
      </c>
      <c r="N69" s="31">
        <f t="shared" si="38"/>
        <v>0</v>
      </c>
      <c r="O69" s="31">
        <f t="shared" si="39"/>
        <v>0</v>
      </c>
      <c r="P69" s="31">
        <f t="shared" si="40"/>
        <v>12.346573512000006</v>
      </c>
      <c r="Q69" s="31">
        <f t="shared" si="41"/>
        <v>12.346573512000006</v>
      </c>
      <c r="R69" s="31">
        <f t="shared" ref="R69:R73" si="42">TIMEVALUE(C69)</f>
        <v>0.41666666666424135</v>
      </c>
      <c r="S69" s="31">
        <f t="shared" si="31"/>
        <v>45280</v>
      </c>
      <c r="T69" s="31">
        <f t="shared" si="32"/>
        <v>35999.999999790452</v>
      </c>
      <c r="U69" s="31">
        <f t="shared" ref="U69:U73" si="43">S69-MIN($S$3:$S$68)</f>
        <v>58</v>
      </c>
      <c r="V69" s="31">
        <f t="shared" si="17"/>
        <v>5011200</v>
      </c>
      <c r="W69" s="31">
        <f t="shared" ref="W69:W73" si="44">V69+T69</f>
        <v>5047199.9999997905</v>
      </c>
      <c r="X69" s="31">
        <f t="shared" si="33"/>
        <v>4827599.9999997905</v>
      </c>
      <c r="Y69" s="31">
        <f t="shared" si="34"/>
        <v>0</v>
      </c>
      <c r="Z69" s="31">
        <f t="shared" si="35"/>
        <v>0</v>
      </c>
      <c r="AA69" s="31">
        <v>96</v>
      </c>
    </row>
    <row r="70" spans="1:27" x14ac:dyDescent="0.25">
      <c r="A70" s="74" t="s">
        <v>205</v>
      </c>
      <c r="B70" s="74" t="s">
        <v>156</v>
      </c>
      <c r="C70" s="45" t="str">
        <f t="shared" si="36"/>
        <v>20-12-2023 10:00</v>
      </c>
      <c r="D70" s="96"/>
      <c r="E70" s="96"/>
      <c r="F70" s="96"/>
      <c r="G70" s="96">
        <v>1167.1300000000001</v>
      </c>
      <c r="J70" s="31">
        <f t="shared" si="30"/>
        <v>36.115000000000002</v>
      </c>
      <c r="K70" s="31">
        <f t="shared" si="37"/>
        <v>55.255950000000006</v>
      </c>
      <c r="L70" s="31">
        <f t="shared" si="28"/>
        <v>318.51842400000004</v>
      </c>
      <c r="M70" s="31">
        <f t="shared" ref="M70:M107" si="45">72.8*85.1/100*$M$2</f>
        <v>80.538640000000001</v>
      </c>
      <c r="N70" s="31">
        <f t="shared" si="38"/>
        <v>0</v>
      </c>
      <c r="O70" s="31">
        <f t="shared" si="39"/>
        <v>0</v>
      </c>
      <c r="P70" s="31">
        <f t="shared" si="40"/>
        <v>0</v>
      </c>
      <c r="Q70" s="31">
        <f t="shared" si="41"/>
        <v>0</v>
      </c>
      <c r="R70" s="31">
        <f t="shared" si="42"/>
        <v>0.41666666666424135</v>
      </c>
      <c r="S70" s="31">
        <f t="shared" si="31"/>
        <v>45280</v>
      </c>
      <c r="T70" s="31">
        <f t="shared" si="32"/>
        <v>35999.999999790452</v>
      </c>
      <c r="U70" s="31">
        <f t="shared" si="43"/>
        <v>58</v>
      </c>
      <c r="V70" s="31">
        <f t="shared" ref="V70:V73" si="46">U70*86400</f>
        <v>5011200</v>
      </c>
      <c r="W70" s="31">
        <f t="shared" si="44"/>
        <v>5047199.9999997905</v>
      </c>
      <c r="X70" s="31">
        <f t="shared" si="33"/>
        <v>4827599.9999997905</v>
      </c>
      <c r="Y70" s="31">
        <f t="shared" si="34"/>
        <v>0</v>
      </c>
      <c r="Z70" s="31">
        <f t="shared" si="35"/>
        <v>0</v>
      </c>
      <c r="AA70" s="31">
        <v>96</v>
      </c>
    </row>
    <row r="71" spans="1:27" x14ac:dyDescent="0.25">
      <c r="A71" s="74" t="s">
        <v>205</v>
      </c>
      <c r="B71" s="74" t="s">
        <v>223</v>
      </c>
      <c r="C71" s="45" t="str">
        <f t="shared" si="36"/>
        <v>20-12-2023 11:30</v>
      </c>
      <c r="D71" s="96">
        <f>243*2</f>
        <v>486</v>
      </c>
      <c r="E71" s="96">
        <f>61*2</f>
        <v>122</v>
      </c>
      <c r="F71" s="96">
        <v>0</v>
      </c>
      <c r="G71" s="96"/>
      <c r="I71" s="96">
        <v>1</v>
      </c>
      <c r="J71" s="31">
        <f t="shared" si="30"/>
        <v>36.115000000000002</v>
      </c>
      <c r="K71" s="31">
        <f t="shared" si="37"/>
        <v>55.255950000000006</v>
      </c>
      <c r="L71" s="31">
        <f t="shared" si="28"/>
        <v>318.51842400000004</v>
      </c>
      <c r="M71" s="31">
        <f t="shared" si="45"/>
        <v>80.538640000000001</v>
      </c>
      <c r="N71" s="31">
        <f t="shared" si="38"/>
        <v>26.854391700000004</v>
      </c>
      <c r="O71" s="31">
        <f t="shared" si="39"/>
        <v>38.859247728</v>
      </c>
      <c r="P71" s="31">
        <f t="shared" si="40"/>
        <v>0</v>
      </c>
      <c r="Q71" s="31">
        <f t="shared" si="41"/>
        <v>65.713639428000008</v>
      </c>
      <c r="R71" s="31">
        <f t="shared" si="42"/>
        <v>0.47916666666424135</v>
      </c>
      <c r="S71" s="31">
        <f t="shared" si="31"/>
        <v>45280</v>
      </c>
      <c r="T71" s="31">
        <f t="shared" si="32"/>
        <v>41399.999999790452</v>
      </c>
      <c r="U71" s="31">
        <f t="shared" si="43"/>
        <v>58</v>
      </c>
      <c r="V71" s="31">
        <f t="shared" si="46"/>
        <v>5011200</v>
      </c>
      <c r="W71" s="31">
        <f t="shared" si="44"/>
        <v>5052599.9999997905</v>
      </c>
      <c r="X71" s="31">
        <f t="shared" si="33"/>
        <v>4832999.9999997905</v>
      </c>
      <c r="Y71" s="31">
        <f t="shared" si="34"/>
        <v>122</v>
      </c>
      <c r="Z71" s="31">
        <f t="shared" si="35"/>
        <v>486</v>
      </c>
      <c r="AA71" s="31">
        <v>96</v>
      </c>
    </row>
    <row r="72" spans="1:27" x14ac:dyDescent="0.25">
      <c r="A72" s="74" t="s">
        <v>206</v>
      </c>
      <c r="B72" s="74" t="s">
        <v>156</v>
      </c>
      <c r="C72" s="45" t="str">
        <f t="shared" si="36"/>
        <v>22-12-2023 10:00</v>
      </c>
      <c r="D72" s="96">
        <v>0</v>
      </c>
      <c r="E72" s="96">
        <v>0</v>
      </c>
      <c r="F72" s="96">
        <f>G70-G72</f>
        <v>183.96000000000015</v>
      </c>
      <c r="G72" s="96">
        <v>983.17</v>
      </c>
      <c r="I72" s="96">
        <v>1</v>
      </c>
      <c r="J72" s="31">
        <f t="shared" si="30"/>
        <v>36.115000000000002</v>
      </c>
      <c r="K72" s="31">
        <f t="shared" si="37"/>
        <v>55.255950000000006</v>
      </c>
      <c r="L72" s="31">
        <f t="shared" si="28"/>
        <v>318.51842400000004</v>
      </c>
      <c r="M72" s="31">
        <f t="shared" si="45"/>
        <v>80.538640000000001</v>
      </c>
      <c r="N72" s="31">
        <f t="shared" si="38"/>
        <v>0</v>
      </c>
      <c r="O72" s="31">
        <f t="shared" si="39"/>
        <v>0</v>
      </c>
      <c r="P72" s="31">
        <f t="shared" si="40"/>
        <v>14.815888214400013</v>
      </c>
      <c r="Q72" s="31">
        <f t="shared" si="41"/>
        <v>14.815888214400013</v>
      </c>
      <c r="R72" s="31">
        <f t="shared" si="42"/>
        <v>0.41666666666424135</v>
      </c>
      <c r="S72" s="31">
        <f t="shared" si="31"/>
        <v>45282</v>
      </c>
      <c r="T72" s="31">
        <f t="shared" si="32"/>
        <v>35999.999999790452</v>
      </c>
      <c r="U72" s="31">
        <f t="shared" si="43"/>
        <v>60</v>
      </c>
      <c r="V72" s="31">
        <f t="shared" si="46"/>
        <v>5184000</v>
      </c>
      <c r="W72" s="31">
        <f t="shared" si="44"/>
        <v>5219999.9999997905</v>
      </c>
      <c r="X72" s="31">
        <f t="shared" si="33"/>
        <v>5000399.9999997905</v>
      </c>
      <c r="Y72" s="31">
        <f t="shared" si="34"/>
        <v>0</v>
      </c>
      <c r="Z72" s="31">
        <f t="shared" si="35"/>
        <v>0</v>
      </c>
      <c r="AA72" s="31">
        <v>96</v>
      </c>
    </row>
    <row r="73" spans="1:27" ht="15.75" thickBot="1" x14ac:dyDescent="0.3">
      <c r="A73" s="77" t="s">
        <v>206</v>
      </c>
      <c r="B73" s="77" t="s">
        <v>207</v>
      </c>
      <c r="C73" s="78" t="str">
        <f t="shared" si="36"/>
        <v>22-12-2023 16:30</v>
      </c>
      <c r="D73" s="98">
        <v>730</v>
      </c>
      <c r="E73" s="98">
        <v>183</v>
      </c>
      <c r="F73" s="98">
        <v>0</v>
      </c>
      <c r="G73" s="98"/>
      <c r="I73" s="96">
        <v>1</v>
      </c>
      <c r="J73" s="31">
        <f t="shared" si="30"/>
        <v>36.115000000000002</v>
      </c>
      <c r="K73" s="31">
        <f t="shared" si="37"/>
        <v>55.255950000000006</v>
      </c>
      <c r="L73" s="31">
        <f t="shared" si="28"/>
        <v>318.51842400000004</v>
      </c>
      <c r="M73" s="31">
        <f t="shared" si="45"/>
        <v>80.538640000000001</v>
      </c>
      <c r="N73" s="31">
        <f t="shared" si="38"/>
        <v>40.336843500000001</v>
      </c>
      <c r="O73" s="31">
        <f t="shared" si="39"/>
        <v>58.288871592000014</v>
      </c>
      <c r="P73" s="31">
        <f t="shared" si="40"/>
        <v>0</v>
      </c>
      <c r="Q73" s="31">
        <f t="shared" si="41"/>
        <v>98.625715092000007</v>
      </c>
      <c r="R73" s="31">
        <f t="shared" si="42"/>
        <v>0.6875</v>
      </c>
      <c r="S73" s="31">
        <f t="shared" si="31"/>
        <v>45282</v>
      </c>
      <c r="T73" s="31">
        <f t="shared" si="32"/>
        <v>59400</v>
      </c>
      <c r="U73" s="31">
        <f t="shared" si="43"/>
        <v>60</v>
      </c>
      <c r="V73" s="31">
        <f t="shared" si="46"/>
        <v>5184000</v>
      </c>
      <c r="W73" s="31">
        <f t="shared" si="44"/>
        <v>5243400</v>
      </c>
      <c r="X73" s="31">
        <f t="shared" si="33"/>
        <v>5023800</v>
      </c>
      <c r="Y73" s="31">
        <f t="shared" si="34"/>
        <v>183</v>
      </c>
      <c r="Z73" s="31">
        <f t="shared" si="35"/>
        <v>730</v>
      </c>
      <c r="AA73" s="31">
        <v>0</v>
      </c>
    </row>
    <row r="74" spans="1:27" x14ac:dyDescent="0.25">
      <c r="A74" s="74" t="s">
        <v>208</v>
      </c>
      <c r="B74" s="74" t="s">
        <v>156</v>
      </c>
      <c r="C74" s="45" t="str">
        <f t="shared" si="36"/>
        <v>08-01-2024 10:00</v>
      </c>
      <c r="D74" s="96">
        <v>0</v>
      </c>
      <c r="E74" s="96">
        <v>0</v>
      </c>
      <c r="F74" s="96">
        <v>0</v>
      </c>
      <c r="G74" s="96">
        <v>1090.1199999999999</v>
      </c>
      <c r="J74" s="31">
        <f t="shared" si="30"/>
        <v>36.115000000000002</v>
      </c>
      <c r="K74" s="31">
        <f t="shared" si="37"/>
        <v>55.255950000000006</v>
      </c>
      <c r="L74" s="31">
        <f t="shared" si="28"/>
        <v>318.51842400000004</v>
      </c>
      <c r="M74" s="31">
        <f t="shared" si="45"/>
        <v>80.538640000000001</v>
      </c>
      <c r="N74" s="31">
        <f t="shared" si="38"/>
        <v>0</v>
      </c>
      <c r="O74" s="31">
        <f t="shared" si="39"/>
        <v>0</v>
      </c>
      <c r="P74" s="31">
        <f t="shared" si="40"/>
        <v>0</v>
      </c>
      <c r="Q74" s="31">
        <f t="shared" si="41"/>
        <v>0</v>
      </c>
      <c r="R74" s="31">
        <f t="shared" ref="R74:R78" si="47">TIMEVALUE(C74)</f>
        <v>0.41666666666424135</v>
      </c>
      <c r="S74" s="31">
        <f t="shared" si="31"/>
        <v>45299</v>
      </c>
      <c r="T74" s="31">
        <f t="shared" si="32"/>
        <v>35999.999999790452</v>
      </c>
      <c r="U74" s="31">
        <f t="shared" ref="U74:U78" si="48">S74-MIN($S$3:$S$68)</f>
        <v>77</v>
      </c>
      <c r="V74" s="31">
        <f t="shared" ref="V74:V78" si="49">U74*86400</f>
        <v>6652800</v>
      </c>
      <c r="W74" s="31">
        <f t="shared" ref="W74:W78" si="50">V74+T74</f>
        <v>6688799.9999997905</v>
      </c>
      <c r="X74" s="31">
        <f t="shared" si="33"/>
        <v>6469199.9999997905</v>
      </c>
      <c r="Y74" s="31">
        <f t="shared" si="34"/>
        <v>0</v>
      </c>
      <c r="Z74" s="31">
        <f t="shared" si="35"/>
        <v>0</v>
      </c>
      <c r="AA74" s="31">
        <v>96</v>
      </c>
    </row>
    <row r="75" spans="1:27" x14ac:dyDescent="0.25">
      <c r="A75" s="74" t="s">
        <v>208</v>
      </c>
      <c r="B75" s="74" t="s">
        <v>173</v>
      </c>
      <c r="C75" s="45" t="str">
        <f t="shared" si="36"/>
        <v>08-01-2024 13:00</v>
      </c>
      <c r="D75" s="96">
        <f>243*2</f>
        <v>486</v>
      </c>
      <c r="E75" s="96">
        <f>61*2</f>
        <v>122</v>
      </c>
      <c r="F75" s="96">
        <v>0</v>
      </c>
      <c r="G75" s="96"/>
      <c r="I75" s="96">
        <v>1</v>
      </c>
      <c r="J75" s="31">
        <f t="shared" si="30"/>
        <v>36.115000000000002</v>
      </c>
      <c r="K75" s="31">
        <f t="shared" si="37"/>
        <v>55.255950000000006</v>
      </c>
      <c r="L75" s="31">
        <f t="shared" si="28"/>
        <v>318.51842400000004</v>
      </c>
      <c r="M75" s="31">
        <f t="shared" si="45"/>
        <v>80.538640000000001</v>
      </c>
      <c r="N75" s="31">
        <f t="shared" si="38"/>
        <v>26.854391700000004</v>
      </c>
      <c r="O75" s="31">
        <f t="shared" si="39"/>
        <v>38.859247728</v>
      </c>
      <c r="P75" s="31">
        <f t="shared" si="40"/>
        <v>0</v>
      </c>
      <c r="Q75" s="31">
        <f t="shared" si="41"/>
        <v>65.713639428000008</v>
      </c>
      <c r="R75" s="31">
        <f t="shared" si="47"/>
        <v>0.54166666666424135</v>
      </c>
      <c r="S75" s="31">
        <f t="shared" si="31"/>
        <v>45299</v>
      </c>
      <c r="T75" s="31">
        <f t="shared" si="32"/>
        <v>46799.999999790452</v>
      </c>
      <c r="U75" s="31">
        <f t="shared" si="48"/>
        <v>77</v>
      </c>
      <c r="V75" s="31">
        <f t="shared" si="49"/>
        <v>6652800</v>
      </c>
      <c r="W75" s="31">
        <f t="shared" si="50"/>
        <v>6699599.9999997905</v>
      </c>
      <c r="X75" s="31">
        <f t="shared" si="33"/>
        <v>6479999.9999997905</v>
      </c>
      <c r="Y75" s="31">
        <f t="shared" si="34"/>
        <v>122</v>
      </c>
      <c r="Z75" s="31">
        <f t="shared" si="35"/>
        <v>486</v>
      </c>
      <c r="AA75" s="31">
        <v>96</v>
      </c>
    </row>
    <row r="76" spans="1:27" x14ac:dyDescent="0.25">
      <c r="A76" s="74" t="s">
        <v>209</v>
      </c>
      <c r="B76" s="74" t="s">
        <v>156</v>
      </c>
      <c r="C76" s="45" t="str">
        <f t="shared" si="36"/>
        <v>10-01-2024 10:00</v>
      </c>
      <c r="D76" s="96">
        <f>243*2</f>
        <v>486</v>
      </c>
      <c r="E76" s="96">
        <f>61*2</f>
        <v>122</v>
      </c>
      <c r="F76" s="96">
        <f>G74-G76</f>
        <v>168.27999999999986</v>
      </c>
      <c r="G76" s="96">
        <v>921.84</v>
      </c>
      <c r="H76" s="93">
        <v>1099.1600000000001</v>
      </c>
      <c r="I76" s="96">
        <v>1</v>
      </c>
      <c r="J76" s="31">
        <f t="shared" si="30"/>
        <v>36.115000000000002</v>
      </c>
      <c r="K76" s="31">
        <f t="shared" si="37"/>
        <v>55.255950000000006</v>
      </c>
      <c r="L76" s="31">
        <f t="shared" si="28"/>
        <v>318.51842400000004</v>
      </c>
      <c r="M76" s="31">
        <f t="shared" si="45"/>
        <v>80.538640000000001</v>
      </c>
      <c r="N76" s="31">
        <f t="shared" si="38"/>
        <v>26.854391700000004</v>
      </c>
      <c r="O76" s="31">
        <f t="shared" si="39"/>
        <v>38.859247728</v>
      </c>
      <c r="P76" s="31">
        <f t="shared" si="40"/>
        <v>13.553042339199989</v>
      </c>
      <c r="Q76" s="31">
        <f t="shared" si="41"/>
        <v>79.266681767199998</v>
      </c>
      <c r="R76" s="31">
        <f t="shared" si="47"/>
        <v>0.41666666666424135</v>
      </c>
      <c r="S76" s="31">
        <f t="shared" si="31"/>
        <v>45301</v>
      </c>
      <c r="T76" s="31">
        <f t="shared" si="32"/>
        <v>35999.999999790452</v>
      </c>
      <c r="U76" s="31">
        <f t="shared" si="48"/>
        <v>79</v>
      </c>
      <c r="V76" s="31">
        <f t="shared" si="49"/>
        <v>6825600</v>
      </c>
      <c r="W76" s="31">
        <f t="shared" si="50"/>
        <v>6861599.9999997905</v>
      </c>
      <c r="X76" s="31">
        <f t="shared" si="33"/>
        <v>6641999.9999997905</v>
      </c>
      <c r="Y76" s="31">
        <f t="shared" si="34"/>
        <v>122</v>
      </c>
      <c r="Z76" s="31">
        <f t="shared" si="35"/>
        <v>486</v>
      </c>
      <c r="AA76" s="31">
        <v>96</v>
      </c>
    </row>
    <row r="77" spans="1:27" x14ac:dyDescent="0.25">
      <c r="A77" s="74" t="s">
        <v>210</v>
      </c>
      <c r="B77" s="74" t="s">
        <v>146</v>
      </c>
      <c r="C77" s="45" t="str">
        <f t="shared" si="36"/>
        <v>12-01-2024 10:50</v>
      </c>
      <c r="D77" s="96">
        <v>730</v>
      </c>
      <c r="E77" s="96">
        <v>183</v>
      </c>
      <c r="F77" s="96">
        <f>H76-G77</f>
        <v>179.38000000000011</v>
      </c>
      <c r="G77" s="96">
        <v>919.78</v>
      </c>
      <c r="I77" s="96">
        <v>1</v>
      </c>
      <c r="J77" s="31">
        <f t="shared" si="30"/>
        <v>36.115000000000002</v>
      </c>
      <c r="K77" s="31">
        <f t="shared" si="37"/>
        <v>55.255950000000006</v>
      </c>
      <c r="L77" s="31">
        <f t="shared" si="28"/>
        <v>318.51842400000004</v>
      </c>
      <c r="M77" s="31">
        <f t="shared" si="45"/>
        <v>80.538640000000001</v>
      </c>
      <c r="N77" s="31">
        <f t="shared" si="38"/>
        <v>40.336843500000001</v>
      </c>
      <c r="O77" s="31">
        <f t="shared" si="39"/>
        <v>58.288871592000014</v>
      </c>
      <c r="P77" s="31">
        <f t="shared" si="40"/>
        <v>14.447021243200011</v>
      </c>
      <c r="Q77" s="31">
        <f t="shared" si="41"/>
        <v>113.07273633520002</v>
      </c>
      <c r="R77" s="31">
        <f t="shared" si="47"/>
        <v>0.45138888889050577</v>
      </c>
      <c r="S77" s="31">
        <f t="shared" si="31"/>
        <v>45303</v>
      </c>
      <c r="T77" s="31">
        <f t="shared" si="32"/>
        <v>39000.000000139698</v>
      </c>
      <c r="U77" s="31">
        <f t="shared" si="48"/>
        <v>81</v>
      </c>
      <c r="V77" s="31">
        <f t="shared" si="49"/>
        <v>6998400</v>
      </c>
      <c r="W77" s="31">
        <f t="shared" si="50"/>
        <v>7037400.0000001397</v>
      </c>
      <c r="X77" s="31">
        <f t="shared" si="33"/>
        <v>6817800.0000001397</v>
      </c>
      <c r="Y77" s="31">
        <f t="shared" si="34"/>
        <v>183</v>
      </c>
      <c r="Z77" s="31">
        <f t="shared" si="35"/>
        <v>730</v>
      </c>
      <c r="AA77" s="31">
        <v>0</v>
      </c>
    </row>
    <row r="78" spans="1:27" x14ac:dyDescent="0.25">
      <c r="A78" s="74" t="s">
        <v>211</v>
      </c>
      <c r="B78" s="74" t="s">
        <v>185</v>
      </c>
      <c r="C78" s="45" t="str">
        <f t="shared" si="36"/>
        <v>15-01-2024 10:30</v>
      </c>
      <c r="D78" s="96">
        <f>243*2</f>
        <v>486</v>
      </c>
      <c r="E78" s="96">
        <f>61*2</f>
        <v>122</v>
      </c>
      <c r="F78" s="96">
        <v>0</v>
      </c>
      <c r="G78" s="96"/>
      <c r="I78" s="96">
        <v>1</v>
      </c>
      <c r="J78" s="31">
        <f t="shared" si="30"/>
        <v>36.115000000000002</v>
      </c>
      <c r="K78" s="31">
        <f t="shared" si="37"/>
        <v>55.255950000000006</v>
      </c>
      <c r="L78" s="31">
        <f t="shared" si="28"/>
        <v>318.51842400000004</v>
      </c>
      <c r="M78" s="31">
        <f t="shared" si="45"/>
        <v>80.538640000000001</v>
      </c>
      <c r="N78" s="31">
        <f t="shared" si="38"/>
        <v>26.854391700000004</v>
      </c>
      <c r="O78" s="31">
        <f t="shared" si="39"/>
        <v>38.859247728</v>
      </c>
      <c r="P78" s="31">
        <f t="shared" si="40"/>
        <v>0</v>
      </c>
      <c r="Q78" s="31">
        <f t="shared" si="41"/>
        <v>65.713639428000008</v>
      </c>
      <c r="R78" s="31">
        <f t="shared" si="47"/>
        <v>0.4375</v>
      </c>
      <c r="S78" s="31">
        <f t="shared" si="31"/>
        <v>45306</v>
      </c>
      <c r="T78" s="31">
        <f t="shared" si="32"/>
        <v>37800</v>
      </c>
      <c r="U78" s="31">
        <f t="shared" si="48"/>
        <v>84</v>
      </c>
      <c r="V78" s="31">
        <f t="shared" si="49"/>
        <v>7257600</v>
      </c>
      <c r="W78" s="31">
        <f t="shared" si="50"/>
        <v>7295400</v>
      </c>
      <c r="X78" s="31">
        <f t="shared" si="33"/>
        <v>7075800</v>
      </c>
      <c r="Y78" s="31">
        <f t="shared" si="34"/>
        <v>122</v>
      </c>
      <c r="Z78" s="31">
        <f t="shared" si="35"/>
        <v>486</v>
      </c>
      <c r="AA78" s="31">
        <v>0</v>
      </c>
    </row>
    <row r="79" spans="1:27" x14ac:dyDescent="0.25">
      <c r="A79" s="74" t="s">
        <v>212</v>
      </c>
      <c r="B79" s="74" t="s">
        <v>167</v>
      </c>
      <c r="C79" s="45" t="str">
        <f t="shared" si="36"/>
        <v>17-01-2024 11:00</v>
      </c>
      <c r="D79" s="96">
        <f>243*2</f>
        <v>486</v>
      </c>
      <c r="E79" s="96">
        <f>61*2</f>
        <v>122</v>
      </c>
      <c r="F79" s="96">
        <v>0</v>
      </c>
      <c r="G79" s="96"/>
      <c r="I79" s="96">
        <v>1</v>
      </c>
      <c r="J79" s="31">
        <f t="shared" si="30"/>
        <v>36.115000000000002</v>
      </c>
      <c r="K79" s="31">
        <f t="shared" si="37"/>
        <v>55.255950000000006</v>
      </c>
      <c r="L79" s="31">
        <f t="shared" si="28"/>
        <v>318.51842400000004</v>
      </c>
      <c r="M79" s="31">
        <f t="shared" si="45"/>
        <v>80.538640000000001</v>
      </c>
      <c r="N79" s="31">
        <f t="shared" si="38"/>
        <v>26.854391700000004</v>
      </c>
      <c r="O79" s="31">
        <f t="shared" si="39"/>
        <v>38.859247728</v>
      </c>
      <c r="P79" s="31">
        <f t="shared" si="40"/>
        <v>0</v>
      </c>
      <c r="Q79" s="31">
        <f t="shared" si="41"/>
        <v>65.713639428000008</v>
      </c>
      <c r="R79" s="31">
        <f t="shared" ref="R79:R84" si="51">TIMEVALUE(C79)</f>
        <v>0.45833333333575865</v>
      </c>
      <c r="S79" s="31">
        <f t="shared" si="31"/>
        <v>45308</v>
      </c>
      <c r="T79" s="31">
        <f t="shared" si="32"/>
        <v>39600.000000209548</v>
      </c>
      <c r="U79" s="31">
        <f t="shared" ref="U79:U84" si="52">S79-MIN($S$3:$S$68)</f>
        <v>86</v>
      </c>
      <c r="V79" s="31">
        <f t="shared" ref="V79:V84" si="53">U79*86400</f>
        <v>7430400</v>
      </c>
      <c r="W79" s="31">
        <f t="shared" ref="W79:W84" si="54">V79+T79</f>
        <v>7470000.0000002095</v>
      </c>
      <c r="X79" s="31">
        <f t="shared" si="33"/>
        <v>7250400.0000002095</v>
      </c>
      <c r="Y79" s="31">
        <f t="shared" ref="Y79:Y84" si="55">E79</f>
        <v>122</v>
      </c>
      <c r="Z79" s="31">
        <f t="shared" ref="Z79:Z84" si="56">D79</f>
        <v>486</v>
      </c>
      <c r="AA79" s="31">
        <v>0</v>
      </c>
    </row>
    <row r="80" spans="1:27" x14ac:dyDescent="0.25">
      <c r="A80" s="74" t="s">
        <v>213</v>
      </c>
      <c r="B80" s="74" t="s">
        <v>171</v>
      </c>
      <c r="C80" s="45" t="str">
        <f t="shared" si="36"/>
        <v>19-01-2024 12:30</v>
      </c>
      <c r="D80" s="96">
        <v>700</v>
      </c>
      <c r="E80" s="96">
        <v>122</v>
      </c>
      <c r="F80" s="96">
        <v>0</v>
      </c>
      <c r="G80" s="96">
        <v>1134</v>
      </c>
      <c r="H80" t="s">
        <v>214</v>
      </c>
      <c r="I80" s="96">
        <v>1</v>
      </c>
      <c r="J80" s="31">
        <f t="shared" ref="J80" si="57">46.6*77.5/100</f>
        <v>36.115000000000002</v>
      </c>
      <c r="K80" s="31">
        <f t="shared" si="37"/>
        <v>55.255950000000006</v>
      </c>
      <c r="L80" s="31">
        <f t="shared" si="28"/>
        <v>318.51842400000004</v>
      </c>
      <c r="M80" s="31">
        <f t="shared" si="45"/>
        <v>80.538640000000001</v>
      </c>
      <c r="N80" s="31">
        <f t="shared" si="38"/>
        <v>38.679164999999998</v>
      </c>
      <c r="O80" s="31">
        <f t="shared" si="39"/>
        <v>38.859247728</v>
      </c>
      <c r="P80" s="31">
        <f t="shared" si="40"/>
        <v>0</v>
      </c>
      <c r="Q80" s="31">
        <f t="shared" si="41"/>
        <v>77.538412727999997</v>
      </c>
      <c r="R80" s="31">
        <f t="shared" si="51"/>
        <v>0.52083333333575865</v>
      </c>
      <c r="S80" s="31">
        <f t="shared" si="31"/>
        <v>45310</v>
      </c>
      <c r="T80" s="31">
        <f t="shared" si="32"/>
        <v>45000.000000209548</v>
      </c>
      <c r="U80" s="31">
        <f t="shared" si="52"/>
        <v>88</v>
      </c>
      <c r="V80" s="31">
        <f t="shared" si="53"/>
        <v>7603200</v>
      </c>
      <c r="W80" s="31">
        <f t="shared" si="54"/>
        <v>7648200.0000002095</v>
      </c>
      <c r="X80" s="31">
        <f t="shared" si="33"/>
        <v>7428600.0000002095</v>
      </c>
      <c r="Y80" s="31">
        <f t="shared" si="55"/>
        <v>122</v>
      </c>
      <c r="Z80" s="31">
        <f t="shared" si="56"/>
        <v>700</v>
      </c>
      <c r="AA80" s="31">
        <v>96</v>
      </c>
    </row>
    <row r="81" spans="1:27" x14ac:dyDescent="0.25">
      <c r="A81" s="74" t="s">
        <v>215</v>
      </c>
      <c r="B81" s="74" t="s">
        <v>216</v>
      </c>
      <c r="C81" s="45" t="str">
        <f t="shared" si="36"/>
        <v>22-01-2024 10:44</v>
      </c>
      <c r="D81" s="96">
        <v>486</v>
      </c>
      <c r="E81" s="96">
        <v>64</v>
      </c>
      <c r="F81" s="96">
        <f>G80-G81</f>
        <v>274</v>
      </c>
      <c r="G81" s="96">
        <v>860</v>
      </c>
      <c r="H81" s="93">
        <v>1039</v>
      </c>
      <c r="I81" s="96">
        <v>1</v>
      </c>
      <c r="J81" s="31">
        <f t="shared" ref="J81:J87" si="58">54.5*77.5/100</f>
        <v>42.237499999999997</v>
      </c>
      <c r="K81" s="31">
        <f t="shared" si="37"/>
        <v>64.623374999999996</v>
      </c>
      <c r="L81" s="31">
        <f t="shared" si="28"/>
        <v>318.51842400000004</v>
      </c>
      <c r="M81" s="31">
        <f t="shared" si="45"/>
        <v>80.538640000000001</v>
      </c>
      <c r="N81" s="31">
        <f t="shared" si="38"/>
        <v>31.406960249999997</v>
      </c>
      <c r="O81" s="31">
        <f t="shared" si="39"/>
        <v>20.385179136000001</v>
      </c>
      <c r="P81" s="31">
        <f t="shared" si="40"/>
        <v>22.067587360000001</v>
      </c>
      <c r="Q81" s="31">
        <f t="shared" si="41"/>
        <v>73.859726746000007</v>
      </c>
      <c r="R81" s="31">
        <f t="shared" si="51"/>
        <v>0.44722222222480923</v>
      </c>
      <c r="S81" s="31">
        <f t="shared" si="31"/>
        <v>45313</v>
      </c>
      <c r="T81" s="31">
        <f t="shared" si="32"/>
        <v>38640.000000223517</v>
      </c>
      <c r="U81" s="31">
        <f t="shared" si="52"/>
        <v>91</v>
      </c>
      <c r="V81" s="31">
        <f t="shared" si="53"/>
        <v>7862400</v>
      </c>
      <c r="W81" s="31">
        <f t="shared" si="54"/>
        <v>7901040.0000002235</v>
      </c>
      <c r="X81" s="31">
        <f t="shared" si="33"/>
        <v>7681440.0000002235</v>
      </c>
      <c r="Y81" s="31">
        <f t="shared" si="55"/>
        <v>64</v>
      </c>
      <c r="Z81" s="31">
        <f t="shared" si="56"/>
        <v>486</v>
      </c>
      <c r="AA81" s="31">
        <v>96</v>
      </c>
    </row>
    <row r="82" spans="1:27" x14ac:dyDescent="0.25">
      <c r="A82" s="74" t="s">
        <v>217</v>
      </c>
      <c r="B82" s="74" t="s">
        <v>173</v>
      </c>
      <c r="C82" s="45" t="str">
        <f t="shared" si="36"/>
        <v>24-01-2024 13:00</v>
      </c>
      <c r="D82" s="96">
        <v>486</v>
      </c>
      <c r="E82" s="96">
        <v>64</v>
      </c>
      <c r="F82" s="96">
        <f t="shared" ref="F82:F107" si="59">H81-G82</f>
        <v>199</v>
      </c>
      <c r="G82" s="96">
        <v>840</v>
      </c>
      <c r="H82" s="93">
        <v>1073</v>
      </c>
      <c r="I82" s="96">
        <v>1</v>
      </c>
      <c r="J82" s="31">
        <f t="shared" si="58"/>
        <v>42.237499999999997</v>
      </c>
      <c r="K82" s="31">
        <f t="shared" si="37"/>
        <v>64.623374999999996</v>
      </c>
      <c r="L82" s="31">
        <f t="shared" si="28"/>
        <v>318.51842400000004</v>
      </c>
      <c r="M82" s="31">
        <f t="shared" si="45"/>
        <v>80.538640000000001</v>
      </c>
      <c r="N82" s="31">
        <f t="shared" si="38"/>
        <v>31.406960249999997</v>
      </c>
      <c r="O82" s="31">
        <f t="shared" si="39"/>
        <v>20.385179136000001</v>
      </c>
      <c r="P82" s="31">
        <f t="shared" si="40"/>
        <v>16.027189360000001</v>
      </c>
      <c r="Q82" s="31">
        <f t="shared" si="41"/>
        <v>67.819328745999996</v>
      </c>
      <c r="R82" s="31">
        <f t="shared" si="51"/>
        <v>0.54166666666424135</v>
      </c>
      <c r="S82" s="31">
        <f t="shared" si="31"/>
        <v>45315</v>
      </c>
      <c r="T82" s="31">
        <f t="shared" si="32"/>
        <v>46799.999999790452</v>
      </c>
      <c r="U82" s="31">
        <f t="shared" si="52"/>
        <v>93</v>
      </c>
      <c r="V82" s="31">
        <f t="shared" si="53"/>
        <v>8035200</v>
      </c>
      <c r="W82" s="31">
        <f t="shared" si="54"/>
        <v>8081999.9999997905</v>
      </c>
      <c r="X82" s="31">
        <f t="shared" si="33"/>
        <v>7862399.9999997905</v>
      </c>
      <c r="Y82" s="31">
        <f t="shared" si="55"/>
        <v>64</v>
      </c>
      <c r="Z82" s="31">
        <f t="shared" si="56"/>
        <v>486</v>
      </c>
      <c r="AA82" s="31">
        <v>96</v>
      </c>
    </row>
    <row r="83" spans="1:27" x14ac:dyDescent="0.25">
      <c r="A83" s="74" t="s">
        <v>218</v>
      </c>
      <c r="B83" s="74" t="s">
        <v>219</v>
      </c>
      <c r="C83" s="45" t="str">
        <f t="shared" si="36"/>
        <v>26-01-2024 16:45</v>
      </c>
      <c r="D83" s="96">
        <v>730</v>
      </c>
      <c r="E83" s="96">
        <v>93</v>
      </c>
      <c r="F83" s="96">
        <f t="shared" si="59"/>
        <v>187.57000000000005</v>
      </c>
      <c r="G83" s="96">
        <v>885.43</v>
      </c>
      <c r="H83" s="93">
        <v>1218.75</v>
      </c>
      <c r="I83" s="96">
        <v>1</v>
      </c>
      <c r="J83" s="31">
        <f t="shared" si="58"/>
        <v>42.237499999999997</v>
      </c>
      <c r="K83" s="31">
        <f t="shared" si="37"/>
        <v>64.623374999999996</v>
      </c>
      <c r="L83" s="31">
        <f t="shared" si="28"/>
        <v>318.51842400000004</v>
      </c>
      <c r="M83" s="31">
        <f t="shared" si="45"/>
        <v>80.538640000000001</v>
      </c>
      <c r="N83" s="31">
        <f t="shared" si="38"/>
        <v>47.175063749999993</v>
      </c>
      <c r="O83" s="31">
        <f t="shared" si="39"/>
        <v>29.622213432000002</v>
      </c>
      <c r="P83" s="31">
        <f t="shared" si="40"/>
        <v>15.106632704800004</v>
      </c>
      <c r="Q83" s="31">
        <f t="shared" si="41"/>
        <v>91.903909886799994</v>
      </c>
      <c r="R83" s="31">
        <f t="shared" si="51"/>
        <v>0.69791666666424135</v>
      </c>
      <c r="S83" s="31">
        <f t="shared" si="31"/>
        <v>45317</v>
      </c>
      <c r="T83" s="31">
        <f t="shared" si="32"/>
        <v>60299.999999790452</v>
      </c>
      <c r="U83" s="31">
        <f t="shared" si="52"/>
        <v>95</v>
      </c>
      <c r="V83" s="31">
        <f t="shared" si="53"/>
        <v>8208000</v>
      </c>
      <c r="W83" s="31">
        <f t="shared" si="54"/>
        <v>8268299.9999997905</v>
      </c>
      <c r="X83" s="31">
        <f t="shared" si="33"/>
        <v>8048699.9999997905</v>
      </c>
      <c r="Y83" s="31">
        <f t="shared" si="55"/>
        <v>93</v>
      </c>
      <c r="Z83" s="31">
        <f t="shared" si="56"/>
        <v>730</v>
      </c>
      <c r="AA83" s="31">
        <v>96</v>
      </c>
    </row>
    <row r="84" spans="1:27" x14ac:dyDescent="0.25">
      <c r="A84" s="74" t="s">
        <v>220</v>
      </c>
      <c r="B84" s="74" t="s">
        <v>149</v>
      </c>
      <c r="C84" s="45" t="str">
        <f t="shared" si="36"/>
        <v>29-01-2024 11:15</v>
      </c>
      <c r="D84" s="96">
        <v>486</v>
      </c>
      <c r="E84" s="96">
        <v>64</v>
      </c>
      <c r="F84" s="96">
        <f t="shared" si="59"/>
        <v>257.54999999999995</v>
      </c>
      <c r="G84" s="96">
        <v>961.2</v>
      </c>
      <c r="H84" s="93">
        <v>1112.5</v>
      </c>
      <c r="I84" s="96">
        <v>1</v>
      </c>
      <c r="J84" s="31">
        <f t="shared" si="58"/>
        <v>42.237499999999997</v>
      </c>
      <c r="K84" s="31">
        <f t="shared" si="37"/>
        <v>64.623374999999996</v>
      </c>
      <c r="L84" s="31">
        <f t="shared" si="28"/>
        <v>318.51842400000004</v>
      </c>
      <c r="M84" s="31">
        <f t="shared" si="45"/>
        <v>80.538640000000001</v>
      </c>
      <c r="N84" s="31">
        <f t="shared" si="38"/>
        <v>31.406960249999997</v>
      </c>
      <c r="O84" s="31">
        <f t="shared" si="39"/>
        <v>20.385179136000001</v>
      </c>
      <c r="P84" s="31">
        <f t="shared" si="40"/>
        <v>20.742726731999994</v>
      </c>
      <c r="Q84" s="31">
        <f t="shared" si="41"/>
        <v>72.534866117999997</v>
      </c>
      <c r="R84" s="31">
        <f t="shared" si="51"/>
        <v>0.46875</v>
      </c>
      <c r="S84" s="31">
        <f t="shared" si="31"/>
        <v>45320</v>
      </c>
      <c r="T84" s="31">
        <f t="shared" si="32"/>
        <v>40500</v>
      </c>
      <c r="U84" s="31">
        <f t="shared" si="52"/>
        <v>98</v>
      </c>
      <c r="V84" s="31">
        <f t="shared" si="53"/>
        <v>8467200</v>
      </c>
      <c r="W84" s="31">
        <f t="shared" si="54"/>
        <v>8507700</v>
      </c>
      <c r="X84" s="31">
        <f>W84-$R$2</f>
        <v>8288100</v>
      </c>
      <c r="Y84" s="31">
        <f t="shared" si="55"/>
        <v>64</v>
      </c>
      <c r="Z84" s="31">
        <f t="shared" si="56"/>
        <v>486</v>
      </c>
      <c r="AA84" s="31">
        <v>96</v>
      </c>
    </row>
    <row r="85" spans="1:27" x14ac:dyDescent="0.25">
      <c r="A85" s="74" t="s">
        <v>221</v>
      </c>
      <c r="B85" s="74" t="s">
        <v>173</v>
      </c>
      <c r="C85" s="45" t="str">
        <f t="shared" ref="C85:C88" si="60">TEXT(DATEVALUE(A85) + TIMEVALUE(B85), "gg-mm-aaaa hh:mm")</f>
        <v>31-01-2024 13:00</v>
      </c>
      <c r="D85" s="96">
        <v>486</v>
      </c>
      <c r="E85" s="96">
        <v>64</v>
      </c>
      <c r="F85" s="96">
        <f t="shared" si="59"/>
        <v>182.5</v>
      </c>
      <c r="G85" s="96">
        <v>930</v>
      </c>
      <c r="H85" s="93">
        <v>1652</v>
      </c>
      <c r="I85" s="96">
        <v>1</v>
      </c>
      <c r="J85" s="31">
        <f t="shared" si="58"/>
        <v>42.237499999999997</v>
      </c>
      <c r="K85" s="31">
        <f t="shared" si="37"/>
        <v>64.623374999999996</v>
      </c>
      <c r="L85" s="31">
        <f t="shared" si="28"/>
        <v>318.51842400000004</v>
      </c>
      <c r="M85" s="31">
        <f t="shared" si="45"/>
        <v>80.538640000000001</v>
      </c>
      <c r="N85" s="31">
        <f t="shared" si="38"/>
        <v>31.406960249999997</v>
      </c>
      <c r="O85" s="31">
        <f t="shared" si="39"/>
        <v>20.385179136000001</v>
      </c>
      <c r="P85" s="31">
        <f t="shared" si="40"/>
        <v>14.698301799999999</v>
      </c>
      <c r="Q85" s="31">
        <f t="shared" si="41"/>
        <v>66.490441185999998</v>
      </c>
      <c r="R85" s="31">
        <f t="shared" ref="R85:R96" si="61">TIMEVALUE(C85)</f>
        <v>0.54166666666424135</v>
      </c>
      <c r="S85" s="31">
        <f t="shared" ref="S85:S96" si="62">DATEVALUE(A85)-MIN($A$3:$A$68)</f>
        <v>45322</v>
      </c>
      <c r="T85" s="31">
        <f t="shared" ref="T85:T96" si="63">R85*86400</f>
        <v>46799.999999790452</v>
      </c>
      <c r="U85" s="31">
        <f t="shared" ref="U85:U96" si="64">S85-MIN($S$3:$S$68)</f>
        <v>100</v>
      </c>
      <c r="V85" s="31">
        <f t="shared" ref="V85:V96" si="65">U85*86400</f>
        <v>8640000</v>
      </c>
      <c r="W85" s="31">
        <f t="shared" ref="W85:W96" si="66">V85+T85</f>
        <v>8686799.9999997914</v>
      </c>
      <c r="X85" s="31">
        <f t="shared" ref="X85:X96" si="67">W85-$R$2</f>
        <v>8467199.9999997914</v>
      </c>
      <c r="Y85" s="31">
        <f t="shared" ref="Y85:Y96" si="68">E85</f>
        <v>64</v>
      </c>
      <c r="Z85" s="31">
        <f t="shared" ref="Z85:Z96" si="69">D85</f>
        <v>486</v>
      </c>
      <c r="AA85" s="31">
        <v>96</v>
      </c>
    </row>
    <row r="86" spans="1:27" x14ac:dyDescent="0.25">
      <c r="A86" s="74" t="s">
        <v>222</v>
      </c>
      <c r="B86" s="74" t="s">
        <v>223</v>
      </c>
      <c r="C86" s="45" t="str">
        <f t="shared" si="60"/>
        <v>02-02-2024 11:30</v>
      </c>
      <c r="D86" s="96">
        <v>730</v>
      </c>
      <c r="E86" s="96">
        <v>96</v>
      </c>
      <c r="F86" s="96">
        <f t="shared" si="59"/>
        <v>203</v>
      </c>
      <c r="G86" s="96">
        <v>1449</v>
      </c>
      <c r="H86" s="93">
        <v>1547.9</v>
      </c>
      <c r="I86" s="96">
        <v>1</v>
      </c>
      <c r="J86" s="31">
        <f t="shared" si="58"/>
        <v>42.237499999999997</v>
      </c>
      <c r="K86" s="31">
        <f t="shared" si="37"/>
        <v>64.623374999999996</v>
      </c>
      <c r="L86" s="31">
        <f t="shared" si="28"/>
        <v>318.51842400000004</v>
      </c>
      <c r="M86" s="31">
        <f t="shared" si="45"/>
        <v>80.538640000000001</v>
      </c>
      <c r="N86" s="31">
        <f t="shared" si="38"/>
        <v>47.175063749999993</v>
      </c>
      <c r="O86" s="31">
        <f t="shared" si="39"/>
        <v>30.577768704</v>
      </c>
      <c r="P86" s="31">
        <f t="shared" si="40"/>
        <v>16.349343919999999</v>
      </c>
      <c r="Q86" s="31">
        <f t="shared" si="41"/>
        <v>94.102176373999981</v>
      </c>
      <c r="R86" s="31">
        <f t="shared" si="61"/>
        <v>0.47916666666424135</v>
      </c>
      <c r="S86" s="31">
        <f t="shared" si="62"/>
        <v>45324</v>
      </c>
      <c r="T86" s="31">
        <f t="shared" si="63"/>
        <v>41399.999999790452</v>
      </c>
      <c r="U86" s="31">
        <f t="shared" si="64"/>
        <v>102</v>
      </c>
      <c r="V86" s="31">
        <f t="shared" si="65"/>
        <v>8812800</v>
      </c>
      <c r="W86" s="31">
        <f t="shared" si="66"/>
        <v>8854199.9999997914</v>
      </c>
      <c r="X86" s="31">
        <f t="shared" si="67"/>
        <v>8634599.9999997914</v>
      </c>
      <c r="Y86" s="31">
        <f t="shared" si="68"/>
        <v>96</v>
      </c>
      <c r="Z86" s="31">
        <f t="shared" si="69"/>
        <v>730</v>
      </c>
      <c r="AA86" s="31">
        <v>96</v>
      </c>
    </row>
    <row r="87" spans="1:27" x14ac:dyDescent="0.25">
      <c r="A87" s="74" t="s">
        <v>224</v>
      </c>
      <c r="B87" s="74" t="s">
        <v>225</v>
      </c>
      <c r="C87" s="45" t="str">
        <f t="shared" si="60"/>
        <v>05-02-2024 13:15</v>
      </c>
      <c r="D87" s="96">
        <v>462</v>
      </c>
      <c r="E87" s="96">
        <v>70</v>
      </c>
      <c r="F87" s="96">
        <f t="shared" si="59"/>
        <v>637.90000000000009</v>
      </c>
      <c r="G87" s="96">
        <v>910</v>
      </c>
      <c r="H87" s="93">
        <v>1401</v>
      </c>
      <c r="I87" s="96">
        <v>1</v>
      </c>
      <c r="J87" s="31">
        <f t="shared" si="58"/>
        <v>42.237499999999997</v>
      </c>
      <c r="K87" s="31">
        <f t="shared" si="37"/>
        <v>64.623374999999996</v>
      </c>
      <c r="L87" s="31">
        <f t="shared" si="28"/>
        <v>318.51842400000004</v>
      </c>
      <c r="M87" s="31">
        <f t="shared" si="45"/>
        <v>80.538640000000001</v>
      </c>
      <c r="N87" s="31">
        <f t="shared" si="38"/>
        <v>29.855999249999996</v>
      </c>
      <c r="O87" s="31">
        <f t="shared" si="39"/>
        <v>22.296289680000001</v>
      </c>
      <c r="P87" s="31">
        <f t="shared" si="40"/>
        <v>51.375598456000006</v>
      </c>
      <c r="Q87" s="31">
        <f t="shared" si="41"/>
        <v>103.527887386</v>
      </c>
      <c r="R87" s="31">
        <f t="shared" si="61"/>
        <v>0.55208333333575865</v>
      </c>
      <c r="S87" s="31">
        <f t="shared" si="62"/>
        <v>45327</v>
      </c>
      <c r="T87" s="31">
        <f t="shared" si="63"/>
        <v>47700.000000209548</v>
      </c>
      <c r="U87" s="31">
        <f t="shared" si="64"/>
        <v>105</v>
      </c>
      <c r="V87" s="31">
        <f t="shared" si="65"/>
        <v>9072000</v>
      </c>
      <c r="W87" s="31">
        <f t="shared" si="66"/>
        <v>9119700.0000002086</v>
      </c>
      <c r="X87" s="31">
        <f t="shared" si="67"/>
        <v>8900100.0000002086</v>
      </c>
      <c r="Y87" s="31">
        <f t="shared" si="68"/>
        <v>70</v>
      </c>
      <c r="Z87" s="31">
        <f t="shared" si="69"/>
        <v>462</v>
      </c>
      <c r="AA87" s="31">
        <v>96</v>
      </c>
    </row>
    <row r="88" spans="1:27" x14ac:dyDescent="0.25">
      <c r="A88" s="74" t="s">
        <v>226</v>
      </c>
      <c r="B88" s="74" t="s">
        <v>137</v>
      </c>
      <c r="C88" s="45" t="str">
        <f t="shared" si="60"/>
        <v>07-02-2024 15:00</v>
      </c>
      <c r="D88" s="96">
        <v>446</v>
      </c>
      <c r="E88" s="96">
        <v>74</v>
      </c>
      <c r="F88" s="96">
        <f t="shared" si="59"/>
        <v>262.25</v>
      </c>
      <c r="G88" s="96">
        <v>1138.75</v>
      </c>
      <c r="H88" s="93">
        <v>1387.6</v>
      </c>
      <c r="I88" s="96">
        <v>1</v>
      </c>
      <c r="J88" s="31">
        <f t="shared" ref="J88" si="70">54.5*77.5/100</f>
        <v>42.237499999999997</v>
      </c>
      <c r="K88" s="31">
        <f t="shared" si="37"/>
        <v>64.623374999999996</v>
      </c>
      <c r="L88" s="31">
        <f t="shared" si="28"/>
        <v>318.51842400000004</v>
      </c>
      <c r="M88" s="31">
        <f t="shared" si="45"/>
        <v>80.538640000000001</v>
      </c>
      <c r="N88" s="31">
        <f t="shared" si="38"/>
        <v>28.822025249999999</v>
      </c>
      <c r="O88" s="31">
        <f t="shared" si="39"/>
        <v>23.570363376</v>
      </c>
      <c r="P88" s="31">
        <f t="shared" si="40"/>
        <v>21.121258340000001</v>
      </c>
      <c r="Q88" s="31">
        <f t="shared" si="41"/>
        <v>73.513646965999996</v>
      </c>
      <c r="R88" s="31">
        <f t="shared" si="61"/>
        <v>0.625</v>
      </c>
      <c r="S88" s="31">
        <f t="shared" si="62"/>
        <v>45329</v>
      </c>
      <c r="T88" s="31">
        <f t="shared" si="63"/>
        <v>54000</v>
      </c>
      <c r="U88" s="31">
        <f t="shared" si="64"/>
        <v>107</v>
      </c>
      <c r="V88" s="31">
        <f t="shared" si="65"/>
        <v>9244800</v>
      </c>
      <c r="W88" s="31">
        <f t="shared" si="66"/>
        <v>9298800</v>
      </c>
      <c r="X88" s="31">
        <f t="shared" si="67"/>
        <v>9079200</v>
      </c>
      <c r="Y88" s="31">
        <f t="shared" si="68"/>
        <v>74</v>
      </c>
      <c r="Z88" s="31">
        <f t="shared" si="69"/>
        <v>446</v>
      </c>
      <c r="AA88" s="31">
        <v>96</v>
      </c>
    </row>
    <row r="89" spans="1:27" x14ac:dyDescent="0.25">
      <c r="A89" s="100" t="s">
        <v>227</v>
      </c>
      <c r="B89" s="100" t="s">
        <v>228</v>
      </c>
      <c r="C89" s="101" t="str">
        <f t="shared" ref="C89" si="71">TEXT(DATEVALUE(A89) + TIMEVALUE(B89), "gg-mm-aaaa hh:mm")</f>
        <v>09-02-2024 16:15</v>
      </c>
      <c r="D89" s="102">
        <f>730-(67/17*7)*3</f>
        <v>647.23529411764707</v>
      </c>
      <c r="E89" s="102">
        <f>96+(16.9/17*7)*3</f>
        <v>116.87647058823529</v>
      </c>
      <c r="F89" s="96">
        <f t="shared" si="59"/>
        <v>270.89999999999986</v>
      </c>
      <c r="G89" s="96">
        <v>1116.7</v>
      </c>
      <c r="H89" s="93">
        <v>1443.8</v>
      </c>
      <c r="I89" s="96">
        <v>1</v>
      </c>
      <c r="J89" s="31">
        <f t="shared" ref="J89:J91" si="72">49.9*77.5/100</f>
        <v>38.672499999999999</v>
      </c>
      <c r="K89" s="31">
        <f t="shared" si="37"/>
        <v>59.168925000000002</v>
      </c>
      <c r="L89" s="31">
        <f t="shared" si="28"/>
        <v>318.51842400000004</v>
      </c>
      <c r="M89" s="31">
        <f t="shared" si="45"/>
        <v>80.538640000000001</v>
      </c>
      <c r="N89" s="31">
        <f t="shared" si="38"/>
        <v>38.296216574999995</v>
      </c>
      <c r="O89" s="31">
        <f t="shared" si="39"/>
        <v>37.227309214447068</v>
      </c>
      <c r="P89" s="31">
        <f t="shared" si="40"/>
        <v>21.817917575999989</v>
      </c>
      <c r="Q89" s="31">
        <f t="shared" si="41"/>
        <v>97.341443365447049</v>
      </c>
      <c r="R89" s="31">
        <f t="shared" si="61"/>
        <v>0.67708333333575865</v>
      </c>
      <c r="S89" s="31">
        <f t="shared" si="62"/>
        <v>45331</v>
      </c>
      <c r="T89" s="31">
        <f t="shared" si="63"/>
        <v>58500.000000209548</v>
      </c>
      <c r="U89" s="31">
        <f t="shared" si="64"/>
        <v>109</v>
      </c>
      <c r="V89" s="31">
        <f t="shared" si="65"/>
        <v>9417600</v>
      </c>
      <c r="W89" s="31">
        <f t="shared" si="66"/>
        <v>9476100.0000002086</v>
      </c>
      <c r="X89" s="31">
        <f t="shared" si="67"/>
        <v>9256500.0000002086</v>
      </c>
      <c r="Y89" s="31">
        <f t="shared" si="68"/>
        <v>116.87647058823529</v>
      </c>
      <c r="Z89" s="31">
        <f t="shared" si="69"/>
        <v>647.23529411764707</v>
      </c>
      <c r="AA89" s="31">
        <v>96</v>
      </c>
    </row>
    <row r="90" spans="1:27" x14ac:dyDescent="0.25">
      <c r="A90" s="100" t="s">
        <v>229</v>
      </c>
      <c r="B90" s="100" t="s">
        <v>230</v>
      </c>
      <c r="C90" s="101" t="str">
        <f t="shared" ref="C90" si="73">TEXT(DATEVALUE(A90) + TIMEVALUE(B90), "gg-mm-aaaa hh:mm")</f>
        <v>12-02-2024 11:45</v>
      </c>
      <c r="D90" s="102">
        <f>486-(67/17*10)*2</f>
        <v>407.1764705882353</v>
      </c>
      <c r="E90" s="102">
        <f>64+(16.9/17*10)*2</f>
        <v>83.882352941176464</v>
      </c>
      <c r="F90" s="96">
        <f t="shared" si="59"/>
        <v>246.09999999999991</v>
      </c>
      <c r="G90" s="96">
        <v>1197.7</v>
      </c>
      <c r="H90" s="93">
        <v>1225.7</v>
      </c>
      <c r="I90" s="96">
        <v>1</v>
      </c>
      <c r="J90" s="31">
        <f t="shared" si="72"/>
        <v>38.672499999999999</v>
      </c>
      <c r="K90" s="31">
        <f t="shared" si="37"/>
        <v>59.168925000000002</v>
      </c>
      <c r="L90" s="31">
        <f t="shared" si="28"/>
        <v>318.51842400000004</v>
      </c>
      <c r="M90" s="31">
        <f t="shared" si="45"/>
        <v>80.538640000000001</v>
      </c>
      <c r="N90" s="31">
        <f t="shared" si="38"/>
        <v>24.092194050000003</v>
      </c>
      <c r="O90" s="31">
        <f t="shared" si="39"/>
        <v>26.718074860235294</v>
      </c>
      <c r="P90" s="31">
        <f t="shared" si="40"/>
        <v>19.820559303999993</v>
      </c>
      <c r="Q90" s="31">
        <f t="shared" si="41"/>
        <v>70.630828214235294</v>
      </c>
      <c r="R90" s="31">
        <f t="shared" si="61"/>
        <v>0.48958333333575865</v>
      </c>
      <c r="S90" s="31">
        <f t="shared" si="62"/>
        <v>45334</v>
      </c>
      <c r="T90" s="31">
        <f t="shared" si="63"/>
        <v>42300.000000209548</v>
      </c>
      <c r="U90" s="31">
        <f t="shared" si="64"/>
        <v>112</v>
      </c>
      <c r="V90" s="31">
        <f t="shared" si="65"/>
        <v>9676800</v>
      </c>
      <c r="W90" s="31">
        <f t="shared" si="66"/>
        <v>9719100.0000002086</v>
      </c>
      <c r="X90" s="31">
        <f t="shared" si="67"/>
        <v>9499500.0000002086</v>
      </c>
      <c r="Y90" s="31">
        <f t="shared" si="68"/>
        <v>83.882352941176464</v>
      </c>
      <c r="Z90" s="31">
        <f t="shared" si="69"/>
        <v>407.1764705882353</v>
      </c>
      <c r="AA90" s="31">
        <v>96</v>
      </c>
    </row>
    <row r="91" spans="1:27" x14ac:dyDescent="0.25">
      <c r="A91" s="100" t="s">
        <v>231</v>
      </c>
      <c r="B91" s="100" t="s">
        <v>137</v>
      </c>
      <c r="C91" s="101" t="str">
        <f t="shared" ref="C91:C96" si="74">TEXT(DATEVALUE(A91) + TIMEVALUE(B91), "gg-mm-aaaa hh:mm")</f>
        <v>14-02-2024 15:00</v>
      </c>
      <c r="D91" s="102">
        <f>486-(67/17*12)*2</f>
        <v>391.41176470588232</v>
      </c>
      <c r="E91" s="102">
        <f>64+(16.9/17*12)*2</f>
        <v>87.858823529411765</v>
      </c>
      <c r="F91" s="96">
        <f t="shared" si="59"/>
        <v>198.10000000000014</v>
      </c>
      <c r="G91" s="96">
        <v>1027.5999999999999</v>
      </c>
      <c r="H91" s="93">
        <v>1283</v>
      </c>
      <c r="I91" s="96">
        <v>1</v>
      </c>
      <c r="J91" s="31">
        <f t="shared" si="72"/>
        <v>38.672499999999999</v>
      </c>
      <c r="K91" s="31">
        <f t="shared" si="37"/>
        <v>59.168925000000002</v>
      </c>
      <c r="L91" s="31">
        <f t="shared" si="28"/>
        <v>318.51842400000004</v>
      </c>
      <c r="M91" s="31">
        <f t="shared" si="45"/>
        <v>80.538640000000001</v>
      </c>
      <c r="N91" s="31">
        <f t="shared" si="38"/>
        <v>23.159413349999998</v>
      </c>
      <c r="O91" s="31">
        <f t="shared" si="39"/>
        <v>27.984654005082358</v>
      </c>
      <c r="P91" s="31">
        <f t="shared" si="40"/>
        <v>15.954704584000012</v>
      </c>
      <c r="Q91" s="31">
        <f t="shared" si="41"/>
        <v>67.098771939082368</v>
      </c>
      <c r="R91" s="31">
        <f t="shared" si="61"/>
        <v>0.625</v>
      </c>
      <c r="S91" s="31">
        <f t="shared" si="62"/>
        <v>45336</v>
      </c>
      <c r="T91" s="31">
        <f t="shared" si="63"/>
        <v>54000</v>
      </c>
      <c r="U91" s="31">
        <f t="shared" si="64"/>
        <v>114</v>
      </c>
      <c r="V91" s="31">
        <f t="shared" si="65"/>
        <v>9849600</v>
      </c>
      <c r="W91" s="31">
        <f t="shared" si="66"/>
        <v>9903600</v>
      </c>
      <c r="X91" s="31">
        <f t="shared" si="67"/>
        <v>9684000</v>
      </c>
      <c r="Y91" s="31">
        <f t="shared" si="68"/>
        <v>87.858823529411765</v>
      </c>
      <c r="Z91" s="31">
        <f t="shared" si="69"/>
        <v>391.41176470588232</v>
      </c>
      <c r="AA91" s="31">
        <v>96</v>
      </c>
    </row>
    <row r="92" spans="1:27" x14ac:dyDescent="0.25">
      <c r="A92" s="100" t="s">
        <v>232</v>
      </c>
      <c r="B92" s="100" t="s">
        <v>233</v>
      </c>
      <c r="C92" s="101" t="str">
        <f t="shared" si="74"/>
        <v>16-02-2024 15:30</v>
      </c>
      <c r="D92" s="102">
        <f>730-(67/17*14)*3</f>
        <v>564.47058823529414</v>
      </c>
      <c r="E92" s="102">
        <f>96+(16.9/17*14)*3</f>
        <v>137.75294117647059</v>
      </c>
      <c r="F92" s="96">
        <f t="shared" si="59"/>
        <v>184</v>
      </c>
      <c r="G92" s="96">
        <v>1099</v>
      </c>
      <c r="H92" s="93">
        <v>1392.3</v>
      </c>
      <c r="I92" s="96">
        <v>1</v>
      </c>
      <c r="J92" s="31">
        <f t="shared" ref="J92" si="75">49.9*77.5/100</f>
        <v>38.672499999999999</v>
      </c>
      <c r="K92" s="31">
        <f t="shared" si="37"/>
        <v>59.168925000000002</v>
      </c>
      <c r="L92" s="31">
        <f t="shared" si="28"/>
        <v>318.51842400000004</v>
      </c>
      <c r="M92" s="31">
        <f t="shared" si="45"/>
        <v>80.538640000000001</v>
      </c>
      <c r="N92" s="31">
        <f t="shared" si="38"/>
        <v>33.399117900000007</v>
      </c>
      <c r="O92" s="31">
        <f t="shared" si="39"/>
        <v>43.876849724894122</v>
      </c>
      <c r="P92" s="31">
        <f t="shared" si="40"/>
        <v>14.81910976</v>
      </c>
      <c r="Q92" s="31">
        <f t="shared" si="41"/>
        <v>92.095077384894125</v>
      </c>
      <c r="R92" s="31">
        <f t="shared" si="61"/>
        <v>0.64583333333575865</v>
      </c>
      <c r="S92" s="31">
        <f t="shared" si="62"/>
        <v>45338</v>
      </c>
      <c r="T92" s="31">
        <f t="shared" si="63"/>
        <v>55800.000000209548</v>
      </c>
      <c r="U92" s="31">
        <f t="shared" si="64"/>
        <v>116</v>
      </c>
      <c r="V92" s="31">
        <f t="shared" si="65"/>
        <v>10022400</v>
      </c>
      <c r="W92" s="31">
        <f t="shared" si="66"/>
        <v>10078200.000000209</v>
      </c>
      <c r="X92" s="31">
        <f t="shared" si="67"/>
        <v>9858600.0000002086</v>
      </c>
      <c r="Y92" s="31">
        <f t="shared" si="68"/>
        <v>137.75294117647059</v>
      </c>
      <c r="Z92" s="31">
        <f t="shared" si="69"/>
        <v>564.47058823529414</v>
      </c>
      <c r="AA92" s="31">
        <v>96</v>
      </c>
    </row>
    <row r="93" spans="1:27" x14ac:dyDescent="0.25">
      <c r="A93" s="100" t="s">
        <v>234</v>
      </c>
      <c r="B93" s="89" t="s">
        <v>137</v>
      </c>
      <c r="C93" s="101" t="str">
        <f t="shared" si="74"/>
        <v>19-02-2024 15:00</v>
      </c>
      <c r="D93" s="102">
        <f>486-(67/17*17)*2</f>
        <v>352</v>
      </c>
      <c r="E93" s="102">
        <f>64+(16.9/17*17)*2</f>
        <v>97.8</v>
      </c>
      <c r="F93" s="96">
        <f t="shared" si="59"/>
        <v>40.700000000000045</v>
      </c>
      <c r="G93" s="96">
        <v>1351.6</v>
      </c>
      <c r="H93" s="93">
        <v>1215.5</v>
      </c>
      <c r="I93" s="96">
        <v>1</v>
      </c>
      <c r="J93" s="31">
        <f t="shared" ref="J93:J96" si="76">45.2*77.5/100</f>
        <v>35.03</v>
      </c>
      <c r="K93" s="31">
        <f t="shared" si="37"/>
        <v>53.5959</v>
      </c>
      <c r="L93" s="31">
        <f t="shared" si="28"/>
        <v>318.51842400000004</v>
      </c>
      <c r="M93" s="31">
        <f t="shared" si="45"/>
        <v>80.538640000000001</v>
      </c>
      <c r="N93" s="31">
        <f t="shared" si="38"/>
        <v>18.8657568</v>
      </c>
      <c r="O93" s="31">
        <f t="shared" si="39"/>
        <v>31.151101867200001</v>
      </c>
      <c r="P93" s="31">
        <f t="shared" si="40"/>
        <v>3.2779226480000037</v>
      </c>
      <c r="Q93" s="31">
        <f t="shared" si="41"/>
        <v>53.294781315199998</v>
      </c>
      <c r="R93" s="31">
        <f t="shared" si="61"/>
        <v>0.625</v>
      </c>
      <c r="S93" s="31">
        <f t="shared" si="62"/>
        <v>45341</v>
      </c>
      <c r="T93" s="31">
        <f t="shared" si="63"/>
        <v>54000</v>
      </c>
      <c r="U93" s="31">
        <f t="shared" si="64"/>
        <v>119</v>
      </c>
      <c r="V93" s="31">
        <f t="shared" si="65"/>
        <v>10281600</v>
      </c>
      <c r="W93" s="31">
        <f t="shared" si="66"/>
        <v>10335600</v>
      </c>
      <c r="X93" s="31">
        <f t="shared" si="67"/>
        <v>10116000</v>
      </c>
      <c r="Y93" s="31">
        <f t="shared" si="68"/>
        <v>97.8</v>
      </c>
      <c r="Z93" s="31">
        <f t="shared" si="69"/>
        <v>352</v>
      </c>
      <c r="AA93" s="31">
        <v>96</v>
      </c>
    </row>
    <row r="94" spans="1:27" x14ac:dyDescent="0.25">
      <c r="A94" s="100" t="s">
        <v>235</v>
      </c>
      <c r="B94" s="100" t="s">
        <v>225</v>
      </c>
      <c r="C94" s="101" t="str">
        <f t="shared" si="74"/>
        <v>21-02-2024 13:15</v>
      </c>
      <c r="D94" s="102">
        <f>486-(67/17*17)*2</f>
        <v>352</v>
      </c>
      <c r="E94" s="102">
        <f>64+(16.9/17*17)*2</f>
        <v>97.8</v>
      </c>
      <c r="F94" s="96">
        <f t="shared" si="59"/>
        <v>250.20000000000005</v>
      </c>
      <c r="G94" s="96">
        <v>965.3</v>
      </c>
      <c r="H94" s="93">
        <v>1242.5999999999999</v>
      </c>
      <c r="I94" s="96">
        <v>1</v>
      </c>
      <c r="J94" s="31">
        <f t="shared" si="76"/>
        <v>35.03</v>
      </c>
      <c r="K94" s="31">
        <f t="shared" si="37"/>
        <v>53.5959</v>
      </c>
      <c r="L94" s="31">
        <f t="shared" si="28"/>
        <v>318.51842400000004</v>
      </c>
      <c r="M94" s="31">
        <f t="shared" si="45"/>
        <v>80.538640000000001</v>
      </c>
      <c r="N94" s="31">
        <f t="shared" si="38"/>
        <v>18.8657568</v>
      </c>
      <c r="O94" s="31">
        <f t="shared" si="39"/>
        <v>31.151101867200001</v>
      </c>
      <c r="P94" s="31">
        <f t="shared" si="40"/>
        <v>20.150767728000002</v>
      </c>
      <c r="Q94" s="31">
        <f t="shared" si="41"/>
        <v>70.167626395200003</v>
      </c>
      <c r="R94" s="31">
        <f t="shared" si="61"/>
        <v>0.55208333333575865</v>
      </c>
      <c r="S94" s="31">
        <f t="shared" si="62"/>
        <v>45343</v>
      </c>
      <c r="T94" s="31">
        <f t="shared" si="63"/>
        <v>47700.000000209548</v>
      </c>
      <c r="U94" s="31">
        <f t="shared" si="64"/>
        <v>121</v>
      </c>
      <c r="V94" s="31">
        <f t="shared" si="65"/>
        <v>10454400</v>
      </c>
      <c r="W94" s="31">
        <f t="shared" si="66"/>
        <v>10502100.000000209</v>
      </c>
      <c r="X94" s="31">
        <f t="shared" si="67"/>
        <v>10282500.000000209</v>
      </c>
      <c r="Y94" s="31">
        <f t="shared" si="68"/>
        <v>97.8</v>
      </c>
      <c r="Z94" s="31">
        <f t="shared" si="69"/>
        <v>352</v>
      </c>
      <c r="AA94" s="31">
        <v>96</v>
      </c>
    </row>
    <row r="95" spans="1:27" x14ac:dyDescent="0.25">
      <c r="A95" s="100" t="s">
        <v>236</v>
      </c>
      <c r="B95" s="100" t="s">
        <v>137</v>
      </c>
      <c r="C95" s="101" t="str">
        <f t="shared" si="74"/>
        <v>23-02-2024 15:00</v>
      </c>
      <c r="D95" s="102">
        <f>730-(67/17*17)*3</f>
        <v>529</v>
      </c>
      <c r="E95" s="102">
        <f>96+(16.9/17*17)*3</f>
        <v>146.69999999999999</v>
      </c>
      <c r="F95" s="96">
        <f t="shared" si="59"/>
        <v>154.79999999999995</v>
      </c>
      <c r="G95" s="96">
        <v>1087.8</v>
      </c>
      <c r="H95" s="32" t="s">
        <v>275</v>
      </c>
      <c r="I95" s="96">
        <v>1</v>
      </c>
      <c r="J95" s="31">
        <f t="shared" si="76"/>
        <v>35.03</v>
      </c>
      <c r="K95" s="31">
        <f t="shared" si="37"/>
        <v>53.5959</v>
      </c>
      <c r="L95" s="31">
        <f t="shared" si="28"/>
        <v>318.51842400000004</v>
      </c>
      <c r="M95" s="31">
        <f t="shared" si="45"/>
        <v>80.538640000000001</v>
      </c>
      <c r="N95" s="31">
        <f t="shared" si="38"/>
        <v>28.352231100000001</v>
      </c>
      <c r="O95" s="31">
        <f t="shared" si="39"/>
        <v>46.726652800800004</v>
      </c>
      <c r="P95" s="31">
        <f t="shared" si="40"/>
        <v>12.467381471999998</v>
      </c>
      <c r="Q95" s="31">
        <f t="shared" si="41"/>
        <v>87.546265372800008</v>
      </c>
      <c r="R95" s="31">
        <f t="shared" si="61"/>
        <v>0.625</v>
      </c>
      <c r="S95" s="31">
        <f t="shared" si="62"/>
        <v>45345</v>
      </c>
      <c r="T95" s="31">
        <f t="shared" si="63"/>
        <v>54000</v>
      </c>
      <c r="U95" s="31">
        <f t="shared" si="64"/>
        <v>123</v>
      </c>
      <c r="V95" s="31">
        <f t="shared" si="65"/>
        <v>10627200</v>
      </c>
      <c r="W95" s="31">
        <f t="shared" si="66"/>
        <v>10681200</v>
      </c>
      <c r="X95" s="31">
        <f t="shared" si="67"/>
        <v>10461600</v>
      </c>
      <c r="Y95" s="31">
        <f t="shared" si="68"/>
        <v>146.69999999999999</v>
      </c>
      <c r="Z95" s="31">
        <f t="shared" si="69"/>
        <v>529</v>
      </c>
      <c r="AA95" s="31">
        <v>96</v>
      </c>
    </row>
    <row r="96" spans="1:27" x14ac:dyDescent="0.25">
      <c r="A96" s="100" t="s">
        <v>238</v>
      </c>
      <c r="B96" s="100" t="s">
        <v>239</v>
      </c>
      <c r="C96" s="101" t="str">
        <f t="shared" si="74"/>
        <v>26-02-2024 14:20</v>
      </c>
      <c r="D96" s="102">
        <f>486-(67/17*17)*2</f>
        <v>352</v>
      </c>
      <c r="E96" s="102">
        <f>64+(16.9/17*17)*2</f>
        <v>97.8</v>
      </c>
      <c r="F96" s="97">
        <v>350</v>
      </c>
      <c r="G96" s="96">
        <v>814.7</v>
      </c>
      <c r="H96" s="93">
        <v>1384.7</v>
      </c>
      <c r="I96" s="96">
        <v>1</v>
      </c>
      <c r="J96" s="31">
        <f t="shared" si="76"/>
        <v>35.03</v>
      </c>
      <c r="K96" s="31">
        <f t="shared" si="37"/>
        <v>53.5959</v>
      </c>
      <c r="L96" s="31">
        <f t="shared" si="28"/>
        <v>318.51842400000004</v>
      </c>
      <c r="M96" s="31">
        <f t="shared" si="45"/>
        <v>80.538640000000001</v>
      </c>
      <c r="N96" s="31">
        <f t="shared" si="38"/>
        <v>18.8657568</v>
      </c>
      <c r="O96" s="31">
        <f t="shared" si="39"/>
        <v>31.151101867200001</v>
      </c>
      <c r="P96" s="31">
        <f t="shared" si="40"/>
        <v>28.188524000000001</v>
      </c>
      <c r="Q96" s="31">
        <f t="shared" si="41"/>
        <v>78.205382667199999</v>
      </c>
      <c r="R96" s="31">
        <f t="shared" si="61"/>
        <v>0.59722222221898846</v>
      </c>
      <c r="S96" s="31">
        <f t="shared" si="62"/>
        <v>45348</v>
      </c>
      <c r="T96" s="31">
        <f t="shared" si="63"/>
        <v>51599.999999720603</v>
      </c>
      <c r="U96" s="31">
        <f t="shared" si="64"/>
        <v>126</v>
      </c>
      <c r="V96" s="31">
        <f t="shared" si="65"/>
        <v>10886400</v>
      </c>
      <c r="W96" s="31">
        <f t="shared" si="66"/>
        <v>10937999.999999721</v>
      </c>
      <c r="X96" s="31">
        <f t="shared" si="67"/>
        <v>10718399.999999721</v>
      </c>
      <c r="Y96" s="31">
        <f t="shared" si="68"/>
        <v>97.8</v>
      </c>
      <c r="Z96" s="31">
        <f t="shared" si="69"/>
        <v>352</v>
      </c>
      <c r="AA96" s="31">
        <v>96</v>
      </c>
    </row>
    <row r="97" spans="1:27" x14ac:dyDescent="0.25">
      <c r="A97" s="100" t="s">
        <v>240</v>
      </c>
      <c r="B97" s="100" t="s">
        <v>137</v>
      </c>
      <c r="C97" s="101" t="str">
        <f t="shared" ref="C97:C108" si="77">TEXT(DATEVALUE(A97) + TIMEVALUE(B97), "gg-mm-aaaa hh:mm")</f>
        <v>28-02-2024 15:00</v>
      </c>
      <c r="D97" s="102">
        <f>486-(67/17*17)*2</f>
        <v>352</v>
      </c>
      <c r="E97" s="102">
        <f>64+(16.9/17*17)*2</f>
        <v>97.8</v>
      </c>
      <c r="F97" s="96">
        <f t="shared" si="59"/>
        <v>336.55999999999995</v>
      </c>
      <c r="G97" s="96">
        <v>1048.1400000000001</v>
      </c>
      <c r="H97" s="93">
        <v>1314.88</v>
      </c>
      <c r="I97" s="96">
        <v>1</v>
      </c>
      <c r="J97" s="31">
        <f t="shared" ref="J97" si="78">45.2*77.5/100</f>
        <v>35.03</v>
      </c>
      <c r="K97" s="31">
        <f t="shared" ref="K97:K102" si="79">J97*$K$2</f>
        <v>53.5959</v>
      </c>
      <c r="L97" s="31">
        <f t="shared" si="28"/>
        <v>318.51842400000004</v>
      </c>
      <c r="M97" s="31">
        <f t="shared" si="45"/>
        <v>80.538640000000001</v>
      </c>
      <c r="N97" s="31">
        <f t="shared" ref="N97:N102" si="80">K97*D97/1000</f>
        <v>18.8657568</v>
      </c>
      <c r="O97" s="31">
        <f t="shared" ref="O97:O102" si="81">L97*E97/1000</f>
        <v>31.151101867200001</v>
      </c>
      <c r="P97" s="31">
        <f t="shared" ref="P97:P102" si="82">M97*F97/1000</f>
        <v>27.106084678399995</v>
      </c>
      <c r="Q97" s="31">
        <f t="shared" ref="Q97:Q102" si="83">SUM(N97:P97)</f>
        <v>77.122943345599992</v>
      </c>
      <c r="R97" s="31">
        <f t="shared" ref="R97:R102" si="84">TIMEVALUE(C97)</f>
        <v>0.625</v>
      </c>
      <c r="S97" s="31">
        <f t="shared" ref="S97:S102" si="85">DATEVALUE(A97)-MIN($A$3:$A$68)</f>
        <v>45350</v>
      </c>
      <c r="T97" s="31">
        <f t="shared" ref="T97:T102" si="86">R97*86400</f>
        <v>54000</v>
      </c>
      <c r="U97" s="31">
        <f t="shared" ref="U97:U102" si="87">S97-MIN($S$3:$S$68)</f>
        <v>128</v>
      </c>
      <c r="V97" s="31">
        <f t="shared" ref="V97:V102" si="88">U97*86400</f>
        <v>11059200</v>
      </c>
      <c r="W97" s="31">
        <f t="shared" ref="W97:W102" si="89">V97+T97</f>
        <v>11113200</v>
      </c>
      <c r="X97" s="31">
        <f t="shared" ref="X97:X102" si="90">W97-$R$2</f>
        <v>10893600</v>
      </c>
      <c r="Y97" s="31">
        <f t="shared" ref="Y97:Y102" si="91">E97</f>
        <v>97.8</v>
      </c>
      <c r="Z97" s="31">
        <f t="shared" ref="Z97:Z102" si="92">D97</f>
        <v>352</v>
      </c>
      <c r="AA97" s="31">
        <v>96</v>
      </c>
    </row>
    <row r="98" spans="1:27" x14ac:dyDescent="0.25">
      <c r="A98" s="100" t="s">
        <v>241</v>
      </c>
      <c r="B98" s="100" t="s">
        <v>163</v>
      </c>
      <c r="C98" s="101" t="str">
        <f t="shared" si="77"/>
        <v>01-03-2024 17:00</v>
      </c>
      <c r="D98" s="102">
        <f>730-(67/17*17)*3</f>
        <v>529</v>
      </c>
      <c r="E98" s="102">
        <f>96+(16.9/17*17)*3</f>
        <v>146.69999999999999</v>
      </c>
      <c r="F98" s="96">
        <f t="shared" si="59"/>
        <v>335.30000000000007</v>
      </c>
      <c r="G98" s="96">
        <v>979.58</v>
      </c>
      <c r="H98" s="93">
        <v>1279.0899999999999</v>
      </c>
      <c r="I98" s="96">
        <v>1</v>
      </c>
      <c r="J98" s="31">
        <f t="shared" ref="J98:J107" si="93">77.7*82/100</f>
        <v>63.714000000000006</v>
      </c>
      <c r="K98" s="31">
        <f t="shared" si="79"/>
        <v>97.482420000000005</v>
      </c>
      <c r="L98" s="31">
        <f t="shared" si="28"/>
        <v>318.51842400000004</v>
      </c>
      <c r="M98" s="31">
        <f t="shared" si="45"/>
        <v>80.538640000000001</v>
      </c>
      <c r="N98" s="31">
        <f t="shared" si="80"/>
        <v>51.568200179999998</v>
      </c>
      <c r="O98" s="31">
        <f t="shared" si="81"/>
        <v>46.726652800800004</v>
      </c>
      <c r="P98" s="31">
        <f t="shared" si="82"/>
        <v>27.004605992000005</v>
      </c>
      <c r="Q98" s="31">
        <f t="shared" si="83"/>
        <v>125.29945897280001</v>
      </c>
      <c r="R98" s="31">
        <f t="shared" si="84"/>
        <v>0.70833333333575865</v>
      </c>
      <c r="S98" s="31">
        <f t="shared" si="85"/>
        <v>45352</v>
      </c>
      <c r="T98" s="31">
        <f t="shared" si="86"/>
        <v>61200.000000209548</v>
      </c>
      <c r="U98" s="31">
        <f t="shared" si="87"/>
        <v>130</v>
      </c>
      <c r="V98" s="31">
        <f t="shared" si="88"/>
        <v>11232000</v>
      </c>
      <c r="W98" s="31">
        <f t="shared" si="89"/>
        <v>11293200.000000209</v>
      </c>
      <c r="X98" s="31">
        <f t="shared" si="90"/>
        <v>11073600.000000209</v>
      </c>
      <c r="Y98" s="31">
        <f t="shared" si="91"/>
        <v>146.69999999999999</v>
      </c>
      <c r="Z98" s="31">
        <f t="shared" si="92"/>
        <v>529</v>
      </c>
      <c r="AA98" s="31">
        <v>96</v>
      </c>
    </row>
    <row r="99" spans="1:27" x14ac:dyDescent="0.25">
      <c r="A99" s="100" t="s">
        <v>242</v>
      </c>
      <c r="B99" s="100" t="s">
        <v>223</v>
      </c>
      <c r="C99" s="101" t="str">
        <f t="shared" si="77"/>
        <v>04-03-2024 11:30</v>
      </c>
      <c r="D99" s="102">
        <f>486-(67/17*17)*2</f>
        <v>352</v>
      </c>
      <c r="E99" s="102">
        <f>64+(16.9/17*17)*2</f>
        <v>97.8</v>
      </c>
      <c r="F99" s="96">
        <f t="shared" si="59"/>
        <v>364.18999999999994</v>
      </c>
      <c r="G99" s="96">
        <v>914.9</v>
      </c>
      <c r="H99" s="93">
        <v>1301</v>
      </c>
      <c r="I99" s="96">
        <v>1</v>
      </c>
      <c r="J99" s="31">
        <f t="shared" si="93"/>
        <v>63.714000000000006</v>
      </c>
      <c r="K99" s="31">
        <f t="shared" si="79"/>
        <v>97.482420000000005</v>
      </c>
      <c r="L99" s="31">
        <f t="shared" si="28"/>
        <v>318.51842400000004</v>
      </c>
      <c r="M99" s="31">
        <f t="shared" si="45"/>
        <v>80.538640000000001</v>
      </c>
      <c r="N99" s="31">
        <f t="shared" si="80"/>
        <v>34.31381184</v>
      </c>
      <c r="O99" s="31">
        <f t="shared" si="81"/>
        <v>31.151101867200001</v>
      </c>
      <c r="P99" s="31">
        <f t="shared" si="82"/>
        <v>29.331367301599997</v>
      </c>
      <c r="Q99" s="31">
        <f t="shared" si="83"/>
        <v>94.796281008799994</v>
      </c>
      <c r="R99" s="31">
        <f t="shared" si="84"/>
        <v>0.47916666666424135</v>
      </c>
      <c r="S99" s="31">
        <f t="shared" si="85"/>
        <v>45355</v>
      </c>
      <c r="T99" s="31">
        <f t="shared" si="86"/>
        <v>41399.999999790452</v>
      </c>
      <c r="U99" s="31">
        <f t="shared" si="87"/>
        <v>133</v>
      </c>
      <c r="V99" s="31">
        <f t="shared" si="88"/>
        <v>11491200</v>
      </c>
      <c r="W99" s="31">
        <f t="shared" si="89"/>
        <v>11532599.999999791</v>
      </c>
      <c r="X99" s="31">
        <f t="shared" si="90"/>
        <v>11312999.999999791</v>
      </c>
      <c r="Y99" s="31">
        <f t="shared" si="91"/>
        <v>97.8</v>
      </c>
      <c r="Z99" s="31">
        <f t="shared" si="92"/>
        <v>352</v>
      </c>
      <c r="AA99" s="31">
        <v>96</v>
      </c>
    </row>
    <row r="100" spans="1:27" x14ac:dyDescent="0.25">
      <c r="A100" s="100" t="s">
        <v>243</v>
      </c>
      <c r="B100" s="100" t="s">
        <v>207</v>
      </c>
      <c r="C100" s="101" t="str">
        <f t="shared" si="77"/>
        <v>06-03-2024 16:30</v>
      </c>
      <c r="D100" s="102">
        <f>486-(67/17*17)*2</f>
        <v>352</v>
      </c>
      <c r="E100" s="102">
        <f>64+(16.9/17*17)*2</f>
        <v>97.8</v>
      </c>
      <c r="F100" s="96">
        <f t="shared" si="59"/>
        <v>391.29999999999995</v>
      </c>
      <c r="G100" s="96">
        <v>909.7</v>
      </c>
      <c r="H100" s="93">
        <v>1245</v>
      </c>
      <c r="I100" s="96">
        <v>1</v>
      </c>
      <c r="J100" s="31">
        <f t="shared" si="93"/>
        <v>63.714000000000006</v>
      </c>
      <c r="K100" s="31">
        <f t="shared" si="79"/>
        <v>97.482420000000005</v>
      </c>
      <c r="L100" s="31">
        <f t="shared" si="28"/>
        <v>318.51842400000004</v>
      </c>
      <c r="M100" s="31">
        <f t="shared" si="45"/>
        <v>80.538640000000001</v>
      </c>
      <c r="N100" s="31">
        <f t="shared" si="80"/>
        <v>34.31381184</v>
      </c>
      <c r="O100" s="31">
        <f t="shared" si="81"/>
        <v>31.151101867200001</v>
      </c>
      <c r="P100" s="31">
        <f t="shared" si="82"/>
        <v>31.514769831999999</v>
      </c>
      <c r="Q100" s="31">
        <f t="shared" si="83"/>
        <v>96.979683539199996</v>
      </c>
      <c r="R100" s="31">
        <f t="shared" si="84"/>
        <v>0.6875</v>
      </c>
      <c r="S100" s="31">
        <f t="shared" si="85"/>
        <v>45357</v>
      </c>
      <c r="T100" s="31">
        <f t="shared" si="86"/>
        <v>59400</v>
      </c>
      <c r="U100" s="31">
        <f t="shared" si="87"/>
        <v>135</v>
      </c>
      <c r="V100" s="31">
        <f t="shared" si="88"/>
        <v>11664000</v>
      </c>
      <c r="W100" s="31">
        <f t="shared" si="89"/>
        <v>11723400</v>
      </c>
      <c r="X100" s="31">
        <f t="shared" si="90"/>
        <v>11503800</v>
      </c>
      <c r="Y100" s="31">
        <f t="shared" si="91"/>
        <v>97.8</v>
      </c>
      <c r="Z100" s="31">
        <f t="shared" si="92"/>
        <v>352</v>
      </c>
      <c r="AA100" s="31">
        <v>96</v>
      </c>
    </row>
    <row r="101" spans="1:27" x14ac:dyDescent="0.25">
      <c r="A101" s="100" t="s">
        <v>244</v>
      </c>
      <c r="B101" s="100" t="s">
        <v>196</v>
      </c>
      <c r="C101" s="101" t="str">
        <f t="shared" si="77"/>
        <v>08-03-2024 16:00</v>
      </c>
      <c r="D101" s="102">
        <f>730-(67/17*17)*3</f>
        <v>529</v>
      </c>
      <c r="E101" s="102">
        <f>96+(16.9/17*17)*3</f>
        <v>146.69999999999999</v>
      </c>
      <c r="F101" s="96">
        <f t="shared" si="59"/>
        <v>346.1</v>
      </c>
      <c r="G101" s="96">
        <v>898.9</v>
      </c>
      <c r="H101" s="93">
        <v>1340.5</v>
      </c>
      <c r="I101" s="96">
        <v>1</v>
      </c>
      <c r="J101" s="31">
        <f t="shared" si="93"/>
        <v>63.714000000000006</v>
      </c>
      <c r="K101" s="31">
        <f t="shared" si="79"/>
        <v>97.482420000000005</v>
      </c>
      <c r="L101" s="31">
        <f t="shared" si="28"/>
        <v>318.51842400000004</v>
      </c>
      <c r="M101" s="31">
        <f t="shared" si="45"/>
        <v>80.538640000000001</v>
      </c>
      <c r="N101" s="31">
        <f t="shared" si="80"/>
        <v>51.568200179999998</v>
      </c>
      <c r="O101" s="31">
        <f t="shared" si="81"/>
        <v>46.726652800800004</v>
      </c>
      <c r="P101" s="31">
        <f t="shared" si="82"/>
        <v>27.874423304000004</v>
      </c>
      <c r="Q101" s="31">
        <f t="shared" si="83"/>
        <v>126.16927628480001</v>
      </c>
      <c r="R101" s="31">
        <f t="shared" si="84"/>
        <v>0.66666666666424135</v>
      </c>
      <c r="S101" s="31">
        <f t="shared" si="85"/>
        <v>45359</v>
      </c>
      <c r="T101" s="31">
        <f t="shared" si="86"/>
        <v>57599.999999790452</v>
      </c>
      <c r="U101" s="31">
        <f t="shared" si="87"/>
        <v>137</v>
      </c>
      <c r="V101" s="31">
        <f t="shared" si="88"/>
        <v>11836800</v>
      </c>
      <c r="W101" s="31">
        <f t="shared" si="89"/>
        <v>11894399.999999791</v>
      </c>
      <c r="X101" s="31">
        <f t="shared" si="90"/>
        <v>11674799.999999791</v>
      </c>
      <c r="Y101" s="31">
        <f t="shared" si="91"/>
        <v>146.69999999999999</v>
      </c>
      <c r="Z101" s="31">
        <f t="shared" si="92"/>
        <v>529</v>
      </c>
      <c r="AA101" s="31">
        <v>96</v>
      </c>
    </row>
    <row r="102" spans="1:27" x14ac:dyDescent="0.25">
      <c r="A102" s="100" t="s">
        <v>245</v>
      </c>
      <c r="B102" s="100" t="s">
        <v>223</v>
      </c>
      <c r="C102" s="101" t="str">
        <f t="shared" si="77"/>
        <v>11-03-2024 11:30</v>
      </c>
      <c r="D102" s="102">
        <f>486-(67/17*17)*2</f>
        <v>352</v>
      </c>
      <c r="E102" s="102">
        <f>64+(16.9/17*17)*2</f>
        <v>97.8</v>
      </c>
      <c r="F102" s="96">
        <f t="shared" si="59"/>
        <v>344</v>
      </c>
      <c r="G102" s="96">
        <v>996.5</v>
      </c>
      <c r="H102" s="93">
        <v>1216</v>
      </c>
      <c r="I102" s="96">
        <v>1</v>
      </c>
      <c r="J102" s="31">
        <f t="shared" si="93"/>
        <v>63.714000000000006</v>
      </c>
      <c r="K102" s="31">
        <f t="shared" si="79"/>
        <v>97.482420000000005</v>
      </c>
      <c r="L102" s="31">
        <f t="shared" si="28"/>
        <v>318.51842400000004</v>
      </c>
      <c r="M102" s="31">
        <f t="shared" si="45"/>
        <v>80.538640000000001</v>
      </c>
      <c r="N102" s="31">
        <f t="shared" si="80"/>
        <v>34.31381184</v>
      </c>
      <c r="O102" s="31">
        <f t="shared" si="81"/>
        <v>31.151101867200001</v>
      </c>
      <c r="P102" s="31">
        <f t="shared" si="82"/>
        <v>27.705292160000003</v>
      </c>
      <c r="Q102" s="31">
        <f t="shared" si="83"/>
        <v>93.170205867199996</v>
      </c>
      <c r="R102" s="31">
        <f t="shared" si="84"/>
        <v>0.47916666666424135</v>
      </c>
      <c r="S102" s="31">
        <f t="shared" si="85"/>
        <v>45362</v>
      </c>
      <c r="T102" s="31">
        <f t="shared" si="86"/>
        <v>41399.999999790452</v>
      </c>
      <c r="U102" s="31">
        <f t="shared" si="87"/>
        <v>140</v>
      </c>
      <c r="V102" s="31">
        <f t="shared" si="88"/>
        <v>12096000</v>
      </c>
      <c r="W102" s="31">
        <f t="shared" si="89"/>
        <v>12137399.999999791</v>
      </c>
      <c r="X102" s="31">
        <f t="shared" si="90"/>
        <v>11917799.999999791</v>
      </c>
      <c r="Y102" s="31">
        <f t="shared" si="91"/>
        <v>97.8</v>
      </c>
      <c r="Z102" s="31">
        <f t="shared" si="92"/>
        <v>352</v>
      </c>
      <c r="AA102" s="31">
        <v>96</v>
      </c>
    </row>
    <row r="103" spans="1:27" x14ac:dyDescent="0.25">
      <c r="A103" s="100" t="s">
        <v>246</v>
      </c>
      <c r="B103" s="100" t="s">
        <v>173</v>
      </c>
      <c r="C103" s="101" t="str">
        <f t="shared" si="77"/>
        <v>13-03-2024 13:00</v>
      </c>
      <c r="D103" s="102">
        <f>486-(67/17*17)*2</f>
        <v>352</v>
      </c>
      <c r="E103" s="102">
        <f>64+(16.9/17*17)*2</f>
        <v>97.8</v>
      </c>
      <c r="F103" s="96">
        <f t="shared" si="59"/>
        <v>275.60000000000002</v>
      </c>
      <c r="G103" s="96">
        <v>940.4</v>
      </c>
      <c r="H103" s="93">
        <v>1248.6400000000001</v>
      </c>
      <c r="I103" s="96">
        <v>1</v>
      </c>
      <c r="J103" s="31">
        <f t="shared" si="93"/>
        <v>63.714000000000006</v>
      </c>
      <c r="K103" s="31">
        <f t="shared" ref="K103:K105" si="94">J103*$K$2</f>
        <v>97.482420000000005</v>
      </c>
      <c r="L103" s="31">
        <f t="shared" si="28"/>
        <v>318.51842400000004</v>
      </c>
      <c r="M103" s="31">
        <f t="shared" si="45"/>
        <v>80.538640000000001</v>
      </c>
      <c r="N103" s="31">
        <f t="shared" ref="N103:N105" si="95">K103*D103/1000</f>
        <v>34.31381184</v>
      </c>
      <c r="O103" s="31">
        <f t="shared" ref="O103:O105" si="96">L103*E103/1000</f>
        <v>31.151101867200001</v>
      </c>
      <c r="P103" s="31">
        <f t="shared" ref="P103:P105" si="97">M103*F103/1000</f>
        <v>22.196449184000002</v>
      </c>
      <c r="Q103" s="31">
        <f t="shared" ref="Q103:Q105" si="98">SUM(N103:P103)</f>
        <v>87.6613628912</v>
      </c>
      <c r="R103" s="31">
        <f t="shared" ref="R103:R105" si="99">TIMEVALUE(C103)</f>
        <v>0.54166666666424135</v>
      </c>
      <c r="S103" s="31">
        <f t="shared" ref="S103:S105" si="100">DATEVALUE(A103)-MIN($A$3:$A$68)</f>
        <v>45364</v>
      </c>
      <c r="T103" s="31">
        <f t="shared" ref="T103:T105" si="101">R103*86400</f>
        <v>46799.999999790452</v>
      </c>
      <c r="U103" s="31">
        <f t="shared" ref="U103:U105" si="102">S103-MIN($S$3:$S$68)</f>
        <v>142</v>
      </c>
      <c r="V103" s="31">
        <f t="shared" ref="V103:V105" si="103">U103*86400</f>
        <v>12268800</v>
      </c>
      <c r="W103" s="31">
        <f t="shared" ref="W103:W105" si="104">V103+T103</f>
        <v>12315599.999999791</v>
      </c>
      <c r="X103" s="31">
        <f t="shared" ref="X103:X105" si="105">W103-$R$2</f>
        <v>12095999.999999791</v>
      </c>
      <c r="Y103" s="31">
        <f t="shared" ref="Y103:Y105" si="106">E103</f>
        <v>97.8</v>
      </c>
      <c r="Z103" s="31">
        <f t="shared" ref="Z103:Z105" si="107">D103</f>
        <v>352</v>
      </c>
      <c r="AA103" s="31">
        <v>96</v>
      </c>
    </row>
    <row r="104" spans="1:27" x14ac:dyDescent="0.25">
      <c r="A104" s="100" t="s">
        <v>247</v>
      </c>
      <c r="B104" s="100" t="s">
        <v>173</v>
      </c>
      <c r="C104" s="101" t="str">
        <f t="shared" si="77"/>
        <v>15-03-2024 13:00</v>
      </c>
      <c r="D104" s="102">
        <f>730-(67/17*17)*3</f>
        <v>529</v>
      </c>
      <c r="E104" s="102">
        <f>96+(16.9/17*17)*3</f>
        <v>146.69999999999999</v>
      </c>
      <c r="F104" s="96">
        <f t="shared" si="59"/>
        <v>310.1400000000001</v>
      </c>
      <c r="G104" s="96">
        <v>938.5</v>
      </c>
      <c r="H104" s="93">
        <v>1282.4000000000001</v>
      </c>
      <c r="I104" s="96">
        <v>1</v>
      </c>
      <c r="J104" s="31">
        <f t="shared" si="93"/>
        <v>63.714000000000006</v>
      </c>
      <c r="K104" s="31">
        <f t="shared" si="94"/>
        <v>97.482420000000005</v>
      </c>
      <c r="L104" s="31">
        <f>293*95.9/100*$L$2</f>
        <v>354.04362000000003</v>
      </c>
      <c r="M104" s="31">
        <f t="shared" si="45"/>
        <v>80.538640000000001</v>
      </c>
      <c r="N104" s="31">
        <f t="shared" si="95"/>
        <v>51.568200179999998</v>
      </c>
      <c r="O104" s="31">
        <f t="shared" si="96"/>
        <v>51.938199054000002</v>
      </c>
      <c r="P104" s="31">
        <f t="shared" si="97"/>
        <v>24.978253809600009</v>
      </c>
      <c r="Q104" s="31">
        <f t="shared" si="98"/>
        <v>128.48465304360002</v>
      </c>
      <c r="R104" s="31">
        <f t="shared" si="99"/>
        <v>0.54166666666424135</v>
      </c>
      <c r="S104" s="31">
        <f t="shared" si="100"/>
        <v>45366</v>
      </c>
      <c r="T104" s="31">
        <f t="shared" si="101"/>
        <v>46799.999999790452</v>
      </c>
      <c r="U104" s="31">
        <f t="shared" si="102"/>
        <v>144</v>
      </c>
      <c r="V104" s="31">
        <f t="shared" si="103"/>
        <v>12441600</v>
      </c>
      <c r="W104" s="31">
        <f t="shared" si="104"/>
        <v>12488399.999999791</v>
      </c>
      <c r="X104" s="31">
        <f t="shared" si="105"/>
        <v>12268799.999999791</v>
      </c>
      <c r="Y104" s="31">
        <f t="shared" si="106"/>
        <v>146.69999999999999</v>
      </c>
      <c r="Z104" s="31">
        <f t="shared" si="107"/>
        <v>529</v>
      </c>
      <c r="AA104" s="31">
        <v>96</v>
      </c>
    </row>
    <row r="105" spans="1:27" x14ac:dyDescent="0.25">
      <c r="A105" s="100" t="s">
        <v>248</v>
      </c>
      <c r="B105" s="100" t="s">
        <v>202</v>
      </c>
      <c r="C105" s="101" t="str">
        <f t="shared" si="77"/>
        <v>18-03-2024 14:30</v>
      </c>
      <c r="D105" s="102">
        <f>486-(67/17*17)*2</f>
        <v>352</v>
      </c>
      <c r="E105" s="102">
        <f>64+(16.9/17*17)*2</f>
        <v>97.8</v>
      </c>
      <c r="F105" s="96">
        <f t="shared" si="59"/>
        <v>406.73000000000013</v>
      </c>
      <c r="G105" s="96">
        <v>875.67</v>
      </c>
      <c r="H105" s="93">
        <v>1047.5999999999999</v>
      </c>
      <c r="I105" s="96">
        <v>1</v>
      </c>
      <c r="J105" s="31">
        <f t="shared" si="93"/>
        <v>63.714000000000006</v>
      </c>
      <c r="K105" s="31">
        <f t="shared" si="94"/>
        <v>97.482420000000005</v>
      </c>
      <c r="L105" s="31">
        <f>293*95.9/100*$L$2</f>
        <v>354.04362000000003</v>
      </c>
      <c r="M105" s="31">
        <f t="shared" si="45"/>
        <v>80.538640000000001</v>
      </c>
      <c r="N105" s="31">
        <f t="shared" si="95"/>
        <v>34.31381184</v>
      </c>
      <c r="O105" s="31">
        <f t="shared" si="96"/>
        <v>34.625466036000006</v>
      </c>
      <c r="P105" s="31">
        <f t="shared" si="97"/>
        <v>32.75748104720001</v>
      </c>
      <c r="Q105" s="31">
        <f t="shared" si="98"/>
        <v>101.69675892320001</v>
      </c>
      <c r="R105" s="31">
        <f t="shared" si="99"/>
        <v>0.60416666666424135</v>
      </c>
      <c r="S105" s="31">
        <f t="shared" si="100"/>
        <v>45369</v>
      </c>
      <c r="T105" s="31">
        <f t="shared" si="101"/>
        <v>52199.999999790452</v>
      </c>
      <c r="U105" s="31">
        <f t="shared" si="102"/>
        <v>147</v>
      </c>
      <c r="V105" s="31">
        <f t="shared" si="103"/>
        <v>12700800</v>
      </c>
      <c r="W105" s="31">
        <f t="shared" si="104"/>
        <v>12752999.999999791</v>
      </c>
      <c r="X105" s="31">
        <f t="shared" si="105"/>
        <v>12533399.999999791</v>
      </c>
      <c r="Y105" s="31">
        <f t="shared" si="106"/>
        <v>97.8</v>
      </c>
      <c r="Z105" s="31">
        <f t="shared" si="107"/>
        <v>352</v>
      </c>
      <c r="AA105" s="31">
        <v>96</v>
      </c>
    </row>
    <row r="106" spans="1:27" x14ac:dyDescent="0.25">
      <c r="A106" s="100" t="s">
        <v>249</v>
      </c>
      <c r="B106" s="100" t="s">
        <v>171</v>
      </c>
      <c r="C106" s="101" t="str">
        <f t="shared" si="77"/>
        <v>20-03-2024 12:30</v>
      </c>
      <c r="D106" s="125">
        <v>0</v>
      </c>
      <c r="E106" s="125">
        <v>0</v>
      </c>
      <c r="F106" s="96">
        <f>H105-G106</f>
        <v>221.43999999999994</v>
      </c>
      <c r="G106" s="96">
        <v>826.16</v>
      </c>
      <c r="H106" s="93">
        <v>0</v>
      </c>
      <c r="I106" s="96">
        <v>1</v>
      </c>
      <c r="J106" s="31">
        <f t="shared" si="93"/>
        <v>63.714000000000006</v>
      </c>
      <c r="K106" s="31">
        <f t="shared" ref="K106:K107" si="108">J106*$K$2</f>
        <v>97.482420000000005</v>
      </c>
      <c r="L106" s="31">
        <f>293*95.9/100*$L$2</f>
        <v>354.04362000000003</v>
      </c>
      <c r="M106" s="31">
        <f t="shared" si="45"/>
        <v>80.538640000000001</v>
      </c>
      <c r="N106" s="31">
        <f t="shared" ref="N106:N107" si="109">K106*D106/1000</f>
        <v>0</v>
      </c>
      <c r="O106" s="31">
        <f t="shared" ref="O106:O107" si="110">L106*E106/1000</f>
        <v>0</v>
      </c>
      <c r="P106" s="31">
        <f t="shared" ref="P106:P107" si="111">M106*F106/1000</f>
        <v>17.834476441599996</v>
      </c>
      <c r="Q106" s="31">
        <f t="shared" ref="Q106:Q107" si="112">SUM(N106:P106)</f>
        <v>17.834476441599996</v>
      </c>
      <c r="R106" s="31">
        <f t="shared" ref="R106:R107" si="113">TIMEVALUE(C106)</f>
        <v>0.52083333333575865</v>
      </c>
      <c r="S106" s="31">
        <f>DATEVALUE(A106)-MIN($A$3:$A$68)</f>
        <v>45371</v>
      </c>
      <c r="T106" s="31">
        <f t="shared" ref="T106:T107" si="114">R106*86400</f>
        <v>45000.000000209548</v>
      </c>
      <c r="U106" s="31">
        <f t="shared" ref="U106:U107" si="115">S106-MIN($S$3:$S$68)</f>
        <v>149</v>
      </c>
      <c r="V106" s="31">
        <f t="shared" ref="V106" si="116">U106*86400</f>
        <v>12873600</v>
      </c>
      <c r="W106" s="31">
        <f t="shared" ref="W106" si="117">V106+T106</f>
        <v>12918600.000000209</v>
      </c>
      <c r="X106" s="31">
        <f t="shared" ref="X106" si="118">W106-$R$2</f>
        <v>12699000.000000209</v>
      </c>
      <c r="Y106" s="31">
        <f t="shared" ref="Y106" si="119">E106</f>
        <v>0</v>
      </c>
      <c r="Z106" s="31">
        <f t="shared" ref="Z106" si="120">D106</f>
        <v>0</v>
      </c>
      <c r="AA106" s="31">
        <v>0</v>
      </c>
    </row>
    <row r="107" spans="1:27" x14ac:dyDescent="0.25">
      <c r="A107" s="100" t="s">
        <v>276</v>
      </c>
      <c r="B107" s="100" t="s">
        <v>171</v>
      </c>
      <c r="C107" s="101" t="str">
        <f t="shared" si="77"/>
        <v>25-03-2024 12:30</v>
      </c>
      <c r="D107" s="102">
        <v>0</v>
      </c>
      <c r="E107" s="102">
        <v>400</v>
      </c>
      <c r="F107" s="102">
        <f t="shared" si="59"/>
        <v>0</v>
      </c>
      <c r="I107" s="96">
        <v>1</v>
      </c>
      <c r="J107" s="31">
        <f t="shared" si="93"/>
        <v>63.714000000000006</v>
      </c>
      <c r="K107" s="31">
        <f t="shared" si="108"/>
        <v>97.482420000000005</v>
      </c>
      <c r="L107" s="31">
        <f>293*95.9/100*$L$2</f>
        <v>354.04362000000003</v>
      </c>
      <c r="M107" s="31">
        <f t="shared" si="45"/>
        <v>80.538640000000001</v>
      </c>
      <c r="N107" s="31">
        <f t="shared" si="109"/>
        <v>0</v>
      </c>
      <c r="O107" s="31">
        <f t="shared" si="110"/>
        <v>141.617448</v>
      </c>
      <c r="P107" s="31">
        <f t="shared" si="111"/>
        <v>0</v>
      </c>
      <c r="Q107" s="31">
        <f t="shared" si="112"/>
        <v>141.617448</v>
      </c>
      <c r="R107" s="31">
        <f t="shared" si="113"/>
        <v>0.52083333333575865</v>
      </c>
      <c r="S107" s="31">
        <f t="shared" ref="S107" si="121">DATEVALUE(A107)-MIN($A$3:$A$68)</f>
        <v>45376</v>
      </c>
      <c r="T107" s="31">
        <f t="shared" si="114"/>
        <v>45000.000000209548</v>
      </c>
      <c r="U107" s="31">
        <f t="shared" si="115"/>
        <v>154</v>
      </c>
      <c r="V107" s="31">
        <f>U107*86400</f>
        <v>13305600</v>
      </c>
      <c r="W107" s="31">
        <f>V107+T107</f>
        <v>13350600.000000209</v>
      </c>
      <c r="X107" s="31">
        <f>W107-$R$2</f>
        <v>13131000.000000209</v>
      </c>
      <c r="Y107" s="31">
        <f>E107</f>
        <v>400</v>
      </c>
      <c r="Z107" s="31">
        <f>D107</f>
        <v>0</v>
      </c>
      <c r="AA107" s="31">
        <v>0</v>
      </c>
    </row>
    <row r="108" spans="1:27" x14ac:dyDescent="0.25">
      <c r="A108" s="100" t="s">
        <v>293</v>
      </c>
      <c r="B108" s="100" t="s">
        <v>294</v>
      </c>
      <c r="C108" s="101" t="str">
        <f t="shared" si="77"/>
        <v>11-04-2024 11:40</v>
      </c>
      <c r="D108" s="102">
        <v>1000</v>
      </c>
      <c r="E108" s="102">
        <v>0</v>
      </c>
      <c r="F108" s="102">
        <v>0</v>
      </c>
      <c r="I108" s="96">
        <v>1</v>
      </c>
      <c r="J108" s="31">
        <f>92.6*82/100</f>
        <v>75.932000000000002</v>
      </c>
      <c r="K108" s="31">
        <f>J108*$K$2</f>
        <v>116.17596</v>
      </c>
      <c r="L108" s="31">
        <f>293*95.9/100*$L$2</f>
        <v>354.04362000000003</v>
      </c>
      <c r="M108" s="31">
        <f>72.8*85.1/100*$M$2</f>
        <v>80.538640000000001</v>
      </c>
      <c r="N108" s="31">
        <f>K108*D108/1000</f>
        <v>116.17596</v>
      </c>
      <c r="O108" s="31">
        <f>L108*E108/1000</f>
        <v>0</v>
      </c>
      <c r="P108" s="31">
        <f>M108*F108/1000</f>
        <v>0</v>
      </c>
      <c r="Q108" s="31">
        <f>SUM(N108:P108)</f>
        <v>116.17596</v>
      </c>
      <c r="R108" s="31">
        <f>TIMEVALUE(C108)</f>
        <v>0.48611111110949423</v>
      </c>
      <c r="S108" s="31">
        <f>DATEVALUE(A108)-MIN($A$3:$A$68)</f>
        <v>45393</v>
      </c>
      <c r="T108" s="31">
        <f>R108*86400</f>
        <v>41999.999999860302</v>
      </c>
      <c r="U108" s="31">
        <f>S108-MIN($S$3:$S$68)</f>
        <v>171</v>
      </c>
      <c r="V108" s="31">
        <f>U108*86400</f>
        <v>14774400</v>
      </c>
      <c r="W108" s="31">
        <f>V108+T108</f>
        <v>14816399.99999986</v>
      </c>
      <c r="X108" s="31">
        <f>W108-$R$2</f>
        <v>14596799.99999986</v>
      </c>
      <c r="Y108" s="31">
        <f>E108</f>
        <v>0</v>
      </c>
      <c r="Z108" s="31">
        <f>D108</f>
        <v>1000</v>
      </c>
      <c r="AA108" s="31">
        <v>0</v>
      </c>
    </row>
    <row r="109" spans="1:27" x14ac:dyDescent="0.25">
      <c r="AA109" s="31"/>
    </row>
  </sheetData>
  <phoneticPr fontId="16"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FE4A7-92E9-48A1-9E2C-362914A53B0C}">
  <dimension ref="A1:R1048576"/>
  <sheetViews>
    <sheetView workbookViewId="0">
      <selection activeCell="C14" sqref="C14"/>
    </sheetView>
  </sheetViews>
  <sheetFormatPr defaultRowHeight="15" x14ac:dyDescent="0.25"/>
  <cols>
    <col min="1" max="1" width="11.42578125" bestFit="1" customWidth="1"/>
    <col min="3" max="3" width="15.5703125" bestFit="1" customWidth="1"/>
    <col min="4" max="7" width="15.5703125" customWidth="1"/>
    <col min="10" max="10" width="10.5703125" bestFit="1" customWidth="1"/>
    <col min="12" max="12" width="9.5703125" bestFit="1" customWidth="1"/>
    <col min="13" max="13" width="10.5703125" bestFit="1" customWidth="1"/>
    <col min="14" max="15" width="13.7109375" bestFit="1" customWidth="1"/>
    <col min="16" max="16" width="10.5703125" bestFit="1" customWidth="1"/>
    <col min="17" max="18" width="4.5703125" bestFit="1" customWidth="1"/>
  </cols>
  <sheetData>
    <row r="1" spans="1:18" x14ac:dyDescent="0.25">
      <c r="A1" t="s">
        <v>277</v>
      </c>
      <c r="B1" t="s">
        <v>118</v>
      </c>
      <c r="C1" t="s">
        <v>119</v>
      </c>
      <c r="D1" t="s">
        <v>4709</v>
      </c>
      <c r="H1" t="s">
        <v>278</v>
      </c>
      <c r="I1" t="s">
        <v>279</v>
      </c>
      <c r="J1" t="s">
        <v>280</v>
      </c>
      <c r="K1" t="s">
        <v>278</v>
      </c>
      <c r="L1" t="s">
        <v>279</v>
      </c>
      <c r="M1" t="s">
        <v>281</v>
      </c>
      <c r="O1" t="s">
        <v>4711</v>
      </c>
      <c r="P1" t="s">
        <v>501</v>
      </c>
      <c r="R1" t="s">
        <v>500</v>
      </c>
    </row>
    <row r="2" spans="1:18" x14ac:dyDescent="0.25">
      <c r="C2" s="100"/>
      <c r="D2" s="100"/>
      <c r="E2" s="100"/>
      <c r="F2" s="100"/>
      <c r="G2" s="135" t="s">
        <v>4710</v>
      </c>
      <c r="H2">
        <v>0</v>
      </c>
      <c r="I2">
        <v>0</v>
      </c>
      <c r="J2" s="13">
        <v>12000</v>
      </c>
      <c r="K2">
        <v>0</v>
      </c>
      <c r="L2">
        <v>0</v>
      </c>
      <c r="M2" s="13">
        <v>12000</v>
      </c>
      <c r="O2" s="74" t="str">
        <f t="shared" ref="O2:O21" si="0">G2</f>
        <v>0</v>
      </c>
      <c r="P2" s="137">
        <f t="shared" ref="P2:P21" si="1">J2/1000000</f>
        <v>1.2E-2</v>
      </c>
      <c r="Q2" s="13" t="str">
        <f t="shared" ref="Q2:Q21" si="2">G2</f>
        <v>0</v>
      </c>
      <c r="R2" s="137">
        <f t="shared" ref="R2:R21" si="3">M2/1000000</f>
        <v>1.2E-2</v>
      </c>
    </row>
    <row r="3" spans="1:18" x14ac:dyDescent="0.25">
      <c r="A3" s="100" t="s">
        <v>276</v>
      </c>
      <c r="B3" s="100" t="s">
        <v>167</v>
      </c>
      <c r="C3" s="101" t="str">
        <f t="shared" ref="C3:C21" si="4">TEXT(DATEVALUE(A3) + TIMEVALUE(B3), "gg-mm-aaaa hh:mm")</f>
        <v>25-03-2024 11:00</v>
      </c>
      <c r="D3" s="136">
        <f t="shared" ref="D3:D21" si="5">DATEVALUE(A3)-MIN(A2:A20)</f>
        <v>45376</v>
      </c>
      <c r="E3" s="136">
        <f t="shared" ref="E3:E21" si="6">TIMEVALUE(B3)</f>
        <v>0.45833333333333331</v>
      </c>
      <c r="F3" s="52">
        <v>0</v>
      </c>
      <c r="G3" s="13">
        <f>13131000-60*90</f>
        <v>13125600</v>
      </c>
      <c r="H3" s="13">
        <v>0</v>
      </c>
      <c r="I3" s="13">
        <v>100</v>
      </c>
      <c r="J3" s="13">
        <f>J2+H3-I3</f>
        <v>11900</v>
      </c>
      <c r="K3" s="13">
        <v>0</v>
      </c>
      <c r="L3" s="13">
        <v>100</v>
      </c>
      <c r="M3" s="13">
        <f>M2+K3-L3</f>
        <v>11900</v>
      </c>
      <c r="O3" s="74">
        <f t="shared" si="0"/>
        <v>13125600</v>
      </c>
      <c r="P3" s="137">
        <f t="shared" si="1"/>
        <v>1.1900000000000001E-2</v>
      </c>
      <c r="Q3" s="13">
        <f t="shared" si="2"/>
        <v>13125600</v>
      </c>
      <c r="R3" s="137">
        <f t="shared" si="3"/>
        <v>1.1900000000000001E-2</v>
      </c>
    </row>
    <row r="4" spans="1:18" x14ac:dyDescent="0.25">
      <c r="A4" s="100" t="s">
        <v>282</v>
      </c>
      <c r="B4" s="100" t="s">
        <v>185</v>
      </c>
      <c r="C4" s="101" t="str">
        <f t="shared" si="4"/>
        <v>26-03-2024 10:30</v>
      </c>
      <c r="D4" s="136">
        <f t="shared" si="5"/>
        <v>45377</v>
      </c>
      <c r="E4" s="136">
        <f t="shared" si="6"/>
        <v>0.4375</v>
      </c>
      <c r="F4" s="136">
        <f t="shared" ref="F4:F21" si="7">D4-$D$3</f>
        <v>1</v>
      </c>
      <c r="G4" s="52">
        <f t="shared" ref="G4:G21" si="8">$G$3+F4*86400+(E4-$E$3)*86400</f>
        <v>13210200</v>
      </c>
      <c r="H4">
        <v>400</v>
      </c>
      <c r="I4">
        <v>0</v>
      </c>
      <c r="J4" s="13">
        <f>J3+H4-I4</f>
        <v>12300</v>
      </c>
      <c r="K4">
        <v>400</v>
      </c>
      <c r="L4">
        <v>0</v>
      </c>
      <c r="M4" s="13">
        <f>M3+K4-L4</f>
        <v>12300</v>
      </c>
      <c r="O4" s="74">
        <f t="shared" si="0"/>
        <v>13210200</v>
      </c>
      <c r="P4" s="137">
        <f t="shared" si="1"/>
        <v>1.23E-2</v>
      </c>
      <c r="Q4" s="13">
        <f t="shared" si="2"/>
        <v>13210200</v>
      </c>
      <c r="R4" s="137">
        <f t="shared" si="3"/>
        <v>1.23E-2</v>
      </c>
    </row>
    <row r="5" spans="1:18" x14ac:dyDescent="0.25">
      <c r="A5" s="100" t="s">
        <v>282</v>
      </c>
      <c r="B5" s="100" t="s">
        <v>167</v>
      </c>
      <c r="C5" s="101" t="str">
        <f t="shared" si="4"/>
        <v>26-03-2024 11:00</v>
      </c>
      <c r="D5" s="136">
        <f t="shared" si="5"/>
        <v>45377</v>
      </c>
      <c r="E5" s="136">
        <f t="shared" si="6"/>
        <v>0.45833333333333331</v>
      </c>
      <c r="F5" s="136">
        <f t="shared" si="7"/>
        <v>1</v>
      </c>
      <c r="G5" s="52">
        <f t="shared" si="8"/>
        <v>13212000</v>
      </c>
      <c r="H5" s="13">
        <v>0</v>
      </c>
      <c r="I5" s="13">
        <v>100</v>
      </c>
      <c r="J5" s="13">
        <f t="shared" ref="J5:J9" si="9">J4+H5-I5</f>
        <v>12200</v>
      </c>
      <c r="K5" s="13">
        <v>0</v>
      </c>
      <c r="L5" s="13">
        <v>100</v>
      </c>
      <c r="M5" s="13">
        <f t="shared" ref="M5:M9" si="10">M4+K5-L5</f>
        <v>12200</v>
      </c>
      <c r="O5" s="74">
        <f t="shared" si="0"/>
        <v>13212000</v>
      </c>
      <c r="P5" s="137">
        <f t="shared" si="1"/>
        <v>1.2200000000000001E-2</v>
      </c>
      <c r="Q5" s="13">
        <f t="shared" si="2"/>
        <v>13212000</v>
      </c>
      <c r="R5" s="137">
        <f t="shared" si="3"/>
        <v>1.2200000000000001E-2</v>
      </c>
    </row>
    <row r="6" spans="1:18" x14ac:dyDescent="0.25">
      <c r="A6" s="100" t="s">
        <v>282</v>
      </c>
      <c r="B6" s="100" t="s">
        <v>283</v>
      </c>
      <c r="C6" s="101" t="str">
        <f t="shared" si="4"/>
        <v>26-03-2024 12:45</v>
      </c>
      <c r="D6" s="136">
        <f t="shared" si="5"/>
        <v>45377</v>
      </c>
      <c r="E6" s="136">
        <f t="shared" si="6"/>
        <v>0.53125</v>
      </c>
      <c r="F6" s="136">
        <f t="shared" si="7"/>
        <v>1</v>
      </c>
      <c r="G6" s="52">
        <f t="shared" si="8"/>
        <v>13218300</v>
      </c>
      <c r="H6" s="13">
        <v>0</v>
      </c>
      <c r="I6" s="13">
        <v>100</v>
      </c>
      <c r="J6" s="13">
        <f t="shared" si="9"/>
        <v>12100</v>
      </c>
      <c r="K6" s="13">
        <v>0</v>
      </c>
      <c r="L6" s="13">
        <v>100</v>
      </c>
      <c r="M6" s="13">
        <f t="shared" si="10"/>
        <v>12100</v>
      </c>
      <c r="O6" s="74">
        <f t="shared" si="0"/>
        <v>13218300</v>
      </c>
      <c r="P6" s="137">
        <f t="shared" si="1"/>
        <v>1.21E-2</v>
      </c>
      <c r="Q6" s="13">
        <f t="shared" si="2"/>
        <v>13218300</v>
      </c>
      <c r="R6" s="137">
        <f t="shared" si="3"/>
        <v>1.21E-2</v>
      </c>
    </row>
    <row r="7" spans="1:18" x14ac:dyDescent="0.25">
      <c r="A7" s="100" t="s">
        <v>282</v>
      </c>
      <c r="B7" s="100" t="s">
        <v>196</v>
      </c>
      <c r="C7" s="101" t="str">
        <f t="shared" si="4"/>
        <v>26-03-2024 16:00</v>
      </c>
      <c r="D7" s="136">
        <f t="shared" si="5"/>
        <v>45377</v>
      </c>
      <c r="E7" s="136">
        <f t="shared" si="6"/>
        <v>0.66666666666666663</v>
      </c>
      <c r="F7" s="136">
        <f t="shared" si="7"/>
        <v>1</v>
      </c>
      <c r="G7" s="52">
        <f t="shared" si="8"/>
        <v>13230000</v>
      </c>
      <c r="H7" s="13">
        <v>0</v>
      </c>
      <c r="I7" s="13">
        <v>100</v>
      </c>
      <c r="J7" s="13">
        <f t="shared" si="9"/>
        <v>12000</v>
      </c>
      <c r="K7" s="13">
        <v>0</v>
      </c>
      <c r="L7" s="13">
        <v>100</v>
      </c>
      <c r="M7" s="13">
        <f t="shared" si="10"/>
        <v>12000</v>
      </c>
      <c r="O7" s="74">
        <f t="shared" si="0"/>
        <v>13230000</v>
      </c>
      <c r="P7" s="137">
        <f t="shared" si="1"/>
        <v>1.2E-2</v>
      </c>
      <c r="Q7" s="13">
        <f t="shared" si="2"/>
        <v>13230000</v>
      </c>
      <c r="R7" s="137">
        <f t="shared" si="3"/>
        <v>1.2E-2</v>
      </c>
    </row>
    <row r="8" spans="1:18" x14ac:dyDescent="0.25">
      <c r="A8" s="100" t="s">
        <v>284</v>
      </c>
      <c r="B8" s="100" t="s">
        <v>185</v>
      </c>
      <c r="C8" s="101" t="str">
        <f t="shared" si="4"/>
        <v>27-03-2024 10:30</v>
      </c>
      <c r="D8" s="136">
        <f t="shared" si="5"/>
        <v>45378</v>
      </c>
      <c r="E8" s="136">
        <f t="shared" si="6"/>
        <v>0.4375</v>
      </c>
      <c r="F8" s="136">
        <f t="shared" si="7"/>
        <v>2</v>
      </c>
      <c r="G8" s="52">
        <f t="shared" si="8"/>
        <v>13296600</v>
      </c>
      <c r="H8" s="13">
        <v>0</v>
      </c>
      <c r="I8" s="13">
        <v>100</v>
      </c>
      <c r="J8" s="13">
        <f t="shared" si="9"/>
        <v>11900</v>
      </c>
      <c r="K8" s="13">
        <v>0</v>
      </c>
      <c r="L8" s="13">
        <v>100</v>
      </c>
      <c r="M8" s="13">
        <f t="shared" si="10"/>
        <v>11900</v>
      </c>
      <c r="O8" s="74">
        <f t="shared" si="0"/>
        <v>13296600</v>
      </c>
      <c r="P8" s="137">
        <f t="shared" si="1"/>
        <v>1.1900000000000001E-2</v>
      </c>
      <c r="Q8" s="13">
        <f t="shared" si="2"/>
        <v>13296600</v>
      </c>
      <c r="R8" s="137">
        <f t="shared" si="3"/>
        <v>1.1900000000000001E-2</v>
      </c>
    </row>
    <row r="9" spans="1:18" x14ac:dyDescent="0.25">
      <c r="A9" s="100" t="s">
        <v>285</v>
      </c>
      <c r="B9" s="100" t="s">
        <v>170</v>
      </c>
      <c r="C9" s="101" t="str">
        <f t="shared" si="4"/>
        <v>29-03-2024 10:15</v>
      </c>
      <c r="D9" s="136">
        <f t="shared" si="5"/>
        <v>45380</v>
      </c>
      <c r="E9" s="136">
        <f t="shared" si="6"/>
        <v>0.42708333333333331</v>
      </c>
      <c r="F9" s="136">
        <f t="shared" si="7"/>
        <v>4</v>
      </c>
      <c r="G9" s="52">
        <f t="shared" si="8"/>
        <v>13468500</v>
      </c>
      <c r="H9" s="13">
        <v>0</v>
      </c>
      <c r="I9" s="13">
        <v>100</v>
      </c>
      <c r="J9" s="13">
        <f t="shared" si="9"/>
        <v>11800</v>
      </c>
      <c r="K9" s="13">
        <v>0</v>
      </c>
      <c r="L9" s="13">
        <v>100</v>
      </c>
      <c r="M9" s="13">
        <f t="shared" si="10"/>
        <v>11800</v>
      </c>
      <c r="O9" s="74">
        <f t="shared" si="0"/>
        <v>13468500</v>
      </c>
      <c r="P9" s="137">
        <f t="shared" si="1"/>
        <v>1.18E-2</v>
      </c>
      <c r="Q9" s="13">
        <f t="shared" si="2"/>
        <v>13468500</v>
      </c>
      <c r="R9" s="137">
        <f t="shared" si="3"/>
        <v>1.18E-2</v>
      </c>
    </row>
    <row r="10" spans="1:18" x14ac:dyDescent="0.25">
      <c r="A10" s="100" t="s">
        <v>286</v>
      </c>
      <c r="B10" s="100" t="s">
        <v>287</v>
      </c>
      <c r="C10" s="101" t="str">
        <f t="shared" si="4"/>
        <v>02-04-2024 10:40</v>
      </c>
      <c r="D10" s="136">
        <f t="shared" si="5"/>
        <v>45384</v>
      </c>
      <c r="E10" s="136">
        <f t="shared" si="6"/>
        <v>0.44444444444444442</v>
      </c>
      <c r="F10" s="136">
        <f t="shared" si="7"/>
        <v>8</v>
      </c>
      <c r="G10" s="52">
        <f t="shared" si="8"/>
        <v>13815600</v>
      </c>
      <c r="H10" s="13">
        <v>0</v>
      </c>
      <c r="I10" s="13">
        <v>100</v>
      </c>
      <c r="J10" s="13">
        <f>J9+H10-I10+50</f>
        <v>11750</v>
      </c>
      <c r="K10" s="13">
        <v>0</v>
      </c>
      <c r="L10" s="13">
        <v>100</v>
      </c>
      <c r="M10" s="13">
        <f>M9+K10-L10+50</f>
        <v>11750</v>
      </c>
      <c r="N10" t="s">
        <v>288</v>
      </c>
      <c r="O10" s="74">
        <f t="shared" si="0"/>
        <v>13815600</v>
      </c>
      <c r="P10" s="137">
        <f t="shared" si="1"/>
        <v>1.175E-2</v>
      </c>
      <c r="Q10" s="13">
        <f t="shared" si="2"/>
        <v>13815600</v>
      </c>
      <c r="R10" s="137">
        <f t="shared" si="3"/>
        <v>1.175E-2</v>
      </c>
    </row>
    <row r="11" spans="1:18" x14ac:dyDescent="0.25">
      <c r="A11" s="100" t="s">
        <v>289</v>
      </c>
      <c r="B11" s="100" t="s">
        <v>185</v>
      </c>
      <c r="C11" s="101" t="str">
        <f t="shared" si="4"/>
        <v>05-04-2024 10:30</v>
      </c>
      <c r="D11" s="136">
        <f t="shared" si="5"/>
        <v>45387</v>
      </c>
      <c r="E11" s="136">
        <f t="shared" si="6"/>
        <v>0.4375</v>
      </c>
      <c r="F11" s="136">
        <f t="shared" si="7"/>
        <v>11</v>
      </c>
      <c r="G11" s="52">
        <f t="shared" si="8"/>
        <v>14074200</v>
      </c>
      <c r="H11" s="13">
        <v>0</v>
      </c>
      <c r="I11" s="13">
        <v>100</v>
      </c>
      <c r="J11" s="13">
        <f>J10+H11-I11+50</f>
        <v>11700</v>
      </c>
      <c r="K11" s="13">
        <v>0</v>
      </c>
      <c r="L11" s="13">
        <v>100</v>
      </c>
      <c r="M11" s="13">
        <f>M10+K11-L11+50</f>
        <v>11700</v>
      </c>
      <c r="N11" t="s">
        <v>288</v>
      </c>
      <c r="O11" s="74">
        <f t="shared" si="0"/>
        <v>14074200</v>
      </c>
      <c r="P11" s="137">
        <f t="shared" si="1"/>
        <v>1.17E-2</v>
      </c>
      <c r="Q11" s="13">
        <f t="shared" si="2"/>
        <v>14074200</v>
      </c>
      <c r="R11" s="137">
        <f t="shared" si="3"/>
        <v>1.17E-2</v>
      </c>
    </row>
    <row r="12" spans="1:18" x14ac:dyDescent="0.25">
      <c r="A12" s="100" t="s">
        <v>290</v>
      </c>
      <c r="B12" s="100" t="s">
        <v>185</v>
      </c>
      <c r="C12" s="101" t="str">
        <f t="shared" si="4"/>
        <v>08-04-2024 10:30</v>
      </c>
      <c r="D12" s="136">
        <f t="shared" si="5"/>
        <v>45390</v>
      </c>
      <c r="E12" s="136">
        <f t="shared" si="6"/>
        <v>0.4375</v>
      </c>
      <c r="F12" s="136">
        <f t="shared" si="7"/>
        <v>14</v>
      </c>
      <c r="G12" s="52">
        <f t="shared" si="8"/>
        <v>14333400</v>
      </c>
      <c r="H12" s="13">
        <v>0</v>
      </c>
      <c r="I12" s="13">
        <v>100</v>
      </c>
      <c r="J12" s="13">
        <f>J11+H12-I12+50</f>
        <v>11650</v>
      </c>
      <c r="K12" s="13">
        <v>0</v>
      </c>
      <c r="L12" s="13">
        <v>100</v>
      </c>
      <c r="M12" s="13">
        <f>M11+K12-L12+50</f>
        <v>11650</v>
      </c>
      <c r="N12" t="s">
        <v>288</v>
      </c>
      <c r="O12" s="74">
        <f t="shared" si="0"/>
        <v>14333400</v>
      </c>
      <c r="P12" s="137">
        <f t="shared" si="1"/>
        <v>1.1650000000000001E-2</v>
      </c>
      <c r="Q12" s="13">
        <f t="shared" si="2"/>
        <v>14333400</v>
      </c>
      <c r="R12" s="137">
        <f t="shared" si="3"/>
        <v>1.1650000000000001E-2</v>
      </c>
    </row>
    <row r="13" spans="1:18" x14ac:dyDescent="0.25">
      <c r="A13" s="100" t="s">
        <v>291</v>
      </c>
      <c r="B13" s="100" t="s">
        <v>185</v>
      </c>
      <c r="C13" s="101" t="str">
        <f t="shared" si="4"/>
        <v>10-04-2024 10:30</v>
      </c>
      <c r="D13" s="136">
        <f t="shared" si="5"/>
        <v>45392</v>
      </c>
      <c r="E13" s="136">
        <f t="shared" si="6"/>
        <v>0.4375</v>
      </c>
      <c r="F13" s="136">
        <f t="shared" si="7"/>
        <v>16</v>
      </c>
      <c r="G13" s="52">
        <f t="shared" si="8"/>
        <v>14506200</v>
      </c>
      <c r="H13" s="13">
        <v>0</v>
      </c>
      <c r="I13" s="13">
        <v>100</v>
      </c>
      <c r="J13" s="13">
        <f t="shared" ref="J13" si="11">J12+H13-I13</f>
        <v>11550</v>
      </c>
      <c r="K13" s="13">
        <v>0</v>
      </c>
      <c r="L13" s="13">
        <v>100</v>
      </c>
      <c r="M13" s="13">
        <f t="shared" ref="M13" si="12">M12+K13-L13</f>
        <v>11550</v>
      </c>
      <c r="O13" s="74">
        <f t="shared" si="0"/>
        <v>14506200</v>
      </c>
      <c r="P13" s="137">
        <f t="shared" si="1"/>
        <v>1.155E-2</v>
      </c>
      <c r="Q13" s="13">
        <f t="shared" si="2"/>
        <v>14506200</v>
      </c>
      <c r="R13" s="137">
        <f t="shared" si="3"/>
        <v>1.155E-2</v>
      </c>
    </row>
    <row r="14" spans="1:18" x14ac:dyDescent="0.25">
      <c r="A14" s="100" t="s">
        <v>291</v>
      </c>
      <c r="B14" s="100" t="s">
        <v>292</v>
      </c>
      <c r="C14" s="101" t="str">
        <f t="shared" si="4"/>
        <v>10-04-2024 14:00</v>
      </c>
      <c r="D14" s="136">
        <f t="shared" si="5"/>
        <v>45392</v>
      </c>
      <c r="E14" s="136">
        <f t="shared" si="6"/>
        <v>0.58333333333333337</v>
      </c>
      <c r="F14" s="136">
        <f t="shared" si="7"/>
        <v>16</v>
      </c>
      <c r="G14" s="52">
        <f t="shared" si="8"/>
        <v>14518800</v>
      </c>
      <c r="H14" s="13">
        <v>0</v>
      </c>
      <c r="I14" s="13">
        <v>0</v>
      </c>
      <c r="J14" s="13">
        <f t="shared" ref="J14" si="13">J13+H14-I14</f>
        <v>11550</v>
      </c>
      <c r="K14" s="13">
        <v>0</v>
      </c>
      <c r="L14" s="13">
        <f>2500+1800</f>
        <v>4300</v>
      </c>
      <c r="M14" s="13">
        <f t="shared" ref="M14" si="14">M13+K14-L14</f>
        <v>7250</v>
      </c>
      <c r="O14" s="74">
        <f t="shared" si="0"/>
        <v>14518800</v>
      </c>
      <c r="P14" s="137">
        <f t="shared" si="1"/>
        <v>1.155E-2</v>
      </c>
      <c r="Q14" s="13">
        <f t="shared" si="2"/>
        <v>14518800</v>
      </c>
      <c r="R14" s="137">
        <f t="shared" si="3"/>
        <v>7.2500000000000004E-3</v>
      </c>
    </row>
    <row r="15" spans="1:18" x14ac:dyDescent="0.25">
      <c r="A15" s="100" t="s">
        <v>291</v>
      </c>
      <c r="B15" s="100" t="s">
        <v>163</v>
      </c>
      <c r="C15" s="101" t="str">
        <f t="shared" si="4"/>
        <v>10-04-2024 17:00</v>
      </c>
      <c r="D15" s="136">
        <f t="shared" si="5"/>
        <v>45392</v>
      </c>
      <c r="E15" s="136">
        <f t="shared" si="6"/>
        <v>0.70833333333333337</v>
      </c>
      <c r="F15" s="136">
        <f t="shared" si="7"/>
        <v>16</v>
      </c>
      <c r="G15" s="52">
        <f t="shared" si="8"/>
        <v>14529600</v>
      </c>
      <c r="H15" s="13">
        <v>0</v>
      </c>
      <c r="I15" s="13">
        <v>0</v>
      </c>
      <c r="J15" s="13">
        <f t="shared" ref="J15:J16" si="15">J14+H15-I15</f>
        <v>11550</v>
      </c>
      <c r="K15" s="13">
        <v>300</v>
      </c>
      <c r="L15" s="13">
        <v>0</v>
      </c>
      <c r="M15" s="13">
        <f t="shared" ref="M15:M16" si="16">M14+K15-L15</f>
        <v>7550</v>
      </c>
      <c r="O15" s="74">
        <f t="shared" si="0"/>
        <v>14529600</v>
      </c>
      <c r="P15" s="137">
        <f t="shared" si="1"/>
        <v>1.155E-2</v>
      </c>
      <c r="Q15" s="13">
        <f t="shared" si="2"/>
        <v>14529600</v>
      </c>
      <c r="R15" s="137">
        <f t="shared" si="3"/>
        <v>7.5500000000000003E-3</v>
      </c>
    </row>
    <row r="16" spans="1:18" x14ac:dyDescent="0.25">
      <c r="A16" s="100" t="s">
        <v>293</v>
      </c>
      <c r="B16" s="100" t="s">
        <v>294</v>
      </c>
      <c r="C16" s="101" t="str">
        <f t="shared" si="4"/>
        <v>11-04-2024 11:40</v>
      </c>
      <c r="D16" s="136">
        <f t="shared" si="5"/>
        <v>45393</v>
      </c>
      <c r="E16" s="136">
        <f t="shared" si="6"/>
        <v>0.4861111111111111</v>
      </c>
      <c r="F16" s="136">
        <f t="shared" si="7"/>
        <v>17</v>
      </c>
      <c r="G16" s="52">
        <f t="shared" si="8"/>
        <v>14596800</v>
      </c>
      <c r="H16" s="13">
        <v>2000</v>
      </c>
      <c r="I16" s="13">
        <v>0</v>
      </c>
      <c r="J16" s="13">
        <f t="shared" si="15"/>
        <v>13550</v>
      </c>
      <c r="K16" s="13">
        <v>1000</v>
      </c>
      <c r="L16" s="13">
        <v>0</v>
      </c>
      <c r="M16" s="13">
        <f t="shared" si="16"/>
        <v>8550</v>
      </c>
      <c r="O16" s="74">
        <f t="shared" si="0"/>
        <v>14596800</v>
      </c>
      <c r="P16" s="137">
        <f t="shared" si="1"/>
        <v>1.355E-2</v>
      </c>
      <c r="Q16" s="13">
        <f t="shared" si="2"/>
        <v>14596800</v>
      </c>
      <c r="R16" s="137">
        <f t="shared" si="3"/>
        <v>8.5500000000000003E-3</v>
      </c>
    </row>
    <row r="17" spans="1:18" x14ac:dyDescent="0.25">
      <c r="A17" s="100" t="s">
        <v>293</v>
      </c>
      <c r="B17" s="100" t="s">
        <v>295</v>
      </c>
      <c r="C17" s="101" t="str">
        <f t="shared" si="4"/>
        <v>11-04-2024 12:20</v>
      </c>
      <c r="D17" s="136">
        <f t="shared" si="5"/>
        <v>45393</v>
      </c>
      <c r="E17" s="136">
        <f t="shared" si="6"/>
        <v>0.51388888888888884</v>
      </c>
      <c r="F17" s="136">
        <f t="shared" si="7"/>
        <v>17</v>
      </c>
      <c r="G17" s="52">
        <f t="shared" si="8"/>
        <v>14599200</v>
      </c>
      <c r="H17" s="13">
        <v>0</v>
      </c>
      <c r="I17" s="13">
        <v>220</v>
      </c>
      <c r="J17" s="13">
        <f t="shared" ref="J17:J21" si="17">J16+H17-I17</f>
        <v>13330</v>
      </c>
      <c r="K17" s="13">
        <v>0</v>
      </c>
      <c r="L17" s="13">
        <v>100</v>
      </c>
      <c r="M17" s="13">
        <f t="shared" ref="M17:M21" si="18">M16+K17-L17</f>
        <v>8450</v>
      </c>
      <c r="O17" s="74">
        <f t="shared" si="0"/>
        <v>14599200</v>
      </c>
      <c r="P17" s="137">
        <f t="shared" si="1"/>
        <v>1.333E-2</v>
      </c>
      <c r="Q17" s="13">
        <f t="shared" si="2"/>
        <v>14599200</v>
      </c>
      <c r="R17" s="137">
        <f t="shared" si="3"/>
        <v>8.4499999999999992E-3</v>
      </c>
    </row>
    <row r="18" spans="1:18" x14ac:dyDescent="0.25">
      <c r="A18" s="100" t="s">
        <v>293</v>
      </c>
      <c r="B18" s="100" t="s">
        <v>233</v>
      </c>
      <c r="C18" s="101" t="str">
        <f t="shared" si="4"/>
        <v>11-04-2024 15:30</v>
      </c>
      <c r="D18" s="136">
        <f t="shared" si="5"/>
        <v>45393</v>
      </c>
      <c r="E18" s="136">
        <f t="shared" si="6"/>
        <v>0.64583333333333337</v>
      </c>
      <c r="F18" s="136">
        <f t="shared" si="7"/>
        <v>17</v>
      </c>
      <c r="G18" s="52">
        <f t="shared" si="8"/>
        <v>14610600</v>
      </c>
      <c r="H18" s="13">
        <v>0</v>
      </c>
      <c r="I18" s="13">
        <v>220</v>
      </c>
      <c r="J18" s="13">
        <f t="shared" si="17"/>
        <v>13110</v>
      </c>
      <c r="K18" s="13">
        <v>0</v>
      </c>
      <c r="L18" s="13">
        <v>100</v>
      </c>
      <c r="M18" s="13">
        <f t="shared" si="18"/>
        <v>8350</v>
      </c>
      <c r="O18" s="74">
        <f t="shared" si="0"/>
        <v>14610600</v>
      </c>
      <c r="P18" s="137">
        <f t="shared" si="1"/>
        <v>1.311E-2</v>
      </c>
      <c r="Q18" s="13">
        <f t="shared" si="2"/>
        <v>14610600</v>
      </c>
      <c r="R18" s="137">
        <f t="shared" si="3"/>
        <v>8.3499999999999998E-3</v>
      </c>
    </row>
    <row r="19" spans="1:18" x14ac:dyDescent="0.25">
      <c r="A19" s="100" t="s">
        <v>296</v>
      </c>
      <c r="B19" s="100" t="s">
        <v>223</v>
      </c>
      <c r="C19" s="101" t="str">
        <f t="shared" si="4"/>
        <v>12-04-2024 11:30</v>
      </c>
      <c r="D19" s="136">
        <f t="shared" si="5"/>
        <v>45394</v>
      </c>
      <c r="E19" s="136">
        <f t="shared" si="6"/>
        <v>0.47916666666666669</v>
      </c>
      <c r="F19" s="136">
        <f t="shared" si="7"/>
        <v>18</v>
      </c>
      <c r="G19" s="52">
        <f t="shared" si="8"/>
        <v>14682600</v>
      </c>
      <c r="H19" s="13">
        <v>0</v>
      </c>
      <c r="I19" s="13">
        <v>220</v>
      </c>
      <c r="J19" s="13">
        <f t="shared" si="17"/>
        <v>12890</v>
      </c>
      <c r="K19" s="13">
        <v>0</v>
      </c>
      <c r="L19" s="13">
        <v>0</v>
      </c>
      <c r="M19" s="13">
        <f t="shared" si="18"/>
        <v>8350</v>
      </c>
      <c r="O19" s="74">
        <f t="shared" si="0"/>
        <v>14682600</v>
      </c>
      <c r="P19" s="137">
        <f t="shared" si="1"/>
        <v>1.289E-2</v>
      </c>
      <c r="Q19" s="13">
        <f t="shared" si="2"/>
        <v>14682600</v>
      </c>
      <c r="R19" s="137">
        <f t="shared" si="3"/>
        <v>8.3499999999999998E-3</v>
      </c>
    </row>
    <row r="20" spans="1:18" x14ac:dyDescent="0.25">
      <c r="A20" s="100" t="s">
        <v>296</v>
      </c>
      <c r="B20" s="100" t="s">
        <v>228</v>
      </c>
      <c r="C20" s="101" t="str">
        <f t="shared" si="4"/>
        <v>12-04-2024 16:15</v>
      </c>
      <c r="D20" s="136">
        <f t="shared" si="5"/>
        <v>45394</v>
      </c>
      <c r="E20" s="136">
        <f t="shared" si="6"/>
        <v>0.67708333333333337</v>
      </c>
      <c r="F20" s="136">
        <f t="shared" si="7"/>
        <v>18</v>
      </c>
      <c r="G20" s="52">
        <f t="shared" si="8"/>
        <v>14699700</v>
      </c>
      <c r="H20" s="13">
        <v>0</v>
      </c>
      <c r="I20" s="13">
        <v>220</v>
      </c>
      <c r="J20" s="13">
        <f t="shared" si="17"/>
        <v>12670</v>
      </c>
      <c r="K20" s="13">
        <v>3800</v>
      </c>
      <c r="L20" s="13">
        <v>0</v>
      </c>
      <c r="M20" s="13">
        <f t="shared" si="18"/>
        <v>12150</v>
      </c>
      <c r="N20" t="s">
        <v>297</v>
      </c>
      <c r="O20" s="74">
        <f t="shared" si="0"/>
        <v>14699700</v>
      </c>
      <c r="P20" s="137">
        <f t="shared" si="1"/>
        <v>1.2670000000000001E-2</v>
      </c>
      <c r="Q20" s="13">
        <f t="shared" si="2"/>
        <v>14699700</v>
      </c>
      <c r="R20" s="137">
        <f t="shared" si="3"/>
        <v>1.2149999999999999E-2</v>
      </c>
    </row>
    <row r="21" spans="1:18" x14ac:dyDescent="0.25">
      <c r="A21" s="100" t="s">
        <v>298</v>
      </c>
      <c r="B21" s="100" t="s">
        <v>156</v>
      </c>
      <c r="C21" s="101" t="str">
        <f t="shared" si="4"/>
        <v>15-04-2024 10:00</v>
      </c>
      <c r="D21" s="136">
        <f t="shared" si="5"/>
        <v>45397</v>
      </c>
      <c r="E21" s="136">
        <f t="shared" si="6"/>
        <v>0.41666666666666669</v>
      </c>
      <c r="F21" s="136">
        <f t="shared" si="7"/>
        <v>21</v>
      </c>
      <c r="G21" s="52">
        <f t="shared" si="8"/>
        <v>14936400</v>
      </c>
      <c r="H21" s="13">
        <v>0</v>
      </c>
      <c r="I21" s="13">
        <v>220</v>
      </c>
      <c r="J21" s="13">
        <f t="shared" si="17"/>
        <v>12450</v>
      </c>
      <c r="K21" s="13">
        <v>0</v>
      </c>
      <c r="L21" s="13">
        <v>0</v>
      </c>
      <c r="M21" s="13">
        <f t="shared" si="18"/>
        <v>12150</v>
      </c>
      <c r="O21" s="74">
        <f t="shared" si="0"/>
        <v>14936400</v>
      </c>
      <c r="P21" s="137">
        <f t="shared" si="1"/>
        <v>1.2449999999999999E-2</v>
      </c>
      <c r="Q21" s="13">
        <f t="shared" si="2"/>
        <v>14936400</v>
      </c>
      <c r="R21" s="137">
        <f t="shared" si="3"/>
        <v>1.2149999999999999E-2</v>
      </c>
    </row>
    <row r="22" spans="1:18" x14ac:dyDescent="0.25">
      <c r="H22" s="13"/>
    </row>
    <row r="23" spans="1:18" x14ac:dyDescent="0.25">
      <c r="G23" s="13"/>
    </row>
    <row r="1048576" spans="12:12" x14ac:dyDescent="0.25">
      <c r="L1048576" s="13"/>
    </row>
  </sheetData>
  <phoneticPr fontId="16"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6CD2CF-9E58-47BF-AD1A-CCDF2C6F7EEC}">
  <dimension ref="A1:AS1398"/>
  <sheetViews>
    <sheetView topLeftCell="M1375" zoomScaleNormal="100" workbookViewId="0">
      <selection activeCell="U15" sqref="U15"/>
    </sheetView>
  </sheetViews>
  <sheetFormatPr defaultRowHeight="15" x14ac:dyDescent="0.25"/>
  <cols>
    <col min="1" max="1" width="11.42578125" style="13" bestFit="1" customWidth="1"/>
    <col min="2" max="3" width="12.42578125" style="13" bestFit="1" customWidth="1"/>
    <col min="9" max="9" width="9.140625" style="112"/>
    <col min="12" max="12" width="12.42578125" style="13" bestFit="1" customWidth="1"/>
    <col min="13" max="14" width="13" bestFit="1" customWidth="1"/>
    <col min="17" max="17" width="19.5703125" style="12" bestFit="1" customWidth="1"/>
    <col min="19" max="19" width="11.5703125" bestFit="1" customWidth="1"/>
    <col min="20" max="20" width="10.5703125" bestFit="1" customWidth="1"/>
    <col min="21" max="21" width="11.5703125" bestFit="1" customWidth="1"/>
    <col min="22" max="22" width="9.140625" style="112"/>
    <col min="24" max="24" width="11.42578125" bestFit="1" customWidth="1"/>
    <col min="25" max="26" width="12.42578125" bestFit="1" customWidth="1"/>
    <col min="27" max="27" width="6" bestFit="1" customWidth="1"/>
    <col min="28" max="28" width="6.5703125" bestFit="1" customWidth="1"/>
    <col min="29" max="32" width="8.85546875" bestFit="1" customWidth="1"/>
    <col min="35" max="35" width="11.85546875" bestFit="1" customWidth="1"/>
    <col min="36" max="37" width="8.85546875" bestFit="1" customWidth="1"/>
    <col min="38" max="38" width="3.42578125" bestFit="1" customWidth="1"/>
    <col min="40" max="40" width="19.5703125" bestFit="1" customWidth="1"/>
    <col min="41" max="41" width="3.42578125" bestFit="1" customWidth="1"/>
    <col min="42" max="42" width="11.85546875" bestFit="1" customWidth="1"/>
    <col min="43" max="43" width="4.42578125" bestFit="1" customWidth="1"/>
    <col min="44" max="44" width="11.85546875" bestFit="1" customWidth="1"/>
    <col min="45" max="45" width="6.5703125" bestFit="1" customWidth="1"/>
  </cols>
  <sheetData>
    <row r="1" spans="1:45" x14ac:dyDescent="0.25">
      <c r="A1" s="139" t="s">
        <v>299</v>
      </c>
      <c r="B1" s="139"/>
      <c r="C1" s="139"/>
      <c r="D1" s="139"/>
      <c r="E1" s="139"/>
      <c r="F1" s="139"/>
      <c r="G1" s="139"/>
      <c r="H1" s="139"/>
      <c r="I1" s="139"/>
      <c r="Q1" s="139" t="s">
        <v>300</v>
      </c>
      <c r="R1" s="139"/>
      <c r="S1" s="139"/>
      <c r="T1" s="139"/>
      <c r="U1" s="139"/>
      <c r="V1" s="139"/>
      <c r="X1" s="139" t="s">
        <v>301</v>
      </c>
      <c r="Y1" s="139"/>
      <c r="Z1" s="139"/>
      <c r="AA1" s="139"/>
      <c r="AB1" s="139"/>
      <c r="AC1" s="139"/>
      <c r="AD1" s="139"/>
      <c r="AE1" s="139"/>
      <c r="AF1" s="139"/>
      <c r="AI1" s="13"/>
      <c r="AN1" s="140" t="s">
        <v>302</v>
      </c>
      <c r="AO1" s="140"/>
      <c r="AP1" s="140"/>
      <c r="AQ1" s="140"/>
      <c r="AR1" s="140"/>
      <c r="AS1" s="140"/>
    </row>
    <row r="2" spans="1:45" x14ac:dyDescent="0.25">
      <c r="A2" s="74">
        <v>165000.0000001397</v>
      </c>
      <c r="C2" s="13">
        <f>A2</f>
        <v>165000.0000001397</v>
      </c>
      <c r="D2">
        <v>183</v>
      </c>
      <c r="E2">
        <v>730</v>
      </c>
      <c r="H2">
        <f>D2</f>
        <v>183</v>
      </c>
      <c r="I2" s="112">
        <f>E2</f>
        <v>730</v>
      </c>
      <c r="L2" s="13">
        <v>165000.0000001397</v>
      </c>
      <c r="M2">
        <v>183</v>
      </c>
      <c r="N2">
        <v>730</v>
      </c>
      <c r="O2">
        <v>96</v>
      </c>
      <c r="Q2" s="127">
        <v>45226.4375</v>
      </c>
      <c r="R2">
        <v>1</v>
      </c>
      <c r="S2" s="13">
        <f>A2-20*60</f>
        <v>163800.0000001397</v>
      </c>
      <c r="T2">
        <f>R2*96</f>
        <v>96</v>
      </c>
      <c r="U2" s="13">
        <f>S2</f>
        <v>163800.0000001397</v>
      </c>
      <c r="V2" s="112">
        <f>IF(T2=0,0.0000000001,T2)</f>
        <v>96</v>
      </c>
      <c r="X2" s="74">
        <v>165000.0000001397</v>
      </c>
      <c r="Y2" s="13"/>
      <c r="Z2" s="13">
        <f>X2</f>
        <v>165000.0000001397</v>
      </c>
      <c r="AA2">
        <v>183</v>
      </c>
      <c r="AB2">
        <v>730</v>
      </c>
      <c r="AE2">
        <f>AA2</f>
        <v>183</v>
      </c>
      <c r="AF2" s="112">
        <f>AB2</f>
        <v>730</v>
      </c>
      <c r="AI2" s="13">
        <v>165000.0000001397</v>
      </c>
      <c r="AJ2">
        <v>183</v>
      </c>
      <c r="AK2" s="112">
        <v>730</v>
      </c>
      <c r="AL2">
        <v>96</v>
      </c>
      <c r="AN2" s="127">
        <v>45226.4375</v>
      </c>
      <c r="AO2">
        <v>1</v>
      </c>
      <c r="AP2" s="13">
        <f>X2-20*60</f>
        <v>163800.0000001397</v>
      </c>
      <c r="AQ2">
        <f>AO2*96</f>
        <v>96</v>
      </c>
      <c r="AR2" s="13">
        <f>AP2</f>
        <v>163800.0000001397</v>
      </c>
      <c r="AS2" s="112">
        <f>IF(AQ2=0,0.0000000001,AQ2)</f>
        <v>96</v>
      </c>
    </row>
    <row r="3" spans="1:45" x14ac:dyDescent="0.25">
      <c r="B3" s="13">
        <f>A2+300</f>
        <v>165300.0000001397</v>
      </c>
      <c r="C3" s="13">
        <f>B3</f>
        <v>165300.0000001397</v>
      </c>
      <c r="F3" s="44">
        <v>1E-10</v>
      </c>
      <c r="G3" s="44">
        <v>1E-10</v>
      </c>
      <c r="H3" s="44">
        <f>F3</f>
        <v>1E-10</v>
      </c>
      <c r="I3" s="124">
        <f>G3</f>
        <v>1E-10</v>
      </c>
      <c r="L3" s="13">
        <v>165300.0000001397</v>
      </c>
      <c r="M3" s="44">
        <v>1E-10</v>
      </c>
      <c r="N3" s="44">
        <v>1E-10</v>
      </c>
      <c r="O3">
        <v>96</v>
      </c>
      <c r="Q3" s="127">
        <v>45226.541666666657</v>
      </c>
      <c r="R3">
        <v>1</v>
      </c>
      <c r="S3" s="13">
        <f>S2+150*60</f>
        <v>172800.0000001397</v>
      </c>
      <c r="T3">
        <f t="shared" ref="T3:T66" si="0">R3*96</f>
        <v>96</v>
      </c>
      <c r="U3" s="13">
        <f t="shared" ref="U3:U66" si="1">S3</f>
        <v>172800.0000001397</v>
      </c>
      <c r="V3" s="112">
        <f t="shared" ref="V3:V66" si="2">IF(T3=0,0.0000000001,T3)</f>
        <v>96</v>
      </c>
      <c r="X3" s="13"/>
      <c r="Y3" s="13">
        <f>X2+300</f>
        <v>165300.0000001397</v>
      </c>
      <c r="Z3" s="13">
        <f>Y3</f>
        <v>165300.0000001397</v>
      </c>
      <c r="AC3" s="44">
        <v>1E-10</v>
      </c>
      <c r="AD3" s="44">
        <v>1E-10</v>
      </c>
      <c r="AE3" s="44">
        <f>AC3</f>
        <v>1E-10</v>
      </c>
      <c r="AF3" s="124">
        <f>AD3</f>
        <v>1E-10</v>
      </c>
      <c r="AI3" s="13">
        <v>165300.0000001397</v>
      </c>
      <c r="AJ3" s="44">
        <v>1E-10</v>
      </c>
      <c r="AK3" s="124">
        <v>1E-10</v>
      </c>
      <c r="AL3">
        <v>96</v>
      </c>
      <c r="AN3" s="127">
        <v>45226.541666666657</v>
      </c>
      <c r="AO3">
        <v>1</v>
      </c>
      <c r="AP3" s="13">
        <f>AP2+150*60</f>
        <v>172800.0000001397</v>
      </c>
      <c r="AQ3">
        <f t="shared" ref="AQ3:AQ30" si="3">AO3*96</f>
        <v>96</v>
      </c>
      <c r="AR3" s="13">
        <f t="shared" ref="AR3:AR33" si="4">AP3</f>
        <v>172800.0000001397</v>
      </c>
      <c r="AS3" s="112">
        <f t="shared" ref="AS3:AS33" si="5">IF(AQ3=0,0.0000000001,AQ3)</f>
        <v>96</v>
      </c>
    </row>
    <row r="4" spans="1:45" x14ac:dyDescent="0.25">
      <c r="A4" s="74">
        <v>767700.00000020955</v>
      </c>
      <c r="C4" s="13">
        <f t="shared" ref="C4" si="6">A4</f>
        <v>767700.00000020955</v>
      </c>
      <c r="D4">
        <v>183</v>
      </c>
      <c r="E4">
        <v>730</v>
      </c>
      <c r="H4">
        <f t="shared" ref="H4" si="7">D4</f>
        <v>183</v>
      </c>
      <c r="I4" s="112">
        <f t="shared" ref="I4" si="8">E4</f>
        <v>730</v>
      </c>
      <c r="L4" s="13">
        <v>767700.00000020955</v>
      </c>
      <c r="M4">
        <v>183</v>
      </c>
      <c r="N4">
        <v>730</v>
      </c>
      <c r="O4">
        <v>96</v>
      </c>
      <c r="Q4" s="127">
        <v>45226.645833333343</v>
      </c>
      <c r="R4">
        <v>1</v>
      </c>
      <c r="S4" s="13">
        <f t="shared" ref="S4:S67" si="9">S3+150*60</f>
        <v>181800.0000001397</v>
      </c>
      <c r="T4">
        <f t="shared" si="0"/>
        <v>96</v>
      </c>
      <c r="U4" s="13">
        <f t="shared" si="1"/>
        <v>181800.0000001397</v>
      </c>
      <c r="V4" s="112">
        <f t="shared" si="2"/>
        <v>96</v>
      </c>
      <c r="X4" s="74">
        <v>767700.00000020955</v>
      </c>
      <c r="Y4" s="13"/>
      <c r="Z4" s="13">
        <f t="shared" ref="Z4" si="10">X4</f>
        <v>767700.00000020955</v>
      </c>
      <c r="AA4">
        <v>183</v>
      </c>
      <c r="AB4">
        <v>730</v>
      </c>
      <c r="AE4">
        <f t="shared" ref="AE4" si="11">AA4</f>
        <v>183</v>
      </c>
      <c r="AF4" s="112">
        <f t="shared" ref="AF4" si="12">AB4</f>
        <v>730</v>
      </c>
      <c r="AI4" s="13">
        <v>767700.00000020955</v>
      </c>
      <c r="AJ4">
        <v>183</v>
      </c>
      <c r="AK4" s="112">
        <v>730</v>
      </c>
      <c r="AL4">
        <v>96</v>
      </c>
      <c r="AN4" s="127">
        <v>45226.645833333343</v>
      </c>
      <c r="AO4">
        <v>1</v>
      </c>
      <c r="AP4" s="13">
        <f t="shared" ref="AP4:AP67" si="13">AP3+150*60</f>
        <v>181800.0000001397</v>
      </c>
      <c r="AQ4">
        <f t="shared" si="3"/>
        <v>96</v>
      </c>
      <c r="AR4" s="13">
        <f t="shared" si="4"/>
        <v>181800.0000001397</v>
      </c>
      <c r="AS4" s="112">
        <f t="shared" si="5"/>
        <v>96</v>
      </c>
    </row>
    <row r="5" spans="1:45" x14ac:dyDescent="0.25">
      <c r="B5" s="13">
        <f t="shared" ref="B5" si="14">A4+300</f>
        <v>768000.00000020955</v>
      </c>
      <c r="C5" s="13">
        <f t="shared" ref="C5" si="15">B5</f>
        <v>768000.00000020955</v>
      </c>
      <c r="F5" s="44">
        <v>1E-10</v>
      </c>
      <c r="G5" s="44">
        <v>1E-10</v>
      </c>
      <c r="H5" s="44">
        <f t="shared" ref="H5" si="16">F5</f>
        <v>1E-10</v>
      </c>
      <c r="I5" s="124">
        <f t="shared" ref="I5" si="17">G5</f>
        <v>1E-10</v>
      </c>
      <c r="L5" s="13">
        <v>768000.00000020955</v>
      </c>
      <c r="M5" s="44">
        <v>1E-10</v>
      </c>
      <c r="N5" s="44">
        <v>1E-10</v>
      </c>
      <c r="O5">
        <v>96</v>
      </c>
      <c r="Q5" s="127">
        <v>45226.75</v>
      </c>
      <c r="R5">
        <v>1</v>
      </c>
      <c r="S5" s="13">
        <f t="shared" si="9"/>
        <v>190800.0000001397</v>
      </c>
      <c r="T5">
        <f t="shared" si="0"/>
        <v>96</v>
      </c>
      <c r="U5" s="13">
        <f t="shared" si="1"/>
        <v>190800.0000001397</v>
      </c>
      <c r="V5" s="112">
        <f t="shared" si="2"/>
        <v>96</v>
      </c>
      <c r="X5" s="13"/>
      <c r="Y5" s="13">
        <f t="shared" ref="Y5" si="18">X4+300</f>
        <v>768000.00000020955</v>
      </c>
      <c r="Z5" s="13">
        <f t="shared" ref="Z5" si="19">Y5</f>
        <v>768000.00000020955</v>
      </c>
      <c r="AC5" s="44">
        <v>1E-10</v>
      </c>
      <c r="AD5" s="44">
        <v>1E-10</v>
      </c>
      <c r="AE5" s="44">
        <f t="shared" ref="AE5" si="20">AC5</f>
        <v>1E-10</v>
      </c>
      <c r="AF5" s="124">
        <f t="shared" ref="AF5" si="21">AD5</f>
        <v>1E-10</v>
      </c>
      <c r="AI5" s="13">
        <v>768000.00000020955</v>
      </c>
      <c r="AJ5" s="44">
        <v>1E-10</v>
      </c>
      <c r="AK5" s="124">
        <v>1E-10</v>
      </c>
      <c r="AL5">
        <v>96</v>
      </c>
      <c r="AN5" s="127">
        <v>45226.75</v>
      </c>
      <c r="AO5">
        <v>1</v>
      </c>
      <c r="AP5" s="13">
        <f t="shared" si="13"/>
        <v>190800.0000001397</v>
      </c>
      <c r="AQ5">
        <f t="shared" si="3"/>
        <v>96</v>
      </c>
      <c r="AR5" s="13">
        <f t="shared" si="4"/>
        <v>190800.0000001397</v>
      </c>
      <c r="AS5" s="112">
        <f t="shared" si="5"/>
        <v>96</v>
      </c>
    </row>
    <row r="6" spans="1:45" x14ac:dyDescent="0.25">
      <c r="A6" s="74">
        <v>1044899.9999997905</v>
      </c>
      <c r="C6" s="13">
        <f t="shared" ref="C6" si="22">A6</f>
        <v>1044899.9999997905</v>
      </c>
      <c r="D6">
        <v>122</v>
      </c>
      <c r="E6">
        <v>486</v>
      </c>
      <c r="H6">
        <f t="shared" ref="H6" si="23">D6</f>
        <v>122</v>
      </c>
      <c r="I6" s="112">
        <f t="shared" ref="I6" si="24">E6</f>
        <v>486</v>
      </c>
      <c r="L6" s="13">
        <v>1044899.9999997905</v>
      </c>
      <c r="M6">
        <v>122</v>
      </c>
      <c r="N6">
        <v>486</v>
      </c>
      <c r="O6">
        <v>96</v>
      </c>
      <c r="Q6" s="127">
        <v>45226.854166666657</v>
      </c>
      <c r="R6">
        <v>1</v>
      </c>
      <c r="S6" s="13">
        <f t="shared" si="9"/>
        <v>199800.0000001397</v>
      </c>
      <c r="T6">
        <f t="shared" si="0"/>
        <v>96</v>
      </c>
      <c r="U6" s="13">
        <f t="shared" si="1"/>
        <v>199800.0000001397</v>
      </c>
      <c r="V6" s="112">
        <f t="shared" si="2"/>
        <v>96</v>
      </c>
      <c r="X6" s="74">
        <v>1044899.9999997905</v>
      </c>
      <c r="Y6" s="13"/>
      <c r="Z6" s="13">
        <f t="shared" ref="Z6" si="25">X6</f>
        <v>1044899.9999997905</v>
      </c>
      <c r="AA6">
        <v>122</v>
      </c>
      <c r="AB6">
        <v>486</v>
      </c>
      <c r="AE6">
        <f t="shared" ref="AE6" si="26">AA6</f>
        <v>122</v>
      </c>
      <c r="AF6" s="112">
        <f t="shared" ref="AF6" si="27">AB6</f>
        <v>486</v>
      </c>
      <c r="AI6" s="13">
        <v>1044899.9999997905</v>
      </c>
      <c r="AJ6">
        <v>122</v>
      </c>
      <c r="AK6" s="112">
        <v>486</v>
      </c>
      <c r="AL6">
        <v>96</v>
      </c>
      <c r="AN6" s="127">
        <v>45226.854166666657</v>
      </c>
      <c r="AO6">
        <v>1</v>
      </c>
      <c r="AP6" s="13">
        <f t="shared" si="13"/>
        <v>199800.0000001397</v>
      </c>
      <c r="AQ6">
        <f t="shared" si="3"/>
        <v>96</v>
      </c>
      <c r="AR6" s="13">
        <f t="shared" si="4"/>
        <v>199800.0000001397</v>
      </c>
      <c r="AS6" s="112">
        <f t="shared" si="5"/>
        <v>96</v>
      </c>
    </row>
    <row r="7" spans="1:45" x14ac:dyDescent="0.25">
      <c r="B7" s="13">
        <f t="shared" ref="B7" si="28">A6+300</f>
        <v>1045199.9999997905</v>
      </c>
      <c r="C7" s="13">
        <f t="shared" ref="C7" si="29">B7</f>
        <v>1045199.9999997905</v>
      </c>
      <c r="F7" s="44">
        <v>1E-10</v>
      </c>
      <c r="G7" s="44">
        <v>1E-10</v>
      </c>
      <c r="H7" s="44">
        <f t="shared" ref="H7" si="30">F7</f>
        <v>1E-10</v>
      </c>
      <c r="I7" s="124">
        <f t="shared" ref="I7" si="31">G7</f>
        <v>1E-10</v>
      </c>
      <c r="L7" s="13">
        <v>1045199.9999997905</v>
      </c>
      <c r="M7" s="44">
        <v>1E-10</v>
      </c>
      <c r="N7" s="44">
        <v>1E-10</v>
      </c>
      <c r="O7">
        <v>96</v>
      </c>
      <c r="Q7" s="127">
        <v>45226.958333333343</v>
      </c>
      <c r="R7">
        <v>1</v>
      </c>
      <c r="S7" s="13">
        <f t="shared" si="9"/>
        <v>208800.0000001397</v>
      </c>
      <c r="T7">
        <f t="shared" si="0"/>
        <v>96</v>
      </c>
      <c r="U7" s="13">
        <f t="shared" si="1"/>
        <v>208800.0000001397</v>
      </c>
      <c r="V7" s="112">
        <f t="shared" si="2"/>
        <v>96</v>
      </c>
      <c r="X7" s="13"/>
      <c r="Y7" s="13">
        <f t="shared" ref="Y7" si="32">X6+300</f>
        <v>1045199.9999997905</v>
      </c>
      <c r="Z7" s="13">
        <f t="shared" ref="Z7" si="33">Y7</f>
        <v>1045199.9999997905</v>
      </c>
      <c r="AC7" s="44">
        <v>1E-10</v>
      </c>
      <c r="AD7" s="44">
        <v>1E-10</v>
      </c>
      <c r="AE7" s="44">
        <f t="shared" ref="AE7" si="34">AC7</f>
        <v>1E-10</v>
      </c>
      <c r="AF7" s="124">
        <f t="shared" ref="AF7" si="35">AD7</f>
        <v>1E-10</v>
      </c>
      <c r="AI7" s="13">
        <v>1045199.9999997905</v>
      </c>
      <c r="AJ7" s="44">
        <v>1E-10</v>
      </c>
      <c r="AK7" s="124">
        <v>1E-10</v>
      </c>
      <c r="AL7">
        <v>96</v>
      </c>
      <c r="AN7" s="127">
        <v>45226.958333333343</v>
      </c>
      <c r="AO7">
        <v>1</v>
      </c>
      <c r="AP7" s="13">
        <f t="shared" si="13"/>
        <v>208800.0000001397</v>
      </c>
      <c r="AQ7">
        <f t="shared" si="3"/>
        <v>96</v>
      </c>
      <c r="AR7" s="13">
        <f t="shared" si="4"/>
        <v>208800.0000001397</v>
      </c>
      <c r="AS7" s="112">
        <f t="shared" si="5"/>
        <v>96</v>
      </c>
    </row>
    <row r="8" spans="1:45" x14ac:dyDescent="0.25">
      <c r="A8" s="74">
        <v>1216800</v>
      </c>
      <c r="C8" s="13">
        <f t="shared" ref="C8" si="36">A8</f>
        <v>1216800</v>
      </c>
      <c r="D8">
        <v>122</v>
      </c>
      <c r="E8">
        <v>486</v>
      </c>
      <c r="H8">
        <f t="shared" ref="H8" si="37">D8</f>
        <v>122</v>
      </c>
      <c r="I8" s="112">
        <f t="shared" ref="I8" si="38">E8</f>
        <v>486</v>
      </c>
      <c r="L8" s="13">
        <v>1216800</v>
      </c>
      <c r="M8">
        <v>122</v>
      </c>
      <c r="N8">
        <v>486</v>
      </c>
      <c r="O8">
        <v>96</v>
      </c>
      <c r="Q8" s="127">
        <v>45227.0625</v>
      </c>
      <c r="R8">
        <v>1</v>
      </c>
      <c r="S8" s="13">
        <f t="shared" si="9"/>
        <v>217800.0000001397</v>
      </c>
      <c r="T8">
        <f t="shared" si="0"/>
        <v>96</v>
      </c>
      <c r="U8" s="13">
        <f t="shared" si="1"/>
        <v>217800.0000001397</v>
      </c>
      <c r="V8" s="112">
        <f t="shared" si="2"/>
        <v>96</v>
      </c>
      <c r="X8" s="74">
        <v>1216800</v>
      </c>
      <c r="Y8" s="13"/>
      <c r="Z8" s="13">
        <f t="shared" ref="Z8" si="39">X8</f>
        <v>1216800</v>
      </c>
      <c r="AA8">
        <v>122</v>
      </c>
      <c r="AB8">
        <v>486</v>
      </c>
      <c r="AE8">
        <f t="shared" ref="AE8" si="40">AA8</f>
        <v>122</v>
      </c>
      <c r="AF8" s="112">
        <f t="shared" ref="AF8" si="41">AB8</f>
        <v>486</v>
      </c>
      <c r="AI8" s="13">
        <v>1216800</v>
      </c>
      <c r="AJ8">
        <v>122</v>
      </c>
      <c r="AK8" s="112">
        <v>486</v>
      </c>
      <c r="AL8">
        <v>96</v>
      </c>
      <c r="AN8" s="127">
        <v>45227.0625</v>
      </c>
      <c r="AO8">
        <v>1</v>
      </c>
      <c r="AP8" s="13">
        <f t="shared" si="13"/>
        <v>217800.0000001397</v>
      </c>
      <c r="AQ8">
        <f t="shared" si="3"/>
        <v>96</v>
      </c>
      <c r="AR8" s="13">
        <f t="shared" si="4"/>
        <v>217800.0000001397</v>
      </c>
      <c r="AS8" s="112">
        <f t="shared" si="5"/>
        <v>96</v>
      </c>
    </row>
    <row r="9" spans="1:45" x14ac:dyDescent="0.25">
      <c r="B9" s="13">
        <f t="shared" ref="B9" si="42">A8+300</f>
        <v>1217100</v>
      </c>
      <c r="C9" s="13">
        <f t="shared" ref="C9" si="43">B9</f>
        <v>1217100</v>
      </c>
      <c r="F9" s="44">
        <v>1E-10</v>
      </c>
      <c r="G9" s="44">
        <v>1E-10</v>
      </c>
      <c r="H9" s="44">
        <f t="shared" ref="H9" si="44">F9</f>
        <v>1E-10</v>
      </c>
      <c r="I9" s="124">
        <f t="shared" ref="I9" si="45">G9</f>
        <v>1E-10</v>
      </c>
      <c r="L9" s="13">
        <v>1217100</v>
      </c>
      <c r="M9" s="44">
        <v>1E-10</v>
      </c>
      <c r="N9" s="44">
        <v>1E-10</v>
      </c>
      <c r="O9">
        <v>96</v>
      </c>
      <c r="Q9" s="127">
        <v>45227.166666666657</v>
      </c>
      <c r="R9">
        <v>1</v>
      </c>
      <c r="S9" s="13">
        <f t="shared" si="9"/>
        <v>226800.0000001397</v>
      </c>
      <c r="T9">
        <f t="shared" si="0"/>
        <v>96</v>
      </c>
      <c r="U9" s="13">
        <f t="shared" si="1"/>
        <v>226800.0000001397</v>
      </c>
      <c r="V9" s="112">
        <f t="shared" si="2"/>
        <v>96</v>
      </c>
      <c r="X9" s="74"/>
      <c r="Y9" s="13">
        <f t="shared" ref="Y9" si="46">X8+300</f>
        <v>1217100</v>
      </c>
      <c r="Z9" s="13">
        <f t="shared" ref="Z9" si="47">Y9</f>
        <v>1217100</v>
      </c>
      <c r="AC9" s="44">
        <v>1E-10</v>
      </c>
      <c r="AD9" s="44">
        <v>1E-10</v>
      </c>
      <c r="AE9" s="44">
        <f t="shared" ref="AE9" si="48">AC9</f>
        <v>1E-10</v>
      </c>
      <c r="AF9" s="124">
        <f t="shared" ref="AF9" si="49">AD9</f>
        <v>1E-10</v>
      </c>
      <c r="AI9" s="13">
        <v>1217100</v>
      </c>
      <c r="AJ9" s="44">
        <v>1E-10</v>
      </c>
      <c r="AK9" s="124">
        <v>1E-10</v>
      </c>
      <c r="AL9">
        <v>96</v>
      </c>
      <c r="AN9" s="127">
        <v>45227.166666666657</v>
      </c>
      <c r="AO9">
        <v>1</v>
      </c>
      <c r="AP9" s="13">
        <f t="shared" si="13"/>
        <v>226800.0000001397</v>
      </c>
      <c r="AQ9">
        <f t="shared" si="3"/>
        <v>96</v>
      </c>
      <c r="AR9" s="13">
        <f t="shared" si="4"/>
        <v>226800.0000001397</v>
      </c>
      <c r="AS9" s="112">
        <f t="shared" si="5"/>
        <v>96</v>
      </c>
    </row>
    <row r="10" spans="1:45" x14ac:dyDescent="0.25">
      <c r="A10" s="74">
        <v>1369800.0000002095</v>
      </c>
      <c r="C10" s="13">
        <f t="shared" ref="C10" si="50">A10</f>
        <v>1369800.0000002095</v>
      </c>
      <c r="D10">
        <v>183</v>
      </c>
      <c r="E10">
        <v>730</v>
      </c>
      <c r="H10">
        <f t="shared" ref="H10" si="51">D10</f>
        <v>183</v>
      </c>
      <c r="I10" s="112">
        <f t="shared" ref="I10" si="52">E10</f>
        <v>730</v>
      </c>
      <c r="L10" s="13">
        <v>1369800.0000002095</v>
      </c>
      <c r="M10">
        <v>183</v>
      </c>
      <c r="N10">
        <v>730</v>
      </c>
      <c r="O10">
        <v>96</v>
      </c>
      <c r="Q10" s="127">
        <v>45227.270833333343</v>
      </c>
      <c r="R10">
        <v>1</v>
      </c>
      <c r="S10" s="13">
        <f t="shared" si="9"/>
        <v>235800.0000001397</v>
      </c>
      <c r="T10">
        <f t="shared" si="0"/>
        <v>96</v>
      </c>
      <c r="U10" s="13">
        <f t="shared" si="1"/>
        <v>235800.0000001397</v>
      </c>
      <c r="V10" s="112">
        <f t="shared" si="2"/>
        <v>96</v>
      </c>
      <c r="X10" s="74">
        <v>1369800.0000002095</v>
      </c>
      <c r="Y10" s="13"/>
      <c r="Z10" s="13">
        <f t="shared" ref="Z10" si="53">X10</f>
        <v>1369800.0000002095</v>
      </c>
      <c r="AA10">
        <v>183</v>
      </c>
      <c r="AB10">
        <v>730</v>
      </c>
      <c r="AE10">
        <f t="shared" ref="AE10" si="54">AA10</f>
        <v>183</v>
      </c>
      <c r="AF10" s="112">
        <f t="shared" ref="AF10" si="55">AB10</f>
        <v>730</v>
      </c>
      <c r="AI10" s="13">
        <v>1369800.0000002095</v>
      </c>
      <c r="AJ10">
        <v>183</v>
      </c>
      <c r="AK10" s="112">
        <v>730</v>
      </c>
      <c r="AL10">
        <v>96</v>
      </c>
      <c r="AN10" s="127">
        <v>45227.270833333343</v>
      </c>
      <c r="AO10">
        <v>1</v>
      </c>
      <c r="AP10" s="13">
        <f t="shared" si="13"/>
        <v>235800.0000001397</v>
      </c>
      <c r="AQ10">
        <f t="shared" si="3"/>
        <v>96</v>
      </c>
      <c r="AR10" s="13">
        <f t="shared" si="4"/>
        <v>235800.0000001397</v>
      </c>
      <c r="AS10" s="112">
        <f t="shared" si="5"/>
        <v>96</v>
      </c>
    </row>
    <row r="11" spans="1:45" x14ac:dyDescent="0.25">
      <c r="B11" s="13">
        <f t="shared" ref="B11" si="56">A10+300</f>
        <v>1370100.0000002095</v>
      </c>
      <c r="C11" s="13">
        <f t="shared" ref="C11" si="57">B11</f>
        <v>1370100.0000002095</v>
      </c>
      <c r="F11" s="44">
        <v>1E-10</v>
      </c>
      <c r="G11" s="44">
        <v>1E-10</v>
      </c>
      <c r="H11" s="44">
        <f t="shared" ref="H11" si="58">F11</f>
        <v>1E-10</v>
      </c>
      <c r="I11" s="124">
        <f t="shared" ref="I11" si="59">G11</f>
        <v>1E-10</v>
      </c>
      <c r="L11" s="13">
        <v>1370100.0000002095</v>
      </c>
      <c r="M11" s="44">
        <v>1E-10</v>
      </c>
      <c r="N11" s="44">
        <v>1E-10</v>
      </c>
      <c r="O11">
        <v>96</v>
      </c>
      <c r="Q11" s="127">
        <v>45227.375</v>
      </c>
      <c r="R11">
        <v>0</v>
      </c>
      <c r="S11" s="13">
        <f t="shared" si="9"/>
        <v>244800.0000001397</v>
      </c>
      <c r="T11">
        <f t="shared" si="0"/>
        <v>0</v>
      </c>
      <c r="U11" s="13">
        <f t="shared" si="1"/>
        <v>244800.0000001397</v>
      </c>
      <c r="V11" s="112">
        <f t="shared" si="2"/>
        <v>1E-10</v>
      </c>
      <c r="X11" s="74"/>
      <c r="Y11" s="13">
        <f t="shared" ref="Y11" si="60">X10+300</f>
        <v>1370100.0000002095</v>
      </c>
      <c r="Z11" s="13">
        <f t="shared" ref="Z11" si="61">Y11</f>
        <v>1370100.0000002095</v>
      </c>
      <c r="AC11" s="44">
        <v>1E-10</v>
      </c>
      <c r="AD11" s="44">
        <v>1E-10</v>
      </c>
      <c r="AE11" s="44">
        <f t="shared" ref="AE11" si="62">AC11</f>
        <v>1E-10</v>
      </c>
      <c r="AF11" s="124">
        <f t="shared" ref="AF11" si="63">AD11</f>
        <v>1E-10</v>
      </c>
      <c r="AI11" s="13">
        <v>1370100.0000002095</v>
      </c>
      <c r="AJ11" s="44">
        <v>1E-10</v>
      </c>
      <c r="AK11" s="124">
        <v>1E-10</v>
      </c>
      <c r="AL11">
        <v>96</v>
      </c>
      <c r="AN11" s="127">
        <v>45227.375</v>
      </c>
      <c r="AO11">
        <v>1</v>
      </c>
      <c r="AP11" s="13">
        <f t="shared" si="13"/>
        <v>244800.0000001397</v>
      </c>
      <c r="AQ11">
        <f t="shared" si="3"/>
        <v>96</v>
      </c>
      <c r="AR11" s="13">
        <f t="shared" si="4"/>
        <v>244800.0000001397</v>
      </c>
      <c r="AS11" s="112">
        <f t="shared" si="5"/>
        <v>96</v>
      </c>
    </row>
    <row r="12" spans="1:45" x14ac:dyDescent="0.25">
      <c r="A12" s="74">
        <v>1639800.0000002095</v>
      </c>
      <c r="C12" s="13">
        <f t="shared" ref="C12" si="64">A12</f>
        <v>1639800.0000002095</v>
      </c>
      <c r="D12">
        <v>122</v>
      </c>
      <c r="E12">
        <v>486</v>
      </c>
      <c r="H12">
        <f t="shared" ref="H12" si="65">D12</f>
        <v>122</v>
      </c>
      <c r="I12" s="112">
        <f t="shared" ref="I12" si="66">E12</f>
        <v>486</v>
      </c>
      <c r="L12" s="13">
        <v>1639800.0000002095</v>
      </c>
      <c r="M12">
        <v>122</v>
      </c>
      <c r="N12">
        <v>486</v>
      </c>
      <c r="O12">
        <v>96</v>
      </c>
      <c r="Q12" s="127">
        <v>45227.479166666657</v>
      </c>
      <c r="R12">
        <v>1</v>
      </c>
      <c r="S12" s="13">
        <f t="shared" si="9"/>
        <v>253800.0000001397</v>
      </c>
      <c r="T12">
        <f t="shared" si="0"/>
        <v>96</v>
      </c>
      <c r="U12" s="13">
        <f t="shared" si="1"/>
        <v>253800.0000001397</v>
      </c>
      <c r="V12" s="112">
        <f t="shared" si="2"/>
        <v>96</v>
      </c>
      <c r="X12" s="74">
        <v>1639800.0000002095</v>
      </c>
      <c r="Y12" s="13"/>
      <c r="Z12" s="13">
        <f t="shared" ref="Z12" si="67">X12</f>
        <v>1639800.0000002095</v>
      </c>
      <c r="AA12">
        <v>122</v>
      </c>
      <c r="AB12">
        <v>486</v>
      </c>
      <c r="AE12">
        <f t="shared" ref="AE12" si="68">AA12</f>
        <v>122</v>
      </c>
      <c r="AF12" s="112">
        <f t="shared" ref="AF12" si="69">AB12</f>
        <v>486</v>
      </c>
      <c r="AI12" s="13">
        <v>1639800.0000002095</v>
      </c>
      <c r="AJ12">
        <v>122</v>
      </c>
      <c r="AK12" s="112">
        <v>486</v>
      </c>
      <c r="AL12">
        <v>96</v>
      </c>
      <c r="AN12" s="127">
        <v>45227.479166666657</v>
      </c>
      <c r="AO12">
        <v>1</v>
      </c>
      <c r="AP12" s="13">
        <f t="shared" si="13"/>
        <v>253800.0000001397</v>
      </c>
      <c r="AQ12">
        <f t="shared" si="3"/>
        <v>96</v>
      </c>
      <c r="AR12" s="13">
        <f t="shared" si="4"/>
        <v>253800.0000001397</v>
      </c>
      <c r="AS12" s="112">
        <f t="shared" si="5"/>
        <v>96</v>
      </c>
    </row>
    <row r="13" spans="1:45" x14ac:dyDescent="0.25">
      <c r="B13" s="13">
        <f t="shared" ref="B13" si="70">A12+300</f>
        <v>1640100.0000002095</v>
      </c>
      <c r="C13" s="13">
        <f t="shared" ref="C13" si="71">B13</f>
        <v>1640100.0000002095</v>
      </c>
      <c r="F13" s="44">
        <v>1E-10</v>
      </c>
      <c r="G13" s="44">
        <v>1E-10</v>
      </c>
      <c r="H13" s="44">
        <f t="shared" ref="H13" si="72">F13</f>
        <v>1E-10</v>
      </c>
      <c r="I13" s="124">
        <f t="shared" ref="I13" si="73">G13</f>
        <v>1E-10</v>
      </c>
      <c r="L13" s="13">
        <v>1640100.0000002095</v>
      </c>
      <c r="M13" s="44">
        <v>1E-10</v>
      </c>
      <c r="N13" s="44">
        <v>1E-10</v>
      </c>
      <c r="O13">
        <v>96</v>
      </c>
      <c r="Q13" s="127">
        <v>45227.583333333343</v>
      </c>
      <c r="R13">
        <v>1</v>
      </c>
      <c r="S13" s="13">
        <f t="shared" si="9"/>
        <v>262800.0000001397</v>
      </c>
      <c r="T13">
        <f t="shared" si="0"/>
        <v>96</v>
      </c>
      <c r="U13" s="13">
        <f t="shared" si="1"/>
        <v>262800.0000001397</v>
      </c>
      <c r="V13" s="112">
        <f t="shared" si="2"/>
        <v>96</v>
      </c>
      <c r="X13" s="74"/>
      <c r="Y13" s="13">
        <f t="shared" ref="Y13" si="74">X12+300</f>
        <v>1640100.0000002095</v>
      </c>
      <c r="Z13" s="13">
        <f t="shared" ref="Z13" si="75">Y13</f>
        <v>1640100.0000002095</v>
      </c>
      <c r="AC13" s="44">
        <v>1E-10</v>
      </c>
      <c r="AD13" s="44">
        <v>1E-10</v>
      </c>
      <c r="AE13" s="44">
        <f t="shared" ref="AE13" si="76">AC13</f>
        <v>1E-10</v>
      </c>
      <c r="AF13" s="124">
        <f t="shared" ref="AF13" si="77">AD13</f>
        <v>1E-10</v>
      </c>
      <c r="AI13" s="13">
        <v>1640100.0000002095</v>
      </c>
      <c r="AJ13" s="44">
        <v>1E-10</v>
      </c>
      <c r="AK13" s="124">
        <v>1E-10</v>
      </c>
      <c r="AL13">
        <v>96</v>
      </c>
      <c r="AN13" s="127">
        <v>45227.583333333343</v>
      </c>
      <c r="AO13">
        <v>1</v>
      </c>
      <c r="AP13" s="13">
        <f t="shared" si="13"/>
        <v>262800.0000001397</v>
      </c>
      <c r="AQ13">
        <f t="shared" si="3"/>
        <v>96</v>
      </c>
      <c r="AR13" s="13">
        <f t="shared" si="4"/>
        <v>262800.0000001397</v>
      </c>
      <c r="AS13" s="112">
        <f t="shared" si="5"/>
        <v>96</v>
      </c>
    </row>
    <row r="14" spans="1:45" x14ac:dyDescent="0.25">
      <c r="A14" s="74">
        <v>1812600.0000002095</v>
      </c>
      <c r="C14" s="13">
        <f t="shared" ref="C14" si="78">A14</f>
        <v>1812600.0000002095</v>
      </c>
      <c r="D14">
        <v>122</v>
      </c>
      <c r="E14">
        <v>486</v>
      </c>
      <c r="H14">
        <f t="shared" ref="H14" si="79">D14</f>
        <v>122</v>
      </c>
      <c r="I14" s="112">
        <f t="shared" ref="I14" si="80">E14</f>
        <v>486</v>
      </c>
      <c r="L14" s="13">
        <v>1812600.0000002095</v>
      </c>
      <c r="M14">
        <v>122</v>
      </c>
      <c r="N14">
        <v>486</v>
      </c>
      <c r="O14">
        <v>96</v>
      </c>
      <c r="Q14" s="127">
        <v>45227.6875</v>
      </c>
      <c r="R14">
        <v>1</v>
      </c>
      <c r="S14" s="13">
        <f t="shared" si="9"/>
        <v>271800.0000001397</v>
      </c>
      <c r="T14">
        <f t="shared" si="0"/>
        <v>96</v>
      </c>
      <c r="U14" s="13">
        <f t="shared" si="1"/>
        <v>271800.0000001397</v>
      </c>
      <c r="V14" s="112">
        <f t="shared" si="2"/>
        <v>96</v>
      </c>
      <c r="X14" s="74">
        <v>1814399.9999997905</v>
      </c>
      <c r="Y14" s="13"/>
      <c r="Z14" s="13">
        <f t="shared" ref="Z14" si="81">X14</f>
        <v>1814399.9999997905</v>
      </c>
      <c r="AA14">
        <v>122</v>
      </c>
      <c r="AB14">
        <v>486</v>
      </c>
      <c r="AE14">
        <f t="shared" ref="AE14" si="82">AA14</f>
        <v>122</v>
      </c>
      <c r="AF14" s="112">
        <f t="shared" ref="AF14" si="83">AB14</f>
        <v>486</v>
      </c>
      <c r="AI14" s="13">
        <v>1814399.9999997905</v>
      </c>
      <c r="AJ14">
        <v>122</v>
      </c>
      <c r="AK14" s="112">
        <v>486</v>
      </c>
      <c r="AL14">
        <v>96</v>
      </c>
      <c r="AN14" s="127">
        <v>45227.6875</v>
      </c>
      <c r="AO14">
        <v>1</v>
      </c>
      <c r="AP14" s="13">
        <f t="shared" si="13"/>
        <v>271800.0000001397</v>
      </c>
      <c r="AQ14">
        <f t="shared" si="3"/>
        <v>96</v>
      </c>
      <c r="AR14" s="13">
        <f t="shared" si="4"/>
        <v>271800.0000001397</v>
      </c>
      <c r="AS14" s="112">
        <f t="shared" si="5"/>
        <v>96</v>
      </c>
    </row>
    <row r="15" spans="1:45" x14ac:dyDescent="0.25">
      <c r="B15" s="13">
        <f t="shared" ref="B15" si="84">A14+300</f>
        <v>1812900.0000002095</v>
      </c>
      <c r="C15" s="13">
        <f t="shared" ref="C15" si="85">B15</f>
        <v>1812900.0000002095</v>
      </c>
      <c r="F15" s="44">
        <v>1E-10</v>
      </c>
      <c r="G15" s="44">
        <v>1E-10</v>
      </c>
      <c r="H15" s="44">
        <f t="shared" ref="H15" si="86">F15</f>
        <v>1E-10</v>
      </c>
      <c r="I15" s="124">
        <f t="shared" ref="I15" si="87">G15</f>
        <v>1E-10</v>
      </c>
      <c r="L15" s="13">
        <v>1812900.0000002095</v>
      </c>
      <c r="M15" s="44">
        <v>1E-10</v>
      </c>
      <c r="N15" s="44">
        <v>1E-10</v>
      </c>
      <c r="O15">
        <v>96</v>
      </c>
      <c r="Q15" s="127">
        <v>45227.791666666657</v>
      </c>
      <c r="R15">
        <v>1</v>
      </c>
      <c r="S15" s="13">
        <f t="shared" si="9"/>
        <v>280800.0000001397</v>
      </c>
      <c r="T15">
        <f t="shared" si="0"/>
        <v>96</v>
      </c>
      <c r="U15" s="13">
        <f t="shared" si="1"/>
        <v>280800.0000001397</v>
      </c>
      <c r="V15" s="112">
        <f t="shared" si="2"/>
        <v>96</v>
      </c>
      <c r="X15" s="74"/>
      <c r="Y15" s="13">
        <f t="shared" ref="Y15" si="88">X14+300</f>
        <v>1814699.9999997905</v>
      </c>
      <c r="Z15" s="13">
        <f t="shared" ref="Z15" si="89">Y15</f>
        <v>1814699.9999997905</v>
      </c>
      <c r="AC15" s="44">
        <v>1E-10</v>
      </c>
      <c r="AD15" s="44">
        <v>1E-10</v>
      </c>
      <c r="AE15" s="44">
        <f t="shared" ref="AE15" si="90">AC15</f>
        <v>1E-10</v>
      </c>
      <c r="AF15" s="124">
        <f t="shared" ref="AF15" si="91">AD15</f>
        <v>1E-10</v>
      </c>
      <c r="AI15" s="13">
        <v>1814699.9999997905</v>
      </c>
      <c r="AJ15" s="44">
        <v>1E-10</v>
      </c>
      <c r="AK15" s="124">
        <v>1E-10</v>
      </c>
      <c r="AL15">
        <v>96</v>
      </c>
      <c r="AN15" s="127">
        <v>45227.791666666657</v>
      </c>
      <c r="AO15">
        <v>1</v>
      </c>
      <c r="AP15" s="13">
        <f t="shared" si="13"/>
        <v>280800.0000001397</v>
      </c>
      <c r="AQ15">
        <f t="shared" si="3"/>
        <v>96</v>
      </c>
      <c r="AR15" s="13">
        <f t="shared" si="4"/>
        <v>280800.0000001397</v>
      </c>
      <c r="AS15" s="112">
        <f t="shared" si="5"/>
        <v>96</v>
      </c>
    </row>
    <row r="16" spans="1:45" x14ac:dyDescent="0.25">
      <c r="A16" s="74">
        <v>1987199.9999997905</v>
      </c>
      <c r="C16" s="13">
        <f t="shared" ref="C16" si="92">A16</f>
        <v>1987199.9999997905</v>
      </c>
      <c r="D16">
        <v>183</v>
      </c>
      <c r="E16">
        <v>730</v>
      </c>
      <c r="H16">
        <f t="shared" ref="H16" si="93">D16</f>
        <v>183</v>
      </c>
      <c r="I16" s="112">
        <f t="shared" ref="I16" si="94">E16</f>
        <v>730</v>
      </c>
      <c r="L16" s="13">
        <v>1987199.9999997905</v>
      </c>
      <c r="M16">
        <v>183</v>
      </c>
      <c r="N16">
        <v>730</v>
      </c>
      <c r="O16">
        <v>96</v>
      </c>
      <c r="Q16" s="127">
        <v>45227.895833333343</v>
      </c>
      <c r="R16">
        <v>1</v>
      </c>
      <c r="S16" s="13">
        <f t="shared" si="9"/>
        <v>289800.0000001397</v>
      </c>
      <c r="T16">
        <f t="shared" si="0"/>
        <v>96</v>
      </c>
      <c r="U16" s="13">
        <f t="shared" si="1"/>
        <v>289800.0000001397</v>
      </c>
      <c r="V16" s="112">
        <f t="shared" si="2"/>
        <v>96</v>
      </c>
      <c r="X16" s="74">
        <v>1973699.9999997905</v>
      </c>
      <c r="Y16" s="13"/>
      <c r="Z16" s="13">
        <f t="shared" ref="Z16" si="95">X16</f>
        <v>1973699.9999997905</v>
      </c>
      <c r="AA16">
        <v>183</v>
      </c>
      <c r="AB16">
        <v>730</v>
      </c>
      <c r="AE16">
        <f t="shared" ref="AE16" si="96">AA16</f>
        <v>183</v>
      </c>
      <c r="AF16" s="112">
        <f t="shared" ref="AF16" si="97">AB16</f>
        <v>730</v>
      </c>
      <c r="AI16" s="13">
        <v>1973699.9999997905</v>
      </c>
      <c r="AJ16">
        <v>183</v>
      </c>
      <c r="AK16" s="112">
        <v>730</v>
      </c>
      <c r="AL16">
        <v>96</v>
      </c>
      <c r="AN16" s="127">
        <v>45227.895833333343</v>
      </c>
      <c r="AO16">
        <v>1</v>
      </c>
      <c r="AP16" s="13">
        <f t="shared" si="13"/>
        <v>289800.0000001397</v>
      </c>
      <c r="AQ16">
        <f t="shared" si="3"/>
        <v>96</v>
      </c>
      <c r="AR16" s="13">
        <f t="shared" si="4"/>
        <v>289800.0000001397</v>
      </c>
      <c r="AS16" s="112">
        <f t="shared" si="5"/>
        <v>96</v>
      </c>
    </row>
    <row r="17" spans="1:45" x14ac:dyDescent="0.25">
      <c r="B17" s="13">
        <f t="shared" ref="B17" si="98">A16+300</f>
        <v>1987499.9999997905</v>
      </c>
      <c r="C17" s="13">
        <f t="shared" ref="C17" si="99">B17</f>
        <v>1987499.9999997905</v>
      </c>
      <c r="F17" s="44">
        <v>1E-10</v>
      </c>
      <c r="G17" s="44">
        <v>1E-10</v>
      </c>
      <c r="H17" s="44">
        <f t="shared" ref="H17" si="100">F17</f>
        <v>1E-10</v>
      </c>
      <c r="I17" s="124">
        <f t="shared" ref="I17" si="101">G17</f>
        <v>1E-10</v>
      </c>
      <c r="L17" s="13">
        <v>1987499.9999997905</v>
      </c>
      <c r="M17" s="44">
        <v>1E-10</v>
      </c>
      <c r="N17" s="44">
        <v>1E-10</v>
      </c>
      <c r="O17">
        <v>96</v>
      </c>
      <c r="Q17" s="127">
        <v>45228</v>
      </c>
      <c r="R17">
        <v>2</v>
      </c>
      <c r="S17" s="13">
        <f t="shared" si="9"/>
        <v>298800.0000001397</v>
      </c>
      <c r="T17">
        <f t="shared" si="0"/>
        <v>192</v>
      </c>
      <c r="U17" s="13">
        <f t="shared" si="1"/>
        <v>298800.0000001397</v>
      </c>
      <c r="V17" s="112">
        <f t="shared" si="2"/>
        <v>192</v>
      </c>
      <c r="X17" s="74"/>
      <c r="Y17" s="13">
        <f t="shared" ref="Y17" si="102">X16+300</f>
        <v>1973999.9999997905</v>
      </c>
      <c r="Z17" s="13">
        <f t="shared" ref="Z17" si="103">Y17</f>
        <v>1973999.9999997905</v>
      </c>
      <c r="AC17" s="44">
        <v>1E-10</v>
      </c>
      <c r="AD17" s="44">
        <v>1E-10</v>
      </c>
      <c r="AE17" s="44">
        <f t="shared" ref="AE17" si="104">AC17</f>
        <v>1E-10</v>
      </c>
      <c r="AF17" s="124">
        <f t="shared" ref="AF17" si="105">AD17</f>
        <v>1E-10</v>
      </c>
      <c r="AI17" s="13">
        <v>1973999.9999997905</v>
      </c>
      <c r="AJ17" s="44">
        <v>1E-10</v>
      </c>
      <c r="AK17" s="124">
        <v>1E-10</v>
      </c>
      <c r="AL17">
        <v>96</v>
      </c>
      <c r="AN17" s="127">
        <v>45228</v>
      </c>
      <c r="AO17">
        <v>2</v>
      </c>
      <c r="AP17" s="13">
        <f t="shared" si="13"/>
        <v>298800.0000001397</v>
      </c>
      <c r="AQ17">
        <f t="shared" si="3"/>
        <v>192</v>
      </c>
      <c r="AR17" s="13">
        <f t="shared" si="4"/>
        <v>298800.0000001397</v>
      </c>
      <c r="AS17" s="112">
        <f t="shared" si="5"/>
        <v>192</v>
      </c>
    </row>
    <row r="18" spans="1:45" x14ac:dyDescent="0.25">
      <c r="A18" s="74">
        <v>2239200.0000002095</v>
      </c>
      <c r="C18" s="13">
        <f t="shared" ref="C18" si="106">A18</f>
        <v>2239200.0000002095</v>
      </c>
      <c r="D18">
        <v>122</v>
      </c>
      <c r="E18">
        <v>486</v>
      </c>
      <c r="H18">
        <f t="shared" ref="H18" si="107">D18</f>
        <v>122</v>
      </c>
      <c r="I18" s="112">
        <f t="shared" ref="I18" si="108">E18</f>
        <v>486</v>
      </c>
      <c r="L18" s="13">
        <v>2239200.0000002095</v>
      </c>
      <c r="M18">
        <v>122</v>
      </c>
      <c r="N18">
        <v>486</v>
      </c>
      <c r="O18">
        <v>96</v>
      </c>
      <c r="Q18" s="127">
        <v>45228.104166666657</v>
      </c>
      <c r="R18">
        <v>1</v>
      </c>
      <c r="S18" s="13">
        <f t="shared" si="9"/>
        <v>307800.0000001397</v>
      </c>
      <c r="T18">
        <f t="shared" si="0"/>
        <v>96</v>
      </c>
      <c r="U18" s="13">
        <f t="shared" si="1"/>
        <v>307800.0000001397</v>
      </c>
      <c r="V18" s="112">
        <f t="shared" si="2"/>
        <v>96</v>
      </c>
      <c r="X18" s="74">
        <v>2242800</v>
      </c>
      <c r="Y18" s="13"/>
      <c r="Z18" s="13">
        <f t="shared" ref="Z18" si="109">X18</f>
        <v>2242800</v>
      </c>
      <c r="AA18">
        <v>122</v>
      </c>
      <c r="AB18">
        <v>486</v>
      </c>
      <c r="AE18">
        <f t="shared" ref="AE18" si="110">AA18</f>
        <v>122</v>
      </c>
      <c r="AF18" s="112">
        <f t="shared" ref="AF18" si="111">AB18</f>
        <v>486</v>
      </c>
      <c r="AI18" s="13">
        <v>2242800</v>
      </c>
      <c r="AJ18">
        <v>122</v>
      </c>
      <c r="AK18" s="112">
        <v>486</v>
      </c>
      <c r="AL18">
        <v>96</v>
      </c>
      <c r="AN18" s="127">
        <v>45228.104166666657</v>
      </c>
      <c r="AO18">
        <v>1</v>
      </c>
      <c r="AP18" s="13">
        <f t="shared" si="13"/>
        <v>307800.0000001397</v>
      </c>
      <c r="AQ18">
        <f t="shared" si="3"/>
        <v>96</v>
      </c>
      <c r="AR18" s="13">
        <f t="shared" si="4"/>
        <v>307800.0000001397</v>
      </c>
      <c r="AS18" s="112">
        <f t="shared" si="5"/>
        <v>96</v>
      </c>
    </row>
    <row r="19" spans="1:45" x14ac:dyDescent="0.25">
      <c r="B19" s="13">
        <f t="shared" ref="B19" si="112">A18+300</f>
        <v>2239500.0000002095</v>
      </c>
      <c r="C19" s="13">
        <f t="shared" ref="C19" si="113">B19</f>
        <v>2239500.0000002095</v>
      </c>
      <c r="F19" s="44">
        <v>1E-10</v>
      </c>
      <c r="G19" s="44">
        <v>1E-10</v>
      </c>
      <c r="H19" s="44">
        <f t="shared" ref="H19" si="114">F19</f>
        <v>1E-10</v>
      </c>
      <c r="I19" s="124">
        <f t="shared" ref="I19" si="115">G19</f>
        <v>1E-10</v>
      </c>
      <c r="L19" s="13">
        <v>2239500.0000002095</v>
      </c>
      <c r="M19" s="44">
        <v>1E-10</v>
      </c>
      <c r="N19" s="44">
        <v>1E-10</v>
      </c>
      <c r="O19">
        <v>96</v>
      </c>
      <c r="Q19" s="127">
        <v>45228.208333333343</v>
      </c>
      <c r="R19">
        <v>1</v>
      </c>
      <c r="S19" s="13">
        <f t="shared" si="9"/>
        <v>316800.0000001397</v>
      </c>
      <c r="T19">
        <f t="shared" si="0"/>
        <v>96</v>
      </c>
      <c r="U19" s="13">
        <f t="shared" si="1"/>
        <v>316800.0000001397</v>
      </c>
      <c r="V19" s="112">
        <f t="shared" si="2"/>
        <v>96</v>
      </c>
      <c r="X19" s="74"/>
      <c r="Y19" s="13">
        <f t="shared" ref="Y19" si="116">X18+300</f>
        <v>2243100</v>
      </c>
      <c r="Z19" s="13">
        <f t="shared" ref="Z19" si="117">Y19</f>
        <v>2243100</v>
      </c>
      <c r="AC19" s="44">
        <v>1E-10</v>
      </c>
      <c r="AD19" s="44">
        <v>1E-10</v>
      </c>
      <c r="AE19" s="44">
        <f t="shared" ref="AE19" si="118">AC19</f>
        <v>1E-10</v>
      </c>
      <c r="AF19" s="124">
        <f t="shared" ref="AF19" si="119">AD19</f>
        <v>1E-10</v>
      </c>
      <c r="AI19" s="13">
        <v>2243100</v>
      </c>
      <c r="AJ19" s="44">
        <v>1E-10</v>
      </c>
      <c r="AK19" s="124">
        <v>1E-10</v>
      </c>
      <c r="AL19">
        <v>96</v>
      </c>
      <c r="AN19" s="127">
        <v>45228.208333333343</v>
      </c>
      <c r="AO19">
        <v>1</v>
      </c>
      <c r="AP19" s="13">
        <f t="shared" si="13"/>
        <v>316800.0000001397</v>
      </c>
      <c r="AQ19">
        <f t="shared" si="3"/>
        <v>96</v>
      </c>
      <c r="AR19" s="13">
        <f t="shared" si="4"/>
        <v>316800.0000001397</v>
      </c>
      <c r="AS19" s="112">
        <f t="shared" si="5"/>
        <v>96</v>
      </c>
    </row>
    <row r="20" spans="1:45" x14ac:dyDescent="0.25">
      <c r="A20" s="74">
        <v>2408399.9999997905</v>
      </c>
      <c r="C20" s="13">
        <f t="shared" ref="C20" si="120">A20</f>
        <v>2408399.9999997905</v>
      </c>
      <c r="D20">
        <v>122</v>
      </c>
      <c r="E20">
        <v>486</v>
      </c>
      <c r="H20">
        <f t="shared" ref="H20" si="121">D20</f>
        <v>122</v>
      </c>
      <c r="I20" s="112">
        <f t="shared" ref="I20" si="122">E20</f>
        <v>486</v>
      </c>
      <c r="L20" s="13">
        <v>2408399.9999997905</v>
      </c>
      <c r="M20">
        <v>122</v>
      </c>
      <c r="N20">
        <v>486</v>
      </c>
      <c r="O20">
        <v>96</v>
      </c>
      <c r="Q20" s="127">
        <v>45228.3125</v>
      </c>
      <c r="R20">
        <v>1</v>
      </c>
      <c r="S20" s="13">
        <f t="shared" si="9"/>
        <v>325800.0000001397</v>
      </c>
      <c r="T20">
        <f t="shared" si="0"/>
        <v>96</v>
      </c>
      <c r="U20" s="13">
        <f t="shared" si="1"/>
        <v>325800.0000001397</v>
      </c>
      <c r="V20" s="112">
        <f t="shared" si="2"/>
        <v>96</v>
      </c>
      <c r="X20" s="74">
        <v>2419199.9999997905</v>
      </c>
      <c r="Y20" s="13"/>
      <c r="Z20" s="13">
        <f t="shared" ref="Z20" si="123">X20</f>
        <v>2419199.9999997905</v>
      </c>
      <c r="AA20">
        <v>122</v>
      </c>
      <c r="AB20">
        <v>486</v>
      </c>
      <c r="AE20">
        <f t="shared" ref="AE20" si="124">AA20</f>
        <v>122</v>
      </c>
      <c r="AF20" s="112">
        <f t="shared" ref="AF20" si="125">AB20</f>
        <v>486</v>
      </c>
      <c r="AI20" s="13">
        <v>2419199.9999997905</v>
      </c>
      <c r="AJ20">
        <v>122</v>
      </c>
      <c r="AK20" s="112">
        <v>486</v>
      </c>
      <c r="AL20">
        <v>96</v>
      </c>
      <c r="AN20" s="127">
        <v>45228.3125</v>
      </c>
      <c r="AO20">
        <v>1</v>
      </c>
      <c r="AP20" s="13">
        <f t="shared" si="13"/>
        <v>325800.0000001397</v>
      </c>
      <c r="AQ20">
        <f t="shared" si="3"/>
        <v>96</v>
      </c>
      <c r="AR20" s="13">
        <f t="shared" si="4"/>
        <v>325800.0000001397</v>
      </c>
      <c r="AS20" s="112">
        <f t="shared" si="5"/>
        <v>96</v>
      </c>
    </row>
    <row r="21" spans="1:45" x14ac:dyDescent="0.25">
      <c r="B21" s="13">
        <f t="shared" ref="B21" si="126">A20+300</f>
        <v>2408699.9999997905</v>
      </c>
      <c r="C21" s="13">
        <f t="shared" ref="C21" si="127">B21</f>
        <v>2408699.9999997905</v>
      </c>
      <c r="F21" s="44">
        <v>1E-10</v>
      </c>
      <c r="G21" s="44">
        <v>1E-10</v>
      </c>
      <c r="H21" s="44">
        <f t="shared" ref="H21" si="128">F21</f>
        <v>1E-10</v>
      </c>
      <c r="I21" s="124">
        <f t="shared" ref="I21" si="129">G21</f>
        <v>1E-10</v>
      </c>
      <c r="L21" s="13">
        <v>2408699.9999997905</v>
      </c>
      <c r="M21" s="44">
        <v>1E-10</v>
      </c>
      <c r="N21" s="44">
        <v>1E-10</v>
      </c>
      <c r="O21">
        <v>96</v>
      </c>
      <c r="Q21" s="127">
        <v>45228.416666666657</v>
      </c>
      <c r="R21">
        <v>1</v>
      </c>
      <c r="S21" s="13">
        <f t="shared" si="9"/>
        <v>334800.0000001397</v>
      </c>
      <c r="T21">
        <f t="shared" si="0"/>
        <v>96</v>
      </c>
      <c r="U21" s="13">
        <f t="shared" si="1"/>
        <v>334800.0000001397</v>
      </c>
      <c r="V21" s="112">
        <f t="shared" si="2"/>
        <v>96</v>
      </c>
      <c r="X21" s="74"/>
      <c r="Y21" s="13">
        <f t="shared" ref="Y21" si="130">X20+300</f>
        <v>2419499.9999997905</v>
      </c>
      <c r="Z21" s="13">
        <f t="shared" ref="Z21" si="131">Y21</f>
        <v>2419499.9999997905</v>
      </c>
      <c r="AC21" s="44">
        <v>1E-10</v>
      </c>
      <c r="AD21" s="44">
        <v>1E-10</v>
      </c>
      <c r="AE21" s="44">
        <f t="shared" ref="AE21" si="132">AC21</f>
        <v>1E-10</v>
      </c>
      <c r="AF21" s="124">
        <f t="shared" ref="AF21" si="133">AD21</f>
        <v>1E-10</v>
      </c>
      <c r="AI21" s="13">
        <v>2419499.9999997905</v>
      </c>
      <c r="AJ21" s="44">
        <v>1E-10</v>
      </c>
      <c r="AK21" s="124">
        <v>1E-10</v>
      </c>
      <c r="AL21">
        <v>96</v>
      </c>
      <c r="AN21" s="127">
        <v>45228.416666666657</v>
      </c>
      <c r="AO21">
        <v>1</v>
      </c>
      <c r="AP21" s="13">
        <f t="shared" si="13"/>
        <v>334800.0000001397</v>
      </c>
      <c r="AQ21">
        <f t="shared" si="3"/>
        <v>96</v>
      </c>
      <c r="AR21" s="13">
        <f t="shared" si="4"/>
        <v>334800.0000001397</v>
      </c>
      <c r="AS21" s="112">
        <f t="shared" si="5"/>
        <v>96</v>
      </c>
    </row>
    <row r="22" spans="1:45" x14ac:dyDescent="0.25">
      <c r="A22" s="74">
        <v>2599800.0000000698</v>
      </c>
      <c r="C22" s="13">
        <f t="shared" ref="C22" si="134">A22</f>
        <v>2599800.0000000698</v>
      </c>
      <c r="D22">
        <v>183</v>
      </c>
      <c r="E22">
        <v>730</v>
      </c>
      <c r="H22">
        <f t="shared" ref="H22" si="135">D22</f>
        <v>183</v>
      </c>
      <c r="I22" s="112">
        <f t="shared" ref="I22" si="136">E22</f>
        <v>730</v>
      </c>
      <c r="L22" s="13">
        <v>2599800.0000000698</v>
      </c>
      <c r="M22">
        <v>183</v>
      </c>
      <c r="N22">
        <v>730</v>
      </c>
      <c r="O22">
        <v>96</v>
      </c>
      <c r="Q22" s="127">
        <v>45228.520833333343</v>
      </c>
      <c r="R22">
        <v>1</v>
      </c>
      <c r="S22" s="13">
        <f t="shared" si="9"/>
        <v>343800.0000001397</v>
      </c>
      <c r="T22">
        <f t="shared" si="0"/>
        <v>96</v>
      </c>
      <c r="U22" s="13">
        <f t="shared" si="1"/>
        <v>343800.0000001397</v>
      </c>
      <c r="V22" s="112">
        <f t="shared" si="2"/>
        <v>96</v>
      </c>
      <c r="X22" s="74">
        <v>2599800.0000000698</v>
      </c>
      <c r="Y22" s="13"/>
      <c r="Z22" s="13">
        <f t="shared" ref="Z22" si="137">X22</f>
        <v>2599800.0000000698</v>
      </c>
      <c r="AA22">
        <v>183</v>
      </c>
      <c r="AB22">
        <v>730</v>
      </c>
      <c r="AE22">
        <f t="shared" ref="AE22" si="138">AA22</f>
        <v>183</v>
      </c>
      <c r="AF22" s="112">
        <f t="shared" ref="AF22" si="139">AB22</f>
        <v>730</v>
      </c>
      <c r="AI22" s="13">
        <v>2599800.0000000698</v>
      </c>
      <c r="AJ22">
        <v>183</v>
      </c>
      <c r="AK22" s="112">
        <v>730</v>
      </c>
      <c r="AL22">
        <v>96</v>
      </c>
      <c r="AN22" s="127">
        <v>45228.520833333343</v>
      </c>
      <c r="AO22">
        <v>1</v>
      </c>
      <c r="AP22" s="13">
        <f t="shared" si="13"/>
        <v>343800.0000001397</v>
      </c>
      <c r="AQ22">
        <f t="shared" si="3"/>
        <v>96</v>
      </c>
      <c r="AR22" s="13">
        <f t="shared" si="4"/>
        <v>343800.0000001397</v>
      </c>
      <c r="AS22" s="112">
        <f t="shared" si="5"/>
        <v>96</v>
      </c>
    </row>
    <row r="23" spans="1:45" x14ac:dyDescent="0.25">
      <c r="B23" s="13">
        <f t="shared" ref="B23" si="140">A22+300</f>
        <v>2600100.0000000698</v>
      </c>
      <c r="C23" s="13">
        <f t="shared" ref="C23" si="141">B23</f>
        <v>2600100.0000000698</v>
      </c>
      <c r="F23" s="44">
        <v>1E-10</v>
      </c>
      <c r="G23" s="44">
        <v>1E-10</v>
      </c>
      <c r="H23" s="44">
        <f t="shared" ref="H23" si="142">F23</f>
        <v>1E-10</v>
      </c>
      <c r="I23" s="124">
        <f t="shared" ref="I23" si="143">G23</f>
        <v>1E-10</v>
      </c>
      <c r="L23" s="13">
        <v>2600100.0000000698</v>
      </c>
      <c r="M23" s="44">
        <v>1E-10</v>
      </c>
      <c r="N23" s="44">
        <v>1E-10</v>
      </c>
      <c r="O23">
        <v>96</v>
      </c>
      <c r="Q23" s="127">
        <v>45228.625</v>
      </c>
      <c r="R23">
        <v>1</v>
      </c>
      <c r="S23" s="13">
        <f t="shared" si="9"/>
        <v>352800.0000001397</v>
      </c>
      <c r="T23">
        <f t="shared" si="0"/>
        <v>96</v>
      </c>
      <c r="U23" s="13">
        <f t="shared" si="1"/>
        <v>352800.0000001397</v>
      </c>
      <c r="V23" s="112">
        <f t="shared" si="2"/>
        <v>96</v>
      </c>
      <c r="X23" s="74"/>
      <c r="Y23" s="13">
        <f t="shared" ref="Y23" si="144">X22+300</f>
        <v>2600100.0000000698</v>
      </c>
      <c r="Z23" s="13">
        <f t="shared" ref="Z23" si="145">Y23</f>
        <v>2600100.0000000698</v>
      </c>
      <c r="AC23" s="44">
        <v>1E-10</v>
      </c>
      <c r="AD23" s="44">
        <v>1E-10</v>
      </c>
      <c r="AE23" s="44">
        <f t="shared" ref="AE23" si="146">AC23</f>
        <v>1E-10</v>
      </c>
      <c r="AF23" s="124">
        <f t="shared" ref="AF23" si="147">AD23</f>
        <v>1E-10</v>
      </c>
      <c r="AI23" s="13">
        <v>2600100.0000000698</v>
      </c>
      <c r="AJ23" s="44">
        <v>1E-10</v>
      </c>
      <c r="AK23" s="124">
        <v>1E-10</v>
      </c>
      <c r="AL23">
        <v>96</v>
      </c>
      <c r="AN23" s="127">
        <v>45228.625</v>
      </c>
      <c r="AO23">
        <v>1</v>
      </c>
      <c r="AP23" s="13">
        <f t="shared" si="13"/>
        <v>352800.0000001397</v>
      </c>
      <c r="AQ23">
        <f t="shared" si="3"/>
        <v>96</v>
      </c>
      <c r="AR23" s="13">
        <f t="shared" si="4"/>
        <v>352800.0000001397</v>
      </c>
      <c r="AS23" s="112">
        <f t="shared" si="5"/>
        <v>96</v>
      </c>
    </row>
    <row r="24" spans="1:45" x14ac:dyDescent="0.25">
      <c r="A24" s="74">
        <v>2851199.9999997905</v>
      </c>
      <c r="C24" s="13">
        <f t="shared" ref="C24" si="148">A24</f>
        <v>2851199.9999997905</v>
      </c>
      <c r="D24">
        <v>122</v>
      </c>
      <c r="E24">
        <v>486</v>
      </c>
      <c r="H24">
        <f t="shared" ref="H24" si="149">D24</f>
        <v>122</v>
      </c>
      <c r="I24" s="112">
        <f t="shared" ref="I24" si="150">E24</f>
        <v>486</v>
      </c>
      <c r="L24" s="13">
        <v>2851199.9999997905</v>
      </c>
      <c r="M24">
        <v>122</v>
      </c>
      <c r="N24">
        <v>486</v>
      </c>
      <c r="O24">
        <v>96</v>
      </c>
      <c r="Q24" s="127">
        <v>45228.729166666657</v>
      </c>
      <c r="R24">
        <v>1</v>
      </c>
      <c r="S24" s="13">
        <f t="shared" si="9"/>
        <v>361800.0000001397</v>
      </c>
      <c r="T24">
        <f t="shared" si="0"/>
        <v>96</v>
      </c>
      <c r="U24" s="13">
        <f t="shared" si="1"/>
        <v>361800.0000001397</v>
      </c>
      <c r="V24" s="112">
        <f t="shared" si="2"/>
        <v>96</v>
      </c>
      <c r="X24" s="74">
        <v>2851199.9999997905</v>
      </c>
      <c r="Y24" s="13"/>
      <c r="Z24" s="13">
        <f t="shared" ref="Z24" si="151">X24</f>
        <v>2851199.9999997905</v>
      </c>
      <c r="AA24">
        <v>122</v>
      </c>
      <c r="AB24">
        <v>486</v>
      </c>
      <c r="AE24">
        <f t="shared" ref="AE24" si="152">AA24</f>
        <v>122</v>
      </c>
      <c r="AF24" s="112">
        <f t="shared" ref="AF24" si="153">AB24</f>
        <v>486</v>
      </c>
      <c r="AI24" s="13">
        <v>2851199.9999997905</v>
      </c>
      <c r="AJ24">
        <v>122</v>
      </c>
      <c r="AK24" s="112">
        <v>486</v>
      </c>
      <c r="AL24">
        <v>96</v>
      </c>
      <c r="AN24" s="127">
        <v>45228.729166666657</v>
      </c>
      <c r="AO24">
        <v>1</v>
      </c>
      <c r="AP24" s="13">
        <f t="shared" si="13"/>
        <v>361800.0000001397</v>
      </c>
      <c r="AQ24">
        <f t="shared" si="3"/>
        <v>96</v>
      </c>
      <c r="AR24" s="13">
        <f t="shared" si="4"/>
        <v>361800.0000001397</v>
      </c>
      <c r="AS24" s="112">
        <f t="shared" si="5"/>
        <v>96</v>
      </c>
    </row>
    <row r="25" spans="1:45" x14ac:dyDescent="0.25">
      <c r="B25" s="13">
        <f t="shared" ref="B25" si="154">A24+300</f>
        <v>2851499.9999997905</v>
      </c>
      <c r="C25" s="13">
        <f t="shared" ref="C25" si="155">B25</f>
        <v>2851499.9999997905</v>
      </c>
      <c r="F25" s="44">
        <v>1E-10</v>
      </c>
      <c r="G25" s="44">
        <v>1E-10</v>
      </c>
      <c r="H25" s="44">
        <f t="shared" ref="H25" si="156">F25</f>
        <v>1E-10</v>
      </c>
      <c r="I25" s="124">
        <f t="shared" ref="I25" si="157">G25</f>
        <v>1E-10</v>
      </c>
      <c r="L25" s="13">
        <v>2851499.9999997905</v>
      </c>
      <c r="M25" s="44">
        <v>1E-10</v>
      </c>
      <c r="N25" s="44">
        <v>1E-10</v>
      </c>
      <c r="O25">
        <v>96</v>
      </c>
      <c r="Q25" s="127">
        <v>45228.833333333343</v>
      </c>
      <c r="R25">
        <v>1</v>
      </c>
      <c r="S25" s="13">
        <f t="shared" si="9"/>
        <v>370800.0000001397</v>
      </c>
      <c r="T25">
        <f t="shared" si="0"/>
        <v>96</v>
      </c>
      <c r="U25" s="13">
        <f t="shared" si="1"/>
        <v>370800.0000001397</v>
      </c>
      <c r="V25" s="112">
        <f t="shared" si="2"/>
        <v>96</v>
      </c>
      <c r="X25" s="74"/>
      <c r="Y25" s="13">
        <f t="shared" ref="Y25" si="158">X24+300</f>
        <v>2851499.9999997905</v>
      </c>
      <c r="Z25" s="13">
        <f t="shared" ref="Z25" si="159">Y25</f>
        <v>2851499.9999997905</v>
      </c>
      <c r="AC25" s="44">
        <v>1E-10</v>
      </c>
      <c r="AD25" s="44">
        <v>1E-10</v>
      </c>
      <c r="AE25" s="44">
        <f t="shared" ref="AE25" si="160">AC25</f>
        <v>1E-10</v>
      </c>
      <c r="AF25" s="124">
        <f t="shared" ref="AF25" si="161">AD25</f>
        <v>1E-10</v>
      </c>
      <c r="AI25" s="13">
        <v>2851499.9999997905</v>
      </c>
      <c r="AJ25" s="44">
        <v>1E-10</v>
      </c>
      <c r="AK25" s="124">
        <v>1E-10</v>
      </c>
      <c r="AL25">
        <v>96</v>
      </c>
      <c r="AN25" s="127">
        <v>45228.833333333343</v>
      </c>
      <c r="AO25">
        <v>1</v>
      </c>
      <c r="AP25" s="13">
        <f t="shared" si="13"/>
        <v>370800.0000001397</v>
      </c>
      <c r="AQ25">
        <f t="shared" si="3"/>
        <v>96</v>
      </c>
      <c r="AR25" s="13">
        <f t="shared" si="4"/>
        <v>370800.0000001397</v>
      </c>
      <c r="AS25" s="112">
        <f t="shared" si="5"/>
        <v>96</v>
      </c>
    </row>
    <row r="26" spans="1:45" x14ac:dyDescent="0.25">
      <c r="A26" s="74">
        <v>3023999.9999997905</v>
      </c>
      <c r="C26" s="13">
        <f t="shared" ref="C26" si="162">A26</f>
        <v>3023999.9999997905</v>
      </c>
      <c r="D26">
        <v>122</v>
      </c>
      <c r="E26">
        <v>486</v>
      </c>
      <c r="H26">
        <f t="shared" ref="H26" si="163">D26</f>
        <v>122</v>
      </c>
      <c r="I26" s="112">
        <f t="shared" ref="I26" si="164">E26</f>
        <v>486</v>
      </c>
      <c r="L26" s="13">
        <v>3023999.9999997905</v>
      </c>
      <c r="M26">
        <v>122</v>
      </c>
      <c r="N26">
        <v>486</v>
      </c>
      <c r="O26">
        <v>96</v>
      </c>
      <c r="Q26" s="127">
        <v>45228.9375</v>
      </c>
      <c r="R26">
        <v>1</v>
      </c>
      <c r="S26" s="13">
        <f t="shared" si="9"/>
        <v>379800.0000001397</v>
      </c>
      <c r="T26">
        <f t="shared" si="0"/>
        <v>96</v>
      </c>
      <c r="U26" s="13">
        <f t="shared" si="1"/>
        <v>379800.0000001397</v>
      </c>
      <c r="V26" s="112">
        <f t="shared" si="2"/>
        <v>96</v>
      </c>
      <c r="X26" s="74">
        <v>3023999.9999997905</v>
      </c>
      <c r="Y26" s="13"/>
      <c r="Z26" s="13">
        <f t="shared" ref="Z26" si="165">X26</f>
        <v>3023999.9999997905</v>
      </c>
      <c r="AA26">
        <v>122</v>
      </c>
      <c r="AB26">
        <v>486</v>
      </c>
      <c r="AE26">
        <f t="shared" ref="AE26" si="166">AA26</f>
        <v>122</v>
      </c>
      <c r="AF26" s="112">
        <f t="shared" ref="AF26" si="167">AB26</f>
        <v>486</v>
      </c>
      <c r="AI26" s="13">
        <v>3023999.9999997905</v>
      </c>
      <c r="AJ26">
        <v>122</v>
      </c>
      <c r="AK26" s="112">
        <v>486</v>
      </c>
      <c r="AL26">
        <v>96</v>
      </c>
      <c r="AN26" s="127">
        <v>45228.9375</v>
      </c>
      <c r="AO26">
        <v>1</v>
      </c>
      <c r="AP26" s="13">
        <f t="shared" si="13"/>
        <v>379800.0000001397</v>
      </c>
      <c r="AQ26">
        <f t="shared" si="3"/>
        <v>96</v>
      </c>
      <c r="AR26" s="13">
        <f t="shared" si="4"/>
        <v>379800.0000001397</v>
      </c>
      <c r="AS26" s="112">
        <f t="shared" si="5"/>
        <v>96</v>
      </c>
    </row>
    <row r="27" spans="1:45" x14ac:dyDescent="0.25">
      <c r="B27" s="13">
        <f t="shared" ref="B27" si="168">A26+300</f>
        <v>3024299.9999997905</v>
      </c>
      <c r="C27" s="13">
        <f t="shared" ref="C27" si="169">B27</f>
        <v>3024299.9999997905</v>
      </c>
      <c r="F27" s="44">
        <v>1E-10</v>
      </c>
      <c r="G27" s="44">
        <v>1E-10</v>
      </c>
      <c r="H27" s="44">
        <f t="shared" ref="H27" si="170">F27</f>
        <v>1E-10</v>
      </c>
      <c r="I27" s="124">
        <f t="shared" ref="I27" si="171">G27</f>
        <v>1E-10</v>
      </c>
      <c r="L27" s="13">
        <v>3024299.9999997905</v>
      </c>
      <c r="M27" s="44">
        <v>1E-10</v>
      </c>
      <c r="N27" s="44">
        <v>1E-10</v>
      </c>
      <c r="O27">
        <v>96</v>
      </c>
      <c r="Q27" s="127">
        <v>45229.041666666657</v>
      </c>
      <c r="R27">
        <v>1</v>
      </c>
      <c r="S27" s="13">
        <f t="shared" si="9"/>
        <v>388800.0000001397</v>
      </c>
      <c r="T27">
        <f t="shared" si="0"/>
        <v>96</v>
      </c>
      <c r="U27" s="13">
        <f t="shared" si="1"/>
        <v>388800.0000001397</v>
      </c>
      <c r="V27" s="112">
        <f t="shared" si="2"/>
        <v>96</v>
      </c>
      <c r="X27" s="74"/>
      <c r="Y27" s="13">
        <f t="shared" ref="Y27" si="172">X26+300</f>
        <v>3024299.9999997905</v>
      </c>
      <c r="Z27" s="13">
        <f t="shared" ref="Z27" si="173">Y27</f>
        <v>3024299.9999997905</v>
      </c>
      <c r="AC27" s="44">
        <v>1E-10</v>
      </c>
      <c r="AD27" s="44">
        <v>1E-10</v>
      </c>
      <c r="AE27" s="44">
        <f t="shared" ref="AE27" si="174">AC27</f>
        <v>1E-10</v>
      </c>
      <c r="AF27" s="124">
        <f t="shared" ref="AF27" si="175">AD27</f>
        <v>1E-10</v>
      </c>
      <c r="AI27" s="13">
        <v>3024299.9999997905</v>
      </c>
      <c r="AJ27" s="44">
        <v>1E-10</v>
      </c>
      <c r="AK27" s="124">
        <v>1E-10</v>
      </c>
      <c r="AL27">
        <v>96</v>
      </c>
      <c r="AN27" s="127">
        <v>45229.041666666657</v>
      </c>
      <c r="AO27">
        <v>1</v>
      </c>
      <c r="AP27" s="13">
        <f t="shared" si="13"/>
        <v>388800.0000001397</v>
      </c>
      <c r="AQ27">
        <f t="shared" si="3"/>
        <v>96</v>
      </c>
      <c r="AR27" s="13">
        <f t="shared" si="4"/>
        <v>388800.0000001397</v>
      </c>
      <c r="AS27" s="112">
        <f t="shared" si="5"/>
        <v>96</v>
      </c>
    </row>
    <row r="28" spans="1:45" x14ac:dyDescent="0.25">
      <c r="A28" s="74">
        <v>3199200.0000000698</v>
      </c>
      <c r="C28" s="13">
        <f t="shared" ref="C28" si="176">A28</f>
        <v>3199200.0000000698</v>
      </c>
      <c r="D28">
        <v>91.5</v>
      </c>
      <c r="E28">
        <v>365</v>
      </c>
      <c r="H28">
        <f t="shared" ref="H28" si="177">D28</f>
        <v>91.5</v>
      </c>
      <c r="I28" s="112">
        <f t="shared" ref="I28" si="178">E28</f>
        <v>365</v>
      </c>
      <c r="L28" s="13">
        <v>3199200.0000000698</v>
      </c>
      <c r="M28">
        <v>91.5</v>
      </c>
      <c r="N28">
        <v>365</v>
      </c>
      <c r="O28">
        <v>96</v>
      </c>
      <c r="Q28" s="127">
        <v>45229.145833333343</v>
      </c>
      <c r="R28">
        <v>1</v>
      </c>
      <c r="S28" s="13">
        <f t="shared" si="9"/>
        <v>397800.0000001397</v>
      </c>
      <c r="T28">
        <f t="shared" si="0"/>
        <v>96</v>
      </c>
      <c r="U28" s="13">
        <f t="shared" si="1"/>
        <v>397800.0000001397</v>
      </c>
      <c r="V28" s="112">
        <f t="shared" si="2"/>
        <v>96</v>
      </c>
      <c r="X28" s="74">
        <v>3199200.0000000698</v>
      </c>
      <c r="Y28" s="13"/>
      <c r="Z28" s="13">
        <f t="shared" ref="Z28" si="179">X28</f>
        <v>3199200.0000000698</v>
      </c>
      <c r="AA28">
        <v>91.5</v>
      </c>
      <c r="AB28">
        <v>365</v>
      </c>
      <c r="AE28">
        <f t="shared" ref="AE28" si="180">AA28</f>
        <v>91.5</v>
      </c>
      <c r="AF28" s="112">
        <f t="shared" ref="AF28" si="181">AB28</f>
        <v>365</v>
      </c>
      <c r="AI28" s="13">
        <v>3199200.0000000698</v>
      </c>
      <c r="AJ28">
        <v>91.5</v>
      </c>
      <c r="AK28" s="112">
        <v>365</v>
      </c>
      <c r="AL28">
        <v>96</v>
      </c>
      <c r="AN28" s="127">
        <v>45229.145833333343</v>
      </c>
      <c r="AO28">
        <v>1</v>
      </c>
      <c r="AP28" s="13">
        <f t="shared" si="13"/>
        <v>397800.0000001397</v>
      </c>
      <c r="AQ28">
        <f t="shared" si="3"/>
        <v>96</v>
      </c>
      <c r="AR28" s="13">
        <f t="shared" si="4"/>
        <v>397800.0000001397</v>
      </c>
      <c r="AS28" s="112">
        <f t="shared" si="5"/>
        <v>96</v>
      </c>
    </row>
    <row r="29" spans="1:45" x14ac:dyDescent="0.25">
      <c r="B29" s="13">
        <f t="shared" ref="B29" si="182">A28+300</f>
        <v>3199500.0000000698</v>
      </c>
      <c r="C29" s="13">
        <f t="shared" ref="C29" si="183">B29</f>
        <v>3199500.0000000698</v>
      </c>
      <c r="F29" s="44">
        <v>1E-10</v>
      </c>
      <c r="G29" s="44">
        <v>1E-10</v>
      </c>
      <c r="H29" s="44">
        <f t="shared" ref="H29" si="184">F29</f>
        <v>1E-10</v>
      </c>
      <c r="I29" s="124">
        <f t="shared" ref="I29" si="185">G29</f>
        <v>1E-10</v>
      </c>
      <c r="L29" s="13">
        <v>3199500.0000000698</v>
      </c>
      <c r="M29" s="44">
        <v>1E-10</v>
      </c>
      <c r="N29" s="44">
        <v>1E-10</v>
      </c>
      <c r="O29">
        <v>96</v>
      </c>
      <c r="Q29" s="127">
        <v>45229.25</v>
      </c>
      <c r="R29">
        <v>1</v>
      </c>
      <c r="S29" s="13">
        <f t="shared" si="9"/>
        <v>406800.0000001397</v>
      </c>
      <c r="T29">
        <f t="shared" si="0"/>
        <v>96</v>
      </c>
      <c r="U29" s="13">
        <f t="shared" si="1"/>
        <v>406800.0000001397</v>
      </c>
      <c r="V29" s="112">
        <f t="shared" si="2"/>
        <v>96</v>
      </c>
      <c r="X29" s="74"/>
      <c r="Y29" s="13">
        <f t="shared" ref="Y29" si="186">X28+300</f>
        <v>3199500.0000000698</v>
      </c>
      <c r="Z29" s="13">
        <f t="shared" ref="Z29" si="187">Y29</f>
        <v>3199500.0000000698</v>
      </c>
      <c r="AC29" s="44">
        <v>1E-10</v>
      </c>
      <c r="AD29" s="44">
        <v>1E-10</v>
      </c>
      <c r="AE29" s="44">
        <f t="shared" ref="AE29" si="188">AC29</f>
        <v>1E-10</v>
      </c>
      <c r="AF29" s="124">
        <f t="shared" ref="AF29" si="189">AD29</f>
        <v>1E-10</v>
      </c>
      <c r="AI29" s="13">
        <v>3199500.0000000698</v>
      </c>
      <c r="AJ29" s="44">
        <v>1E-10</v>
      </c>
      <c r="AK29" s="124">
        <v>1E-10</v>
      </c>
      <c r="AL29">
        <v>96</v>
      </c>
      <c r="AN29" s="127">
        <v>45229.25</v>
      </c>
      <c r="AO29">
        <v>1</v>
      </c>
      <c r="AP29" s="13">
        <f t="shared" si="13"/>
        <v>406800.0000001397</v>
      </c>
      <c r="AQ29">
        <f t="shared" si="3"/>
        <v>96</v>
      </c>
      <c r="AR29" s="13">
        <f t="shared" si="4"/>
        <v>406800.0000001397</v>
      </c>
      <c r="AS29" s="112">
        <f t="shared" si="5"/>
        <v>96</v>
      </c>
    </row>
    <row r="30" spans="1:45" x14ac:dyDescent="0.25">
      <c r="A30" s="74">
        <v>3466799.9999997905</v>
      </c>
      <c r="C30" s="13">
        <f t="shared" ref="C30" si="190">A30</f>
        <v>3466799.9999997905</v>
      </c>
      <c r="D30">
        <v>61</v>
      </c>
      <c r="E30">
        <v>243</v>
      </c>
      <c r="H30">
        <f t="shared" ref="H30" si="191">D30</f>
        <v>61</v>
      </c>
      <c r="I30" s="112">
        <f t="shared" ref="I30" si="192">E30</f>
        <v>243</v>
      </c>
      <c r="L30" s="13">
        <v>3466799.9999997905</v>
      </c>
      <c r="M30">
        <v>61</v>
      </c>
      <c r="N30">
        <v>243</v>
      </c>
      <c r="O30">
        <v>96</v>
      </c>
      <c r="Q30" s="127">
        <v>45229.354166666657</v>
      </c>
      <c r="R30">
        <v>1</v>
      </c>
      <c r="S30" s="13">
        <f t="shared" si="9"/>
        <v>415800.0000001397</v>
      </c>
      <c r="T30">
        <f t="shared" si="0"/>
        <v>96</v>
      </c>
      <c r="U30" s="13">
        <f t="shared" si="1"/>
        <v>415800.0000001397</v>
      </c>
      <c r="V30" s="112">
        <f t="shared" si="2"/>
        <v>96</v>
      </c>
      <c r="X30" s="74">
        <v>3466799.9999997905</v>
      </c>
      <c r="Y30" s="13"/>
      <c r="Z30" s="13">
        <f t="shared" ref="Z30" si="193">X30</f>
        <v>3466799.9999997905</v>
      </c>
      <c r="AA30">
        <v>61</v>
      </c>
      <c r="AB30">
        <v>243</v>
      </c>
      <c r="AE30">
        <f t="shared" ref="AE30" si="194">AA30</f>
        <v>61</v>
      </c>
      <c r="AF30" s="112">
        <f t="shared" ref="AF30" si="195">AB30</f>
        <v>243</v>
      </c>
      <c r="AI30" s="13">
        <v>3466799.9999997905</v>
      </c>
      <c r="AJ30">
        <v>61</v>
      </c>
      <c r="AK30" s="112">
        <v>243</v>
      </c>
      <c r="AL30">
        <v>96</v>
      </c>
      <c r="AN30" s="127">
        <v>45229.354166666657</v>
      </c>
      <c r="AO30">
        <v>1</v>
      </c>
      <c r="AP30" s="13">
        <f t="shared" si="13"/>
        <v>415800.0000001397</v>
      </c>
      <c r="AQ30">
        <f t="shared" si="3"/>
        <v>96</v>
      </c>
      <c r="AR30" s="13">
        <f t="shared" si="4"/>
        <v>415800.0000001397</v>
      </c>
      <c r="AS30" s="112">
        <f t="shared" si="5"/>
        <v>96</v>
      </c>
    </row>
    <row r="31" spans="1:45" x14ac:dyDescent="0.25">
      <c r="B31" s="13">
        <f>A30+300</f>
        <v>3467099.9999997905</v>
      </c>
      <c r="C31" s="13">
        <f t="shared" ref="C31" si="196">B31</f>
        <v>3467099.9999997905</v>
      </c>
      <c r="F31" s="44">
        <v>1E-10</v>
      </c>
      <c r="G31" s="44">
        <v>1E-10</v>
      </c>
      <c r="H31" s="44">
        <f t="shared" ref="H31" si="197">F31</f>
        <v>1E-10</v>
      </c>
      <c r="I31" s="124">
        <f t="shared" ref="I31" si="198">G31</f>
        <v>1E-10</v>
      </c>
      <c r="L31" s="13">
        <v>3467099.9999997905</v>
      </c>
      <c r="M31" s="44">
        <v>1E-10</v>
      </c>
      <c r="N31" s="44">
        <v>1E-10</v>
      </c>
      <c r="O31">
        <v>96</v>
      </c>
      <c r="Q31" s="127">
        <v>45229.458333333343</v>
      </c>
      <c r="R31">
        <v>74</v>
      </c>
      <c r="S31" s="13">
        <f t="shared" si="9"/>
        <v>424800.0000001397</v>
      </c>
      <c r="T31">
        <v>0</v>
      </c>
      <c r="U31" s="13">
        <f t="shared" si="1"/>
        <v>424800.0000001397</v>
      </c>
      <c r="V31" s="112">
        <f t="shared" si="2"/>
        <v>1E-10</v>
      </c>
      <c r="X31" s="74"/>
      <c r="Y31" s="13">
        <f>X30+300</f>
        <v>3467099.9999997905</v>
      </c>
      <c r="Z31" s="13">
        <f t="shared" ref="Z31" si="199">Y31</f>
        <v>3467099.9999997905</v>
      </c>
      <c r="AC31" s="44">
        <v>1E-10</v>
      </c>
      <c r="AD31" s="44">
        <v>1E-10</v>
      </c>
      <c r="AE31" s="44">
        <f t="shared" ref="AE31" si="200">AC31</f>
        <v>1E-10</v>
      </c>
      <c r="AF31" s="124">
        <f t="shared" ref="AF31" si="201">AD31</f>
        <v>1E-10</v>
      </c>
      <c r="AI31" s="13">
        <v>3467099.9999997905</v>
      </c>
      <c r="AJ31" s="44">
        <v>1E-10</v>
      </c>
      <c r="AK31" s="124">
        <v>1E-10</v>
      </c>
      <c r="AL31">
        <v>96</v>
      </c>
      <c r="AN31" s="127">
        <v>45229.458333333343</v>
      </c>
      <c r="AO31">
        <v>75</v>
      </c>
      <c r="AP31" s="13">
        <f t="shared" si="13"/>
        <v>424800.0000001397</v>
      </c>
      <c r="AQ31">
        <v>0</v>
      </c>
      <c r="AR31" s="13">
        <f t="shared" si="4"/>
        <v>424800.0000001397</v>
      </c>
      <c r="AS31" s="112">
        <f t="shared" si="5"/>
        <v>1E-10</v>
      </c>
    </row>
    <row r="32" spans="1:45" x14ac:dyDescent="0.25">
      <c r="A32" s="74">
        <v>3627000.0000002095</v>
      </c>
      <c r="C32" s="13">
        <f t="shared" ref="C32" si="202">A32</f>
        <v>3627000.0000002095</v>
      </c>
      <c r="D32">
        <v>122</v>
      </c>
      <c r="E32">
        <v>486</v>
      </c>
      <c r="H32">
        <f t="shared" ref="H32" si="203">D32</f>
        <v>122</v>
      </c>
      <c r="I32" s="112">
        <f t="shared" ref="I32" si="204">E32</f>
        <v>486</v>
      </c>
      <c r="L32" s="13">
        <v>3627000.0000002095</v>
      </c>
      <c r="M32">
        <v>122</v>
      </c>
      <c r="N32">
        <v>486</v>
      </c>
      <c r="O32">
        <v>96</v>
      </c>
      <c r="Q32" s="127">
        <v>45229.5625</v>
      </c>
      <c r="R32">
        <v>0</v>
      </c>
      <c r="S32" s="13">
        <f t="shared" si="9"/>
        <v>433800.0000001397</v>
      </c>
      <c r="T32">
        <f t="shared" si="0"/>
        <v>0</v>
      </c>
      <c r="U32" s="13">
        <f t="shared" si="1"/>
        <v>433800.0000001397</v>
      </c>
      <c r="V32" s="112">
        <f t="shared" si="2"/>
        <v>1E-10</v>
      </c>
      <c r="X32" s="74">
        <v>3627000.0000002095</v>
      </c>
      <c r="Y32" s="13"/>
      <c r="Z32" s="13">
        <f t="shared" ref="Z32" si="205">X32</f>
        <v>3627000.0000002095</v>
      </c>
      <c r="AA32">
        <v>122</v>
      </c>
      <c r="AB32">
        <v>486</v>
      </c>
      <c r="AE32">
        <f t="shared" ref="AE32" si="206">AA32</f>
        <v>122</v>
      </c>
      <c r="AF32" s="112">
        <f t="shared" ref="AF32" si="207">AB32</f>
        <v>486</v>
      </c>
      <c r="AI32" s="13">
        <v>3627000.0000002095</v>
      </c>
      <c r="AJ32">
        <v>122</v>
      </c>
      <c r="AK32" s="112">
        <v>486</v>
      </c>
      <c r="AL32">
        <v>96</v>
      </c>
      <c r="AN32" s="127">
        <v>45229.5625</v>
      </c>
      <c r="AO32">
        <v>0</v>
      </c>
      <c r="AP32" s="13">
        <f t="shared" si="13"/>
        <v>433800.0000001397</v>
      </c>
      <c r="AQ32">
        <f t="shared" ref="AQ32:AQ33" si="208">AO32*96</f>
        <v>0</v>
      </c>
      <c r="AR32" s="13">
        <f t="shared" si="4"/>
        <v>433800.0000001397</v>
      </c>
      <c r="AS32" s="112">
        <f t="shared" si="5"/>
        <v>1E-10</v>
      </c>
    </row>
    <row r="33" spans="1:45" x14ac:dyDescent="0.25">
      <c r="B33" s="13">
        <f t="shared" ref="B33" si="209">A32+300</f>
        <v>3627300.0000002095</v>
      </c>
      <c r="C33" s="13">
        <f t="shared" ref="C33" si="210">B33</f>
        <v>3627300.0000002095</v>
      </c>
      <c r="F33" s="44">
        <v>1E-10</v>
      </c>
      <c r="G33" s="44">
        <v>1E-10</v>
      </c>
      <c r="H33" s="44">
        <f t="shared" ref="H33" si="211">F33</f>
        <v>1E-10</v>
      </c>
      <c r="I33" s="124">
        <f t="shared" ref="I33" si="212">G33</f>
        <v>1E-10</v>
      </c>
      <c r="L33" s="13">
        <v>3627300.0000002095</v>
      </c>
      <c r="M33" s="44">
        <v>1E-10</v>
      </c>
      <c r="N33" s="44">
        <v>1E-10</v>
      </c>
      <c r="O33">
        <v>96</v>
      </c>
      <c r="Q33" s="127">
        <v>45229.666666666657</v>
      </c>
      <c r="R33">
        <v>0</v>
      </c>
      <c r="S33" s="13">
        <f t="shared" si="9"/>
        <v>442800.0000001397</v>
      </c>
      <c r="T33">
        <f t="shared" si="0"/>
        <v>0</v>
      </c>
      <c r="U33" s="13">
        <f t="shared" si="1"/>
        <v>442800.0000001397</v>
      </c>
      <c r="V33" s="112">
        <f t="shared" si="2"/>
        <v>1E-10</v>
      </c>
      <c r="X33" s="74"/>
      <c r="Y33" s="13">
        <f t="shared" ref="Y33" si="213">X32+300</f>
        <v>3627300.0000002095</v>
      </c>
      <c r="Z33" s="13">
        <f t="shared" ref="Z33" si="214">Y33</f>
        <v>3627300.0000002095</v>
      </c>
      <c r="AC33" s="44">
        <v>1E-10</v>
      </c>
      <c r="AD33" s="44">
        <v>1E-10</v>
      </c>
      <c r="AE33" s="44">
        <f t="shared" ref="AE33" si="215">AC33</f>
        <v>1E-10</v>
      </c>
      <c r="AF33" s="124">
        <f t="shared" ref="AF33" si="216">AD33</f>
        <v>1E-10</v>
      </c>
      <c r="AI33" s="13">
        <v>3627300.0000002095</v>
      </c>
      <c r="AJ33" s="44">
        <v>1E-10</v>
      </c>
      <c r="AK33" s="124">
        <v>1E-10</v>
      </c>
      <c r="AL33">
        <v>96</v>
      </c>
      <c r="AN33" s="127">
        <v>45229.666666666657</v>
      </c>
      <c r="AO33">
        <v>0</v>
      </c>
      <c r="AP33" s="13">
        <f t="shared" si="13"/>
        <v>442800.0000001397</v>
      </c>
      <c r="AQ33">
        <f t="shared" si="208"/>
        <v>0</v>
      </c>
      <c r="AR33" s="13">
        <f t="shared" si="4"/>
        <v>442800.0000001397</v>
      </c>
      <c r="AS33" s="112">
        <f t="shared" si="5"/>
        <v>1E-10</v>
      </c>
    </row>
    <row r="34" spans="1:45" x14ac:dyDescent="0.25">
      <c r="A34" s="74">
        <v>4055700.0000001397</v>
      </c>
      <c r="C34" s="13">
        <f t="shared" ref="C34" si="217">A34</f>
        <v>4055700.0000001397</v>
      </c>
      <c r="D34">
        <v>122</v>
      </c>
      <c r="E34">
        <v>0</v>
      </c>
      <c r="H34">
        <f t="shared" ref="H34" si="218">D34</f>
        <v>122</v>
      </c>
      <c r="I34" s="112">
        <f t="shared" ref="I34" si="219">E34</f>
        <v>0</v>
      </c>
      <c r="L34" s="13">
        <v>4055700.0000001397</v>
      </c>
      <c r="M34">
        <v>122</v>
      </c>
      <c r="N34">
        <v>0</v>
      </c>
      <c r="O34">
        <v>96</v>
      </c>
      <c r="Q34" s="127">
        <v>45229.770833333343</v>
      </c>
      <c r="R34">
        <v>0</v>
      </c>
      <c r="S34" s="13">
        <f t="shared" si="9"/>
        <v>451800.0000001397</v>
      </c>
      <c r="T34">
        <f t="shared" si="0"/>
        <v>0</v>
      </c>
      <c r="U34" s="13">
        <f t="shared" si="1"/>
        <v>451800.0000001397</v>
      </c>
      <c r="V34" s="112">
        <f t="shared" si="2"/>
        <v>1E-10</v>
      </c>
      <c r="X34" s="74">
        <v>4055700.0000001397</v>
      </c>
      <c r="Y34" s="13"/>
      <c r="Z34" s="13">
        <f t="shared" ref="Z34" si="220">X34</f>
        <v>4055700.0000001397</v>
      </c>
      <c r="AA34">
        <v>0</v>
      </c>
      <c r="AB34">
        <v>0</v>
      </c>
      <c r="AE34">
        <f t="shared" ref="AE34" si="221">AA34</f>
        <v>0</v>
      </c>
      <c r="AF34" s="112">
        <f t="shared" ref="AF34" si="222">AB34</f>
        <v>0</v>
      </c>
      <c r="AI34" s="13">
        <v>4055700.0000001397</v>
      </c>
      <c r="AJ34">
        <v>0</v>
      </c>
      <c r="AK34" s="112">
        <v>0</v>
      </c>
      <c r="AL34">
        <v>96</v>
      </c>
      <c r="AN34" s="127">
        <v>45229.770833333343</v>
      </c>
      <c r="AO34">
        <v>0</v>
      </c>
      <c r="AP34" s="13">
        <f t="shared" si="13"/>
        <v>451800.0000001397</v>
      </c>
      <c r="AQ34">
        <f>AO34*96</f>
        <v>0</v>
      </c>
      <c r="AR34" s="13">
        <f>AP34</f>
        <v>451800.0000001397</v>
      </c>
      <c r="AS34" s="112">
        <f>IF(AQ34=0,0.0000000001,AQ34)</f>
        <v>1E-10</v>
      </c>
    </row>
    <row r="35" spans="1:45" x14ac:dyDescent="0.25">
      <c r="B35" s="13">
        <f t="shared" ref="B35" si="223">A34+300</f>
        <v>4056000.0000001397</v>
      </c>
      <c r="C35" s="13">
        <f t="shared" ref="C35" si="224">B35</f>
        <v>4056000.0000001397</v>
      </c>
      <c r="F35" s="44">
        <v>1E-10</v>
      </c>
      <c r="G35" s="44">
        <v>1E-10</v>
      </c>
      <c r="H35" s="44">
        <f t="shared" ref="H35" si="225">F35</f>
        <v>1E-10</v>
      </c>
      <c r="I35" s="124">
        <f t="shared" ref="I35" si="226">G35</f>
        <v>1E-10</v>
      </c>
      <c r="L35" s="13">
        <v>4056000.0000001397</v>
      </c>
      <c r="M35" s="44">
        <v>1E-10</v>
      </c>
      <c r="N35" s="44">
        <v>1E-10</v>
      </c>
      <c r="O35">
        <v>96</v>
      </c>
      <c r="Q35" s="127">
        <v>45229.875</v>
      </c>
      <c r="R35">
        <v>0</v>
      </c>
      <c r="S35" s="13">
        <f t="shared" si="9"/>
        <v>460800.0000001397</v>
      </c>
      <c r="T35">
        <f t="shared" si="0"/>
        <v>0</v>
      </c>
      <c r="U35" s="13">
        <f t="shared" si="1"/>
        <v>460800.0000001397</v>
      </c>
      <c r="V35" s="112">
        <f t="shared" si="2"/>
        <v>1E-10</v>
      </c>
      <c r="X35" s="74"/>
      <c r="Y35" s="13">
        <f t="shared" ref="Y35" si="227">X34+300</f>
        <v>4056000.0000001397</v>
      </c>
      <c r="Z35" s="13">
        <f t="shared" ref="Z35" si="228">Y35</f>
        <v>4056000.0000001397</v>
      </c>
      <c r="AC35" s="44">
        <v>1E-10</v>
      </c>
      <c r="AD35" s="44">
        <v>1E-10</v>
      </c>
      <c r="AE35" s="44">
        <f t="shared" ref="AE35" si="229">AC35</f>
        <v>1E-10</v>
      </c>
      <c r="AF35" s="124">
        <f t="shared" ref="AF35" si="230">AD35</f>
        <v>1E-10</v>
      </c>
      <c r="AI35" s="13">
        <v>4056000.0000001397</v>
      </c>
      <c r="AJ35" s="44">
        <v>1E-10</v>
      </c>
      <c r="AK35" s="124">
        <v>1E-10</v>
      </c>
      <c r="AN35" s="127">
        <v>45229.875</v>
      </c>
      <c r="AO35">
        <v>0</v>
      </c>
      <c r="AP35" s="13">
        <f t="shared" si="13"/>
        <v>460800.0000001397</v>
      </c>
      <c r="AQ35">
        <f t="shared" ref="AQ35:AQ98" si="231">AO35*96</f>
        <v>0</v>
      </c>
      <c r="AR35" s="13">
        <f t="shared" ref="AR35:AR98" si="232">AP35</f>
        <v>460800.0000001397</v>
      </c>
      <c r="AS35" s="112">
        <f t="shared" ref="AS35:AS98" si="233">IF(AQ35=0,0.0000000001,AQ35)</f>
        <v>1E-10</v>
      </c>
    </row>
    <row r="36" spans="1:45" x14ac:dyDescent="0.25">
      <c r="A36" s="74">
        <v>4056599.9999999302</v>
      </c>
      <c r="C36" s="13">
        <f t="shared" ref="C36" si="234">A36</f>
        <v>4056599.9999999302</v>
      </c>
      <c r="D36">
        <v>0</v>
      </c>
      <c r="E36">
        <v>486</v>
      </c>
      <c r="H36">
        <f t="shared" ref="H36" si="235">D36</f>
        <v>0</v>
      </c>
      <c r="I36" s="112">
        <f t="shared" ref="I36" si="236">E36</f>
        <v>486</v>
      </c>
      <c r="L36" s="13">
        <v>4056599.9999999302</v>
      </c>
      <c r="M36">
        <v>0</v>
      </c>
      <c r="N36">
        <v>486</v>
      </c>
      <c r="O36">
        <v>96</v>
      </c>
      <c r="Q36" s="127">
        <v>45229.979166666657</v>
      </c>
      <c r="R36">
        <v>0</v>
      </c>
      <c r="S36" s="13">
        <f t="shared" si="9"/>
        <v>469800.0000001397</v>
      </c>
      <c r="T36">
        <f t="shared" si="0"/>
        <v>0</v>
      </c>
      <c r="U36" s="13">
        <f t="shared" si="1"/>
        <v>469800.0000001397</v>
      </c>
      <c r="V36" s="112">
        <f t="shared" si="2"/>
        <v>1E-10</v>
      </c>
      <c r="X36" s="74">
        <v>4056599.9999999302</v>
      </c>
      <c r="Y36" s="13"/>
      <c r="Z36" s="13">
        <f t="shared" ref="Z36" si="237">X36</f>
        <v>4056599.9999999302</v>
      </c>
      <c r="AA36" s="31">
        <v>0</v>
      </c>
      <c r="AB36" s="31">
        <v>486</v>
      </c>
      <c r="AE36">
        <f t="shared" ref="AE36" si="238">AA36</f>
        <v>0</v>
      </c>
      <c r="AF36" s="112">
        <f t="shared" ref="AF36" si="239">AB36</f>
        <v>486</v>
      </c>
      <c r="AI36" s="13">
        <v>4056599.9999999302</v>
      </c>
      <c r="AJ36">
        <v>0</v>
      </c>
      <c r="AK36" s="112">
        <v>486</v>
      </c>
      <c r="AN36" s="127">
        <v>45229.979166666657</v>
      </c>
      <c r="AO36">
        <v>0</v>
      </c>
      <c r="AP36" s="13">
        <f t="shared" si="13"/>
        <v>469800.0000001397</v>
      </c>
      <c r="AQ36">
        <f t="shared" si="231"/>
        <v>0</v>
      </c>
      <c r="AR36" s="13">
        <f t="shared" si="232"/>
        <v>469800.0000001397</v>
      </c>
      <c r="AS36" s="112">
        <f t="shared" si="233"/>
        <v>1E-10</v>
      </c>
    </row>
    <row r="37" spans="1:45" x14ac:dyDescent="0.25">
      <c r="B37" s="13">
        <f t="shared" ref="B37" si="240">A36+300</f>
        <v>4056899.9999999302</v>
      </c>
      <c r="C37" s="13">
        <f t="shared" ref="C37" si="241">B37</f>
        <v>4056899.9999999302</v>
      </c>
      <c r="F37" s="44">
        <v>1E-10</v>
      </c>
      <c r="G37" s="44">
        <v>1E-10</v>
      </c>
      <c r="H37" s="44">
        <f t="shared" ref="H37" si="242">F37</f>
        <v>1E-10</v>
      </c>
      <c r="I37" s="124">
        <f t="shared" ref="I37" si="243">G37</f>
        <v>1E-10</v>
      </c>
      <c r="L37" s="13">
        <v>4056899.9999999302</v>
      </c>
      <c r="M37" s="44">
        <v>1E-10</v>
      </c>
      <c r="N37" s="44">
        <v>1E-10</v>
      </c>
      <c r="O37">
        <v>96</v>
      </c>
      <c r="Q37" s="127">
        <v>45230.083333333343</v>
      </c>
      <c r="R37">
        <v>0</v>
      </c>
      <c r="S37" s="13">
        <f t="shared" si="9"/>
        <v>478800.0000001397</v>
      </c>
      <c r="T37">
        <f t="shared" si="0"/>
        <v>0</v>
      </c>
      <c r="U37" s="13">
        <f t="shared" si="1"/>
        <v>478800.0000001397</v>
      </c>
      <c r="V37" s="112">
        <f t="shared" si="2"/>
        <v>1E-10</v>
      </c>
      <c r="X37" s="74"/>
      <c r="Y37" s="13">
        <f t="shared" ref="Y37" si="244">X36+300</f>
        <v>4056899.9999999302</v>
      </c>
      <c r="Z37" s="13">
        <f t="shared" ref="Z37" si="245">Y37</f>
        <v>4056899.9999999302</v>
      </c>
      <c r="AC37" s="44">
        <v>1E-10</v>
      </c>
      <c r="AD37" s="44">
        <v>1E-10</v>
      </c>
      <c r="AE37" s="44">
        <f t="shared" ref="AE37" si="246">AC37</f>
        <v>1E-10</v>
      </c>
      <c r="AF37" s="124">
        <f t="shared" ref="AF37" si="247">AD37</f>
        <v>1E-10</v>
      </c>
      <c r="AI37" s="13">
        <v>4056899.9999999302</v>
      </c>
      <c r="AJ37" s="44">
        <v>1E-10</v>
      </c>
      <c r="AK37" s="124">
        <v>1E-10</v>
      </c>
      <c r="AN37" s="127">
        <v>45230.083333333343</v>
      </c>
      <c r="AO37">
        <v>0</v>
      </c>
      <c r="AP37" s="13">
        <f t="shared" si="13"/>
        <v>478800.0000001397</v>
      </c>
      <c r="AQ37">
        <f t="shared" si="231"/>
        <v>0</v>
      </c>
      <c r="AR37" s="13">
        <f t="shared" si="232"/>
        <v>478800.0000001397</v>
      </c>
      <c r="AS37" s="112">
        <f t="shared" si="233"/>
        <v>1E-10</v>
      </c>
    </row>
    <row r="38" spans="1:45" x14ac:dyDescent="0.25">
      <c r="A38" s="74">
        <v>4231800.0000002095</v>
      </c>
      <c r="C38" s="13">
        <f t="shared" ref="C38" si="248">A38</f>
        <v>4231800.0000002095</v>
      </c>
      <c r="D38">
        <v>122</v>
      </c>
      <c r="E38">
        <v>486</v>
      </c>
      <c r="H38">
        <f t="shared" ref="H38" si="249">D38</f>
        <v>122</v>
      </c>
      <c r="I38" s="112">
        <f t="shared" ref="I38" si="250">E38</f>
        <v>486</v>
      </c>
      <c r="L38" s="13">
        <v>4231800.0000002095</v>
      </c>
      <c r="M38">
        <v>122</v>
      </c>
      <c r="N38">
        <v>486</v>
      </c>
      <c r="O38">
        <v>96</v>
      </c>
      <c r="Q38" s="127">
        <v>45230.1875</v>
      </c>
      <c r="R38">
        <v>0</v>
      </c>
      <c r="S38" s="13">
        <f t="shared" si="9"/>
        <v>487800.0000001397</v>
      </c>
      <c r="T38">
        <f t="shared" si="0"/>
        <v>0</v>
      </c>
      <c r="U38" s="13">
        <f t="shared" si="1"/>
        <v>487800.0000001397</v>
      </c>
      <c r="V38" s="112">
        <f t="shared" si="2"/>
        <v>1E-10</v>
      </c>
      <c r="X38" s="74">
        <v>4231800.0000002095</v>
      </c>
      <c r="Y38" s="13"/>
      <c r="Z38" s="13">
        <f t="shared" ref="Z38" si="251">X38</f>
        <v>4231800.0000002095</v>
      </c>
      <c r="AA38" s="31">
        <v>122</v>
      </c>
      <c r="AB38" s="31">
        <v>486</v>
      </c>
      <c r="AE38">
        <f t="shared" ref="AE38" si="252">AA38</f>
        <v>122</v>
      </c>
      <c r="AF38" s="112">
        <f t="shared" ref="AF38" si="253">AB38</f>
        <v>486</v>
      </c>
      <c r="AI38" s="13">
        <v>4231800.0000002095</v>
      </c>
      <c r="AJ38">
        <v>122</v>
      </c>
      <c r="AK38" s="112">
        <v>486</v>
      </c>
      <c r="AN38" s="127">
        <v>45230.1875</v>
      </c>
      <c r="AO38">
        <v>0</v>
      </c>
      <c r="AP38" s="13">
        <f t="shared" si="13"/>
        <v>487800.0000001397</v>
      </c>
      <c r="AQ38">
        <f t="shared" si="231"/>
        <v>0</v>
      </c>
      <c r="AR38" s="13">
        <f t="shared" si="232"/>
        <v>487800.0000001397</v>
      </c>
      <c r="AS38" s="112">
        <f t="shared" si="233"/>
        <v>1E-10</v>
      </c>
    </row>
    <row r="39" spans="1:45" x14ac:dyDescent="0.25">
      <c r="B39" s="13">
        <f t="shared" ref="B39" si="254">A38+300</f>
        <v>4232100.0000002095</v>
      </c>
      <c r="C39" s="13">
        <f t="shared" ref="C39" si="255">B39</f>
        <v>4232100.0000002095</v>
      </c>
      <c r="F39" s="44">
        <v>1E-10</v>
      </c>
      <c r="G39" s="44">
        <v>1E-10</v>
      </c>
      <c r="H39" s="44">
        <f t="shared" ref="H39" si="256">F39</f>
        <v>1E-10</v>
      </c>
      <c r="I39" s="124">
        <f t="shared" ref="I39" si="257">G39</f>
        <v>1E-10</v>
      </c>
      <c r="L39" s="13">
        <v>4232100.0000002095</v>
      </c>
      <c r="M39" s="44">
        <v>1E-10</v>
      </c>
      <c r="N39" s="44">
        <v>1E-10</v>
      </c>
      <c r="O39">
        <v>96</v>
      </c>
      <c r="Q39" s="127">
        <v>45230.291666666657</v>
      </c>
      <c r="R39">
        <v>0</v>
      </c>
      <c r="S39" s="13">
        <f t="shared" si="9"/>
        <v>496800.0000001397</v>
      </c>
      <c r="T39">
        <f t="shared" si="0"/>
        <v>0</v>
      </c>
      <c r="U39" s="13">
        <f t="shared" si="1"/>
        <v>496800.0000001397</v>
      </c>
      <c r="V39" s="112">
        <f t="shared" si="2"/>
        <v>1E-10</v>
      </c>
      <c r="X39" s="74"/>
      <c r="Y39" s="13">
        <f t="shared" ref="Y39" si="258">X38+300</f>
        <v>4232100.0000002095</v>
      </c>
      <c r="Z39" s="13">
        <f t="shared" ref="Z39" si="259">Y39</f>
        <v>4232100.0000002095</v>
      </c>
      <c r="AC39" s="44">
        <v>1E-10</v>
      </c>
      <c r="AD39" s="44">
        <v>1E-10</v>
      </c>
      <c r="AE39" s="44">
        <f t="shared" ref="AE39" si="260">AC39</f>
        <v>1E-10</v>
      </c>
      <c r="AF39" s="124">
        <f t="shared" ref="AF39" si="261">AD39</f>
        <v>1E-10</v>
      </c>
      <c r="AI39" s="13">
        <v>4232100.0000002095</v>
      </c>
      <c r="AJ39" s="44">
        <v>1E-10</v>
      </c>
      <c r="AK39" s="124">
        <v>1E-10</v>
      </c>
      <c r="AN39" s="127">
        <v>45230.291666666657</v>
      </c>
      <c r="AO39">
        <v>0</v>
      </c>
      <c r="AP39" s="13">
        <f t="shared" si="13"/>
        <v>496800.0000001397</v>
      </c>
      <c r="AQ39">
        <f t="shared" si="231"/>
        <v>0</v>
      </c>
      <c r="AR39" s="13">
        <f t="shared" si="232"/>
        <v>496800.0000001397</v>
      </c>
      <c r="AS39" s="112">
        <f t="shared" si="233"/>
        <v>1E-10</v>
      </c>
    </row>
    <row r="40" spans="1:45" x14ac:dyDescent="0.25">
      <c r="A40" s="74">
        <v>4406399.9999997905</v>
      </c>
      <c r="C40" s="13">
        <f t="shared" ref="C40" si="262">A40</f>
        <v>4406399.9999997905</v>
      </c>
      <c r="D40">
        <v>183</v>
      </c>
      <c r="E40">
        <v>730</v>
      </c>
      <c r="H40">
        <f t="shared" ref="H40" si="263">D40</f>
        <v>183</v>
      </c>
      <c r="I40" s="112">
        <f t="shared" ref="I40" si="264">E40</f>
        <v>730</v>
      </c>
      <c r="L40" s="13">
        <v>4406399.9999997905</v>
      </c>
      <c r="M40">
        <v>183</v>
      </c>
      <c r="N40">
        <v>730</v>
      </c>
      <c r="O40">
        <v>96</v>
      </c>
      <c r="Q40" s="127">
        <v>45230.395833333343</v>
      </c>
      <c r="R40">
        <v>0</v>
      </c>
      <c r="S40" s="13">
        <f t="shared" si="9"/>
        <v>505800.0000001397</v>
      </c>
      <c r="T40">
        <f t="shared" si="0"/>
        <v>0</v>
      </c>
      <c r="U40" s="13">
        <f t="shared" si="1"/>
        <v>505800.0000001397</v>
      </c>
      <c r="V40" s="112">
        <f t="shared" si="2"/>
        <v>1E-10</v>
      </c>
      <c r="X40" s="74">
        <v>4411799.9999997905</v>
      </c>
      <c r="Y40" s="13"/>
      <c r="Z40" s="13">
        <f t="shared" ref="Z40" si="265">X40</f>
        <v>4411799.9999997905</v>
      </c>
      <c r="AA40" s="31">
        <v>183</v>
      </c>
      <c r="AB40" s="31">
        <v>730</v>
      </c>
      <c r="AE40">
        <f t="shared" ref="AE40" si="266">AA40</f>
        <v>183</v>
      </c>
      <c r="AF40" s="112">
        <f t="shared" ref="AF40" si="267">AB40</f>
        <v>730</v>
      </c>
      <c r="AI40" s="13">
        <v>4411799.9999997905</v>
      </c>
      <c r="AJ40">
        <v>183</v>
      </c>
      <c r="AK40" s="112">
        <v>730</v>
      </c>
      <c r="AN40" s="127">
        <v>45230.395833333343</v>
      </c>
      <c r="AO40">
        <v>0</v>
      </c>
      <c r="AP40" s="13">
        <f t="shared" si="13"/>
        <v>505800.0000001397</v>
      </c>
      <c r="AQ40">
        <f t="shared" si="231"/>
        <v>0</v>
      </c>
      <c r="AR40" s="13">
        <f t="shared" si="232"/>
        <v>505800.0000001397</v>
      </c>
      <c r="AS40" s="112">
        <f t="shared" si="233"/>
        <v>1E-10</v>
      </c>
    </row>
    <row r="41" spans="1:45" x14ac:dyDescent="0.25">
      <c r="B41" s="13">
        <f t="shared" ref="B41" si="268">A40+300</f>
        <v>4406699.9999997905</v>
      </c>
      <c r="C41" s="13">
        <f t="shared" ref="C41" si="269">B41</f>
        <v>4406699.9999997905</v>
      </c>
      <c r="F41" s="44">
        <v>1E-10</v>
      </c>
      <c r="G41" s="44">
        <v>1E-10</v>
      </c>
      <c r="H41" s="44">
        <f t="shared" ref="H41" si="270">F41</f>
        <v>1E-10</v>
      </c>
      <c r="I41" s="124">
        <f t="shared" ref="I41" si="271">G41</f>
        <v>1E-10</v>
      </c>
      <c r="L41" s="13">
        <v>4406699.9999997905</v>
      </c>
      <c r="M41" s="44">
        <v>1E-10</v>
      </c>
      <c r="N41" s="44">
        <v>1E-10</v>
      </c>
      <c r="O41">
        <v>96</v>
      </c>
      <c r="Q41" s="127">
        <v>45230.5</v>
      </c>
      <c r="R41">
        <v>0</v>
      </c>
      <c r="S41" s="13">
        <f t="shared" si="9"/>
        <v>514800.0000001397</v>
      </c>
      <c r="T41">
        <f t="shared" si="0"/>
        <v>0</v>
      </c>
      <c r="U41" s="13">
        <f t="shared" si="1"/>
        <v>514800.0000001397</v>
      </c>
      <c r="V41" s="112">
        <f t="shared" si="2"/>
        <v>1E-10</v>
      </c>
      <c r="X41" s="74"/>
      <c r="Y41" s="13">
        <f t="shared" ref="Y41" si="272">X40+300</f>
        <v>4412099.9999997905</v>
      </c>
      <c r="Z41" s="13">
        <f t="shared" ref="Z41" si="273">Y41</f>
        <v>4412099.9999997905</v>
      </c>
      <c r="AC41" s="44">
        <v>1E-10</v>
      </c>
      <c r="AD41" s="44">
        <v>1E-10</v>
      </c>
      <c r="AE41" s="44">
        <f t="shared" ref="AE41" si="274">AC41</f>
        <v>1E-10</v>
      </c>
      <c r="AF41" s="124">
        <f t="shared" ref="AF41" si="275">AD41</f>
        <v>1E-10</v>
      </c>
      <c r="AI41" s="13">
        <v>4412099.9999997905</v>
      </c>
      <c r="AJ41" s="44">
        <v>1E-10</v>
      </c>
      <c r="AK41" s="124">
        <v>1E-10</v>
      </c>
      <c r="AN41" s="127">
        <v>45230.5</v>
      </c>
      <c r="AO41">
        <v>0</v>
      </c>
      <c r="AP41" s="13">
        <f t="shared" si="13"/>
        <v>514800.0000001397</v>
      </c>
      <c r="AQ41">
        <f t="shared" si="231"/>
        <v>0</v>
      </c>
      <c r="AR41" s="13">
        <f t="shared" si="232"/>
        <v>514800.0000001397</v>
      </c>
      <c r="AS41" s="112">
        <f t="shared" si="233"/>
        <v>1E-10</v>
      </c>
    </row>
    <row r="42" spans="1:45" x14ac:dyDescent="0.25">
      <c r="A42" s="74">
        <v>4662000</v>
      </c>
      <c r="C42" s="13">
        <f t="shared" ref="C42" si="276">A42</f>
        <v>4662000</v>
      </c>
      <c r="D42">
        <v>122</v>
      </c>
      <c r="E42">
        <v>486</v>
      </c>
      <c r="H42">
        <f t="shared" ref="H42" si="277">D42</f>
        <v>122</v>
      </c>
      <c r="I42" s="112">
        <f t="shared" ref="I42" si="278">E42</f>
        <v>486</v>
      </c>
      <c r="L42" s="13">
        <v>4662000</v>
      </c>
      <c r="M42">
        <v>122</v>
      </c>
      <c r="N42">
        <v>486</v>
      </c>
      <c r="O42">
        <v>96</v>
      </c>
      <c r="Q42" s="127">
        <v>45230.604166666657</v>
      </c>
      <c r="R42">
        <v>0</v>
      </c>
      <c r="S42" s="13">
        <f t="shared" si="9"/>
        <v>523800.0000001397</v>
      </c>
      <c r="T42">
        <f t="shared" si="0"/>
        <v>0</v>
      </c>
      <c r="U42" s="13">
        <f t="shared" si="1"/>
        <v>523800.0000001397</v>
      </c>
      <c r="V42" s="112">
        <f t="shared" si="2"/>
        <v>1E-10</v>
      </c>
      <c r="X42" s="74">
        <v>4665599.9999997905</v>
      </c>
      <c r="Y42" s="13"/>
      <c r="Z42" s="13">
        <f t="shared" ref="Z42" si="279">X42</f>
        <v>4665599.9999997905</v>
      </c>
      <c r="AA42" s="31">
        <v>122</v>
      </c>
      <c r="AB42" s="31">
        <v>486</v>
      </c>
      <c r="AE42">
        <f t="shared" ref="AE42" si="280">AA42</f>
        <v>122</v>
      </c>
      <c r="AF42" s="112">
        <f t="shared" ref="AF42" si="281">AB42</f>
        <v>486</v>
      </c>
      <c r="AI42" s="13">
        <v>4665599.9999997905</v>
      </c>
      <c r="AJ42">
        <v>122</v>
      </c>
      <c r="AK42" s="112">
        <v>486</v>
      </c>
      <c r="AN42" s="127">
        <v>45230.604166666657</v>
      </c>
      <c r="AO42">
        <v>0</v>
      </c>
      <c r="AP42" s="13">
        <f t="shared" si="13"/>
        <v>523800.0000001397</v>
      </c>
      <c r="AQ42">
        <f t="shared" si="231"/>
        <v>0</v>
      </c>
      <c r="AR42" s="13">
        <f t="shared" si="232"/>
        <v>523800.0000001397</v>
      </c>
      <c r="AS42" s="112">
        <f t="shared" si="233"/>
        <v>1E-10</v>
      </c>
    </row>
    <row r="43" spans="1:45" x14ac:dyDescent="0.25">
      <c r="B43" s="13">
        <f t="shared" ref="B43" si="282">A42+300</f>
        <v>4662300</v>
      </c>
      <c r="C43" s="13">
        <f t="shared" ref="C43" si="283">B43</f>
        <v>4662300</v>
      </c>
      <c r="F43" s="44">
        <v>1E-10</v>
      </c>
      <c r="G43" s="44">
        <v>1E-10</v>
      </c>
      <c r="H43" s="44">
        <f t="shared" ref="H43" si="284">F43</f>
        <v>1E-10</v>
      </c>
      <c r="I43" s="124">
        <f t="shared" ref="I43" si="285">G43</f>
        <v>1E-10</v>
      </c>
      <c r="L43" s="13">
        <v>4662300</v>
      </c>
      <c r="M43" s="44">
        <v>1E-10</v>
      </c>
      <c r="N43" s="44">
        <v>1E-10</v>
      </c>
      <c r="O43">
        <v>96</v>
      </c>
      <c r="Q43" s="127">
        <v>45230.708333333343</v>
      </c>
      <c r="R43">
        <v>0</v>
      </c>
      <c r="S43" s="13">
        <f t="shared" si="9"/>
        <v>532800.0000001397</v>
      </c>
      <c r="T43">
        <f t="shared" si="0"/>
        <v>0</v>
      </c>
      <c r="U43" s="13">
        <f t="shared" si="1"/>
        <v>532800.0000001397</v>
      </c>
      <c r="V43" s="112">
        <f t="shared" si="2"/>
        <v>1E-10</v>
      </c>
      <c r="X43" s="74"/>
      <c r="Y43" s="13">
        <f t="shared" ref="Y43" si="286">X42+300</f>
        <v>4665899.9999997905</v>
      </c>
      <c r="Z43" s="13">
        <f t="shared" ref="Z43" si="287">Y43</f>
        <v>4665899.9999997905</v>
      </c>
      <c r="AC43" s="44">
        <v>1E-10</v>
      </c>
      <c r="AD43" s="44">
        <v>1E-10</v>
      </c>
      <c r="AE43" s="44">
        <f t="shared" ref="AE43" si="288">AC43</f>
        <v>1E-10</v>
      </c>
      <c r="AF43" s="124">
        <f t="shared" ref="AF43" si="289">AD43</f>
        <v>1E-10</v>
      </c>
      <c r="AI43" s="13">
        <v>4665899.9999997905</v>
      </c>
      <c r="AJ43" s="44">
        <v>1E-10</v>
      </c>
      <c r="AK43" s="124">
        <v>1E-10</v>
      </c>
      <c r="AN43" s="127">
        <v>45230.708333333343</v>
      </c>
      <c r="AO43">
        <v>0</v>
      </c>
      <c r="AP43" s="13">
        <f t="shared" si="13"/>
        <v>532800.0000001397</v>
      </c>
      <c r="AQ43">
        <f t="shared" si="231"/>
        <v>0</v>
      </c>
      <c r="AR43" s="13">
        <f t="shared" si="232"/>
        <v>532800.0000001397</v>
      </c>
      <c r="AS43" s="112">
        <f t="shared" si="233"/>
        <v>1E-10</v>
      </c>
    </row>
    <row r="44" spans="1:45" x14ac:dyDescent="0.25">
      <c r="A44" s="74">
        <v>4832999.9999997905</v>
      </c>
      <c r="C44" s="13">
        <f t="shared" ref="C44" si="290">A44</f>
        <v>4832999.9999997905</v>
      </c>
      <c r="D44">
        <v>122</v>
      </c>
      <c r="E44">
        <v>486</v>
      </c>
      <c r="H44">
        <f t="shared" ref="H44" si="291">D44</f>
        <v>122</v>
      </c>
      <c r="I44" s="112">
        <f t="shared" ref="I44" si="292">E44</f>
        <v>486</v>
      </c>
      <c r="L44" s="13">
        <v>4832999.9999997905</v>
      </c>
      <c r="M44">
        <v>122</v>
      </c>
      <c r="N44">
        <v>486</v>
      </c>
      <c r="O44">
        <v>96</v>
      </c>
      <c r="Q44" s="127">
        <v>45230.8125</v>
      </c>
      <c r="R44">
        <v>0</v>
      </c>
      <c r="S44" s="13">
        <f t="shared" si="9"/>
        <v>541800.0000001397</v>
      </c>
      <c r="T44">
        <f t="shared" si="0"/>
        <v>0</v>
      </c>
      <c r="U44" s="13">
        <f t="shared" si="1"/>
        <v>541800.0000001397</v>
      </c>
      <c r="V44" s="112">
        <f t="shared" si="2"/>
        <v>1E-10</v>
      </c>
      <c r="X44" s="74">
        <v>4838399.9999997905</v>
      </c>
      <c r="Y44" s="13"/>
      <c r="Z44" s="13">
        <f t="shared" ref="Z44" si="293">X44</f>
        <v>4838399.9999997905</v>
      </c>
      <c r="AA44" s="31">
        <v>122</v>
      </c>
      <c r="AB44" s="31">
        <v>486</v>
      </c>
      <c r="AE44">
        <f t="shared" ref="AE44" si="294">AA44</f>
        <v>122</v>
      </c>
      <c r="AF44" s="112">
        <f t="shared" ref="AF44" si="295">AB44</f>
        <v>486</v>
      </c>
      <c r="AI44" s="13">
        <v>4838399.9999997905</v>
      </c>
      <c r="AJ44">
        <v>122</v>
      </c>
      <c r="AK44" s="112">
        <v>486</v>
      </c>
      <c r="AN44" s="127">
        <v>45230.8125</v>
      </c>
      <c r="AO44">
        <v>0</v>
      </c>
      <c r="AP44" s="13">
        <f t="shared" si="13"/>
        <v>541800.0000001397</v>
      </c>
      <c r="AQ44">
        <f t="shared" si="231"/>
        <v>0</v>
      </c>
      <c r="AR44" s="13">
        <f t="shared" si="232"/>
        <v>541800.0000001397</v>
      </c>
      <c r="AS44" s="112">
        <f t="shared" si="233"/>
        <v>1E-10</v>
      </c>
    </row>
    <row r="45" spans="1:45" x14ac:dyDescent="0.25">
      <c r="B45" s="13">
        <f t="shared" ref="B45" si="296">A44+300</f>
        <v>4833299.9999997905</v>
      </c>
      <c r="C45" s="13">
        <f t="shared" ref="C45" si="297">B45</f>
        <v>4833299.9999997905</v>
      </c>
      <c r="F45" s="44">
        <v>1E-10</v>
      </c>
      <c r="G45" s="44">
        <v>1E-10</v>
      </c>
      <c r="H45" s="44">
        <f t="shared" ref="H45" si="298">F45</f>
        <v>1E-10</v>
      </c>
      <c r="I45" s="124">
        <f t="shared" ref="I45" si="299">G45</f>
        <v>1E-10</v>
      </c>
      <c r="L45" s="13">
        <v>4833299.9999997905</v>
      </c>
      <c r="M45" s="44">
        <v>1E-10</v>
      </c>
      <c r="N45" s="44">
        <v>1E-10</v>
      </c>
      <c r="O45">
        <v>96</v>
      </c>
      <c r="Q45" s="127">
        <v>45230.916666666657</v>
      </c>
      <c r="R45">
        <v>0</v>
      </c>
      <c r="S45" s="13">
        <f t="shared" si="9"/>
        <v>550800.0000001397</v>
      </c>
      <c r="T45">
        <f t="shared" si="0"/>
        <v>0</v>
      </c>
      <c r="U45" s="13">
        <f t="shared" si="1"/>
        <v>550800.0000001397</v>
      </c>
      <c r="V45" s="112">
        <f t="shared" si="2"/>
        <v>1E-10</v>
      </c>
      <c r="X45" s="74"/>
      <c r="Y45" s="13">
        <f t="shared" ref="Y45" si="300">X44+300</f>
        <v>4838699.9999997905</v>
      </c>
      <c r="Z45" s="13">
        <f t="shared" ref="Z45" si="301">Y45</f>
        <v>4838699.9999997905</v>
      </c>
      <c r="AC45" s="44">
        <v>1E-10</v>
      </c>
      <c r="AD45" s="44">
        <v>1E-10</v>
      </c>
      <c r="AE45" s="44">
        <f t="shared" ref="AE45" si="302">AC45</f>
        <v>1E-10</v>
      </c>
      <c r="AF45" s="124">
        <f t="shared" ref="AF45" si="303">AD45</f>
        <v>1E-10</v>
      </c>
      <c r="AI45" s="13">
        <v>4838699.9999997905</v>
      </c>
      <c r="AJ45" s="44">
        <v>1E-10</v>
      </c>
      <c r="AK45" s="124">
        <v>1E-10</v>
      </c>
      <c r="AN45" s="127">
        <v>45230.916666666657</v>
      </c>
      <c r="AO45">
        <v>0</v>
      </c>
      <c r="AP45" s="13">
        <f t="shared" si="13"/>
        <v>550800.0000001397</v>
      </c>
      <c r="AQ45">
        <f t="shared" si="231"/>
        <v>0</v>
      </c>
      <c r="AR45" s="13">
        <f t="shared" si="232"/>
        <v>550800.0000001397</v>
      </c>
      <c r="AS45" s="112">
        <f t="shared" si="233"/>
        <v>1E-10</v>
      </c>
    </row>
    <row r="46" spans="1:45" x14ac:dyDescent="0.25">
      <c r="A46" s="74">
        <v>5023800</v>
      </c>
      <c r="C46" s="13">
        <f t="shared" ref="C46" si="304">A46</f>
        <v>5023800</v>
      </c>
      <c r="D46">
        <v>183</v>
      </c>
      <c r="E46">
        <v>730</v>
      </c>
      <c r="H46">
        <f t="shared" ref="H46" si="305">D46</f>
        <v>183</v>
      </c>
      <c r="I46" s="112">
        <f t="shared" ref="I46" si="306">E46</f>
        <v>730</v>
      </c>
      <c r="L46" s="13">
        <v>5023800</v>
      </c>
      <c r="M46">
        <v>183</v>
      </c>
      <c r="N46">
        <v>730</v>
      </c>
      <c r="O46">
        <v>1</v>
      </c>
      <c r="Q46" s="127">
        <v>45231.020833333343</v>
      </c>
      <c r="R46">
        <v>0</v>
      </c>
      <c r="S46" s="13">
        <f t="shared" si="9"/>
        <v>559800.0000001397</v>
      </c>
      <c r="T46">
        <f t="shared" si="0"/>
        <v>0</v>
      </c>
      <c r="U46" s="13">
        <f t="shared" si="1"/>
        <v>559800.0000001397</v>
      </c>
      <c r="V46" s="112">
        <f t="shared" si="2"/>
        <v>1E-10</v>
      </c>
      <c r="X46" s="74">
        <v>5023800</v>
      </c>
      <c r="Y46" s="13"/>
      <c r="Z46" s="13">
        <f t="shared" ref="Z46" si="307">X46</f>
        <v>5023800</v>
      </c>
      <c r="AA46" s="31">
        <v>183</v>
      </c>
      <c r="AB46" s="31">
        <v>730</v>
      </c>
      <c r="AE46">
        <f t="shared" ref="AE46" si="308">AA46</f>
        <v>183</v>
      </c>
      <c r="AF46" s="112">
        <f t="shared" ref="AF46" si="309">AB46</f>
        <v>730</v>
      </c>
      <c r="AI46" s="13">
        <v>5023800</v>
      </c>
      <c r="AJ46">
        <v>183</v>
      </c>
      <c r="AK46" s="112">
        <v>730</v>
      </c>
      <c r="AN46" s="127">
        <v>45231.020833333343</v>
      </c>
      <c r="AO46">
        <v>0</v>
      </c>
      <c r="AP46" s="13">
        <f t="shared" si="13"/>
        <v>559800.0000001397</v>
      </c>
      <c r="AQ46">
        <f t="shared" si="231"/>
        <v>0</v>
      </c>
      <c r="AR46" s="13">
        <f t="shared" si="232"/>
        <v>559800.0000001397</v>
      </c>
      <c r="AS46" s="112">
        <f t="shared" si="233"/>
        <v>1E-10</v>
      </c>
    </row>
    <row r="47" spans="1:45" x14ac:dyDescent="0.25">
      <c r="B47" s="13">
        <f t="shared" ref="B47" si="310">A46+300</f>
        <v>5024100</v>
      </c>
      <c r="C47" s="13">
        <f t="shared" ref="C47" si="311">B47</f>
        <v>5024100</v>
      </c>
      <c r="F47" s="44">
        <v>1E-10</v>
      </c>
      <c r="G47" s="44">
        <v>1E-10</v>
      </c>
      <c r="H47" s="44">
        <f t="shared" ref="H47" si="312">F47</f>
        <v>1E-10</v>
      </c>
      <c r="I47" s="124">
        <f t="shared" ref="I47" si="313">G47</f>
        <v>1E-10</v>
      </c>
      <c r="L47" s="13">
        <v>5024100</v>
      </c>
      <c r="M47" s="44">
        <v>1E-10</v>
      </c>
      <c r="N47" s="44">
        <v>1E-10</v>
      </c>
      <c r="O47">
        <v>1</v>
      </c>
      <c r="Q47" s="127">
        <v>45231.125</v>
      </c>
      <c r="R47">
        <v>0</v>
      </c>
      <c r="S47" s="13">
        <f t="shared" si="9"/>
        <v>568800.0000001397</v>
      </c>
      <c r="T47">
        <f t="shared" si="0"/>
        <v>0</v>
      </c>
      <c r="U47" s="13">
        <f t="shared" si="1"/>
        <v>568800.0000001397</v>
      </c>
      <c r="V47" s="112">
        <f t="shared" si="2"/>
        <v>1E-10</v>
      </c>
      <c r="X47" s="74"/>
      <c r="Y47" s="13">
        <f t="shared" ref="Y47" si="314">X46+300</f>
        <v>5024100</v>
      </c>
      <c r="Z47" s="13">
        <f t="shared" ref="Z47" si="315">Y47</f>
        <v>5024100</v>
      </c>
      <c r="AC47" s="44">
        <v>1E-10</v>
      </c>
      <c r="AD47" s="44">
        <v>1E-10</v>
      </c>
      <c r="AE47" s="44">
        <f t="shared" ref="AE47" si="316">AC47</f>
        <v>1E-10</v>
      </c>
      <c r="AF47" s="124">
        <f t="shared" ref="AF47" si="317">AD47</f>
        <v>1E-10</v>
      </c>
      <c r="AI47" s="13">
        <v>5024100</v>
      </c>
      <c r="AJ47" s="44">
        <v>1E-10</v>
      </c>
      <c r="AK47" s="124">
        <v>1E-10</v>
      </c>
      <c r="AN47" s="127">
        <v>45231.125</v>
      </c>
      <c r="AO47">
        <v>0</v>
      </c>
      <c r="AP47" s="13">
        <f t="shared" si="13"/>
        <v>568800.0000001397</v>
      </c>
      <c r="AQ47">
        <f t="shared" si="231"/>
        <v>0</v>
      </c>
      <c r="AR47" s="13">
        <f t="shared" si="232"/>
        <v>568800.0000001397</v>
      </c>
      <c r="AS47" s="112">
        <f t="shared" si="233"/>
        <v>1E-10</v>
      </c>
    </row>
    <row r="48" spans="1:45" x14ac:dyDescent="0.25">
      <c r="A48" s="74">
        <v>6479999.9999997905</v>
      </c>
      <c r="C48" s="13">
        <f t="shared" ref="C48:C66" si="318">A48</f>
        <v>6479999.9999997905</v>
      </c>
      <c r="D48">
        <v>122</v>
      </c>
      <c r="E48">
        <v>486</v>
      </c>
      <c r="H48">
        <f t="shared" ref="H48:H54" si="319">D48</f>
        <v>122</v>
      </c>
      <c r="I48" s="112">
        <f t="shared" ref="I48" si="320">E48</f>
        <v>486</v>
      </c>
      <c r="L48" s="13">
        <v>6479999.9999997905</v>
      </c>
      <c r="M48">
        <v>122</v>
      </c>
      <c r="N48">
        <v>486</v>
      </c>
      <c r="O48">
        <v>96</v>
      </c>
      <c r="Q48" s="127">
        <v>45231.229166666657</v>
      </c>
      <c r="R48">
        <v>0</v>
      </c>
      <c r="S48" s="13">
        <f t="shared" si="9"/>
        <v>577800.0000001397</v>
      </c>
      <c r="T48">
        <f t="shared" si="0"/>
        <v>0</v>
      </c>
      <c r="U48" s="13">
        <f t="shared" si="1"/>
        <v>577800.0000001397</v>
      </c>
      <c r="V48" s="112">
        <f t="shared" si="2"/>
        <v>1E-10</v>
      </c>
      <c r="X48" s="74">
        <v>6479999.9999997905</v>
      </c>
      <c r="Y48" s="13"/>
      <c r="Z48" s="13">
        <f t="shared" ref="Z48" si="321">X48</f>
        <v>6479999.9999997905</v>
      </c>
      <c r="AA48" s="31">
        <v>122</v>
      </c>
      <c r="AB48" s="31">
        <v>486</v>
      </c>
      <c r="AE48">
        <f t="shared" ref="AE48" si="322">AA48</f>
        <v>122</v>
      </c>
      <c r="AF48" s="112">
        <f t="shared" ref="AF48" si="323">AB48</f>
        <v>486</v>
      </c>
      <c r="AI48" s="13">
        <v>6479999.9999997905</v>
      </c>
      <c r="AJ48">
        <v>122</v>
      </c>
      <c r="AK48" s="112">
        <v>486</v>
      </c>
      <c r="AN48" s="127">
        <v>45231.229166666657</v>
      </c>
      <c r="AO48">
        <v>0</v>
      </c>
      <c r="AP48" s="13">
        <f t="shared" si="13"/>
        <v>577800.0000001397</v>
      </c>
      <c r="AQ48">
        <f t="shared" si="231"/>
        <v>0</v>
      </c>
      <c r="AR48" s="13">
        <f t="shared" si="232"/>
        <v>577800.0000001397</v>
      </c>
      <c r="AS48" s="112">
        <f t="shared" si="233"/>
        <v>1E-10</v>
      </c>
    </row>
    <row r="49" spans="1:45" x14ac:dyDescent="0.25">
      <c r="B49" s="13">
        <f t="shared" ref="B49" si="324">A48+300</f>
        <v>6480299.9999997905</v>
      </c>
      <c r="C49" s="13">
        <f t="shared" ref="C49:C67" si="325">B49</f>
        <v>6480299.9999997905</v>
      </c>
      <c r="F49" s="44">
        <v>1E-10</v>
      </c>
      <c r="G49" s="44">
        <v>1E-10</v>
      </c>
      <c r="H49" s="44">
        <f t="shared" ref="H49:H55" si="326">F49</f>
        <v>1E-10</v>
      </c>
      <c r="I49" s="124">
        <f t="shared" ref="I49" si="327">G49</f>
        <v>1E-10</v>
      </c>
      <c r="L49" s="13">
        <v>6480299.9999997905</v>
      </c>
      <c r="M49" s="44">
        <v>1E-10</v>
      </c>
      <c r="N49" s="44">
        <v>1E-10</v>
      </c>
      <c r="O49">
        <v>96</v>
      </c>
      <c r="Q49" s="127">
        <v>45231.333333333343</v>
      </c>
      <c r="R49">
        <v>0</v>
      </c>
      <c r="S49" s="13">
        <f t="shared" si="9"/>
        <v>586800.0000001397</v>
      </c>
      <c r="T49">
        <f t="shared" si="0"/>
        <v>0</v>
      </c>
      <c r="U49" s="13">
        <f t="shared" si="1"/>
        <v>586800.0000001397</v>
      </c>
      <c r="V49" s="112">
        <f t="shared" si="2"/>
        <v>1E-10</v>
      </c>
      <c r="X49" s="74"/>
      <c r="Y49" s="13">
        <f t="shared" ref="Y49" si="328">X48+300</f>
        <v>6480299.9999997905</v>
      </c>
      <c r="Z49" s="13">
        <f t="shared" ref="Z49" si="329">Y49</f>
        <v>6480299.9999997905</v>
      </c>
      <c r="AC49" s="44">
        <v>1E-10</v>
      </c>
      <c r="AD49" s="44">
        <v>1E-10</v>
      </c>
      <c r="AE49" s="44">
        <f t="shared" ref="AE49" si="330">AC49</f>
        <v>1E-10</v>
      </c>
      <c r="AF49" s="124">
        <f t="shared" ref="AF49" si="331">AD49</f>
        <v>1E-10</v>
      </c>
      <c r="AI49" s="13">
        <v>6480299.9999997905</v>
      </c>
      <c r="AJ49" s="44">
        <v>1E-10</v>
      </c>
      <c r="AK49" s="124">
        <v>1E-10</v>
      </c>
      <c r="AN49" s="127">
        <v>45231.333333333343</v>
      </c>
      <c r="AO49">
        <v>0</v>
      </c>
      <c r="AP49" s="13">
        <f t="shared" si="13"/>
        <v>586800.0000001397</v>
      </c>
      <c r="AQ49">
        <f t="shared" si="231"/>
        <v>0</v>
      </c>
      <c r="AR49" s="13">
        <f t="shared" si="232"/>
        <v>586800.0000001397</v>
      </c>
      <c r="AS49" s="112">
        <f t="shared" si="233"/>
        <v>1E-10</v>
      </c>
    </row>
    <row r="50" spans="1:45" x14ac:dyDescent="0.25">
      <c r="A50" s="74">
        <v>6641999.9999997905</v>
      </c>
      <c r="C50" s="13">
        <f t="shared" si="318"/>
        <v>6641999.9999997905</v>
      </c>
      <c r="D50">
        <v>122</v>
      </c>
      <c r="E50">
        <v>486</v>
      </c>
      <c r="H50">
        <f t="shared" si="319"/>
        <v>122</v>
      </c>
      <c r="I50" s="112">
        <f t="shared" ref="I50" si="332">E50</f>
        <v>486</v>
      </c>
      <c r="L50" s="13">
        <v>6641999.9999997905</v>
      </c>
      <c r="M50">
        <v>122</v>
      </c>
      <c r="N50">
        <v>486</v>
      </c>
      <c r="O50">
        <v>96</v>
      </c>
      <c r="Q50" s="127">
        <v>45231.4375</v>
      </c>
      <c r="R50">
        <v>0</v>
      </c>
      <c r="S50" s="13">
        <f t="shared" si="9"/>
        <v>595800.0000001397</v>
      </c>
      <c r="T50">
        <f t="shared" si="0"/>
        <v>0</v>
      </c>
      <c r="U50" s="13">
        <f t="shared" si="1"/>
        <v>595800.0000001397</v>
      </c>
      <c r="V50" s="112">
        <f t="shared" si="2"/>
        <v>1E-10</v>
      </c>
      <c r="X50" s="74">
        <v>6641999.9999997905</v>
      </c>
      <c r="Y50" s="13"/>
      <c r="Z50" s="13">
        <f t="shared" ref="Z50" si="333">X50</f>
        <v>6641999.9999997905</v>
      </c>
      <c r="AA50" s="31">
        <v>122</v>
      </c>
      <c r="AB50" s="31">
        <v>486</v>
      </c>
      <c r="AE50">
        <f t="shared" ref="AE50" si="334">AA50</f>
        <v>122</v>
      </c>
      <c r="AF50" s="112">
        <f t="shared" ref="AF50" si="335">AB50</f>
        <v>486</v>
      </c>
      <c r="AI50" s="13">
        <v>6641999.9999997905</v>
      </c>
      <c r="AJ50">
        <v>122</v>
      </c>
      <c r="AK50" s="112">
        <v>486</v>
      </c>
      <c r="AN50" s="127">
        <v>45231.4375</v>
      </c>
      <c r="AO50">
        <v>0</v>
      </c>
      <c r="AP50" s="13">
        <f t="shared" si="13"/>
        <v>595800.0000001397</v>
      </c>
      <c r="AQ50">
        <f t="shared" si="231"/>
        <v>0</v>
      </c>
      <c r="AR50" s="13">
        <f t="shared" si="232"/>
        <v>595800.0000001397</v>
      </c>
      <c r="AS50" s="112">
        <f t="shared" si="233"/>
        <v>1E-10</v>
      </c>
    </row>
    <row r="51" spans="1:45" x14ac:dyDescent="0.25">
      <c r="B51" s="13">
        <f t="shared" ref="B51" si="336">A50+300</f>
        <v>6642299.9999997905</v>
      </c>
      <c r="C51" s="13">
        <f t="shared" si="325"/>
        <v>6642299.9999997905</v>
      </c>
      <c r="F51" s="44">
        <v>1E-10</v>
      </c>
      <c r="G51" s="44">
        <v>1E-10</v>
      </c>
      <c r="H51" s="44">
        <f t="shared" si="326"/>
        <v>1E-10</v>
      </c>
      <c r="I51" s="124">
        <f t="shared" ref="I51" si="337">G51</f>
        <v>1E-10</v>
      </c>
      <c r="L51" s="13">
        <v>6642299.9999997905</v>
      </c>
      <c r="M51" s="44">
        <v>1E-10</v>
      </c>
      <c r="N51" s="44">
        <v>1E-10</v>
      </c>
      <c r="O51">
        <v>96</v>
      </c>
      <c r="Q51" s="127">
        <v>45231.541666666657</v>
      </c>
      <c r="R51">
        <v>0</v>
      </c>
      <c r="S51" s="13">
        <f t="shared" si="9"/>
        <v>604800.0000001397</v>
      </c>
      <c r="T51">
        <f t="shared" si="0"/>
        <v>0</v>
      </c>
      <c r="U51" s="13">
        <f t="shared" si="1"/>
        <v>604800.0000001397</v>
      </c>
      <c r="V51" s="112">
        <f t="shared" si="2"/>
        <v>1E-10</v>
      </c>
      <c r="X51" s="74"/>
      <c r="Y51" s="13">
        <f t="shared" ref="Y51" si="338">X50+300</f>
        <v>6642299.9999997905</v>
      </c>
      <c r="Z51" s="13">
        <f t="shared" ref="Z51" si="339">Y51</f>
        <v>6642299.9999997905</v>
      </c>
      <c r="AC51" s="44">
        <v>1E-10</v>
      </c>
      <c r="AD51" s="44">
        <v>1E-10</v>
      </c>
      <c r="AE51" s="44">
        <f t="shared" ref="AE51" si="340">AC51</f>
        <v>1E-10</v>
      </c>
      <c r="AF51" s="124">
        <f t="shared" ref="AF51" si="341">AD51</f>
        <v>1E-10</v>
      </c>
      <c r="AI51" s="13">
        <v>6642299.9999997905</v>
      </c>
      <c r="AJ51" s="44">
        <v>1E-10</v>
      </c>
      <c r="AK51" s="124">
        <v>1E-10</v>
      </c>
      <c r="AN51" s="127">
        <v>45231.541666666657</v>
      </c>
      <c r="AO51">
        <v>0</v>
      </c>
      <c r="AP51" s="13">
        <f t="shared" si="13"/>
        <v>604800.0000001397</v>
      </c>
      <c r="AQ51">
        <f t="shared" si="231"/>
        <v>0</v>
      </c>
      <c r="AR51" s="13">
        <f t="shared" si="232"/>
        <v>604800.0000001397</v>
      </c>
      <c r="AS51" s="112">
        <f t="shared" si="233"/>
        <v>1E-10</v>
      </c>
    </row>
    <row r="52" spans="1:45" x14ac:dyDescent="0.25">
      <c r="A52" s="74">
        <v>6817800.0000001397</v>
      </c>
      <c r="C52" s="13">
        <f t="shared" si="318"/>
        <v>6817800.0000001397</v>
      </c>
      <c r="D52">
        <v>183</v>
      </c>
      <c r="E52">
        <v>730</v>
      </c>
      <c r="H52">
        <f t="shared" si="319"/>
        <v>183</v>
      </c>
      <c r="I52" s="112">
        <f t="shared" ref="I52" si="342">E52</f>
        <v>730</v>
      </c>
      <c r="L52" s="13">
        <v>6817800.0000001397</v>
      </c>
      <c r="M52">
        <v>183</v>
      </c>
      <c r="N52">
        <v>730</v>
      </c>
      <c r="O52">
        <v>1</v>
      </c>
      <c r="Q52" s="127">
        <v>45231.645833333343</v>
      </c>
      <c r="R52">
        <v>0</v>
      </c>
      <c r="S52" s="13">
        <f t="shared" si="9"/>
        <v>613800.0000001397</v>
      </c>
      <c r="T52">
        <f t="shared" si="0"/>
        <v>0</v>
      </c>
      <c r="U52" s="13">
        <f t="shared" si="1"/>
        <v>613800.0000001397</v>
      </c>
      <c r="V52" s="112">
        <f t="shared" si="2"/>
        <v>1E-10</v>
      </c>
      <c r="X52" s="74">
        <v>6817800.0000001397</v>
      </c>
      <c r="Y52" s="13"/>
      <c r="Z52" s="13">
        <f t="shared" ref="Z52" si="343">X52</f>
        <v>6817800.0000001397</v>
      </c>
      <c r="AA52" s="31">
        <v>183</v>
      </c>
      <c r="AB52" s="31">
        <v>730</v>
      </c>
      <c r="AE52">
        <f t="shared" ref="AE52" si="344">AA52</f>
        <v>183</v>
      </c>
      <c r="AF52" s="112">
        <f t="shared" ref="AF52" si="345">AB52</f>
        <v>730</v>
      </c>
      <c r="AI52" s="13">
        <v>6817800.0000001397</v>
      </c>
      <c r="AJ52">
        <v>183</v>
      </c>
      <c r="AK52" s="112">
        <v>730</v>
      </c>
      <c r="AN52" s="127">
        <v>45231.645833333343</v>
      </c>
      <c r="AO52">
        <v>0</v>
      </c>
      <c r="AP52" s="13">
        <f t="shared" si="13"/>
        <v>613800.0000001397</v>
      </c>
      <c r="AQ52">
        <f t="shared" si="231"/>
        <v>0</v>
      </c>
      <c r="AR52" s="13">
        <f t="shared" si="232"/>
        <v>613800.0000001397</v>
      </c>
      <c r="AS52" s="112">
        <f t="shared" si="233"/>
        <v>1E-10</v>
      </c>
    </row>
    <row r="53" spans="1:45" x14ac:dyDescent="0.25">
      <c r="B53" s="13">
        <f t="shared" ref="B53" si="346">A52+300</f>
        <v>6818100.0000001397</v>
      </c>
      <c r="C53" s="13">
        <f t="shared" si="325"/>
        <v>6818100.0000001397</v>
      </c>
      <c r="F53" s="44">
        <v>1E-10</v>
      </c>
      <c r="G53" s="44">
        <v>1E-10</v>
      </c>
      <c r="H53" s="44">
        <f t="shared" si="326"/>
        <v>1E-10</v>
      </c>
      <c r="I53" s="124">
        <f t="shared" ref="I53" si="347">G53</f>
        <v>1E-10</v>
      </c>
      <c r="L53" s="13">
        <v>6818100.0000001397</v>
      </c>
      <c r="M53" s="44">
        <v>1E-10</v>
      </c>
      <c r="N53" s="44">
        <v>1E-10</v>
      </c>
      <c r="O53">
        <v>1</v>
      </c>
      <c r="Q53" s="127">
        <v>45231.75</v>
      </c>
      <c r="R53">
        <v>0</v>
      </c>
      <c r="S53" s="13">
        <f t="shared" si="9"/>
        <v>622800.0000001397</v>
      </c>
      <c r="T53">
        <f t="shared" si="0"/>
        <v>0</v>
      </c>
      <c r="U53" s="13">
        <f t="shared" si="1"/>
        <v>622800.0000001397</v>
      </c>
      <c r="V53" s="112">
        <f t="shared" si="2"/>
        <v>1E-10</v>
      </c>
      <c r="X53" s="74"/>
      <c r="Y53" s="13">
        <f t="shared" ref="Y53" si="348">X52+300</f>
        <v>6818100.0000001397</v>
      </c>
      <c r="Z53" s="13">
        <f t="shared" ref="Z53" si="349">Y53</f>
        <v>6818100.0000001397</v>
      </c>
      <c r="AC53" s="44">
        <v>1E-10</v>
      </c>
      <c r="AD53" s="44">
        <v>1E-10</v>
      </c>
      <c r="AE53" s="44">
        <f t="shared" ref="AE53" si="350">AC53</f>
        <v>1E-10</v>
      </c>
      <c r="AF53" s="124">
        <f t="shared" ref="AF53" si="351">AD53</f>
        <v>1E-10</v>
      </c>
      <c r="AI53" s="13">
        <v>6818100.0000001397</v>
      </c>
      <c r="AJ53" s="44">
        <v>1E-10</v>
      </c>
      <c r="AK53" s="124">
        <v>1E-10</v>
      </c>
      <c r="AN53" s="127">
        <v>45231.75</v>
      </c>
      <c r="AO53">
        <v>0</v>
      </c>
      <c r="AP53" s="13">
        <f t="shared" si="13"/>
        <v>622800.0000001397</v>
      </c>
      <c r="AQ53">
        <f t="shared" si="231"/>
        <v>0</v>
      </c>
      <c r="AR53" s="13">
        <f t="shared" si="232"/>
        <v>622800.0000001397</v>
      </c>
      <c r="AS53" s="112">
        <f t="shared" si="233"/>
        <v>1E-10</v>
      </c>
    </row>
    <row r="54" spans="1:45" x14ac:dyDescent="0.25">
      <c r="A54" s="74">
        <v>7075800</v>
      </c>
      <c r="C54" s="13">
        <f t="shared" si="318"/>
        <v>7075800</v>
      </c>
      <c r="D54">
        <v>122</v>
      </c>
      <c r="E54">
        <v>486</v>
      </c>
      <c r="H54">
        <f t="shared" si="319"/>
        <v>122</v>
      </c>
      <c r="I54" s="112">
        <f t="shared" ref="I54" si="352">E54</f>
        <v>486</v>
      </c>
      <c r="L54" s="13">
        <v>7075800</v>
      </c>
      <c r="M54">
        <v>122</v>
      </c>
      <c r="N54">
        <v>486</v>
      </c>
      <c r="O54">
        <v>1</v>
      </c>
      <c r="Q54" s="127">
        <v>45231.854166666657</v>
      </c>
      <c r="R54">
        <v>0</v>
      </c>
      <c r="S54" s="13">
        <f t="shared" si="9"/>
        <v>631800.0000001397</v>
      </c>
      <c r="T54">
        <f t="shared" si="0"/>
        <v>0</v>
      </c>
      <c r="U54" s="13">
        <f t="shared" si="1"/>
        <v>631800.0000001397</v>
      </c>
      <c r="V54" s="112">
        <f t="shared" si="2"/>
        <v>1E-10</v>
      </c>
      <c r="X54" s="74">
        <v>7075800</v>
      </c>
      <c r="Y54" s="13"/>
      <c r="Z54" s="13">
        <f t="shared" ref="Z54" si="353">X54</f>
        <v>7075800</v>
      </c>
      <c r="AA54" s="31">
        <v>122</v>
      </c>
      <c r="AB54" s="31">
        <v>486</v>
      </c>
      <c r="AE54">
        <f t="shared" ref="AE54" si="354">AA54</f>
        <v>122</v>
      </c>
      <c r="AF54" s="112">
        <f t="shared" ref="AF54" si="355">AB54</f>
        <v>486</v>
      </c>
      <c r="AI54" s="13">
        <v>7075800</v>
      </c>
      <c r="AJ54">
        <v>122</v>
      </c>
      <c r="AK54" s="112">
        <v>486</v>
      </c>
      <c r="AN54" s="127">
        <v>45231.854166666657</v>
      </c>
      <c r="AO54">
        <v>0</v>
      </c>
      <c r="AP54" s="13">
        <f t="shared" si="13"/>
        <v>631800.0000001397</v>
      </c>
      <c r="AQ54">
        <f t="shared" si="231"/>
        <v>0</v>
      </c>
      <c r="AR54" s="13">
        <f t="shared" si="232"/>
        <v>631800.0000001397</v>
      </c>
      <c r="AS54" s="112">
        <f t="shared" si="233"/>
        <v>1E-10</v>
      </c>
    </row>
    <row r="55" spans="1:45" x14ac:dyDescent="0.25">
      <c r="B55" s="13">
        <f t="shared" ref="B55" si="356">A54+300</f>
        <v>7076100</v>
      </c>
      <c r="C55" s="13">
        <f t="shared" si="325"/>
        <v>7076100</v>
      </c>
      <c r="F55" s="44">
        <v>1E-10</v>
      </c>
      <c r="G55" s="44">
        <v>1E-10</v>
      </c>
      <c r="H55" s="44">
        <f t="shared" si="326"/>
        <v>1E-10</v>
      </c>
      <c r="I55" s="124">
        <f t="shared" ref="I55" si="357">G55</f>
        <v>1E-10</v>
      </c>
      <c r="L55" s="13">
        <v>7076100</v>
      </c>
      <c r="M55" s="44">
        <v>1E-10</v>
      </c>
      <c r="N55" s="44">
        <v>1E-10</v>
      </c>
      <c r="O55">
        <v>1</v>
      </c>
      <c r="Q55" s="127">
        <v>45231.958333333343</v>
      </c>
      <c r="R55">
        <v>0</v>
      </c>
      <c r="S55" s="13">
        <f t="shared" si="9"/>
        <v>640800.0000001397</v>
      </c>
      <c r="T55">
        <f t="shared" si="0"/>
        <v>0</v>
      </c>
      <c r="U55" s="13">
        <f t="shared" si="1"/>
        <v>640800.0000001397</v>
      </c>
      <c r="V55" s="112">
        <f t="shared" si="2"/>
        <v>1E-10</v>
      </c>
      <c r="X55" s="74"/>
      <c r="Y55" s="13">
        <f t="shared" ref="Y55:Y89" si="358">X54+300</f>
        <v>7076100</v>
      </c>
      <c r="Z55" s="13">
        <f t="shared" ref="Z55" si="359">Y55</f>
        <v>7076100</v>
      </c>
      <c r="AC55" s="44">
        <v>1E-10</v>
      </c>
      <c r="AD55" s="44">
        <v>1E-10</v>
      </c>
      <c r="AE55" s="44">
        <f t="shared" ref="AE55" si="360">AC55</f>
        <v>1E-10</v>
      </c>
      <c r="AF55" s="124">
        <f t="shared" ref="AF55" si="361">AD55</f>
        <v>1E-10</v>
      </c>
      <c r="AI55" s="13">
        <v>7076100</v>
      </c>
      <c r="AJ55" s="44">
        <v>1E-10</v>
      </c>
      <c r="AK55" s="124">
        <v>1E-10</v>
      </c>
      <c r="AN55" s="127">
        <v>45231.958333333343</v>
      </c>
      <c r="AO55">
        <v>0</v>
      </c>
      <c r="AP55" s="13">
        <f t="shared" si="13"/>
        <v>640800.0000001397</v>
      </c>
      <c r="AQ55">
        <f t="shared" si="231"/>
        <v>0</v>
      </c>
      <c r="AR55" s="13">
        <f t="shared" si="232"/>
        <v>640800.0000001397</v>
      </c>
      <c r="AS55" s="112">
        <f t="shared" si="233"/>
        <v>1E-10</v>
      </c>
    </row>
    <row r="56" spans="1:45" x14ac:dyDescent="0.25">
      <c r="A56" s="74">
        <v>7250400.0000002095</v>
      </c>
      <c r="B56" s="13">
        <f t="shared" ref="B56:B67" si="362">A55+300</f>
        <v>300</v>
      </c>
      <c r="C56" s="13">
        <f t="shared" si="318"/>
        <v>7250400.0000002095</v>
      </c>
      <c r="D56">
        <v>122</v>
      </c>
      <c r="E56">
        <v>486</v>
      </c>
      <c r="H56">
        <f t="shared" ref="H56" si="363">D56</f>
        <v>122</v>
      </c>
      <c r="I56" s="112">
        <f t="shared" ref="I56" si="364">E56</f>
        <v>486</v>
      </c>
      <c r="L56" s="13">
        <v>7250400.0000002095</v>
      </c>
      <c r="M56">
        <v>122</v>
      </c>
      <c r="N56">
        <v>486</v>
      </c>
      <c r="O56">
        <v>1</v>
      </c>
      <c r="Q56" s="127">
        <v>45232.0625</v>
      </c>
      <c r="R56">
        <v>0</v>
      </c>
      <c r="S56" s="13">
        <f t="shared" si="9"/>
        <v>649800.0000001397</v>
      </c>
      <c r="T56">
        <f t="shared" si="0"/>
        <v>0</v>
      </c>
      <c r="U56" s="13">
        <f t="shared" si="1"/>
        <v>649800.0000001397</v>
      </c>
      <c r="V56" s="112">
        <f t="shared" si="2"/>
        <v>1E-10</v>
      </c>
      <c r="X56" s="74">
        <v>7250400.0000002095</v>
      </c>
      <c r="Y56" s="13">
        <f t="shared" si="358"/>
        <v>300</v>
      </c>
      <c r="Z56" s="13">
        <f t="shared" ref="Z56" si="365">X56</f>
        <v>7250400.0000002095</v>
      </c>
      <c r="AA56" s="31">
        <v>122</v>
      </c>
      <c r="AB56" s="31">
        <v>486</v>
      </c>
      <c r="AE56">
        <f t="shared" ref="AE56" si="366">AA56</f>
        <v>122</v>
      </c>
      <c r="AF56" s="112">
        <f t="shared" ref="AF56" si="367">AB56</f>
        <v>486</v>
      </c>
      <c r="AI56" s="13">
        <v>7250400.0000002095</v>
      </c>
      <c r="AJ56">
        <v>122</v>
      </c>
      <c r="AK56" s="112">
        <v>486</v>
      </c>
      <c r="AN56" s="127">
        <v>45232.0625</v>
      </c>
      <c r="AO56">
        <v>0</v>
      </c>
      <c r="AP56" s="13">
        <f t="shared" si="13"/>
        <v>649800.0000001397</v>
      </c>
      <c r="AQ56">
        <f t="shared" si="231"/>
        <v>0</v>
      </c>
      <c r="AR56" s="13">
        <f t="shared" si="232"/>
        <v>649800.0000001397</v>
      </c>
      <c r="AS56" s="112">
        <f t="shared" si="233"/>
        <v>1E-10</v>
      </c>
    </row>
    <row r="57" spans="1:45" x14ac:dyDescent="0.25">
      <c r="B57" s="13">
        <f t="shared" si="362"/>
        <v>7250700.0000002095</v>
      </c>
      <c r="C57" s="13">
        <f t="shared" si="325"/>
        <v>7250700.0000002095</v>
      </c>
      <c r="F57" s="44">
        <v>1E-10</v>
      </c>
      <c r="G57" s="44">
        <v>1E-10</v>
      </c>
      <c r="H57" s="44">
        <f t="shared" ref="H57" si="368">F57</f>
        <v>1E-10</v>
      </c>
      <c r="I57" s="124">
        <f t="shared" ref="I57" si="369">G57</f>
        <v>1E-10</v>
      </c>
      <c r="L57" s="13">
        <v>7250700.0000002095</v>
      </c>
      <c r="M57" s="44">
        <v>1E-10</v>
      </c>
      <c r="N57" s="44">
        <v>1E-10</v>
      </c>
      <c r="O57">
        <v>1</v>
      </c>
      <c r="Q57" s="127">
        <v>45232.166666666657</v>
      </c>
      <c r="R57">
        <v>0</v>
      </c>
      <c r="S57" s="13">
        <f t="shared" si="9"/>
        <v>658800.0000001397</v>
      </c>
      <c r="T57">
        <f t="shared" si="0"/>
        <v>0</v>
      </c>
      <c r="U57" s="13">
        <f t="shared" si="1"/>
        <v>658800.0000001397</v>
      </c>
      <c r="V57" s="112">
        <f t="shared" si="2"/>
        <v>1E-10</v>
      </c>
      <c r="X57" s="74"/>
      <c r="Y57" s="13">
        <f t="shared" si="358"/>
        <v>7250700.0000002095</v>
      </c>
      <c r="Z57" s="13">
        <f t="shared" ref="Z57" si="370">Y57</f>
        <v>7250700.0000002095</v>
      </c>
      <c r="AC57" s="44">
        <v>1E-10</v>
      </c>
      <c r="AD57" s="44">
        <v>1E-10</v>
      </c>
      <c r="AE57" s="44">
        <f t="shared" ref="AE57" si="371">AC57</f>
        <v>1E-10</v>
      </c>
      <c r="AF57" s="124">
        <f t="shared" ref="AF57" si="372">AD57</f>
        <v>1E-10</v>
      </c>
      <c r="AI57" s="13">
        <v>7250700.0000002095</v>
      </c>
      <c r="AJ57" s="44">
        <v>1E-10</v>
      </c>
      <c r="AK57" s="124">
        <v>1E-10</v>
      </c>
      <c r="AN57" s="127">
        <v>45232.166666666657</v>
      </c>
      <c r="AO57">
        <v>0</v>
      </c>
      <c r="AP57" s="13">
        <f t="shared" si="13"/>
        <v>658800.0000001397</v>
      </c>
      <c r="AQ57">
        <f t="shared" si="231"/>
        <v>0</v>
      </c>
      <c r="AR57" s="13">
        <f t="shared" si="232"/>
        <v>658800.0000001397</v>
      </c>
      <c r="AS57" s="112">
        <f t="shared" si="233"/>
        <v>1E-10</v>
      </c>
    </row>
    <row r="58" spans="1:45" x14ac:dyDescent="0.25">
      <c r="A58" s="74">
        <v>7428600.0000002095</v>
      </c>
      <c r="B58" s="13">
        <f t="shared" si="362"/>
        <v>300</v>
      </c>
      <c r="C58" s="13">
        <f t="shared" si="318"/>
        <v>7428600.0000002095</v>
      </c>
      <c r="D58">
        <v>122</v>
      </c>
      <c r="E58">
        <v>700</v>
      </c>
      <c r="H58">
        <f t="shared" ref="H58" si="373">D58</f>
        <v>122</v>
      </c>
      <c r="I58" s="112">
        <f t="shared" ref="I58" si="374">E58</f>
        <v>700</v>
      </c>
      <c r="L58" s="13">
        <v>7428600.0000002095</v>
      </c>
      <c r="M58">
        <v>122</v>
      </c>
      <c r="N58">
        <v>700</v>
      </c>
      <c r="O58">
        <v>96</v>
      </c>
      <c r="Q58" s="127">
        <v>45232.270833333343</v>
      </c>
      <c r="R58">
        <v>0</v>
      </c>
      <c r="S58" s="13">
        <f t="shared" si="9"/>
        <v>667800.0000001397</v>
      </c>
      <c r="T58">
        <f t="shared" si="0"/>
        <v>0</v>
      </c>
      <c r="U58" s="13">
        <f t="shared" si="1"/>
        <v>667800.0000001397</v>
      </c>
      <c r="V58" s="112">
        <f t="shared" si="2"/>
        <v>1E-10</v>
      </c>
      <c r="X58" s="74">
        <v>7428600.0000002095</v>
      </c>
      <c r="Y58" s="13">
        <f t="shared" si="358"/>
        <v>300</v>
      </c>
      <c r="Z58" s="13">
        <f t="shared" ref="Z58" si="375">X58</f>
        <v>7428600.0000002095</v>
      </c>
      <c r="AA58" s="31">
        <v>122</v>
      </c>
      <c r="AB58" s="31">
        <v>700</v>
      </c>
      <c r="AE58">
        <f t="shared" ref="AE58" si="376">AA58</f>
        <v>122</v>
      </c>
      <c r="AF58" s="112">
        <f t="shared" ref="AF58" si="377">AB58</f>
        <v>700</v>
      </c>
      <c r="AI58" s="13">
        <v>7428600.0000002095</v>
      </c>
      <c r="AJ58">
        <v>122</v>
      </c>
      <c r="AK58" s="112">
        <v>700</v>
      </c>
      <c r="AN58" s="127">
        <v>45232.270833333343</v>
      </c>
      <c r="AO58">
        <v>0</v>
      </c>
      <c r="AP58" s="13">
        <f t="shared" si="13"/>
        <v>667800.0000001397</v>
      </c>
      <c r="AQ58">
        <f t="shared" si="231"/>
        <v>0</v>
      </c>
      <c r="AR58" s="13">
        <f t="shared" si="232"/>
        <v>667800.0000001397</v>
      </c>
      <c r="AS58" s="112">
        <f t="shared" si="233"/>
        <v>1E-10</v>
      </c>
    </row>
    <row r="59" spans="1:45" x14ac:dyDescent="0.25">
      <c r="B59" s="13">
        <f t="shared" si="362"/>
        <v>7428900.0000002095</v>
      </c>
      <c r="C59" s="13">
        <f t="shared" si="325"/>
        <v>7428900.0000002095</v>
      </c>
      <c r="F59" s="44">
        <v>1E-10</v>
      </c>
      <c r="G59" s="44">
        <v>1E-10</v>
      </c>
      <c r="H59" s="44">
        <f t="shared" ref="H59" si="378">F59</f>
        <v>1E-10</v>
      </c>
      <c r="I59" s="124">
        <f t="shared" ref="I59" si="379">G59</f>
        <v>1E-10</v>
      </c>
      <c r="L59" s="13">
        <v>7428900.0000002095</v>
      </c>
      <c r="M59" s="44">
        <v>1E-10</v>
      </c>
      <c r="N59" s="44">
        <v>1E-10</v>
      </c>
      <c r="O59">
        <v>96</v>
      </c>
      <c r="Q59" s="127">
        <v>45232.375</v>
      </c>
      <c r="R59">
        <v>0</v>
      </c>
      <c r="S59" s="13">
        <f t="shared" si="9"/>
        <v>676800.0000001397</v>
      </c>
      <c r="T59">
        <f t="shared" si="0"/>
        <v>0</v>
      </c>
      <c r="U59" s="13">
        <f t="shared" si="1"/>
        <v>676800.0000001397</v>
      </c>
      <c r="V59" s="112">
        <f t="shared" si="2"/>
        <v>1E-10</v>
      </c>
      <c r="X59" s="74"/>
      <c r="Y59" s="13">
        <f t="shared" si="358"/>
        <v>7428900.0000002095</v>
      </c>
      <c r="Z59" s="13">
        <f t="shared" ref="Z59" si="380">Y59</f>
        <v>7428900.0000002095</v>
      </c>
      <c r="AC59" s="44">
        <v>1E-10</v>
      </c>
      <c r="AD59" s="44">
        <v>1E-10</v>
      </c>
      <c r="AE59" s="44">
        <f t="shared" ref="AE59" si="381">AC59</f>
        <v>1E-10</v>
      </c>
      <c r="AF59" s="124">
        <f t="shared" ref="AF59" si="382">AD59</f>
        <v>1E-10</v>
      </c>
      <c r="AI59" s="13">
        <v>7428900.0000002095</v>
      </c>
      <c r="AJ59" s="44">
        <v>1E-10</v>
      </c>
      <c r="AK59" s="124">
        <v>1E-10</v>
      </c>
      <c r="AN59" s="127">
        <v>45232.375</v>
      </c>
      <c r="AO59">
        <v>0</v>
      </c>
      <c r="AP59" s="13">
        <f t="shared" si="13"/>
        <v>676800.0000001397</v>
      </c>
      <c r="AQ59">
        <f t="shared" si="231"/>
        <v>0</v>
      </c>
      <c r="AR59" s="13">
        <f t="shared" si="232"/>
        <v>676800.0000001397</v>
      </c>
      <c r="AS59" s="112">
        <f t="shared" si="233"/>
        <v>1E-10</v>
      </c>
    </row>
    <row r="60" spans="1:45" x14ac:dyDescent="0.25">
      <c r="A60" s="74">
        <v>7681440.0000002235</v>
      </c>
      <c r="B60" s="13">
        <f t="shared" si="362"/>
        <v>300</v>
      </c>
      <c r="C60" s="13">
        <f t="shared" si="318"/>
        <v>7681440.0000002235</v>
      </c>
      <c r="D60">
        <v>64</v>
      </c>
      <c r="E60">
        <v>486</v>
      </c>
      <c r="H60">
        <f t="shared" ref="H60" si="383">D60</f>
        <v>64</v>
      </c>
      <c r="I60" s="112">
        <f t="shared" ref="I60" si="384">E60</f>
        <v>486</v>
      </c>
      <c r="L60" s="13">
        <v>7681440.0000002235</v>
      </c>
      <c r="M60">
        <v>64</v>
      </c>
      <c r="N60">
        <v>486</v>
      </c>
      <c r="O60">
        <v>96</v>
      </c>
      <c r="Q60" s="127">
        <v>45232.479166666657</v>
      </c>
      <c r="R60">
        <v>0</v>
      </c>
      <c r="S60" s="13">
        <f t="shared" si="9"/>
        <v>685800.0000001397</v>
      </c>
      <c r="T60">
        <f t="shared" si="0"/>
        <v>0</v>
      </c>
      <c r="U60" s="13">
        <f t="shared" si="1"/>
        <v>685800.0000001397</v>
      </c>
      <c r="V60" s="112">
        <f t="shared" si="2"/>
        <v>1E-10</v>
      </c>
      <c r="X60" s="74">
        <v>7681440.0000002235</v>
      </c>
      <c r="Y60" s="13">
        <f t="shared" si="358"/>
        <v>300</v>
      </c>
      <c r="Z60" s="13">
        <f t="shared" ref="Z60" si="385">X60</f>
        <v>7681440.0000002235</v>
      </c>
      <c r="AA60" s="31">
        <v>64</v>
      </c>
      <c r="AB60" s="31">
        <v>486</v>
      </c>
      <c r="AE60">
        <f t="shared" ref="AE60" si="386">AA60</f>
        <v>64</v>
      </c>
      <c r="AF60" s="112">
        <f t="shared" ref="AF60" si="387">AB60</f>
        <v>486</v>
      </c>
      <c r="AI60" s="13">
        <v>7681440.0000002235</v>
      </c>
      <c r="AJ60">
        <v>64</v>
      </c>
      <c r="AK60" s="112">
        <v>486</v>
      </c>
      <c r="AN60" s="127">
        <v>45232.479166666657</v>
      </c>
      <c r="AO60">
        <v>0</v>
      </c>
      <c r="AP60" s="13">
        <f t="shared" si="13"/>
        <v>685800.0000001397</v>
      </c>
      <c r="AQ60">
        <f t="shared" si="231"/>
        <v>0</v>
      </c>
      <c r="AR60" s="13">
        <f t="shared" si="232"/>
        <v>685800.0000001397</v>
      </c>
      <c r="AS60" s="112">
        <f t="shared" si="233"/>
        <v>1E-10</v>
      </c>
    </row>
    <row r="61" spans="1:45" x14ac:dyDescent="0.25">
      <c r="B61" s="13">
        <f t="shared" si="362"/>
        <v>7681740.0000002235</v>
      </c>
      <c r="C61" s="13">
        <f t="shared" si="325"/>
        <v>7681740.0000002235</v>
      </c>
      <c r="F61" s="44">
        <v>1E-10</v>
      </c>
      <c r="G61" s="44">
        <v>1E-10</v>
      </c>
      <c r="H61" s="44">
        <f t="shared" ref="H61" si="388">F61</f>
        <v>1E-10</v>
      </c>
      <c r="I61" s="124">
        <f t="shared" ref="I61" si="389">G61</f>
        <v>1E-10</v>
      </c>
      <c r="L61" s="13">
        <v>7681740.0000002235</v>
      </c>
      <c r="M61" s="44">
        <v>1E-10</v>
      </c>
      <c r="N61" s="44">
        <v>1E-10</v>
      </c>
      <c r="O61">
        <v>96</v>
      </c>
      <c r="Q61" s="127">
        <v>45232.583333333343</v>
      </c>
      <c r="R61">
        <v>0</v>
      </c>
      <c r="S61" s="13">
        <f t="shared" si="9"/>
        <v>694800.0000001397</v>
      </c>
      <c r="T61">
        <f t="shared" si="0"/>
        <v>0</v>
      </c>
      <c r="U61" s="13">
        <f t="shared" si="1"/>
        <v>694800.0000001397</v>
      </c>
      <c r="V61" s="112">
        <f t="shared" si="2"/>
        <v>1E-10</v>
      </c>
      <c r="X61" s="74"/>
      <c r="Y61" s="13">
        <f t="shared" si="358"/>
        <v>7681740.0000002235</v>
      </c>
      <c r="Z61" s="13">
        <f t="shared" ref="Z61" si="390">Y61</f>
        <v>7681740.0000002235</v>
      </c>
      <c r="AC61" s="44">
        <v>1E-10</v>
      </c>
      <c r="AD61" s="44">
        <v>1E-10</v>
      </c>
      <c r="AE61" s="44">
        <f t="shared" ref="AE61" si="391">AC61</f>
        <v>1E-10</v>
      </c>
      <c r="AF61" s="124">
        <f t="shared" ref="AF61" si="392">AD61</f>
        <v>1E-10</v>
      </c>
      <c r="AI61" s="13">
        <v>7681740.0000002235</v>
      </c>
      <c r="AJ61" s="44">
        <v>1E-10</v>
      </c>
      <c r="AK61" s="124">
        <v>1E-10</v>
      </c>
      <c r="AN61" s="127">
        <v>45232.583333333343</v>
      </c>
      <c r="AO61">
        <v>0</v>
      </c>
      <c r="AP61" s="13">
        <f t="shared" si="13"/>
        <v>694800.0000001397</v>
      </c>
      <c r="AQ61">
        <f t="shared" si="231"/>
        <v>0</v>
      </c>
      <c r="AR61" s="13">
        <f t="shared" si="232"/>
        <v>694800.0000001397</v>
      </c>
      <c r="AS61" s="112">
        <f t="shared" si="233"/>
        <v>1E-10</v>
      </c>
    </row>
    <row r="62" spans="1:45" x14ac:dyDescent="0.25">
      <c r="A62" s="74">
        <v>7862399.9999997905</v>
      </c>
      <c r="B62" s="13">
        <f t="shared" si="362"/>
        <v>300</v>
      </c>
      <c r="C62" s="13">
        <f t="shared" si="318"/>
        <v>7862399.9999997905</v>
      </c>
      <c r="D62">
        <v>64</v>
      </c>
      <c r="E62">
        <v>486</v>
      </c>
      <c r="H62">
        <f t="shared" ref="H62" si="393">D62</f>
        <v>64</v>
      </c>
      <c r="I62" s="112">
        <f t="shared" ref="I62" si="394">E62</f>
        <v>486</v>
      </c>
      <c r="L62" s="13">
        <v>7862399.9999997905</v>
      </c>
      <c r="M62">
        <v>64</v>
      </c>
      <c r="N62">
        <v>486</v>
      </c>
      <c r="O62">
        <v>96</v>
      </c>
      <c r="Q62" s="127">
        <v>45232.6875</v>
      </c>
      <c r="R62">
        <v>0</v>
      </c>
      <c r="S62" s="13">
        <f t="shared" si="9"/>
        <v>703800.0000001397</v>
      </c>
      <c r="T62">
        <f t="shared" si="0"/>
        <v>0</v>
      </c>
      <c r="U62" s="13">
        <f t="shared" si="1"/>
        <v>703800.0000001397</v>
      </c>
      <c r="V62" s="112">
        <f t="shared" si="2"/>
        <v>1E-10</v>
      </c>
      <c r="X62" s="74">
        <v>7862399.9999997905</v>
      </c>
      <c r="Y62" s="13">
        <f t="shared" si="358"/>
        <v>300</v>
      </c>
      <c r="Z62" s="13">
        <f t="shared" ref="Z62" si="395">X62</f>
        <v>7862399.9999997905</v>
      </c>
      <c r="AA62" s="31">
        <v>64</v>
      </c>
      <c r="AB62" s="31">
        <v>486</v>
      </c>
      <c r="AE62">
        <f t="shared" ref="AE62" si="396">AA62</f>
        <v>64</v>
      </c>
      <c r="AF62" s="112">
        <f t="shared" ref="AF62" si="397">AB62</f>
        <v>486</v>
      </c>
      <c r="AI62" s="13">
        <v>7862399.9999997905</v>
      </c>
      <c r="AJ62">
        <v>64</v>
      </c>
      <c r="AK62" s="112">
        <v>486</v>
      </c>
      <c r="AN62" s="127">
        <v>45232.6875</v>
      </c>
      <c r="AO62">
        <v>0</v>
      </c>
      <c r="AP62" s="13">
        <f t="shared" si="13"/>
        <v>703800.0000001397</v>
      </c>
      <c r="AQ62">
        <f t="shared" si="231"/>
        <v>0</v>
      </c>
      <c r="AR62" s="13">
        <f t="shared" si="232"/>
        <v>703800.0000001397</v>
      </c>
      <c r="AS62" s="112">
        <f t="shared" si="233"/>
        <v>1E-10</v>
      </c>
    </row>
    <row r="63" spans="1:45" x14ac:dyDescent="0.25">
      <c r="B63" s="13">
        <f t="shared" si="362"/>
        <v>7862699.9999997905</v>
      </c>
      <c r="C63" s="13">
        <f t="shared" si="325"/>
        <v>7862699.9999997905</v>
      </c>
      <c r="F63" s="44">
        <v>1E-10</v>
      </c>
      <c r="G63" s="44">
        <v>1E-10</v>
      </c>
      <c r="H63" s="44">
        <f t="shared" ref="H63" si="398">F63</f>
        <v>1E-10</v>
      </c>
      <c r="I63" s="124">
        <f t="shared" ref="I63" si="399">G63</f>
        <v>1E-10</v>
      </c>
      <c r="L63" s="13">
        <v>7862699.9999997905</v>
      </c>
      <c r="M63" s="44">
        <v>1E-10</v>
      </c>
      <c r="N63" s="44">
        <v>1E-10</v>
      </c>
      <c r="O63">
        <v>96</v>
      </c>
      <c r="Q63" s="127">
        <v>45232.791666666657</v>
      </c>
      <c r="R63">
        <v>0</v>
      </c>
      <c r="S63" s="13">
        <f t="shared" si="9"/>
        <v>712800.0000001397</v>
      </c>
      <c r="T63">
        <f t="shared" si="0"/>
        <v>0</v>
      </c>
      <c r="U63" s="13">
        <f t="shared" si="1"/>
        <v>712800.0000001397</v>
      </c>
      <c r="V63" s="112">
        <f t="shared" si="2"/>
        <v>1E-10</v>
      </c>
      <c r="X63" s="74"/>
      <c r="Y63" s="13">
        <f t="shared" si="358"/>
        <v>7862699.9999997905</v>
      </c>
      <c r="Z63" s="13">
        <f t="shared" ref="Z63" si="400">Y63</f>
        <v>7862699.9999997905</v>
      </c>
      <c r="AC63" s="44">
        <v>1E-10</v>
      </c>
      <c r="AD63" s="44">
        <v>1E-10</v>
      </c>
      <c r="AE63" s="44">
        <f t="shared" ref="AE63" si="401">AC63</f>
        <v>1E-10</v>
      </c>
      <c r="AF63" s="124">
        <f t="shared" ref="AF63" si="402">AD63</f>
        <v>1E-10</v>
      </c>
      <c r="AI63" s="13">
        <v>7862699.9999997905</v>
      </c>
      <c r="AJ63" s="44">
        <v>1E-10</v>
      </c>
      <c r="AK63" s="124">
        <v>1E-10</v>
      </c>
      <c r="AN63" s="127">
        <v>45232.791666666657</v>
      </c>
      <c r="AO63">
        <v>0</v>
      </c>
      <c r="AP63" s="13">
        <f t="shared" si="13"/>
        <v>712800.0000001397</v>
      </c>
      <c r="AQ63">
        <f t="shared" si="231"/>
        <v>0</v>
      </c>
      <c r="AR63" s="13">
        <f t="shared" si="232"/>
        <v>712800.0000001397</v>
      </c>
      <c r="AS63" s="112">
        <f t="shared" si="233"/>
        <v>1E-10</v>
      </c>
    </row>
    <row r="64" spans="1:45" x14ac:dyDescent="0.25">
      <c r="A64" s="74">
        <v>8048699.9999997905</v>
      </c>
      <c r="B64" s="13">
        <f t="shared" si="362"/>
        <v>300</v>
      </c>
      <c r="C64" s="13">
        <f t="shared" si="318"/>
        <v>8048699.9999997905</v>
      </c>
      <c r="D64">
        <v>93</v>
      </c>
      <c r="E64">
        <v>730</v>
      </c>
      <c r="H64">
        <f t="shared" ref="H64" si="403">D64</f>
        <v>93</v>
      </c>
      <c r="I64" s="112">
        <f t="shared" ref="I64" si="404">E64</f>
        <v>730</v>
      </c>
      <c r="L64" s="13">
        <v>8048699.9999997905</v>
      </c>
      <c r="M64">
        <v>93</v>
      </c>
      <c r="N64">
        <v>730</v>
      </c>
      <c r="O64">
        <v>96</v>
      </c>
      <c r="Q64" s="127">
        <v>45232.895833333343</v>
      </c>
      <c r="R64">
        <v>0</v>
      </c>
      <c r="S64" s="13">
        <f t="shared" si="9"/>
        <v>721800.0000001397</v>
      </c>
      <c r="T64">
        <f t="shared" si="0"/>
        <v>0</v>
      </c>
      <c r="U64" s="13">
        <f t="shared" si="1"/>
        <v>721800.0000001397</v>
      </c>
      <c r="V64" s="112">
        <f t="shared" si="2"/>
        <v>1E-10</v>
      </c>
      <c r="X64" s="74">
        <v>8048699.9999997905</v>
      </c>
      <c r="Y64" s="13">
        <f t="shared" si="358"/>
        <v>300</v>
      </c>
      <c r="Z64" s="13">
        <f t="shared" ref="Z64" si="405">X64</f>
        <v>8048699.9999997905</v>
      </c>
      <c r="AA64" s="31">
        <v>93</v>
      </c>
      <c r="AB64" s="31">
        <v>730</v>
      </c>
      <c r="AE64">
        <f t="shared" ref="AE64" si="406">AA64</f>
        <v>93</v>
      </c>
      <c r="AF64" s="112">
        <f t="shared" ref="AF64" si="407">AB64</f>
        <v>730</v>
      </c>
      <c r="AI64" s="13">
        <v>8048699.9999997905</v>
      </c>
      <c r="AJ64">
        <v>93</v>
      </c>
      <c r="AK64" s="112">
        <v>730</v>
      </c>
      <c r="AN64" s="127">
        <v>45232.895833333343</v>
      </c>
      <c r="AO64">
        <v>0</v>
      </c>
      <c r="AP64" s="13">
        <f t="shared" si="13"/>
        <v>721800.0000001397</v>
      </c>
      <c r="AQ64">
        <f t="shared" si="231"/>
        <v>0</v>
      </c>
      <c r="AR64" s="13">
        <f t="shared" si="232"/>
        <v>721800.0000001397</v>
      </c>
      <c r="AS64" s="112">
        <f t="shared" si="233"/>
        <v>1E-10</v>
      </c>
    </row>
    <row r="65" spans="1:45" x14ac:dyDescent="0.25">
      <c r="B65" s="13">
        <f t="shared" si="362"/>
        <v>8048999.9999997905</v>
      </c>
      <c r="C65" s="13">
        <f t="shared" si="325"/>
        <v>8048999.9999997905</v>
      </c>
      <c r="F65" s="44">
        <v>1E-10</v>
      </c>
      <c r="G65" s="44">
        <v>1E-10</v>
      </c>
      <c r="H65" s="44">
        <f t="shared" ref="H65" si="408">F65</f>
        <v>1E-10</v>
      </c>
      <c r="I65" s="124">
        <f t="shared" ref="I65" si="409">G65</f>
        <v>1E-10</v>
      </c>
      <c r="L65" s="13">
        <v>8048999.9999997905</v>
      </c>
      <c r="M65" s="44">
        <v>1E-10</v>
      </c>
      <c r="N65" s="44">
        <v>1E-10</v>
      </c>
      <c r="O65">
        <v>96</v>
      </c>
      <c r="Q65" s="127">
        <v>45233</v>
      </c>
      <c r="R65">
        <v>0</v>
      </c>
      <c r="S65" s="13">
        <f t="shared" si="9"/>
        <v>730800.0000001397</v>
      </c>
      <c r="T65">
        <f t="shared" si="0"/>
        <v>0</v>
      </c>
      <c r="U65" s="13">
        <f t="shared" si="1"/>
        <v>730800.0000001397</v>
      </c>
      <c r="V65" s="112">
        <f t="shared" si="2"/>
        <v>1E-10</v>
      </c>
      <c r="X65" s="74"/>
      <c r="Y65" s="13">
        <f t="shared" si="358"/>
        <v>8048999.9999997905</v>
      </c>
      <c r="Z65" s="13">
        <f t="shared" ref="Z65" si="410">Y65</f>
        <v>8048999.9999997905</v>
      </c>
      <c r="AC65" s="44">
        <v>1E-10</v>
      </c>
      <c r="AD65" s="44">
        <v>1E-10</v>
      </c>
      <c r="AE65" s="44">
        <f t="shared" ref="AE65" si="411">AC65</f>
        <v>1E-10</v>
      </c>
      <c r="AF65" s="124">
        <f t="shared" ref="AF65" si="412">AD65</f>
        <v>1E-10</v>
      </c>
      <c r="AI65" s="13">
        <v>8048999.9999997905</v>
      </c>
      <c r="AJ65" s="44">
        <v>1E-10</v>
      </c>
      <c r="AK65" s="124">
        <v>1E-10</v>
      </c>
      <c r="AN65" s="127">
        <v>45233</v>
      </c>
      <c r="AO65">
        <v>0</v>
      </c>
      <c r="AP65" s="13">
        <f t="shared" si="13"/>
        <v>730800.0000001397</v>
      </c>
      <c r="AQ65">
        <f t="shared" si="231"/>
        <v>0</v>
      </c>
      <c r="AR65" s="13">
        <f t="shared" si="232"/>
        <v>730800.0000001397</v>
      </c>
      <c r="AS65" s="112">
        <f t="shared" si="233"/>
        <v>1E-10</v>
      </c>
    </row>
    <row r="66" spans="1:45" x14ac:dyDescent="0.25">
      <c r="A66" s="74">
        <v>8288100</v>
      </c>
      <c r="B66" s="13">
        <f t="shared" si="362"/>
        <v>300</v>
      </c>
      <c r="C66" s="13">
        <f t="shared" si="318"/>
        <v>8288100</v>
      </c>
      <c r="D66">
        <v>64</v>
      </c>
      <c r="E66">
        <v>486</v>
      </c>
      <c r="H66">
        <f t="shared" ref="H66" si="413">D66</f>
        <v>64</v>
      </c>
      <c r="I66" s="112">
        <f t="shared" ref="I66" si="414">E66</f>
        <v>486</v>
      </c>
      <c r="L66" s="13">
        <v>8288100</v>
      </c>
      <c r="M66">
        <v>64</v>
      </c>
      <c r="N66">
        <v>486</v>
      </c>
      <c r="O66">
        <v>96</v>
      </c>
      <c r="Q66" s="127">
        <v>45233.104166666657</v>
      </c>
      <c r="R66">
        <v>0</v>
      </c>
      <c r="S66" s="13">
        <f t="shared" si="9"/>
        <v>739800.0000001397</v>
      </c>
      <c r="T66">
        <f t="shared" si="0"/>
        <v>0</v>
      </c>
      <c r="U66" s="13">
        <f t="shared" si="1"/>
        <v>739800.0000001397</v>
      </c>
      <c r="V66" s="112">
        <f t="shared" si="2"/>
        <v>1E-10</v>
      </c>
      <c r="X66" s="74">
        <v>8288100</v>
      </c>
      <c r="Y66" s="13">
        <f t="shared" si="358"/>
        <v>300</v>
      </c>
      <c r="Z66" s="13">
        <f t="shared" ref="Z66" si="415">X66</f>
        <v>8288100</v>
      </c>
      <c r="AA66" s="31">
        <v>64</v>
      </c>
      <c r="AB66" s="31">
        <v>486</v>
      </c>
      <c r="AE66">
        <f t="shared" ref="AE66" si="416">AA66</f>
        <v>64</v>
      </c>
      <c r="AF66" s="112">
        <f t="shared" ref="AF66" si="417">AB66</f>
        <v>486</v>
      </c>
      <c r="AI66" s="13">
        <v>8288100</v>
      </c>
      <c r="AJ66">
        <v>64</v>
      </c>
      <c r="AK66" s="112">
        <v>486</v>
      </c>
      <c r="AN66" s="127">
        <v>45233.104166666657</v>
      </c>
      <c r="AO66">
        <v>0</v>
      </c>
      <c r="AP66" s="13">
        <f t="shared" si="13"/>
        <v>739800.0000001397</v>
      </c>
      <c r="AQ66">
        <f t="shared" si="231"/>
        <v>0</v>
      </c>
      <c r="AR66" s="13">
        <f t="shared" si="232"/>
        <v>739800.0000001397</v>
      </c>
      <c r="AS66" s="112">
        <f t="shared" si="233"/>
        <v>1E-10</v>
      </c>
    </row>
    <row r="67" spans="1:45" x14ac:dyDescent="0.25">
      <c r="B67" s="13">
        <f t="shared" si="362"/>
        <v>8288400</v>
      </c>
      <c r="C67" s="13">
        <f t="shared" si="325"/>
        <v>8288400</v>
      </c>
      <c r="F67" s="44">
        <v>1E-10</v>
      </c>
      <c r="G67" s="44">
        <v>1E-10</v>
      </c>
      <c r="H67" s="44">
        <f t="shared" ref="H67" si="418">F67</f>
        <v>1E-10</v>
      </c>
      <c r="I67" s="124">
        <f t="shared" ref="I67" si="419">G67</f>
        <v>1E-10</v>
      </c>
      <c r="L67" s="13">
        <v>8288400</v>
      </c>
      <c r="M67" s="44">
        <v>1E-10</v>
      </c>
      <c r="N67" s="44">
        <v>1E-10</v>
      </c>
      <c r="O67">
        <v>96</v>
      </c>
      <c r="Q67" s="127">
        <v>45233.208333333343</v>
      </c>
      <c r="R67">
        <v>0</v>
      </c>
      <c r="S67" s="13">
        <f t="shared" si="9"/>
        <v>748800.0000001397</v>
      </c>
      <c r="T67">
        <f t="shared" ref="T67:T130" si="420">R67*96</f>
        <v>0</v>
      </c>
      <c r="U67" s="13">
        <f t="shared" ref="U67:U130" si="421">S67</f>
        <v>748800.0000001397</v>
      </c>
      <c r="V67" s="112">
        <f t="shared" ref="V67:V130" si="422">IF(T67=0,0.0000000001,T67)</f>
        <v>1E-10</v>
      </c>
      <c r="X67" s="74"/>
      <c r="Y67" s="13">
        <f t="shared" si="358"/>
        <v>8288400</v>
      </c>
      <c r="Z67" s="13">
        <f t="shared" ref="Z67" si="423">Y67</f>
        <v>8288400</v>
      </c>
      <c r="AC67" s="44">
        <v>1E-10</v>
      </c>
      <c r="AD67" s="44">
        <v>1E-10</v>
      </c>
      <c r="AE67" s="44">
        <f t="shared" ref="AE67" si="424">AC67</f>
        <v>1E-10</v>
      </c>
      <c r="AF67" s="124">
        <f t="shared" ref="AF67" si="425">AD67</f>
        <v>1E-10</v>
      </c>
      <c r="AI67" s="13">
        <v>8288400</v>
      </c>
      <c r="AJ67" s="44">
        <v>1E-10</v>
      </c>
      <c r="AK67" s="124">
        <v>1E-10</v>
      </c>
      <c r="AN67" s="127">
        <v>45233.208333333343</v>
      </c>
      <c r="AO67">
        <v>0</v>
      </c>
      <c r="AP67" s="13">
        <f t="shared" si="13"/>
        <v>748800.0000001397</v>
      </c>
      <c r="AQ67">
        <f t="shared" si="231"/>
        <v>0</v>
      </c>
      <c r="AR67" s="13">
        <f t="shared" si="232"/>
        <v>748800.0000001397</v>
      </c>
      <c r="AS67" s="112">
        <f t="shared" si="233"/>
        <v>1E-10</v>
      </c>
    </row>
    <row r="68" spans="1:45" x14ac:dyDescent="0.25">
      <c r="A68" s="31">
        <v>8467199.9999997914</v>
      </c>
      <c r="B68" s="13">
        <f t="shared" ref="B68:B91" si="426">A67+300</f>
        <v>300</v>
      </c>
      <c r="C68" s="13">
        <f t="shared" ref="C68" si="427">A68</f>
        <v>8467199.9999997914</v>
      </c>
      <c r="D68" s="31">
        <v>64</v>
      </c>
      <c r="E68" s="31">
        <v>486</v>
      </c>
      <c r="H68">
        <f t="shared" ref="H68" si="428">D68</f>
        <v>64</v>
      </c>
      <c r="I68" s="112">
        <f t="shared" ref="I68" si="429">E68</f>
        <v>486</v>
      </c>
      <c r="L68" s="13">
        <v>8467199.9999997914</v>
      </c>
      <c r="M68">
        <v>64</v>
      </c>
      <c r="N68">
        <v>486</v>
      </c>
      <c r="Q68" s="127">
        <v>45233.3125</v>
      </c>
      <c r="R68">
        <v>0</v>
      </c>
      <c r="S68" s="13">
        <f t="shared" ref="S68:S131" si="430">S67+150*60</f>
        <v>757800.0000001397</v>
      </c>
      <c r="T68">
        <f t="shared" si="420"/>
        <v>0</v>
      </c>
      <c r="U68" s="13">
        <f t="shared" si="421"/>
        <v>757800.0000001397</v>
      </c>
      <c r="V68" s="112">
        <f t="shared" si="422"/>
        <v>1E-10</v>
      </c>
      <c r="X68" s="74">
        <v>8467199.9999997914</v>
      </c>
      <c r="Y68" s="13">
        <f t="shared" si="358"/>
        <v>300</v>
      </c>
      <c r="Z68" s="13">
        <f t="shared" ref="Z68" si="431">X68</f>
        <v>8467199.9999997914</v>
      </c>
      <c r="AA68" s="31">
        <v>64</v>
      </c>
      <c r="AB68" s="31">
        <v>486</v>
      </c>
      <c r="AE68">
        <f t="shared" ref="AE68" si="432">AA68</f>
        <v>64</v>
      </c>
      <c r="AF68" s="112">
        <f t="shared" ref="AF68" si="433">AB68</f>
        <v>486</v>
      </c>
      <c r="AI68" s="13">
        <v>8467199.9999997914</v>
      </c>
      <c r="AJ68">
        <v>64</v>
      </c>
      <c r="AK68" s="112">
        <v>486</v>
      </c>
      <c r="AN68" s="127">
        <v>45233.3125</v>
      </c>
      <c r="AO68">
        <v>0</v>
      </c>
      <c r="AP68" s="13">
        <f t="shared" ref="AP68:AP131" si="434">AP67+150*60</f>
        <v>757800.0000001397</v>
      </c>
      <c r="AQ68">
        <f t="shared" si="231"/>
        <v>0</v>
      </c>
      <c r="AR68" s="13">
        <f t="shared" si="232"/>
        <v>757800.0000001397</v>
      </c>
      <c r="AS68" s="112">
        <f t="shared" si="233"/>
        <v>1E-10</v>
      </c>
    </row>
    <row r="69" spans="1:45" x14ac:dyDescent="0.25">
      <c r="A69" s="31"/>
      <c r="B69" s="13">
        <f t="shared" si="426"/>
        <v>8467499.9999997914</v>
      </c>
      <c r="C69" s="13">
        <f t="shared" ref="C69" si="435">B69</f>
        <v>8467499.9999997914</v>
      </c>
      <c r="D69" s="31"/>
      <c r="E69" s="31"/>
      <c r="F69" s="44">
        <v>1E-10</v>
      </c>
      <c r="G69" s="44">
        <v>1E-10</v>
      </c>
      <c r="H69" s="44">
        <f t="shared" ref="H69" si="436">F69</f>
        <v>1E-10</v>
      </c>
      <c r="I69" s="124">
        <f t="shared" ref="I69" si="437">G69</f>
        <v>1E-10</v>
      </c>
      <c r="L69" s="13">
        <v>8467499.9999997914</v>
      </c>
      <c r="M69" s="44">
        <v>1E-10</v>
      </c>
      <c r="N69" s="44">
        <v>1E-10</v>
      </c>
      <c r="Q69" s="127">
        <v>45233.416666666657</v>
      </c>
      <c r="R69">
        <v>0</v>
      </c>
      <c r="S69" s="13">
        <f t="shared" si="430"/>
        <v>766800.0000001397</v>
      </c>
      <c r="T69">
        <f t="shared" si="420"/>
        <v>0</v>
      </c>
      <c r="U69" s="13">
        <f t="shared" si="421"/>
        <v>766800.0000001397</v>
      </c>
      <c r="V69" s="112">
        <f t="shared" si="422"/>
        <v>1E-10</v>
      </c>
      <c r="X69" s="74"/>
      <c r="Y69" s="13">
        <f t="shared" si="358"/>
        <v>8467499.9999997914</v>
      </c>
      <c r="Z69" s="13">
        <f t="shared" ref="Z69" si="438">Y69</f>
        <v>8467499.9999997914</v>
      </c>
      <c r="AC69" s="44">
        <v>1E-10</v>
      </c>
      <c r="AD69" s="44">
        <v>1E-10</v>
      </c>
      <c r="AE69" s="44">
        <f t="shared" ref="AE69" si="439">AC69</f>
        <v>1E-10</v>
      </c>
      <c r="AF69" s="124">
        <f t="shared" ref="AF69" si="440">AD69</f>
        <v>1E-10</v>
      </c>
      <c r="AI69" s="13">
        <v>8467499.9999997914</v>
      </c>
      <c r="AJ69" s="44">
        <v>1E-10</v>
      </c>
      <c r="AK69" s="124">
        <v>1E-10</v>
      </c>
      <c r="AN69" s="127">
        <v>45233.416666666657</v>
      </c>
      <c r="AO69">
        <v>0</v>
      </c>
      <c r="AP69" s="13">
        <f t="shared" si="434"/>
        <v>766800.0000001397</v>
      </c>
      <c r="AQ69">
        <f t="shared" si="231"/>
        <v>0</v>
      </c>
      <c r="AR69" s="13">
        <f t="shared" si="232"/>
        <v>766800.0000001397</v>
      </c>
      <c r="AS69" s="112">
        <f t="shared" si="233"/>
        <v>1E-10</v>
      </c>
    </row>
    <row r="70" spans="1:45" x14ac:dyDescent="0.25">
      <c r="A70" s="31">
        <v>8634599.9999997914</v>
      </c>
      <c r="B70" s="13">
        <f t="shared" si="426"/>
        <v>300</v>
      </c>
      <c r="C70" s="13">
        <f t="shared" ref="C70" si="441">A70</f>
        <v>8634599.9999997914</v>
      </c>
      <c r="D70" s="31">
        <v>96</v>
      </c>
      <c r="E70" s="31">
        <v>730</v>
      </c>
      <c r="H70">
        <f t="shared" ref="H70" si="442">D70</f>
        <v>96</v>
      </c>
      <c r="I70" s="112">
        <f t="shared" ref="I70" si="443">E70</f>
        <v>730</v>
      </c>
      <c r="L70" s="13">
        <v>8634599.9999997914</v>
      </c>
      <c r="M70">
        <v>96</v>
      </c>
      <c r="N70">
        <v>730</v>
      </c>
      <c r="Q70" s="127">
        <v>45233.520833333343</v>
      </c>
      <c r="R70">
        <v>8</v>
      </c>
      <c r="S70" s="13">
        <f t="shared" si="430"/>
        <v>775800.0000001397</v>
      </c>
      <c r="T70">
        <f t="shared" si="420"/>
        <v>768</v>
      </c>
      <c r="U70" s="13">
        <f t="shared" si="421"/>
        <v>775800.0000001397</v>
      </c>
      <c r="V70" s="112">
        <f t="shared" si="422"/>
        <v>768</v>
      </c>
      <c r="X70" s="74">
        <v>8634599.9999997914</v>
      </c>
      <c r="Y70" s="13">
        <f t="shared" si="358"/>
        <v>300</v>
      </c>
      <c r="Z70" s="13">
        <f t="shared" ref="Z70" si="444">X70</f>
        <v>8634599.9999997914</v>
      </c>
      <c r="AA70" s="31">
        <v>96</v>
      </c>
      <c r="AB70" s="31">
        <v>730</v>
      </c>
      <c r="AE70">
        <f t="shared" ref="AE70" si="445">AA70</f>
        <v>96</v>
      </c>
      <c r="AF70" s="112">
        <f t="shared" ref="AF70" si="446">AB70</f>
        <v>730</v>
      </c>
      <c r="AI70" s="13">
        <v>8634599.9999997914</v>
      </c>
      <c r="AJ70">
        <v>96</v>
      </c>
      <c r="AK70" s="112">
        <v>730</v>
      </c>
      <c r="AN70" s="127">
        <v>45233.520833333343</v>
      </c>
      <c r="AO70">
        <v>6</v>
      </c>
      <c r="AP70" s="13">
        <f t="shared" si="434"/>
        <v>775800.0000001397</v>
      </c>
      <c r="AQ70">
        <f t="shared" si="231"/>
        <v>576</v>
      </c>
      <c r="AR70" s="13">
        <f t="shared" si="232"/>
        <v>775800.0000001397</v>
      </c>
      <c r="AS70" s="112">
        <f t="shared" si="233"/>
        <v>576</v>
      </c>
    </row>
    <row r="71" spans="1:45" x14ac:dyDescent="0.25">
      <c r="A71" s="31"/>
      <c r="B71" s="13">
        <f t="shared" si="426"/>
        <v>8634899.9999997914</v>
      </c>
      <c r="C71" s="13">
        <f t="shared" ref="C71" si="447">B71</f>
        <v>8634899.9999997914</v>
      </c>
      <c r="D71" s="31"/>
      <c r="E71" s="31"/>
      <c r="F71" s="44">
        <v>1E-10</v>
      </c>
      <c r="G71" s="44">
        <v>1E-10</v>
      </c>
      <c r="H71" s="44">
        <f t="shared" ref="H71" si="448">F71</f>
        <v>1E-10</v>
      </c>
      <c r="I71" s="124">
        <f t="shared" ref="I71" si="449">G71</f>
        <v>1E-10</v>
      </c>
      <c r="L71" s="13">
        <v>8634899.9999997914</v>
      </c>
      <c r="M71" s="44">
        <v>1E-10</v>
      </c>
      <c r="N71" s="44">
        <v>1E-10</v>
      </c>
      <c r="Q71" s="127">
        <v>45233.625</v>
      </c>
      <c r="R71">
        <v>1</v>
      </c>
      <c r="S71" s="13">
        <f t="shared" si="430"/>
        <v>784800.0000001397</v>
      </c>
      <c r="T71">
        <f t="shared" si="420"/>
        <v>96</v>
      </c>
      <c r="U71" s="13">
        <f t="shared" si="421"/>
        <v>784800.0000001397</v>
      </c>
      <c r="V71" s="112">
        <f t="shared" si="422"/>
        <v>96</v>
      </c>
      <c r="X71" s="74"/>
      <c r="Y71" s="13">
        <f t="shared" si="358"/>
        <v>8634899.9999997914</v>
      </c>
      <c r="Z71" s="13">
        <f t="shared" ref="Z71" si="450">Y71</f>
        <v>8634899.9999997914</v>
      </c>
      <c r="AC71" s="44">
        <v>1E-10</v>
      </c>
      <c r="AD71" s="44">
        <v>1E-10</v>
      </c>
      <c r="AE71" s="44">
        <f t="shared" ref="AE71" si="451">AC71</f>
        <v>1E-10</v>
      </c>
      <c r="AF71" s="124">
        <f t="shared" ref="AF71" si="452">AD71</f>
        <v>1E-10</v>
      </c>
      <c r="AI71" s="13">
        <v>8634899.9999997914</v>
      </c>
      <c r="AJ71" s="44">
        <v>1E-10</v>
      </c>
      <c r="AK71" s="124">
        <v>1E-10</v>
      </c>
      <c r="AN71" s="127">
        <v>45233.625</v>
      </c>
      <c r="AO71">
        <v>0</v>
      </c>
      <c r="AP71" s="13">
        <f t="shared" si="434"/>
        <v>784800.0000001397</v>
      </c>
      <c r="AQ71">
        <f t="shared" si="231"/>
        <v>0</v>
      </c>
      <c r="AR71" s="13">
        <f t="shared" si="232"/>
        <v>784800.0000001397</v>
      </c>
      <c r="AS71" s="112">
        <f t="shared" si="233"/>
        <v>1E-10</v>
      </c>
    </row>
    <row r="72" spans="1:45" x14ac:dyDescent="0.25">
      <c r="A72" s="31">
        <v>8900100.0000002086</v>
      </c>
      <c r="B72" s="13">
        <f t="shared" si="426"/>
        <v>300</v>
      </c>
      <c r="C72" s="13">
        <f t="shared" ref="C72" si="453">A72</f>
        <v>8900100.0000002086</v>
      </c>
      <c r="D72" s="31">
        <v>70</v>
      </c>
      <c r="E72" s="31">
        <v>462</v>
      </c>
      <c r="H72">
        <f t="shared" ref="H72" si="454">D72</f>
        <v>70</v>
      </c>
      <c r="I72" s="112">
        <f t="shared" ref="I72" si="455">E72</f>
        <v>462</v>
      </c>
      <c r="L72" s="13">
        <v>8900100.0000002086</v>
      </c>
      <c r="M72">
        <v>70</v>
      </c>
      <c r="N72">
        <v>462</v>
      </c>
      <c r="Q72" s="127">
        <v>45233.729166666657</v>
      </c>
      <c r="R72">
        <v>1</v>
      </c>
      <c r="S72" s="13">
        <f t="shared" si="430"/>
        <v>793800.0000001397</v>
      </c>
      <c r="T72">
        <f t="shared" si="420"/>
        <v>96</v>
      </c>
      <c r="U72" s="13">
        <f t="shared" si="421"/>
        <v>793800.0000001397</v>
      </c>
      <c r="V72" s="112">
        <f t="shared" si="422"/>
        <v>96</v>
      </c>
      <c r="X72" s="74">
        <v>8900100.0000002086</v>
      </c>
      <c r="Y72" s="13">
        <f t="shared" si="358"/>
        <v>300</v>
      </c>
      <c r="Z72" s="13">
        <f t="shared" ref="Z72" si="456">X72</f>
        <v>8900100.0000002086</v>
      </c>
      <c r="AA72" s="31">
        <v>64</v>
      </c>
      <c r="AB72" s="31">
        <v>486</v>
      </c>
      <c r="AE72">
        <f t="shared" ref="AE72" si="457">AA72</f>
        <v>64</v>
      </c>
      <c r="AF72" s="112">
        <f t="shared" ref="AF72" si="458">AB72</f>
        <v>486</v>
      </c>
      <c r="AI72" s="13">
        <v>8900100.0000002086</v>
      </c>
      <c r="AJ72">
        <v>64</v>
      </c>
      <c r="AK72" s="112">
        <v>486</v>
      </c>
      <c r="AN72" s="127">
        <v>45233.729166666657</v>
      </c>
      <c r="AO72">
        <v>1</v>
      </c>
      <c r="AP72" s="13">
        <f t="shared" si="434"/>
        <v>793800.0000001397</v>
      </c>
      <c r="AQ72">
        <f t="shared" si="231"/>
        <v>96</v>
      </c>
      <c r="AR72" s="13">
        <f t="shared" si="232"/>
        <v>793800.0000001397</v>
      </c>
      <c r="AS72" s="112">
        <f t="shared" si="233"/>
        <v>96</v>
      </c>
    </row>
    <row r="73" spans="1:45" x14ac:dyDescent="0.25">
      <c r="A73" s="31"/>
      <c r="B73" s="13">
        <f t="shared" si="426"/>
        <v>8900400.0000002086</v>
      </c>
      <c r="C73" s="13">
        <f t="shared" ref="C73" si="459">B73</f>
        <v>8900400.0000002086</v>
      </c>
      <c r="D73" s="31"/>
      <c r="E73" s="31"/>
      <c r="F73" s="44">
        <v>1E-10</v>
      </c>
      <c r="G73" s="44">
        <v>1E-10</v>
      </c>
      <c r="H73" s="44">
        <f t="shared" ref="H73" si="460">F73</f>
        <v>1E-10</v>
      </c>
      <c r="I73" s="124">
        <f t="shared" ref="I73" si="461">G73</f>
        <v>1E-10</v>
      </c>
      <c r="L73" s="13">
        <v>8900400.0000002086</v>
      </c>
      <c r="M73" s="44">
        <v>1E-10</v>
      </c>
      <c r="N73" s="44">
        <v>1E-10</v>
      </c>
      <c r="Q73" s="127">
        <v>45233.833333333343</v>
      </c>
      <c r="R73">
        <v>1</v>
      </c>
      <c r="S73" s="13">
        <f t="shared" si="430"/>
        <v>802800.0000001397</v>
      </c>
      <c r="T73">
        <f t="shared" si="420"/>
        <v>96</v>
      </c>
      <c r="U73" s="13">
        <f t="shared" si="421"/>
        <v>802800.0000001397</v>
      </c>
      <c r="V73" s="112">
        <f t="shared" si="422"/>
        <v>96</v>
      </c>
      <c r="X73" s="74"/>
      <c r="Y73" s="13">
        <f t="shared" si="358"/>
        <v>8900400.0000002086</v>
      </c>
      <c r="Z73" s="13">
        <f t="shared" ref="Z73" si="462">Y73</f>
        <v>8900400.0000002086</v>
      </c>
      <c r="AC73" s="44">
        <v>1E-10</v>
      </c>
      <c r="AD73" s="44">
        <v>1E-10</v>
      </c>
      <c r="AE73" s="44">
        <f t="shared" ref="AE73" si="463">AC73</f>
        <v>1E-10</v>
      </c>
      <c r="AF73" s="124">
        <f t="shared" ref="AF73" si="464">AD73</f>
        <v>1E-10</v>
      </c>
      <c r="AI73" s="13">
        <v>8900400.0000002086</v>
      </c>
      <c r="AJ73" s="44">
        <v>1E-10</v>
      </c>
      <c r="AK73" s="124">
        <v>1E-10</v>
      </c>
      <c r="AN73" s="127">
        <v>45233.833333333343</v>
      </c>
      <c r="AO73">
        <v>1</v>
      </c>
      <c r="AP73" s="13">
        <f t="shared" si="434"/>
        <v>802800.0000001397</v>
      </c>
      <c r="AQ73">
        <f t="shared" si="231"/>
        <v>96</v>
      </c>
      <c r="AR73" s="13">
        <f t="shared" si="232"/>
        <v>802800.0000001397</v>
      </c>
      <c r="AS73" s="112">
        <f t="shared" si="233"/>
        <v>96</v>
      </c>
    </row>
    <row r="74" spans="1:45" x14ac:dyDescent="0.25">
      <c r="A74" s="31">
        <v>9079200</v>
      </c>
      <c r="B74" s="13">
        <f t="shared" si="426"/>
        <v>300</v>
      </c>
      <c r="C74" s="13">
        <f t="shared" ref="C74" si="465">A74</f>
        <v>9079200</v>
      </c>
      <c r="D74" s="31">
        <v>74</v>
      </c>
      <c r="E74" s="31">
        <v>446</v>
      </c>
      <c r="H74">
        <f t="shared" ref="H74" si="466">D74</f>
        <v>74</v>
      </c>
      <c r="I74" s="112">
        <f t="shared" ref="I74" si="467">E74</f>
        <v>446</v>
      </c>
      <c r="L74" s="13">
        <v>9079200</v>
      </c>
      <c r="M74">
        <v>74</v>
      </c>
      <c r="N74">
        <v>446</v>
      </c>
      <c r="Q74" s="127">
        <v>45233.9375</v>
      </c>
      <c r="R74">
        <v>1</v>
      </c>
      <c r="S74" s="13">
        <f t="shared" si="430"/>
        <v>811800.0000001397</v>
      </c>
      <c r="T74">
        <f t="shared" si="420"/>
        <v>96</v>
      </c>
      <c r="U74" s="13">
        <f t="shared" si="421"/>
        <v>811800.0000001397</v>
      </c>
      <c r="V74" s="112">
        <f t="shared" si="422"/>
        <v>96</v>
      </c>
      <c r="X74" s="74">
        <v>9079200</v>
      </c>
      <c r="Y74" s="13">
        <f t="shared" si="358"/>
        <v>300</v>
      </c>
      <c r="Z74" s="13">
        <f t="shared" ref="Z74" si="468">X74</f>
        <v>9079200</v>
      </c>
      <c r="AA74" s="31">
        <v>64</v>
      </c>
      <c r="AB74" s="31">
        <v>486</v>
      </c>
      <c r="AE74">
        <f t="shared" ref="AE74" si="469">AA74</f>
        <v>64</v>
      </c>
      <c r="AF74" s="112">
        <f t="shared" ref="AF74" si="470">AB74</f>
        <v>486</v>
      </c>
      <c r="AI74" s="13">
        <v>9079200</v>
      </c>
      <c r="AJ74">
        <v>64</v>
      </c>
      <c r="AK74" s="112">
        <v>486</v>
      </c>
      <c r="AN74" s="127">
        <v>45233.9375</v>
      </c>
      <c r="AO74">
        <v>1</v>
      </c>
      <c r="AP74" s="13">
        <f t="shared" si="434"/>
        <v>811800.0000001397</v>
      </c>
      <c r="AQ74">
        <f t="shared" si="231"/>
        <v>96</v>
      </c>
      <c r="AR74" s="13">
        <f t="shared" si="232"/>
        <v>811800.0000001397</v>
      </c>
      <c r="AS74" s="112">
        <f t="shared" si="233"/>
        <v>96</v>
      </c>
    </row>
    <row r="75" spans="1:45" x14ac:dyDescent="0.25">
      <c r="A75" s="31"/>
      <c r="B75" s="13">
        <f t="shared" si="426"/>
        <v>9079500</v>
      </c>
      <c r="C75" s="13">
        <f t="shared" ref="C75" si="471">B75</f>
        <v>9079500</v>
      </c>
      <c r="D75" s="31"/>
      <c r="E75" s="31"/>
      <c r="F75" s="44">
        <v>1E-10</v>
      </c>
      <c r="G75" s="44">
        <v>1E-10</v>
      </c>
      <c r="H75" s="44">
        <f t="shared" ref="H75" si="472">F75</f>
        <v>1E-10</v>
      </c>
      <c r="I75" s="124">
        <f t="shared" ref="I75" si="473">G75</f>
        <v>1E-10</v>
      </c>
      <c r="L75" s="13">
        <v>9079500</v>
      </c>
      <c r="M75" s="44">
        <v>1E-10</v>
      </c>
      <c r="N75" s="44">
        <v>1E-10</v>
      </c>
      <c r="Q75" s="127">
        <v>45234.041666666657</v>
      </c>
      <c r="R75">
        <v>1</v>
      </c>
      <c r="S75" s="13">
        <f t="shared" si="430"/>
        <v>820800.0000001397</v>
      </c>
      <c r="T75">
        <f t="shared" si="420"/>
        <v>96</v>
      </c>
      <c r="U75" s="13">
        <f t="shared" si="421"/>
        <v>820800.0000001397</v>
      </c>
      <c r="V75" s="112">
        <f t="shared" si="422"/>
        <v>96</v>
      </c>
      <c r="X75" s="74"/>
      <c r="Y75" s="13">
        <f t="shared" si="358"/>
        <v>9079500</v>
      </c>
      <c r="Z75" s="13">
        <f t="shared" ref="Z75" si="474">Y75</f>
        <v>9079500</v>
      </c>
      <c r="AC75" s="44">
        <v>1E-10</v>
      </c>
      <c r="AD75" s="44">
        <v>1E-10</v>
      </c>
      <c r="AE75" s="44">
        <f t="shared" ref="AE75" si="475">AC75</f>
        <v>1E-10</v>
      </c>
      <c r="AF75" s="124">
        <f t="shared" ref="AF75" si="476">AD75</f>
        <v>1E-10</v>
      </c>
      <c r="AI75" s="13">
        <v>9079500</v>
      </c>
      <c r="AJ75" s="44">
        <v>1E-10</v>
      </c>
      <c r="AK75" s="124">
        <v>1E-10</v>
      </c>
      <c r="AN75" s="127">
        <v>45234.041666666657</v>
      </c>
      <c r="AO75">
        <v>1</v>
      </c>
      <c r="AP75" s="13">
        <f t="shared" si="434"/>
        <v>820800.0000001397</v>
      </c>
      <c r="AQ75">
        <f t="shared" si="231"/>
        <v>96</v>
      </c>
      <c r="AR75" s="13">
        <f t="shared" si="232"/>
        <v>820800.0000001397</v>
      </c>
      <c r="AS75" s="112">
        <f t="shared" si="233"/>
        <v>96</v>
      </c>
    </row>
    <row r="76" spans="1:45" x14ac:dyDescent="0.25">
      <c r="A76" s="31">
        <v>9256500.0000002086</v>
      </c>
      <c r="B76" s="13">
        <f t="shared" si="426"/>
        <v>300</v>
      </c>
      <c r="C76" s="13">
        <f t="shared" ref="C76" si="477">A76</f>
        <v>9256500.0000002086</v>
      </c>
      <c r="D76" s="31">
        <v>116.87647058823529</v>
      </c>
      <c r="E76" s="31">
        <v>647.23529411764707</v>
      </c>
      <c r="H76">
        <f t="shared" ref="H76" si="478">D76</f>
        <v>116.87647058823529</v>
      </c>
      <c r="I76" s="112">
        <f t="shared" ref="I76" si="479">E76</f>
        <v>647.23529411764707</v>
      </c>
      <c r="L76" s="13">
        <v>9256500.0000002086</v>
      </c>
      <c r="M76">
        <v>116.87647058823529</v>
      </c>
      <c r="N76">
        <v>647.23529411764707</v>
      </c>
      <c r="Q76" s="127">
        <v>45234.145833333343</v>
      </c>
      <c r="R76">
        <v>1</v>
      </c>
      <c r="S76" s="13">
        <f t="shared" si="430"/>
        <v>829800.0000001397</v>
      </c>
      <c r="T76">
        <f t="shared" si="420"/>
        <v>96</v>
      </c>
      <c r="U76" s="13">
        <f t="shared" si="421"/>
        <v>829800.0000001397</v>
      </c>
      <c r="V76" s="112">
        <f t="shared" si="422"/>
        <v>96</v>
      </c>
      <c r="X76" s="74">
        <v>9256500.0000002086</v>
      </c>
      <c r="Y76" s="13">
        <f t="shared" si="358"/>
        <v>300</v>
      </c>
      <c r="Z76" s="13">
        <f t="shared" ref="Z76" si="480">X76</f>
        <v>9256500.0000002086</v>
      </c>
      <c r="AA76" s="31">
        <v>96</v>
      </c>
      <c r="AB76" s="31">
        <v>730</v>
      </c>
      <c r="AE76">
        <f t="shared" ref="AE76" si="481">AA76</f>
        <v>96</v>
      </c>
      <c r="AF76" s="112">
        <f t="shared" ref="AF76" si="482">AB76</f>
        <v>730</v>
      </c>
      <c r="AI76" s="13">
        <v>9256500.0000002086</v>
      </c>
      <c r="AJ76">
        <v>96</v>
      </c>
      <c r="AK76" s="112">
        <v>730</v>
      </c>
      <c r="AN76" s="127">
        <v>45234.145833333343</v>
      </c>
      <c r="AO76">
        <v>1</v>
      </c>
      <c r="AP76" s="13">
        <f t="shared" si="434"/>
        <v>829800.0000001397</v>
      </c>
      <c r="AQ76">
        <f t="shared" si="231"/>
        <v>96</v>
      </c>
      <c r="AR76" s="13">
        <f t="shared" si="232"/>
        <v>829800.0000001397</v>
      </c>
      <c r="AS76" s="112">
        <f t="shared" si="233"/>
        <v>96</v>
      </c>
    </row>
    <row r="77" spans="1:45" x14ac:dyDescent="0.25">
      <c r="A77" s="31"/>
      <c r="B77" s="13">
        <f t="shared" si="426"/>
        <v>9256800.0000002086</v>
      </c>
      <c r="C77" s="13">
        <f t="shared" ref="C77" si="483">B77</f>
        <v>9256800.0000002086</v>
      </c>
      <c r="D77" s="31"/>
      <c r="E77" s="31"/>
      <c r="F77" s="44">
        <v>1E-10</v>
      </c>
      <c r="G77" s="44">
        <v>1E-10</v>
      </c>
      <c r="H77" s="44">
        <f t="shared" ref="H77" si="484">F77</f>
        <v>1E-10</v>
      </c>
      <c r="I77" s="124">
        <f t="shared" ref="I77" si="485">G77</f>
        <v>1E-10</v>
      </c>
      <c r="L77" s="13">
        <v>9256800.0000002086</v>
      </c>
      <c r="M77" s="44">
        <v>1E-10</v>
      </c>
      <c r="N77" s="44">
        <v>1E-10</v>
      </c>
      <c r="Q77" s="127">
        <v>45234.25</v>
      </c>
      <c r="R77">
        <v>1</v>
      </c>
      <c r="S77" s="13">
        <f t="shared" si="430"/>
        <v>838800.0000001397</v>
      </c>
      <c r="T77">
        <f t="shared" si="420"/>
        <v>96</v>
      </c>
      <c r="U77" s="13">
        <f t="shared" si="421"/>
        <v>838800.0000001397</v>
      </c>
      <c r="V77" s="112">
        <f t="shared" si="422"/>
        <v>96</v>
      </c>
      <c r="X77" s="74"/>
      <c r="Y77" s="13">
        <f t="shared" si="358"/>
        <v>9256800.0000002086</v>
      </c>
      <c r="Z77" s="13">
        <f t="shared" ref="Z77" si="486">Y77</f>
        <v>9256800.0000002086</v>
      </c>
      <c r="AC77" s="44">
        <v>1E-10</v>
      </c>
      <c r="AD77" s="44">
        <v>1E-10</v>
      </c>
      <c r="AE77" s="44">
        <f t="shared" ref="AE77" si="487">AC77</f>
        <v>1E-10</v>
      </c>
      <c r="AF77" s="124">
        <f t="shared" ref="AF77" si="488">AD77</f>
        <v>1E-10</v>
      </c>
      <c r="AI77" s="13">
        <v>9256800.0000002086</v>
      </c>
      <c r="AJ77" s="44">
        <v>1E-10</v>
      </c>
      <c r="AK77" s="124">
        <v>1E-10</v>
      </c>
      <c r="AN77" s="127">
        <v>45234.25</v>
      </c>
      <c r="AO77">
        <v>1</v>
      </c>
      <c r="AP77" s="13">
        <f t="shared" si="434"/>
        <v>838800.0000001397</v>
      </c>
      <c r="AQ77">
        <f t="shared" si="231"/>
        <v>96</v>
      </c>
      <c r="AR77" s="13">
        <f t="shared" si="232"/>
        <v>838800.0000001397</v>
      </c>
      <c r="AS77" s="112">
        <f t="shared" si="233"/>
        <v>96</v>
      </c>
    </row>
    <row r="78" spans="1:45" x14ac:dyDescent="0.25">
      <c r="A78" s="31">
        <v>9499500.0000002086</v>
      </c>
      <c r="B78" s="13">
        <f t="shared" si="426"/>
        <v>300</v>
      </c>
      <c r="C78" s="13">
        <f t="shared" ref="C78" si="489">A78</f>
        <v>9499500.0000002086</v>
      </c>
      <c r="D78" s="31">
        <v>83.882352941176464</v>
      </c>
      <c r="E78" s="31">
        <v>407.1764705882353</v>
      </c>
      <c r="H78">
        <f t="shared" ref="H78" si="490">D78</f>
        <v>83.882352941176464</v>
      </c>
      <c r="I78" s="112">
        <f t="shared" ref="I78" si="491">E78</f>
        <v>407.1764705882353</v>
      </c>
      <c r="L78" s="13">
        <v>9499500.0000002086</v>
      </c>
      <c r="M78">
        <v>83.882352941176464</v>
      </c>
      <c r="N78">
        <v>407.1764705882353</v>
      </c>
      <c r="Q78" s="127">
        <v>45234.354166666657</v>
      </c>
      <c r="R78">
        <v>1</v>
      </c>
      <c r="S78" s="13">
        <f t="shared" si="430"/>
        <v>847800.0000001397</v>
      </c>
      <c r="T78">
        <f t="shared" si="420"/>
        <v>96</v>
      </c>
      <c r="U78" s="13">
        <f t="shared" si="421"/>
        <v>847800.0000001397</v>
      </c>
      <c r="V78" s="112">
        <f t="shared" si="422"/>
        <v>96</v>
      </c>
      <c r="X78" s="74">
        <v>9499500.0000002086</v>
      </c>
      <c r="Y78" s="13">
        <f t="shared" si="358"/>
        <v>300</v>
      </c>
      <c r="Z78" s="13">
        <f t="shared" ref="Z78" si="492">X78</f>
        <v>9499500.0000002086</v>
      </c>
      <c r="AA78" s="31">
        <v>64</v>
      </c>
      <c r="AB78" s="31">
        <v>486</v>
      </c>
      <c r="AE78">
        <f t="shared" ref="AE78" si="493">AA78</f>
        <v>64</v>
      </c>
      <c r="AF78" s="112">
        <f t="shared" ref="AF78" si="494">AB78</f>
        <v>486</v>
      </c>
      <c r="AI78" s="13">
        <v>9499500.0000002086</v>
      </c>
      <c r="AJ78">
        <v>64</v>
      </c>
      <c r="AK78" s="112">
        <v>486</v>
      </c>
      <c r="AN78" s="127">
        <v>45234.354166666657</v>
      </c>
      <c r="AO78">
        <v>1</v>
      </c>
      <c r="AP78" s="13">
        <f t="shared" si="434"/>
        <v>847800.0000001397</v>
      </c>
      <c r="AQ78">
        <f t="shared" si="231"/>
        <v>96</v>
      </c>
      <c r="AR78" s="13">
        <f t="shared" si="232"/>
        <v>847800.0000001397</v>
      </c>
      <c r="AS78" s="112">
        <f t="shared" si="233"/>
        <v>96</v>
      </c>
    </row>
    <row r="79" spans="1:45" x14ac:dyDescent="0.25">
      <c r="A79" s="31"/>
      <c r="B79" s="13">
        <f t="shared" si="426"/>
        <v>9499800.0000002086</v>
      </c>
      <c r="C79" s="13">
        <f t="shared" ref="C79" si="495">B79</f>
        <v>9499800.0000002086</v>
      </c>
      <c r="D79" s="31"/>
      <c r="E79" s="31"/>
      <c r="F79" s="44">
        <v>1E-10</v>
      </c>
      <c r="G79" s="44">
        <v>1E-10</v>
      </c>
      <c r="H79" s="44">
        <f t="shared" ref="H79" si="496">F79</f>
        <v>1E-10</v>
      </c>
      <c r="I79" s="124">
        <f t="shared" ref="I79" si="497">G79</f>
        <v>1E-10</v>
      </c>
      <c r="L79" s="13">
        <v>9499800.0000002086</v>
      </c>
      <c r="M79" s="44">
        <v>1E-10</v>
      </c>
      <c r="N79" s="44">
        <v>1E-10</v>
      </c>
      <c r="Q79" s="127">
        <v>45234.458333333343</v>
      </c>
      <c r="R79">
        <v>1</v>
      </c>
      <c r="S79" s="13">
        <f t="shared" si="430"/>
        <v>856800.0000001397</v>
      </c>
      <c r="T79">
        <f t="shared" si="420"/>
        <v>96</v>
      </c>
      <c r="U79" s="13">
        <f t="shared" si="421"/>
        <v>856800.0000001397</v>
      </c>
      <c r="V79" s="112">
        <f t="shared" si="422"/>
        <v>96</v>
      </c>
      <c r="X79" s="74"/>
      <c r="Y79" s="13">
        <f t="shared" si="358"/>
        <v>9499800.0000002086</v>
      </c>
      <c r="Z79" s="13">
        <f t="shared" ref="Z79" si="498">Y79</f>
        <v>9499800.0000002086</v>
      </c>
      <c r="AC79" s="44">
        <v>1E-10</v>
      </c>
      <c r="AD79" s="44">
        <v>1E-10</v>
      </c>
      <c r="AE79" s="44">
        <f t="shared" ref="AE79" si="499">AC79</f>
        <v>1E-10</v>
      </c>
      <c r="AF79" s="124">
        <f t="shared" ref="AF79" si="500">AD79</f>
        <v>1E-10</v>
      </c>
      <c r="AI79" s="13">
        <v>9499800.0000002086</v>
      </c>
      <c r="AJ79" s="44">
        <v>1E-10</v>
      </c>
      <c r="AK79" s="124">
        <v>1E-10</v>
      </c>
      <c r="AN79" s="127">
        <v>45234.458333333343</v>
      </c>
      <c r="AO79">
        <v>1</v>
      </c>
      <c r="AP79" s="13">
        <f t="shared" si="434"/>
        <v>856800.0000001397</v>
      </c>
      <c r="AQ79">
        <f t="shared" si="231"/>
        <v>96</v>
      </c>
      <c r="AR79" s="13">
        <f t="shared" si="232"/>
        <v>856800.0000001397</v>
      </c>
      <c r="AS79" s="112">
        <f t="shared" si="233"/>
        <v>96</v>
      </c>
    </row>
    <row r="80" spans="1:45" x14ac:dyDescent="0.25">
      <c r="A80" s="31">
        <v>9684000</v>
      </c>
      <c r="B80" s="13">
        <f t="shared" si="426"/>
        <v>300</v>
      </c>
      <c r="C80" s="13">
        <f t="shared" ref="C80" si="501">A80</f>
        <v>9684000</v>
      </c>
      <c r="D80" s="31">
        <v>87.858823529411765</v>
      </c>
      <c r="E80" s="31">
        <v>391.41176470588232</v>
      </c>
      <c r="H80">
        <f t="shared" ref="H80" si="502">D80</f>
        <v>87.858823529411765</v>
      </c>
      <c r="I80" s="112">
        <f t="shared" ref="I80" si="503">E80</f>
        <v>391.41176470588232</v>
      </c>
      <c r="L80" s="13">
        <v>9684000</v>
      </c>
      <c r="M80">
        <v>87.858823529411765</v>
      </c>
      <c r="N80" s="112">
        <v>391.41176470588232</v>
      </c>
      <c r="Q80" s="127">
        <v>45234.5625</v>
      </c>
      <c r="R80">
        <v>1</v>
      </c>
      <c r="S80" s="13">
        <f t="shared" si="430"/>
        <v>865800.0000001397</v>
      </c>
      <c r="T80">
        <f t="shared" si="420"/>
        <v>96</v>
      </c>
      <c r="U80" s="13">
        <f t="shared" si="421"/>
        <v>865800.0000001397</v>
      </c>
      <c r="V80" s="112">
        <f t="shared" si="422"/>
        <v>96</v>
      </c>
      <c r="X80" s="74">
        <v>9684000</v>
      </c>
      <c r="Y80" s="13">
        <f t="shared" si="358"/>
        <v>300</v>
      </c>
      <c r="Z80" s="13">
        <f t="shared" ref="Z80" si="504">X80</f>
        <v>9684000</v>
      </c>
      <c r="AA80" s="31">
        <v>64</v>
      </c>
      <c r="AB80" s="31">
        <v>486</v>
      </c>
      <c r="AE80">
        <f t="shared" ref="AE80" si="505">AA80</f>
        <v>64</v>
      </c>
      <c r="AF80" s="112">
        <f t="shared" ref="AF80" si="506">AB80</f>
        <v>486</v>
      </c>
      <c r="AI80" s="13">
        <v>9684000</v>
      </c>
      <c r="AJ80">
        <v>64</v>
      </c>
      <c r="AK80" s="112">
        <v>486</v>
      </c>
      <c r="AN80" s="127">
        <v>45234.5625</v>
      </c>
      <c r="AO80">
        <v>1</v>
      </c>
      <c r="AP80" s="13">
        <f t="shared" si="434"/>
        <v>865800.0000001397</v>
      </c>
      <c r="AQ80">
        <f t="shared" si="231"/>
        <v>96</v>
      </c>
      <c r="AR80" s="13">
        <f t="shared" si="232"/>
        <v>865800.0000001397</v>
      </c>
      <c r="AS80" s="112">
        <f t="shared" si="233"/>
        <v>96</v>
      </c>
    </row>
    <row r="81" spans="1:45" x14ac:dyDescent="0.25">
      <c r="A81" s="31"/>
      <c r="B81" s="13">
        <f t="shared" si="426"/>
        <v>9684300</v>
      </c>
      <c r="C81" s="13">
        <f t="shared" ref="C81" si="507">B81</f>
        <v>9684300</v>
      </c>
      <c r="D81" s="31"/>
      <c r="E81" s="31"/>
      <c r="F81" s="44">
        <v>1E-10</v>
      </c>
      <c r="G81" s="44">
        <v>1E-10</v>
      </c>
      <c r="H81" s="44">
        <f t="shared" ref="H81" si="508">F81</f>
        <v>1E-10</v>
      </c>
      <c r="I81" s="124">
        <f t="shared" ref="I81" si="509">G81</f>
        <v>1E-10</v>
      </c>
      <c r="L81" s="13">
        <v>9684300</v>
      </c>
      <c r="M81" s="44">
        <v>1E-10</v>
      </c>
      <c r="N81" s="124">
        <v>1E-10</v>
      </c>
      <c r="Q81" s="127">
        <v>45234.666666666657</v>
      </c>
      <c r="R81">
        <v>1</v>
      </c>
      <c r="S81" s="13">
        <f t="shared" si="430"/>
        <v>874800.0000001397</v>
      </c>
      <c r="T81">
        <f t="shared" si="420"/>
        <v>96</v>
      </c>
      <c r="U81" s="13">
        <f t="shared" si="421"/>
        <v>874800.0000001397</v>
      </c>
      <c r="V81" s="112">
        <f t="shared" si="422"/>
        <v>96</v>
      </c>
      <c r="X81" s="74"/>
      <c r="Y81" s="13">
        <f t="shared" si="358"/>
        <v>9684300</v>
      </c>
      <c r="Z81" s="13">
        <f t="shared" ref="Z81" si="510">Y81</f>
        <v>9684300</v>
      </c>
      <c r="AC81" s="44">
        <v>1E-10</v>
      </c>
      <c r="AD81" s="44">
        <v>1E-10</v>
      </c>
      <c r="AE81" s="44">
        <f t="shared" ref="AE81" si="511">AC81</f>
        <v>1E-10</v>
      </c>
      <c r="AF81" s="124">
        <f t="shared" ref="AF81" si="512">AD81</f>
        <v>1E-10</v>
      </c>
      <c r="AI81" s="13">
        <v>9684300</v>
      </c>
      <c r="AJ81" s="44">
        <v>1E-10</v>
      </c>
      <c r="AK81" s="124">
        <v>1E-10</v>
      </c>
      <c r="AN81" s="127">
        <v>45234.666666666657</v>
      </c>
      <c r="AO81">
        <v>1</v>
      </c>
      <c r="AP81" s="13">
        <f t="shared" si="434"/>
        <v>874800.0000001397</v>
      </c>
      <c r="AQ81">
        <f t="shared" si="231"/>
        <v>96</v>
      </c>
      <c r="AR81" s="13">
        <f t="shared" si="232"/>
        <v>874800.0000001397</v>
      </c>
      <c r="AS81" s="112">
        <f t="shared" si="233"/>
        <v>96</v>
      </c>
    </row>
    <row r="82" spans="1:45" x14ac:dyDescent="0.25">
      <c r="A82" s="31">
        <v>9858600.0000002086</v>
      </c>
      <c r="B82" s="13">
        <f t="shared" si="426"/>
        <v>300</v>
      </c>
      <c r="C82" s="13">
        <f t="shared" ref="C82" si="513">A82</f>
        <v>9858600.0000002086</v>
      </c>
      <c r="D82" s="31">
        <v>137.75294117647059</v>
      </c>
      <c r="E82" s="31">
        <v>564.47058823529414</v>
      </c>
      <c r="H82">
        <f t="shared" ref="H82" si="514">D82</f>
        <v>137.75294117647059</v>
      </c>
      <c r="I82" s="112">
        <f t="shared" ref="I82" si="515">E82</f>
        <v>564.47058823529414</v>
      </c>
      <c r="L82" s="13">
        <v>9858600.0000002086</v>
      </c>
      <c r="M82">
        <v>137.75294117647059</v>
      </c>
      <c r="N82" s="112">
        <v>564.47058823529414</v>
      </c>
      <c r="Q82" s="127">
        <v>45234.770833333343</v>
      </c>
      <c r="R82">
        <v>1</v>
      </c>
      <c r="S82" s="13">
        <f t="shared" si="430"/>
        <v>883800.0000001397</v>
      </c>
      <c r="T82">
        <f t="shared" si="420"/>
        <v>96</v>
      </c>
      <c r="U82" s="13">
        <f t="shared" si="421"/>
        <v>883800.0000001397</v>
      </c>
      <c r="V82" s="112">
        <f t="shared" si="422"/>
        <v>96</v>
      </c>
      <c r="X82" s="74">
        <v>9858600.0000002086</v>
      </c>
      <c r="Y82" s="13">
        <f t="shared" si="358"/>
        <v>300</v>
      </c>
      <c r="Z82" s="13">
        <f t="shared" ref="Z82" si="516">X82</f>
        <v>9858600.0000002086</v>
      </c>
      <c r="AA82" s="31">
        <v>96</v>
      </c>
      <c r="AB82" s="31">
        <v>730</v>
      </c>
      <c r="AE82">
        <f t="shared" ref="AE82" si="517">AA82</f>
        <v>96</v>
      </c>
      <c r="AF82" s="112">
        <f t="shared" ref="AF82" si="518">AB82</f>
        <v>730</v>
      </c>
      <c r="AI82" s="13">
        <v>9858600.0000002086</v>
      </c>
      <c r="AJ82">
        <v>96</v>
      </c>
      <c r="AK82" s="112">
        <v>730</v>
      </c>
      <c r="AN82" s="127">
        <v>45234.770833333343</v>
      </c>
      <c r="AO82">
        <v>1</v>
      </c>
      <c r="AP82" s="13">
        <f t="shared" si="434"/>
        <v>883800.0000001397</v>
      </c>
      <c r="AQ82">
        <f t="shared" si="231"/>
        <v>96</v>
      </c>
      <c r="AR82" s="13">
        <f t="shared" si="232"/>
        <v>883800.0000001397</v>
      </c>
      <c r="AS82" s="112">
        <f t="shared" si="233"/>
        <v>96</v>
      </c>
    </row>
    <row r="83" spans="1:45" x14ac:dyDescent="0.25">
      <c r="A83" s="31"/>
      <c r="B83" s="13">
        <f t="shared" si="426"/>
        <v>9858900.0000002086</v>
      </c>
      <c r="C83" s="13">
        <f t="shared" ref="C83" si="519">B83</f>
        <v>9858900.0000002086</v>
      </c>
      <c r="D83" s="31"/>
      <c r="E83" s="31"/>
      <c r="F83" s="44">
        <v>1E-10</v>
      </c>
      <c r="G83" s="44">
        <v>1E-10</v>
      </c>
      <c r="H83" s="44">
        <f t="shared" ref="H83" si="520">F83</f>
        <v>1E-10</v>
      </c>
      <c r="I83" s="124">
        <f t="shared" ref="I83" si="521">G83</f>
        <v>1E-10</v>
      </c>
      <c r="L83" s="13">
        <v>9858900.0000002086</v>
      </c>
      <c r="M83" s="44">
        <v>1E-10</v>
      </c>
      <c r="N83" s="124">
        <v>1E-10</v>
      </c>
      <c r="Q83" s="127">
        <v>45234.875</v>
      </c>
      <c r="R83">
        <v>1</v>
      </c>
      <c r="S83" s="13">
        <f t="shared" si="430"/>
        <v>892800.0000001397</v>
      </c>
      <c r="T83">
        <f t="shared" si="420"/>
        <v>96</v>
      </c>
      <c r="U83" s="13">
        <f t="shared" si="421"/>
        <v>892800.0000001397</v>
      </c>
      <c r="V83" s="112">
        <f t="shared" si="422"/>
        <v>96</v>
      </c>
      <c r="X83" s="74"/>
      <c r="Y83" s="13">
        <f t="shared" si="358"/>
        <v>9858900.0000002086</v>
      </c>
      <c r="Z83" s="13">
        <f t="shared" ref="Z83" si="522">Y83</f>
        <v>9858900.0000002086</v>
      </c>
      <c r="AC83" s="44">
        <v>1E-10</v>
      </c>
      <c r="AD83" s="44">
        <v>1E-10</v>
      </c>
      <c r="AE83" s="44">
        <f t="shared" ref="AE83" si="523">AC83</f>
        <v>1E-10</v>
      </c>
      <c r="AF83" s="124">
        <f t="shared" ref="AF83" si="524">AD83</f>
        <v>1E-10</v>
      </c>
      <c r="AI83" s="13">
        <v>9858900.0000002086</v>
      </c>
      <c r="AJ83" s="44">
        <v>1E-10</v>
      </c>
      <c r="AK83" s="124">
        <v>1E-10</v>
      </c>
      <c r="AN83" s="127">
        <v>45234.875</v>
      </c>
      <c r="AO83">
        <v>1</v>
      </c>
      <c r="AP83" s="13">
        <f t="shared" si="434"/>
        <v>892800.0000001397</v>
      </c>
      <c r="AQ83">
        <f t="shared" si="231"/>
        <v>96</v>
      </c>
      <c r="AR83" s="13">
        <f t="shared" si="232"/>
        <v>892800.0000001397</v>
      </c>
      <c r="AS83" s="112">
        <f t="shared" si="233"/>
        <v>96</v>
      </c>
    </row>
    <row r="84" spans="1:45" x14ac:dyDescent="0.25">
      <c r="A84" s="31">
        <v>10116000</v>
      </c>
      <c r="B84" s="13">
        <f t="shared" si="426"/>
        <v>300</v>
      </c>
      <c r="C84" s="13">
        <f t="shared" ref="C84" si="525">A84</f>
        <v>10116000</v>
      </c>
      <c r="D84" s="31">
        <v>97.8</v>
      </c>
      <c r="E84" s="31">
        <v>352</v>
      </c>
      <c r="H84">
        <f t="shared" ref="H84" si="526">D84</f>
        <v>97.8</v>
      </c>
      <c r="I84" s="112">
        <f t="shared" ref="I84" si="527">E84</f>
        <v>352</v>
      </c>
      <c r="L84" s="13">
        <v>10116000</v>
      </c>
      <c r="M84">
        <v>97.8</v>
      </c>
      <c r="N84" s="112">
        <v>352</v>
      </c>
      <c r="Q84" s="127">
        <v>45234.979166666657</v>
      </c>
      <c r="R84">
        <v>1</v>
      </c>
      <c r="S84" s="13">
        <f t="shared" si="430"/>
        <v>901800.0000001397</v>
      </c>
      <c r="T84">
        <f t="shared" si="420"/>
        <v>96</v>
      </c>
      <c r="U84" s="13">
        <f t="shared" si="421"/>
        <v>901800.0000001397</v>
      </c>
      <c r="V84" s="112">
        <f t="shared" si="422"/>
        <v>96</v>
      </c>
      <c r="X84" s="74">
        <v>10116000</v>
      </c>
      <c r="Y84" s="13">
        <f t="shared" si="358"/>
        <v>300</v>
      </c>
      <c r="Z84" s="13">
        <f t="shared" ref="Z84" si="528">X84</f>
        <v>10116000</v>
      </c>
      <c r="AA84" s="31">
        <v>64</v>
      </c>
      <c r="AB84" s="31">
        <v>486</v>
      </c>
      <c r="AE84">
        <f t="shared" ref="AE84" si="529">AA84</f>
        <v>64</v>
      </c>
      <c r="AF84" s="112">
        <f t="shared" ref="AF84" si="530">AB84</f>
        <v>486</v>
      </c>
      <c r="AI84" s="13">
        <v>10116000</v>
      </c>
      <c r="AJ84">
        <v>64</v>
      </c>
      <c r="AK84" s="112">
        <v>486</v>
      </c>
      <c r="AN84" s="127">
        <v>45234.979166666657</v>
      </c>
      <c r="AO84">
        <v>1</v>
      </c>
      <c r="AP84" s="13">
        <f t="shared" si="434"/>
        <v>901800.0000001397</v>
      </c>
      <c r="AQ84">
        <f t="shared" si="231"/>
        <v>96</v>
      </c>
      <c r="AR84" s="13">
        <f t="shared" si="232"/>
        <v>901800.0000001397</v>
      </c>
      <c r="AS84" s="112">
        <f t="shared" si="233"/>
        <v>96</v>
      </c>
    </row>
    <row r="85" spans="1:45" x14ac:dyDescent="0.25">
      <c r="A85" s="31"/>
      <c r="B85" s="13">
        <f t="shared" si="426"/>
        <v>10116300</v>
      </c>
      <c r="C85" s="13">
        <f t="shared" ref="C85" si="531">B85</f>
        <v>10116300</v>
      </c>
      <c r="D85" s="31"/>
      <c r="E85" s="31"/>
      <c r="F85" s="44">
        <v>1E-10</v>
      </c>
      <c r="G85" s="44">
        <v>1E-10</v>
      </c>
      <c r="H85" s="44">
        <f t="shared" ref="H85" si="532">F85</f>
        <v>1E-10</v>
      </c>
      <c r="I85" s="124">
        <f t="shared" ref="I85" si="533">G85</f>
        <v>1E-10</v>
      </c>
      <c r="L85" s="13">
        <v>10116300</v>
      </c>
      <c r="M85" s="44">
        <v>1E-10</v>
      </c>
      <c r="N85" s="124">
        <v>1E-10</v>
      </c>
      <c r="Q85" s="127">
        <v>45235.083333333343</v>
      </c>
      <c r="R85">
        <v>1</v>
      </c>
      <c r="S85" s="13">
        <f t="shared" si="430"/>
        <v>910800.0000001397</v>
      </c>
      <c r="T85">
        <f t="shared" si="420"/>
        <v>96</v>
      </c>
      <c r="U85" s="13">
        <f t="shared" si="421"/>
        <v>910800.0000001397</v>
      </c>
      <c r="V85" s="112">
        <f t="shared" si="422"/>
        <v>96</v>
      </c>
      <c r="X85" s="74"/>
      <c r="Y85" s="13">
        <f t="shared" si="358"/>
        <v>10116300</v>
      </c>
      <c r="Z85" s="13">
        <f t="shared" ref="Z85" si="534">Y85</f>
        <v>10116300</v>
      </c>
      <c r="AC85" s="44">
        <v>1E-10</v>
      </c>
      <c r="AD85" s="44">
        <v>1E-10</v>
      </c>
      <c r="AE85" s="44">
        <f t="shared" ref="AE85" si="535">AC85</f>
        <v>1E-10</v>
      </c>
      <c r="AF85" s="124">
        <f t="shared" ref="AF85" si="536">AD85</f>
        <v>1E-10</v>
      </c>
      <c r="AI85" s="13">
        <v>10116300</v>
      </c>
      <c r="AJ85" s="44">
        <v>1E-10</v>
      </c>
      <c r="AK85" s="124">
        <v>1E-10</v>
      </c>
      <c r="AN85" s="127">
        <v>45235.083333333343</v>
      </c>
      <c r="AO85">
        <v>1</v>
      </c>
      <c r="AP85" s="13">
        <f t="shared" si="434"/>
        <v>910800.0000001397</v>
      </c>
      <c r="AQ85">
        <f t="shared" si="231"/>
        <v>96</v>
      </c>
      <c r="AR85" s="13">
        <f t="shared" si="232"/>
        <v>910800.0000001397</v>
      </c>
      <c r="AS85" s="112">
        <f t="shared" si="233"/>
        <v>96</v>
      </c>
    </row>
    <row r="86" spans="1:45" x14ac:dyDescent="0.25">
      <c r="A86" s="31">
        <v>10282500.000000209</v>
      </c>
      <c r="B86" s="13">
        <f t="shared" si="426"/>
        <v>300</v>
      </c>
      <c r="C86" s="13">
        <f t="shared" ref="C86" si="537">A86</f>
        <v>10282500.000000209</v>
      </c>
      <c r="D86" s="31">
        <v>97.8</v>
      </c>
      <c r="E86" s="31">
        <v>352</v>
      </c>
      <c r="H86">
        <f t="shared" ref="H86" si="538">D86</f>
        <v>97.8</v>
      </c>
      <c r="I86" s="112">
        <f t="shared" ref="I86" si="539">E86</f>
        <v>352</v>
      </c>
      <c r="L86" s="13">
        <v>10282500.000000209</v>
      </c>
      <c r="M86">
        <v>97.8</v>
      </c>
      <c r="N86" s="112">
        <v>352</v>
      </c>
      <c r="Q86" s="127">
        <v>45235.1875</v>
      </c>
      <c r="R86">
        <v>1</v>
      </c>
      <c r="S86" s="13">
        <f t="shared" si="430"/>
        <v>919800.0000001397</v>
      </c>
      <c r="T86">
        <f t="shared" si="420"/>
        <v>96</v>
      </c>
      <c r="U86" s="13">
        <f t="shared" si="421"/>
        <v>919800.0000001397</v>
      </c>
      <c r="V86" s="112">
        <f t="shared" si="422"/>
        <v>96</v>
      </c>
      <c r="X86" s="74">
        <v>10282500.000000209</v>
      </c>
      <c r="Y86" s="13">
        <f t="shared" si="358"/>
        <v>300</v>
      </c>
      <c r="Z86" s="13">
        <f t="shared" ref="Z86" si="540">X86</f>
        <v>10282500.000000209</v>
      </c>
      <c r="AA86" s="31">
        <v>64</v>
      </c>
      <c r="AB86" s="31">
        <v>486</v>
      </c>
      <c r="AE86">
        <f t="shared" ref="AE86" si="541">AA86</f>
        <v>64</v>
      </c>
      <c r="AF86" s="112">
        <f t="shared" ref="AF86" si="542">AB86</f>
        <v>486</v>
      </c>
      <c r="AI86" s="13">
        <v>10282500.000000209</v>
      </c>
      <c r="AJ86">
        <v>64</v>
      </c>
      <c r="AK86" s="112">
        <v>486</v>
      </c>
      <c r="AN86" s="127">
        <v>45235.1875</v>
      </c>
      <c r="AO86">
        <v>1</v>
      </c>
      <c r="AP86" s="13">
        <f t="shared" si="434"/>
        <v>919800.0000001397</v>
      </c>
      <c r="AQ86">
        <f t="shared" si="231"/>
        <v>96</v>
      </c>
      <c r="AR86" s="13">
        <f t="shared" si="232"/>
        <v>919800.0000001397</v>
      </c>
      <c r="AS86" s="112">
        <f t="shared" si="233"/>
        <v>96</v>
      </c>
    </row>
    <row r="87" spans="1:45" x14ac:dyDescent="0.25">
      <c r="A87" s="31"/>
      <c r="B87" s="13">
        <f t="shared" si="426"/>
        <v>10282800.000000209</v>
      </c>
      <c r="C87" s="13">
        <f t="shared" ref="C87" si="543">B87</f>
        <v>10282800.000000209</v>
      </c>
      <c r="D87" s="31"/>
      <c r="E87" s="31"/>
      <c r="F87" s="44">
        <v>1E-10</v>
      </c>
      <c r="G87" s="44">
        <v>1E-10</v>
      </c>
      <c r="H87" s="44">
        <f t="shared" ref="H87" si="544">F87</f>
        <v>1E-10</v>
      </c>
      <c r="I87" s="124">
        <f t="shared" ref="I87" si="545">G87</f>
        <v>1E-10</v>
      </c>
      <c r="L87" s="13">
        <v>10282800.000000209</v>
      </c>
      <c r="M87" s="44">
        <v>1E-10</v>
      </c>
      <c r="N87" s="124">
        <v>1E-10</v>
      </c>
      <c r="Q87" s="127">
        <v>45235.291666666657</v>
      </c>
      <c r="R87">
        <v>1</v>
      </c>
      <c r="S87" s="13">
        <f t="shared" si="430"/>
        <v>928800.0000001397</v>
      </c>
      <c r="T87">
        <f t="shared" si="420"/>
        <v>96</v>
      </c>
      <c r="U87" s="13">
        <f t="shared" si="421"/>
        <v>928800.0000001397</v>
      </c>
      <c r="V87" s="112">
        <f t="shared" si="422"/>
        <v>96</v>
      </c>
      <c r="X87" s="74"/>
      <c r="Y87" s="13">
        <f t="shared" si="358"/>
        <v>10282800.000000209</v>
      </c>
      <c r="Z87" s="13">
        <f t="shared" ref="Z87" si="546">Y87</f>
        <v>10282800.000000209</v>
      </c>
      <c r="AC87" s="44">
        <v>1E-10</v>
      </c>
      <c r="AD87" s="44">
        <v>1E-10</v>
      </c>
      <c r="AE87" s="44">
        <f t="shared" ref="AE87" si="547">AC87</f>
        <v>1E-10</v>
      </c>
      <c r="AF87" s="124">
        <f t="shared" ref="AF87" si="548">AD87</f>
        <v>1E-10</v>
      </c>
      <c r="AI87" s="13">
        <v>10282800.000000209</v>
      </c>
      <c r="AJ87" s="44">
        <v>1E-10</v>
      </c>
      <c r="AK87" s="124">
        <v>1E-10</v>
      </c>
      <c r="AN87" s="127">
        <v>45235.291666666657</v>
      </c>
      <c r="AO87">
        <v>1</v>
      </c>
      <c r="AP87" s="13">
        <f t="shared" si="434"/>
        <v>928800.0000001397</v>
      </c>
      <c r="AQ87">
        <f t="shared" si="231"/>
        <v>96</v>
      </c>
      <c r="AR87" s="13">
        <f t="shared" si="232"/>
        <v>928800.0000001397</v>
      </c>
      <c r="AS87" s="112">
        <f t="shared" si="233"/>
        <v>96</v>
      </c>
    </row>
    <row r="88" spans="1:45" x14ac:dyDescent="0.25">
      <c r="A88" s="31">
        <v>10461600</v>
      </c>
      <c r="B88" s="13">
        <f t="shared" si="426"/>
        <v>300</v>
      </c>
      <c r="C88" s="13">
        <f t="shared" ref="C88" si="549">A88</f>
        <v>10461600</v>
      </c>
      <c r="D88" s="31">
        <v>146.69999999999999</v>
      </c>
      <c r="E88" s="31">
        <v>529</v>
      </c>
      <c r="H88">
        <f t="shared" ref="H88" si="550">D88</f>
        <v>146.69999999999999</v>
      </c>
      <c r="I88" s="112">
        <f t="shared" ref="I88" si="551">E88</f>
        <v>529</v>
      </c>
      <c r="L88" s="13">
        <v>10461600</v>
      </c>
      <c r="M88">
        <v>146.69999999999999</v>
      </c>
      <c r="N88" s="112">
        <v>529</v>
      </c>
      <c r="Q88" s="127">
        <v>45235.395833333343</v>
      </c>
      <c r="R88">
        <v>1</v>
      </c>
      <c r="S88" s="13">
        <f t="shared" si="430"/>
        <v>937800.0000001397</v>
      </c>
      <c r="T88">
        <f t="shared" si="420"/>
        <v>96</v>
      </c>
      <c r="U88" s="13">
        <f t="shared" si="421"/>
        <v>937800.0000001397</v>
      </c>
      <c r="V88" s="112">
        <f t="shared" si="422"/>
        <v>96</v>
      </c>
      <c r="X88" s="74">
        <v>10461600</v>
      </c>
      <c r="Y88" s="13">
        <f t="shared" si="358"/>
        <v>300</v>
      </c>
      <c r="Z88" s="13">
        <f t="shared" ref="Z88" si="552">X88</f>
        <v>10461600</v>
      </c>
      <c r="AA88" s="31">
        <v>96</v>
      </c>
      <c r="AB88" s="31">
        <v>730</v>
      </c>
      <c r="AE88">
        <f t="shared" ref="AE88" si="553">AA88</f>
        <v>96</v>
      </c>
      <c r="AF88" s="112">
        <f t="shared" ref="AF88" si="554">AB88</f>
        <v>730</v>
      </c>
      <c r="AI88" s="13">
        <v>10461600</v>
      </c>
      <c r="AJ88">
        <v>96</v>
      </c>
      <c r="AK88" s="112">
        <v>730</v>
      </c>
      <c r="AN88" s="127">
        <v>45235.395833333343</v>
      </c>
      <c r="AO88">
        <v>1</v>
      </c>
      <c r="AP88" s="13">
        <f t="shared" si="434"/>
        <v>937800.0000001397</v>
      </c>
      <c r="AQ88">
        <f t="shared" si="231"/>
        <v>96</v>
      </c>
      <c r="AR88" s="13">
        <f t="shared" si="232"/>
        <v>937800.0000001397</v>
      </c>
      <c r="AS88" s="112">
        <f t="shared" si="233"/>
        <v>96</v>
      </c>
    </row>
    <row r="89" spans="1:45" x14ac:dyDescent="0.25">
      <c r="A89" s="31"/>
      <c r="B89" s="13">
        <f t="shared" si="426"/>
        <v>10461900</v>
      </c>
      <c r="C89" s="13">
        <f t="shared" ref="C89" si="555">B89</f>
        <v>10461900</v>
      </c>
      <c r="D89" s="31"/>
      <c r="E89" s="31"/>
      <c r="F89" s="44">
        <v>1E-10</v>
      </c>
      <c r="G89" s="44">
        <v>1E-10</v>
      </c>
      <c r="H89" s="44">
        <f t="shared" ref="H89" si="556">F89</f>
        <v>1E-10</v>
      </c>
      <c r="I89" s="124">
        <f t="shared" ref="I89" si="557">G89</f>
        <v>1E-10</v>
      </c>
      <c r="L89" s="13">
        <v>10461900</v>
      </c>
      <c r="M89" s="44">
        <v>1E-10</v>
      </c>
      <c r="N89" s="124">
        <v>1E-10</v>
      </c>
      <c r="Q89" s="127">
        <v>45235.5</v>
      </c>
      <c r="R89">
        <v>1</v>
      </c>
      <c r="S89" s="13">
        <f t="shared" si="430"/>
        <v>946800.0000001397</v>
      </c>
      <c r="T89">
        <f t="shared" si="420"/>
        <v>96</v>
      </c>
      <c r="U89" s="13">
        <f t="shared" si="421"/>
        <v>946800.0000001397</v>
      </c>
      <c r="V89" s="112">
        <f t="shared" si="422"/>
        <v>96</v>
      </c>
      <c r="X89" s="74"/>
      <c r="Y89" s="13">
        <f t="shared" si="358"/>
        <v>10461900</v>
      </c>
      <c r="Z89" s="13">
        <f t="shared" ref="Z89" si="558">Y89</f>
        <v>10461900</v>
      </c>
      <c r="AC89" s="44">
        <v>1E-10</v>
      </c>
      <c r="AD89" s="44">
        <v>1E-10</v>
      </c>
      <c r="AE89" s="44">
        <f t="shared" ref="AE89" si="559">AC89</f>
        <v>1E-10</v>
      </c>
      <c r="AF89" s="124">
        <f t="shared" ref="AF89" si="560">AD89</f>
        <v>1E-10</v>
      </c>
      <c r="AI89" s="13">
        <v>10461900</v>
      </c>
      <c r="AJ89" s="44">
        <v>1E-10</v>
      </c>
      <c r="AK89" s="124">
        <v>1E-10</v>
      </c>
      <c r="AN89" s="127">
        <v>45235.5</v>
      </c>
      <c r="AO89">
        <v>0</v>
      </c>
      <c r="AP89" s="13">
        <f t="shared" si="434"/>
        <v>946800.0000001397</v>
      </c>
      <c r="AQ89">
        <f t="shared" si="231"/>
        <v>0</v>
      </c>
      <c r="AR89" s="13">
        <f t="shared" si="232"/>
        <v>946800.0000001397</v>
      </c>
      <c r="AS89" s="112">
        <f t="shared" si="233"/>
        <v>1E-10</v>
      </c>
    </row>
    <row r="90" spans="1:45" x14ac:dyDescent="0.25">
      <c r="A90" s="31">
        <v>10718399.999999721</v>
      </c>
      <c r="B90" s="13">
        <f>A89+300</f>
        <v>300</v>
      </c>
      <c r="C90" s="13">
        <f t="shared" ref="C90" si="561">A90</f>
        <v>10718399.999999721</v>
      </c>
      <c r="D90" s="31">
        <v>97.8</v>
      </c>
      <c r="E90" s="31">
        <v>352</v>
      </c>
      <c r="H90">
        <f t="shared" ref="H90" si="562">D90</f>
        <v>97.8</v>
      </c>
      <c r="I90" s="112">
        <f t="shared" ref="I90" si="563">E90</f>
        <v>352</v>
      </c>
      <c r="L90" s="13">
        <v>10718399.999999721</v>
      </c>
      <c r="M90">
        <v>97.8</v>
      </c>
      <c r="N90" s="112">
        <v>352</v>
      </c>
      <c r="Q90" s="127">
        <v>45235.604166666657</v>
      </c>
      <c r="R90">
        <v>1</v>
      </c>
      <c r="S90" s="13">
        <f>S89+150*60</f>
        <v>955800.0000001397</v>
      </c>
      <c r="T90">
        <f t="shared" si="420"/>
        <v>96</v>
      </c>
      <c r="U90" s="13">
        <f t="shared" si="421"/>
        <v>955800.0000001397</v>
      </c>
      <c r="V90" s="112">
        <f t="shared" si="422"/>
        <v>96</v>
      </c>
      <c r="X90" s="74">
        <v>10718399.999999721</v>
      </c>
      <c r="Y90" s="13">
        <f>X89+300</f>
        <v>300</v>
      </c>
      <c r="Z90" s="13">
        <f t="shared" ref="Z90" si="564">X90</f>
        <v>10718399.999999721</v>
      </c>
      <c r="AA90" s="31">
        <v>64</v>
      </c>
      <c r="AB90" s="31">
        <v>486</v>
      </c>
      <c r="AE90">
        <f t="shared" ref="AE90" si="565">AA90</f>
        <v>64</v>
      </c>
      <c r="AF90" s="112">
        <f t="shared" ref="AF90" si="566">AB90</f>
        <v>486</v>
      </c>
      <c r="AI90" s="13">
        <v>10718399.999999721</v>
      </c>
      <c r="AJ90">
        <v>64</v>
      </c>
      <c r="AK90" s="112">
        <v>486</v>
      </c>
      <c r="AN90" s="127">
        <v>45235.604166666657</v>
      </c>
      <c r="AO90">
        <v>1</v>
      </c>
      <c r="AP90" s="13">
        <f t="shared" si="434"/>
        <v>955800.0000001397</v>
      </c>
      <c r="AQ90">
        <f t="shared" si="231"/>
        <v>96</v>
      </c>
      <c r="AR90" s="13">
        <f t="shared" si="232"/>
        <v>955800.0000001397</v>
      </c>
      <c r="AS90" s="112">
        <f t="shared" si="233"/>
        <v>96</v>
      </c>
    </row>
    <row r="91" spans="1:45" x14ac:dyDescent="0.25">
      <c r="B91" s="13">
        <f t="shared" si="426"/>
        <v>10718699.999999721</v>
      </c>
      <c r="C91" s="13">
        <f t="shared" ref="C91" si="567">B91</f>
        <v>10718699.999999721</v>
      </c>
      <c r="F91" s="44">
        <v>1E-10</v>
      </c>
      <c r="G91" s="44">
        <v>1E-10</v>
      </c>
      <c r="H91" s="44">
        <f t="shared" ref="H91" si="568">F91</f>
        <v>1E-10</v>
      </c>
      <c r="I91" s="124">
        <f t="shared" ref="I91" si="569">G91</f>
        <v>1E-10</v>
      </c>
      <c r="L91" s="13">
        <v>10718699.999999721</v>
      </c>
      <c r="M91" s="44">
        <v>1E-10</v>
      </c>
      <c r="N91" s="124">
        <v>1E-10</v>
      </c>
      <c r="Q91" s="127">
        <v>45235.708333333343</v>
      </c>
      <c r="R91">
        <v>1</v>
      </c>
      <c r="S91" s="13">
        <f t="shared" si="430"/>
        <v>964800.0000001397</v>
      </c>
      <c r="T91">
        <f t="shared" si="420"/>
        <v>96</v>
      </c>
      <c r="U91" s="13">
        <f t="shared" si="421"/>
        <v>964800.0000001397</v>
      </c>
      <c r="V91" s="112">
        <f t="shared" si="422"/>
        <v>96</v>
      </c>
      <c r="X91" s="74"/>
      <c r="Y91" s="13">
        <f t="shared" ref="Y91:Y109" si="570">X90+300</f>
        <v>10718699.999999721</v>
      </c>
      <c r="Z91" s="13">
        <f t="shared" ref="Z91" si="571">Y91</f>
        <v>10718699.999999721</v>
      </c>
      <c r="AC91" s="44">
        <v>1E-10</v>
      </c>
      <c r="AD91" s="44">
        <v>1E-10</v>
      </c>
      <c r="AE91" s="44">
        <f t="shared" ref="AE91" si="572">AC91</f>
        <v>1E-10</v>
      </c>
      <c r="AF91" s="124">
        <f t="shared" ref="AF91" si="573">AD91</f>
        <v>1E-10</v>
      </c>
      <c r="AI91" s="13">
        <v>10718699.999999721</v>
      </c>
      <c r="AJ91" s="44">
        <v>1E-10</v>
      </c>
      <c r="AK91" s="124">
        <v>1E-10</v>
      </c>
      <c r="AN91" s="127">
        <v>45235.708333333343</v>
      </c>
      <c r="AO91">
        <v>1</v>
      </c>
      <c r="AP91" s="13">
        <f t="shared" si="434"/>
        <v>964800.0000001397</v>
      </c>
      <c r="AQ91">
        <f t="shared" si="231"/>
        <v>96</v>
      </c>
      <c r="AR91" s="13">
        <f t="shared" si="232"/>
        <v>964800.0000001397</v>
      </c>
      <c r="AS91" s="112">
        <f t="shared" si="233"/>
        <v>96</v>
      </c>
    </row>
    <row r="92" spans="1:45" x14ac:dyDescent="0.25">
      <c r="A92" s="31">
        <v>10893600</v>
      </c>
      <c r="B92" s="13">
        <f t="shared" ref="B92:B103" si="574">A91+300</f>
        <v>300</v>
      </c>
      <c r="C92" s="13">
        <f t="shared" ref="C92" si="575">A92</f>
        <v>10893600</v>
      </c>
      <c r="D92" s="31">
        <v>97.8</v>
      </c>
      <c r="E92" s="31">
        <v>352</v>
      </c>
      <c r="H92">
        <f t="shared" ref="H92" si="576">D92</f>
        <v>97.8</v>
      </c>
      <c r="I92" s="112">
        <f t="shared" ref="I92" si="577">E92</f>
        <v>352</v>
      </c>
      <c r="L92" s="13">
        <v>10893600</v>
      </c>
      <c r="M92">
        <v>97.8</v>
      </c>
      <c r="N92" s="112">
        <v>352</v>
      </c>
      <c r="Q92" s="127">
        <v>45235.8125</v>
      </c>
      <c r="R92">
        <v>2</v>
      </c>
      <c r="S92" s="13">
        <f t="shared" si="430"/>
        <v>973800.0000001397</v>
      </c>
      <c r="T92">
        <f t="shared" si="420"/>
        <v>192</v>
      </c>
      <c r="U92" s="13">
        <f t="shared" si="421"/>
        <v>973800.0000001397</v>
      </c>
      <c r="V92" s="112">
        <f t="shared" si="422"/>
        <v>192</v>
      </c>
      <c r="X92" s="74">
        <v>10893600</v>
      </c>
      <c r="Y92" s="13">
        <f t="shared" si="570"/>
        <v>300</v>
      </c>
      <c r="Z92" s="13">
        <f t="shared" ref="Z92" si="578">X92</f>
        <v>10893600</v>
      </c>
      <c r="AA92" s="31">
        <v>64</v>
      </c>
      <c r="AB92" s="31">
        <v>486</v>
      </c>
      <c r="AE92">
        <f t="shared" ref="AE92" si="579">AA92</f>
        <v>64</v>
      </c>
      <c r="AF92" s="112">
        <f t="shared" ref="AF92" si="580">AB92</f>
        <v>486</v>
      </c>
      <c r="AI92" s="13">
        <v>10893600</v>
      </c>
      <c r="AJ92">
        <v>64</v>
      </c>
      <c r="AK92" s="112">
        <v>486</v>
      </c>
      <c r="AN92" s="127">
        <v>45235.8125</v>
      </c>
      <c r="AO92">
        <v>1</v>
      </c>
      <c r="AP92" s="13">
        <f t="shared" si="434"/>
        <v>973800.0000001397</v>
      </c>
      <c r="AQ92">
        <f t="shared" si="231"/>
        <v>96</v>
      </c>
      <c r="AR92" s="13">
        <f t="shared" si="232"/>
        <v>973800.0000001397</v>
      </c>
      <c r="AS92" s="112">
        <f t="shared" si="233"/>
        <v>96</v>
      </c>
    </row>
    <row r="93" spans="1:45" x14ac:dyDescent="0.25">
      <c r="B93" s="13">
        <f t="shared" si="574"/>
        <v>10893900</v>
      </c>
      <c r="C93" s="13">
        <f t="shared" ref="C93" si="581">B93</f>
        <v>10893900</v>
      </c>
      <c r="F93" s="44">
        <v>1E-10</v>
      </c>
      <c r="G93" s="44">
        <v>1E-10</v>
      </c>
      <c r="H93" s="44">
        <f t="shared" ref="H93" si="582">F93</f>
        <v>1E-10</v>
      </c>
      <c r="I93" s="124">
        <f t="shared" ref="I93" si="583">G93</f>
        <v>1E-10</v>
      </c>
      <c r="L93" s="13">
        <v>10893900</v>
      </c>
      <c r="M93" s="44">
        <v>1E-10</v>
      </c>
      <c r="N93" s="124">
        <v>1E-10</v>
      </c>
      <c r="Q93" s="127">
        <v>45235.916666666657</v>
      </c>
      <c r="R93">
        <v>1</v>
      </c>
      <c r="S93" s="13">
        <f t="shared" si="430"/>
        <v>982800.0000001397</v>
      </c>
      <c r="T93">
        <f t="shared" si="420"/>
        <v>96</v>
      </c>
      <c r="U93" s="13">
        <f t="shared" si="421"/>
        <v>982800.0000001397</v>
      </c>
      <c r="V93" s="112">
        <f t="shared" si="422"/>
        <v>96</v>
      </c>
      <c r="X93" s="74"/>
      <c r="Y93" s="13">
        <f t="shared" si="570"/>
        <v>10893900</v>
      </c>
      <c r="Z93" s="13">
        <f t="shared" ref="Z93" si="584">Y93</f>
        <v>10893900</v>
      </c>
      <c r="AC93" s="44">
        <v>1E-10</v>
      </c>
      <c r="AD93" s="44">
        <v>1E-10</v>
      </c>
      <c r="AE93" s="44">
        <f t="shared" ref="AE93" si="585">AC93</f>
        <v>1E-10</v>
      </c>
      <c r="AF93" s="124">
        <f t="shared" ref="AF93" si="586">AD93</f>
        <v>1E-10</v>
      </c>
      <c r="AI93" s="13">
        <v>10893900</v>
      </c>
      <c r="AJ93" s="44">
        <v>1E-10</v>
      </c>
      <c r="AK93" s="124">
        <v>1E-10</v>
      </c>
      <c r="AN93" s="127">
        <v>45235.916666666657</v>
      </c>
      <c r="AO93">
        <v>1</v>
      </c>
      <c r="AP93" s="13">
        <f t="shared" si="434"/>
        <v>982800.0000001397</v>
      </c>
      <c r="AQ93">
        <f t="shared" si="231"/>
        <v>96</v>
      </c>
      <c r="AR93" s="13">
        <f t="shared" si="232"/>
        <v>982800.0000001397</v>
      </c>
      <c r="AS93" s="112">
        <f t="shared" si="233"/>
        <v>96</v>
      </c>
    </row>
    <row r="94" spans="1:45" x14ac:dyDescent="0.25">
      <c r="A94" s="31">
        <v>11073600.000000209</v>
      </c>
      <c r="B94" s="13">
        <f t="shared" si="574"/>
        <v>300</v>
      </c>
      <c r="C94" s="13">
        <f t="shared" ref="C94" si="587">A94</f>
        <v>11073600.000000209</v>
      </c>
      <c r="D94" s="31">
        <v>146.69999999999999</v>
      </c>
      <c r="E94" s="31">
        <v>529</v>
      </c>
      <c r="H94">
        <f t="shared" ref="H94" si="588">D94</f>
        <v>146.69999999999999</v>
      </c>
      <c r="I94" s="112">
        <f t="shared" ref="I94" si="589">E94</f>
        <v>529</v>
      </c>
      <c r="L94" s="13">
        <v>11073600.000000209</v>
      </c>
      <c r="M94">
        <v>146.69999999999999</v>
      </c>
      <c r="N94" s="112">
        <v>529</v>
      </c>
      <c r="Q94" s="127">
        <v>45236.020833333343</v>
      </c>
      <c r="R94">
        <v>1</v>
      </c>
      <c r="S94" s="13">
        <f t="shared" si="430"/>
        <v>991800.0000001397</v>
      </c>
      <c r="T94">
        <f t="shared" si="420"/>
        <v>96</v>
      </c>
      <c r="U94" s="13">
        <f t="shared" si="421"/>
        <v>991800.0000001397</v>
      </c>
      <c r="V94" s="112">
        <f t="shared" si="422"/>
        <v>96</v>
      </c>
      <c r="X94" s="74">
        <v>11073600.000000209</v>
      </c>
      <c r="Y94" s="13">
        <f t="shared" si="570"/>
        <v>300</v>
      </c>
      <c r="Z94" s="13">
        <f t="shared" ref="Z94" si="590">X94</f>
        <v>11073600.000000209</v>
      </c>
      <c r="AA94" s="31">
        <v>96</v>
      </c>
      <c r="AB94" s="31">
        <v>730</v>
      </c>
      <c r="AE94">
        <f t="shared" ref="AE94" si="591">AA94</f>
        <v>96</v>
      </c>
      <c r="AF94" s="112">
        <f t="shared" ref="AF94" si="592">AB94</f>
        <v>730</v>
      </c>
      <c r="AI94" s="13">
        <v>11073600.000000209</v>
      </c>
      <c r="AJ94">
        <v>96</v>
      </c>
      <c r="AK94" s="112">
        <v>730</v>
      </c>
      <c r="AN94" s="127">
        <v>45236.020833333343</v>
      </c>
      <c r="AO94">
        <v>1</v>
      </c>
      <c r="AP94" s="13">
        <f t="shared" si="434"/>
        <v>991800.0000001397</v>
      </c>
      <c r="AQ94">
        <f t="shared" si="231"/>
        <v>96</v>
      </c>
      <c r="AR94" s="13">
        <f t="shared" si="232"/>
        <v>991800.0000001397</v>
      </c>
      <c r="AS94" s="112">
        <f t="shared" si="233"/>
        <v>96</v>
      </c>
    </row>
    <row r="95" spans="1:45" x14ac:dyDescent="0.25">
      <c r="A95" s="31"/>
      <c r="B95" s="13">
        <f t="shared" si="574"/>
        <v>11073900.000000209</v>
      </c>
      <c r="C95" s="13">
        <f t="shared" ref="C95" si="593">B95</f>
        <v>11073900.000000209</v>
      </c>
      <c r="D95" s="31"/>
      <c r="E95" s="31"/>
      <c r="F95" s="44">
        <v>1E-10</v>
      </c>
      <c r="G95" s="44">
        <v>1E-10</v>
      </c>
      <c r="H95" s="44">
        <f t="shared" ref="H95" si="594">F95</f>
        <v>1E-10</v>
      </c>
      <c r="I95" s="124">
        <f t="shared" ref="I95" si="595">G95</f>
        <v>1E-10</v>
      </c>
      <c r="L95" s="13">
        <v>11073900.000000209</v>
      </c>
      <c r="M95" s="44">
        <v>1E-10</v>
      </c>
      <c r="N95" s="124">
        <v>1E-10</v>
      </c>
      <c r="Q95" s="127">
        <v>45236.125</v>
      </c>
      <c r="R95">
        <v>1</v>
      </c>
      <c r="S95" s="13">
        <f t="shared" si="430"/>
        <v>1000800.0000001397</v>
      </c>
      <c r="T95">
        <f t="shared" si="420"/>
        <v>96</v>
      </c>
      <c r="U95" s="13">
        <f t="shared" si="421"/>
        <v>1000800.0000001397</v>
      </c>
      <c r="V95" s="112">
        <f t="shared" si="422"/>
        <v>96</v>
      </c>
      <c r="X95" s="74"/>
      <c r="Y95" s="13">
        <f t="shared" si="570"/>
        <v>11073900.000000209</v>
      </c>
      <c r="Z95" s="13">
        <f t="shared" ref="Z95" si="596">Y95</f>
        <v>11073900.000000209</v>
      </c>
      <c r="AC95" s="44">
        <v>1E-10</v>
      </c>
      <c r="AD95" s="44">
        <v>1E-10</v>
      </c>
      <c r="AE95" s="44">
        <f t="shared" ref="AE95" si="597">AC95</f>
        <v>1E-10</v>
      </c>
      <c r="AF95" s="124">
        <f t="shared" ref="AF95" si="598">AD95</f>
        <v>1E-10</v>
      </c>
      <c r="AI95" s="13">
        <v>11073900.000000209</v>
      </c>
      <c r="AJ95" s="44">
        <v>1E-10</v>
      </c>
      <c r="AK95" s="124">
        <v>1E-10</v>
      </c>
      <c r="AN95" s="127">
        <v>45236.125</v>
      </c>
      <c r="AO95">
        <v>1</v>
      </c>
      <c r="AP95" s="13">
        <f t="shared" si="434"/>
        <v>1000800.0000001397</v>
      </c>
      <c r="AQ95">
        <f t="shared" si="231"/>
        <v>96</v>
      </c>
      <c r="AR95" s="13">
        <f t="shared" si="232"/>
        <v>1000800.0000001397</v>
      </c>
      <c r="AS95" s="112">
        <f t="shared" si="233"/>
        <v>96</v>
      </c>
    </row>
    <row r="96" spans="1:45" x14ac:dyDescent="0.25">
      <c r="A96" s="31">
        <v>11312999.999999791</v>
      </c>
      <c r="B96" s="13">
        <f t="shared" si="574"/>
        <v>300</v>
      </c>
      <c r="C96" s="13">
        <f t="shared" ref="C96" si="599">A96</f>
        <v>11312999.999999791</v>
      </c>
      <c r="D96" s="31">
        <v>97.8</v>
      </c>
      <c r="E96" s="31">
        <v>352</v>
      </c>
      <c r="H96">
        <f t="shared" ref="H96" si="600">D96</f>
        <v>97.8</v>
      </c>
      <c r="I96" s="112">
        <f t="shared" ref="I96" si="601">E96</f>
        <v>352</v>
      </c>
      <c r="L96" s="13">
        <v>11312999.999999791</v>
      </c>
      <c r="M96">
        <v>97.8</v>
      </c>
      <c r="N96" s="112">
        <v>352</v>
      </c>
      <c r="Q96" s="127">
        <v>45236.229166666657</v>
      </c>
      <c r="R96">
        <v>1</v>
      </c>
      <c r="S96" s="13">
        <f t="shared" si="430"/>
        <v>1009800.0000001397</v>
      </c>
      <c r="T96">
        <f t="shared" si="420"/>
        <v>96</v>
      </c>
      <c r="U96" s="13">
        <f t="shared" si="421"/>
        <v>1009800.0000001397</v>
      </c>
      <c r="V96" s="112">
        <f t="shared" si="422"/>
        <v>96</v>
      </c>
      <c r="X96" s="74">
        <v>11312999.999999791</v>
      </c>
      <c r="Y96" s="13">
        <f t="shared" si="570"/>
        <v>300</v>
      </c>
      <c r="Z96" s="13">
        <f t="shared" ref="Z96" si="602">X96</f>
        <v>11312999.999999791</v>
      </c>
      <c r="AA96" s="31">
        <v>64</v>
      </c>
      <c r="AB96" s="31">
        <v>486</v>
      </c>
      <c r="AE96">
        <f t="shared" ref="AE96" si="603">AA96</f>
        <v>64</v>
      </c>
      <c r="AF96" s="112">
        <f t="shared" ref="AF96" si="604">AB96</f>
        <v>486</v>
      </c>
      <c r="AI96" s="13">
        <v>11312999.999999791</v>
      </c>
      <c r="AJ96">
        <v>64</v>
      </c>
      <c r="AK96" s="112">
        <v>486</v>
      </c>
      <c r="AN96" s="127">
        <v>45236.229166666657</v>
      </c>
      <c r="AO96">
        <v>1</v>
      </c>
      <c r="AP96" s="13">
        <f t="shared" si="434"/>
        <v>1009800.0000001397</v>
      </c>
      <c r="AQ96">
        <f t="shared" si="231"/>
        <v>96</v>
      </c>
      <c r="AR96" s="13">
        <f t="shared" si="232"/>
        <v>1009800.0000001397</v>
      </c>
      <c r="AS96" s="112">
        <f t="shared" si="233"/>
        <v>96</v>
      </c>
    </row>
    <row r="97" spans="1:45" x14ac:dyDescent="0.25">
      <c r="A97" s="31"/>
      <c r="B97" s="13">
        <f t="shared" si="574"/>
        <v>11313299.999999791</v>
      </c>
      <c r="C97" s="13">
        <f t="shared" ref="C97" si="605">B97</f>
        <v>11313299.999999791</v>
      </c>
      <c r="D97" s="31"/>
      <c r="E97" s="31"/>
      <c r="F97" s="44">
        <v>1E-10</v>
      </c>
      <c r="G97" s="44">
        <v>1E-10</v>
      </c>
      <c r="H97" s="44">
        <f t="shared" ref="H97" si="606">F97</f>
        <v>1E-10</v>
      </c>
      <c r="I97" s="124">
        <f t="shared" ref="I97" si="607">G97</f>
        <v>1E-10</v>
      </c>
      <c r="L97" s="13">
        <v>11313299.999999791</v>
      </c>
      <c r="M97" s="44">
        <v>1E-10</v>
      </c>
      <c r="N97" s="124">
        <v>1E-10</v>
      </c>
      <c r="Q97" s="127">
        <v>45236.333333333343</v>
      </c>
      <c r="R97">
        <v>1</v>
      </c>
      <c r="S97" s="13">
        <f t="shared" si="430"/>
        <v>1018800.0000001397</v>
      </c>
      <c r="T97">
        <f t="shared" si="420"/>
        <v>96</v>
      </c>
      <c r="U97" s="13">
        <f t="shared" si="421"/>
        <v>1018800.0000001397</v>
      </c>
      <c r="V97" s="112">
        <f t="shared" si="422"/>
        <v>96</v>
      </c>
      <c r="X97" s="74"/>
      <c r="Y97" s="13">
        <f t="shared" si="570"/>
        <v>11313299.999999791</v>
      </c>
      <c r="Z97" s="13">
        <f t="shared" ref="Z97" si="608">Y97</f>
        <v>11313299.999999791</v>
      </c>
      <c r="AC97" s="44">
        <v>1E-10</v>
      </c>
      <c r="AD97" s="44">
        <v>1E-10</v>
      </c>
      <c r="AE97" s="44">
        <f t="shared" ref="AE97" si="609">AC97</f>
        <v>1E-10</v>
      </c>
      <c r="AF97" s="124">
        <f t="shared" ref="AF97" si="610">AD97</f>
        <v>1E-10</v>
      </c>
      <c r="AI97" s="13">
        <v>11313299.999999791</v>
      </c>
      <c r="AJ97" s="44">
        <v>1E-10</v>
      </c>
      <c r="AK97" s="124">
        <v>1E-10</v>
      </c>
      <c r="AN97" s="127">
        <v>45236.333333333343</v>
      </c>
      <c r="AO97">
        <v>1</v>
      </c>
      <c r="AP97" s="13">
        <f t="shared" si="434"/>
        <v>1018800.0000001397</v>
      </c>
      <c r="AQ97">
        <f t="shared" si="231"/>
        <v>96</v>
      </c>
      <c r="AR97" s="13">
        <f t="shared" si="232"/>
        <v>1018800.0000001397</v>
      </c>
      <c r="AS97" s="112">
        <f t="shared" si="233"/>
        <v>96</v>
      </c>
    </row>
    <row r="98" spans="1:45" x14ac:dyDescent="0.25">
      <c r="A98" s="31">
        <v>11503800</v>
      </c>
      <c r="B98" s="13">
        <f t="shared" si="574"/>
        <v>300</v>
      </c>
      <c r="C98" s="13">
        <f t="shared" ref="C98" si="611">A98</f>
        <v>11503800</v>
      </c>
      <c r="D98" s="31">
        <v>97.8</v>
      </c>
      <c r="E98" s="31">
        <v>352</v>
      </c>
      <c r="H98">
        <f t="shared" ref="H98" si="612">D98</f>
        <v>97.8</v>
      </c>
      <c r="I98" s="112">
        <f t="shared" ref="I98" si="613">E98</f>
        <v>352</v>
      </c>
      <c r="L98" s="13">
        <v>11503800</v>
      </c>
      <c r="M98">
        <v>97.8</v>
      </c>
      <c r="N98" s="112">
        <v>352</v>
      </c>
      <c r="Q98" s="127">
        <v>45236.4375</v>
      </c>
      <c r="R98">
        <v>2</v>
      </c>
      <c r="S98" s="13">
        <f t="shared" si="430"/>
        <v>1027800.0000001397</v>
      </c>
      <c r="T98">
        <f t="shared" si="420"/>
        <v>192</v>
      </c>
      <c r="U98" s="13">
        <f t="shared" si="421"/>
        <v>1027800.0000001397</v>
      </c>
      <c r="V98" s="112">
        <f t="shared" si="422"/>
        <v>192</v>
      </c>
      <c r="X98" s="74">
        <v>11503800</v>
      </c>
      <c r="Y98" s="13">
        <f t="shared" si="570"/>
        <v>300</v>
      </c>
      <c r="Z98" s="13">
        <f t="shared" ref="Z98" si="614">X98</f>
        <v>11503800</v>
      </c>
      <c r="AA98" s="31">
        <v>64</v>
      </c>
      <c r="AB98" s="31">
        <v>486</v>
      </c>
      <c r="AE98">
        <f t="shared" ref="AE98" si="615">AA98</f>
        <v>64</v>
      </c>
      <c r="AF98" s="112">
        <f t="shared" ref="AF98" si="616">AB98</f>
        <v>486</v>
      </c>
      <c r="AI98" s="13">
        <v>11503800</v>
      </c>
      <c r="AJ98">
        <v>64</v>
      </c>
      <c r="AK98" s="112">
        <v>486</v>
      </c>
      <c r="AN98" s="127">
        <v>45236.4375</v>
      </c>
      <c r="AO98">
        <v>9</v>
      </c>
      <c r="AP98" s="13">
        <f t="shared" si="434"/>
        <v>1027800.0000001397</v>
      </c>
      <c r="AQ98">
        <f t="shared" si="231"/>
        <v>864</v>
      </c>
      <c r="AR98" s="13">
        <f t="shared" si="232"/>
        <v>1027800.0000001397</v>
      </c>
      <c r="AS98" s="112">
        <f t="shared" si="233"/>
        <v>864</v>
      </c>
    </row>
    <row r="99" spans="1:45" x14ac:dyDescent="0.25">
      <c r="B99" s="13">
        <f t="shared" si="574"/>
        <v>11504100</v>
      </c>
      <c r="C99" s="13">
        <f t="shared" ref="C99" si="617">B99</f>
        <v>11504100</v>
      </c>
      <c r="D99" s="13"/>
      <c r="E99" s="13"/>
      <c r="F99" s="44">
        <v>1E-10</v>
      </c>
      <c r="G99" s="44">
        <v>1E-10</v>
      </c>
      <c r="H99" s="44">
        <f t="shared" ref="H99" si="618">F99</f>
        <v>1E-10</v>
      </c>
      <c r="I99" s="124">
        <f t="shared" ref="I99" si="619">G99</f>
        <v>1E-10</v>
      </c>
      <c r="L99" s="13">
        <v>11504100</v>
      </c>
      <c r="M99" s="44">
        <v>1E-10</v>
      </c>
      <c r="N99" s="124">
        <v>1E-10</v>
      </c>
      <c r="Q99" s="127">
        <v>45236.541666666657</v>
      </c>
      <c r="R99">
        <v>1</v>
      </c>
      <c r="S99" s="13">
        <f t="shared" si="430"/>
        <v>1036800.0000001397</v>
      </c>
      <c r="T99">
        <f t="shared" si="420"/>
        <v>96</v>
      </c>
      <c r="U99" s="13">
        <f t="shared" si="421"/>
        <v>1036800.0000001397</v>
      </c>
      <c r="V99" s="112">
        <f t="shared" si="422"/>
        <v>96</v>
      </c>
      <c r="X99" s="74"/>
      <c r="Y99" s="13">
        <f t="shared" si="570"/>
        <v>11504100</v>
      </c>
      <c r="Z99" s="13">
        <f t="shared" ref="Z99" si="620">Y99</f>
        <v>11504100</v>
      </c>
      <c r="AC99" s="44">
        <v>1E-10</v>
      </c>
      <c r="AD99" s="44">
        <v>1E-10</v>
      </c>
      <c r="AE99" s="44">
        <f t="shared" ref="AE99" si="621">AC99</f>
        <v>1E-10</v>
      </c>
      <c r="AF99" s="124">
        <f t="shared" ref="AF99" si="622">AD99</f>
        <v>1E-10</v>
      </c>
      <c r="AI99" s="13">
        <v>11504100</v>
      </c>
      <c r="AJ99" s="44">
        <v>1E-10</v>
      </c>
      <c r="AK99" s="124">
        <v>1E-10</v>
      </c>
      <c r="AN99" s="127">
        <v>45236.541666666657</v>
      </c>
      <c r="AO99">
        <v>1</v>
      </c>
      <c r="AP99" s="13">
        <f t="shared" si="434"/>
        <v>1036800.0000001397</v>
      </c>
      <c r="AQ99">
        <f t="shared" ref="AQ99:AQ162" si="623">AO99*96</f>
        <v>96</v>
      </c>
      <c r="AR99" s="13">
        <f t="shared" ref="AR99:AR162" si="624">AP99</f>
        <v>1036800.0000001397</v>
      </c>
      <c r="AS99" s="112">
        <f t="shared" ref="AS99:AS162" si="625">IF(AQ99=0,0.0000000001,AQ99)</f>
        <v>96</v>
      </c>
    </row>
    <row r="100" spans="1:45" x14ac:dyDescent="0.25">
      <c r="A100" s="31">
        <v>11674799.999999791</v>
      </c>
      <c r="B100" s="13">
        <f t="shared" si="574"/>
        <v>300</v>
      </c>
      <c r="C100" s="13">
        <f t="shared" ref="C100" si="626">A100</f>
        <v>11674799.999999791</v>
      </c>
      <c r="D100" s="31">
        <v>146.69999999999999</v>
      </c>
      <c r="E100" s="31">
        <v>529</v>
      </c>
      <c r="H100">
        <f t="shared" ref="H100" si="627">D100</f>
        <v>146.69999999999999</v>
      </c>
      <c r="I100" s="112">
        <f t="shared" ref="I100" si="628">E100</f>
        <v>529</v>
      </c>
      <c r="L100" s="13">
        <v>11674799.999999791</v>
      </c>
      <c r="M100">
        <v>146.69999999999999</v>
      </c>
      <c r="N100" s="112">
        <v>529</v>
      </c>
      <c r="Q100" s="127">
        <v>45236.645833333343</v>
      </c>
      <c r="R100">
        <v>1</v>
      </c>
      <c r="S100" s="13">
        <f t="shared" si="430"/>
        <v>1045800.0000001397</v>
      </c>
      <c r="T100">
        <f t="shared" si="420"/>
        <v>96</v>
      </c>
      <c r="U100" s="13">
        <f t="shared" si="421"/>
        <v>1045800.0000001397</v>
      </c>
      <c r="V100" s="112">
        <f t="shared" si="422"/>
        <v>96</v>
      </c>
      <c r="X100" s="74">
        <v>11674799.999999791</v>
      </c>
      <c r="Y100" s="13">
        <f t="shared" si="570"/>
        <v>300</v>
      </c>
      <c r="Z100" s="13">
        <f t="shared" ref="Z100" si="629">X100</f>
        <v>11674799.999999791</v>
      </c>
      <c r="AA100" s="31">
        <v>96</v>
      </c>
      <c r="AB100" s="31">
        <v>730</v>
      </c>
      <c r="AE100">
        <f t="shared" ref="AE100" si="630">AA100</f>
        <v>96</v>
      </c>
      <c r="AF100" s="112">
        <f t="shared" ref="AF100" si="631">AB100</f>
        <v>730</v>
      </c>
      <c r="AI100" s="13">
        <v>11674799.999999791</v>
      </c>
      <c r="AJ100">
        <v>96</v>
      </c>
      <c r="AK100" s="112">
        <v>730</v>
      </c>
      <c r="AN100" s="127">
        <v>45236.645833333343</v>
      </c>
      <c r="AO100">
        <v>1</v>
      </c>
      <c r="AP100" s="13">
        <f t="shared" si="434"/>
        <v>1045800.0000001397</v>
      </c>
      <c r="AQ100">
        <f t="shared" si="623"/>
        <v>96</v>
      </c>
      <c r="AR100" s="13">
        <f t="shared" si="624"/>
        <v>1045800.0000001397</v>
      </c>
      <c r="AS100" s="112">
        <f t="shared" si="625"/>
        <v>96</v>
      </c>
    </row>
    <row r="101" spans="1:45" x14ac:dyDescent="0.25">
      <c r="B101" s="13">
        <f t="shared" si="574"/>
        <v>11675099.999999791</v>
      </c>
      <c r="C101" s="13">
        <f t="shared" ref="C101" si="632">B101</f>
        <v>11675099.999999791</v>
      </c>
      <c r="D101" s="13"/>
      <c r="E101" s="13"/>
      <c r="F101" s="44">
        <v>1E-10</v>
      </c>
      <c r="G101" s="44">
        <v>1E-10</v>
      </c>
      <c r="H101" s="44">
        <f t="shared" ref="H101" si="633">F101</f>
        <v>1E-10</v>
      </c>
      <c r="I101" s="124">
        <f t="shared" ref="I101" si="634">G101</f>
        <v>1E-10</v>
      </c>
      <c r="L101" s="13">
        <v>11675099.999999791</v>
      </c>
      <c r="M101" s="44">
        <v>1E-10</v>
      </c>
      <c r="N101" s="124">
        <v>1E-10</v>
      </c>
      <c r="Q101" s="127">
        <v>45236.75</v>
      </c>
      <c r="R101">
        <v>1</v>
      </c>
      <c r="S101" s="13">
        <f t="shared" si="430"/>
        <v>1054800.0000001397</v>
      </c>
      <c r="T101">
        <f t="shared" si="420"/>
        <v>96</v>
      </c>
      <c r="U101" s="13">
        <f t="shared" si="421"/>
        <v>1054800.0000001397</v>
      </c>
      <c r="V101" s="112">
        <f t="shared" si="422"/>
        <v>96</v>
      </c>
      <c r="X101" s="74"/>
      <c r="Y101" s="13">
        <f t="shared" si="570"/>
        <v>11675099.999999791</v>
      </c>
      <c r="Z101" s="13">
        <f t="shared" ref="Z101" si="635">Y101</f>
        <v>11675099.999999791</v>
      </c>
      <c r="AC101" s="44">
        <v>1E-10</v>
      </c>
      <c r="AD101" s="44">
        <v>1E-10</v>
      </c>
      <c r="AE101" s="44">
        <f t="shared" ref="AE101" si="636">AC101</f>
        <v>1E-10</v>
      </c>
      <c r="AF101" s="124">
        <f t="shared" ref="AF101" si="637">AD101</f>
        <v>1E-10</v>
      </c>
      <c r="AI101" s="13">
        <v>11675099.999999791</v>
      </c>
      <c r="AJ101" s="44">
        <v>1E-10</v>
      </c>
      <c r="AK101" s="124">
        <v>1E-10</v>
      </c>
      <c r="AN101" s="127">
        <v>45236.75</v>
      </c>
      <c r="AO101">
        <v>1</v>
      </c>
      <c r="AP101" s="13">
        <f t="shared" si="434"/>
        <v>1054800.0000001397</v>
      </c>
      <c r="AQ101">
        <f t="shared" si="623"/>
        <v>96</v>
      </c>
      <c r="AR101" s="13">
        <f t="shared" si="624"/>
        <v>1054800.0000001397</v>
      </c>
      <c r="AS101" s="112">
        <f t="shared" si="625"/>
        <v>96</v>
      </c>
    </row>
    <row r="102" spans="1:45" x14ac:dyDescent="0.25">
      <c r="A102" s="31">
        <v>11917799.999999791</v>
      </c>
      <c r="B102" s="13">
        <f t="shared" si="574"/>
        <v>300</v>
      </c>
      <c r="C102" s="13">
        <f t="shared" ref="C102" si="638">A102</f>
        <v>11917799.999999791</v>
      </c>
      <c r="D102" s="31">
        <v>97.8</v>
      </c>
      <c r="E102" s="31">
        <v>352</v>
      </c>
      <c r="H102">
        <f t="shared" ref="H102" si="639">D102</f>
        <v>97.8</v>
      </c>
      <c r="I102" s="112">
        <f t="shared" ref="I102" si="640">E102</f>
        <v>352</v>
      </c>
      <c r="L102" s="13">
        <v>11917799.999999791</v>
      </c>
      <c r="M102">
        <v>97.8</v>
      </c>
      <c r="N102" s="112">
        <v>352</v>
      </c>
      <c r="Q102" s="127">
        <v>45236.854166666657</v>
      </c>
      <c r="R102">
        <v>1</v>
      </c>
      <c r="S102" s="13">
        <f t="shared" si="430"/>
        <v>1063800.0000001397</v>
      </c>
      <c r="T102">
        <f t="shared" si="420"/>
        <v>96</v>
      </c>
      <c r="U102" s="13">
        <f t="shared" si="421"/>
        <v>1063800.0000001397</v>
      </c>
      <c r="V102" s="112">
        <f t="shared" si="422"/>
        <v>96</v>
      </c>
      <c r="X102" s="74">
        <v>11917799.999999791</v>
      </c>
      <c r="Y102" s="13">
        <f t="shared" si="570"/>
        <v>300</v>
      </c>
      <c r="Z102" s="13">
        <f t="shared" ref="Z102" si="641">X102</f>
        <v>11917799.999999791</v>
      </c>
      <c r="AA102" s="31">
        <v>64</v>
      </c>
      <c r="AB102" s="31">
        <v>486</v>
      </c>
      <c r="AE102">
        <f t="shared" ref="AE102" si="642">AA102</f>
        <v>64</v>
      </c>
      <c r="AF102" s="112">
        <f t="shared" ref="AF102" si="643">AB102</f>
        <v>486</v>
      </c>
      <c r="AI102" s="13">
        <v>11917799.999999791</v>
      </c>
      <c r="AJ102">
        <v>64</v>
      </c>
      <c r="AK102" s="112">
        <v>486</v>
      </c>
      <c r="AN102" s="127">
        <v>45236.854166666657</v>
      </c>
      <c r="AO102">
        <v>1</v>
      </c>
      <c r="AP102" s="13">
        <f t="shared" si="434"/>
        <v>1063800.0000001397</v>
      </c>
      <c r="AQ102">
        <f t="shared" si="623"/>
        <v>96</v>
      </c>
      <c r="AR102" s="13">
        <f t="shared" si="624"/>
        <v>1063800.0000001397</v>
      </c>
      <c r="AS102" s="112">
        <f t="shared" si="625"/>
        <v>96</v>
      </c>
    </row>
    <row r="103" spans="1:45" x14ac:dyDescent="0.25">
      <c r="B103" s="13">
        <f t="shared" si="574"/>
        <v>11918099.999999791</v>
      </c>
      <c r="C103" s="13">
        <f t="shared" ref="C103" si="644">B103</f>
        <v>11918099.999999791</v>
      </c>
      <c r="F103" s="44">
        <v>1E-10</v>
      </c>
      <c r="G103" s="44">
        <v>1E-10</v>
      </c>
      <c r="H103" s="44">
        <f t="shared" ref="H103" si="645">F103</f>
        <v>1E-10</v>
      </c>
      <c r="I103" s="124">
        <f t="shared" ref="I103" si="646">G103</f>
        <v>1E-10</v>
      </c>
      <c r="L103" s="13">
        <v>11918099.999999791</v>
      </c>
      <c r="M103" s="44">
        <v>1E-10</v>
      </c>
      <c r="N103" s="124">
        <v>1E-10</v>
      </c>
      <c r="Q103" s="127">
        <v>45236.958333333343</v>
      </c>
      <c r="R103">
        <v>1</v>
      </c>
      <c r="S103" s="13">
        <f t="shared" si="430"/>
        <v>1072800.0000001397</v>
      </c>
      <c r="T103">
        <f t="shared" si="420"/>
        <v>96</v>
      </c>
      <c r="U103" s="13">
        <f t="shared" si="421"/>
        <v>1072800.0000001397</v>
      </c>
      <c r="V103" s="112">
        <f t="shared" si="422"/>
        <v>96</v>
      </c>
      <c r="X103" s="13"/>
      <c r="Y103" s="13">
        <f t="shared" si="570"/>
        <v>11918099.999999791</v>
      </c>
      <c r="Z103" s="13">
        <f t="shared" ref="Z103" si="647">Y103</f>
        <v>11918099.999999791</v>
      </c>
      <c r="AC103" s="44">
        <v>1E-10</v>
      </c>
      <c r="AD103" s="44">
        <v>1E-10</v>
      </c>
      <c r="AE103" s="44">
        <f t="shared" ref="AE103" si="648">AC103</f>
        <v>1E-10</v>
      </c>
      <c r="AF103" s="124">
        <f t="shared" ref="AF103" si="649">AD103</f>
        <v>1E-10</v>
      </c>
      <c r="AI103" s="13">
        <v>11918099.999999791</v>
      </c>
      <c r="AJ103" s="44">
        <v>1E-10</v>
      </c>
      <c r="AK103" s="124">
        <v>1E-10</v>
      </c>
      <c r="AN103" s="127">
        <v>45236.958333333343</v>
      </c>
      <c r="AO103">
        <v>1</v>
      </c>
      <c r="AP103" s="13">
        <f t="shared" si="434"/>
        <v>1072800.0000001397</v>
      </c>
      <c r="AQ103">
        <f t="shared" si="623"/>
        <v>96</v>
      </c>
      <c r="AR103" s="13">
        <f t="shared" si="624"/>
        <v>1072800.0000001397</v>
      </c>
      <c r="AS103" s="112">
        <f t="shared" si="625"/>
        <v>96</v>
      </c>
    </row>
    <row r="104" spans="1:45" x14ac:dyDescent="0.25">
      <c r="A104" s="31">
        <v>12095999.999999791</v>
      </c>
      <c r="B104" s="13">
        <f t="shared" ref="B104:B109" si="650">A103+300</f>
        <v>300</v>
      </c>
      <c r="C104" s="13">
        <f t="shared" ref="C104" si="651">A104</f>
        <v>12095999.999999791</v>
      </c>
      <c r="D104" s="31">
        <v>97.8</v>
      </c>
      <c r="E104" s="31">
        <v>352</v>
      </c>
      <c r="H104">
        <f t="shared" ref="H104" si="652">D104</f>
        <v>97.8</v>
      </c>
      <c r="I104" s="112">
        <f t="shared" ref="I104" si="653">E104</f>
        <v>352</v>
      </c>
      <c r="L104" s="13">
        <v>12095999.999999791</v>
      </c>
      <c r="M104">
        <v>97.8</v>
      </c>
      <c r="N104" s="112">
        <v>352</v>
      </c>
      <c r="Q104" s="127">
        <v>45237.0625</v>
      </c>
      <c r="R104">
        <v>1</v>
      </c>
      <c r="S104" s="13">
        <f t="shared" si="430"/>
        <v>1081800.0000001397</v>
      </c>
      <c r="T104">
        <f t="shared" si="420"/>
        <v>96</v>
      </c>
      <c r="U104" s="13">
        <f t="shared" si="421"/>
        <v>1081800.0000001397</v>
      </c>
      <c r="V104" s="112">
        <f t="shared" si="422"/>
        <v>96</v>
      </c>
      <c r="X104" s="31">
        <v>12095999.999999791</v>
      </c>
      <c r="Y104" s="13">
        <f t="shared" si="570"/>
        <v>300</v>
      </c>
      <c r="Z104" s="13">
        <f t="shared" ref="Z104" si="654">X104</f>
        <v>12095999.999999791</v>
      </c>
      <c r="AA104" s="31">
        <v>64</v>
      </c>
      <c r="AB104" s="31">
        <v>486</v>
      </c>
      <c r="AE104">
        <f t="shared" ref="AE104" si="655">AA104</f>
        <v>64</v>
      </c>
      <c r="AF104" s="112">
        <f t="shared" ref="AF104" si="656">AB104</f>
        <v>486</v>
      </c>
      <c r="AI104" s="13">
        <v>12095999.999999791</v>
      </c>
      <c r="AJ104">
        <v>64</v>
      </c>
      <c r="AK104" s="112">
        <v>486</v>
      </c>
      <c r="AN104" s="127">
        <v>45237.0625</v>
      </c>
      <c r="AO104">
        <v>1</v>
      </c>
      <c r="AP104" s="13">
        <f t="shared" si="434"/>
        <v>1081800.0000001397</v>
      </c>
      <c r="AQ104">
        <f t="shared" si="623"/>
        <v>96</v>
      </c>
      <c r="AR104" s="13">
        <f t="shared" si="624"/>
        <v>1081800.0000001397</v>
      </c>
      <c r="AS104" s="112">
        <f t="shared" si="625"/>
        <v>96</v>
      </c>
    </row>
    <row r="105" spans="1:45" x14ac:dyDescent="0.25">
      <c r="B105" s="13">
        <f t="shared" si="650"/>
        <v>12096299.999999791</v>
      </c>
      <c r="C105" s="13">
        <f t="shared" ref="C105" si="657">B105</f>
        <v>12096299.999999791</v>
      </c>
      <c r="F105" s="44">
        <v>1E-10</v>
      </c>
      <c r="G105" s="44">
        <v>1E-10</v>
      </c>
      <c r="H105" s="44">
        <f t="shared" ref="H105" si="658">F105</f>
        <v>1E-10</v>
      </c>
      <c r="I105" s="124">
        <f t="shared" ref="I105" si="659">G105</f>
        <v>1E-10</v>
      </c>
      <c r="L105" s="13">
        <v>12096299.999999791</v>
      </c>
      <c r="M105" s="44">
        <v>1E-10</v>
      </c>
      <c r="N105" s="124">
        <v>1E-10</v>
      </c>
      <c r="Q105" s="127">
        <v>45237.166666666657</v>
      </c>
      <c r="R105">
        <v>1</v>
      </c>
      <c r="S105" s="13">
        <f t="shared" si="430"/>
        <v>1090800.0000001397</v>
      </c>
      <c r="T105">
        <f t="shared" si="420"/>
        <v>96</v>
      </c>
      <c r="U105" s="13">
        <f t="shared" si="421"/>
        <v>1090800.0000001397</v>
      </c>
      <c r="V105" s="112">
        <f t="shared" si="422"/>
        <v>96</v>
      </c>
      <c r="X105" s="13"/>
      <c r="Y105" s="13">
        <f t="shared" si="570"/>
        <v>12096299.999999791</v>
      </c>
      <c r="Z105" s="13">
        <f t="shared" ref="Z105" si="660">Y105</f>
        <v>12096299.999999791</v>
      </c>
      <c r="AC105" s="44">
        <v>1E-10</v>
      </c>
      <c r="AD105" s="44">
        <v>1E-10</v>
      </c>
      <c r="AE105" s="44">
        <f t="shared" ref="AE105" si="661">AC105</f>
        <v>1E-10</v>
      </c>
      <c r="AF105" s="124">
        <f t="shared" ref="AF105" si="662">AD105</f>
        <v>1E-10</v>
      </c>
      <c r="AI105" s="13">
        <v>12096299.999999791</v>
      </c>
      <c r="AJ105" s="44">
        <v>1E-10</v>
      </c>
      <c r="AK105" s="124">
        <v>1E-10</v>
      </c>
      <c r="AN105" s="127">
        <v>45237.166666666657</v>
      </c>
      <c r="AO105">
        <v>1</v>
      </c>
      <c r="AP105" s="13">
        <f t="shared" si="434"/>
        <v>1090800.0000001397</v>
      </c>
      <c r="AQ105">
        <f t="shared" si="623"/>
        <v>96</v>
      </c>
      <c r="AR105" s="13">
        <f t="shared" si="624"/>
        <v>1090800.0000001397</v>
      </c>
      <c r="AS105" s="112">
        <f t="shared" si="625"/>
        <v>96</v>
      </c>
    </row>
    <row r="106" spans="1:45" x14ac:dyDescent="0.25">
      <c r="A106" s="31">
        <v>12268799.999999791</v>
      </c>
      <c r="B106" s="13">
        <f t="shared" si="650"/>
        <v>300</v>
      </c>
      <c r="C106" s="13">
        <f t="shared" ref="C106" si="663">A106</f>
        <v>12268799.999999791</v>
      </c>
      <c r="D106" s="31">
        <v>146.69999999999999</v>
      </c>
      <c r="E106" s="31">
        <v>529</v>
      </c>
      <c r="H106">
        <f t="shared" ref="H106" si="664">D106</f>
        <v>146.69999999999999</v>
      </c>
      <c r="I106" s="112">
        <f t="shared" ref="I106" si="665">E106</f>
        <v>529</v>
      </c>
      <c r="L106" s="13">
        <v>12268799.999999791</v>
      </c>
      <c r="M106">
        <v>146.69999999999999</v>
      </c>
      <c r="N106" s="112">
        <v>529</v>
      </c>
      <c r="Q106" s="127">
        <v>45237.270833333343</v>
      </c>
      <c r="R106">
        <v>1</v>
      </c>
      <c r="S106" s="13">
        <f t="shared" si="430"/>
        <v>1099800.0000001397</v>
      </c>
      <c r="T106">
        <f t="shared" si="420"/>
        <v>96</v>
      </c>
      <c r="U106" s="13">
        <f t="shared" si="421"/>
        <v>1099800.0000001397</v>
      </c>
      <c r="V106" s="112">
        <f t="shared" si="422"/>
        <v>96</v>
      </c>
      <c r="X106" s="31">
        <v>12268799.999999791</v>
      </c>
      <c r="Y106" s="13">
        <f t="shared" si="570"/>
        <v>300</v>
      </c>
      <c r="Z106" s="13">
        <f t="shared" ref="Z106" si="666">X106</f>
        <v>12268799.999999791</v>
      </c>
      <c r="AA106" s="31">
        <v>96</v>
      </c>
      <c r="AB106" s="31">
        <v>730</v>
      </c>
      <c r="AE106">
        <f t="shared" ref="AE106" si="667">AA106</f>
        <v>96</v>
      </c>
      <c r="AF106" s="112">
        <f t="shared" ref="AF106" si="668">AB106</f>
        <v>730</v>
      </c>
      <c r="AI106" s="13">
        <v>12268799.999999791</v>
      </c>
      <c r="AJ106">
        <v>96</v>
      </c>
      <c r="AK106" s="112">
        <v>730</v>
      </c>
      <c r="AN106" s="127">
        <v>45237.270833333343</v>
      </c>
      <c r="AO106">
        <v>1</v>
      </c>
      <c r="AP106" s="13">
        <f t="shared" si="434"/>
        <v>1099800.0000001397</v>
      </c>
      <c r="AQ106">
        <f t="shared" si="623"/>
        <v>96</v>
      </c>
      <c r="AR106" s="13">
        <f t="shared" si="624"/>
        <v>1099800.0000001397</v>
      </c>
      <c r="AS106" s="112">
        <f t="shared" si="625"/>
        <v>96</v>
      </c>
    </row>
    <row r="107" spans="1:45" x14ac:dyDescent="0.25">
      <c r="B107" s="13">
        <f t="shared" si="650"/>
        <v>12269099.999999791</v>
      </c>
      <c r="C107" s="13">
        <f t="shared" ref="C107" si="669">B107</f>
        <v>12269099.999999791</v>
      </c>
      <c r="F107" s="44">
        <v>1E-10</v>
      </c>
      <c r="G107" s="44">
        <v>1E-10</v>
      </c>
      <c r="H107" s="44">
        <f t="shared" ref="H107" si="670">F107</f>
        <v>1E-10</v>
      </c>
      <c r="I107" s="124">
        <f t="shared" ref="I107" si="671">G107</f>
        <v>1E-10</v>
      </c>
      <c r="L107" s="13">
        <v>12269099.999999791</v>
      </c>
      <c r="M107" s="44">
        <v>1E-10</v>
      </c>
      <c r="N107" s="124">
        <v>1E-10</v>
      </c>
      <c r="Q107" s="127">
        <v>45237.375</v>
      </c>
      <c r="R107">
        <v>1</v>
      </c>
      <c r="S107" s="13">
        <f t="shared" si="430"/>
        <v>1108800.0000001397</v>
      </c>
      <c r="T107">
        <f t="shared" si="420"/>
        <v>96</v>
      </c>
      <c r="U107" s="13">
        <f t="shared" si="421"/>
        <v>1108800.0000001397</v>
      </c>
      <c r="V107" s="112">
        <f t="shared" si="422"/>
        <v>96</v>
      </c>
      <c r="X107" s="13"/>
      <c r="Y107" s="13">
        <f t="shared" si="570"/>
        <v>12269099.999999791</v>
      </c>
      <c r="Z107" s="13">
        <f t="shared" ref="Z107" si="672">Y107</f>
        <v>12269099.999999791</v>
      </c>
      <c r="AC107" s="44">
        <v>1E-10</v>
      </c>
      <c r="AD107" s="44">
        <v>1E-10</v>
      </c>
      <c r="AE107" s="44">
        <f t="shared" ref="AE107" si="673">AC107</f>
        <v>1E-10</v>
      </c>
      <c r="AF107" s="124">
        <f t="shared" ref="AF107" si="674">AD107</f>
        <v>1E-10</v>
      </c>
      <c r="AI107" s="13">
        <v>12269099.999999791</v>
      </c>
      <c r="AJ107" s="44">
        <v>1E-10</v>
      </c>
      <c r="AK107" s="124">
        <v>1E-10</v>
      </c>
      <c r="AN107" s="127">
        <v>45237.375</v>
      </c>
      <c r="AO107">
        <v>1</v>
      </c>
      <c r="AP107" s="13">
        <f t="shared" si="434"/>
        <v>1108800.0000001397</v>
      </c>
      <c r="AQ107">
        <f t="shared" si="623"/>
        <v>96</v>
      </c>
      <c r="AR107" s="13">
        <f t="shared" si="624"/>
        <v>1108800.0000001397</v>
      </c>
      <c r="AS107" s="112">
        <f t="shared" si="625"/>
        <v>96</v>
      </c>
    </row>
    <row r="108" spans="1:45" x14ac:dyDescent="0.25">
      <c r="A108" s="31">
        <v>12533399.999999791</v>
      </c>
      <c r="B108" s="13">
        <f t="shared" si="650"/>
        <v>300</v>
      </c>
      <c r="C108" s="13">
        <f t="shared" ref="C108" si="675">A108</f>
        <v>12533399.999999791</v>
      </c>
      <c r="D108" s="31">
        <v>97.8</v>
      </c>
      <c r="E108" s="31">
        <v>352</v>
      </c>
      <c r="H108">
        <f t="shared" ref="H108" si="676">D108</f>
        <v>97.8</v>
      </c>
      <c r="I108" s="112">
        <f t="shared" ref="I108" si="677">E108</f>
        <v>352</v>
      </c>
      <c r="L108" s="13">
        <v>12533399.999999791</v>
      </c>
      <c r="M108">
        <v>97.8</v>
      </c>
      <c r="N108" s="112">
        <v>352</v>
      </c>
      <c r="Q108" s="127">
        <v>45237.479166666657</v>
      </c>
      <c r="R108">
        <v>0</v>
      </c>
      <c r="S108" s="13">
        <f t="shared" si="430"/>
        <v>1117800.0000001397</v>
      </c>
      <c r="T108">
        <f t="shared" si="420"/>
        <v>0</v>
      </c>
      <c r="U108" s="13">
        <f t="shared" si="421"/>
        <v>1117800.0000001397</v>
      </c>
      <c r="V108" s="112">
        <f t="shared" si="422"/>
        <v>1E-10</v>
      </c>
      <c r="X108" s="31">
        <v>12533399.999999791</v>
      </c>
      <c r="Y108" s="13">
        <f t="shared" si="570"/>
        <v>300</v>
      </c>
      <c r="Z108" s="13">
        <f t="shared" ref="Z108" si="678">X108</f>
        <v>12533399.999999791</v>
      </c>
      <c r="AA108" s="31">
        <v>64</v>
      </c>
      <c r="AB108" s="31">
        <v>486</v>
      </c>
      <c r="AE108">
        <f t="shared" ref="AE108" si="679">AA108</f>
        <v>64</v>
      </c>
      <c r="AF108" s="112">
        <f t="shared" ref="AF108" si="680">AB108</f>
        <v>486</v>
      </c>
      <c r="AI108" s="13">
        <v>12533399.999999791</v>
      </c>
      <c r="AJ108">
        <v>64</v>
      </c>
      <c r="AK108" s="112">
        <v>486</v>
      </c>
      <c r="AN108" s="127">
        <v>45237.479166666657</v>
      </c>
      <c r="AO108">
        <v>1</v>
      </c>
      <c r="AP108" s="13">
        <f t="shared" si="434"/>
        <v>1117800.0000001397</v>
      </c>
      <c r="AQ108">
        <f t="shared" si="623"/>
        <v>96</v>
      </c>
      <c r="AR108" s="13">
        <f t="shared" si="624"/>
        <v>1117800.0000001397</v>
      </c>
      <c r="AS108" s="112">
        <f t="shared" si="625"/>
        <v>96</v>
      </c>
    </row>
    <row r="109" spans="1:45" x14ac:dyDescent="0.25">
      <c r="B109" s="13">
        <f t="shared" si="650"/>
        <v>12533699.999999791</v>
      </c>
      <c r="C109" s="13">
        <f t="shared" ref="C109" si="681">B109</f>
        <v>12533699.999999791</v>
      </c>
      <c r="D109" s="31"/>
      <c r="F109" s="44">
        <v>1E-10</v>
      </c>
      <c r="G109" s="44">
        <v>1E-10</v>
      </c>
      <c r="H109" s="44">
        <f t="shared" ref="H109" si="682">F109</f>
        <v>1E-10</v>
      </c>
      <c r="I109" s="124">
        <f t="shared" ref="I109" si="683">G109</f>
        <v>1E-10</v>
      </c>
      <c r="L109" s="13">
        <v>12533699.999999791</v>
      </c>
      <c r="M109" s="44">
        <v>1E-10</v>
      </c>
      <c r="N109" s="124">
        <v>1E-10</v>
      </c>
      <c r="Q109" s="127">
        <v>45237.583333333343</v>
      </c>
      <c r="R109">
        <v>1</v>
      </c>
      <c r="S109" s="13">
        <f t="shared" si="430"/>
        <v>1126800.0000001397</v>
      </c>
      <c r="T109">
        <f t="shared" si="420"/>
        <v>96</v>
      </c>
      <c r="U109" s="13">
        <f t="shared" si="421"/>
        <v>1126800.0000001397</v>
      </c>
      <c r="V109" s="112">
        <f t="shared" si="422"/>
        <v>96</v>
      </c>
      <c r="X109" s="13"/>
      <c r="Y109" s="13">
        <f t="shared" si="570"/>
        <v>12533699.999999791</v>
      </c>
      <c r="Z109" s="13">
        <f t="shared" ref="Z109" si="684">Y109</f>
        <v>12533699.999999791</v>
      </c>
      <c r="AA109" s="31"/>
      <c r="AC109" s="44">
        <v>1E-10</v>
      </c>
      <c r="AD109" s="44">
        <v>1E-10</v>
      </c>
      <c r="AE109" s="44">
        <f t="shared" ref="AE109" si="685">AC109</f>
        <v>1E-10</v>
      </c>
      <c r="AF109" s="124">
        <f t="shared" ref="AF109" si="686">AD109</f>
        <v>1E-10</v>
      </c>
      <c r="AI109" s="13">
        <v>12533699.999999791</v>
      </c>
      <c r="AJ109" s="44">
        <v>1E-10</v>
      </c>
      <c r="AK109" s="124">
        <v>1E-10</v>
      </c>
      <c r="AN109" s="127">
        <v>45237.583333333343</v>
      </c>
      <c r="AO109">
        <v>1</v>
      </c>
      <c r="AP109" s="13">
        <f t="shared" si="434"/>
        <v>1126800.0000001397</v>
      </c>
      <c r="AQ109">
        <f t="shared" si="623"/>
        <v>96</v>
      </c>
      <c r="AR109" s="13">
        <f t="shared" si="624"/>
        <v>1126800.0000001397</v>
      </c>
      <c r="AS109" s="112">
        <f t="shared" si="625"/>
        <v>96</v>
      </c>
    </row>
    <row r="110" spans="1:45" x14ac:dyDescent="0.25">
      <c r="A110" s="31">
        <v>12699000.000000209</v>
      </c>
      <c r="B110" s="13">
        <f t="shared" ref="B110:B115" si="687">A109+300</f>
        <v>300</v>
      </c>
      <c r="C110" s="13">
        <f>A110</f>
        <v>12699000.000000209</v>
      </c>
      <c r="D110" s="31">
        <v>0</v>
      </c>
      <c r="E110" s="31">
        <v>0</v>
      </c>
      <c r="H110">
        <f>D110</f>
        <v>0</v>
      </c>
      <c r="I110" s="112">
        <f>E110</f>
        <v>0</v>
      </c>
      <c r="L110" s="13">
        <v>12699000.000000209</v>
      </c>
      <c r="M110">
        <v>0</v>
      </c>
      <c r="N110" s="112">
        <v>0</v>
      </c>
      <c r="Q110" s="127">
        <v>45237.6875</v>
      </c>
      <c r="R110">
        <v>1</v>
      </c>
      <c r="S110" s="13">
        <f t="shared" si="430"/>
        <v>1135800.0000001397</v>
      </c>
      <c r="T110">
        <f t="shared" si="420"/>
        <v>96</v>
      </c>
      <c r="U110" s="13">
        <f t="shared" si="421"/>
        <v>1135800.0000001397</v>
      </c>
      <c r="V110" s="112">
        <f t="shared" si="422"/>
        <v>96</v>
      </c>
      <c r="X110" s="31">
        <v>12699000.000000209</v>
      </c>
      <c r="Y110" s="13">
        <f t="shared" ref="Y110:Y115" si="688">X109+300</f>
        <v>300</v>
      </c>
      <c r="Z110" s="13">
        <f>X110</f>
        <v>12699000.000000209</v>
      </c>
      <c r="AA110" s="31">
        <v>0</v>
      </c>
      <c r="AB110" s="31">
        <v>0</v>
      </c>
      <c r="AE110">
        <f>AA110</f>
        <v>0</v>
      </c>
      <c r="AF110" s="112">
        <f>AB110</f>
        <v>0</v>
      </c>
      <c r="AI110" s="13">
        <v>12699000.000000209</v>
      </c>
      <c r="AJ110">
        <v>0</v>
      </c>
      <c r="AK110" s="112">
        <v>0</v>
      </c>
      <c r="AN110" s="127">
        <v>45237.6875</v>
      </c>
      <c r="AO110">
        <v>0</v>
      </c>
      <c r="AP110" s="13">
        <f t="shared" si="434"/>
        <v>1135800.0000001397</v>
      </c>
      <c r="AQ110">
        <f t="shared" si="623"/>
        <v>0</v>
      </c>
      <c r="AR110" s="13">
        <f t="shared" si="624"/>
        <v>1135800.0000001397</v>
      </c>
      <c r="AS110" s="112">
        <f t="shared" si="625"/>
        <v>1E-10</v>
      </c>
    </row>
    <row r="111" spans="1:45" x14ac:dyDescent="0.25">
      <c r="B111" s="13">
        <f t="shared" si="687"/>
        <v>12699300.000000209</v>
      </c>
      <c r="C111" s="13">
        <f>B111</f>
        <v>12699300.000000209</v>
      </c>
      <c r="F111" s="44">
        <v>1E-10</v>
      </c>
      <c r="G111" s="44">
        <v>1E-10</v>
      </c>
      <c r="H111" s="44">
        <f>F111</f>
        <v>1E-10</v>
      </c>
      <c r="I111" s="124">
        <f>G111</f>
        <v>1E-10</v>
      </c>
      <c r="L111" s="13">
        <v>12699300.000000209</v>
      </c>
      <c r="M111" s="44">
        <v>1E-10</v>
      </c>
      <c r="N111" s="124">
        <v>1E-10</v>
      </c>
      <c r="Q111" s="127">
        <v>45237.791666666657</v>
      </c>
      <c r="R111">
        <v>1</v>
      </c>
      <c r="S111" s="13">
        <f t="shared" si="430"/>
        <v>1144800.0000001397</v>
      </c>
      <c r="T111">
        <f t="shared" si="420"/>
        <v>96</v>
      </c>
      <c r="U111" s="13">
        <f t="shared" si="421"/>
        <v>1144800.0000001397</v>
      </c>
      <c r="V111" s="112">
        <f t="shared" si="422"/>
        <v>96</v>
      </c>
      <c r="Y111" s="13">
        <f t="shared" si="688"/>
        <v>12699300.000000209</v>
      </c>
      <c r="Z111" s="13">
        <f>Y111</f>
        <v>12699300.000000209</v>
      </c>
      <c r="AC111" s="44">
        <v>1E-10</v>
      </c>
      <c r="AD111" s="44">
        <v>1E-10</v>
      </c>
      <c r="AE111" s="44">
        <f>AC111</f>
        <v>1E-10</v>
      </c>
      <c r="AF111" s="124">
        <f>AD111</f>
        <v>1E-10</v>
      </c>
      <c r="AI111" s="13">
        <v>12699300.000000209</v>
      </c>
      <c r="AJ111" s="44">
        <v>1E-10</v>
      </c>
      <c r="AK111" s="124">
        <v>1E-10</v>
      </c>
      <c r="AN111" s="127">
        <v>45237.791666666657</v>
      </c>
      <c r="AO111">
        <v>1</v>
      </c>
      <c r="AP111" s="13">
        <f t="shared" si="434"/>
        <v>1144800.0000001397</v>
      </c>
      <c r="AQ111">
        <f t="shared" si="623"/>
        <v>96</v>
      </c>
      <c r="AR111" s="13">
        <f t="shared" si="624"/>
        <v>1144800.0000001397</v>
      </c>
      <c r="AS111" s="112">
        <f t="shared" si="625"/>
        <v>96</v>
      </c>
    </row>
    <row r="112" spans="1:45" x14ac:dyDescent="0.25">
      <c r="A112" s="31">
        <v>13131000.000000209</v>
      </c>
      <c r="B112" s="13">
        <f t="shared" si="687"/>
        <v>300</v>
      </c>
      <c r="C112" s="13">
        <f>A112</f>
        <v>13131000.000000209</v>
      </c>
      <c r="D112" s="31">
        <v>400</v>
      </c>
      <c r="E112" s="31">
        <v>0</v>
      </c>
      <c r="H112">
        <f>D112</f>
        <v>400</v>
      </c>
      <c r="I112" s="112">
        <f>E112</f>
        <v>0</v>
      </c>
      <c r="L112" s="13">
        <v>13131000.000000209</v>
      </c>
      <c r="M112">
        <v>400</v>
      </c>
      <c r="N112" s="112">
        <v>0</v>
      </c>
      <c r="Q112" s="127">
        <v>45237.895833333343</v>
      </c>
      <c r="R112">
        <v>1</v>
      </c>
      <c r="S112" s="13">
        <f t="shared" si="430"/>
        <v>1153800.0000001397</v>
      </c>
      <c r="T112">
        <f t="shared" si="420"/>
        <v>96</v>
      </c>
      <c r="U112" s="13">
        <f t="shared" si="421"/>
        <v>1153800.0000001397</v>
      </c>
      <c r="V112" s="112">
        <f t="shared" si="422"/>
        <v>96</v>
      </c>
      <c r="X112" s="31">
        <v>13131000.000000209</v>
      </c>
      <c r="Y112" s="13">
        <f t="shared" si="688"/>
        <v>300</v>
      </c>
      <c r="Z112" s="13">
        <f>X112</f>
        <v>13131000.000000209</v>
      </c>
      <c r="AA112" s="31">
        <v>400</v>
      </c>
      <c r="AB112" s="31">
        <v>0</v>
      </c>
      <c r="AE112">
        <f>AA112</f>
        <v>400</v>
      </c>
      <c r="AF112" s="112">
        <f>AB112</f>
        <v>0</v>
      </c>
      <c r="AI112" s="13">
        <v>13131000.000000209</v>
      </c>
      <c r="AJ112">
        <v>400</v>
      </c>
      <c r="AK112" s="112">
        <v>0</v>
      </c>
      <c r="AN112" s="127">
        <v>45237.895833333343</v>
      </c>
      <c r="AO112">
        <v>1</v>
      </c>
      <c r="AP112" s="13">
        <f t="shared" si="434"/>
        <v>1153800.0000001397</v>
      </c>
      <c r="AQ112">
        <f t="shared" si="623"/>
        <v>96</v>
      </c>
      <c r="AR112" s="13">
        <f t="shared" si="624"/>
        <v>1153800.0000001397</v>
      </c>
      <c r="AS112" s="112">
        <f t="shared" si="625"/>
        <v>96</v>
      </c>
    </row>
    <row r="113" spans="1:45" x14ac:dyDescent="0.25">
      <c r="B113" s="13">
        <f t="shared" si="687"/>
        <v>13131300.000000209</v>
      </c>
      <c r="C113" s="13">
        <f>B113</f>
        <v>13131300.000000209</v>
      </c>
      <c r="D113" s="31"/>
      <c r="F113" s="44">
        <v>1E-10</v>
      </c>
      <c r="G113" s="44">
        <v>1E-10</v>
      </c>
      <c r="H113" s="44">
        <f>F113</f>
        <v>1E-10</v>
      </c>
      <c r="I113" s="124">
        <f>G113</f>
        <v>1E-10</v>
      </c>
      <c r="L113" s="13">
        <v>13131300.000000209</v>
      </c>
      <c r="M113" s="44">
        <v>1E-10</v>
      </c>
      <c r="N113" s="124">
        <v>1E-10</v>
      </c>
      <c r="Q113" s="127">
        <v>45238</v>
      </c>
      <c r="R113">
        <v>1</v>
      </c>
      <c r="S113" s="13">
        <f t="shared" si="430"/>
        <v>1162800.0000001397</v>
      </c>
      <c r="T113">
        <f t="shared" si="420"/>
        <v>96</v>
      </c>
      <c r="U113" s="13">
        <f t="shared" si="421"/>
        <v>1162800.0000001397</v>
      </c>
      <c r="V113" s="112">
        <f t="shared" si="422"/>
        <v>96</v>
      </c>
      <c r="Y113" s="13">
        <f t="shared" si="688"/>
        <v>13131300.000000209</v>
      </c>
      <c r="Z113" s="13">
        <f>Y113</f>
        <v>13131300.000000209</v>
      </c>
      <c r="AC113" s="44">
        <v>1E-10</v>
      </c>
      <c r="AD113" s="44">
        <v>1E-10</v>
      </c>
      <c r="AE113" s="44">
        <f>AC113</f>
        <v>1E-10</v>
      </c>
      <c r="AF113" s="124">
        <f>AD113</f>
        <v>1E-10</v>
      </c>
      <c r="AI113" s="13">
        <v>13131300.000000209</v>
      </c>
      <c r="AJ113" s="44">
        <v>1E-10</v>
      </c>
      <c r="AK113" s="124">
        <v>1E-10</v>
      </c>
      <c r="AN113" s="127">
        <v>45238</v>
      </c>
      <c r="AO113">
        <v>1</v>
      </c>
      <c r="AP113" s="13">
        <f t="shared" si="434"/>
        <v>1162800.0000001397</v>
      </c>
      <c r="AQ113">
        <f t="shared" si="623"/>
        <v>96</v>
      </c>
      <c r="AR113" s="13">
        <f t="shared" si="624"/>
        <v>1162800.0000001397</v>
      </c>
      <c r="AS113" s="112">
        <f t="shared" si="625"/>
        <v>96</v>
      </c>
    </row>
    <row r="114" spans="1:45" x14ac:dyDescent="0.25">
      <c r="A114" s="31">
        <v>14596799.99999986</v>
      </c>
      <c r="B114" s="13">
        <f t="shared" si="687"/>
        <v>300</v>
      </c>
      <c r="C114" s="13">
        <f>A114</f>
        <v>14596799.99999986</v>
      </c>
      <c r="D114" s="31">
        <v>0</v>
      </c>
      <c r="E114" s="31">
        <v>1000</v>
      </c>
      <c r="H114">
        <f>D114</f>
        <v>0</v>
      </c>
      <c r="I114" s="112">
        <f>E114</f>
        <v>1000</v>
      </c>
      <c r="L114" s="13">
        <v>14596799.99999986</v>
      </c>
      <c r="M114">
        <v>0</v>
      </c>
      <c r="N114" s="112">
        <v>1000</v>
      </c>
      <c r="Q114" s="127">
        <v>45238.104166666657</v>
      </c>
      <c r="R114">
        <v>1</v>
      </c>
      <c r="S114" s="13">
        <f t="shared" si="430"/>
        <v>1171800.0000001397</v>
      </c>
      <c r="T114">
        <f t="shared" si="420"/>
        <v>96</v>
      </c>
      <c r="U114" s="13">
        <f t="shared" si="421"/>
        <v>1171800.0000001397</v>
      </c>
      <c r="V114" s="112">
        <f t="shared" si="422"/>
        <v>96</v>
      </c>
      <c r="X114" s="31">
        <v>14596799.99999986</v>
      </c>
      <c r="Y114" s="13">
        <f t="shared" si="688"/>
        <v>300</v>
      </c>
      <c r="Z114" s="13">
        <f>X114</f>
        <v>14596799.99999986</v>
      </c>
      <c r="AA114" s="31">
        <v>0</v>
      </c>
      <c r="AB114" s="31">
        <v>2000</v>
      </c>
      <c r="AE114">
        <f>AA114</f>
        <v>0</v>
      </c>
      <c r="AF114" s="112">
        <f>AB114</f>
        <v>2000</v>
      </c>
      <c r="AI114" s="13">
        <v>14596799.99999986</v>
      </c>
      <c r="AJ114">
        <v>0</v>
      </c>
      <c r="AK114" s="112">
        <v>2000</v>
      </c>
      <c r="AN114" s="127">
        <v>45238.104166666657</v>
      </c>
      <c r="AO114">
        <v>1</v>
      </c>
      <c r="AP114" s="13">
        <f t="shared" si="434"/>
        <v>1171800.0000001397</v>
      </c>
      <c r="AQ114">
        <f t="shared" si="623"/>
        <v>96</v>
      </c>
      <c r="AR114" s="13">
        <f t="shared" si="624"/>
        <v>1171800.0000001397</v>
      </c>
      <c r="AS114" s="112">
        <f t="shared" si="625"/>
        <v>96</v>
      </c>
    </row>
    <row r="115" spans="1:45" x14ac:dyDescent="0.25">
      <c r="B115" s="13">
        <f t="shared" si="687"/>
        <v>14597099.99999986</v>
      </c>
      <c r="C115" s="13">
        <f>B115</f>
        <v>14597099.99999986</v>
      </c>
      <c r="F115" s="44">
        <v>1E-10</v>
      </c>
      <c r="G115" s="44">
        <v>1E-10</v>
      </c>
      <c r="H115" s="44">
        <f>F115</f>
        <v>1E-10</v>
      </c>
      <c r="I115" s="124">
        <f>G115</f>
        <v>1E-10</v>
      </c>
      <c r="L115" s="13">
        <v>14597099.99999986</v>
      </c>
      <c r="M115" s="44">
        <v>1E-10</v>
      </c>
      <c r="N115" s="124">
        <v>1E-10</v>
      </c>
      <c r="Q115" s="127">
        <v>45238.208333333343</v>
      </c>
      <c r="R115">
        <v>1</v>
      </c>
      <c r="S115" s="13">
        <f t="shared" si="430"/>
        <v>1180800.0000001397</v>
      </c>
      <c r="T115">
        <f t="shared" si="420"/>
        <v>96</v>
      </c>
      <c r="U115" s="13">
        <f t="shared" si="421"/>
        <v>1180800.0000001397</v>
      </c>
      <c r="V115" s="112">
        <f t="shared" si="422"/>
        <v>96</v>
      </c>
      <c r="Y115" s="13">
        <f t="shared" si="688"/>
        <v>14597099.99999986</v>
      </c>
      <c r="Z115" s="13">
        <f>Y115</f>
        <v>14597099.99999986</v>
      </c>
      <c r="AC115" s="44">
        <v>1E-10</v>
      </c>
      <c r="AD115" s="44">
        <v>1E-10</v>
      </c>
      <c r="AE115" s="44">
        <f>AC115</f>
        <v>1E-10</v>
      </c>
      <c r="AF115" s="124">
        <f>AD115</f>
        <v>1E-10</v>
      </c>
      <c r="AI115" s="13">
        <v>14597099.99999986</v>
      </c>
      <c r="AJ115" s="44">
        <v>1E-10</v>
      </c>
      <c r="AK115" s="124">
        <v>1E-10</v>
      </c>
      <c r="AN115" s="127">
        <v>45238.208333333343</v>
      </c>
      <c r="AO115">
        <v>1</v>
      </c>
      <c r="AP115" s="13">
        <f t="shared" si="434"/>
        <v>1180800.0000001397</v>
      </c>
      <c r="AQ115">
        <f t="shared" si="623"/>
        <v>96</v>
      </c>
      <c r="AR115" s="13">
        <f t="shared" si="624"/>
        <v>1180800.0000001397</v>
      </c>
      <c r="AS115" s="112">
        <f t="shared" si="625"/>
        <v>96</v>
      </c>
    </row>
    <row r="116" spans="1:45" x14ac:dyDescent="0.25">
      <c r="Q116" s="127">
        <v>45238.3125</v>
      </c>
      <c r="R116">
        <v>1</v>
      </c>
      <c r="S116" s="13">
        <f t="shared" si="430"/>
        <v>1189800.0000001397</v>
      </c>
      <c r="T116">
        <f t="shared" si="420"/>
        <v>96</v>
      </c>
      <c r="U116" s="13">
        <f t="shared" si="421"/>
        <v>1189800.0000001397</v>
      </c>
      <c r="V116" s="112">
        <f t="shared" si="422"/>
        <v>96</v>
      </c>
      <c r="AI116" s="13"/>
      <c r="AN116" s="127">
        <v>45238.3125</v>
      </c>
      <c r="AO116">
        <v>1</v>
      </c>
      <c r="AP116" s="13">
        <f t="shared" si="434"/>
        <v>1189800.0000001397</v>
      </c>
      <c r="AQ116">
        <f t="shared" si="623"/>
        <v>96</v>
      </c>
      <c r="AR116" s="13">
        <f t="shared" si="624"/>
        <v>1189800.0000001397</v>
      </c>
      <c r="AS116" s="112">
        <f t="shared" si="625"/>
        <v>96</v>
      </c>
    </row>
    <row r="117" spans="1:45" x14ac:dyDescent="0.25">
      <c r="Q117" s="127">
        <v>45238.416666666657</v>
      </c>
      <c r="R117">
        <v>1</v>
      </c>
      <c r="S117" s="13">
        <f t="shared" si="430"/>
        <v>1198800.0000001397</v>
      </c>
      <c r="T117">
        <f t="shared" si="420"/>
        <v>96</v>
      </c>
      <c r="U117" s="13">
        <f t="shared" si="421"/>
        <v>1198800.0000001397</v>
      </c>
      <c r="V117" s="112">
        <f t="shared" si="422"/>
        <v>96</v>
      </c>
      <c r="AN117" s="127">
        <v>45238.416666666657</v>
      </c>
      <c r="AO117">
        <v>1</v>
      </c>
      <c r="AP117" s="13">
        <f t="shared" si="434"/>
        <v>1198800.0000001397</v>
      </c>
      <c r="AQ117">
        <f t="shared" si="623"/>
        <v>96</v>
      </c>
      <c r="AR117" s="13">
        <f t="shared" si="624"/>
        <v>1198800.0000001397</v>
      </c>
      <c r="AS117" s="112">
        <f t="shared" si="625"/>
        <v>96</v>
      </c>
    </row>
    <row r="118" spans="1:45" x14ac:dyDescent="0.25">
      <c r="Q118" s="127">
        <v>45238.520833333343</v>
      </c>
      <c r="R118">
        <v>1</v>
      </c>
      <c r="S118" s="13">
        <f t="shared" si="430"/>
        <v>1207800.0000001397</v>
      </c>
      <c r="T118">
        <f t="shared" si="420"/>
        <v>96</v>
      </c>
      <c r="U118" s="13">
        <f t="shared" si="421"/>
        <v>1207800.0000001397</v>
      </c>
      <c r="V118" s="112">
        <f t="shared" si="422"/>
        <v>96</v>
      </c>
      <c r="AN118" s="127">
        <v>45238.520833333343</v>
      </c>
      <c r="AO118">
        <v>1</v>
      </c>
      <c r="AP118" s="13">
        <f t="shared" si="434"/>
        <v>1207800.0000001397</v>
      </c>
      <c r="AQ118">
        <f t="shared" si="623"/>
        <v>96</v>
      </c>
      <c r="AR118" s="13">
        <f t="shared" si="624"/>
        <v>1207800.0000001397</v>
      </c>
      <c r="AS118" s="112">
        <f t="shared" si="625"/>
        <v>96</v>
      </c>
    </row>
    <row r="119" spans="1:45" x14ac:dyDescent="0.25">
      <c r="Q119" s="127">
        <v>45238.625</v>
      </c>
      <c r="R119">
        <v>1</v>
      </c>
      <c r="S119" s="13">
        <f t="shared" si="430"/>
        <v>1216800.0000001397</v>
      </c>
      <c r="T119">
        <f t="shared" si="420"/>
        <v>96</v>
      </c>
      <c r="U119" s="13">
        <f t="shared" si="421"/>
        <v>1216800.0000001397</v>
      </c>
      <c r="V119" s="112">
        <f t="shared" si="422"/>
        <v>96</v>
      </c>
      <c r="AN119" s="127">
        <v>45238.625</v>
      </c>
      <c r="AO119">
        <v>1</v>
      </c>
      <c r="AP119" s="13">
        <f t="shared" si="434"/>
        <v>1216800.0000001397</v>
      </c>
      <c r="AQ119">
        <f t="shared" si="623"/>
        <v>96</v>
      </c>
      <c r="AR119" s="13">
        <f t="shared" si="624"/>
        <v>1216800.0000001397</v>
      </c>
      <c r="AS119" s="112">
        <f t="shared" si="625"/>
        <v>96</v>
      </c>
    </row>
    <row r="120" spans="1:45" x14ac:dyDescent="0.25">
      <c r="Q120" s="127">
        <v>45238.729166666657</v>
      </c>
      <c r="R120">
        <v>1</v>
      </c>
      <c r="S120" s="13">
        <f t="shared" si="430"/>
        <v>1225800.0000001397</v>
      </c>
      <c r="T120">
        <f t="shared" si="420"/>
        <v>96</v>
      </c>
      <c r="U120" s="13">
        <f t="shared" si="421"/>
        <v>1225800.0000001397</v>
      </c>
      <c r="V120" s="112">
        <f t="shared" si="422"/>
        <v>96</v>
      </c>
      <c r="AN120" s="127">
        <v>45238.729166666657</v>
      </c>
      <c r="AO120">
        <v>1</v>
      </c>
      <c r="AP120" s="13">
        <f t="shared" si="434"/>
        <v>1225800.0000001397</v>
      </c>
      <c r="AQ120">
        <f t="shared" si="623"/>
        <v>96</v>
      </c>
      <c r="AR120" s="13">
        <f t="shared" si="624"/>
        <v>1225800.0000001397</v>
      </c>
      <c r="AS120" s="112">
        <f t="shared" si="625"/>
        <v>96</v>
      </c>
    </row>
    <row r="121" spans="1:45" x14ac:dyDescent="0.25">
      <c r="Q121" s="127">
        <v>45238.833333333343</v>
      </c>
      <c r="R121">
        <v>1</v>
      </c>
      <c r="S121" s="13">
        <f t="shared" si="430"/>
        <v>1234800.0000001397</v>
      </c>
      <c r="T121">
        <f t="shared" si="420"/>
        <v>96</v>
      </c>
      <c r="U121" s="13">
        <f t="shared" si="421"/>
        <v>1234800.0000001397</v>
      </c>
      <c r="V121" s="112">
        <f t="shared" si="422"/>
        <v>96</v>
      </c>
      <c r="AN121" s="127">
        <v>45238.833333333343</v>
      </c>
      <c r="AO121">
        <v>1</v>
      </c>
      <c r="AP121" s="13">
        <f t="shared" si="434"/>
        <v>1234800.0000001397</v>
      </c>
      <c r="AQ121">
        <f t="shared" si="623"/>
        <v>96</v>
      </c>
      <c r="AR121" s="13">
        <f t="shared" si="624"/>
        <v>1234800.0000001397</v>
      </c>
      <c r="AS121" s="112">
        <f t="shared" si="625"/>
        <v>96</v>
      </c>
    </row>
    <row r="122" spans="1:45" x14ac:dyDescent="0.25">
      <c r="Q122" s="127">
        <v>45238.9375</v>
      </c>
      <c r="R122">
        <v>0</v>
      </c>
      <c r="S122" s="13">
        <f t="shared" si="430"/>
        <v>1243800.0000001397</v>
      </c>
      <c r="T122">
        <f t="shared" si="420"/>
        <v>0</v>
      </c>
      <c r="U122" s="13">
        <f t="shared" si="421"/>
        <v>1243800.0000001397</v>
      </c>
      <c r="V122" s="112">
        <f t="shared" si="422"/>
        <v>1E-10</v>
      </c>
      <c r="AN122" s="127">
        <v>45238.9375</v>
      </c>
      <c r="AO122">
        <v>1</v>
      </c>
      <c r="AP122" s="13">
        <f t="shared" si="434"/>
        <v>1243800.0000001397</v>
      </c>
      <c r="AQ122">
        <f t="shared" si="623"/>
        <v>96</v>
      </c>
      <c r="AR122" s="13">
        <f t="shared" si="624"/>
        <v>1243800.0000001397</v>
      </c>
      <c r="AS122" s="112">
        <f t="shared" si="625"/>
        <v>96</v>
      </c>
    </row>
    <row r="123" spans="1:45" x14ac:dyDescent="0.25">
      <c r="Q123" s="127">
        <v>45239.041666666657</v>
      </c>
      <c r="R123">
        <v>1</v>
      </c>
      <c r="S123" s="13">
        <f t="shared" si="430"/>
        <v>1252800.0000001397</v>
      </c>
      <c r="T123">
        <f t="shared" si="420"/>
        <v>96</v>
      </c>
      <c r="U123" s="13">
        <f t="shared" si="421"/>
        <v>1252800.0000001397</v>
      </c>
      <c r="V123" s="112">
        <f t="shared" si="422"/>
        <v>96</v>
      </c>
      <c r="AN123" s="127">
        <v>45239.041666666657</v>
      </c>
      <c r="AO123">
        <v>1</v>
      </c>
      <c r="AP123" s="13">
        <f t="shared" si="434"/>
        <v>1252800.0000001397</v>
      </c>
      <c r="AQ123">
        <f t="shared" si="623"/>
        <v>96</v>
      </c>
      <c r="AR123" s="13">
        <f t="shared" si="624"/>
        <v>1252800.0000001397</v>
      </c>
      <c r="AS123" s="112">
        <f t="shared" si="625"/>
        <v>96</v>
      </c>
    </row>
    <row r="124" spans="1:45" x14ac:dyDescent="0.25">
      <c r="Q124" s="127">
        <v>45239.145833333343</v>
      </c>
      <c r="R124">
        <v>1</v>
      </c>
      <c r="S124" s="13">
        <f t="shared" si="430"/>
        <v>1261800.0000001397</v>
      </c>
      <c r="T124">
        <f t="shared" si="420"/>
        <v>96</v>
      </c>
      <c r="U124" s="13">
        <f t="shared" si="421"/>
        <v>1261800.0000001397</v>
      </c>
      <c r="V124" s="112">
        <f t="shared" si="422"/>
        <v>96</v>
      </c>
      <c r="AN124" s="127">
        <v>45239.145833333343</v>
      </c>
      <c r="AO124">
        <v>1</v>
      </c>
      <c r="AP124" s="13">
        <f t="shared" si="434"/>
        <v>1261800.0000001397</v>
      </c>
      <c r="AQ124">
        <f t="shared" si="623"/>
        <v>96</v>
      </c>
      <c r="AR124" s="13">
        <f t="shared" si="624"/>
        <v>1261800.0000001397</v>
      </c>
      <c r="AS124" s="112">
        <f t="shared" si="625"/>
        <v>96</v>
      </c>
    </row>
    <row r="125" spans="1:45" x14ac:dyDescent="0.25">
      <c r="Q125" s="127">
        <v>45239.25</v>
      </c>
      <c r="R125">
        <v>1</v>
      </c>
      <c r="S125" s="13">
        <f t="shared" si="430"/>
        <v>1270800.0000001397</v>
      </c>
      <c r="T125">
        <f t="shared" si="420"/>
        <v>96</v>
      </c>
      <c r="U125" s="13">
        <f t="shared" si="421"/>
        <v>1270800.0000001397</v>
      </c>
      <c r="V125" s="112">
        <f t="shared" si="422"/>
        <v>96</v>
      </c>
      <c r="AN125" s="127">
        <v>45239.25</v>
      </c>
      <c r="AO125">
        <v>1</v>
      </c>
      <c r="AP125" s="13">
        <f t="shared" si="434"/>
        <v>1270800.0000001397</v>
      </c>
      <c r="AQ125">
        <f t="shared" si="623"/>
        <v>96</v>
      </c>
      <c r="AR125" s="13">
        <f t="shared" si="624"/>
        <v>1270800.0000001397</v>
      </c>
      <c r="AS125" s="112">
        <f t="shared" si="625"/>
        <v>96</v>
      </c>
    </row>
    <row r="126" spans="1:45" x14ac:dyDescent="0.25">
      <c r="Q126" s="127">
        <v>45239.354166666657</v>
      </c>
      <c r="R126">
        <v>1</v>
      </c>
      <c r="S126" s="13">
        <f t="shared" si="430"/>
        <v>1279800.0000001397</v>
      </c>
      <c r="T126">
        <f t="shared" si="420"/>
        <v>96</v>
      </c>
      <c r="U126" s="13">
        <f t="shared" si="421"/>
        <v>1279800.0000001397</v>
      </c>
      <c r="V126" s="112">
        <f t="shared" si="422"/>
        <v>96</v>
      </c>
      <c r="AN126" s="127">
        <v>45239.354166666657</v>
      </c>
      <c r="AO126">
        <v>1</v>
      </c>
      <c r="AP126" s="13">
        <f t="shared" si="434"/>
        <v>1279800.0000001397</v>
      </c>
      <c r="AQ126">
        <f t="shared" si="623"/>
        <v>96</v>
      </c>
      <c r="AR126" s="13">
        <f t="shared" si="624"/>
        <v>1279800.0000001397</v>
      </c>
      <c r="AS126" s="112">
        <f t="shared" si="625"/>
        <v>96</v>
      </c>
    </row>
    <row r="127" spans="1:45" x14ac:dyDescent="0.25">
      <c r="Q127" s="127">
        <v>45239.458333333343</v>
      </c>
      <c r="R127">
        <v>1</v>
      </c>
      <c r="S127" s="13">
        <f t="shared" si="430"/>
        <v>1288800.0000001397</v>
      </c>
      <c r="T127">
        <f t="shared" si="420"/>
        <v>96</v>
      </c>
      <c r="U127" s="13">
        <f t="shared" si="421"/>
        <v>1288800.0000001397</v>
      </c>
      <c r="V127" s="112">
        <f t="shared" si="422"/>
        <v>96</v>
      </c>
      <c r="AN127" s="127">
        <v>45239.458333333343</v>
      </c>
      <c r="AO127">
        <v>1</v>
      </c>
      <c r="AP127" s="13">
        <f t="shared" si="434"/>
        <v>1288800.0000001397</v>
      </c>
      <c r="AQ127">
        <f t="shared" si="623"/>
        <v>96</v>
      </c>
      <c r="AR127" s="13">
        <f t="shared" si="624"/>
        <v>1288800.0000001397</v>
      </c>
      <c r="AS127" s="112">
        <f t="shared" si="625"/>
        <v>96</v>
      </c>
    </row>
    <row r="128" spans="1:45" x14ac:dyDescent="0.25">
      <c r="Q128" s="127">
        <v>45239.5625</v>
      </c>
      <c r="R128">
        <v>1</v>
      </c>
      <c r="S128" s="13">
        <f t="shared" si="430"/>
        <v>1297800.0000001397</v>
      </c>
      <c r="T128">
        <f t="shared" si="420"/>
        <v>96</v>
      </c>
      <c r="U128" s="13">
        <f t="shared" si="421"/>
        <v>1297800.0000001397</v>
      </c>
      <c r="V128" s="112">
        <f t="shared" si="422"/>
        <v>96</v>
      </c>
      <c r="AN128" s="127">
        <v>45239.5625</v>
      </c>
      <c r="AO128">
        <v>1</v>
      </c>
      <c r="AP128" s="13">
        <f t="shared" si="434"/>
        <v>1297800.0000001397</v>
      </c>
      <c r="AQ128">
        <f t="shared" si="623"/>
        <v>96</v>
      </c>
      <c r="AR128" s="13">
        <f t="shared" si="624"/>
        <v>1297800.0000001397</v>
      </c>
      <c r="AS128" s="112">
        <f t="shared" si="625"/>
        <v>96</v>
      </c>
    </row>
    <row r="129" spans="17:45" x14ac:dyDescent="0.25">
      <c r="Q129" s="127">
        <v>45239.666666666657</v>
      </c>
      <c r="R129">
        <v>1</v>
      </c>
      <c r="S129" s="13">
        <f t="shared" si="430"/>
        <v>1306800.0000001397</v>
      </c>
      <c r="T129">
        <f t="shared" si="420"/>
        <v>96</v>
      </c>
      <c r="U129" s="13">
        <f t="shared" si="421"/>
        <v>1306800.0000001397</v>
      </c>
      <c r="V129" s="112">
        <f t="shared" si="422"/>
        <v>96</v>
      </c>
      <c r="AN129" s="127">
        <v>45239.666666666657</v>
      </c>
      <c r="AO129">
        <v>1</v>
      </c>
      <c r="AP129" s="13">
        <f t="shared" si="434"/>
        <v>1306800.0000001397</v>
      </c>
      <c r="AQ129">
        <f t="shared" si="623"/>
        <v>96</v>
      </c>
      <c r="AR129" s="13">
        <f t="shared" si="624"/>
        <v>1306800.0000001397</v>
      </c>
      <c r="AS129" s="112">
        <f t="shared" si="625"/>
        <v>96</v>
      </c>
    </row>
    <row r="130" spans="17:45" x14ac:dyDescent="0.25">
      <c r="Q130" s="127">
        <v>45239.770833333343</v>
      </c>
      <c r="R130">
        <v>1</v>
      </c>
      <c r="S130" s="13">
        <f t="shared" si="430"/>
        <v>1315800.0000001397</v>
      </c>
      <c r="T130">
        <f t="shared" si="420"/>
        <v>96</v>
      </c>
      <c r="U130" s="13">
        <f t="shared" si="421"/>
        <v>1315800.0000001397</v>
      </c>
      <c r="V130" s="112">
        <f t="shared" si="422"/>
        <v>96</v>
      </c>
      <c r="AN130" s="127">
        <v>45239.770833333343</v>
      </c>
      <c r="AO130">
        <v>1</v>
      </c>
      <c r="AP130" s="13">
        <f t="shared" si="434"/>
        <v>1315800.0000001397</v>
      </c>
      <c r="AQ130">
        <f t="shared" si="623"/>
        <v>96</v>
      </c>
      <c r="AR130" s="13">
        <f t="shared" si="624"/>
        <v>1315800.0000001397</v>
      </c>
      <c r="AS130" s="112">
        <f t="shared" si="625"/>
        <v>96</v>
      </c>
    </row>
    <row r="131" spans="17:45" x14ac:dyDescent="0.25">
      <c r="Q131" s="127">
        <v>45239.875</v>
      </c>
      <c r="R131">
        <v>1</v>
      </c>
      <c r="S131" s="13">
        <f t="shared" si="430"/>
        <v>1324800.0000001397</v>
      </c>
      <c r="T131">
        <f t="shared" ref="T131:T194" si="689">R131*96</f>
        <v>96</v>
      </c>
      <c r="U131" s="13">
        <f t="shared" ref="U131:U194" si="690">S131</f>
        <v>1324800.0000001397</v>
      </c>
      <c r="V131" s="112">
        <f t="shared" ref="V131:V194" si="691">IF(T131=0,0.0000000001,T131)</f>
        <v>96</v>
      </c>
      <c r="AN131" s="127">
        <v>45239.875</v>
      </c>
      <c r="AO131">
        <v>1</v>
      </c>
      <c r="AP131" s="13">
        <f t="shared" si="434"/>
        <v>1324800.0000001397</v>
      </c>
      <c r="AQ131">
        <f t="shared" si="623"/>
        <v>96</v>
      </c>
      <c r="AR131" s="13">
        <f t="shared" si="624"/>
        <v>1324800.0000001397</v>
      </c>
      <c r="AS131" s="112">
        <f t="shared" si="625"/>
        <v>96</v>
      </c>
    </row>
    <row r="132" spans="17:45" x14ac:dyDescent="0.25">
      <c r="Q132" s="127">
        <v>45239.979166666657</v>
      </c>
      <c r="R132">
        <v>1</v>
      </c>
      <c r="S132" s="13">
        <f t="shared" ref="S132:S195" si="692">S131+150*60</f>
        <v>1333800.0000001397</v>
      </c>
      <c r="T132">
        <f t="shared" si="689"/>
        <v>96</v>
      </c>
      <c r="U132" s="13">
        <f t="shared" si="690"/>
        <v>1333800.0000001397</v>
      </c>
      <c r="V132" s="112">
        <f t="shared" si="691"/>
        <v>96</v>
      </c>
      <c r="AN132" s="127">
        <v>45239.979166666657</v>
      </c>
      <c r="AO132">
        <v>1</v>
      </c>
      <c r="AP132" s="13">
        <f t="shared" ref="AP132:AP195" si="693">AP131+150*60</f>
        <v>1333800.0000001397</v>
      </c>
      <c r="AQ132">
        <f t="shared" si="623"/>
        <v>96</v>
      </c>
      <c r="AR132" s="13">
        <f t="shared" si="624"/>
        <v>1333800.0000001397</v>
      </c>
      <c r="AS132" s="112">
        <f t="shared" si="625"/>
        <v>96</v>
      </c>
    </row>
    <row r="133" spans="17:45" x14ac:dyDescent="0.25">
      <c r="Q133" s="127">
        <v>45240.083333333343</v>
      </c>
      <c r="R133">
        <v>1</v>
      </c>
      <c r="S133" s="13">
        <f t="shared" si="692"/>
        <v>1342800.0000001397</v>
      </c>
      <c r="T133">
        <f t="shared" si="689"/>
        <v>96</v>
      </c>
      <c r="U133" s="13">
        <f t="shared" si="690"/>
        <v>1342800.0000001397</v>
      </c>
      <c r="V133" s="112">
        <f t="shared" si="691"/>
        <v>96</v>
      </c>
      <c r="AN133" s="127">
        <v>45240.083333333343</v>
      </c>
      <c r="AO133">
        <v>1</v>
      </c>
      <c r="AP133" s="13">
        <f t="shared" si="693"/>
        <v>1342800.0000001397</v>
      </c>
      <c r="AQ133">
        <f t="shared" si="623"/>
        <v>96</v>
      </c>
      <c r="AR133" s="13">
        <f t="shared" si="624"/>
        <v>1342800.0000001397</v>
      </c>
      <c r="AS133" s="112">
        <f t="shared" si="625"/>
        <v>96</v>
      </c>
    </row>
    <row r="134" spans="17:45" x14ac:dyDescent="0.25">
      <c r="Q134" s="127">
        <v>45240.1875</v>
      </c>
      <c r="R134">
        <v>1</v>
      </c>
      <c r="S134" s="13">
        <f t="shared" si="692"/>
        <v>1351800.0000001397</v>
      </c>
      <c r="T134">
        <f t="shared" si="689"/>
        <v>96</v>
      </c>
      <c r="U134" s="13">
        <f t="shared" si="690"/>
        <v>1351800.0000001397</v>
      </c>
      <c r="V134" s="112">
        <f t="shared" si="691"/>
        <v>96</v>
      </c>
      <c r="AN134" s="127">
        <v>45240.1875</v>
      </c>
      <c r="AO134">
        <v>1</v>
      </c>
      <c r="AP134" s="13">
        <f t="shared" si="693"/>
        <v>1351800.0000001397</v>
      </c>
      <c r="AQ134">
        <f t="shared" si="623"/>
        <v>96</v>
      </c>
      <c r="AR134" s="13">
        <f t="shared" si="624"/>
        <v>1351800.0000001397</v>
      </c>
      <c r="AS134" s="112">
        <f t="shared" si="625"/>
        <v>96</v>
      </c>
    </row>
    <row r="135" spans="17:45" x14ac:dyDescent="0.25">
      <c r="Q135" s="127">
        <v>45240.291666666657</v>
      </c>
      <c r="R135">
        <v>1</v>
      </c>
      <c r="S135" s="13">
        <f t="shared" si="692"/>
        <v>1360800.0000001397</v>
      </c>
      <c r="T135">
        <f t="shared" si="689"/>
        <v>96</v>
      </c>
      <c r="U135" s="13">
        <f t="shared" si="690"/>
        <v>1360800.0000001397</v>
      </c>
      <c r="V135" s="112">
        <f t="shared" si="691"/>
        <v>96</v>
      </c>
      <c r="AN135" s="127">
        <v>45240.291666666657</v>
      </c>
      <c r="AO135">
        <v>1</v>
      </c>
      <c r="AP135" s="13">
        <f t="shared" si="693"/>
        <v>1360800.0000001397</v>
      </c>
      <c r="AQ135">
        <f t="shared" si="623"/>
        <v>96</v>
      </c>
      <c r="AR135" s="13">
        <f t="shared" si="624"/>
        <v>1360800.0000001397</v>
      </c>
      <c r="AS135" s="112">
        <f t="shared" si="625"/>
        <v>96</v>
      </c>
    </row>
    <row r="136" spans="17:45" x14ac:dyDescent="0.25">
      <c r="Q136" s="127">
        <v>45240.395833333343</v>
      </c>
      <c r="R136">
        <v>2</v>
      </c>
      <c r="S136" s="13">
        <f t="shared" si="692"/>
        <v>1369800.0000001397</v>
      </c>
      <c r="T136">
        <f t="shared" si="689"/>
        <v>192</v>
      </c>
      <c r="U136" s="13">
        <f t="shared" si="690"/>
        <v>1369800.0000001397</v>
      </c>
      <c r="V136" s="112">
        <f t="shared" si="691"/>
        <v>192</v>
      </c>
      <c r="AN136" s="127">
        <v>45240.395833333343</v>
      </c>
      <c r="AO136">
        <v>3</v>
      </c>
      <c r="AP136" s="13">
        <f t="shared" si="693"/>
        <v>1369800.0000001397</v>
      </c>
      <c r="AQ136">
        <f t="shared" si="623"/>
        <v>288</v>
      </c>
      <c r="AR136" s="13">
        <f t="shared" si="624"/>
        <v>1369800.0000001397</v>
      </c>
      <c r="AS136" s="112">
        <f t="shared" si="625"/>
        <v>288</v>
      </c>
    </row>
    <row r="137" spans="17:45" x14ac:dyDescent="0.25">
      <c r="Q137" s="127">
        <v>45240.5</v>
      </c>
      <c r="R137">
        <v>1</v>
      </c>
      <c r="S137" s="13">
        <f t="shared" si="692"/>
        <v>1378800.0000001397</v>
      </c>
      <c r="T137">
        <f t="shared" si="689"/>
        <v>96</v>
      </c>
      <c r="U137" s="13">
        <f t="shared" si="690"/>
        <v>1378800.0000001397</v>
      </c>
      <c r="V137" s="112">
        <f t="shared" si="691"/>
        <v>96</v>
      </c>
      <c r="AN137" s="127">
        <v>45240.5</v>
      </c>
      <c r="AO137">
        <v>1</v>
      </c>
      <c r="AP137" s="13">
        <f t="shared" si="693"/>
        <v>1378800.0000001397</v>
      </c>
      <c r="AQ137">
        <f t="shared" si="623"/>
        <v>96</v>
      </c>
      <c r="AR137" s="13">
        <f t="shared" si="624"/>
        <v>1378800.0000001397</v>
      </c>
      <c r="AS137" s="112">
        <f t="shared" si="625"/>
        <v>96</v>
      </c>
    </row>
    <row r="138" spans="17:45" x14ac:dyDescent="0.25">
      <c r="Q138" s="127">
        <v>45240.604166666657</v>
      </c>
      <c r="R138">
        <v>1</v>
      </c>
      <c r="S138" s="13">
        <f t="shared" si="692"/>
        <v>1387800.0000001397</v>
      </c>
      <c r="T138">
        <f t="shared" si="689"/>
        <v>96</v>
      </c>
      <c r="U138" s="13">
        <f t="shared" si="690"/>
        <v>1387800.0000001397</v>
      </c>
      <c r="V138" s="112">
        <f t="shared" si="691"/>
        <v>96</v>
      </c>
      <c r="AN138" s="127">
        <v>45240.604166666657</v>
      </c>
      <c r="AO138">
        <v>1</v>
      </c>
      <c r="AP138" s="13">
        <f t="shared" si="693"/>
        <v>1387800.0000001397</v>
      </c>
      <c r="AQ138">
        <f t="shared" si="623"/>
        <v>96</v>
      </c>
      <c r="AR138" s="13">
        <f t="shared" si="624"/>
        <v>1387800.0000001397</v>
      </c>
      <c r="AS138" s="112">
        <f t="shared" si="625"/>
        <v>96</v>
      </c>
    </row>
    <row r="139" spans="17:45" x14ac:dyDescent="0.25">
      <c r="Q139" s="127">
        <v>45240.708333333343</v>
      </c>
      <c r="R139">
        <v>1</v>
      </c>
      <c r="S139" s="13">
        <f t="shared" si="692"/>
        <v>1396800.0000001397</v>
      </c>
      <c r="T139">
        <f t="shared" si="689"/>
        <v>96</v>
      </c>
      <c r="U139" s="13">
        <f t="shared" si="690"/>
        <v>1396800.0000001397</v>
      </c>
      <c r="V139" s="112">
        <f t="shared" si="691"/>
        <v>96</v>
      </c>
      <c r="AN139" s="127">
        <v>45240.708333333343</v>
      </c>
      <c r="AO139">
        <v>1</v>
      </c>
      <c r="AP139" s="13">
        <f t="shared" si="693"/>
        <v>1396800.0000001397</v>
      </c>
      <c r="AQ139">
        <f t="shared" si="623"/>
        <v>96</v>
      </c>
      <c r="AR139" s="13">
        <f t="shared" si="624"/>
        <v>1396800.0000001397</v>
      </c>
      <c r="AS139" s="112">
        <f t="shared" si="625"/>
        <v>96</v>
      </c>
    </row>
    <row r="140" spans="17:45" x14ac:dyDescent="0.25">
      <c r="Q140" s="127">
        <v>45240.8125</v>
      </c>
      <c r="R140">
        <v>1</v>
      </c>
      <c r="S140" s="13">
        <f t="shared" si="692"/>
        <v>1405800.0000001397</v>
      </c>
      <c r="T140">
        <f t="shared" si="689"/>
        <v>96</v>
      </c>
      <c r="U140" s="13">
        <f t="shared" si="690"/>
        <v>1405800.0000001397</v>
      </c>
      <c r="V140" s="112">
        <f t="shared" si="691"/>
        <v>96</v>
      </c>
      <c r="AN140" s="127">
        <v>45240.8125</v>
      </c>
      <c r="AO140">
        <v>1</v>
      </c>
      <c r="AP140" s="13">
        <f t="shared" si="693"/>
        <v>1405800.0000001397</v>
      </c>
      <c r="AQ140">
        <f t="shared" si="623"/>
        <v>96</v>
      </c>
      <c r="AR140" s="13">
        <f t="shared" si="624"/>
        <v>1405800.0000001397</v>
      </c>
      <c r="AS140" s="112">
        <f t="shared" si="625"/>
        <v>96</v>
      </c>
    </row>
    <row r="141" spans="17:45" x14ac:dyDescent="0.25">
      <c r="Q141" s="127">
        <v>45240.916666666657</v>
      </c>
      <c r="R141">
        <v>1</v>
      </c>
      <c r="S141" s="13">
        <f t="shared" si="692"/>
        <v>1414800.0000001397</v>
      </c>
      <c r="T141">
        <f t="shared" si="689"/>
        <v>96</v>
      </c>
      <c r="U141" s="13">
        <f t="shared" si="690"/>
        <v>1414800.0000001397</v>
      </c>
      <c r="V141" s="112">
        <f t="shared" si="691"/>
        <v>96</v>
      </c>
      <c r="AN141" s="127">
        <v>45240.916666666657</v>
      </c>
      <c r="AO141">
        <v>1</v>
      </c>
      <c r="AP141" s="13">
        <f t="shared" si="693"/>
        <v>1414800.0000001397</v>
      </c>
      <c r="AQ141">
        <f t="shared" si="623"/>
        <v>96</v>
      </c>
      <c r="AR141" s="13">
        <f t="shared" si="624"/>
        <v>1414800.0000001397</v>
      </c>
      <c r="AS141" s="112">
        <f t="shared" si="625"/>
        <v>96</v>
      </c>
    </row>
    <row r="142" spans="17:45" x14ac:dyDescent="0.25">
      <c r="Q142" s="127">
        <v>45241.020833333343</v>
      </c>
      <c r="R142">
        <v>1</v>
      </c>
      <c r="S142" s="13">
        <f t="shared" si="692"/>
        <v>1423800.0000001397</v>
      </c>
      <c r="T142">
        <f t="shared" si="689"/>
        <v>96</v>
      </c>
      <c r="U142" s="13">
        <f t="shared" si="690"/>
        <v>1423800.0000001397</v>
      </c>
      <c r="V142" s="112">
        <f t="shared" si="691"/>
        <v>96</v>
      </c>
      <c r="AN142" s="127">
        <v>45241.020833333343</v>
      </c>
      <c r="AO142">
        <v>1</v>
      </c>
      <c r="AP142" s="13">
        <f t="shared" si="693"/>
        <v>1423800.0000001397</v>
      </c>
      <c r="AQ142">
        <f t="shared" si="623"/>
        <v>96</v>
      </c>
      <c r="AR142" s="13">
        <f t="shared" si="624"/>
        <v>1423800.0000001397</v>
      </c>
      <c r="AS142" s="112">
        <f t="shared" si="625"/>
        <v>96</v>
      </c>
    </row>
    <row r="143" spans="17:45" x14ac:dyDescent="0.25">
      <c r="Q143" s="127">
        <v>45241.125</v>
      </c>
      <c r="R143">
        <v>1</v>
      </c>
      <c r="S143" s="13">
        <f t="shared" si="692"/>
        <v>1432800.0000001397</v>
      </c>
      <c r="T143">
        <f t="shared" si="689"/>
        <v>96</v>
      </c>
      <c r="U143" s="13">
        <f t="shared" si="690"/>
        <v>1432800.0000001397</v>
      </c>
      <c r="V143" s="112">
        <f t="shared" si="691"/>
        <v>96</v>
      </c>
      <c r="AN143" s="127">
        <v>45241.125</v>
      </c>
      <c r="AO143">
        <v>1</v>
      </c>
      <c r="AP143" s="13">
        <f t="shared" si="693"/>
        <v>1432800.0000001397</v>
      </c>
      <c r="AQ143">
        <f t="shared" si="623"/>
        <v>96</v>
      </c>
      <c r="AR143" s="13">
        <f t="shared" si="624"/>
        <v>1432800.0000001397</v>
      </c>
      <c r="AS143" s="112">
        <f t="shared" si="625"/>
        <v>96</v>
      </c>
    </row>
    <row r="144" spans="17:45" x14ac:dyDescent="0.25">
      <c r="Q144" s="127">
        <v>45241.229166666657</v>
      </c>
      <c r="R144">
        <v>1</v>
      </c>
      <c r="S144" s="13">
        <f t="shared" si="692"/>
        <v>1441800.0000001397</v>
      </c>
      <c r="T144">
        <f t="shared" si="689"/>
        <v>96</v>
      </c>
      <c r="U144" s="13">
        <f t="shared" si="690"/>
        <v>1441800.0000001397</v>
      </c>
      <c r="V144" s="112">
        <f t="shared" si="691"/>
        <v>96</v>
      </c>
      <c r="AN144" s="127">
        <v>45241.229166666657</v>
      </c>
      <c r="AO144">
        <v>1</v>
      </c>
      <c r="AP144" s="13">
        <f t="shared" si="693"/>
        <v>1441800.0000001397</v>
      </c>
      <c r="AQ144">
        <f t="shared" si="623"/>
        <v>96</v>
      </c>
      <c r="AR144" s="13">
        <f t="shared" si="624"/>
        <v>1441800.0000001397</v>
      </c>
      <c r="AS144" s="112">
        <f t="shared" si="625"/>
        <v>96</v>
      </c>
    </row>
    <row r="145" spans="17:45" x14ac:dyDescent="0.25">
      <c r="Q145" s="127">
        <v>45241.333333333343</v>
      </c>
      <c r="R145">
        <v>1</v>
      </c>
      <c r="S145" s="13">
        <f t="shared" si="692"/>
        <v>1450800.0000001397</v>
      </c>
      <c r="T145">
        <f t="shared" si="689"/>
        <v>96</v>
      </c>
      <c r="U145" s="13">
        <f t="shared" si="690"/>
        <v>1450800.0000001397</v>
      </c>
      <c r="V145" s="112">
        <f t="shared" si="691"/>
        <v>96</v>
      </c>
      <c r="AN145" s="127">
        <v>45241.333333333343</v>
      </c>
      <c r="AO145">
        <v>1</v>
      </c>
      <c r="AP145" s="13">
        <f t="shared" si="693"/>
        <v>1450800.0000001397</v>
      </c>
      <c r="AQ145">
        <f t="shared" si="623"/>
        <v>96</v>
      </c>
      <c r="AR145" s="13">
        <f t="shared" si="624"/>
        <v>1450800.0000001397</v>
      </c>
      <c r="AS145" s="112">
        <f t="shared" si="625"/>
        <v>96</v>
      </c>
    </row>
    <row r="146" spans="17:45" x14ac:dyDescent="0.25">
      <c r="Q146" s="127">
        <v>45241.4375</v>
      </c>
      <c r="R146">
        <v>1</v>
      </c>
      <c r="S146" s="13">
        <f t="shared" si="692"/>
        <v>1459800.0000001397</v>
      </c>
      <c r="T146">
        <f t="shared" si="689"/>
        <v>96</v>
      </c>
      <c r="U146" s="13">
        <f t="shared" si="690"/>
        <v>1459800.0000001397</v>
      </c>
      <c r="V146" s="112">
        <f t="shared" si="691"/>
        <v>96</v>
      </c>
      <c r="AN146" s="127">
        <v>45241.4375</v>
      </c>
      <c r="AO146">
        <v>1</v>
      </c>
      <c r="AP146" s="13">
        <f t="shared" si="693"/>
        <v>1459800.0000001397</v>
      </c>
      <c r="AQ146">
        <f t="shared" si="623"/>
        <v>96</v>
      </c>
      <c r="AR146" s="13">
        <f t="shared" si="624"/>
        <v>1459800.0000001397</v>
      </c>
      <c r="AS146" s="112">
        <f t="shared" si="625"/>
        <v>96</v>
      </c>
    </row>
    <row r="147" spans="17:45" x14ac:dyDescent="0.25">
      <c r="Q147" s="127">
        <v>45241.541666666657</v>
      </c>
      <c r="R147">
        <v>1</v>
      </c>
      <c r="S147" s="13">
        <f t="shared" si="692"/>
        <v>1468800.0000001397</v>
      </c>
      <c r="T147">
        <f t="shared" si="689"/>
        <v>96</v>
      </c>
      <c r="U147" s="13">
        <f t="shared" si="690"/>
        <v>1468800.0000001397</v>
      </c>
      <c r="V147" s="112">
        <f t="shared" si="691"/>
        <v>96</v>
      </c>
      <c r="AN147" s="127">
        <v>45241.541666666657</v>
      </c>
      <c r="AO147">
        <v>1</v>
      </c>
      <c r="AP147" s="13">
        <f t="shared" si="693"/>
        <v>1468800.0000001397</v>
      </c>
      <c r="AQ147">
        <f t="shared" si="623"/>
        <v>96</v>
      </c>
      <c r="AR147" s="13">
        <f t="shared" si="624"/>
        <v>1468800.0000001397</v>
      </c>
      <c r="AS147" s="112">
        <f t="shared" si="625"/>
        <v>96</v>
      </c>
    </row>
    <row r="148" spans="17:45" x14ac:dyDescent="0.25">
      <c r="Q148" s="127">
        <v>45241.645833333343</v>
      </c>
      <c r="R148">
        <v>1</v>
      </c>
      <c r="S148" s="13">
        <f t="shared" si="692"/>
        <v>1477800.0000001397</v>
      </c>
      <c r="T148">
        <f t="shared" si="689"/>
        <v>96</v>
      </c>
      <c r="U148" s="13">
        <f t="shared" si="690"/>
        <v>1477800.0000001397</v>
      </c>
      <c r="V148" s="112">
        <f t="shared" si="691"/>
        <v>96</v>
      </c>
      <c r="AN148" s="127">
        <v>45241.645833333343</v>
      </c>
      <c r="AO148">
        <v>1</v>
      </c>
      <c r="AP148" s="13">
        <f t="shared" si="693"/>
        <v>1477800.0000001397</v>
      </c>
      <c r="AQ148">
        <f t="shared" si="623"/>
        <v>96</v>
      </c>
      <c r="AR148" s="13">
        <f t="shared" si="624"/>
        <v>1477800.0000001397</v>
      </c>
      <c r="AS148" s="112">
        <f t="shared" si="625"/>
        <v>96</v>
      </c>
    </row>
    <row r="149" spans="17:45" x14ac:dyDescent="0.25">
      <c r="Q149" s="127">
        <v>45241.75</v>
      </c>
      <c r="R149">
        <v>1</v>
      </c>
      <c r="S149" s="13">
        <f t="shared" si="692"/>
        <v>1486800.0000001397</v>
      </c>
      <c r="T149">
        <f t="shared" si="689"/>
        <v>96</v>
      </c>
      <c r="U149" s="13">
        <f t="shared" si="690"/>
        <v>1486800.0000001397</v>
      </c>
      <c r="V149" s="112">
        <f t="shared" si="691"/>
        <v>96</v>
      </c>
      <c r="AN149" s="127">
        <v>45241.75</v>
      </c>
      <c r="AO149">
        <v>1</v>
      </c>
      <c r="AP149" s="13">
        <f t="shared" si="693"/>
        <v>1486800.0000001397</v>
      </c>
      <c r="AQ149">
        <f t="shared" si="623"/>
        <v>96</v>
      </c>
      <c r="AR149" s="13">
        <f t="shared" si="624"/>
        <v>1486800.0000001397</v>
      </c>
      <c r="AS149" s="112">
        <f t="shared" si="625"/>
        <v>96</v>
      </c>
    </row>
    <row r="150" spans="17:45" x14ac:dyDescent="0.25">
      <c r="Q150" s="127">
        <v>45241.854166666657</v>
      </c>
      <c r="R150">
        <v>1</v>
      </c>
      <c r="S150" s="13">
        <f t="shared" si="692"/>
        <v>1495800.0000001397</v>
      </c>
      <c r="T150">
        <f t="shared" si="689"/>
        <v>96</v>
      </c>
      <c r="U150" s="13">
        <f t="shared" si="690"/>
        <v>1495800.0000001397</v>
      </c>
      <c r="V150" s="112">
        <f t="shared" si="691"/>
        <v>96</v>
      </c>
      <c r="AN150" s="127">
        <v>45241.854166666657</v>
      </c>
      <c r="AO150">
        <v>1</v>
      </c>
      <c r="AP150" s="13">
        <f t="shared" si="693"/>
        <v>1495800.0000001397</v>
      </c>
      <c r="AQ150">
        <f t="shared" si="623"/>
        <v>96</v>
      </c>
      <c r="AR150" s="13">
        <f t="shared" si="624"/>
        <v>1495800.0000001397</v>
      </c>
      <c r="AS150" s="112">
        <f t="shared" si="625"/>
        <v>96</v>
      </c>
    </row>
    <row r="151" spans="17:45" x14ac:dyDescent="0.25">
      <c r="Q151" s="127">
        <v>45241.958333333343</v>
      </c>
      <c r="R151">
        <v>1</v>
      </c>
      <c r="S151" s="13">
        <f t="shared" si="692"/>
        <v>1504800.0000001397</v>
      </c>
      <c r="T151">
        <f t="shared" si="689"/>
        <v>96</v>
      </c>
      <c r="U151" s="13">
        <f t="shared" si="690"/>
        <v>1504800.0000001397</v>
      </c>
      <c r="V151" s="112">
        <f t="shared" si="691"/>
        <v>96</v>
      </c>
      <c r="AN151" s="127">
        <v>45241.958333333343</v>
      </c>
      <c r="AO151">
        <v>1</v>
      </c>
      <c r="AP151" s="13">
        <f t="shared" si="693"/>
        <v>1504800.0000001397</v>
      </c>
      <c r="AQ151">
        <f t="shared" si="623"/>
        <v>96</v>
      </c>
      <c r="AR151" s="13">
        <f t="shared" si="624"/>
        <v>1504800.0000001397</v>
      </c>
      <c r="AS151" s="112">
        <f t="shared" si="625"/>
        <v>96</v>
      </c>
    </row>
    <row r="152" spans="17:45" x14ac:dyDescent="0.25">
      <c r="Q152" s="127">
        <v>45242.0625</v>
      </c>
      <c r="R152">
        <v>1</v>
      </c>
      <c r="S152" s="13">
        <f t="shared" si="692"/>
        <v>1513800.0000001397</v>
      </c>
      <c r="T152">
        <f t="shared" si="689"/>
        <v>96</v>
      </c>
      <c r="U152" s="13">
        <f t="shared" si="690"/>
        <v>1513800.0000001397</v>
      </c>
      <c r="V152" s="112">
        <f t="shared" si="691"/>
        <v>96</v>
      </c>
      <c r="AN152" s="127">
        <v>45242.0625</v>
      </c>
      <c r="AO152">
        <v>1</v>
      </c>
      <c r="AP152" s="13">
        <f t="shared" si="693"/>
        <v>1513800.0000001397</v>
      </c>
      <c r="AQ152">
        <f t="shared" si="623"/>
        <v>96</v>
      </c>
      <c r="AR152" s="13">
        <f t="shared" si="624"/>
        <v>1513800.0000001397</v>
      </c>
      <c r="AS152" s="112">
        <f t="shared" si="625"/>
        <v>96</v>
      </c>
    </row>
    <row r="153" spans="17:45" x14ac:dyDescent="0.25">
      <c r="Q153" s="127">
        <v>45242.166666666657</v>
      </c>
      <c r="R153">
        <v>1</v>
      </c>
      <c r="S153" s="13">
        <f t="shared" si="692"/>
        <v>1522800.0000001397</v>
      </c>
      <c r="T153">
        <f t="shared" si="689"/>
        <v>96</v>
      </c>
      <c r="U153" s="13">
        <f t="shared" si="690"/>
        <v>1522800.0000001397</v>
      </c>
      <c r="V153" s="112">
        <f t="shared" si="691"/>
        <v>96</v>
      </c>
      <c r="AN153" s="127">
        <v>45242.166666666657</v>
      </c>
      <c r="AO153">
        <v>1</v>
      </c>
      <c r="AP153" s="13">
        <f t="shared" si="693"/>
        <v>1522800.0000001397</v>
      </c>
      <c r="AQ153">
        <f t="shared" si="623"/>
        <v>96</v>
      </c>
      <c r="AR153" s="13">
        <f t="shared" si="624"/>
        <v>1522800.0000001397</v>
      </c>
      <c r="AS153" s="112">
        <f t="shared" si="625"/>
        <v>96</v>
      </c>
    </row>
    <row r="154" spans="17:45" x14ac:dyDescent="0.25">
      <c r="Q154" s="127">
        <v>45242.270833333343</v>
      </c>
      <c r="R154">
        <v>1</v>
      </c>
      <c r="S154" s="13">
        <f t="shared" si="692"/>
        <v>1531800.0000001397</v>
      </c>
      <c r="T154">
        <f t="shared" si="689"/>
        <v>96</v>
      </c>
      <c r="U154" s="13">
        <f t="shared" si="690"/>
        <v>1531800.0000001397</v>
      </c>
      <c r="V154" s="112">
        <f t="shared" si="691"/>
        <v>96</v>
      </c>
      <c r="AN154" s="127">
        <v>45242.270833333343</v>
      </c>
      <c r="AO154">
        <v>1</v>
      </c>
      <c r="AP154" s="13">
        <f t="shared" si="693"/>
        <v>1531800.0000001397</v>
      </c>
      <c r="AQ154">
        <f t="shared" si="623"/>
        <v>96</v>
      </c>
      <c r="AR154" s="13">
        <f t="shared" si="624"/>
        <v>1531800.0000001397</v>
      </c>
      <c r="AS154" s="112">
        <f t="shared" si="625"/>
        <v>96</v>
      </c>
    </row>
    <row r="155" spans="17:45" x14ac:dyDescent="0.25">
      <c r="Q155" s="127">
        <v>45242.375</v>
      </c>
      <c r="R155">
        <v>1</v>
      </c>
      <c r="S155" s="13">
        <f t="shared" si="692"/>
        <v>1540800.0000001397</v>
      </c>
      <c r="T155">
        <f t="shared" si="689"/>
        <v>96</v>
      </c>
      <c r="U155" s="13">
        <f t="shared" si="690"/>
        <v>1540800.0000001397</v>
      </c>
      <c r="V155" s="112">
        <f t="shared" si="691"/>
        <v>96</v>
      </c>
      <c r="AN155" s="127">
        <v>45242.375</v>
      </c>
      <c r="AO155">
        <v>1</v>
      </c>
      <c r="AP155" s="13">
        <f t="shared" si="693"/>
        <v>1540800.0000001397</v>
      </c>
      <c r="AQ155">
        <f t="shared" si="623"/>
        <v>96</v>
      </c>
      <c r="AR155" s="13">
        <f t="shared" si="624"/>
        <v>1540800.0000001397</v>
      </c>
      <c r="AS155" s="112">
        <f t="shared" si="625"/>
        <v>96</v>
      </c>
    </row>
    <row r="156" spans="17:45" x14ac:dyDescent="0.25">
      <c r="Q156" s="127">
        <v>45242.479166666657</v>
      </c>
      <c r="R156">
        <v>1</v>
      </c>
      <c r="S156" s="13">
        <f t="shared" si="692"/>
        <v>1549800.0000001397</v>
      </c>
      <c r="T156">
        <f t="shared" si="689"/>
        <v>96</v>
      </c>
      <c r="U156" s="13">
        <f t="shared" si="690"/>
        <v>1549800.0000001397</v>
      </c>
      <c r="V156" s="112">
        <f t="shared" si="691"/>
        <v>96</v>
      </c>
      <c r="AN156" s="127">
        <v>45242.479166666657</v>
      </c>
      <c r="AO156">
        <v>1</v>
      </c>
      <c r="AP156" s="13">
        <f t="shared" si="693"/>
        <v>1549800.0000001397</v>
      </c>
      <c r="AQ156">
        <f t="shared" si="623"/>
        <v>96</v>
      </c>
      <c r="AR156" s="13">
        <f t="shared" si="624"/>
        <v>1549800.0000001397</v>
      </c>
      <c r="AS156" s="112">
        <f t="shared" si="625"/>
        <v>96</v>
      </c>
    </row>
    <row r="157" spans="17:45" x14ac:dyDescent="0.25">
      <c r="Q157" s="127">
        <v>45242.583333333343</v>
      </c>
      <c r="R157">
        <v>1</v>
      </c>
      <c r="S157" s="13">
        <f t="shared" si="692"/>
        <v>1558800.0000001397</v>
      </c>
      <c r="T157">
        <f t="shared" si="689"/>
        <v>96</v>
      </c>
      <c r="U157" s="13">
        <f t="shared" si="690"/>
        <v>1558800.0000001397</v>
      </c>
      <c r="V157" s="112">
        <f t="shared" si="691"/>
        <v>96</v>
      </c>
      <c r="AN157" s="127">
        <v>45242.583333333343</v>
      </c>
      <c r="AO157">
        <v>1</v>
      </c>
      <c r="AP157" s="13">
        <f t="shared" si="693"/>
        <v>1558800.0000001397</v>
      </c>
      <c r="AQ157">
        <f t="shared" si="623"/>
        <v>96</v>
      </c>
      <c r="AR157" s="13">
        <f t="shared" si="624"/>
        <v>1558800.0000001397</v>
      </c>
      <c r="AS157" s="112">
        <f t="shared" si="625"/>
        <v>96</v>
      </c>
    </row>
    <row r="158" spans="17:45" x14ac:dyDescent="0.25">
      <c r="Q158" s="127">
        <v>45242.6875</v>
      </c>
      <c r="R158">
        <v>1</v>
      </c>
      <c r="S158" s="13">
        <f t="shared" si="692"/>
        <v>1567800.0000001397</v>
      </c>
      <c r="T158">
        <f t="shared" si="689"/>
        <v>96</v>
      </c>
      <c r="U158" s="13">
        <f t="shared" si="690"/>
        <v>1567800.0000001397</v>
      </c>
      <c r="V158" s="112">
        <f t="shared" si="691"/>
        <v>96</v>
      </c>
      <c r="AN158" s="127">
        <v>45242.6875</v>
      </c>
      <c r="AO158">
        <v>1</v>
      </c>
      <c r="AP158" s="13">
        <f t="shared" si="693"/>
        <v>1567800.0000001397</v>
      </c>
      <c r="AQ158">
        <f t="shared" si="623"/>
        <v>96</v>
      </c>
      <c r="AR158" s="13">
        <f t="shared" si="624"/>
        <v>1567800.0000001397</v>
      </c>
      <c r="AS158" s="112">
        <f t="shared" si="625"/>
        <v>96</v>
      </c>
    </row>
    <row r="159" spans="17:45" x14ac:dyDescent="0.25">
      <c r="Q159" s="127">
        <v>45242.791666666657</v>
      </c>
      <c r="R159">
        <v>0</v>
      </c>
      <c r="S159" s="13">
        <f t="shared" si="692"/>
        <v>1576800.0000001397</v>
      </c>
      <c r="T159">
        <f t="shared" si="689"/>
        <v>0</v>
      </c>
      <c r="U159" s="13">
        <f t="shared" si="690"/>
        <v>1576800.0000001397</v>
      </c>
      <c r="V159" s="112">
        <f t="shared" si="691"/>
        <v>1E-10</v>
      </c>
      <c r="AN159" s="127">
        <v>45242.791666666657</v>
      </c>
      <c r="AO159">
        <v>1</v>
      </c>
      <c r="AP159" s="13">
        <f t="shared" si="693"/>
        <v>1576800.0000001397</v>
      </c>
      <c r="AQ159">
        <f t="shared" si="623"/>
        <v>96</v>
      </c>
      <c r="AR159" s="13">
        <f t="shared" si="624"/>
        <v>1576800.0000001397</v>
      </c>
      <c r="AS159" s="112">
        <f t="shared" si="625"/>
        <v>96</v>
      </c>
    </row>
    <row r="160" spans="17:45" x14ac:dyDescent="0.25">
      <c r="Q160" s="127">
        <v>45242.895833333343</v>
      </c>
      <c r="R160">
        <v>1</v>
      </c>
      <c r="S160" s="13">
        <f t="shared" si="692"/>
        <v>1585800.0000001397</v>
      </c>
      <c r="T160">
        <f t="shared" si="689"/>
        <v>96</v>
      </c>
      <c r="U160" s="13">
        <f t="shared" si="690"/>
        <v>1585800.0000001397</v>
      </c>
      <c r="V160" s="112">
        <f t="shared" si="691"/>
        <v>96</v>
      </c>
      <c r="AN160" s="127">
        <v>45242.895833333343</v>
      </c>
      <c r="AO160">
        <v>1</v>
      </c>
      <c r="AP160" s="13">
        <f t="shared" si="693"/>
        <v>1585800.0000001397</v>
      </c>
      <c r="AQ160">
        <f t="shared" si="623"/>
        <v>96</v>
      </c>
      <c r="AR160" s="13">
        <f t="shared" si="624"/>
        <v>1585800.0000001397</v>
      </c>
      <c r="AS160" s="112">
        <f t="shared" si="625"/>
        <v>96</v>
      </c>
    </row>
    <row r="161" spans="17:45" x14ac:dyDescent="0.25">
      <c r="Q161" s="127">
        <v>45243</v>
      </c>
      <c r="R161">
        <v>1</v>
      </c>
      <c r="S161" s="13">
        <f t="shared" si="692"/>
        <v>1594800.0000001397</v>
      </c>
      <c r="T161">
        <f t="shared" si="689"/>
        <v>96</v>
      </c>
      <c r="U161" s="13">
        <f t="shared" si="690"/>
        <v>1594800.0000001397</v>
      </c>
      <c r="V161" s="112">
        <f t="shared" si="691"/>
        <v>96</v>
      </c>
      <c r="AN161" s="127">
        <v>45243</v>
      </c>
      <c r="AO161">
        <v>1</v>
      </c>
      <c r="AP161" s="13">
        <f t="shared" si="693"/>
        <v>1594800.0000001397</v>
      </c>
      <c r="AQ161">
        <f t="shared" si="623"/>
        <v>96</v>
      </c>
      <c r="AR161" s="13">
        <f t="shared" si="624"/>
        <v>1594800.0000001397</v>
      </c>
      <c r="AS161" s="112">
        <f t="shared" si="625"/>
        <v>96</v>
      </c>
    </row>
    <row r="162" spans="17:45" x14ac:dyDescent="0.25">
      <c r="Q162" s="127">
        <v>45243.104166666657</v>
      </c>
      <c r="R162">
        <v>1</v>
      </c>
      <c r="S162" s="13">
        <f t="shared" si="692"/>
        <v>1603800.0000001397</v>
      </c>
      <c r="T162">
        <f t="shared" si="689"/>
        <v>96</v>
      </c>
      <c r="U162" s="13">
        <f t="shared" si="690"/>
        <v>1603800.0000001397</v>
      </c>
      <c r="V162" s="112">
        <f t="shared" si="691"/>
        <v>96</v>
      </c>
      <c r="AN162" s="127">
        <v>45243.104166666657</v>
      </c>
      <c r="AO162">
        <v>1</v>
      </c>
      <c r="AP162" s="13">
        <f t="shared" si="693"/>
        <v>1603800.0000001397</v>
      </c>
      <c r="AQ162">
        <f t="shared" si="623"/>
        <v>96</v>
      </c>
      <c r="AR162" s="13">
        <f t="shared" si="624"/>
        <v>1603800.0000001397</v>
      </c>
      <c r="AS162" s="112">
        <f t="shared" si="625"/>
        <v>96</v>
      </c>
    </row>
    <row r="163" spans="17:45" x14ac:dyDescent="0.25">
      <c r="Q163" s="127">
        <v>45243.208333333343</v>
      </c>
      <c r="R163">
        <v>1</v>
      </c>
      <c r="S163" s="13">
        <f t="shared" si="692"/>
        <v>1612800.0000001397</v>
      </c>
      <c r="T163">
        <f t="shared" si="689"/>
        <v>96</v>
      </c>
      <c r="U163" s="13">
        <f t="shared" si="690"/>
        <v>1612800.0000001397</v>
      </c>
      <c r="V163" s="112">
        <f t="shared" si="691"/>
        <v>96</v>
      </c>
      <c r="AN163" s="127">
        <v>45243.208333333343</v>
      </c>
      <c r="AO163">
        <v>1</v>
      </c>
      <c r="AP163" s="13">
        <f t="shared" si="693"/>
        <v>1612800.0000001397</v>
      </c>
      <c r="AQ163">
        <f t="shared" ref="AQ163:AQ226" si="694">AO163*96</f>
        <v>96</v>
      </c>
      <c r="AR163" s="13">
        <f t="shared" ref="AR163:AR226" si="695">AP163</f>
        <v>1612800.0000001397</v>
      </c>
      <c r="AS163" s="112">
        <f t="shared" ref="AS163:AS226" si="696">IF(AQ163=0,0.0000000001,AQ163)</f>
        <v>96</v>
      </c>
    </row>
    <row r="164" spans="17:45" x14ac:dyDescent="0.25">
      <c r="Q164" s="127">
        <v>45243.3125</v>
      </c>
      <c r="R164">
        <v>1</v>
      </c>
      <c r="S164" s="13">
        <f t="shared" si="692"/>
        <v>1621800.0000001397</v>
      </c>
      <c r="T164">
        <f t="shared" si="689"/>
        <v>96</v>
      </c>
      <c r="U164" s="13">
        <f t="shared" si="690"/>
        <v>1621800.0000001397</v>
      </c>
      <c r="V164" s="112">
        <f t="shared" si="691"/>
        <v>96</v>
      </c>
      <c r="AN164" s="127">
        <v>45243.3125</v>
      </c>
      <c r="AO164">
        <v>1</v>
      </c>
      <c r="AP164" s="13">
        <f t="shared" si="693"/>
        <v>1621800.0000001397</v>
      </c>
      <c r="AQ164">
        <f t="shared" si="694"/>
        <v>96</v>
      </c>
      <c r="AR164" s="13">
        <f t="shared" si="695"/>
        <v>1621800.0000001397</v>
      </c>
      <c r="AS164" s="112">
        <f t="shared" si="696"/>
        <v>96</v>
      </c>
    </row>
    <row r="165" spans="17:45" x14ac:dyDescent="0.25">
      <c r="Q165" s="127">
        <v>45243.416666666657</v>
      </c>
      <c r="R165">
        <v>1</v>
      </c>
      <c r="S165" s="13">
        <f t="shared" si="692"/>
        <v>1630800.0000001397</v>
      </c>
      <c r="T165">
        <f t="shared" si="689"/>
        <v>96</v>
      </c>
      <c r="U165" s="13">
        <f t="shared" si="690"/>
        <v>1630800.0000001397</v>
      </c>
      <c r="V165" s="112">
        <f t="shared" si="691"/>
        <v>96</v>
      </c>
      <c r="AN165" s="127">
        <v>45243.416666666657</v>
      </c>
      <c r="AO165">
        <v>1</v>
      </c>
      <c r="AP165" s="13">
        <f t="shared" si="693"/>
        <v>1630800.0000001397</v>
      </c>
      <c r="AQ165">
        <f t="shared" si="694"/>
        <v>96</v>
      </c>
      <c r="AR165" s="13">
        <f t="shared" si="695"/>
        <v>1630800.0000001397</v>
      </c>
      <c r="AS165" s="112">
        <f t="shared" si="696"/>
        <v>96</v>
      </c>
    </row>
    <row r="166" spans="17:45" x14ac:dyDescent="0.25">
      <c r="Q166" s="127">
        <v>45243.520833333343</v>
      </c>
      <c r="R166">
        <v>1</v>
      </c>
      <c r="S166" s="13">
        <f t="shared" si="692"/>
        <v>1639800.0000001397</v>
      </c>
      <c r="T166">
        <f t="shared" si="689"/>
        <v>96</v>
      </c>
      <c r="U166" s="13">
        <f t="shared" si="690"/>
        <v>1639800.0000001397</v>
      </c>
      <c r="V166" s="112">
        <f t="shared" si="691"/>
        <v>96</v>
      </c>
      <c r="AN166" s="127">
        <v>45243.520833333343</v>
      </c>
      <c r="AO166">
        <v>1</v>
      </c>
      <c r="AP166" s="13">
        <f t="shared" si="693"/>
        <v>1639800.0000001397</v>
      </c>
      <c r="AQ166">
        <f t="shared" si="694"/>
        <v>96</v>
      </c>
      <c r="AR166" s="13">
        <f t="shared" si="695"/>
        <v>1639800.0000001397</v>
      </c>
      <c r="AS166" s="112">
        <f t="shared" si="696"/>
        <v>96</v>
      </c>
    </row>
    <row r="167" spans="17:45" x14ac:dyDescent="0.25">
      <c r="Q167" s="127">
        <v>45243.625</v>
      </c>
      <c r="R167">
        <v>1</v>
      </c>
      <c r="S167" s="13">
        <f t="shared" si="692"/>
        <v>1648800.0000001397</v>
      </c>
      <c r="T167">
        <f t="shared" si="689"/>
        <v>96</v>
      </c>
      <c r="U167" s="13">
        <f t="shared" si="690"/>
        <v>1648800.0000001397</v>
      </c>
      <c r="V167" s="112">
        <f t="shared" si="691"/>
        <v>96</v>
      </c>
      <c r="AN167" s="127">
        <v>45243.625</v>
      </c>
      <c r="AO167">
        <v>1</v>
      </c>
      <c r="AP167" s="13">
        <f t="shared" si="693"/>
        <v>1648800.0000001397</v>
      </c>
      <c r="AQ167">
        <f t="shared" si="694"/>
        <v>96</v>
      </c>
      <c r="AR167" s="13">
        <f t="shared" si="695"/>
        <v>1648800.0000001397</v>
      </c>
      <c r="AS167" s="112">
        <f t="shared" si="696"/>
        <v>96</v>
      </c>
    </row>
    <row r="168" spans="17:45" x14ac:dyDescent="0.25">
      <c r="Q168" s="127">
        <v>45243.729166666657</v>
      </c>
      <c r="R168">
        <v>1</v>
      </c>
      <c r="S168" s="13">
        <f t="shared" si="692"/>
        <v>1657800.0000001397</v>
      </c>
      <c r="T168">
        <f t="shared" si="689"/>
        <v>96</v>
      </c>
      <c r="U168" s="13">
        <f t="shared" si="690"/>
        <v>1657800.0000001397</v>
      </c>
      <c r="V168" s="112">
        <f t="shared" si="691"/>
        <v>96</v>
      </c>
      <c r="AN168" s="127">
        <v>45243.729166666657</v>
      </c>
      <c r="AO168">
        <v>1</v>
      </c>
      <c r="AP168" s="13">
        <f t="shared" si="693"/>
        <v>1657800.0000001397</v>
      </c>
      <c r="AQ168">
        <f t="shared" si="694"/>
        <v>96</v>
      </c>
      <c r="AR168" s="13">
        <f t="shared" si="695"/>
        <v>1657800.0000001397</v>
      </c>
      <c r="AS168" s="112">
        <f t="shared" si="696"/>
        <v>96</v>
      </c>
    </row>
    <row r="169" spans="17:45" x14ac:dyDescent="0.25">
      <c r="Q169" s="127">
        <v>45243.833333333343</v>
      </c>
      <c r="R169">
        <v>1</v>
      </c>
      <c r="S169" s="13">
        <f t="shared" si="692"/>
        <v>1666800.0000001397</v>
      </c>
      <c r="T169">
        <f t="shared" si="689"/>
        <v>96</v>
      </c>
      <c r="U169" s="13">
        <f t="shared" si="690"/>
        <v>1666800.0000001397</v>
      </c>
      <c r="V169" s="112">
        <f t="shared" si="691"/>
        <v>96</v>
      </c>
      <c r="AN169" s="127">
        <v>45243.833333333343</v>
      </c>
      <c r="AO169">
        <v>1</v>
      </c>
      <c r="AP169" s="13">
        <f t="shared" si="693"/>
        <v>1666800.0000001397</v>
      </c>
      <c r="AQ169">
        <f t="shared" si="694"/>
        <v>96</v>
      </c>
      <c r="AR169" s="13">
        <f t="shared" si="695"/>
        <v>1666800.0000001397</v>
      </c>
      <c r="AS169" s="112">
        <f t="shared" si="696"/>
        <v>96</v>
      </c>
    </row>
    <row r="170" spans="17:45" x14ac:dyDescent="0.25">
      <c r="Q170" s="127">
        <v>45243.9375</v>
      </c>
      <c r="R170">
        <v>1</v>
      </c>
      <c r="S170" s="13">
        <f t="shared" si="692"/>
        <v>1675800.0000001397</v>
      </c>
      <c r="T170">
        <f t="shared" si="689"/>
        <v>96</v>
      </c>
      <c r="U170" s="13">
        <f t="shared" si="690"/>
        <v>1675800.0000001397</v>
      </c>
      <c r="V170" s="112">
        <f t="shared" si="691"/>
        <v>96</v>
      </c>
      <c r="AN170" s="127">
        <v>45243.9375</v>
      </c>
      <c r="AO170">
        <v>1</v>
      </c>
      <c r="AP170" s="13">
        <f t="shared" si="693"/>
        <v>1675800.0000001397</v>
      </c>
      <c r="AQ170">
        <f t="shared" si="694"/>
        <v>96</v>
      </c>
      <c r="AR170" s="13">
        <f t="shared" si="695"/>
        <v>1675800.0000001397</v>
      </c>
      <c r="AS170" s="112">
        <f t="shared" si="696"/>
        <v>96</v>
      </c>
    </row>
    <row r="171" spans="17:45" x14ac:dyDescent="0.25">
      <c r="Q171" s="127">
        <v>45244.041666666657</v>
      </c>
      <c r="R171">
        <v>1</v>
      </c>
      <c r="S171" s="13">
        <f t="shared" si="692"/>
        <v>1684800.0000001397</v>
      </c>
      <c r="T171">
        <f t="shared" si="689"/>
        <v>96</v>
      </c>
      <c r="U171" s="13">
        <f t="shared" si="690"/>
        <v>1684800.0000001397</v>
      </c>
      <c r="V171" s="112">
        <f t="shared" si="691"/>
        <v>96</v>
      </c>
      <c r="AN171" s="127">
        <v>45244.041666666657</v>
      </c>
      <c r="AO171">
        <v>1</v>
      </c>
      <c r="AP171" s="13">
        <f t="shared" si="693"/>
        <v>1684800.0000001397</v>
      </c>
      <c r="AQ171">
        <f t="shared" si="694"/>
        <v>96</v>
      </c>
      <c r="AR171" s="13">
        <f t="shared" si="695"/>
        <v>1684800.0000001397</v>
      </c>
      <c r="AS171" s="112">
        <f t="shared" si="696"/>
        <v>96</v>
      </c>
    </row>
    <row r="172" spans="17:45" x14ac:dyDescent="0.25">
      <c r="Q172" s="127">
        <v>45244.145833333343</v>
      </c>
      <c r="R172">
        <v>1</v>
      </c>
      <c r="S172" s="13">
        <f t="shared" si="692"/>
        <v>1693800.0000001397</v>
      </c>
      <c r="T172">
        <f t="shared" si="689"/>
        <v>96</v>
      </c>
      <c r="U172" s="13">
        <f t="shared" si="690"/>
        <v>1693800.0000001397</v>
      </c>
      <c r="V172" s="112">
        <f t="shared" si="691"/>
        <v>96</v>
      </c>
      <c r="AN172" s="127">
        <v>45244.145833333343</v>
      </c>
      <c r="AO172">
        <v>1</v>
      </c>
      <c r="AP172" s="13">
        <f t="shared" si="693"/>
        <v>1693800.0000001397</v>
      </c>
      <c r="AQ172">
        <f t="shared" si="694"/>
        <v>96</v>
      </c>
      <c r="AR172" s="13">
        <f t="shared" si="695"/>
        <v>1693800.0000001397</v>
      </c>
      <c r="AS172" s="112">
        <f t="shared" si="696"/>
        <v>96</v>
      </c>
    </row>
    <row r="173" spans="17:45" x14ac:dyDescent="0.25">
      <c r="Q173" s="127">
        <v>45244.25</v>
      </c>
      <c r="R173">
        <v>1</v>
      </c>
      <c r="S173" s="13">
        <f t="shared" si="692"/>
        <v>1702800.0000001397</v>
      </c>
      <c r="T173">
        <f t="shared" si="689"/>
        <v>96</v>
      </c>
      <c r="U173" s="13">
        <f t="shared" si="690"/>
        <v>1702800.0000001397</v>
      </c>
      <c r="V173" s="112">
        <f t="shared" si="691"/>
        <v>96</v>
      </c>
      <c r="AN173" s="127">
        <v>45244.25</v>
      </c>
      <c r="AO173">
        <v>1</v>
      </c>
      <c r="AP173" s="13">
        <f t="shared" si="693"/>
        <v>1702800.0000001397</v>
      </c>
      <c r="AQ173">
        <f t="shared" si="694"/>
        <v>96</v>
      </c>
      <c r="AR173" s="13">
        <f t="shared" si="695"/>
        <v>1702800.0000001397</v>
      </c>
      <c r="AS173" s="112">
        <f t="shared" si="696"/>
        <v>96</v>
      </c>
    </row>
    <row r="174" spans="17:45" x14ac:dyDescent="0.25">
      <c r="Q174" s="127">
        <v>45244.354166666657</v>
      </c>
      <c r="R174">
        <v>1</v>
      </c>
      <c r="S174" s="13">
        <f t="shared" si="692"/>
        <v>1711800.0000001397</v>
      </c>
      <c r="T174">
        <f t="shared" si="689"/>
        <v>96</v>
      </c>
      <c r="U174" s="13">
        <f t="shared" si="690"/>
        <v>1711800.0000001397</v>
      </c>
      <c r="V174" s="112">
        <f t="shared" si="691"/>
        <v>96</v>
      </c>
      <c r="AN174" s="127">
        <v>45244.354166666657</v>
      </c>
      <c r="AO174">
        <v>1</v>
      </c>
      <c r="AP174" s="13">
        <f t="shared" si="693"/>
        <v>1711800.0000001397</v>
      </c>
      <c r="AQ174">
        <f t="shared" si="694"/>
        <v>96</v>
      </c>
      <c r="AR174" s="13">
        <f t="shared" si="695"/>
        <v>1711800.0000001397</v>
      </c>
      <c r="AS174" s="112">
        <f t="shared" si="696"/>
        <v>96</v>
      </c>
    </row>
    <row r="175" spans="17:45" x14ac:dyDescent="0.25">
      <c r="Q175" s="127">
        <v>45244.458333333343</v>
      </c>
      <c r="R175">
        <v>1</v>
      </c>
      <c r="S175" s="13">
        <f t="shared" si="692"/>
        <v>1720800.0000001397</v>
      </c>
      <c r="T175">
        <f t="shared" si="689"/>
        <v>96</v>
      </c>
      <c r="U175" s="13">
        <f t="shared" si="690"/>
        <v>1720800.0000001397</v>
      </c>
      <c r="V175" s="112">
        <f t="shared" si="691"/>
        <v>96</v>
      </c>
      <c r="AN175" s="127">
        <v>45244.458333333343</v>
      </c>
      <c r="AO175">
        <v>1</v>
      </c>
      <c r="AP175" s="13">
        <f t="shared" si="693"/>
        <v>1720800.0000001397</v>
      </c>
      <c r="AQ175">
        <f t="shared" si="694"/>
        <v>96</v>
      </c>
      <c r="AR175" s="13">
        <f t="shared" si="695"/>
        <v>1720800.0000001397</v>
      </c>
      <c r="AS175" s="112">
        <f t="shared" si="696"/>
        <v>96</v>
      </c>
    </row>
    <row r="176" spans="17:45" x14ac:dyDescent="0.25">
      <c r="Q176" s="127">
        <v>45244.5625</v>
      </c>
      <c r="R176">
        <v>1</v>
      </c>
      <c r="S176" s="13">
        <f t="shared" si="692"/>
        <v>1729800.0000001397</v>
      </c>
      <c r="T176">
        <f t="shared" si="689"/>
        <v>96</v>
      </c>
      <c r="U176" s="13">
        <f t="shared" si="690"/>
        <v>1729800.0000001397</v>
      </c>
      <c r="V176" s="112">
        <f t="shared" si="691"/>
        <v>96</v>
      </c>
      <c r="AN176" s="127">
        <v>45244.5625</v>
      </c>
      <c r="AO176">
        <v>1</v>
      </c>
      <c r="AP176" s="13">
        <f t="shared" si="693"/>
        <v>1729800.0000001397</v>
      </c>
      <c r="AQ176">
        <f t="shared" si="694"/>
        <v>96</v>
      </c>
      <c r="AR176" s="13">
        <f t="shared" si="695"/>
        <v>1729800.0000001397</v>
      </c>
      <c r="AS176" s="112">
        <f t="shared" si="696"/>
        <v>96</v>
      </c>
    </row>
    <row r="177" spans="17:45" x14ac:dyDescent="0.25">
      <c r="Q177" s="127">
        <v>45244.666666666657</v>
      </c>
      <c r="R177">
        <v>1</v>
      </c>
      <c r="S177" s="13">
        <f t="shared" si="692"/>
        <v>1738800.0000001397</v>
      </c>
      <c r="T177">
        <f t="shared" si="689"/>
        <v>96</v>
      </c>
      <c r="U177" s="13">
        <f t="shared" si="690"/>
        <v>1738800.0000001397</v>
      </c>
      <c r="V177" s="112">
        <f t="shared" si="691"/>
        <v>96</v>
      </c>
      <c r="AN177" s="127">
        <v>45244.666666666657</v>
      </c>
      <c r="AO177">
        <v>1</v>
      </c>
      <c r="AP177" s="13">
        <f t="shared" si="693"/>
        <v>1738800.0000001397</v>
      </c>
      <c r="AQ177">
        <f t="shared" si="694"/>
        <v>96</v>
      </c>
      <c r="AR177" s="13">
        <f t="shared" si="695"/>
        <v>1738800.0000001397</v>
      </c>
      <c r="AS177" s="112">
        <f t="shared" si="696"/>
        <v>96</v>
      </c>
    </row>
    <row r="178" spans="17:45" x14ac:dyDescent="0.25">
      <c r="Q178" s="127">
        <v>45244.770833333343</v>
      </c>
      <c r="R178">
        <v>1</v>
      </c>
      <c r="S178" s="13">
        <f t="shared" si="692"/>
        <v>1747800.0000001397</v>
      </c>
      <c r="T178">
        <f t="shared" si="689"/>
        <v>96</v>
      </c>
      <c r="U178" s="13">
        <f t="shared" si="690"/>
        <v>1747800.0000001397</v>
      </c>
      <c r="V178" s="112">
        <f t="shared" si="691"/>
        <v>96</v>
      </c>
      <c r="AN178" s="127">
        <v>45244.770833333343</v>
      </c>
      <c r="AO178">
        <v>1</v>
      </c>
      <c r="AP178" s="13">
        <f t="shared" si="693"/>
        <v>1747800.0000001397</v>
      </c>
      <c r="AQ178">
        <f t="shared" si="694"/>
        <v>96</v>
      </c>
      <c r="AR178" s="13">
        <f t="shared" si="695"/>
        <v>1747800.0000001397</v>
      </c>
      <c r="AS178" s="112">
        <f t="shared" si="696"/>
        <v>96</v>
      </c>
    </row>
    <row r="179" spans="17:45" x14ac:dyDescent="0.25">
      <c r="Q179" s="127">
        <v>45244.875</v>
      </c>
      <c r="R179">
        <v>1</v>
      </c>
      <c r="S179" s="13">
        <f t="shared" si="692"/>
        <v>1756800.0000001397</v>
      </c>
      <c r="T179">
        <f t="shared" si="689"/>
        <v>96</v>
      </c>
      <c r="U179" s="13">
        <f t="shared" si="690"/>
        <v>1756800.0000001397</v>
      </c>
      <c r="V179" s="112">
        <f t="shared" si="691"/>
        <v>96</v>
      </c>
      <c r="AN179" s="127">
        <v>45244.875</v>
      </c>
      <c r="AO179">
        <v>1</v>
      </c>
      <c r="AP179" s="13">
        <f t="shared" si="693"/>
        <v>1756800.0000001397</v>
      </c>
      <c r="AQ179">
        <f t="shared" si="694"/>
        <v>96</v>
      </c>
      <c r="AR179" s="13">
        <f t="shared" si="695"/>
        <v>1756800.0000001397</v>
      </c>
      <c r="AS179" s="112">
        <f t="shared" si="696"/>
        <v>96</v>
      </c>
    </row>
    <row r="180" spans="17:45" x14ac:dyDescent="0.25">
      <c r="Q180" s="127">
        <v>45244.979166666657</v>
      </c>
      <c r="R180">
        <v>1</v>
      </c>
      <c r="S180" s="13">
        <f t="shared" si="692"/>
        <v>1765800.0000001397</v>
      </c>
      <c r="T180">
        <f t="shared" si="689"/>
        <v>96</v>
      </c>
      <c r="U180" s="13">
        <f t="shared" si="690"/>
        <v>1765800.0000001397</v>
      </c>
      <c r="V180" s="112">
        <f t="shared" si="691"/>
        <v>96</v>
      </c>
      <c r="AN180" s="127">
        <v>45244.979166666657</v>
      </c>
      <c r="AO180">
        <v>1</v>
      </c>
      <c r="AP180" s="13">
        <f t="shared" si="693"/>
        <v>1765800.0000001397</v>
      </c>
      <c r="AQ180">
        <f t="shared" si="694"/>
        <v>96</v>
      </c>
      <c r="AR180" s="13">
        <f t="shared" si="695"/>
        <v>1765800.0000001397</v>
      </c>
      <c r="AS180" s="112">
        <f t="shared" si="696"/>
        <v>96</v>
      </c>
    </row>
    <row r="181" spans="17:45" x14ac:dyDescent="0.25">
      <c r="Q181" s="127">
        <v>45245.083333333343</v>
      </c>
      <c r="R181">
        <v>1</v>
      </c>
      <c r="S181" s="13">
        <f t="shared" si="692"/>
        <v>1774800.0000001397</v>
      </c>
      <c r="T181">
        <f t="shared" si="689"/>
        <v>96</v>
      </c>
      <c r="U181" s="13">
        <f t="shared" si="690"/>
        <v>1774800.0000001397</v>
      </c>
      <c r="V181" s="112">
        <f t="shared" si="691"/>
        <v>96</v>
      </c>
      <c r="AN181" s="127">
        <v>45245.083333333343</v>
      </c>
      <c r="AO181">
        <v>1</v>
      </c>
      <c r="AP181" s="13">
        <f t="shared" si="693"/>
        <v>1774800.0000001397</v>
      </c>
      <c r="AQ181">
        <f t="shared" si="694"/>
        <v>96</v>
      </c>
      <c r="AR181" s="13">
        <f t="shared" si="695"/>
        <v>1774800.0000001397</v>
      </c>
      <c r="AS181" s="112">
        <f t="shared" si="696"/>
        <v>96</v>
      </c>
    </row>
    <row r="182" spans="17:45" x14ac:dyDescent="0.25">
      <c r="Q182" s="127">
        <v>45245.1875</v>
      </c>
      <c r="R182">
        <v>1</v>
      </c>
      <c r="S182" s="13">
        <f t="shared" si="692"/>
        <v>1783800.0000001397</v>
      </c>
      <c r="T182">
        <f t="shared" si="689"/>
        <v>96</v>
      </c>
      <c r="U182" s="13">
        <f t="shared" si="690"/>
        <v>1783800.0000001397</v>
      </c>
      <c r="V182" s="112">
        <f t="shared" si="691"/>
        <v>96</v>
      </c>
      <c r="AN182" s="127">
        <v>45245.1875</v>
      </c>
      <c r="AO182">
        <v>1</v>
      </c>
      <c r="AP182" s="13">
        <f t="shared" si="693"/>
        <v>1783800.0000001397</v>
      </c>
      <c r="AQ182">
        <f t="shared" si="694"/>
        <v>96</v>
      </c>
      <c r="AR182" s="13">
        <f t="shared" si="695"/>
        <v>1783800.0000001397</v>
      </c>
      <c r="AS182" s="112">
        <f t="shared" si="696"/>
        <v>96</v>
      </c>
    </row>
    <row r="183" spans="17:45" x14ac:dyDescent="0.25">
      <c r="Q183" s="127">
        <v>45245.291666666657</v>
      </c>
      <c r="R183">
        <v>1</v>
      </c>
      <c r="S183" s="13">
        <f t="shared" si="692"/>
        <v>1792800.0000001397</v>
      </c>
      <c r="T183">
        <f t="shared" si="689"/>
        <v>96</v>
      </c>
      <c r="U183" s="13">
        <f t="shared" si="690"/>
        <v>1792800.0000001397</v>
      </c>
      <c r="V183" s="112">
        <f t="shared" si="691"/>
        <v>96</v>
      </c>
      <c r="AN183" s="127">
        <v>45245.291666666657</v>
      </c>
      <c r="AO183">
        <v>1</v>
      </c>
      <c r="AP183" s="13">
        <f t="shared" si="693"/>
        <v>1792800.0000001397</v>
      </c>
      <c r="AQ183">
        <f t="shared" si="694"/>
        <v>96</v>
      </c>
      <c r="AR183" s="13">
        <f t="shared" si="695"/>
        <v>1792800.0000001397</v>
      </c>
      <c r="AS183" s="112">
        <f t="shared" si="696"/>
        <v>96</v>
      </c>
    </row>
    <row r="184" spans="17:45" x14ac:dyDescent="0.25">
      <c r="Q184" s="127">
        <v>45245.395833333343</v>
      </c>
      <c r="R184">
        <v>1</v>
      </c>
      <c r="S184" s="13">
        <f t="shared" si="692"/>
        <v>1801800.0000001397</v>
      </c>
      <c r="T184">
        <f t="shared" si="689"/>
        <v>96</v>
      </c>
      <c r="U184" s="13">
        <f t="shared" si="690"/>
        <v>1801800.0000001397</v>
      </c>
      <c r="V184" s="112">
        <f t="shared" si="691"/>
        <v>96</v>
      </c>
      <c r="AN184" s="127">
        <v>45245.395833333343</v>
      </c>
      <c r="AO184">
        <v>1</v>
      </c>
      <c r="AP184" s="13">
        <f t="shared" si="693"/>
        <v>1801800.0000001397</v>
      </c>
      <c r="AQ184">
        <f t="shared" si="694"/>
        <v>96</v>
      </c>
      <c r="AR184" s="13">
        <f t="shared" si="695"/>
        <v>1801800.0000001397</v>
      </c>
      <c r="AS184" s="112">
        <f t="shared" si="696"/>
        <v>96</v>
      </c>
    </row>
    <row r="185" spans="17:45" x14ac:dyDescent="0.25">
      <c r="Q185" s="127">
        <v>45245.5</v>
      </c>
      <c r="R185">
        <v>1</v>
      </c>
      <c r="S185" s="13">
        <f t="shared" si="692"/>
        <v>1810800.0000001397</v>
      </c>
      <c r="T185">
        <f t="shared" si="689"/>
        <v>96</v>
      </c>
      <c r="U185" s="13">
        <f t="shared" si="690"/>
        <v>1810800.0000001397</v>
      </c>
      <c r="V185" s="112">
        <f t="shared" si="691"/>
        <v>96</v>
      </c>
      <c r="AN185" s="127">
        <v>45245.5</v>
      </c>
      <c r="AO185">
        <v>1</v>
      </c>
      <c r="AP185" s="13">
        <f t="shared" si="693"/>
        <v>1810800.0000001397</v>
      </c>
      <c r="AQ185">
        <f t="shared" si="694"/>
        <v>96</v>
      </c>
      <c r="AR185" s="13">
        <f t="shared" si="695"/>
        <v>1810800.0000001397</v>
      </c>
      <c r="AS185" s="112">
        <f t="shared" si="696"/>
        <v>96</v>
      </c>
    </row>
    <row r="186" spans="17:45" x14ac:dyDescent="0.25">
      <c r="Q186" s="127">
        <v>45245.604166666657</v>
      </c>
      <c r="R186">
        <v>1</v>
      </c>
      <c r="S186" s="13">
        <f t="shared" si="692"/>
        <v>1819800.0000001397</v>
      </c>
      <c r="T186">
        <f t="shared" si="689"/>
        <v>96</v>
      </c>
      <c r="U186" s="13">
        <f t="shared" si="690"/>
        <v>1819800.0000001397</v>
      </c>
      <c r="V186" s="112">
        <f t="shared" si="691"/>
        <v>96</v>
      </c>
      <c r="AN186" s="127">
        <v>45245.604166666657</v>
      </c>
      <c r="AO186">
        <v>1</v>
      </c>
      <c r="AP186" s="13">
        <f t="shared" si="693"/>
        <v>1819800.0000001397</v>
      </c>
      <c r="AQ186">
        <f t="shared" si="694"/>
        <v>96</v>
      </c>
      <c r="AR186" s="13">
        <f t="shared" si="695"/>
        <v>1819800.0000001397</v>
      </c>
      <c r="AS186" s="112">
        <f t="shared" si="696"/>
        <v>96</v>
      </c>
    </row>
    <row r="187" spans="17:45" x14ac:dyDescent="0.25">
      <c r="Q187" s="127">
        <v>45245.708333333343</v>
      </c>
      <c r="R187">
        <v>1</v>
      </c>
      <c r="S187" s="13">
        <f t="shared" si="692"/>
        <v>1828800.0000001397</v>
      </c>
      <c r="T187">
        <f t="shared" si="689"/>
        <v>96</v>
      </c>
      <c r="U187" s="13">
        <f t="shared" si="690"/>
        <v>1828800.0000001397</v>
      </c>
      <c r="V187" s="112">
        <f t="shared" si="691"/>
        <v>96</v>
      </c>
      <c r="AN187" s="127">
        <v>45245.708333333343</v>
      </c>
      <c r="AO187">
        <v>1</v>
      </c>
      <c r="AP187" s="13">
        <f t="shared" si="693"/>
        <v>1828800.0000001397</v>
      </c>
      <c r="AQ187">
        <f t="shared" si="694"/>
        <v>96</v>
      </c>
      <c r="AR187" s="13">
        <f t="shared" si="695"/>
        <v>1828800.0000001397</v>
      </c>
      <c r="AS187" s="112">
        <f t="shared" si="696"/>
        <v>96</v>
      </c>
    </row>
    <row r="188" spans="17:45" x14ac:dyDescent="0.25">
      <c r="Q188" s="127">
        <v>45245.8125</v>
      </c>
      <c r="R188">
        <v>1</v>
      </c>
      <c r="S188" s="13">
        <f t="shared" si="692"/>
        <v>1837800.0000001397</v>
      </c>
      <c r="T188">
        <f t="shared" si="689"/>
        <v>96</v>
      </c>
      <c r="U188" s="13">
        <f t="shared" si="690"/>
        <v>1837800.0000001397</v>
      </c>
      <c r="V188" s="112">
        <f t="shared" si="691"/>
        <v>96</v>
      </c>
      <c r="AN188" s="127">
        <v>45245.8125</v>
      </c>
      <c r="AO188">
        <v>1</v>
      </c>
      <c r="AP188" s="13">
        <f t="shared" si="693"/>
        <v>1837800.0000001397</v>
      </c>
      <c r="AQ188">
        <f t="shared" si="694"/>
        <v>96</v>
      </c>
      <c r="AR188" s="13">
        <f t="shared" si="695"/>
        <v>1837800.0000001397</v>
      </c>
      <c r="AS188" s="112">
        <f t="shared" si="696"/>
        <v>96</v>
      </c>
    </row>
    <row r="189" spans="17:45" x14ac:dyDescent="0.25">
      <c r="Q189" s="127">
        <v>45245.916666666657</v>
      </c>
      <c r="R189">
        <v>1</v>
      </c>
      <c r="S189" s="13">
        <f t="shared" si="692"/>
        <v>1846800.0000001397</v>
      </c>
      <c r="T189">
        <f t="shared" si="689"/>
        <v>96</v>
      </c>
      <c r="U189" s="13">
        <f t="shared" si="690"/>
        <v>1846800.0000001397</v>
      </c>
      <c r="V189" s="112">
        <f t="shared" si="691"/>
        <v>96</v>
      </c>
      <c r="AN189" s="127">
        <v>45245.916666666657</v>
      </c>
      <c r="AO189">
        <v>1</v>
      </c>
      <c r="AP189" s="13">
        <f t="shared" si="693"/>
        <v>1846800.0000001397</v>
      </c>
      <c r="AQ189">
        <f t="shared" si="694"/>
        <v>96</v>
      </c>
      <c r="AR189" s="13">
        <f t="shared" si="695"/>
        <v>1846800.0000001397</v>
      </c>
      <c r="AS189" s="112">
        <f t="shared" si="696"/>
        <v>96</v>
      </c>
    </row>
    <row r="190" spans="17:45" x14ac:dyDescent="0.25">
      <c r="Q190" s="127">
        <v>45246.020833333343</v>
      </c>
      <c r="R190">
        <v>0</v>
      </c>
      <c r="S190" s="13">
        <f t="shared" si="692"/>
        <v>1855800.0000001397</v>
      </c>
      <c r="T190">
        <f t="shared" si="689"/>
        <v>0</v>
      </c>
      <c r="U190" s="13">
        <f t="shared" si="690"/>
        <v>1855800.0000001397</v>
      </c>
      <c r="V190" s="112">
        <f t="shared" si="691"/>
        <v>1E-10</v>
      </c>
      <c r="AN190" s="127">
        <v>45246.020833333343</v>
      </c>
      <c r="AO190">
        <v>1</v>
      </c>
      <c r="AP190" s="13">
        <f t="shared" si="693"/>
        <v>1855800.0000001397</v>
      </c>
      <c r="AQ190">
        <f t="shared" si="694"/>
        <v>96</v>
      </c>
      <c r="AR190" s="13">
        <f t="shared" si="695"/>
        <v>1855800.0000001397</v>
      </c>
      <c r="AS190" s="112">
        <f t="shared" si="696"/>
        <v>96</v>
      </c>
    </row>
    <row r="191" spans="17:45" x14ac:dyDescent="0.25">
      <c r="Q191" s="127">
        <v>45246.125</v>
      </c>
      <c r="R191">
        <v>1</v>
      </c>
      <c r="S191" s="13">
        <f t="shared" si="692"/>
        <v>1864800.0000001397</v>
      </c>
      <c r="T191">
        <f t="shared" si="689"/>
        <v>96</v>
      </c>
      <c r="U191" s="13">
        <f t="shared" si="690"/>
        <v>1864800.0000001397</v>
      </c>
      <c r="V191" s="112">
        <f t="shared" si="691"/>
        <v>96</v>
      </c>
      <c r="AN191" s="127">
        <v>45246.125</v>
      </c>
      <c r="AO191">
        <v>1</v>
      </c>
      <c r="AP191" s="13">
        <f t="shared" si="693"/>
        <v>1864800.0000001397</v>
      </c>
      <c r="AQ191">
        <f t="shared" si="694"/>
        <v>96</v>
      </c>
      <c r="AR191" s="13">
        <f t="shared" si="695"/>
        <v>1864800.0000001397</v>
      </c>
      <c r="AS191" s="112">
        <f t="shared" si="696"/>
        <v>96</v>
      </c>
    </row>
    <row r="192" spans="17:45" x14ac:dyDescent="0.25">
      <c r="Q192" s="127">
        <v>45246.229166666657</v>
      </c>
      <c r="R192">
        <v>1</v>
      </c>
      <c r="S192" s="13">
        <f t="shared" si="692"/>
        <v>1873800.0000001397</v>
      </c>
      <c r="T192">
        <f t="shared" si="689"/>
        <v>96</v>
      </c>
      <c r="U192" s="13">
        <f t="shared" si="690"/>
        <v>1873800.0000001397</v>
      </c>
      <c r="V192" s="112">
        <f t="shared" si="691"/>
        <v>96</v>
      </c>
      <c r="AN192" s="127">
        <v>45246.229166666657</v>
      </c>
      <c r="AO192">
        <v>1</v>
      </c>
      <c r="AP192" s="13">
        <f t="shared" si="693"/>
        <v>1873800.0000001397</v>
      </c>
      <c r="AQ192">
        <f t="shared" si="694"/>
        <v>96</v>
      </c>
      <c r="AR192" s="13">
        <f t="shared" si="695"/>
        <v>1873800.0000001397</v>
      </c>
      <c r="AS192" s="112">
        <f t="shared" si="696"/>
        <v>96</v>
      </c>
    </row>
    <row r="193" spans="17:45" x14ac:dyDescent="0.25">
      <c r="Q193" s="127">
        <v>45246.333333333343</v>
      </c>
      <c r="R193">
        <v>1</v>
      </c>
      <c r="S193" s="13">
        <f t="shared" si="692"/>
        <v>1882800.0000001397</v>
      </c>
      <c r="T193">
        <f t="shared" si="689"/>
        <v>96</v>
      </c>
      <c r="U193" s="13">
        <f t="shared" si="690"/>
        <v>1882800.0000001397</v>
      </c>
      <c r="V193" s="112">
        <f t="shared" si="691"/>
        <v>96</v>
      </c>
      <c r="AN193" s="127">
        <v>45246.333333333343</v>
      </c>
      <c r="AO193">
        <v>1</v>
      </c>
      <c r="AP193" s="13">
        <f t="shared" si="693"/>
        <v>1882800.0000001397</v>
      </c>
      <c r="AQ193">
        <f t="shared" si="694"/>
        <v>96</v>
      </c>
      <c r="AR193" s="13">
        <f t="shared" si="695"/>
        <v>1882800.0000001397</v>
      </c>
      <c r="AS193" s="112">
        <f t="shared" si="696"/>
        <v>96</v>
      </c>
    </row>
    <row r="194" spans="17:45" x14ac:dyDescent="0.25">
      <c r="Q194" s="127">
        <v>45246.4375</v>
      </c>
      <c r="R194">
        <v>1</v>
      </c>
      <c r="S194" s="13">
        <f t="shared" si="692"/>
        <v>1891800.0000001397</v>
      </c>
      <c r="T194">
        <f t="shared" si="689"/>
        <v>96</v>
      </c>
      <c r="U194" s="13">
        <f t="shared" si="690"/>
        <v>1891800.0000001397</v>
      </c>
      <c r="V194" s="112">
        <f t="shared" si="691"/>
        <v>96</v>
      </c>
      <c r="AN194" s="127">
        <v>45246.4375</v>
      </c>
      <c r="AO194">
        <v>1</v>
      </c>
      <c r="AP194" s="13">
        <f t="shared" si="693"/>
        <v>1891800.0000001397</v>
      </c>
      <c r="AQ194">
        <f t="shared" si="694"/>
        <v>96</v>
      </c>
      <c r="AR194" s="13">
        <f t="shared" si="695"/>
        <v>1891800.0000001397</v>
      </c>
      <c r="AS194" s="112">
        <f t="shared" si="696"/>
        <v>96</v>
      </c>
    </row>
    <row r="195" spans="17:45" x14ac:dyDescent="0.25">
      <c r="Q195" s="127">
        <v>45246.541666666657</v>
      </c>
      <c r="R195">
        <v>1</v>
      </c>
      <c r="S195" s="13">
        <f t="shared" si="692"/>
        <v>1900800.0000001397</v>
      </c>
      <c r="T195">
        <f t="shared" ref="T195:T258" si="697">R195*96</f>
        <v>96</v>
      </c>
      <c r="U195" s="13">
        <f t="shared" ref="U195:U258" si="698">S195</f>
        <v>1900800.0000001397</v>
      </c>
      <c r="V195" s="112">
        <f t="shared" ref="V195:V258" si="699">IF(T195=0,0.0000000001,T195)</f>
        <v>96</v>
      </c>
      <c r="AN195" s="127">
        <v>45246.541666666657</v>
      </c>
      <c r="AO195">
        <v>1</v>
      </c>
      <c r="AP195" s="13">
        <f t="shared" si="693"/>
        <v>1900800.0000001397</v>
      </c>
      <c r="AQ195">
        <f t="shared" si="694"/>
        <v>96</v>
      </c>
      <c r="AR195" s="13">
        <f t="shared" si="695"/>
        <v>1900800.0000001397</v>
      </c>
      <c r="AS195" s="112">
        <f t="shared" si="696"/>
        <v>96</v>
      </c>
    </row>
    <row r="196" spans="17:45" x14ac:dyDescent="0.25">
      <c r="Q196" s="127">
        <v>45246.645833333343</v>
      </c>
      <c r="R196">
        <v>1</v>
      </c>
      <c r="S196" s="13">
        <f t="shared" ref="S196:S259" si="700">S195+150*60</f>
        <v>1909800.0000001397</v>
      </c>
      <c r="T196">
        <f t="shared" si="697"/>
        <v>96</v>
      </c>
      <c r="U196" s="13">
        <f t="shared" si="698"/>
        <v>1909800.0000001397</v>
      </c>
      <c r="V196" s="112">
        <f t="shared" si="699"/>
        <v>96</v>
      </c>
      <c r="AN196" s="127">
        <v>45246.645833333343</v>
      </c>
      <c r="AO196">
        <v>1</v>
      </c>
      <c r="AP196" s="13">
        <f t="shared" ref="AP196:AP259" si="701">AP195+150*60</f>
        <v>1909800.0000001397</v>
      </c>
      <c r="AQ196">
        <f t="shared" si="694"/>
        <v>96</v>
      </c>
      <c r="AR196" s="13">
        <f t="shared" si="695"/>
        <v>1909800.0000001397</v>
      </c>
      <c r="AS196" s="112">
        <f t="shared" si="696"/>
        <v>96</v>
      </c>
    </row>
    <row r="197" spans="17:45" x14ac:dyDescent="0.25">
      <c r="Q197" s="127">
        <v>45246.75</v>
      </c>
      <c r="R197">
        <v>1</v>
      </c>
      <c r="S197" s="13">
        <f t="shared" si="700"/>
        <v>1918800.0000001397</v>
      </c>
      <c r="T197">
        <f t="shared" si="697"/>
        <v>96</v>
      </c>
      <c r="U197" s="13">
        <f t="shared" si="698"/>
        <v>1918800.0000001397</v>
      </c>
      <c r="V197" s="112">
        <f t="shared" si="699"/>
        <v>96</v>
      </c>
      <c r="AN197" s="127">
        <v>45246.75</v>
      </c>
      <c r="AO197">
        <v>1</v>
      </c>
      <c r="AP197" s="13">
        <f t="shared" si="701"/>
        <v>1918800.0000001397</v>
      </c>
      <c r="AQ197">
        <f t="shared" si="694"/>
        <v>96</v>
      </c>
      <c r="AR197" s="13">
        <f t="shared" si="695"/>
        <v>1918800.0000001397</v>
      </c>
      <c r="AS197" s="112">
        <f t="shared" si="696"/>
        <v>96</v>
      </c>
    </row>
    <row r="198" spans="17:45" x14ac:dyDescent="0.25">
      <c r="Q198" s="127">
        <v>45246.854166666657</v>
      </c>
      <c r="R198">
        <v>1</v>
      </c>
      <c r="S198" s="13">
        <f t="shared" si="700"/>
        <v>1927800.0000001397</v>
      </c>
      <c r="T198">
        <f t="shared" si="697"/>
        <v>96</v>
      </c>
      <c r="U198" s="13">
        <f t="shared" si="698"/>
        <v>1927800.0000001397</v>
      </c>
      <c r="V198" s="112">
        <f t="shared" si="699"/>
        <v>96</v>
      </c>
      <c r="AN198" s="127">
        <v>45246.854166666657</v>
      </c>
      <c r="AO198">
        <v>1</v>
      </c>
      <c r="AP198" s="13">
        <f t="shared" si="701"/>
        <v>1927800.0000001397</v>
      </c>
      <c r="AQ198">
        <f t="shared" si="694"/>
        <v>96</v>
      </c>
      <c r="AR198" s="13">
        <f t="shared" si="695"/>
        <v>1927800.0000001397</v>
      </c>
      <c r="AS198" s="112">
        <f t="shared" si="696"/>
        <v>96</v>
      </c>
    </row>
    <row r="199" spans="17:45" x14ac:dyDescent="0.25">
      <c r="Q199" s="127">
        <v>45246.958333333343</v>
      </c>
      <c r="R199">
        <v>1</v>
      </c>
      <c r="S199" s="13">
        <f t="shared" si="700"/>
        <v>1936800.0000001397</v>
      </c>
      <c r="T199">
        <f t="shared" si="697"/>
        <v>96</v>
      </c>
      <c r="U199" s="13">
        <f t="shared" si="698"/>
        <v>1936800.0000001397</v>
      </c>
      <c r="V199" s="112">
        <f t="shared" si="699"/>
        <v>96</v>
      </c>
      <c r="AN199" s="127">
        <v>45246.958333333343</v>
      </c>
      <c r="AO199">
        <v>1</v>
      </c>
      <c r="AP199" s="13">
        <f t="shared" si="701"/>
        <v>1936800.0000001397</v>
      </c>
      <c r="AQ199">
        <f t="shared" si="694"/>
        <v>96</v>
      </c>
      <c r="AR199" s="13">
        <f t="shared" si="695"/>
        <v>1936800.0000001397</v>
      </c>
      <c r="AS199" s="112">
        <f t="shared" si="696"/>
        <v>96</v>
      </c>
    </row>
    <row r="200" spans="17:45" x14ac:dyDescent="0.25">
      <c r="Q200" s="127">
        <v>45247.0625</v>
      </c>
      <c r="R200">
        <v>1</v>
      </c>
      <c r="S200" s="13">
        <f t="shared" si="700"/>
        <v>1945800.0000001397</v>
      </c>
      <c r="T200">
        <f t="shared" si="697"/>
        <v>96</v>
      </c>
      <c r="U200" s="13">
        <f t="shared" si="698"/>
        <v>1945800.0000001397</v>
      </c>
      <c r="V200" s="112">
        <f t="shared" si="699"/>
        <v>96</v>
      </c>
      <c r="AN200" s="127">
        <v>45247.0625</v>
      </c>
      <c r="AO200">
        <v>1</v>
      </c>
      <c r="AP200" s="13">
        <f t="shared" si="701"/>
        <v>1945800.0000001397</v>
      </c>
      <c r="AQ200">
        <f t="shared" si="694"/>
        <v>96</v>
      </c>
      <c r="AR200" s="13">
        <f t="shared" si="695"/>
        <v>1945800.0000001397</v>
      </c>
      <c r="AS200" s="112">
        <f t="shared" si="696"/>
        <v>96</v>
      </c>
    </row>
    <row r="201" spans="17:45" x14ac:dyDescent="0.25">
      <c r="Q201" s="127">
        <v>45247.166666666657</v>
      </c>
      <c r="R201">
        <v>1</v>
      </c>
      <c r="S201" s="13">
        <f t="shared" si="700"/>
        <v>1954800.0000001397</v>
      </c>
      <c r="T201">
        <f t="shared" si="697"/>
        <v>96</v>
      </c>
      <c r="U201" s="13">
        <f t="shared" si="698"/>
        <v>1954800.0000001397</v>
      </c>
      <c r="V201" s="112">
        <f t="shared" si="699"/>
        <v>96</v>
      </c>
      <c r="AN201" s="127">
        <v>45247.166666666657</v>
      </c>
      <c r="AO201">
        <v>1</v>
      </c>
      <c r="AP201" s="13">
        <f t="shared" si="701"/>
        <v>1954800.0000001397</v>
      </c>
      <c r="AQ201">
        <f t="shared" si="694"/>
        <v>96</v>
      </c>
      <c r="AR201" s="13">
        <f t="shared" si="695"/>
        <v>1954800.0000001397</v>
      </c>
      <c r="AS201" s="112">
        <f t="shared" si="696"/>
        <v>96</v>
      </c>
    </row>
    <row r="202" spans="17:45" x14ac:dyDescent="0.25">
      <c r="Q202" s="127">
        <v>45247.270833333343</v>
      </c>
      <c r="R202">
        <v>1</v>
      </c>
      <c r="S202" s="13">
        <f t="shared" si="700"/>
        <v>1963800.0000001397</v>
      </c>
      <c r="T202">
        <f t="shared" si="697"/>
        <v>96</v>
      </c>
      <c r="U202" s="13">
        <f t="shared" si="698"/>
        <v>1963800.0000001397</v>
      </c>
      <c r="V202" s="112">
        <f t="shared" si="699"/>
        <v>96</v>
      </c>
      <c r="AN202" s="127">
        <v>45247.270833333343</v>
      </c>
      <c r="AO202">
        <v>1</v>
      </c>
      <c r="AP202" s="13">
        <f t="shared" si="701"/>
        <v>1963800.0000001397</v>
      </c>
      <c r="AQ202">
        <f t="shared" si="694"/>
        <v>96</v>
      </c>
      <c r="AR202" s="13">
        <f t="shared" si="695"/>
        <v>1963800.0000001397</v>
      </c>
      <c r="AS202" s="112">
        <f t="shared" si="696"/>
        <v>96</v>
      </c>
    </row>
    <row r="203" spans="17:45" x14ac:dyDescent="0.25">
      <c r="Q203" s="127">
        <v>45247.375</v>
      </c>
      <c r="R203">
        <v>1</v>
      </c>
      <c r="S203" s="13">
        <f t="shared" si="700"/>
        <v>1972800.0000001397</v>
      </c>
      <c r="T203">
        <f t="shared" si="697"/>
        <v>96</v>
      </c>
      <c r="U203" s="13">
        <f t="shared" si="698"/>
        <v>1972800.0000001397</v>
      </c>
      <c r="V203" s="112">
        <f t="shared" si="699"/>
        <v>96</v>
      </c>
      <c r="AN203" s="127">
        <v>45247.375</v>
      </c>
      <c r="AO203">
        <v>1</v>
      </c>
      <c r="AP203" s="13">
        <f t="shared" si="701"/>
        <v>1972800.0000001397</v>
      </c>
      <c r="AQ203">
        <f t="shared" si="694"/>
        <v>96</v>
      </c>
      <c r="AR203" s="13">
        <f t="shared" si="695"/>
        <v>1972800.0000001397</v>
      </c>
      <c r="AS203" s="112">
        <f t="shared" si="696"/>
        <v>96</v>
      </c>
    </row>
    <row r="204" spans="17:45" x14ac:dyDescent="0.25">
      <c r="Q204" s="127">
        <v>45247.479166666657</v>
      </c>
      <c r="R204">
        <v>1</v>
      </c>
      <c r="S204" s="13">
        <f t="shared" si="700"/>
        <v>1981800.0000001397</v>
      </c>
      <c r="T204">
        <f t="shared" si="697"/>
        <v>96</v>
      </c>
      <c r="U204" s="13">
        <f t="shared" si="698"/>
        <v>1981800.0000001397</v>
      </c>
      <c r="V204" s="112">
        <f t="shared" si="699"/>
        <v>96</v>
      </c>
      <c r="AN204" s="127">
        <v>45247.479166666657</v>
      </c>
      <c r="AO204">
        <v>1</v>
      </c>
      <c r="AP204" s="13">
        <f t="shared" si="701"/>
        <v>1981800.0000001397</v>
      </c>
      <c r="AQ204">
        <f t="shared" si="694"/>
        <v>96</v>
      </c>
      <c r="AR204" s="13">
        <f t="shared" si="695"/>
        <v>1981800.0000001397</v>
      </c>
      <c r="AS204" s="112">
        <f t="shared" si="696"/>
        <v>96</v>
      </c>
    </row>
    <row r="205" spans="17:45" x14ac:dyDescent="0.25">
      <c r="Q205" s="127">
        <v>45247.583333333343</v>
      </c>
      <c r="R205">
        <v>1</v>
      </c>
      <c r="S205" s="13">
        <f t="shared" si="700"/>
        <v>1990800.0000001397</v>
      </c>
      <c r="T205">
        <f t="shared" si="697"/>
        <v>96</v>
      </c>
      <c r="U205" s="13">
        <f t="shared" si="698"/>
        <v>1990800.0000001397</v>
      </c>
      <c r="V205" s="112">
        <f t="shared" si="699"/>
        <v>96</v>
      </c>
      <c r="AN205" s="127">
        <v>45247.583333333343</v>
      </c>
      <c r="AO205">
        <v>1</v>
      </c>
      <c r="AP205" s="13">
        <f t="shared" si="701"/>
        <v>1990800.0000001397</v>
      </c>
      <c r="AQ205">
        <f t="shared" si="694"/>
        <v>96</v>
      </c>
      <c r="AR205" s="13">
        <f t="shared" si="695"/>
        <v>1990800.0000001397</v>
      </c>
      <c r="AS205" s="112">
        <f t="shared" si="696"/>
        <v>96</v>
      </c>
    </row>
    <row r="206" spans="17:45" x14ac:dyDescent="0.25">
      <c r="Q206" s="127">
        <v>45247.6875</v>
      </c>
      <c r="R206">
        <v>1</v>
      </c>
      <c r="S206" s="13">
        <f t="shared" si="700"/>
        <v>1999800.0000001397</v>
      </c>
      <c r="T206">
        <f t="shared" si="697"/>
        <v>96</v>
      </c>
      <c r="U206" s="13">
        <f t="shared" si="698"/>
        <v>1999800.0000001397</v>
      </c>
      <c r="V206" s="112">
        <f t="shared" si="699"/>
        <v>96</v>
      </c>
      <c r="AN206" s="127">
        <v>45247.6875</v>
      </c>
      <c r="AO206">
        <v>1</v>
      </c>
      <c r="AP206" s="13">
        <f t="shared" si="701"/>
        <v>1999800.0000001397</v>
      </c>
      <c r="AQ206">
        <f t="shared" si="694"/>
        <v>96</v>
      </c>
      <c r="AR206" s="13">
        <f t="shared" si="695"/>
        <v>1999800.0000001397</v>
      </c>
      <c r="AS206" s="112">
        <f t="shared" si="696"/>
        <v>96</v>
      </c>
    </row>
    <row r="207" spans="17:45" x14ac:dyDescent="0.25">
      <c r="Q207" s="127">
        <v>45247.791666666657</v>
      </c>
      <c r="R207">
        <v>1</v>
      </c>
      <c r="S207" s="13">
        <f t="shared" si="700"/>
        <v>2008800.0000001397</v>
      </c>
      <c r="T207">
        <f t="shared" si="697"/>
        <v>96</v>
      </c>
      <c r="U207" s="13">
        <f t="shared" si="698"/>
        <v>2008800.0000001397</v>
      </c>
      <c r="V207" s="112">
        <f t="shared" si="699"/>
        <v>96</v>
      </c>
      <c r="AN207" s="127">
        <v>45247.791666666657</v>
      </c>
      <c r="AO207">
        <v>1</v>
      </c>
      <c r="AP207" s="13">
        <f t="shared" si="701"/>
        <v>2008800.0000001397</v>
      </c>
      <c r="AQ207">
        <f t="shared" si="694"/>
        <v>96</v>
      </c>
      <c r="AR207" s="13">
        <f t="shared" si="695"/>
        <v>2008800.0000001397</v>
      </c>
      <c r="AS207" s="112">
        <f t="shared" si="696"/>
        <v>96</v>
      </c>
    </row>
    <row r="208" spans="17:45" x14ac:dyDescent="0.25">
      <c r="Q208" s="127">
        <v>45247.895833333343</v>
      </c>
      <c r="R208">
        <v>1</v>
      </c>
      <c r="S208" s="13">
        <f t="shared" si="700"/>
        <v>2017800.0000001397</v>
      </c>
      <c r="T208">
        <f t="shared" si="697"/>
        <v>96</v>
      </c>
      <c r="U208" s="13">
        <f t="shared" si="698"/>
        <v>2017800.0000001397</v>
      </c>
      <c r="V208" s="112">
        <f t="shared" si="699"/>
        <v>96</v>
      </c>
      <c r="AN208" s="127">
        <v>45247.895833333343</v>
      </c>
      <c r="AO208">
        <v>1</v>
      </c>
      <c r="AP208" s="13">
        <f t="shared" si="701"/>
        <v>2017800.0000001397</v>
      </c>
      <c r="AQ208">
        <f t="shared" si="694"/>
        <v>96</v>
      </c>
      <c r="AR208" s="13">
        <f t="shared" si="695"/>
        <v>2017800.0000001397</v>
      </c>
      <c r="AS208" s="112">
        <f t="shared" si="696"/>
        <v>96</v>
      </c>
    </row>
    <row r="209" spans="17:45" x14ac:dyDescent="0.25">
      <c r="Q209" s="127">
        <v>45248</v>
      </c>
      <c r="R209">
        <v>1</v>
      </c>
      <c r="S209" s="13">
        <f t="shared" si="700"/>
        <v>2026800.0000001397</v>
      </c>
      <c r="T209">
        <f t="shared" si="697"/>
        <v>96</v>
      </c>
      <c r="U209" s="13">
        <f t="shared" si="698"/>
        <v>2026800.0000001397</v>
      </c>
      <c r="V209" s="112">
        <f t="shared" si="699"/>
        <v>96</v>
      </c>
      <c r="AN209" s="127">
        <v>45248</v>
      </c>
      <c r="AO209">
        <v>1</v>
      </c>
      <c r="AP209" s="13">
        <f t="shared" si="701"/>
        <v>2026800.0000001397</v>
      </c>
      <c r="AQ209">
        <f t="shared" si="694"/>
        <v>96</v>
      </c>
      <c r="AR209" s="13">
        <f t="shared" si="695"/>
        <v>2026800.0000001397</v>
      </c>
      <c r="AS209" s="112">
        <f t="shared" si="696"/>
        <v>96</v>
      </c>
    </row>
    <row r="210" spans="17:45" x14ac:dyDescent="0.25">
      <c r="Q210" s="127">
        <v>45248.104166666657</v>
      </c>
      <c r="R210">
        <v>1</v>
      </c>
      <c r="S210" s="13">
        <f t="shared" si="700"/>
        <v>2035800.0000001397</v>
      </c>
      <c r="T210">
        <f t="shared" si="697"/>
        <v>96</v>
      </c>
      <c r="U210" s="13">
        <f t="shared" si="698"/>
        <v>2035800.0000001397</v>
      </c>
      <c r="V210" s="112">
        <f t="shared" si="699"/>
        <v>96</v>
      </c>
      <c r="AN210" s="127">
        <v>45248.104166666657</v>
      </c>
      <c r="AO210">
        <v>1</v>
      </c>
      <c r="AP210" s="13">
        <f t="shared" si="701"/>
        <v>2035800.0000001397</v>
      </c>
      <c r="AQ210">
        <f t="shared" si="694"/>
        <v>96</v>
      </c>
      <c r="AR210" s="13">
        <f t="shared" si="695"/>
        <v>2035800.0000001397</v>
      </c>
      <c r="AS210" s="112">
        <f t="shared" si="696"/>
        <v>96</v>
      </c>
    </row>
    <row r="211" spans="17:45" x14ac:dyDescent="0.25">
      <c r="Q211" s="127">
        <v>45248.208333333343</v>
      </c>
      <c r="R211">
        <v>1</v>
      </c>
      <c r="S211" s="13">
        <f t="shared" si="700"/>
        <v>2044800.0000001397</v>
      </c>
      <c r="T211">
        <f t="shared" si="697"/>
        <v>96</v>
      </c>
      <c r="U211" s="13">
        <f t="shared" si="698"/>
        <v>2044800.0000001397</v>
      </c>
      <c r="V211" s="112">
        <f t="shared" si="699"/>
        <v>96</v>
      </c>
      <c r="AN211" s="127">
        <v>45248.208333333343</v>
      </c>
      <c r="AO211">
        <v>1</v>
      </c>
      <c r="AP211" s="13">
        <f t="shared" si="701"/>
        <v>2044800.0000001397</v>
      </c>
      <c r="AQ211">
        <f t="shared" si="694"/>
        <v>96</v>
      </c>
      <c r="AR211" s="13">
        <f t="shared" si="695"/>
        <v>2044800.0000001397</v>
      </c>
      <c r="AS211" s="112">
        <f t="shared" si="696"/>
        <v>96</v>
      </c>
    </row>
    <row r="212" spans="17:45" x14ac:dyDescent="0.25">
      <c r="Q212" s="127">
        <v>45248.3125</v>
      </c>
      <c r="R212">
        <v>1</v>
      </c>
      <c r="S212" s="13">
        <f t="shared" si="700"/>
        <v>2053800.0000001397</v>
      </c>
      <c r="T212">
        <f t="shared" si="697"/>
        <v>96</v>
      </c>
      <c r="U212" s="13">
        <f t="shared" si="698"/>
        <v>2053800.0000001397</v>
      </c>
      <c r="V212" s="112">
        <f t="shared" si="699"/>
        <v>96</v>
      </c>
      <c r="AN212" s="127">
        <v>45248.3125</v>
      </c>
      <c r="AO212">
        <v>1</v>
      </c>
      <c r="AP212" s="13">
        <f t="shared" si="701"/>
        <v>2053800.0000001397</v>
      </c>
      <c r="AQ212">
        <f t="shared" si="694"/>
        <v>96</v>
      </c>
      <c r="AR212" s="13">
        <f t="shared" si="695"/>
        <v>2053800.0000001397</v>
      </c>
      <c r="AS212" s="112">
        <f t="shared" si="696"/>
        <v>96</v>
      </c>
    </row>
    <row r="213" spans="17:45" x14ac:dyDescent="0.25">
      <c r="Q213" s="127">
        <v>45248.416666666657</v>
      </c>
      <c r="R213">
        <v>1</v>
      </c>
      <c r="S213" s="13">
        <f t="shared" si="700"/>
        <v>2062800.0000001397</v>
      </c>
      <c r="T213">
        <f t="shared" si="697"/>
        <v>96</v>
      </c>
      <c r="U213" s="13">
        <f t="shared" si="698"/>
        <v>2062800.0000001397</v>
      </c>
      <c r="V213" s="112">
        <f t="shared" si="699"/>
        <v>96</v>
      </c>
      <c r="AN213" s="127">
        <v>45248.416666666657</v>
      </c>
      <c r="AO213">
        <v>1</v>
      </c>
      <c r="AP213" s="13">
        <f t="shared" si="701"/>
        <v>2062800.0000001397</v>
      </c>
      <c r="AQ213">
        <f t="shared" si="694"/>
        <v>96</v>
      </c>
      <c r="AR213" s="13">
        <f t="shared" si="695"/>
        <v>2062800.0000001397</v>
      </c>
      <c r="AS213" s="112">
        <f t="shared" si="696"/>
        <v>96</v>
      </c>
    </row>
    <row r="214" spans="17:45" x14ac:dyDescent="0.25">
      <c r="Q214" s="127">
        <v>45248.520833333343</v>
      </c>
      <c r="R214">
        <v>1</v>
      </c>
      <c r="S214" s="13">
        <f t="shared" si="700"/>
        <v>2071800.0000001397</v>
      </c>
      <c r="T214">
        <f t="shared" si="697"/>
        <v>96</v>
      </c>
      <c r="U214" s="13">
        <f t="shared" si="698"/>
        <v>2071800.0000001397</v>
      </c>
      <c r="V214" s="112">
        <f t="shared" si="699"/>
        <v>96</v>
      </c>
      <c r="AN214" s="127">
        <v>45248.520833333343</v>
      </c>
      <c r="AO214">
        <v>1</v>
      </c>
      <c r="AP214" s="13">
        <f t="shared" si="701"/>
        <v>2071800.0000001397</v>
      </c>
      <c r="AQ214">
        <f t="shared" si="694"/>
        <v>96</v>
      </c>
      <c r="AR214" s="13">
        <f t="shared" si="695"/>
        <v>2071800.0000001397</v>
      </c>
      <c r="AS214" s="112">
        <f t="shared" si="696"/>
        <v>96</v>
      </c>
    </row>
    <row r="215" spans="17:45" x14ac:dyDescent="0.25">
      <c r="Q215" s="127">
        <v>45248.625</v>
      </c>
      <c r="R215">
        <v>1</v>
      </c>
      <c r="S215" s="13">
        <f t="shared" si="700"/>
        <v>2080800.0000001397</v>
      </c>
      <c r="T215">
        <f t="shared" si="697"/>
        <v>96</v>
      </c>
      <c r="U215" s="13">
        <f t="shared" si="698"/>
        <v>2080800.0000001397</v>
      </c>
      <c r="V215" s="112">
        <f t="shared" si="699"/>
        <v>96</v>
      </c>
      <c r="AN215" s="127">
        <v>45248.625</v>
      </c>
      <c r="AO215">
        <v>1</v>
      </c>
      <c r="AP215" s="13">
        <f t="shared" si="701"/>
        <v>2080800.0000001397</v>
      </c>
      <c r="AQ215">
        <f t="shared" si="694"/>
        <v>96</v>
      </c>
      <c r="AR215" s="13">
        <f t="shared" si="695"/>
        <v>2080800.0000001397</v>
      </c>
      <c r="AS215" s="112">
        <f t="shared" si="696"/>
        <v>96</v>
      </c>
    </row>
    <row r="216" spans="17:45" x14ac:dyDescent="0.25">
      <c r="Q216" s="127">
        <v>45248.729166666657</v>
      </c>
      <c r="R216">
        <v>1</v>
      </c>
      <c r="S216" s="13">
        <f t="shared" si="700"/>
        <v>2089800.0000001397</v>
      </c>
      <c r="T216">
        <f t="shared" si="697"/>
        <v>96</v>
      </c>
      <c r="U216" s="13">
        <f t="shared" si="698"/>
        <v>2089800.0000001397</v>
      </c>
      <c r="V216" s="112">
        <f t="shared" si="699"/>
        <v>96</v>
      </c>
      <c r="AN216" s="127">
        <v>45248.729166666657</v>
      </c>
      <c r="AO216">
        <v>1</v>
      </c>
      <c r="AP216" s="13">
        <f t="shared" si="701"/>
        <v>2089800.0000001397</v>
      </c>
      <c r="AQ216">
        <f t="shared" si="694"/>
        <v>96</v>
      </c>
      <c r="AR216" s="13">
        <f t="shared" si="695"/>
        <v>2089800.0000001397</v>
      </c>
      <c r="AS216" s="112">
        <f t="shared" si="696"/>
        <v>96</v>
      </c>
    </row>
    <row r="217" spans="17:45" x14ac:dyDescent="0.25">
      <c r="Q217" s="127">
        <v>45248.833333333343</v>
      </c>
      <c r="R217">
        <v>1</v>
      </c>
      <c r="S217" s="13">
        <f t="shared" si="700"/>
        <v>2098800.0000001397</v>
      </c>
      <c r="T217">
        <f t="shared" si="697"/>
        <v>96</v>
      </c>
      <c r="U217" s="13">
        <f t="shared" si="698"/>
        <v>2098800.0000001397</v>
      </c>
      <c r="V217" s="112">
        <f t="shared" si="699"/>
        <v>96</v>
      </c>
      <c r="AN217" s="127">
        <v>45248.833333333343</v>
      </c>
      <c r="AO217">
        <v>1</v>
      </c>
      <c r="AP217" s="13">
        <f t="shared" si="701"/>
        <v>2098800.0000001397</v>
      </c>
      <c r="AQ217">
        <f t="shared" si="694"/>
        <v>96</v>
      </c>
      <c r="AR217" s="13">
        <f t="shared" si="695"/>
        <v>2098800.0000001397</v>
      </c>
      <c r="AS217" s="112">
        <f t="shared" si="696"/>
        <v>96</v>
      </c>
    </row>
    <row r="218" spans="17:45" x14ac:dyDescent="0.25">
      <c r="Q218" s="127">
        <v>45248.9375</v>
      </c>
      <c r="R218">
        <v>1</v>
      </c>
      <c r="S218" s="13">
        <f t="shared" si="700"/>
        <v>2107800.0000001397</v>
      </c>
      <c r="T218">
        <f t="shared" si="697"/>
        <v>96</v>
      </c>
      <c r="U218" s="13">
        <f t="shared" si="698"/>
        <v>2107800.0000001397</v>
      </c>
      <c r="V218" s="112">
        <f t="shared" si="699"/>
        <v>96</v>
      </c>
      <c r="AN218" s="127">
        <v>45248.9375</v>
      </c>
      <c r="AO218">
        <v>1</v>
      </c>
      <c r="AP218" s="13">
        <f t="shared" si="701"/>
        <v>2107800.0000001397</v>
      </c>
      <c r="AQ218">
        <f t="shared" si="694"/>
        <v>96</v>
      </c>
      <c r="AR218" s="13">
        <f t="shared" si="695"/>
        <v>2107800.0000001397</v>
      </c>
      <c r="AS218" s="112">
        <f t="shared" si="696"/>
        <v>96</v>
      </c>
    </row>
    <row r="219" spans="17:45" x14ac:dyDescent="0.25">
      <c r="Q219" s="127">
        <v>45249.041666666657</v>
      </c>
      <c r="R219">
        <v>1</v>
      </c>
      <c r="S219" s="13">
        <f t="shared" si="700"/>
        <v>2116800.0000001397</v>
      </c>
      <c r="T219">
        <f t="shared" si="697"/>
        <v>96</v>
      </c>
      <c r="U219" s="13">
        <f t="shared" si="698"/>
        <v>2116800.0000001397</v>
      </c>
      <c r="V219" s="112">
        <f t="shared" si="699"/>
        <v>96</v>
      </c>
      <c r="AN219" s="127">
        <v>45249.041666666657</v>
      </c>
      <c r="AO219">
        <v>1</v>
      </c>
      <c r="AP219" s="13">
        <f t="shared" si="701"/>
        <v>2116800.0000001397</v>
      </c>
      <c r="AQ219">
        <f t="shared" si="694"/>
        <v>96</v>
      </c>
      <c r="AR219" s="13">
        <f t="shared" si="695"/>
        <v>2116800.0000001397</v>
      </c>
      <c r="AS219" s="112">
        <f t="shared" si="696"/>
        <v>96</v>
      </c>
    </row>
    <row r="220" spans="17:45" x14ac:dyDescent="0.25">
      <c r="Q220" s="127">
        <v>45249.145833333343</v>
      </c>
      <c r="R220">
        <v>1</v>
      </c>
      <c r="S220" s="13">
        <f t="shared" si="700"/>
        <v>2125800.0000001397</v>
      </c>
      <c r="T220">
        <f t="shared" si="697"/>
        <v>96</v>
      </c>
      <c r="U220" s="13">
        <f t="shared" si="698"/>
        <v>2125800.0000001397</v>
      </c>
      <c r="V220" s="112">
        <f t="shared" si="699"/>
        <v>96</v>
      </c>
      <c r="AN220" s="127">
        <v>45249.145833333343</v>
      </c>
      <c r="AO220">
        <v>1</v>
      </c>
      <c r="AP220" s="13">
        <f t="shared" si="701"/>
        <v>2125800.0000001397</v>
      </c>
      <c r="AQ220">
        <f t="shared" si="694"/>
        <v>96</v>
      </c>
      <c r="AR220" s="13">
        <f t="shared" si="695"/>
        <v>2125800.0000001397</v>
      </c>
      <c r="AS220" s="112">
        <f t="shared" si="696"/>
        <v>96</v>
      </c>
    </row>
    <row r="221" spans="17:45" x14ac:dyDescent="0.25">
      <c r="Q221" s="127">
        <v>45249.25</v>
      </c>
      <c r="R221">
        <v>1</v>
      </c>
      <c r="S221" s="13">
        <f t="shared" si="700"/>
        <v>2134800.0000001397</v>
      </c>
      <c r="T221">
        <f t="shared" si="697"/>
        <v>96</v>
      </c>
      <c r="U221" s="13">
        <f t="shared" si="698"/>
        <v>2134800.0000001397</v>
      </c>
      <c r="V221" s="112">
        <f t="shared" si="699"/>
        <v>96</v>
      </c>
      <c r="AN221" s="127">
        <v>45249.25</v>
      </c>
      <c r="AO221">
        <v>1</v>
      </c>
      <c r="AP221" s="13">
        <f t="shared" si="701"/>
        <v>2134800.0000001397</v>
      </c>
      <c r="AQ221">
        <f t="shared" si="694"/>
        <v>96</v>
      </c>
      <c r="AR221" s="13">
        <f t="shared" si="695"/>
        <v>2134800.0000001397</v>
      </c>
      <c r="AS221" s="112">
        <f t="shared" si="696"/>
        <v>96</v>
      </c>
    </row>
    <row r="222" spans="17:45" x14ac:dyDescent="0.25">
      <c r="Q222" s="127">
        <v>45249.354166666657</v>
      </c>
      <c r="R222">
        <v>1</v>
      </c>
      <c r="S222" s="13">
        <f t="shared" si="700"/>
        <v>2143800.0000001397</v>
      </c>
      <c r="T222">
        <f t="shared" si="697"/>
        <v>96</v>
      </c>
      <c r="U222" s="13">
        <f t="shared" si="698"/>
        <v>2143800.0000001397</v>
      </c>
      <c r="V222" s="112">
        <f t="shared" si="699"/>
        <v>96</v>
      </c>
      <c r="AN222" s="127">
        <v>45249.354166666657</v>
      </c>
      <c r="AO222">
        <v>1</v>
      </c>
      <c r="AP222" s="13">
        <f t="shared" si="701"/>
        <v>2143800.0000001397</v>
      </c>
      <c r="AQ222">
        <f t="shared" si="694"/>
        <v>96</v>
      </c>
      <c r="AR222" s="13">
        <f t="shared" si="695"/>
        <v>2143800.0000001397</v>
      </c>
      <c r="AS222" s="112">
        <f t="shared" si="696"/>
        <v>96</v>
      </c>
    </row>
    <row r="223" spans="17:45" x14ac:dyDescent="0.25">
      <c r="Q223" s="127">
        <v>45249.458333333343</v>
      </c>
      <c r="R223">
        <v>1</v>
      </c>
      <c r="S223" s="13">
        <f t="shared" si="700"/>
        <v>2152800.0000001397</v>
      </c>
      <c r="T223">
        <f t="shared" si="697"/>
        <v>96</v>
      </c>
      <c r="U223" s="13">
        <f t="shared" si="698"/>
        <v>2152800.0000001397</v>
      </c>
      <c r="V223" s="112">
        <f t="shared" si="699"/>
        <v>96</v>
      </c>
      <c r="AN223" s="127">
        <v>45249.458333333343</v>
      </c>
      <c r="AO223">
        <v>1</v>
      </c>
      <c r="AP223" s="13">
        <f t="shared" si="701"/>
        <v>2152800.0000001397</v>
      </c>
      <c r="AQ223">
        <f t="shared" si="694"/>
        <v>96</v>
      </c>
      <c r="AR223" s="13">
        <f t="shared" si="695"/>
        <v>2152800.0000001397</v>
      </c>
      <c r="AS223" s="112">
        <f t="shared" si="696"/>
        <v>96</v>
      </c>
    </row>
    <row r="224" spans="17:45" x14ac:dyDescent="0.25">
      <c r="Q224" s="127">
        <v>45249.5625</v>
      </c>
      <c r="R224">
        <v>1</v>
      </c>
      <c r="S224" s="13">
        <f t="shared" si="700"/>
        <v>2161800.0000001397</v>
      </c>
      <c r="T224">
        <f t="shared" si="697"/>
        <v>96</v>
      </c>
      <c r="U224" s="13">
        <f t="shared" si="698"/>
        <v>2161800.0000001397</v>
      </c>
      <c r="V224" s="112">
        <f t="shared" si="699"/>
        <v>96</v>
      </c>
      <c r="AN224" s="127">
        <v>45249.5625</v>
      </c>
      <c r="AO224">
        <v>1</v>
      </c>
      <c r="AP224" s="13">
        <f t="shared" si="701"/>
        <v>2161800.0000001397</v>
      </c>
      <c r="AQ224">
        <f t="shared" si="694"/>
        <v>96</v>
      </c>
      <c r="AR224" s="13">
        <f t="shared" si="695"/>
        <v>2161800.0000001397</v>
      </c>
      <c r="AS224" s="112">
        <f t="shared" si="696"/>
        <v>96</v>
      </c>
    </row>
    <row r="225" spans="17:45" x14ac:dyDescent="0.25">
      <c r="Q225" s="127">
        <v>45249.666666666657</v>
      </c>
      <c r="R225">
        <v>1</v>
      </c>
      <c r="S225" s="13">
        <f t="shared" si="700"/>
        <v>2170800.0000001397</v>
      </c>
      <c r="T225">
        <f t="shared" si="697"/>
        <v>96</v>
      </c>
      <c r="U225" s="13">
        <f t="shared" si="698"/>
        <v>2170800.0000001397</v>
      </c>
      <c r="V225" s="112">
        <f t="shared" si="699"/>
        <v>96</v>
      </c>
      <c r="AN225" s="127">
        <v>45249.666666666657</v>
      </c>
      <c r="AO225">
        <v>1</v>
      </c>
      <c r="AP225" s="13">
        <f t="shared" si="701"/>
        <v>2170800.0000001397</v>
      </c>
      <c r="AQ225">
        <f t="shared" si="694"/>
        <v>96</v>
      </c>
      <c r="AR225" s="13">
        <f t="shared" si="695"/>
        <v>2170800.0000001397</v>
      </c>
      <c r="AS225" s="112">
        <f t="shared" si="696"/>
        <v>96</v>
      </c>
    </row>
    <row r="226" spans="17:45" x14ac:dyDescent="0.25">
      <c r="Q226" s="127">
        <v>45249.770833333343</v>
      </c>
      <c r="R226">
        <v>1</v>
      </c>
      <c r="S226" s="13">
        <f t="shared" si="700"/>
        <v>2179800.0000001397</v>
      </c>
      <c r="T226">
        <f t="shared" si="697"/>
        <v>96</v>
      </c>
      <c r="U226" s="13">
        <f t="shared" si="698"/>
        <v>2179800.0000001397</v>
      </c>
      <c r="V226" s="112">
        <f t="shared" si="699"/>
        <v>96</v>
      </c>
      <c r="AN226" s="127">
        <v>45249.770833333343</v>
      </c>
      <c r="AO226">
        <v>1</v>
      </c>
      <c r="AP226" s="13">
        <f t="shared" si="701"/>
        <v>2179800.0000001397</v>
      </c>
      <c r="AQ226">
        <f t="shared" si="694"/>
        <v>96</v>
      </c>
      <c r="AR226" s="13">
        <f t="shared" si="695"/>
        <v>2179800.0000001397</v>
      </c>
      <c r="AS226" s="112">
        <f t="shared" si="696"/>
        <v>96</v>
      </c>
    </row>
    <row r="227" spans="17:45" x14ac:dyDescent="0.25">
      <c r="Q227" s="127">
        <v>45249.875</v>
      </c>
      <c r="R227">
        <v>1</v>
      </c>
      <c r="S227" s="13">
        <f t="shared" si="700"/>
        <v>2188800.0000001397</v>
      </c>
      <c r="T227">
        <f t="shared" si="697"/>
        <v>96</v>
      </c>
      <c r="U227" s="13">
        <f t="shared" si="698"/>
        <v>2188800.0000001397</v>
      </c>
      <c r="V227" s="112">
        <f t="shared" si="699"/>
        <v>96</v>
      </c>
      <c r="AN227" s="127">
        <v>45249.875</v>
      </c>
      <c r="AO227">
        <v>1</v>
      </c>
      <c r="AP227" s="13">
        <f t="shared" si="701"/>
        <v>2188800.0000001397</v>
      </c>
      <c r="AQ227">
        <f t="shared" ref="AQ227:AQ290" si="702">AO227*96</f>
        <v>96</v>
      </c>
      <c r="AR227" s="13">
        <f t="shared" ref="AR227:AR290" si="703">AP227</f>
        <v>2188800.0000001397</v>
      </c>
      <c r="AS227" s="112">
        <f t="shared" ref="AS227:AS290" si="704">IF(AQ227=0,0.0000000001,AQ227)</f>
        <v>96</v>
      </c>
    </row>
    <row r="228" spans="17:45" x14ac:dyDescent="0.25">
      <c r="Q228" s="127">
        <v>45249.979166666657</v>
      </c>
      <c r="R228">
        <v>1</v>
      </c>
      <c r="S228" s="13">
        <f t="shared" si="700"/>
        <v>2197800.0000001397</v>
      </c>
      <c r="T228">
        <f t="shared" si="697"/>
        <v>96</v>
      </c>
      <c r="U228" s="13">
        <f t="shared" si="698"/>
        <v>2197800.0000001397</v>
      </c>
      <c r="V228" s="112">
        <f t="shared" si="699"/>
        <v>96</v>
      </c>
      <c r="AN228" s="127">
        <v>45249.979166666657</v>
      </c>
      <c r="AO228">
        <v>1</v>
      </c>
      <c r="AP228" s="13">
        <f t="shared" si="701"/>
        <v>2197800.0000001397</v>
      </c>
      <c r="AQ228">
        <f t="shared" si="702"/>
        <v>96</v>
      </c>
      <c r="AR228" s="13">
        <f t="shared" si="703"/>
        <v>2197800.0000001397</v>
      </c>
      <c r="AS228" s="112">
        <f t="shared" si="704"/>
        <v>96</v>
      </c>
    </row>
    <row r="229" spans="17:45" x14ac:dyDescent="0.25">
      <c r="Q229" s="127">
        <v>45250.083333333343</v>
      </c>
      <c r="R229">
        <v>1</v>
      </c>
      <c r="S229" s="13">
        <f t="shared" si="700"/>
        <v>2206800.0000001397</v>
      </c>
      <c r="T229">
        <f t="shared" si="697"/>
        <v>96</v>
      </c>
      <c r="U229" s="13">
        <f t="shared" si="698"/>
        <v>2206800.0000001397</v>
      </c>
      <c r="V229" s="112">
        <f t="shared" si="699"/>
        <v>96</v>
      </c>
      <c r="AN229" s="127">
        <v>45250.083333333343</v>
      </c>
      <c r="AO229">
        <v>1</v>
      </c>
      <c r="AP229" s="13">
        <f t="shared" si="701"/>
        <v>2206800.0000001397</v>
      </c>
      <c r="AQ229">
        <f t="shared" si="702"/>
        <v>96</v>
      </c>
      <c r="AR229" s="13">
        <f t="shared" si="703"/>
        <v>2206800.0000001397</v>
      </c>
      <c r="AS229" s="112">
        <f t="shared" si="704"/>
        <v>96</v>
      </c>
    </row>
    <row r="230" spans="17:45" x14ac:dyDescent="0.25">
      <c r="Q230" s="127">
        <v>45250.1875</v>
      </c>
      <c r="R230">
        <v>1</v>
      </c>
      <c r="S230" s="13">
        <f t="shared" si="700"/>
        <v>2215800.0000001397</v>
      </c>
      <c r="T230">
        <f t="shared" si="697"/>
        <v>96</v>
      </c>
      <c r="U230" s="13">
        <f t="shared" si="698"/>
        <v>2215800.0000001397</v>
      </c>
      <c r="V230" s="112">
        <f t="shared" si="699"/>
        <v>96</v>
      </c>
      <c r="AN230" s="127">
        <v>45250.1875</v>
      </c>
      <c r="AO230">
        <v>1</v>
      </c>
      <c r="AP230" s="13">
        <f t="shared" si="701"/>
        <v>2215800.0000001397</v>
      </c>
      <c r="AQ230">
        <f t="shared" si="702"/>
        <v>96</v>
      </c>
      <c r="AR230" s="13">
        <f t="shared" si="703"/>
        <v>2215800.0000001397</v>
      </c>
      <c r="AS230" s="112">
        <f t="shared" si="704"/>
        <v>96</v>
      </c>
    </row>
    <row r="231" spans="17:45" x14ac:dyDescent="0.25">
      <c r="Q231" s="127">
        <v>45250.291666666657</v>
      </c>
      <c r="R231">
        <v>1</v>
      </c>
      <c r="S231" s="13">
        <f t="shared" si="700"/>
        <v>2224800.0000001397</v>
      </c>
      <c r="T231">
        <f t="shared" si="697"/>
        <v>96</v>
      </c>
      <c r="U231" s="13">
        <f t="shared" si="698"/>
        <v>2224800.0000001397</v>
      </c>
      <c r="V231" s="112">
        <f t="shared" si="699"/>
        <v>96</v>
      </c>
      <c r="AN231" s="127">
        <v>45250.291666666657</v>
      </c>
      <c r="AO231">
        <v>1</v>
      </c>
      <c r="AP231" s="13">
        <f t="shared" si="701"/>
        <v>2224800.0000001397</v>
      </c>
      <c r="AQ231">
        <f t="shared" si="702"/>
        <v>96</v>
      </c>
      <c r="AR231" s="13">
        <f t="shared" si="703"/>
        <v>2224800.0000001397</v>
      </c>
      <c r="AS231" s="112">
        <f t="shared" si="704"/>
        <v>96</v>
      </c>
    </row>
    <row r="232" spans="17:45" x14ac:dyDescent="0.25">
      <c r="Q232" s="127">
        <v>45250.395833333343</v>
      </c>
      <c r="R232">
        <v>1</v>
      </c>
      <c r="S232" s="13">
        <f t="shared" si="700"/>
        <v>2233800.0000001397</v>
      </c>
      <c r="T232">
        <f t="shared" si="697"/>
        <v>96</v>
      </c>
      <c r="U232" s="13">
        <f t="shared" si="698"/>
        <v>2233800.0000001397</v>
      </c>
      <c r="V232" s="112">
        <f t="shared" si="699"/>
        <v>96</v>
      </c>
      <c r="AN232" s="127">
        <v>45250.395833333343</v>
      </c>
      <c r="AO232">
        <v>1</v>
      </c>
      <c r="AP232" s="13">
        <f t="shared" si="701"/>
        <v>2233800.0000001397</v>
      </c>
      <c r="AQ232">
        <f t="shared" si="702"/>
        <v>96</v>
      </c>
      <c r="AR232" s="13">
        <f t="shared" si="703"/>
        <v>2233800.0000001397</v>
      </c>
      <c r="AS232" s="112">
        <f t="shared" si="704"/>
        <v>96</v>
      </c>
    </row>
    <row r="233" spans="17:45" x14ac:dyDescent="0.25">
      <c r="Q233" s="127">
        <v>45250.5</v>
      </c>
      <c r="R233">
        <v>1</v>
      </c>
      <c r="S233" s="13">
        <f t="shared" si="700"/>
        <v>2242800.0000001397</v>
      </c>
      <c r="T233">
        <f t="shared" si="697"/>
        <v>96</v>
      </c>
      <c r="U233" s="13">
        <f t="shared" si="698"/>
        <v>2242800.0000001397</v>
      </c>
      <c r="V233" s="112">
        <f t="shared" si="699"/>
        <v>96</v>
      </c>
      <c r="AN233" s="127">
        <v>45250.5</v>
      </c>
      <c r="AO233">
        <v>1</v>
      </c>
      <c r="AP233" s="13">
        <f t="shared" si="701"/>
        <v>2242800.0000001397</v>
      </c>
      <c r="AQ233">
        <f t="shared" si="702"/>
        <v>96</v>
      </c>
      <c r="AR233" s="13">
        <f t="shared" si="703"/>
        <v>2242800.0000001397</v>
      </c>
      <c r="AS233" s="112">
        <f t="shared" si="704"/>
        <v>96</v>
      </c>
    </row>
    <row r="234" spans="17:45" x14ac:dyDescent="0.25">
      <c r="Q234" s="127">
        <v>45250.604166666657</v>
      </c>
      <c r="R234">
        <v>1</v>
      </c>
      <c r="S234" s="13">
        <f t="shared" si="700"/>
        <v>2251800.0000001397</v>
      </c>
      <c r="T234">
        <f t="shared" si="697"/>
        <v>96</v>
      </c>
      <c r="U234" s="13">
        <f t="shared" si="698"/>
        <v>2251800.0000001397</v>
      </c>
      <c r="V234" s="112">
        <f t="shared" si="699"/>
        <v>96</v>
      </c>
      <c r="AN234" s="127">
        <v>45250.604166666657</v>
      </c>
      <c r="AO234">
        <v>1</v>
      </c>
      <c r="AP234" s="13">
        <f t="shared" si="701"/>
        <v>2251800.0000001397</v>
      </c>
      <c r="AQ234">
        <f t="shared" si="702"/>
        <v>96</v>
      </c>
      <c r="AR234" s="13">
        <f t="shared" si="703"/>
        <v>2251800.0000001397</v>
      </c>
      <c r="AS234" s="112">
        <f t="shared" si="704"/>
        <v>96</v>
      </c>
    </row>
    <row r="235" spans="17:45" x14ac:dyDescent="0.25">
      <c r="Q235" s="127">
        <v>45250.708333333343</v>
      </c>
      <c r="R235">
        <v>1</v>
      </c>
      <c r="S235" s="13">
        <f t="shared" si="700"/>
        <v>2260800.0000001397</v>
      </c>
      <c r="T235">
        <f t="shared" si="697"/>
        <v>96</v>
      </c>
      <c r="U235" s="13">
        <f t="shared" si="698"/>
        <v>2260800.0000001397</v>
      </c>
      <c r="V235" s="112">
        <f t="shared" si="699"/>
        <v>96</v>
      </c>
      <c r="AN235" s="127">
        <v>45250.708333333343</v>
      </c>
      <c r="AO235">
        <v>1</v>
      </c>
      <c r="AP235" s="13">
        <f t="shared" si="701"/>
        <v>2260800.0000001397</v>
      </c>
      <c r="AQ235">
        <f t="shared" si="702"/>
        <v>96</v>
      </c>
      <c r="AR235" s="13">
        <f t="shared" si="703"/>
        <v>2260800.0000001397</v>
      </c>
      <c r="AS235" s="112">
        <f t="shared" si="704"/>
        <v>96</v>
      </c>
    </row>
    <row r="236" spans="17:45" x14ac:dyDescent="0.25">
      <c r="Q236" s="127">
        <v>45250.8125</v>
      </c>
      <c r="R236">
        <v>1</v>
      </c>
      <c r="S236" s="13">
        <f t="shared" si="700"/>
        <v>2269800.0000001397</v>
      </c>
      <c r="T236">
        <f t="shared" si="697"/>
        <v>96</v>
      </c>
      <c r="U236" s="13">
        <f t="shared" si="698"/>
        <v>2269800.0000001397</v>
      </c>
      <c r="V236" s="112">
        <f t="shared" si="699"/>
        <v>96</v>
      </c>
      <c r="AN236" s="127">
        <v>45250.8125</v>
      </c>
      <c r="AO236">
        <v>1</v>
      </c>
      <c r="AP236" s="13">
        <f t="shared" si="701"/>
        <v>2269800.0000001397</v>
      </c>
      <c r="AQ236">
        <f t="shared" si="702"/>
        <v>96</v>
      </c>
      <c r="AR236" s="13">
        <f t="shared" si="703"/>
        <v>2269800.0000001397</v>
      </c>
      <c r="AS236" s="112">
        <f t="shared" si="704"/>
        <v>96</v>
      </c>
    </row>
    <row r="237" spans="17:45" x14ac:dyDescent="0.25">
      <c r="Q237" s="127">
        <v>45250.916666666657</v>
      </c>
      <c r="R237">
        <v>1</v>
      </c>
      <c r="S237" s="13">
        <f t="shared" si="700"/>
        <v>2278800.0000001397</v>
      </c>
      <c r="T237">
        <f t="shared" si="697"/>
        <v>96</v>
      </c>
      <c r="U237" s="13">
        <f t="shared" si="698"/>
        <v>2278800.0000001397</v>
      </c>
      <c r="V237" s="112">
        <f t="shared" si="699"/>
        <v>96</v>
      </c>
      <c r="AN237" s="127">
        <v>45250.916666666657</v>
      </c>
      <c r="AO237">
        <v>1</v>
      </c>
      <c r="AP237" s="13">
        <f t="shared" si="701"/>
        <v>2278800.0000001397</v>
      </c>
      <c r="AQ237">
        <f t="shared" si="702"/>
        <v>96</v>
      </c>
      <c r="AR237" s="13">
        <f t="shared" si="703"/>
        <v>2278800.0000001397</v>
      </c>
      <c r="AS237" s="112">
        <f t="shared" si="704"/>
        <v>96</v>
      </c>
    </row>
    <row r="238" spans="17:45" x14ac:dyDescent="0.25">
      <c r="Q238" s="127">
        <v>45251.020833333343</v>
      </c>
      <c r="R238">
        <v>1</v>
      </c>
      <c r="S238" s="13">
        <f t="shared" si="700"/>
        <v>2287800.0000001397</v>
      </c>
      <c r="T238">
        <f t="shared" si="697"/>
        <v>96</v>
      </c>
      <c r="U238" s="13">
        <f t="shared" si="698"/>
        <v>2287800.0000001397</v>
      </c>
      <c r="V238" s="112">
        <f t="shared" si="699"/>
        <v>96</v>
      </c>
      <c r="AN238" s="127">
        <v>45251.020833333343</v>
      </c>
      <c r="AO238">
        <v>1</v>
      </c>
      <c r="AP238" s="13">
        <f t="shared" si="701"/>
        <v>2287800.0000001397</v>
      </c>
      <c r="AQ238">
        <f t="shared" si="702"/>
        <v>96</v>
      </c>
      <c r="AR238" s="13">
        <f t="shared" si="703"/>
        <v>2287800.0000001397</v>
      </c>
      <c r="AS238" s="112">
        <f t="shared" si="704"/>
        <v>96</v>
      </c>
    </row>
    <row r="239" spans="17:45" x14ac:dyDescent="0.25">
      <c r="Q239" s="127">
        <v>45251.125</v>
      </c>
      <c r="R239">
        <v>1</v>
      </c>
      <c r="S239" s="13">
        <f t="shared" si="700"/>
        <v>2296800.0000001397</v>
      </c>
      <c r="T239">
        <f t="shared" si="697"/>
        <v>96</v>
      </c>
      <c r="U239" s="13">
        <f t="shared" si="698"/>
        <v>2296800.0000001397</v>
      </c>
      <c r="V239" s="112">
        <f t="shared" si="699"/>
        <v>96</v>
      </c>
      <c r="AN239" s="127">
        <v>45251.125</v>
      </c>
      <c r="AO239">
        <v>1</v>
      </c>
      <c r="AP239" s="13">
        <f t="shared" si="701"/>
        <v>2296800.0000001397</v>
      </c>
      <c r="AQ239">
        <f t="shared" si="702"/>
        <v>96</v>
      </c>
      <c r="AR239" s="13">
        <f t="shared" si="703"/>
        <v>2296800.0000001397</v>
      </c>
      <c r="AS239" s="112">
        <f t="shared" si="704"/>
        <v>96</v>
      </c>
    </row>
    <row r="240" spans="17:45" x14ac:dyDescent="0.25">
      <c r="Q240" s="127">
        <v>45251.229166666657</v>
      </c>
      <c r="R240">
        <v>1</v>
      </c>
      <c r="S240" s="13">
        <f t="shared" si="700"/>
        <v>2305800.0000001397</v>
      </c>
      <c r="T240">
        <f t="shared" si="697"/>
        <v>96</v>
      </c>
      <c r="U240" s="13">
        <f t="shared" si="698"/>
        <v>2305800.0000001397</v>
      </c>
      <c r="V240" s="112">
        <f t="shared" si="699"/>
        <v>96</v>
      </c>
      <c r="AN240" s="127">
        <v>45251.229166666657</v>
      </c>
      <c r="AO240">
        <v>1</v>
      </c>
      <c r="AP240" s="13">
        <f t="shared" si="701"/>
        <v>2305800.0000001397</v>
      </c>
      <c r="AQ240">
        <f t="shared" si="702"/>
        <v>96</v>
      </c>
      <c r="AR240" s="13">
        <f t="shared" si="703"/>
        <v>2305800.0000001397</v>
      </c>
      <c r="AS240" s="112">
        <f t="shared" si="704"/>
        <v>96</v>
      </c>
    </row>
    <row r="241" spans="17:45" x14ac:dyDescent="0.25">
      <c r="Q241" s="127">
        <v>45251.333333333343</v>
      </c>
      <c r="R241">
        <v>1</v>
      </c>
      <c r="S241" s="13">
        <f t="shared" si="700"/>
        <v>2314800.0000001397</v>
      </c>
      <c r="T241">
        <f t="shared" si="697"/>
        <v>96</v>
      </c>
      <c r="U241" s="13">
        <f t="shared" si="698"/>
        <v>2314800.0000001397</v>
      </c>
      <c r="V241" s="112">
        <f t="shared" si="699"/>
        <v>96</v>
      </c>
      <c r="AN241" s="127">
        <v>45251.333333333343</v>
      </c>
      <c r="AO241">
        <v>1</v>
      </c>
      <c r="AP241" s="13">
        <f t="shared" si="701"/>
        <v>2314800.0000001397</v>
      </c>
      <c r="AQ241">
        <f t="shared" si="702"/>
        <v>96</v>
      </c>
      <c r="AR241" s="13">
        <f t="shared" si="703"/>
        <v>2314800.0000001397</v>
      </c>
      <c r="AS241" s="112">
        <f t="shared" si="704"/>
        <v>96</v>
      </c>
    </row>
    <row r="242" spans="17:45" x14ac:dyDescent="0.25">
      <c r="Q242" s="127">
        <v>45251.4375</v>
      </c>
      <c r="R242">
        <v>1</v>
      </c>
      <c r="S242" s="13">
        <f t="shared" si="700"/>
        <v>2323800.0000001397</v>
      </c>
      <c r="T242">
        <f t="shared" si="697"/>
        <v>96</v>
      </c>
      <c r="U242" s="13">
        <f t="shared" si="698"/>
        <v>2323800.0000001397</v>
      </c>
      <c r="V242" s="112">
        <f t="shared" si="699"/>
        <v>96</v>
      </c>
      <c r="AN242" s="127">
        <v>45251.4375</v>
      </c>
      <c r="AO242">
        <v>1</v>
      </c>
      <c r="AP242" s="13">
        <f t="shared" si="701"/>
        <v>2323800.0000001397</v>
      </c>
      <c r="AQ242">
        <f t="shared" si="702"/>
        <v>96</v>
      </c>
      <c r="AR242" s="13">
        <f t="shared" si="703"/>
        <v>2323800.0000001397</v>
      </c>
      <c r="AS242" s="112">
        <f t="shared" si="704"/>
        <v>96</v>
      </c>
    </row>
    <row r="243" spans="17:45" x14ac:dyDescent="0.25">
      <c r="Q243" s="127">
        <v>45251.541666666657</v>
      </c>
      <c r="R243">
        <v>1</v>
      </c>
      <c r="S243" s="13">
        <f t="shared" si="700"/>
        <v>2332800.0000001397</v>
      </c>
      <c r="T243">
        <f t="shared" si="697"/>
        <v>96</v>
      </c>
      <c r="U243" s="13">
        <f t="shared" si="698"/>
        <v>2332800.0000001397</v>
      </c>
      <c r="V243" s="112">
        <f t="shared" si="699"/>
        <v>96</v>
      </c>
      <c r="AN243" s="127">
        <v>45251.541666666657</v>
      </c>
      <c r="AO243">
        <v>1</v>
      </c>
      <c r="AP243" s="13">
        <f t="shared" si="701"/>
        <v>2332800.0000001397</v>
      </c>
      <c r="AQ243">
        <f t="shared" si="702"/>
        <v>96</v>
      </c>
      <c r="AR243" s="13">
        <f t="shared" si="703"/>
        <v>2332800.0000001397</v>
      </c>
      <c r="AS243" s="112">
        <f t="shared" si="704"/>
        <v>96</v>
      </c>
    </row>
    <row r="244" spans="17:45" x14ac:dyDescent="0.25">
      <c r="Q244" s="127">
        <v>45251.645833333343</v>
      </c>
      <c r="R244">
        <v>0</v>
      </c>
      <c r="S244" s="13">
        <f t="shared" si="700"/>
        <v>2341800.0000001397</v>
      </c>
      <c r="T244">
        <f t="shared" si="697"/>
        <v>0</v>
      </c>
      <c r="U244" s="13">
        <f t="shared" si="698"/>
        <v>2341800.0000001397</v>
      </c>
      <c r="V244" s="112">
        <f t="shared" si="699"/>
        <v>1E-10</v>
      </c>
      <c r="AN244" s="127">
        <v>45251.645833333343</v>
      </c>
      <c r="AO244">
        <v>1</v>
      </c>
      <c r="AP244" s="13">
        <f t="shared" si="701"/>
        <v>2341800.0000001397</v>
      </c>
      <c r="AQ244">
        <f t="shared" si="702"/>
        <v>96</v>
      </c>
      <c r="AR244" s="13">
        <f t="shared" si="703"/>
        <v>2341800.0000001397</v>
      </c>
      <c r="AS244" s="112">
        <f t="shared" si="704"/>
        <v>96</v>
      </c>
    </row>
    <row r="245" spans="17:45" x14ac:dyDescent="0.25">
      <c r="Q245" s="127">
        <v>45251.75</v>
      </c>
      <c r="R245">
        <v>1</v>
      </c>
      <c r="S245" s="13">
        <f t="shared" si="700"/>
        <v>2350800.0000001397</v>
      </c>
      <c r="T245">
        <f t="shared" si="697"/>
        <v>96</v>
      </c>
      <c r="U245" s="13">
        <f t="shared" si="698"/>
        <v>2350800.0000001397</v>
      </c>
      <c r="V245" s="112">
        <f t="shared" si="699"/>
        <v>96</v>
      </c>
      <c r="AN245" s="127">
        <v>45251.75</v>
      </c>
      <c r="AO245">
        <v>1</v>
      </c>
      <c r="AP245" s="13">
        <f t="shared" si="701"/>
        <v>2350800.0000001397</v>
      </c>
      <c r="AQ245">
        <f t="shared" si="702"/>
        <v>96</v>
      </c>
      <c r="AR245" s="13">
        <f t="shared" si="703"/>
        <v>2350800.0000001397</v>
      </c>
      <c r="AS245" s="112">
        <f t="shared" si="704"/>
        <v>96</v>
      </c>
    </row>
    <row r="246" spans="17:45" x14ac:dyDescent="0.25">
      <c r="Q246" s="127">
        <v>45251.854166666657</v>
      </c>
      <c r="R246">
        <v>1</v>
      </c>
      <c r="S246" s="13">
        <f t="shared" si="700"/>
        <v>2359800.0000001397</v>
      </c>
      <c r="T246">
        <f t="shared" si="697"/>
        <v>96</v>
      </c>
      <c r="U246" s="13">
        <f t="shared" si="698"/>
        <v>2359800.0000001397</v>
      </c>
      <c r="V246" s="112">
        <f t="shared" si="699"/>
        <v>96</v>
      </c>
      <c r="AN246" s="127">
        <v>45251.854166666657</v>
      </c>
      <c r="AO246">
        <v>1</v>
      </c>
      <c r="AP246" s="13">
        <f t="shared" si="701"/>
        <v>2359800.0000001397</v>
      </c>
      <c r="AQ246">
        <f t="shared" si="702"/>
        <v>96</v>
      </c>
      <c r="AR246" s="13">
        <f t="shared" si="703"/>
        <v>2359800.0000001397</v>
      </c>
      <c r="AS246" s="112">
        <f t="shared" si="704"/>
        <v>96</v>
      </c>
    </row>
    <row r="247" spans="17:45" x14ac:dyDescent="0.25">
      <c r="Q247" s="127">
        <v>45251.958333333343</v>
      </c>
      <c r="R247">
        <v>1</v>
      </c>
      <c r="S247" s="13">
        <f t="shared" si="700"/>
        <v>2368800.0000001397</v>
      </c>
      <c r="T247">
        <f t="shared" si="697"/>
        <v>96</v>
      </c>
      <c r="U247" s="13">
        <f t="shared" si="698"/>
        <v>2368800.0000001397</v>
      </c>
      <c r="V247" s="112">
        <f t="shared" si="699"/>
        <v>96</v>
      </c>
      <c r="AN247" s="127">
        <v>45251.958333333343</v>
      </c>
      <c r="AO247">
        <v>1</v>
      </c>
      <c r="AP247" s="13">
        <f t="shared" si="701"/>
        <v>2368800.0000001397</v>
      </c>
      <c r="AQ247">
        <f t="shared" si="702"/>
        <v>96</v>
      </c>
      <c r="AR247" s="13">
        <f t="shared" si="703"/>
        <v>2368800.0000001397</v>
      </c>
      <c r="AS247" s="112">
        <f t="shared" si="704"/>
        <v>96</v>
      </c>
    </row>
    <row r="248" spans="17:45" x14ac:dyDescent="0.25">
      <c r="Q248" s="127">
        <v>45252.0625</v>
      </c>
      <c r="R248">
        <v>1</v>
      </c>
      <c r="S248" s="13">
        <f t="shared" si="700"/>
        <v>2377800.0000001397</v>
      </c>
      <c r="T248">
        <f t="shared" si="697"/>
        <v>96</v>
      </c>
      <c r="U248" s="13">
        <f t="shared" si="698"/>
        <v>2377800.0000001397</v>
      </c>
      <c r="V248" s="112">
        <f t="shared" si="699"/>
        <v>96</v>
      </c>
      <c r="AN248" s="127">
        <v>45252.0625</v>
      </c>
      <c r="AO248">
        <v>1</v>
      </c>
      <c r="AP248" s="13">
        <f t="shared" si="701"/>
        <v>2377800.0000001397</v>
      </c>
      <c r="AQ248">
        <f t="shared" si="702"/>
        <v>96</v>
      </c>
      <c r="AR248" s="13">
        <f t="shared" si="703"/>
        <v>2377800.0000001397</v>
      </c>
      <c r="AS248" s="112">
        <f t="shared" si="704"/>
        <v>96</v>
      </c>
    </row>
    <row r="249" spans="17:45" x14ac:dyDescent="0.25">
      <c r="Q249" s="127">
        <v>45252.166666666657</v>
      </c>
      <c r="R249">
        <v>1</v>
      </c>
      <c r="S249" s="13">
        <f t="shared" si="700"/>
        <v>2386800.0000001397</v>
      </c>
      <c r="T249">
        <f t="shared" si="697"/>
        <v>96</v>
      </c>
      <c r="U249" s="13">
        <f t="shared" si="698"/>
        <v>2386800.0000001397</v>
      </c>
      <c r="V249" s="112">
        <f t="shared" si="699"/>
        <v>96</v>
      </c>
      <c r="AN249" s="127">
        <v>45252.166666666657</v>
      </c>
      <c r="AO249">
        <v>1</v>
      </c>
      <c r="AP249" s="13">
        <f t="shared" si="701"/>
        <v>2386800.0000001397</v>
      </c>
      <c r="AQ249">
        <f t="shared" si="702"/>
        <v>96</v>
      </c>
      <c r="AR249" s="13">
        <f t="shared" si="703"/>
        <v>2386800.0000001397</v>
      </c>
      <c r="AS249" s="112">
        <f t="shared" si="704"/>
        <v>96</v>
      </c>
    </row>
    <row r="250" spans="17:45" x14ac:dyDescent="0.25">
      <c r="Q250" s="127">
        <v>45252.270833333343</v>
      </c>
      <c r="R250">
        <v>1</v>
      </c>
      <c r="S250" s="13">
        <f t="shared" si="700"/>
        <v>2395800.0000001397</v>
      </c>
      <c r="T250">
        <f t="shared" si="697"/>
        <v>96</v>
      </c>
      <c r="U250" s="13">
        <f t="shared" si="698"/>
        <v>2395800.0000001397</v>
      </c>
      <c r="V250" s="112">
        <f t="shared" si="699"/>
        <v>96</v>
      </c>
      <c r="AN250" s="127">
        <v>45252.270833333343</v>
      </c>
      <c r="AO250">
        <v>1</v>
      </c>
      <c r="AP250" s="13">
        <f t="shared" si="701"/>
        <v>2395800.0000001397</v>
      </c>
      <c r="AQ250">
        <f t="shared" si="702"/>
        <v>96</v>
      </c>
      <c r="AR250" s="13">
        <f t="shared" si="703"/>
        <v>2395800.0000001397</v>
      </c>
      <c r="AS250" s="112">
        <f t="shared" si="704"/>
        <v>96</v>
      </c>
    </row>
    <row r="251" spans="17:45" x14ac:dyDescent="0.25">
      <c r="Q251" s="127">
        <v>45252.375</v>
      </c>
      <c r="R251">
        <v>7</v>
      </c>
      <c r="S251" s="13">
        <f t="shared" si="700"/>
        <v>2404800.0000001397</v>
      </c>
      <c r="T251">
        <f t="shared" si="697"/>
        <v>672</v>
      </c>
      <c r="U251" s="13">
        <f t="shared" si="698"/>
        <v>2404800.0000001397</v>
      </c>
      <c r="V251" s="112">
        <f t="shared" si="699"/>
        <v>672</v>
      </c>
      <c r="AN251" s="127">
        <v>45252.375</v>
      </c>
      <c r="AO251">
        <v>2</v>
      </c>
      <c r="AP251" s="13">
        <f t="shared" si="701"/>
        <v>2404800.0000001397</v>
      </c>
      <c r="AQ251">
        <f t="shared" si="702"/>
        <v>192</v>
      </c>
      <c r="AR251" s="13">
        <f t="shared" si="703"/>
        <v>2404800.0000001397</v>
      </c>
      <c r="AS251" s="112">
        <f t="shared" si="704"/>
        <v>192</v>
      </c>
    </row>
    <row r="252" spans="17:45" x14ac:dyDescent="0.25">
      <c r="Q252" s="127">
        <v>45252.479166666657</v>
      </c>
      <c r="R252">
        <v>39</v>
      </c>
      <c r="S252" s="13">
        <f t="shared" si="700"/>
        <v>2413800.0000001397</v>
      </c>
      <c r="T252">
        <f t="shared" si="697"/>
        <v>3744</v>
      </c>
      <c r="U252" s="13">
        <f t="shared" si="698"/>
        <v>2413800.0000001397</v>
      </c>
      <c r="V252" s="112">
        <f t="shared" si="699"/>
        <v>3744</v>
      </c>
      <c r="AN252" s="127">
        <v>45252.479166666657</v>
      </c>
      <c r="AO252">
        <v>1</v>
      </c>
      <c r="AP252" s="13">
        <f t="shared" si="701"/>
        <v>2413800.0000001397</v>
      </c>
      <c r="AQ252">
        <f t="shared" si="702"/>
        <v>96</v>
      </c>
      <c r="AR252" s="13">
        <f t="shared" si="703"/>
        <v>2413800.0000001397</v>
      </c>
      <c r="AS252" s="112">
        <f t="shared" si="704"/>
        <v>96</v>
      </c>
    </row>
    <row r="253" spans="17:45" x14ac:dyDescent="0.25">
      <c r="Q253" s="127">
        <v>45252.583333333343</v>
      </c>
      <c r="R253">
        <v>1</v>
      </c>
      <c r="S253" s="13">
        <f t="shared" si="700"/>
        <v>2422800.0000001397</v>
      </c>
      <c r="T253">
        <f t="shared" si="697"/>
        <v>96</v>
      </c>
      <c r="U253" s="13">
        <f t="shared" si="698"/>
        <v>2422800.0000001397</v>
      </c>
      <c r="V253" s="112">
        <f t="shared" si="699"/>
        <v>96</v>
      </c>
      <c r="AN253" s="127">
        <v>45252.583333333343</v>
      </c>
      <c r="AO253">
        <v>1</v>
      </c>
      <c r="AP253" s="13">
        <f t="shared" si="701"/>
        <v>2422800.0000001397</v>
      </c>
      <c r="AQ253">
        <f t="shared" si="702"/>
        <v>96</v>
      </c>
      <c r="AR253" s="13">
        <f t="shared" si="703"/>
        <v>2422800.0000001397</v>
      </c>
      <c r="AS253" s="112">
        <f t="shared" si="704"/>
        <v>96</v>
      </c>
    </row>
    <row r="254" spans="17:45" x14ac:dyDescent="0.25">
      <c r="Q254" s="127">
        <v>45252.6875</v>
      </c>
      <c r="R254">
        <v>1</v>
      </c>
      <c r="S254" s="13">
        <f t="shared" si="700"/>
        <v>2431800.0000001397</v>
      </c>
      <c r="T254">
        <f t="shared" si="697"/>
        <v>96</v>
      </c>
      <c r="U254" s="13">
        <f t="shared" si="698"/>
        <v>2431800.0000001397</v>
      </c>
      <c r="V254" s="112">
        <f t="shared" si="699"/>
        <v>96</v>
      </c>
      <c r="AN254" s="127">
        <v>45252.6875</v>
      </c>
      <c r="AO254">
        <v>1</v>
      </c>
      <c r="AP254" s="13">
        <f t="shared" si="701"/>
        <v>2431800.0000001397</v>
      </c>
      <c r="AQ254">
        <f t="shared" si="702"/>
        <v>96</v>
      </c>
      <c r="AR254" s="13">
        <f t="shared" si="703"/>
        <v>2431800.0000001397</v>
      </c>
      <c r="AS254" s="112">
        <f t="shared" si="704"/>
        <v>96</v>
      </c>
    </row>
    <row r="255" spans="17:45" x14ac:dyDescent="0.25">
      <c r="Q255" s="127">
        <v>45252.791666666657</v>
      </c>
      <c r="R255">
        <v>1</v>
      </c>
      <c r="S255" s="13">
        <f t="shared" si="700"/>
        <v>2440800.0000001397</v>
      </c>
      <c r="T255">
        <f t="shared" si="697"/>
        <v>96</v>
      </c>
      <c r="U255" s="13">
        <f t="shared" si="698"/>
        <v>2440800.0000001397</v>
      </c>
      <c r="V255" s="112">
        <f t="shared" si="699"/>
        <v>96</v>
      </c>
      <c r="AN255" s="127">
        <v>45252.791666666657</v>
      </c>
      <c r="AO255">
        <v>1</v>
      </c>
      <c r="AP255" s="13">
        <f t="shared" si="701"/>
        <v>2440800.0000001397</v>
      </c>
      <c r="AQ255">
        <f t="shared" si="702"/>
        <v>96</v>
      </c>
      <c r="AR255" s="13">
        <f t="shared" si="703"/>
        <v>2440800.0000001397</v>
      </c>
      <c r="AS255" s="112">
        <f t="shared" si="704"/>
        <v>96</v>
      </c>
    </row>
    <row r="256" spans="17:45" x14ac:dyDescent="0.25">
      <c r="Q256" s="127">
        <v>45252.895833333343</v>
      </c>
      <c r="R256">
        <v>1</v>
      </c>
      <c r="S256" s="13">
        <f t="shared" si="700"/>
        <v>2449800.0000001397</v>
      </c>
      <c r="T256">
        <f t="shared" si="697"/>
        <v>96</v>
      </c>
      <c r="U256" s="13">
        <f t="shared" si="698"/>
        <v>2449800.0000001397</v>
      </c>
      <c r="V256" s="112">
        <f t="shared" si="699"/>
        <v>96</v>
      </c>
      <c r="AN256" s="127">
        <v>45252.895833333343</v>
      </c>
      <c r="AO256">
        <v>1</v>
      </c>
      <c r="AP256" s="13">
        <f t="shared" si="701"/>
        <v>2449800.0000001397</v>
      </c>
      <c r="AQ256">
        <f t="shared" si="702"/>
        <v>96</v>
      </c>
      <c r="AR256" s="13">
        <f t="shared" si="703"/>
        <v>2449800.0000001397</v>
      </c>
      <c r="AS256" s="112">
        <f t="shared" si="704"/>
        <v>96</v>
      </c>
    </row>
    <row r="257" spans="17:45" x14ac:dyDescent="0.25">
      <c r="Q257" s="127">
        <v>45253</v>
      </c>
      <c r="R257">
        <v>0</v>
      </c>
      <c r="S257" s="13">
        <f t="shared" si="700"/>
        <v>2458800.0000001397</v>
      </c>
      <c r="T257">
        <f t="shared" si="697"/>
        <v>0</v>
      </c>
      <c r="U257" s="13">
        <f t="shared" si="698"/>
        <v>2458800.0000001397</v>
      </c>
      <c r="V257" s="112">
        <f t="shared" si="699"/>
        <v>1E-10</v>
      </c>
      <c r="AN257" s="127">
        <v>45253</v>
      </c>
      <c r="AO257">
        <v>1</v>
      </c>
      <c r="AP257" s="13">
        <f t="shared" si="701"/>
        <v>2458800.0000001397</v>
      </c>
      <c r="AQ257">
        <f t="shared" si="702"/>
        <v>96</v>
      </c>
      <c r="AR257" s="13">
        <f t="shared" si="703"/>
        <v>2458800.0000001397</v>
      </c>
      <c r="AS257" s="112">
        <f t="shared" si="704"/>
        <v>96</v>
      </c>
    </row>
    <row r="258" spans="17:45" x14ac:dyDescent="0.25">
      <c r="Q258" s="127">
        <v>45253.104166666657</v>
      </c>
      <c r="R258">
        <v>1</v>
      </c>
      <c r="S258" s="13">
        <f t="shared" si="700"/>
        <v>2467800.0000001397</v>
      </c>
      <c r="T258">
        <f t="shared" si="697"/>
        <v>96</v>
      </c>
      <c r="U258" s="13">
        <f t="shared" si="698"/>
        <v>2467800.0000001397</v>
      </c>
      <c r="V258" s="112">
        <f t="shared" si="699"/>
        <v>96</v>
      </c>
      <c r="AN258" s="127">
        <v>45253.104166666657</v>
      </c>
      <c r="AO258">
        <v>1</v>
      </c>
      <c r="AP258" s="13">
        <f t="shared" si="701"/>
        <v>2467800.0000001397</v>
      </c>
      <c r="AQ258">
        <f t="shared" si="702"/>
        <v>96</v>
      </c>
      <c r="AR258" s="13">
        <f t="shared" si="703"/>
        <v>2467800.0000001397</v>
      </c>
      <c r="AS258" s="112">
        <f t="shared" si="704"/>
        <v>96</v>
      </c>
    </row>
    <row r="259" spans="17:45" x14ac:dyDescent="0.25">
      <c r="Q259" s="127">
        <v>45253.208333333343</v>
      </c>
      <c r="R259">
        <v>1</v>
      </c>
      <c r="S259" s="13">
        <f t="shared" si="700"/>
        <v>2476800.0000001397</v>
      </c>
      <c r="T259">
        <f t="shared" ref="T259:T322" si="705">R259*96</f>
        <v>96</v>
      </c>
      <c r="U259" s="13">
        <f t="shared" ref="U259:U322" si="706">S259</f>
        <v>2476800.0000001397</v>
      </c>
      <c r="V259" s="112">
        <f t="shared" ref="V259:V322" si="707">IF(T259=0,0.0000000001,T259)</f>
        <v>96</v>
      </c>
      <c r="AN259" s="127">
        <v>45253.208333333343</v>
      </c>
      <c r="AO259">
        <v>1</v>
      </c>
      <c r="AP259" s="13">
        <f t="shared" si="701"/>
        <v>2476800.0000001397</v>
      </c>
      <c r="AQ259">
        <f t="shared" si="702"/>
        <v>96</v>
      </c>
      <c r="AR259" s="13">
        <f t="shared" si="703"/>
        <v>2476800.0000001397</v>
      </c>
      <c r="AS259" s="112">
        <f t="shared" si="704"/>
        <v>96</v>
      </c>
    </row>
    <row r="260" spans="17:45" x14ac:dyDescent="0.25">
      <c r="Q260" s="127">
        <v>45253.3125</v>
      </c>
      <c r="R260">
        <v>1</v>
      </c>
      <c r="S260" s="13">
        <f t="shared" ref="S260:S323" si="708">S259+150*60</f>
        <v>2485800.0000001397</v>
      </c>
      <c r="T260">
        <f t="shared" si="705"/>
        <v>96</v>
      </c>
      <c r="U260" s="13">
        <f t="shared" si="706"/>
        <v>2485800.0000001397</v>
      </c>
      <c r="V260" s="112">
        <f t="shared" si="707"/>
        <v>96</v>
      </c>
      <c r="AN260" s="127">
        <v>45253.3125</v>
      </c>
      <c r="AO260">
        <v>1</v>
      </c>
      <c r="AP260" s="13">
        <f t="shared" ref="AP260:AP323" si="709">AP259+150*60</f>
        <v>2485800.0000001397</v>
      </c>
      <c r="AQ260">
        <f t="shared" si="702"/>
        <v>96</v>
      </c>
      <c r="AR260" s="13">
        <f t="shared" si="703"/>
        <v>2485800.0000001397</v>
      </c>
      <c r="AS260" s="112">
        <f t="shared" si="704"/>
        <v>96</v>
      </c>
    </row>
    <row r="261" spans="17:45" x14ac:dyDescent="0.25">
      <c r="Q261" s="127">
        <v>45253.416666666657</v>
      </c>
      <c r="R261">
        <v>1</v>
      </c>
      <c r="S261" s="13">
        <f t="shared" si="708"/>
        <v>2494800.0000001397</v>
      </c>
      <c r="T261">
        <f t="shared" si="705"/>
        <v>96</v>
      </c>
      <c r="U261" s="13">
        <f t="shared" si="706"/>
        <v>2494800.0000001397</v>
      </c>
      <c r="V261" s="112">
        <f t="shared" si="707"/>
        <v>96</v>
      </c>
      <c r="AN261" s="127">
        <v>45253.416666666657</v>
      </c>
      <c r="AO261">
        <v>1</v>
      </c>
      <c r="AP261" s="13">
        <f t="shared" si="709"/>
        <v>2494800.0000001397</v>
      </c>
      <c r="AQ261">
        <f t="shared" si="702"/>
        <v>96</v>
      </c>
      <c r="AR261" s="13">
        <f t="shared" si="703"/>
        <v>2494800.0000001397</v>
      </c>
      <c r="AS261" s="112">
        <f t="shared" si="704"/>
        <v>96</v>
      </c>
    </row>
    <row r="262" spans="17:45" x14ac:dyDescent="0.25">
      <c r="Q262" s="127">
        <v>45253.520833333343</v>
      </c>
      <c r="R262">
        <v>1</v>
      </c>
      <c r="S262" s="13">
        <f t="shared" si="708"/>
        <v>2503800.0000001397</v>
      </c>
      <c r="T262">
        <f t="shared" si="705"/>
        <v>96</v>
      </c>
      <c r="U262" s="13">
        <f t="shared" si="706"/>
        <v>2503800.0000001397</v>
      </c>
      <c r="V262" s="112">
        <f t="shared" si="707"/>
        <v>96</v>
      </c>
      <c r="AN262" s="127">
        <v>45253.520833333343</v>
      </c>
      <c r="AO262">
        <v>1</v>
      </c>
      <c r="AP262" s="13">
        <f t="shared" si="709"/>
        <v>2503800.0000001397</v>
      </c>
      <c r="AQ262">
        <f t="shared" si="702"/>
        <v>96</v>
      </c>
      <c r="AR262" s="13">
        <f t="shared" si="703"/>
        <v>2503800.0000001397</v>
      </c>
      <c r="AS262" s="112">
        <f t="shared" si="704"/>
        <v>96</v>
      </c>
    </row>
    <row r="263" spans="17:45" x14ac:dyDescent="0.25">
      <c r="Q263" s="127">
        <v>45253.625</v>
      </c>
      <c r="R263">
        <v>1</v>
      </c>
      <c r="S263" s="13">
        <f t="shared" si="708"/>
        <v>2512800.0000001397</v>
      </c>
      <c r="T263">
        <f t="shared" si="705"/>
        <v>96</v>
      </c>
      <c r="U263" s="13">
        <f t="shared" si="706"/>
        <v>2512800.0000001397</v>
      </c>
      <c r="V263" s="112">
        <f t="shared" si="707"/>
        <v>96</v>
      </c>
      <c r="AN263" s="127">
        <v>45253.625</v>
      </c>
      <c r="AO263">
        <v>1</v>
      </c>
      <c r="AP263" s="13">
        <f t="shared" si="709"/>
        <v>2512800.0000001397</v>
      </c>
      <c r="AQ263">
        <f t="shared" si="702"/>
        <v>96</v>
      </c>
      <c r="AR263" s="13">
        <f t="shared" si="703"/>
        <v>2512800.0000001397</v>
      </c>
      <c r="AS263" s="112">
        <f t="shared" si="704"/>
        <v>96</v>
      </c>
    </row>
    <row r="264" spans="17:45" x14ac:dyDescent="0.25">
      <c r="Q264" s="127">
        <v>45253.729166666657</v>
      </c>
      <c r="R264">
        <v>1</v>
      </c>
      <c r="S264" s="13">
        <f t="shared" si="708"/>
        <v>2521800.0000001397</v>
      </c>
      <c r="T264">
        <f t="shared" si="705"/>
        <v>96</v>
      </c>
      <c r="U264" s="13">
        <f t="shared" si="706"/>
        <v>2521800.0000001397</v>
      </c>
      <c r="V264" s="112">
        <f t="shared" si="707"/>
        <v>96</v>
      </c>
      <c r="AN264" s="127">
        <v>45253.729166666657</v>
      </c>
      <c r="AO264">
        <v>1</v>
      </c>
      <c r="AP264" s="13">
        <f t="shared" si="709"/>
        <v>2521800.0000001397</v>
      </c>
      <c r="AQ264">
        <f t="shared" si="702"/>
        <v>96</v>
      </c>
      <c r="AR264" s="13">
        <f t="shared" si="703"/>
        <v>2521800.0000001397</v>
      </c>
      <c r="AS264" s="112">
        <f t="shared" si="704"/>
        <v>96</v>
      </c>
    </row>
    <row r="265" spans="17:45" x14ac:dyDescent="0.25">
      <c r="Q265" s="127">
        <v>45253.833333333343</v>
      </c>
      <c r="R265">
        <v>1</v>
      </c>
      <c r="S265" s="13">
        <f t="shared" si="708"/>
        <v>2530800.0000001397</v>
      </c>
      <c r="T265">
        <f t="shared" si="705"/>
        <v>96</v>
      </c>
      <c r="U265" s="13">
        <f t="shared" si="706"/>
        <v>2530800.0000001397</v>
      </c>
      <c r="V265" s="112">
        <f t="shared" si="707"/>
        <v>96</v>
      </c>
      <c r="AN265" s="127">
        <v>45253.833333333343</v>
      </c>
      <c r="AO265">
        <v>1</v>
      </c>
      <c r="AP265" s="13">
        <f t="shared" si="709"/>
        <v>2530800.0000001397</v>
      </c>
      <c r="AQ265">
        <f t="shared" si="702"/>
        <v>96</v>
      </c>
      <c r="AR265" s="13">
        <f t="shared" si="703"/>
        <v>2530800.0000001397</v>
      </c>
      <c r="AS265" s="112">
        <f t="shared" si="704"/>
        <v>96</v>
      </c>
    </row>
    <row r="266" spans="17:45" x14ac:dyDescent="0.25">
      <c r="Q266" s="127">
        <v>45253.9375</v>
      </c>
      <c r="R266">
        <v>2</v>
      </c>
      <c r="S266" s="13">
        <f t="shared" si="708"/>
        <v>2539800.0000001397</v>
      </c>
      <c r="T266">
        <f t="shared" si="705"/>
        <v>192</v>
      </c>
      <c r="U266" s="13">
        <f t="shared" si="706"/>
        <v>2539800.0000001397</v>
      </c>
      <c r="V266" s="112">
        <f t="shared" si="707"/>
        <v>192</v>
      </c>
      <c r="AN266" s="127">
        <v>45253.9375</v>
      </c>
      <c r="AO266">
        <v>2</v>
      </c>
      <c r="AP266" s="13">
        <f t="shared" si="709"/>
        <v>2539800.0000001397</v>
      </c>
      <c r="AQ266">
        <f t="shared" si="702"/>
        <v>192</v>
      </c>
      <c r="AR266" s="13">
        <f t="shared" si="703"/>
        <v>2539800.0000001397</v>
      </c>
      <c r="AS266" s="112">
        <f t="shared" si="704"/>
        <v>192</v>
      </c>
    </row>
    <row r="267" spans="17:45" x14ac:dyDescent="0.25">
      <c r="Q267" s="127">
        <v>45254.041666666657</v>
      </c>
      <c r="R267">
        <v>1</v>
      </c>
      <c r="S267" s="13">
        <f t="shared" si="708"/>
        <v>2548800.0000001397</v>
      </c>
      <c r="T267">
        <f t="shared" si="705"/>
        <v>96</v>
      </c>
      <c r="U267" s="13">
        <f t="shared" si="706"/>
        <v>2548800.0000001397</v>
      </c>
      <c r="V267" s="112">
        <f t="shared" si="707"/>
        <v>96</v>
      </c>
      <c r="AN267" s="127">
        <v>45254.041666666657</v>
      </c>
      <c r="AO267">
        <v>1</v>
      </c>
      <c r="AP267" s="13">
        <f t="shared" si="709"/>
        <v>2548800.0000001397</v>
      </c>
      <c r="AQ267">
        <f t="shared" si="702"/>
        <v>96</v>
      </c>
      <c r="AR267" s="13">
        <f t="shared" si="703"/>
        <v>2548800.0000001397</v>
      </c>
      <c r="AS267" s="112">
        <f t="shared" si="704"/>
        <v>96</v>
      </c>
    </row>
    <row r="268" spans="17:45" x14ac:dyDescent="0.25">
      <c r="Q268" s="127">
        <v>45254.145833333343</v>
      </c>
      <c r="R268">
        <v>1</v>
      </c>
      <c r="S268" s="13">
        <f t="shared" si="708"/>
        <v>2557800.0000001397</v>
      </c>
      <c r="T268">
        <f t="shared" si="705"/>
        <v>96</v>
      </c>
      <c r="U268" s="13">
        <f t="shared" si="706"/>
        <v>2557800.0000001397</v>
      </c>
      <c r="V268" s="112">
        <f t="shared" si="707"/>
        <v>96</v>
      </c>
      <c r="AN268" s="127">
        <v>45254.145833333343</v>
      </c>
      <c r="AO268">
        <v>1</v>
      </c>
      <c r="AP268" s="13">
        <f t="shared" si="709"/>
        <v>2557800.0000001397</v>
      </c>
      <c r="AQ268">
        <f t="shared" si="702"/>
        <v>96</v>
      </c>
      <c r="AR268" s="13">
        <f t="shared" si="703"/>
        <v>2557800.0000001397</v>
      </c>
      <c r="AS268" s="112">
        <f t="shared" si="704"/>
        <v>96</v>
      </c>
    </row>
    <row r="269" spans="17:45" x14ac:dyDescent="0.25">
      <c r="Q269" s="127">
        <v>45254.25</v>
      </c>
      <c r="R269">
        <v>1</v>
      </c>
      <c r="S269" s="13">
        <f t="shared" si="708"/>
        <v>2566800.0000001397</v>
      </c>
      <c r="T269">
        <f t="shared" si="705"/>
        <v>96</v>
      </c>
      <c r="U269" s="13">
        <f t="shared" si="706"/>
        <v>2566800.0000001397</v>
      </c>
      <c r="V269" s="112">
        <f t="shared" si="707"/>
        <v>96</v>
      </c>
      <c r="AN269" s="127">
        <v>45254.25</v>
      </c>
      <c r="AO269">
        <v>1</v>
      </c>
      <c r="AP269" s="13">
        <f t="shared" si="709"/>
        <v>2566800.0000001397</v>
      </c>
      <c r="AQ269">
        <f t="shared" si="702"/>
        <v>96</v>
      </c>
      <c r="AR269" s="13">
        <f t="shared" si="703"/>
        <v>2566800.0000001397</v>
      </c>
      <c r="AS269" s="112">
        <f t="shared" si="704"/>
        <v>96</v>
      </c>
    </row>
    <row r="270" spans="17:45" x14ac:dyDescent="0.25">
      <c r="Q270" s="127">
        <v>45254.354166666657</v>
      </c>
      <c r="R270">
        <v>1</v>
      </c>
      <c r="S270" s="13">
        <f t="shared" si="708"/>
        <v>2575800.0000001397</v>
      </c>
      <c r="T270">
        <f t="shared" si="705"/>
        <v>96</v>
      </c>
      <c r="U270" s="13">
        <f t="shared" si="706"/>
        <v>2575800.0000001397</v>
      </c>
      <c r="V270" s="112">
        <f t="shared" si="707"/>
        <v>96</v>
      </c>
      <c r="AN270" s="127">
        <v>45254.354166666657</v>
      </c>
      <c r="AO270">
        <v>1</v>
      </c>
      <c r="AP270" s="13">
        <f t="shared" si="709"/>
        <v>2575800.0000001397</v>
      </c>
      <c r="AQ270">
        <f t="shared" si="702"/>
        <v>96</v>
      </c>
      <c r="AR270" s="13">
        <f t="shared" si="703"/>
        <v>2575800.0000001397</v>
      </c>
      <c r="AS270" s="112">
        <f t="shared" si="704"/>
        <v>96</v>
      </c>
    </row>
    <row r="271" spans="17:45" x14ac:dyDescent="0.25">
      <c r="Q271" s="127">
        <v>45254.458333333343</v>
      </c>
      <c r="R271">
        <v>1</v>
      </c>
      <c r="S271" s="13">
        <f t="shared" si="708"/>
        <v>2584800.0000001397</v>
      </c>
      <c r="T271">
        <f t="shared" si="705"/>
        <v>96</v>
      </c>
      <c r="U271" s="13">
        <f t="shared" si="706"/>
        <v>2584800.0000001397</v>
      </c>
      <c r="V271" s="112">
        <f t="shared" si="707"/>
        <v>96</v>
      </c>
      <c r="AN271" s="127">
        <v>45254.458333333343</v>
      </c>
      <c r="AO271">
        <v>1</v>
      </c>
      <c r="AP271" s="13">
        <f t="shared" si="709"/>
        <v>2584800.0000001397</v>
      </c>
      <c r="AQ271">
        <f t="shared" si="702"/>
        <v>96</v>
      </c>
      <c r="AR271" s="13">
        <f t="shared" si="703"/>
        <v>2584800.0000001397</v>
      </c>
      <c r="AS271" s="112">
        <f t="shared" si="704"/>
        <v>96</v>
      </c>
    </row>
    <row r="272" spans="17:45" x14ac:dyDescent="0.25">
      <c r="Q272" s="127">
        <v>45254.5625</v>
      </c>
      <c r="R272">
        <v>1</v>
      </c>
      <c r="S272" s="13">
        <f t="shared" si="708"/>
        <v>2593800.0000001397</v>
      </c>
      <c r="T272">
        <f t="shared" si="705"/>
        <v>96</v>
      </c>
      <c r="U272" s="13">
        <f t="shared" si="706"/>
        <v>2593800.0000001397</v>
      </c>
      <c r="V272" s="112">
        <f t="shared" si="707"/>
        <v>96</v>
      </c>
      <c r="AN272" s="127">
        <v>45254.5625</v>
      </c>
      <c r="AO272">
        <v>1</v>
      </c>
      <c r="AP272" s="13">
        <f t="shared" si="709"/>
        <v>2593800.0000001397</v>
      </c>
      <c r="AQ272">
        <f t="shared" si="702"/>
        <v>96</v>
      </c>
      <c r="AR272" s="13">
        <f t="shared" si="703"/>
        <v>2593800.0000001397</v>
      </c>
      <c r="AS272" s="112">
        <f t="shared" si="704"/>
        <v>96</v>
      </c>
    </row>
    <row r="273" spans="17:45" x14ac:dyDescent="0.25">
      <c r="Q273" s="127">
        <v>45254.666666666657</v>
      </c>
      <c r="R273">
        <v>1</v>
      </c>
      <c r="S273" s="13">
        <f t="shared" si="708"/>
        <v>2602800.0000001397</v>
      </c>
      <c r="T273">
        <f t="shared" si="705"/>
        <v>96</v>
      </c>
      <c r="U273" s="13">
        <f t="shared" si="706"/>
        <v>2602800.0000001397</v>
      </c>
      <c r="V273" s="112">
        <f t="shared" si="707"/>
        <v>96</v>
      </c>
      <c r="AN273" s="127">
        <v>45254.666666666657</v>
      </c>
      <c r="AO273">
        <v>1</v>
      </c>
      <c r="AP273" s="13">
        <f t="shared" si="709"/>
        <v>2602800.0000001397</v>
      </c>
      <c r="AQ273">
        <f t="shared" si="702"/>
        <v>96</v>
      </c>
      <c r="AR273" s="13">
        <f t="shared" si="703"/>
        <v>2602800.0000001397</v>
      </c>
      <c r="AS273" s="112">
        <f t="shared" si="704"/>
        <v>96</v>
      </c>
    </row>
    <row r="274" spans="17:45" x14ac:dyDescent="0.25">
      <c r="Q274" s="127">
        <v>45254.770833333343</v>
      </c>
      <c r="R274">
        <v>1</v>
      </c>
      <c r="S274" s="13">
        <f t="shared" si="708"/>
        <v>2611800.0000001397</v>
      </c>
      <c r="T274">
        <f t="shared" si="705"/>
        <v>96</v>
      </c>
      <c r="U274" s="13">
        <f t="shared" si="706"/>
        <v>2611800.0000001397</v>
      </c>
      <c r="V274" s="112">
        <f t="shared" si="707"/>
        <v>96</v>
      </c>
      <c r="AN274" s="127">
        <v>45254.770833333343</v>
      </c>
      <c r="AO274">
        <v>1</v>
      </c>
      <c r="AP274" s="13">
        <f t="shared" si="709"/>
        <v>2611800.0000001397</v>
      </c>
      <c r="AQ274">
        <f t="shared" si="702"/>
        <v>96</v>
      </c>
      <c r="AR274" s="13">
        <f t="shared" si="703"/>
        <v>2611800.0000001397</v>
      </c>
      <c r="AS274" s="112">
        <f t="shared" si="704"/>
        <v>96</v>
      </c>
    </row>
    <row r="275" spans="17:45" x14ac:dyDescent="0.25">
      <c r="Q275" s="127">
        <v>45254.875</v>
      </c>
      <c r="R275">
        <v>1</v>
      </c>
      <c r="S275" s="13">
        <f t="shared" si="708"/>
        <v>2620800.0000001397</v>
      </c>
      <c r="T275">
        <f t="shared" si="705"/>
        <v>96</v>
      </c>
      <c r="U275" s="13">
        <f t="shared" si="706"/>
        <v>2620800.0000001397</v>
      </c>
      <c r="V275" s="112">
        <f t="shared" si="707"/>
        <v>96</v>
      </c>
      <c r="AN275" s="127">
        <v>45254.875</v>
      </c>
      <c r="AO275">
        <v>1</v>
      </c>
      <c r="AP275" s="13">
        <f t="shared" si="709"/>
        <v>2620800.0000001397</v>
      </c>
      <c r="AQ275">
        <f t="shared" si="702"/>
        <v>96</v>
      </c>
      <c r="AR275" s="13">
        <f t="shared" si="703"/>
        <v>2620800.0000001397</v>
      </c>
      <c r="AS275" s="112">
        <f t="shared" si="704"/>
        <v>96</v>
      </c>
    </row>
    <row r="276" spans="17:45" x14ac:dyDescent="0.25">
      <c r="Q276" s="127">
        <v>45254.979166666657</v>
      </c>
      <c r="R276">
        <v>1</v>
      </c>
      <c r="S276" s="13">
        <f t="shared" si="708"/>
        <v>2629800.0000001397</v>
      </c>
      <c r="T276">
        <f t="shared" si="705"/>
        <v>96</v>
      </c>
      <c r="U276" s="13">
        <f t="shared" si="706"/>
        <v>2629800.0000001397</v>
      </c>
      <c r="V276" s="112">
        <f t="shared" si="707"/>
        <v>96</v>
      </c>
      <c r="AN276" s="127">
        <v>45254.979166666657</v>
      </c>
      <c r="AO276">
        <v>1</v>
      </c>
      <c r="AP276" s="13">
        <f t="shared" si="709"/>
        <v>2629800.0000001397</v>
      </c>
      <c r="AQ276">
        <f t="shared" si="702"/>
        <v>96</v>
      </c>
      <c r="AR276" s="13">
        <f t="shared" si="703"/>
        <v>2629800.0000001397</v>
      </c>
      <c r="AS276" s="112">
        <f t="shared" si="704"/>
        <v>96</v>
      </c>
    </row>
    <row r="277" spans="17:45" x14ac:dyDescent="0.25">
      <c r="Q277" s="127">
        <v>45255.083333333343</v>
      </c>
      <c r="R277">
        <v>1</v>
      </c>
      <c r="S277" s="13">
        <f t="shared" si="708"/>
        <v>2638800.0000001397</v>
      </c>
      <c r="T277">
        <f t="shared" si="705"/>
        <v>96</v>
      </c>
      <c r="U277" s="13">
        <f t="shared" si="706"/>
        <v>2638800.0000001397</v>
      </c>
      <c r="V277" s="112">
        <f t="shared" si="707"/>
        <v>96</v>
      </c>
      <c r="AN277" s="127">
        <v>45255.083333333343</v>
      </c>
      <c r="AO277">
        <v>1</v>
      </c>
      <c r="AP277" s="13">
        <f t="shared" si="709"/>
        <v>2638800.0000001397</v>
      </c>
      <c r="AQ277">
        <f t="shared" si="702"/>
        <v>96</v>
      </c>
      <c r="AR277" s="13">
        <f t="shared" si="703"/>
        <v>2638800.0000001397</v>
      </c>
      <c r="AS277" s="112">
        <f t="shared" si="704"/>
        <v>96</v>
      </c>
    </row>
    <row r="278" spans="17:45" x14ac:dyDescent="0.25">
      <c r="Q278" s="127">
        <v>45255.1875</v>
      </c>
      <c r="R278">
        <v>1</v>
      </c>
      <c r="S278" s="13">
        <f t="shared" si="708"/>
        <v>2647800.0000001397</v>
      </c>
      <c r="T278">
        <f t="shared" si="705"/>
        <v>96</v>
      </c>
      <c r="U278" s="13">
        <f t="shared" si="706"/>
        <v>2647800.0000001397</v>
      </c>
      <c r="V278" s="112">
        <f t="shared" si="707"/>
        <v>96</v>
      </c>
      <c r="AN278" s="127">
        <v>45255.1875</v>
      </c>
      <c r="AO278">
        <v>1</v>
      </c>
      <c r="AP278" s="13">
        <f t="shared" si="709"/>
        <v>2647800.0000001397</v>
      </c>
      <c r="AQ278">
        <f t="shared" si="702"/>
        <v>96</v>
      </c>
      <c r="AR278" s="13">
        <f t="shared" si="703"/>
        <v>2647800.0000001397</v>
      </c>
      <c r="AS278" s="112">
        <f t="shared" si="704"/>
        <v>96</v>
      </c>
    </row>
    <row r="279" spans="17:45" x14ac:dyDescent="0.25">
      <c r="Q279" s="127">
        <v>45255.291666666657</v>
      </c>
      <c r="R279">
        <v>1</v>
      </c>
      <c r="S279" s="13">
        <f t="shared" si="708"/>
        <v>2656800.0000001397</v>
      </c>
      <c r="T279">
        <f t="shared" si="705"/>
        <v>96</v>
      </c>
      <c r="U279" s="13">
        <f t="shared" si="706"/>
        <v>2656800.0000001397</v>
      </c>
      <c r="V279" s="112">
        <f t="shared" si="707"/>
        <v>96</v>
      </c>
      <c r="AN279" s="127">
        <v>45255.291666666657</v>
      </c>
      <c r="AO279">
        <v>1</v>
      </c>
      <c r="AP279" s="13">
        <f t="shared" si="709"/>
        <v>2656800.0000001397</v>
      </c>
      <c r="AQ279">
        <f t="shared" si="702"/>
        <v>96</v>
      </c>
      <c r="AR279" s="13">
        <f t="shared" si="703"/>
        <v>2656800.0000001397</v>
      </c>
      <c r="AS279" s="112">
        <f t="shared" si="704"/>
        <v>96</v>
      </c>
    </row>
    <row r="280" spans="17:45" x14ac:dyDescent="0.25">
      <c r="Q280" s="127">
        <v>45255.395833333343</v>
      </c>
      <c r="R280">
        <v>1</v>
      </c>
      <c r="S280" s="13">
        <f t="shared" si="708"/>
        <v>2665800.0000001397</v>
      </c>
      <c r="T280">
        <f t="shared" si="705"/>
        <v>96</v>
      </c>
      <c r="U280" s="13">
        <f t="shared" si="706"/>
        <v>2665800.0000001397</v>
      </c>
      <c r="V280" s="112">
        <f t="shared" si="707"/>
        <v>96</v>
      </c>
      <c r="AN280" s="127">
        <v>45255.395833333343</v>
      </c>
      <c r="AO280">
        <v>1</v>
      </c>
      <c r="AP280" s="13">
        <f t="shared" si="709"/>
        <v>2665800.0000001397</v>
      </c>
      <c r="AQ280">
        <f t="shared" si="702"/>
        <v>96</v>
      </c>
      <c r="AR280" s="13">
        <f t="shared" si="703"/>
        <v>2665800.0000001397</v>
      </c>
      <c r="AS280" s="112">
        <f t="shared" si="704"/>
        <v>96</v>
      </c>
    </row>
    <row r="281" spans="17:45" x14ac:dyDescent="0.25">
      <c r="Q281" s="127">
        <v>45255.5</v>
      </c>
      <c r="R281">
        <v>1</v>
      </c>
      <c r="S281" s="13">
        <f t="shared" si="708"/>
        <v>2674800.0000001397</v>
      </c>
      <c r="T281">
        <f t="shared" si="705"/>
        <v>96</v>
      </c>
      <c r="U281" s="13">
        <f t="shared" si="706"/>
        <v>2674800.0000001397</v>
      </c>
      <c r="V281" s="112">
        <f t="shared" si="707"/>
        <v>96</v>
      </c>
      <c r="AN281" s="127">
        <v>45255.5</v>
      </c>
      <c r="AO281">
        <v>1</v>
      </c>
      <c r="AP281" s="13">
        <f t="shared" si="709"/>
        <v>2674800.0000001397</v>
      </c>
      <c r="AQ281">
        <f t="shared" si="702"/>
        <v>96</v>
      </c>
      <c r="AR281" s="13">
        <f t="shared" si="703"/>
        <v>2674800.0000001397</v>
      </c>
      <c r="AS281" s="112">
        <f t="shared" si="704"/>
        <v>96</v>
      </c>
    </row>
    <row r="282" spans="17:45" x14ac:dyDescent="0.25">
      <c r="Q282" s="127">
        <v>45255.604166666657</v>
      </c>
      <c r="R282">
        <v>1</v>
      </c>
      <c r="S282" s="13">
        <f t="shared" si="708"/>
        <v>2683800.0000001397</v>
      </c>
      <c r="T282">
        <f t="shared" si="705"/>
        <v>96</v>
      </c>
      <c r="U282" s="13">
        <f t="shared" si="706"/>
        <v>2683800.0000001397</v>
      </c>
      <c r="V282" s="112">
        <f t="shared" si="707"/>
        <v>96</v>
      </c>
      <c r="AN282" s="127">
        <v>45255.604166666657</v>
      </c>
      <c r="AO282">
        <v>1</v>
      </c>
      <c r="AP282" s="13">
        <f t="shared" si="709"/>
        <v>2683800.0000001397</v>
      </c>
      <c r="AQ282">
        <f t="shared" si="702"/>
        <v>96</v>
      </c>
      <c r="AR282" s="13">
        <f t="shared" si="703"/>
        <v>2683800.0000001397</v>
      </c>
      <c r="AS282" s="112">
        <f t="shared" si="704"/>
        <v>96</v>
      </c>
    </row>
    <row r="283" spans="17:45" x14ac:dyDescent="0.25">
      <c r="Q283" s="127">
        <v>45255.708333333343</v>
      </c>
      <c r="R283">
        <v>1</v>
      </c>
      <c r="S283" s="13">
        <f t="shared" si="708"/>
        <v>2692800.0000001397</v>
      </c>
      <c r="T283">
        <f t="shared" si="705"/>
        <v>96</v>
      </c>
      <c r="U283" s="13">
        <f t="shared" si="706"/>
        <v>2692800.0000001397</v>
      </c>
      <c r="V283" s="112">
        <f t="shared" si="707"/>
        <v>96</v>
      </c>
      <c r="AN283" s="127">
        <v>45255.708333333343</v>
      </c>
      <c r="AO283">
        <v>1</v>
      </c>
      <c r="AP283" s="13">
        <f t="shared" si="709"/>
        <v>2692800.0000001397</v>
      </c>
      <c r="AQ283">
        <f t="shared" si="702"/>
        <v>96</v>
      </c>
      <c r="AR283" s="13">
        <f t="shared" si="703"/>
        <v>2692800.0000001397</v>
      </c>
      <c r="AS283" s="112">
        <f t="shared" si="704"/>
        <v>96</v>
      </c>
    </row>
    <row r="284" spans="17:45" x14ac:dyDescent="0.25">
      <c r="Q284" s="127">
        <v>45255.8125</v>
      </c>
      <c r="R284">
        <v>1</v>
      </c>
      <c r="S284" s="13">
        <f t="shared" si="708"/>
        <v>2701800.0000001397</v>
      </c>
      <c r="T284">
        <f t="shared" si="705"/>
        <v>96</v>
      </c>
      <c r="U284" s="13">
        <f t="shared" si="706"/>
        <v>2701800.0000001397</v>
      </c>
      <c r="V284" s="112">
        <f t="shared" si="707"/>
        <v>96</v>
      </c>
      <c r="AN284" s="127">
        <v>45255.8125</v>
      </c>
      <c r="AO284">
        <v>1</v>
      </c>
      <c r="AP284" s="13">
        <f t="shared" si="709"/>
        <v>2701800.0000001397</v>
      </c>
      <c r="AQ284">
        <f t="shared" si="702"/>
        <v>96</v>
      </c>
      <c r="AR284" s="13">
        <f t="shared" si="703"/>
        <v>2701800.0000001397</v>
      </c>
      <c r="AS284" s="112">
        <f t="shared" si="704"/>
        <v>96</v>
      </c>
    </row>
    <row r="285" spans="17:45" x14ac:dyDescent="0.25">
      <c r="Q285" s="127">
        <v>45255.916666666657</v>
      </c>
      <c r="R285">
        <v>1</v>
      </c>
      <c r="S285" s="13">
        <f t="shared" si="708"/>
        <v>2710800.0000001397</v>
      </c>
      <c r="T285">
        <f t="shared" si="705"/>
        <v>96</v>
      </c>
      <c r="U285" s="13">
        <f t="shared" si="706"/>
        <v>2710800.0000001397</v>
      </c>
      <c r="V285" s="112">
        <f t="shared" si="707"/>
        <v>96</v>
      </c>
      <c r="AN285" s="127">
        <v>45255.916666666657</v>
      </c>
      <c r="AO285">
        <v>1</v>
      </c>
      <c r="AP285" s="13">
        <f t="shared" si="709"/>
        <v>2710800.0000001397</v>
      </c>
      <c r="AQ285">
        <f t="shared" si="702"/>
        <v>96</v>
      </c>
      <c r="AR285" s="13">
        <f t="shared" si="703"/>
        <v>2710800.0000001397</v>
      </c>
      <c r="AS285" s="112">
        <f t="shared" si="704"/>
        <v>96</v>
      </c>
    </row>
    <row r="286" spans="17:45" x14ac:dyDescent="0.25">
      <c r="Q286" s="127">
        <v>45256.020833333343</v>
      </c>
      <c r="R286">
        <v>1</v>
      </c>
      <c r="S286" s="13">
        <f t="shared" si="708"/>
        <v>2719800.0000001397</v>
      </c>
      <c r="T286">
        <f t="shared" si="705"/>
        <v>96</v>
      </c>
      <c r="U286" s="13">
        <f t="shared" si="706"/>
        <v>2719800.0000001397</v>
      </c>
      <c r="V286" s="112">
        <f t="shared" si="707"/>
        <v>96</v>
      </c>
      <c r="AN286" s="127">
        <v>45256.020833333343</v>
      </c>
      <c r="AO286">
        <v>1</v>
      </c>
      <c r="AP286" s="13">
        <f t="shared" si="709"/>
        <v>2719800.0000001397</v>
      </c>
      <c r="AQ286">
        <f t="shared" si="702"/>
        <v>96</v>
      </c>
      <c r="AR286" s="13">
        <f t="shared" si="703"/>
        <v>2719800.0000001397</v>
      </c>
      <c r="AS286" s="112">
        <f t="shared" si="704"/>
        <v>96</v>
      </c>
    </row>
    <row r="287" spans="17:45" x14ac:dyDescent="0.25">
      <c r="Q287" s="127">
        <v>45256.125</v>
      </c>
      <c r="R287">
        <v>1</v>
      </c>
      <c r="S287" s="13">
        <f t="shared" si="708"/>
        <v>2728800.0000001397</v>
      </c>
      <c r="T287">
        <f t="shared" si="705"/>
        <v>96</v>
      </c>
      <c r="U287" s="13">
        <f t="shared" si="706"/>
        <v>2728800.0000001397</v>
      </c>
      <c r="V287" s="112">
        <f t="shared" si="707"/>
        <v>96</v>
      </c>
      <c r="AN287" s="127">
        <v>45256.125</v>
      </c>
      <c r="AO287">
        <v>1</v>
      </c>
      <c r="AP287" s="13">
        <f t="shared" si="709"/>
        <v>2728800.0000001397</v>
      </c>
      <c r="AQ287">
        <f t="shared" si="702"/>
        <v>96</v>
      </c>
      <c r="AR287" s="13">
        <f t="shared" si="703"/>
        <v>2728800.0000001397</v>
      </c>
      <c r="AS287" s="112">
        <f t="shared" si="704"/>
        <v>96</v>
      </c>
    </row>
    <row r="288" spans="17:45" x14ac:dyDescent="0.25">
      <c r="Q288" s="127">
        <v>45256.229166666657</v>
      </c>
      <c r="R288">
        <v>1</v>
      </c>
      <c r="S288" s="13">
        <f t="shared" si="708"/>
        <v>2737800.0000001397</v>
      </c>
      <c r="T288">
        <f t="shared" si="705"/>
        <v>96</v>
      </c>
      <c r="U288" s="13">
        <f t="shared" si="706"/>
        <v>2737800.0000001397</v>
      </c>
      <c r="V288" s="112">
        <f t="shared" si="707"/>
        <v>96</v>
      </c>
      <c r="AN288" s="127">
        <v>45256.229166666657</v>
      </c>
      <c r="AO288">
        <v>1</v>
      </c>
      <c r="AP288" s="13">
        <f t="shared" si="709"/>
        <v>2737800.0000001397</v>
      </c>
      <c r="AQ288">
        <f t="shared" si="702"/>
        <v>96</v>
      </c>
      <c r="AR288" s="13">
        <f t="shared" si="703"/>
        <v>2737800.0000001397</v>
      </c>
      <c r="AS288" s="112">
        <f t="shared" si="704"/>
        <v>96</v>
      </c>
    </row>
    <row r="289" spans="17:45" x14ac:dyDescent="0.25">
      <c r="Q289" s="127">
        <v>45256.333333333343</v>
      </c>
      <c r="R289">
        <v>1</v>
      </c>
      <c r="S289" s="13">
        <f t="shared" si="708"/>
        <v>2746800.0000001397</v>
      </c>
      <c r="T289">
        <f t="shared" si="705"/>
        <v>96</v>
      </c>
      <c r="U289" s="13">
        <f t="shared" si="706"/>
        <v>2746800.0000001397</v>
      </c>
      <c r="V289" s="112">
        <f t="shared" si="707"/>
        <v>96</v>
      </c>
      <c r="AN289" s="127">
        <v>45256.333333333343</v>
      </c>
      <c r="AO289">
        <v>1</v>
      </c>
      <c r="AP289" s="13">
        <f t="shared" si="709"/>
        <v>2746800.0000001397</v>
      </c>
      <c r="AQ289">
        <f t="shared" si="702"/>
        <v>96</v>
      </c>
      <c r="AR289" s="13">
        <f t="shared" si="703"/>
        <v>2746800.0000001397</v>
      </c>
      <c r="AS289" s="112">
        <f t="shared" si="704"/>
        <v>96</v>
      </c>
    </row>
    <row r="290" spans="17:45" x14ac:dyDescent="0.25">
      <c r="Q290" s="127">
        <v>45256.4375</v>
      </c>
      <c r="R290">
        <v>1</v>
      </c>
      <c r="S290" s="13">
        <f t="shared" si="708"/>
        <v>2755800.0000001397</v>
      </c>
      <c r="T290">
        <f t="shared" si="705"/>
        <v>96</v>
      </c>
      <c r="U290" s="13">
        <f t="shared" si="706"/>
        <v>2755800.0000001397</v>
      </c>
      <c r="V290" s="112">
        <f t="shared" si="707"/>
        <v>96</v>
      </c>
      <c r="AN290" s="127">
        <v>45256.4375</v>
      </c>
      <c r="AO290">
        <v>1</v>
      </c>
      <c r="AP290" s="13">
        <f t="shared" si="709"/>
        <v>2755800.0000001397</v>
      </c>
      <c r="AQ290">
        <f t="shared" si="702"/>
        <v>96</v>
      </c>
      <c r="AR290" s="13">
        <f t="shared" si="703"/>
        <v>2755800.0000001397</v>
      </c>
      <c r="AS290" s="112">
        <f t="shared" si="704"/>
        <v>96</v>
      </c>
    </row>
    <row r="291" spans="17:45" x14ac:dyDescent="0.25">
      <c r="Q291" s="127">
        <v>45256.541666666657</v>
      </c>
      <c r="R291">
        <v>1</v>
      </c>
      <c r="S291" s="13">
        <f t="shared" si="708"/>
        <v>2764800.0000001397</v>
      </c>
      <c r="T291">
        <f t="shared" si="705"/>
        <v>96</v>
      </c>
      <c r="U291" s="13">
        <f t="shared" si="706"/>
        <v>2764800.0000001397</v>
      </c>
      <c r="V291" s="112">
        <f t="shared" si="707"/>
        <v>96</v>
      </c>
      <c r="AN291" s="127">
        <v>45256.541666666657</v>
      </c>
      <c r="AO291">
        <v>1</v>
      </c>
      <c r="AP291" s="13">
        <f t="shared" si="709"/>
        <v>2764800.0000001397</v>
      </c>
      <c r="AQ291">
        <f t="shared" ref="AQ291:AQ354" si="710">AO291*96</f>
        <v>96</v>
      </c>
      <c r="AR291" s="13">
        <f t="shared" ref="AR291:AR354" si="711">AP291</f>
        <v>2764800.0000001397</v>
      </c>
      <c r="AS291" s="112">
        <f t="shared" ref="AS291:AS354" si="712">IF(AQ291=0,0.0000000001,AQ291)</f>
        <v>96</v>
      </c>
    </row>
    <row r="292" spans="17:45" x14ac:dyDescent="0.25">
      <c r="Q292" s="127">
        <v>45256.645833333343</v>
      </c>
      <c r="R292">
        <v>1</v>
      </c>
      <c r="S292" s="13">
        <f t="shared" si="708"/>
        <v>2773800.0000001397</v>
      </c>
      <c r="T292">
        <f t="shared" si="705"/>
        <v>96</v>
      </c>
      <c r="U292" s="13">
        <f t="shared" si="706"/>
        <v>2773800.0000001397</v>
      </c>
      <c r="V292" s="112">
        <f t="shared" si="707"/>
        <v>96</v>
      </c>
      <c r="AN292" s="127">
        <v>45256.645833333343</v>
      </c>
      <c r="AO292">
        <v>0</v>
      </c>
      <c r="AP292" s="13">
        <f t="shared" si="709"/>
        <v>2773800.0000001397</v>
      </c>
      <c r="AQ292">
        <f t="shared" si="710"/>
        <v>0</v>
      </c>
      <c r="AR292" s="13">
        <f t="shared" si="711"/>
        <v>2773800.0000001397</v>
      </c>
      <c r="AS292" s="112">
        <f t="shared" si="712"/>
        <v>1E-10</v>
      </c>
    </row>
    <row r="293" spans="17:45" x14ac:dyDescent="0.25">
      <c r="Q293" s="127">
        <v>45256.75</v>
      </c>
      <c r="R293">
        <v>1</v>
      </c>
      <c r="S293" s="13">
        <f t="shared" si="708"/>
        <v>2782800.0000001397</v>
      </c>
      <c r="T293">
        <f t="shared" si="705"/>
        <v>96</v>
      </c>
      <c r="U293" s="13">
        <f t="shared" si="706"/>
        <v>2782800.0000001397</v>
      </c>
      <c r="V293" s="112">
        <f t="shared" si="707"/>
        <v>96</v>
      </c>
      <c r="AN293" s="127">
        <v>45256.75</v>
      </c>
      <c r="AO293">
        <v>1</v>
      </c>
      <c r="AP293" s="13">
        <f t="shared" si="709"/>
        <v>2782800.0000001397</v>
      </c>
      <c r="AQ293">
        <f t="shared" si="710"/>
        <v>96</v>
      </c>
      <c r="AR293" s="13">
        <f t="shared" si="711"/>
        <v>2782800.0000001397</v>
      </c>
      <c r="AS293" s="112">
        <f t="shared" si="712"/>
        <v>96</v>
      </c>
    </row>
    <row r="294" spans="17:45" x14ac:dyDescent="0.25">
      <c r="Q294" s="127">
        <v>45256.854166666657</v>
      </c>
      <c r="R294">
        <v>1</v>
      </c>
      <c r="S294" s="13">
        <f t="shared" si="708"/>
        <v>2791800.0000001397</v>
      </c>
      <c r="T294">
        <f t="shared" si="705"/>
        <v>96</v>
      </c>
      <c r="U294" s="13">
        <f t="shared" si="706"/>
        <v>2791800.0000001397</v>
      </c>
      <c r="V294" s="112">
        <f t="shared" si="707"/>
        <v>96</v>
      </c>
      <c r="AN294" s="127">
        <v>45256.854166666657</v>
      </c>
      <c r="AO294">
        <v>1</v>
      </c>
      <c r="AP294" s="13">
        <f t="shared" si="709"/>
        <v>2791800.0000001397</v>
      </c>
      <c r="AQ294">
        <f t="shared" si="710"/>
        <v>96</v>
      </c>
      <c r="AR294" s="13">
        <f t="shared" si="711"/>
        <v>2791800.0000001397</v>
      </c>
      <c r="AS294" s="112">
        <f t="shared" si="712"/>
        <v>96</v>
      </c>
    </row>
    <row r="295" spans="17:45" x14ac:dyDescent="0.25">
      <c r="Q295" s="127">
        <v>45256.958333333343</v>
      </c>
      <c r="R295">
        <v>1</v>
      </c>
      <c r="S295" s="13">
        <f t="shared" si="708"/>
        <v>2800800.0000001397</v>
      </c>
      <c r="T295">
        <f t="shared" si="705"/>
        <v>96</v>
      </c>
      <c r="U295" s="13">
        <f t="shared" si="706"/>
        <v>2800800.0000001397</v>
      </c>
      <c r="V295" s="112">
        <f t="shared" si="707"/>
        <v>96</v>
      </c>
      <c r="AN295" s="127">
        <v>45256.958333333343</v>
      </c>
      <c r="AO295">
        <v>1</v>
      </c>
      <c r="AP295" s="13">
        <f t="shared" si="709"/>
        <v>2800800.0000001397</v>
      </c>
      <c r="AQ295">
        <f t="shared" si="710"/>
        <v>96</v>
      </c>
      <c r="AR295" s="13">
        <f t="shared" si="711"/>
        <v>2800800.0000001397</v>
      </c>
      <c r="AS295" s="112">
        <f t="shared" si="712"/>
        <v>96</v>
      </c>
    </row>
    <row r="296" spans="17:45" x14ac:dyDescent="0.25">
      <c r="Q296" s="127">
        <v>45257.0625</v>
      </c>
      <c r="R296">
        <v>1</v>
      </c>
      <c r="S296" s="13">
        <f t="shared" si="708"/>
        <v>2809800.0000001397</v>
      </c>
      <c r="T296">
        <f t="shared" si="705"/>
        <v>96</v>
      </c>
      <c r="U296" s="13">
        <f t="shared" si="706"/>
        <v>2809800.0000001397</v>
      </c>
      <c r="V296" s="112">
        <f t="shared" si="707"/>
        <v>96</v>
      </c>
      <c r="AN296" s="127">
        <v>45257.0625</v>
      </c>
      <c r="AO296">
        <v>1</v>
      </c>
      <c r="AP296" s="13">
        <f t="shared" si="709"/>
        <v>2809800.0000001397</v>
      </c>
      <c r="AQ296">
        <f t="shared" si="710"/>
        <v>96</v>
      </c>
      <c r="AR296" s="13">
        <f t="shared" si="711"/>
        <v>2809800.0000001397</v>
      </c>
      <c r="AS296" s="112">
        <f t="shared" si="712"/>
        <v>96</v>
      </c>
    </row>
    <row r="297" spans="17:45" x14ac:dyDescent="0.25">
      <c r="Q297" s="127">
        <v>45257.166666666657</v>
      </c>
      <c r="R297">
        <v>1</v>
      </c>
      <c r="S297" s="13">
        <f t="shared" si="708"/>
        <v>2818800.0000001397</v>
      </c>
      <c r="T297">
        <f t="shared" si="705"/>
        <v>96</v>
      </c>
      <c r="U297" s="13">
        <f t="shared" si="706"/>
        <v>2818800.0000001397</v>
      </c>
      <c r="V297" s="112">
        <f t="shared" si="707"/>
        <v>96</v>
      </c>
      <c r="AN297" s="127">
        <v>45257.166666666657</v>
      </c>
      <c r="AO297">
        <v>1</v>
      </c>
      <c r="AP297" s="13">
        <f t="shared" si="709"/>
        <v>2818800.0000001397</v>
      </c>
      <c r="AQ297">
        <f t="shared" si="710"/>
        <v>96</v>
      </c>
      <c r="AR297" s="13">
        <f t="shared" si="711"/>
        <v>2818800.0000001397</v>
      </c>
      <c r="AS297" s="112">
        <f t="shared" si="712"/>
        <v>96</v>
      </c>
    </row>
    <row r="298" spans="17:45" x14ac:dyDescent="0.25">
      <c r="Q298" s="127">
        <v>45257.270833333343</v>
      </c>
      <c r="R298">
        <v>1</v>
      </c>
      <c r="S298" s="13">
        <f t="shared" si="708"/>
        <v>2827800.0000001397</v>
      </c>
      <c r="T298">
        <f t="shared" si="705"/>
        <v>96</v>
      </c>
      <c r="U298" s="13">
        <f t="shared" si="706"/>
        <v>2827800.0000001397</v>
      </c>
      <c r="V298" s="112">
        <f t="shared" si="707"/>
        <v>96</v>
      </c>
      <c r="AN298" s="127">
        <v>45257.270833333343</v>
      </c>
      <c r="AO298">
        <v>1</v>
      </c>
      <c r="AP298" s="13">
        <f t="shared" si="709"/>
        <v>2827800.0000001397</v>
      </c>
      <c r="AQ298">
        <f t="shared" si="710"/>
        <v>96</v>
      </c>
      <c r="AR298" s="13">
        <f t="shared" si="711"/>
        <v>2827800.0000001397</v>
      </c>
      <c r="AS298" s="112">
        <f t="shared" si="712"/>
        <v>96</v>
      </c>
    </row>
    <row r="299" spans="17:45" x14ac:dyDescent="0.25">
      <c r="Q299" s="127">
        <v>45257.375</v>
      </c>
      <c r="R299">
        <v>3</v>
      </c>
      <c r="S299" s="13">
        <f t="shared" si="708"/>
        <v>2836800.0000001397</v>
      </c>
      <c r="T299">
        <f t="shared" si="705"/>
        <v>288</v>
      </c>
      <c r="U299" s="13">
        <f t="shared" si="706"/>
        <v>2836800.0000001397</v>
      </c>
      <c r="V299" s="112">
        <f t="shared" si="707"/>
        <v>288</v>
      </c>
      <c r="AN299" s="127">
        <v>45257.375</v>
      </c>
      <c r="AO299">
        <v>2</v>
      </c>
      <c r="AP299" s="13">
        <f t="shared" si="709"/>
        <v>2836800.0000001397</v>
      </c>
      <c r="AQ299">
        <f t="shared" si="710"/>
        <v>192</v>
      </c>
      <c r="AR299" s="13">
        <f t="shared" si="711"/>
        <v>2836800.0000001397</v>
      </c>
      <c r="AS299" s="112">
        <f t="shared" si="712"/>
        <v>192</v>
      </c>
    </row>
    <row r="300" spans="17:45" x14ac:dyDescent="0.25">
      <c r="Q300" s="127">
        <v>45257.479166666657</v>
      </c>
      <c r="R300">
        <v>1</v>
      </c>
      <c r="S300" s="13">
        <f t="shared" si="708"/>
        <v>2845800.0000001397</v>
      </c>
      <c r="T300">
        <f t="shared" si="705"/>
        <v>96</v>
      </c>
      <c r="U300" s="13">
        <f t="shared" si="706"/>
        <v>2845800.0000001397</v>
      </c>
      <c r="V300" s="112">
        <f t="shared" si="707"/>
        <v>96</v>
      </c>
      <c r="AN300" s="127">
        <v>45257.479166666657</v>
      </c>
      <c r="AO300">
        <v>1</v>
      </c>
      <c r="AP300" s="13">
        <f t="shared" si="709"/>
        <v>2845800.0000001397</v>
      </c>
      <c r="AQ300">
        <f t="shared" si="710"/>
        <v>96</v>
      </c>
      <c r="AR300" s="13">
        <f t="shared" si="711"/>
        <v>2845800.0000001397</v>
      </c>
      <c r="AS300" s="112">
        <f t="shared" si="712"/>
        <v>96</v>
      </c>
    </row>
    <row r="301" spans="17:45" x14ac:dyDescent="0.25">
      <c r="Q301" s="127">
        <v>45257.583333333343</v>
      </c>
      <c r="R301">
        <v>1</v>
      </c>
      <c r="S301" s="13">
        <f t="shared" si="708"/>
        <v>2854800.0000001397</v>
      </c>
      <c r="T301">
        <f t="shared" si="705"/>
        <v>96</v>
      </c>
      <c r="U301" s="13">
        <f t="shared" si="706"/>
        <v>2854800.0000001397</v>
      </c>
      <c r="V301" s="112">
        <f t="shared" si="707"/>
        <v>96</v>
      </c>
      <c r="AN301" s="127">
        <v>45257.583333333343</v>
      </c>
      <c r="AO301">
        <v>1</v>
      </c>
      <c r="AP301" s="13">
        <f t="shared" si="709"/>
        <v>2854800.0000001397</v>
      </c>
      <c r="AQ301">
        <f t="shared" si="710"/>
        <v>96</v>
      </c>
      <c r="AR301" s="13">
        <f t="shared" si="711"/>
        <v>2854800.0000001397</v>
      </c>
      <c r="AS301" s="112">
        <f t="shared" si="712"/>
        <v>96</v>
      </c>
    </row>
    <row r="302" spans="17:45" x14ac:dyDescent="0.25">
      <c r="Q302" s="127">
        <v>45257.6875</v>
      </c>
      <c r="R302">
        <v>1</v>
      </c>
      <c r="S302" s="13">
        <f t="shared" si="708"/>
        <v>2863800.0000001397</v>
      </c>
      <c r="T302">
        <f t="shared" si="705"/>
        <v>96</v>
      </c>
      <c r="U302" s="13">
        <f t="shared" si="706"/>
        <v>2863800.0000001397</v>
      </c>
      <c r="V302" s="112">
        <f t="shared" si="707"/>
        <v>96</v>
      </c>
      <c r="AN302" s="127">
        <v>45257.6875</v>
      </c>
      <c r="AO302">
        <v>0</v>
      </c>
      <c r="AP302" s="13">
        <f t="shared" si="709"/>
        <v>2863800.0000001397</v>
      </c>
      <c r="AQ302">
        <f t="shared" si="710"/>
        <v>0</v>
      </c>
      <c r="AR302" s="13">
        <f t="shared" si="711"/>
        <v>2863800.0000001397</v>
      </c>
      <c r="AS302" s="112">
        <f t="shared" si="712"/>
        <v>1E-10</v>
      </c>
    </row>
    <row r="303" spans="17:45" x14ac:dyDescent="0.25">
      <c r="Q303" s="127">
        <v>45257.791666666657</v>
      </c>
      <c r="R303">
        <v>1</v>
      </c>
      <c r="S303" s="13">
        <f t="shared" si="708"/>
        <v>2872800.0000001397</v>
      </c>
      <c r="T303">
        <f t="shared" si="705"/>
        <v>96</v>
      </c>
      <c r="U303" s="13">
        <f t="shared" si="706"/>
        <v>2872800.0000001397</v>
      </c>
      <c r="V303" s="112">
        <f t="shared" si="707"/>
        <v>96</v>
      </c>
      <c r="AN303" s="127">
        <v>45257.791666666657</v>
      </c>
      <c r="AO303">
        <v>1</v>
      </c>
      <c r="AP303" s="13">
        <f t="shared" si="709"/>
        <v>2872800.0000001397</v>
      </c>
      <c r="AQ303">
        <f t="shared" si="710"/>
        <v>96</v>
      </c>
      <c r="AR303" s="13">
        <f t="shared" si="711"/>
        <v>2872800.0000001397</v>
      </c>
      <c r="AS303" s="112">
        <f t="shared" si="712"/>
        <v>96</v>
      </c>
    </row>
    <row r="304" spans="17:45" x14ac:dyDescent="0.25">
      <c r="Q304" s="127">
        <v>45257.895833333343</v>
      </c>
      <c r="R304">
        <v>1</v>
      </c>
      <c r="S304" s="13">
        <f t="shared" si="708"/>
        <v>2881800.0000001397</v>
      </c>
      <c r="T304">
        <f t="shared" si="705"/>
        <v>96</v>
      </c>
      <c r="U304" s="13">
        <f t="shared" si="706"/>
        <v>2881800.0000001397</v>
      </c>
      <c r="V304" s="112">
        <f t="shared" si="707"/>
        <v>96</v>
      </c>
      <c r="AN304" s="127">
        <v>45257.895833333343</v>
      </c>
      <c r="AO304">
        <v>1</v>
      </c>
      <c r="AP304" s="13">
        <f t="shared" si="709"/>
        <v>2881800.0000001397</v>
      </c>
      <c r="AQ304">
        <f t="shared" si="710"/>
        <v>96</v>
      </c>
      <c r="AR304" s="13">
        <f t="shared" si="711"/>
        <v>2881800.0000001397</v>
      </c>
      <c r="AS304" s="112">
        <f t="shared" si="712"/>
        <v>96</v>
      </c>
    </row>
    <row r="305" spans="17:45" x14ac:dyDescent="0.25">
      <c r="Q305" s="127">
        <v>45258</v>
      </c>
      <c r="R305">
        <v>1</v>
      </c>
      <c r="S305" s="13">
        <f t="shared" si="708"/>
        <v>2890800.0000001397</v>
      </c>
      <c r="T305">
        <f t="shared" si="705"/>
        <v>96</v>
      </c>
      <c r="U305" s="13">
        <f t="shared" si="706"/>
        <v>2890800.0000001397</v>
      </c>
      <c r="V305" s="112">
        <f t="shared" si="707"/>
        <v>96</v>
      </c>
      <c r="AN305" s="127">
        <v>45258</v>
      </c>
      <c r="AO305">
        <v>1</v>
      </c>
      <c r="AP305" s="13">
        <f t="shared" si="709"/>
        <v>2890800.0000001397</v>
      </c>
      <c r="AQ305">
        <f t="shared" si="710"/>
        <v>96</v>
      </c>
      <c r="AR305" s="13">
        <f t="shared" si="711"/>
        <v>2890800.0000001397</v>
      </c>
      <c r="AS305" s="112">
        <f t="shared" si="712"/>
        <v>96</v>
      </c>
    </row>
    <row r="306" spans="17:45" x14ac:dyDescent="0.25">
      <c r="Q306" s="127">
        <v>45258.104166666657</v>
      </c>
      <c r="R306">
        <v>1</v>
      </c>
      <c r="S306" s="13">
        <f t="shared" si="708"/>
        <v>2899800.0000001397</v>
      </c>
      <c r="T306">
        <f t="shared" si="705"/>
        <v>96</v>
      </c>
      <c r="U306" s="13">
        <f t="shared" si="706"/>
        <v>2899800.0000001397</v>
      </c>
      <c r="V306" s="112">
        <f t="shared" si="707"/>
        <v>96</v>
      </c>
      <c r="AN306" s="127">
        <v>45258.104166666657</v>
      </c>
      <c r="AO306">
        <v>1</v>
      </c>
      <c r="AP306" s="13">
        <f t="shared" si="709"/>
        <v>2899800.0000001397</v>
      </c>
      <c r="AQ306">
        <f t="shared" si="710"/>
        <v>96</v>
      </c>
      <c r="AR306" s="13">
        <f t="shared" si="711"/>
        <v>2899800.0000001397</v>
      </c>
      <c r="AS306" s="112">
        <f t="shared" si="712"/>
        <v>96</v>
      </c>
    </row>
    <row r="307" spans="17:45" x14ac:dyDescent="0.25">
      <c r="Q307" s="127">
        <v>45258.208333333343</v>
      </c>
      <c r="R307">
        <v>1</v>
      </c>
      <c r="S307" s="13">
        <f t="shared" si="708"/>
        <v>2908800.0000001397</v>
      </c>
      <c r="T307">
        <f t="shared" si="705"/>
        <v>96</v>
      </c>
      <c r="U307" s="13">
        <f t="shared" si="706"/>
        <v>2908800.0000001397</v>
      </c>
      <c r="V307" s="112">
        <f t="shared" si="707"/>
        <v>96</v>
      </c>
      <c r="AN307" s="127">
        <v>45258.208333333343</v>
      </c>
      <c r="AO307">
        <v>1</v>
      </c>
      <c r="AP307" s="13">
        <f t="shared" si="709"/>
        <v>2908800.0000001397</v>
      </c>
      <c r="AQ307">
        <f t="shared" si="710"/>
        <v>96</v>
      </c>
      <c r="AR307" s="13">
        <f t="shared" si="711"/>
        <v>2908800.0000001397</v>
      </c>
      <c r="AS307" s="112">
        <f t="shared" si="712"/>
        <v>96</v>
      </c>
    </row>
    <row r="308" spans="17:45" x14ac:dyDescent="0.25">
      <c r="Q308" s="127">
        <v>45258.3125</v>
      </c>
      <c r="R308">
        <v>1</v>
      </c>
      <c r="S308" s="13">
        <f t="shared" si="708"/>
        <v>2917800.0000001397</v>
      </c>
      <c r="T308">
        <f t="shared" si="705"/>
        <v>96</v>
      </c>
      <c r="U308" s="13">
        <f t="shared" si="706"/>
        <v>2917800.0000001397</v>
      </c>
      <c r="V308" s="112">
        <f t="shared" si="707"/>
        <v>96</v>
      </c>
      <c r="AN308" s="127">
        <v>45258.3125</v>
      </c>
      <c r="AO308">
        <v>1</v>
      </c>
      <c r="AP308" s="13">
        <f t="shared" si="709"/>
        <v>2917800.0000001397</v>
      </c>
      <c r="AQ308">
        <f t="shared" si="710"/>
        <v>96</v>
      </c>
      <c r="AR308" s="13">
        <f t="shared" si="711"/>
        <v>2917800.0000001397</v>
      </c>
      <c r="AS308" s="112">
        <f t="shared" si="712"/>
        <v>96</v>
      </c>
    </row>
    <row r="309" spans="17:45" x14ac:dyDescent="0.25">
      <c r="Q309" s="127">
        <v>45258.416666666657</v>
      </c>
      <c r="R309">
        <v>1</v>
      </c>
      <c r="S309" s="13">
        <f t="shared" si="708"/>
        <v>2926800.0000001397</v>
      </c>
      <c r="T309">
        <f t="shared" si="705"/>
        <v>96</v>
      </c>
      <c r="U309" s="13">
        <f t="shared" si="706"/>
        <v>2926800.0000001397</v>
      </c>
      <c r="V309" s="112">
        <f t="shared" si="707"/>
        <v>96</v>
      </c>
      <c r="AN309" s="127">
        <v>45258.416666666657</v>
      </c>
      <c r="AO309">
        <v>1</v>
      </c>
      <c r="AP309" s="13">
        <f t="shared" si="709"/>
        <v>2926800.0000001397</v>
      </c>
      <c r="AQ309">
        <f t="shared" si="710"/>
        <v>96</v>
      </c>
      <c r="AR309" s="13">
        <f t="shared" si="711"/>
        <v>2926800.0000001397</v>
      </c>
      <c r="AS309" s="112">
        <f t="shared" si="712"/>
        <v>96</v>
      </c>
    </row>
    <row r="310" spans="17:45" x14ac:dyDescent="0.25">
      <c r="Q310" s="127">
        <v>45258.520833333343</v>
      </c>
      <c r="R310">
        <v>1</v>
      </c>
      <c r="S310" s="13">
        <f t="shared" si="708"/>
        <v>2935800.0000001397</v>
      </c>
      <c r="T310">
        <f t="shared" si="705"/>
        <v>96</v>
      </c>
      <c r="U310" s="13">
        <f t="shared" si="706"/>
        <v>2935800.0000001397</v>
      </c>
      <c r="V310" s="112">
        <f t="shared" si="707"/>
        <v>96</v>
      </c>
      <c r="AN310" s="127">
        <v>45258.520833333343</v>
      </c>
      <c r="AO310">
        <v>1</v>
      </c>
      <c r="AP310" s="13">
        <f t="shared" si="709"/>
        <v>2935800.0000001397</v>
      </c>
      <c r="AQ310">
        <f t="shared" si="710"/>
        <v>96</v>
      </c>
      <c r="AR310" s="13">
        <f t="shared" si="711"/>
        <v>2935800.0000001397</v>
      </c>
      <c r="AS310" s="112">
        <f t="shared" si="712"/>
        <v>96</v>
      </c>
    </row>
    <row r="311" spans="17:45" x14ac:dyDescent="0.25">
      <c r="Q311" s="127">
        <v>45258.625</v>
      </c>
      <c r="R311">
        <v>1</v>
      </c>
      <c r="S311" s="13">
        <f t="shared" si="708"/>
        <v>2944800.0000001397</v>
      </c>
      <c r="T311">
        <f t="shared" si="705"/>
        <v>96</v>
      </c>
      <c r="U311" s="13">
        <f t="shared" si="706"/>
        <v>2944800.0000001397</v>
      </c>
      <c r="V311" s="112">
        <f t="shared" si="707"/>
        <v>96</v>
      </c>
      <c r="AN311" s="127">
        <v>45258.625</v>
      </c>
      <c r="AO311">
        <v>1</v>
      </c>
      <c r="AP311" s="13">
        <f t="shared" si="709"/>
        <v>2944800.0000001397</v>
      </c>
      <c r="AQ311">
        <f t="shared" si="710"/>
        <v>96</v>
      </c>
      <c r="AR311" s="13">
        <f t="shared" si="711"/>
        <v>2944800.0000001397</v>
      </c>
      <c r="AS311" s="112">
        <f t="shared" si="712"/>
        <v>96</v>
      </c>
    </row>
    <row r="312" spans="17:45" x14ac:dyDescent="0.25">
      <c r="Q312" s="127">
        <v>45258.729166666657</v>
      </c>
      <c r="R312">
        <v>1</v>
      </c>
      <c r="S312" s="13">
        <f t="shared" si="708"/>
        <v>2953800.0000001397</v>
      </c>
      <c r="T312">
        <f t="shared" si="705"/>
        <v>96</v>
      </c>
      <c r="U312" s="13">
        <f t="shared" si="706"/>
        <v>2953800.0000001397</v>
      </c>
      <c r="V312" s="112">
        <f t="shared" si="707"/>
        <v>96</v>
      </c>
      <c r="AN312" s="127">
        <v>45258.729166666657</v>
      </c>
      <c r="AO312">
        <v>1</v>
      </c>
      <c r="AP312" s="13">
        <f t="shared" si="709"/>
        <v>2953800.0000001397</v>
      </c>
      <c r="AQ312">
        <f t="shared" si="710"/>
        <v>96</v>
      </c>
      <c r="AR312" s="13">
        <f t="shared" si="711"/>
        <v>2953800.0000001397</v>
      </c>
      <c r="AS312" s="112">
        <f t="shared" si="712"/>
        <v>96</v>
      </c>
    </row>
    <row r="313" spans="17:45" x14ac:dyDescent="0.25">
      <c r="Q313" s="127">
        <v>45258.833333333343</v>
      </c>
      <c r="R313">
        <v>1</v>
      </c>
      <c r="S313" s="13">
        <f t="shared" si="708"/>
        <v>2962800.0000001397</v>
      </c>
      <c r="T313">
        <f t="shared" si="705"/>
        <v>96</v>
      </c>
      <c r="U313" s="13">
        <f t="shared" si="706"/>
        <v>2962800.0000001397</v>
      </c>
      <c r="V313" s="112">
        <f t="shared" si="707"/>
        <v>96</v>
      </c>
      <c r="AN313" s="127">
        <v>45258.833333333343</v>
      </c>
      <c r="AO313">
        <v>1</v>
      </c>
      <c r="AP313" s="13">
        <f t="shared" si="709"/>
        <v>2962800.0000001397</v>
      </c>
      <c r="AQ313">
        <f t="shared" si="710"/>
        <v>96</v>
      </c>
      <c r="AR313" s="13">
        <f t="shared" si="711"/>
        <v>2962800.0000001397</v>
      </c>
      <c r="AS313" s="112">
        <f t="shared" si="712"/>
        <v>96</v>
      </c>
    </row>
    <row r="314" spans="17:45" x14ac:dyDescent="0.25">
      <c r="Q314" s="127">
        <v>45258.9375</v>
      </c>
      <c r="R314">
        <v>1</v>
      </c>
      <c r="S314" s="13">
        <f t="shared" si="708"/>
        <v>2971800.0000001397</v>
      </c>
      <c r="T314">
        <f t="shared" si="705"/>
        <v>96</v>
      </c>
      <c r="U314" s="13">
        <f t="shared" si="706"/>
        <v>2971800.0000001397</v>
      </c>
      <c r="V314" s="112">
        <f t="shared" si="707"/>
        <v>96</v>
      </c>
      <c r="AN314" s="127">
        <v>45258.9375</v>
      </c>
      <c r="AO314">
        <v>1</v>
      </c>
      <c r="AP314" s="13">
        <f t="shared" si="709"/>
        <v>2971800.0000001397</v>
      </c>
      <c r="AQ314">
        <f t="shared" si="710"/>
        <v>96</v>
      </c>
      <c r="AR314" s="13">
        <f t="shared" si="711"/>
        <v>2971800.0000001397</v>
      </c>
      <c r="AS314" s="112">
        <f t="shared" si="712"/>
        <v>96</v>
      </c>
    </row>
    <row r="315" spans="17:45" x14ac:dyDescent="0.25">
      <c r="Q315" s="127">
        <v>45259.041666666657</v>
      </c>
      <c r="R315">
        <v>0</v>
      </c>
      <c r="S315" s="13">
        <f t="shared" si="708"/>
        <v>2980800.0000001397</v>
      </c>
      <c r="T315">
        <f t="shared" si="705"/>
        <v>0</v>
      </c>
      <c r="U315" s="13">
        <f t="shared" si="706"/>
        <v>2980800.0000001397</v>
      </c>
      <c r="V315" s="112">
        <f t="shared" si="707"/>
        <v>1E-10</v>
      </c>
      <c r="AN315" s="127">
        <v>45259.041666666657</v>
      </c>
      <c r="AO315">
        <v>1</v>
      </c>
      <c r="AP315" s="13">
        <f t="shared" si="709"/>
        <v>2980800.0000001397</v>
      </c>
      <c r="AQ315">
        <f t="shared" si="710"/>
        <v>96</v>
      </c>
      <c r="AR315" s="13">
        <f t="shared" si="711"/>
        <v>2980800.0000001397</v>
      </c>
      <c r="AS315" s="112">
        <f t="shared" si="712"/>
        <v>96</v>
      </c>
    </row>
    <row r="316" spans="17:45" x14ac:dyDescent="0.25">
      <c r="Q316" s="127">
        <v>45259.145833333343</v>
      </c>
      <c r="R316">
        <v>1</v>
      </c>
      <c r="S316" s="13">
        <f t="shared" si="708"/>
        <v>2989800.0000001397</v>
      </c>
      <c r="T316">
        <f t="shared" si="705"/>
        <v>96</v>
      </c>
      <c r="U316" s="13">
        <f t="shared" si="706"/>
        <v>2989800.0000001397</v>
      </c>
      <c r="V316" s="112">
        <f t="shared" si="707"/>
        <v>96</v>
      </c>
      <c r="AN316" s="127">
        <v>45259.145833333343</v>
      </c>
      <c r="AO316">
        <v>1</v>
      </c>
      <c r="AP316" s="13">
        <f t="shared" si="709"/>
        <v>2989800.0000001397</v>
      </c>
      <c r="AQ316">
        <f t="shared" si="710"/>
        <v>96</v>
      </c>
      <c r="AR316" s="13">
        <f t="shared" si="711"/>
        <v>2989800.0000001397</v>
      </c>
      <c r="AS316" s="112">
        <f t="shared" si="712"/>
        <v>96</v>
      </c>
    </row>
    <row r="317" spans="17:45" x14ac:dyDescent="0.25">
      <c r="Q317" s="127">
        <v>45259.25</v>
      </c>
      <c r="R317">
        <v>1</v>
      </c>
      <c r="S317" s="13">
        <f t="shared" si="708"/>
        <v>2998800.0000001397</v>
      </c>
      <c r="T317">
        <f t="shared" si="705"/>
        <v>96</v>
      </c>
      <c r="U317" s="13">
        <f t="shared" si="706"/>
        <v>2998800.0000001397</v>
      </c>
      <c r="V317" s="112">
        <f t="shared" si="707"/>
        <v>96</v>
      </c>
      <c r="AN317" s="127">
        <v>45259.25</v>
      </c>
      <c r="AO317">
        <v>1</v>
      </c>
      <c r="AP317" s="13">
        <f t="shared" si="709"/>
        <v>2998800.0000001397</v>
      </c>
      <c r="AQ317">
        <f t="shared" si="710"/>
        <v>96</v>
      </c>
      <c r="AR317" s="13">
        <f t="shared" si="711"/>
        <v>2998800.0000001397</v>
      </c>
      <c r="AS317" s="112">
        <f t="shared" si="712"/>
        <v>96</v>
      </c>
    </row>
    <row r="318" spans="17:45" x14ac:dyDescent="0.25">
      <c r="Q318" s="127">
        <v>45259.354166666657</v>
      </c>
      <c r="R318">
        <v>1</v>
      </c>
      <c r="S318" s="13">
        <f t="shared" si="708"/>
        <v>3007800.0000001397</v>
      </c>
      <c r="T318">
        <f t="shared" si="705"/>
        <v>96</v>
      </c>
      <c r="U318" s="13">
        <f t="shared" si="706"/>
        <v>3007800.0000001397</v>
      </c>
      <c r="V318" s="112">
        <f t="shared" si="707"/>
        <v>96</v>
      </c>
      <c r="AN318" s="127">
        <v>45259.354166666657</v>
      </c>
      <c r="AO318">
        <v>1</v>
      </c>
      <c r="AP318" s="13">
        <f t="shared" si="709"/>
        <v>3007800.0000001397</v>
      </c>
      <c r="AQ318">
        <f t="shared" si="710"/>
        <v>96</v>
      </c>
      <c r="AR318" s="13">
        <f t="shared" si="711"/>
        <v>3007800.0000001397</v>
      </c>
      <c r="AS318" s="112">
        <f t="shared" si="712"/>
        <v>96</v>
      </c>
    </row>
    <row r="319" spans="17:45" x14ac:dyDescent="0.25">
      <c r="Q319" s="127">
        <v>45259.458333333343</v>
      </c>
      <c r="R319">
        <v>1</v>
      </c>
      <c r="S319" s="13">
        <f t="shared" si="708"/>
        <v>3016800.0000001397</v>
      </c>
      <c r="T319">
        <f t="shared" si="705"/>
        <v>96</v>
      </c>
      <c r="U319" s="13">
        <f t="shared" si="706"/>
        <v>3016800.0000001397</v>
      </c>
      <c r="V319" s="112">
        <f t="shared" si="707"/>
        <v>96</v>
      </c>
      <c r="AN319" s="127">
        <v>45259.458333333343</v>
      </c>
      <c r="AO319">
        <v>1</v>
      </c>
      <c r="AP319" s="13">
        <f t="shared" si="709"/>
        <v>3016800.0000001397</v>
      </c>
      <c r="AQ319">
        <f t="shared" si="710"/>
        <v>96</v>
      </c>
      <c r="AR319" s="13">
        <f t="shared" si="711"/>
        <v>3016800.0000001397</v>
      </c>
      <c r="AS319" s="112">
        <f t="shared" si="712"/>
        <v>96</v>
      </c>
    </row>
    <row r="320" spans="17:45" x14ac:dyDescent="0.25">
      <c r="Q320" s="127">
        <v>45259.5625</v>
      </c>
      <c r="R320">
        <v>1</v>
      </c>
      <c r="S320" s="13">
        <f t="shared" si="708"/>
        <v>3025800.0000001397</v>
      </c>
      <c r="T320">
        <f t="shared" si="705"/>
        <v>96</v>
      </c>
      <c r="U320" s="13">
        <f t="shared" si="706"/>
        <v>3025800.0000001397</v>
      </c>
      <c r="V320" s="112">
        <f t="shared" si="707"/>
        <v>96</v>
      </c>
      <c r="AN320" s="127">
        <v>45259.5625</v>
      </c>
      <c r="AO320">
        <v>1</v>
      </c>
      <c r="AP320" s="13">
        <f t="shared" si="709"/>
        <v>3025800.0000001397</v>
      </c>
      <c r="AQ320">
        <f t="shared" si="710"/>
        <v>96</v>
      </c>
      <c r="AR320" s="13">
        <f t="shared" si="711"/>
        <v>3025800.0000001397</v>
      </c>
      <c r="AS320" s="112">
        <f t="shared" si="712"/>
        <v>96</v>
      </c>
    </row>
    <row r="321" spans="17:45" x14ac:dyDescent="0.25">
      <c r="Q321" s="127">
        <v>45259.666666666657</v>
      </c>
      <c r="R321">
        <v>1</v>
      </c>
      <c r="S321" s="13">
        <f t="shared" si="708"/>
        <v>3034800.0000001397</v>
      </c>
      <c r="T321">
        <f t="shared" si="705"/>
        <v>96</v>
      </c>
      <c r="U321" s="13">
        <f t="shared" si="706"/>
        <v>3034800.0000001397</v>
      </c>
      <c r="V321" s="112">
        <f t="shared" si="707"/>
        <v>96</v>
      </c>
      <c r="AN321" s="127">
        <v>45259.666666666657</v>
      </c>
      <c r="AO321">
        <v>1</v>
      </c>
      <c r="AP321" s="13">
        <f t="shared" si="709"/>
        <v>3034800.0000001397</v>
      </c>
      <c r="AQ321">
        <f t="shared" si="710"/>
        <v>96</v>
      </c>
      <c r="AR321" s="13">
        <f t="shared" si="711"/>
        <v>3034800.0000001397</v>
      </c>
      <c r="AS321" s="112">
        <f t="shared" si="712"/>
        <v>96</v>
      </c>
    </row>
    <row r="322" spans="17:45" x14ac:dyDescent="0.25">
      <c r="Q322" s="127">
        <v>45259.770833333343</v>
      </c>
      <c r="R322">
        <v>1</v>
      </c>
      <c r="S322" s="13">
        <f t="shared" si="708"/>
        <v>3043800.0000001397</v>
      </c>
      <c r="T322">
        <f t="shared" si="705"/>
        <v>96</v>
      </c>
      <c r="U322" s="13">
        <f t="shared" si="706"/>
        <v>3043800.0000001397</v>
      </c>
      <c r="V322" s="112">
        <f t="shared" si="707"/>
        <v>96</v>
      </c>
      <c r="AN322" s="127">
        <v>45259.770833333343</v>
      </c>
      <c r="AO322">
        <v>1</v>
      </c>
      <c r="AP322" s="13">
        <f t="shared" si="709"/>
        <v>3043800.0000001397</v>
      </c>
      <c r="AQ322">
        <f t="shared" si="710"/>
        <v>96</v>
      </c>
      <c r="AR322" s="13">
        <f t="shared" si="711"/>
        <v>3043800.0000001397</v>
      </c>
      <c r="AS322" s="112">
        <f t="shared" si="712"/>
        <v>96</v>
      </c>
    </row>
    <row r="323" spans="17:45" x14ac:dyDescent="0.25">
      <c r="Q323" s="127">
        <v>45259.875</v>
      </c>
      <c r="R323">
        <v>1</v>
      </c>
      <c r="S323" s="13">
        <f t="shared" si="708"/>
        <v>3052800.0000001397</v>
      </c>
      <c r="T323">
        <f t="shared" ref="T323:T386" si="713">R323*96</f>
        <v>96</v>
      </c>
      <c r="U323" s="13">
        <f t="shared" ref="U323:U386" si="714">S323</f>
        <v>3052800.0000001397</v>
      </c>
      <c r="V323" s="112">
        <f t="shared" ref="V323:V386" si="715">IF(T323=0,0.0000000001,T323)</f>
        <v>96</v>
      </c>
      <c r="AN323" s="127">
        <v>45259.875</v>
      </c>
      <c r="AO323">
        <v>1</v>
      </c>
      <c r="AP323" s="13">
        <f t="shared" si="709"/>
        <v>3052800.0000001397</v>
      </c>
      <c r="AQ323">
        <f t="shared" si="710"/>
        <v>96</v>
      </c>
      <c r="AR323" s="13">
        <f t="shared" si="711"/>
        <v>3052800.0000001397</v>
      </c>
      <c r="AS323" s="112">
        <f t="shared" si="712"/>
        <v>96</v>
      </c>
    </row>
    <row r="324" spans="17:45" x14ac:dyDescent="0.25">
      <c r="Q324" s="127">
        <v>45259.979166666657</v>
      </c>
      <c r="R324">
        <v>1</v>
      </c>
      <c r="S324" s="13">
        <f t="shared" ref="S324:S387" si="716">S323+150*60</f>
        <v>3061800.0000001397</v>
      </c>
      <c r="T324">
        <f t="shared" si="713"/>
        <v>96</v>
      </c>
      <c r="U324" s="13">
        <f t="shared" si="714"/>
        <v>3061800.0000001397</v>
      </c>
      <c r="V324" s="112">
        <f t="shared" si="715"/>
        <v>96</v>
      </c>
      <c r="AN324" s="127">
        <v>45259.979166666657</v>
      </c>
      <c r="AO324">
        <v>1</v>
      </c>
      <c r="AP324" s="13">
        <f t="shared" ref="AP324:AP387" si="717">AP323+150*60</f>
        <v>3061800.0000001397</v>
      </c>
      <c r="AQ324">
        <f t="shared" si="710"/>
        <v>96</v>
      </c>
      <c r="AR324" s="13">
        <f t="shared" si="711"/>
        <v>3061800.0000001397</v>
      </c>
      <c r="AS324" s="112">
        <f t="shared" si="712"/>
        <v>96</v>
      </c>
    </row>
    <row r="325" spans="17:45" x14ac:dyDescent="0.25">
      <c r="Q325" s="127">
        <v>45260.083333333343</v>
      </c>
      <c r="R325">
        <v>1</v>
      </c>
      <c r="S325" s="13">
        <f t="shared" si="716"/>
        <v>3070800.0000001397</v>
      </c>
      <c r="T325">
        <f t="shared" si="713"/>
        <v>96</v>
      </c>
      <c r="U325" s="13">
        <f t="shared" si="714"/>
        <v>3070800.0000001397</v>
      </c>
      <c r="V325" s="112">
        <f t="shared" si="715"/>
        <v>96</v>
      </c>
      <c r="AN325" s="127">
        <v>45260.083333333343</v>
      </c>
      <c r="AO325">
        <v>1</v>
      </c>
      <c r="AP325" s="13">
        <f t="shared" si="717"/>
        <v>3070800.0000001397</v>
      </c>
      <c r="AQ325">
        <f t="shared" si="710"/>
        <v>96</v>
      </c>
      <c r="AR325" s="13">
        <f t="shared" si="711"/>
        <v>3070800.0000001397</v>
      </c>
      <c r="AS325" s="112">
        <f t="shared" si="712"/>
        <v>96</v>
      </c>
    </row>
    <row r="326" spans="17:45" x14ac:dyDescent="0.25">
      <c r="Q326" s="127">
        <v>45260.1875</v>
      </c>
      <c r="R326">
        <v>1</v>
      </c>
      <c r="S326" s="13">
        <f t="shared" si="716"/>
        <v>3079800.0000001397</v>
      </c>
      <c r="T326">
        <f t="shared" si="713"/>
        <v>96</v>
      </c>
      <c r="U326" s="13">
        <f t="shared" si="714"/>
        <v>3079800.0000001397</v>
      </c>
      <c r="V326" s="112">
        <f t="shared" si="715"/>
        <v>96</v>
      </c>
      <c r="AN326" s="127">
        <v>45260.1875</v>
      </c>
      <c r="AO326">
        <v>1</v>
      </c>
      <c r="AP326" s="13">
        <f t="shared" si="717"/>
        <v>3079800.0000001397</v>
      </c>
      <c r="AQ326">
        <f t="shared" si="710"/>
        <v>96</v>
      </c>
      <c r="AR326" s="13">
        <f t="shared" si="711"/>
        <v>3079800.0000001397</v>
      </c>
      <c r="AS326" s="112">
        <f t="shared" si="712"/>
        <v>96</v>
      </c>
    </row>
    <row r="327" spans="17:45" x14ac:dyDescent="0.25">
      <c r="Q327" s="127">
        <v>45260.291666666657</v>
      </c>
      <c r="R327">
        <v>1</v>
      </c>
      <c r="S327" s="13">
        <f t="shared" si="716"/>
        <v>3088800.0000001397</v>
      </c>
      <c r="T327">
        <f t="shared" si="713"/>
        <v>96</v>
      </c>
      <c r="U327" s="13">
        <f t="shared" si="714"/>
        <v>3088800.0000001397</v>
      </c>
      <c r="V327" s="112">
        <f t="shared" si="715"/>
        <v>96</v>
      </c>
      <c r="AN327" s="127">
        <v>45260.291666666657</v>
      </c>
      <c r="AO327">
        <v>1</v>
      </c>
      <c r="AP327" s="13">
        <f t="shared" si="717"/>
        <v>3088800.0000001397</v>
      </c>
      <c r="AQ327">
        <f t="shared" si="710"/>
        <v>96</v>
      </c>
      <c r="AR327" s="13">
        <f t="shared" si="711"/>
        <v>3088800.0000001397</v>
      </c>
      <c r="AS327" s="112">
        <f t="shared" si="712"/>
        <v>96</v>
      </c>
    </row>
    <row r="328" spans="17:45" x14ac:dyDescent="0.25">
      <c r="Q328" s="127">
        <v>45260.395833333343</v>
      </c>
      <c r="R328">
        <v>1</v>
      </c>
      <c r="S328" s="13">
        <f t="shared" si="716"/>
        <v>3097800.0000001397</v>
      </c>
      <c r="T328">
        <f t="shared" si="713"/>
        <v>96</v>
      </c>
      <c r="U328" s="13">
        <f t="shared" si="714"/>
        <v>3097800.0000001397</v>
      </c>
      <c r="V328" s="112">
        <f t="shared" si="715"/>
        <v>96</v>
      </c>
      <c r="AN328" s="127">
        <v>45260.395833333343</v>
      </c>
      <c r="AO328">
        <v>1</v>
      </c>
      <c r="AP328" s="13">
        <f t="shared" si="717"/>
        <v>3097800.0000001397</v>
      </c>
      <c r="AQ328">
        <f t="shared" si="710"/>
        <v>96</v>
      </c>
      <c r="AR328" s="13">
        <f t="shared" si="711"/>
        <v>3097800.0000001397</v>
      </c>
      <c r="AS328" s="112">
        <f t="shared" si="712"/>
        <v>96</v>
      </c>
    </row>
    <row r="329" spans="17:45" x14ac:dyDescent="0.25">
      <c r="Q329" s="127">
        <v>45260.5</v>
      </c>
      <c r="R329">
        <v>1</v>
      </c>
      <c r="S329" s="13">
        <f t="shared" si="716"/>
        <v>3106800.0000001397</v>
      </c>
      <c r="T329">
        <f t="shared" si="713"/>
        <v>96</v>
      </c>
      <c r="U329" s="13">
        <f t="shared" si="714"/>
        <v>3106800.0000001397</v>
      </c>
      <c r="V329" s="112">
        <f t="shared" si="715"/>
        <v>96</v>
      </c>
      <c r="AN329" s="127">
        <v>45260.5</v>
      </c>
      <c r="AO329">
        <v>1</v>
      </c>
      <c r="AP329" s="13">
        <f t="shared" si="717"/>
        <v>3106800.0000001397</v>
      </c>
      <c r="AQ329">
        <f t="shared" si="710"/>
        <v>96</v>
      </c>
      <c r="AR329" s="13">
        <f t="shared" si="711"/>
        <v>3106800.0000001397</v>
      </c>
      <c r="AS329" s="112">
        <f t="shared" si="712"/>
        <v>96</v>
      </c>
    </row>
    <row r="330" spans="17:45" x14ac:dyDescent="0.25">
      <c r="Q330" s="127">
        <v>45260.604166666657</v>
      </c>
      <c r="R330">
        <v>0</v>
      </c>
      <c r="S330" s="13">
        <f t="shared" si="716"/>
        <v>3115800.0000001397</v>
      </c>
      <c r="T330">
        <f t="shared" si="713"/>
        <v>0</v>
      </c>
      <c r="U330" s="13">
        <f t="shared" si="714"/>
        <v>3115800.0000001397</v>
      </c>
      <c r="V330" s="112">
        <f t="shared" si="715"/>
        <v>1E-10</v>
      </c>
      <c r="AN330" s="127">
        <v>45260.604166666657</v>
      </c>
      <c r="AO330">
        <v>1</v>
      </c>
      <c r="AP330" s="13">
        <f t="shared" si="717"/>
        <v>3115800.0000001397</v>
      </c>
      <c r="AQ330">
        <f t="shared" si="710"/>
        <v>96</v>
      </c>
      <c r="AR330" s="13">
        <f t="shared" si="711"/>
        <v>3115800.0000001397</v>
      </c>
      <c r="AS330" s="112">
        <f t="shared" si="712"/>
        <v>96</v>
      </c>
    </row>
    <row r="331" spans="17:45" x14ac:dyDescent="0.25">
      <c r="Q331" s="127">
        <v>45260.708333333343</v>
      </c>
      <c r="R331">
        <v>1</v>
      </c>
      <c r="S331" s="13">
        <f t="shared" si="716"/>
        <v>3124800.0000001397</v>
      </c>
      <c r="T331">
        <f t="shared" si="713"/>
        <v>96</v>
      </c>
      <c r="U331" s="13">
        <f t="shared" si="714"/>
        <v>3124800.0000001397</v>
      </c>
      <c r="V331" s="112">
        <f t="shared" si="715"/>
        <v>96</v>
      </c>
      <c r="AN331" s="127">
        <v>45260.708333333343</v>
      </c>
      <c r="AO331">
        <v>1</v>
      </c>
      <c r="AP331" s="13">
        <f t="shared" si="717"/>
        <v>3124800.0000001397</v>
      </c>
      <c r="AQ331">
        <f t="shared" si="710"/>
        <v>96</v>
      </c>
      <c r="AR331" s="13">
        <f t="shared" si="711"/>
        <v>3124800.0000001397</v>
      </c>
      <c r="AS331" s="112">
        <f t="shared" si="712"/>
        <v>96</v>
      </c>
    </row>
    <row r="332" spans="17:45" x14ac:dyDescent="0.25">
      <c r="Q332" s="127">
        <v>45260.8125</v>
      </c>
      <c r="R332">
        <v>1</v>
      </c>
      <c r="S332" s="13">
        <f t="shared" si="716"/>
        <v>3133800.0000001397</v>
      </c>
      <c r="T332">
        <f t="shared" si="713"/>
        <v>96</v>
      </c>
      <c r="U332" s="13">
        <f t="shared" si="714"/>
        <v>3133800.0000001397</v>
      </c>
      <c r="V332" s="112">
        <f t="shared" si="715"/>
        <v>96</v>
      </c>
      <c r="AN332" s="127">
        <v>45260.8125</v>
      </c>
      <c r="AO332">
        <v>1</v>
      </c>
      <c r="AP332" s="13">
        <f t="shared" si="717"/>
        <v>3133800.0000001397</v>
      </c>
      <c r="AQ332">
        <f t="shared" si="710"/>
        <v>96</v>
      </c>
      <c r="AR332" s="13">
        <f t="shared" si="711"/>
        <v>3133800.0000001397</v>
      </c>
      <c r="AS332" s="112">
        <f t="shared" si="712"/>
        <v>96</v>
      </c>
    </row>
    <row r="333" spans="17:45" x14ac:dyDescent="0.25">
      <c r="Q333" s="127">
        <v>45260.916666666657</v>
      </c>
      <c r="R333">
        <v>0</v>
      </c>
      <c r="S333" s="13">
        <f t="shared" si="716"/>
        <v>3142800.0000001397</v>
      </c>
      <c r="T333">
        <f t="shared" si="713"/>
        <v>0</v>
      </c>
      <c r="U333" s="13">
        <f t="shared" si="714"/>
        <v>3142800.0000001397</v>
      </c>
      <c r="V333" s="112">
        <f t="shared" si="715"/>
        <v>1E-10</v>
      </c>
      <c r="AN333" s="127">
        <v>45260.916666666657</v>
      </c>
      <c r="AO333">
        <v>1</v>
      </c>
      <c r="AP333" s="13">
        <f t="shared" si="717"/>
        <v>3142800.0000001397</v>
      </c>
      <c r="AQ333">
        <f t="shared" si="710"/>
        <v>96</v>
      </c>
      <c r="AR333" s="13">
        <f t="shared" si="711"/>
        <v>3142800.0000001397</v>
      </c>
      <c r="AS333" s="112">
        <f t="shared" si="712"/>
        <v>96</v>
      </c>
    </row>
    <row r="334" spans="17:45" x14ac:dyDescent="0.25">
      <c r="Q334" s="127">
        <v>45261.020833333343</v>
      </c>
      <c r="R334">
        <v>1</v>
      </c>
      <c r="S334" s="13">
        <f t="shared" si="716"/>
        <v>3151800.0000001397</v>
      </c>
      <c r="T334">
        <f t="shared" si="713"/>
        <v>96</v>
      </c>
      <c r="U334" s="13">
        <f t="shared" si="714"/>
        <v>3151800.0000001397</v>
      </c>
      <c r="V334" s="112">
        <f t="shared" si="715"/>
        <v>96</v>
      </c>
      <c r="AN334" s="127">
        <v>45261.020833333343</v>
      </c>
      <c r="AO334">
        <v>1</v>
      </c>
      <c r="AP334" s="13">
        <f t="shared" si="717"/>
        <v>3151800.0000001397</v>
      </c>
      <c r="AQ334">
        <f t="shared" si="710"/>
        <v>96</v>
      </c>
      <c r="AR334" s="13">
        <f t="shared" si="711"/>
        <v>3151800.0000001397</v>
      </c>
      <c r="AS334" s="112">
        <f t="shared" si="712"/>
        <v>96</v>
      </c>
    </row>
    <row r="335" spans="17:45" x14ac:dyDescent="0.25">
      <c r="Q335" s="127">
        <v>45261.125</v>
      </c>
      <c r="R335">
        <v>1</v>
      </c>
      <c r="S335" s="13">
        <f t="shared" si="716"/>
        <v>3160800.0000001397</v>
      </c>
      <c r="T335">
        <f t="shared" si="713"/>
        <v>96</v>
      </c>
      <c r="U335" s="13">
        <f t="shared" si="714"/>
        <v>3160800.0000001397</v>
      </c>
      <c r="V335" s="112">
        <f t="shared" si="715"/>
        <v>96</v>
      </c>
      <c r="AN335" s="127">
        <v>45261.125</v>
      </c>
      <c r="AO335">
        <v>1</v>
      </c>
      <c r="AP335" s="13">
        <f t="shared" si="717"/>
        <v>3160800.0000001397</v>
      </c>
      <c r="AQ335">
        <f t="shared" si="710"/>
        <v>96</v>
      </c>
      <c r="AR335" s="13">
        <f t="shared" si="711"/>
        <v>3160800.0000001397</v>
      </c>
      <c r="AS335" s="112">
        <f t="shared" si="712"/>
        <v>96</v>
      </c>
    </row>
    <row r="336" spans="17:45" x14ac:dyDescent="0.25">
      <c r="Q336" s="127">
        <v>45261.229166666657</v>
      </c>
      <c r="R336">
        <v>1</v>
      </c>
      <c r="S336" s="13">
        <f t="shared" si="716"/>
        <v>3169800.0000001397</v>
      </c>
      <c r="T336">
        <f t="shared" si="713"/>
        <v>96</v>
      </c>
      <c r="U336" s="13">
        <f t="shared" si="714"/>
        <v>3169800.0000001397</v>
      </c>
      <c r="V336" s="112">
        <f t="shared" si="715"/>
        <v>96</v>
      </c>
      <c r="AN336" s="127">
        <v>45261.229166666657</v>
      </c>
      <c r="AO336">
        <v>1</v>
      </c>
      <c r="AP336" s="13">
        <f t="shared" si="717"/>
        <v>3169800.0000001397</v>
      </c>
      <c r="AQ336">
        <f t="shared" si="710"/>
        <v>96</v>
      </c>
      <c r="AR336" s="13">
        <f t="shared" si="711"/>
        <v>3169800.0000001397</v>
      </c>
      <c r="AS336" s="112">
        <f t="shared" si="712"/>
        <v>96</v>
      </c>
    </row>
    <row r="337" spans="17:45" x14ac:dyDescent="0.25">
      <c r="Q337" s="127">
        <v>45261.333333333343</v>
      </c>
      <c r="R337">
        <v>1</v>
      </c>
      <c r="S337" s="13">
        <f t="shared" si="716"/>
        <v>3178800.0000001397</v>
      </c>
      <c r="T337">
        <f t="shared" si="713"/>
        <v>96</v>
      </c>
      <c r="U337" s="13">
        <f t="shared" si="714"/>
        <v>3178800.0000001397</v>
      </c>
      <c r="V337" s="112">
        <f t="shared" si="715"/>
        <v>96</v>
      </c>
      <c r="AN337" s="127">
        <v>45261.333333333343</v>
      </c>
      <c r="AO337">
        <v>1</v>
      </c>
      <c r="AP337" s="13">
        <f t="shared" si="717"/>
        <v>3178800.0000001397</v>
      </c>
      <c r="AQ337">
        <f t="shared" si="710"/>
        <v>96</v>
      </c>
      <c r="AR337" s="13">
        <f t="shared" si="711"/>
        <v>3178800.0000001397</v>
      </c>
      <c r="AS337" s="112">
        <f t="shared" si="712"/>
        <v>96</v>
      </c>
    </row>
    <row r="338" spans="17:45" x14ac:dyDescent="0.25">
      <c r="Q338" s="127">
        <v>45261.4375</v>
      </c>
      <c r="R338">
        <v>1</v>
      </c>
      <c r="S338" s="13">
        <f t="shared" si="716"/>
        <v>3187800.0000001397</v>
      </c>
      <c r="T338">
        <f t="shared" si="713"/>
        <v>96</v>
      </c>
      <c r="U338" s="13">
        <f t="shared" si="714"/>
        <v>3187800.0000001397</v>
      </c>
      <c r="V338" s="112">
        <f t="shared" si="715"/>
        <v>96</v>
      </c>
      <c r="AN338" s="127">
        <v>45261.4375</v>
      </c>
      <c r="AO338">
        <v>1</v>
      </c>
      <c r="AP338" s="13">
        <f t="shared" si="717"/>
        <v>3187800.0000001397</v>
      </c>
      <c r="AQ338">
        <f t="shared" si="710"/>
        <v>96</v>
      </c>
      <c r="AR338" s="13">
        <f t="shared" si="711"/>
        <v>3187800.0000001397</v>
      </c>
      <c r="AS338" s="112">
        <f t="shared" si="712"/>
        <v>96</v>
      </c>
    </row>
    <row r="339" spans="17:45" x14ac:dyDescent="0.25">
      <c r="Q339" s="127">
        <v>45261.541666666657</v>
      </c>
      <c r="R339">
        <v>1</v>
      </c>
      <c r="S339" s="13">
        <f t="shared" si="716"/>
        <v>3196800.0000001397</v>
      </c>
      <c r="T339">
        <f t="shared" si="713"/>
        <v>96</v>
      </c>
      <c r="U339" s="13">
        <f t="shared" si="714"/>
        <v>3196800.0000001397</v>
      </c>
      <c r="V339" s="112">
        <f t="shared" si="715"/>
        <v>96</v>
      </c>
      <c r="AN339" s="127">
        <v>45261.541666666657</v>
      </c>
      <c r="AO339">
        <v>1</v>
      </c>
      <c r="AP339" s="13">
        <f t="shared" si="717"/>
        <v>3196800.0000001397</v>
      </c>
      <c r="AQ339">
        <f t="shared" si="710"/>
        <v>96</v>
      </c>
      <c r="AR339" s="13">
        <f t="shared" si="711"/>
        <v>3196800.0000001397</v>
      </c>
      <c r="AS339" s="112">
        <f t="shared" si="712"/>
        <v>96</v>
      </c>
    </row>
    <row r="340" spans="17:45" x14ac:dyDescent="0.25">
      <c r="Q340" s="127">
        <v>45261.645833333343</v>
      </c>
      <c r="R340">
        <v>1</v>
      </c>
      <c r="S340" s="13">
        <f t="shared" si="716"/>
        <v>3205800.0000001397</v>
      </c>
      <c r="T340">
        <f t="shared" si="713"/>
        <v>96</v>
      </c>
      <c r="U340" s="13">
        <f t="shared" si="714"/>
        <v>3205800.0000001397</v>
      </c>
      <c r="V340" s="112">
        <f t="shared" si="715"/>
        <v>96</v>
      </c>
      <c r="AN340" s="127">
        <v>45261.645833333343</v>
      </c>
      <c r="AO340">
        <v>1</v>
      </c>
      <c r="AP340" s="13">
        <f t="shared" si="717"/>
        <v>3205800.0000001397</v>
      </c>
      <c r="AQ340">
        <f t="shared" si="710"/>
        <v>96</v>
      </c>
      <c r="AR340" s="13">
        <f t="shared" si="711"/>
        <v>3205800.0000001397</v>
      </c>
      <c r="AS340" s="112">
        <f t="shared" si="712"/>
        <v>96</v>
      </c>
    </row>
    <row r="341" spans="17:45" x14ac:dyDescent="0.25">
      <c r="Q341" s="127">
        <v>45261.75</v>
      </c>
      <c r="R341">
        <v>1</v>
      </c>
      <c r="S341" s="13">
        <f t="shared" si="716"/>
        <v>3214800.0000001397</v>
      </c>
      <c r="T341">
        <f t="shared" si="713"/>
        <v>96</v>
      </c>
      <c r="U341" s="13">
        <f t="shared" si="714"/>
        <v>3214800.0000001397</v>
      </c>
      <c r="V341" s="112">
        <f t="shared" si="715"/>
        <v>96</v>
      </c>
      <c r="AN341" s="127">
        <v>45261.75</v>
      </c>
      <c r="AO341">
        <v>1</v>
      </c>
      <c r="AP341" s="13">
        <f t="shared" si="717"/>
        <v>3214800.0000001397</v>
      </c>
      <c r="AQ341">
        <f t="shared" si="710"/>
        <v>96</v>
      </c>
      <c r="AR341" s="13">
        <f t="shared" si="711"/>
        <v>3214800.0000001397</v>
      </c>
      <c r="AS341" s="112">
        <f t="shared" si="712"/>
        <v>96</v>
      </c>
    </row>
    <row r="342" spans="17:45" x14ac:dyDescent="0.25">
      <c r="Q342" s="127">
        <v>45261.854166666657</v>
      </c>
      <c r="R342">
        <v>1</v>
      </c>
      <c r="S342" s="13">
        <f t="shared" si="716"/>
        <v>3223800.0000001397</v>
      </c>
      <c r="T342">
        <f t="shared" si="713"/>
        <v>96</v>
      </c>
      <c r="U342" s="13">
        <f t="shared" si="714"/>
        <v>3223800.0000001397</v>
      </c>
      <c r="V342" s="112">
        <f t="shared" si="715"/>
        <v>96</v>
      </c>
      <c r="AN342" s="127">
        <v>45261.854166666657</v>
      </c>
      <c r="AO342">
        <v>1</v>
      </c>
      <c r="AP342" s="13">
        <f t="shared" si="717"/>
        <v>3223800.0000001397</v>
      </c>
      <c r="AQ342">
        <f t="shared" si="710"/>
        <v>96</v>
      </c>
      <c r="AR342" s="13">
        <f t="shared" si="711"/>
        <v>3223800.0000001397</v>
      </c>
      <c r="AS342" s="112">
        <f t="shared" si="712"/>
        <v>96</v>
      </c>
    </row>
    <row r="343" spans="17:45" x14ac:dyDescent="0.25">
      <c r="Q343" s="127">
        <v>45261.958333333343</v>
      </c>
      <c r="R343">
        <v>1</v>
      </c>
      <c r="S343" s="13">
        <f t="shared" si="716"/>
        <v>3232800.0000001397</v>
      </c>
      <c r="T343">
        <f t="shared" si="713"/>
        <v>96</v>
      </c>
      <c r="U343" s="13">
        <f t="shared" si="714"/>
        <v>3232800.0000001397</v>
      </c>
      <c r="V343" s="112">
        <f t="shared" si="715"/>
        <v>96</v>
      </c>
      <c r="AN343" s="127">
        <v>45261.958333333343</v>
      </c>
      <c r="AO343">
        <v>1</v>
      </c>
      <c r="AP343" s="13">
        <f t="shared" si="717"/>
        <v>3232800.0000001397</v>
      </c>
      <c r="AQ343">
        <f t="shared" si="710"/>
        <v>96</v>
      </c>
      <c r="AR343" s="13">
        <f t="shared" si="711"/>
        <v>3232800.0000001397</v>
      </c>
      <c r="AS343" s="112">
        <f t="shared" si="712"/>
        <v>96</v>
      </c>
    </row>
    <row r="344" spans="17:45" x14ac:dyDescent="0.25">
      <c r="Q344" s="127">
        <v>45262.0625</v>
      </c>
      <c r="R344">
        <v>1</v>
      </c>
      <c r="S344" s="13">
        <f t="shared" si="716"/>
        <v>3241800.0000001397</v>
      </c>
      <c r="T344">
        <f t="shared" si="713"/>
        <v>96</v>
      </c>
      <c r="U344" s="13">
        <f t="shared" si="714"/>
        <v>3241800.0000001397</v>
      </c>
      <c r="V344" s="112">
        <f t="shared" si="715"/>
        <v>96</v>
      </c>
      <c r="AN344" s="127">
        <v>45262.0625</v>
      </c>
      <c r="AO344">
        <v>1</v>
      </c>
      <c r="AP344" s="13">
        <f t="shared" si="717"/>
        <v>3241800.0000001397</v>
      </c>
      <c r="AQ344">
        <f t="shared" si="710"/>
        <v>96</v>
      </c>
      <c r="AR344" s="13">
        <f t="shared" si="711"/>
        <v>3241800.0000001397</v>
      </c>
      <c r="AS344" s="112">
        <f t="shared" si="712"/>
        <v>96</v>
      </c>
    </row>
    <row r="345" spans="17:45" x14ac:dyDescent="0.25">
      <c r="Q345" s="127">
        <v>45262.166666666657</v>
      </c>
      <c r="R345">
        <v>1</v>
      </c>
      <c r="S345" s="13">
        <f t="shared" si="716"/>
        <v>3250800.0000001397</v>
      </c>
      <c r="T345">
        <f t="shared" si="713"/>
        <v>96</v>
      </c>
      <c r="U345" s="13">
        <f t="shared" si="714"/>
        <v>3250800.0000001397</v>
      </c>
      <c r="V345" s="112">
        <f t="shared" si="715"/>
        <v>96</v>
      </c>
      <c r="AN345" s="127">
        <v>45262.166666666657</v>
      </c>
      <c r="AO345">
        <v>1</v>
      </c>
      <c r="AP345" s="13">
        <f t="shared" si="717"/>
        <v>3250800.0000001397</v>
      </c>
      <c r="AQ345">
        <f t="shared" si="710"/>
        <v>96</v>
      </c>
      <c r="AR345" s="13">
        <f t="shared" si="711"/>
        <v>3250800.0000001397</v>
      </c>
      <c r="AS345" s="112">
        <f t="shared" si="712"/>
        <v>96</v>
      </c>
    </row>
    <row r="346" spans="17:45" x14ac:dyDescent="0.25">
      <c r="Q346" s="127">
        <v>45262.270833333343</v>
      </c>
      <c r="R346">
        <v>1</v>
      </c>
      <c r="S346" s="13">
        <f t="shared" si="716"/>
        <v>3259800.0000001397</v>
      </c>
      <c r="T346">
        <f t="shared" si="713"/>
        <v>96</v>
      </c>
      <c r="U346" s="13">
        <f t="shared" si="714"/>
        <v>3259800.0000001397</v>
      </c>
      <c r="V346" s="112">
        <f t="shared" si="715"/>
        <v>96</v>
      </c>
      <c r="AN346" s="127">
        <v>45262.270833333343</v>
      </c>
      <c r="AO346">
        <v>1</v>
      </c>
      <c r="AP346" s="13">
        <f t="shared" si="717"/>
        <v>3259800.0000001397</v>
      </c>
      <c r="AQ346">
        <f t="shared" si="710"/>
        <v>96</v>
      </c>
      <c r="AR346" s="13">
        <f t="shared" si="711"/>
        <v>3259800.0000001397</v>
      </c>
      <c r="AS346" s="112">
        <f t="shared" si="712"/>
        <v>96</v>
      </c>
    </row>
    <row r="347" spans="17:45" x14ac:dyDescent="0.25">
      <c r="Q347" s="127">
        <v>45262.375</v>
      </c>
      <c r="R347">
        <v>1</v>
      </c>
      <c r="S347" s="13">
        <f t="shared" si="716"/>
        <v>3268800.0000001397</v>
      </c>
      <c r="T347">
        <f t="shared" si="713"/>
        <v>96</v>
      </c>
      <c r="U347" s="13">
        <f t="shared" si="714"/>
        <v>3268800.0000001397</v>
      </c>
      <c r="V347" s="112">
        <f t="shared" si="715"/>
        <v>96</v>
      </c>
      <c r="AN347" s="127">
        <v>45262.375</v>
      </c>
      <c r="AO347">
        <v>1</v>
      </c>
      <c r="AP347" s="13">
        <f t="shared" si="717"/>
        <v>3268800.0000001397</v>
      </c>
      <c r="AQ347">
        <f t="shared" si="710"/>
        <v>96</v>
      </c>
      <c r="AR347" s="13">
        <f t="shared" si="711"/>
        <v>3268800.0000001397</v>
      </c>
      <c r="AS347" s="112">
        <f t="shared" si="712"/>
        <v>96</v>
      </c>
    </row>
    <row r="348" spans="17:45" x14ac:dyDescent="0.25">
      <c r="Q348" s="127">
        <v>45262.479166666657</v>
      </c>
      <c r="R348">
        <v>1</v>
      </c>
      <c r="S348" s="13">
        <f t="shared" si="716"/>
        <v>3277800.0000001397</v>
      </c>
      <c r="T348">
        <f t="shared" si="713"/>
        <v>96</v>
      </c>
      <c r="U348" s="13">
        <f t="shared" si="714"/>
        <v>3277800.0000001397</v>
      </c>
      <c r="V348" s="112">
        <f t="shared" si="715"/>
        <v>96</v>
      </c>
      <c r="AN348" s="127">
        <v>45262.479166666657</v>
      </c>
      <c r="AO348">
        <v>1</v>
      </c>
      <c r="AP348" s="13">
        <f t="shared" si="717"/>
        <v>3277800.0000001397</v>
      </c>
      <c r="AQ348">
        <f t="shared" si="710"/>
        <v>96</v>
      </c>
      <c r="AR348" s="13">
        <f t="shared" si="711"/>
        <v>3277800.0000001397</v>
      </c>
      <c r="AS348" s="112">
        <f t="shared" si="712"/>
        <v>96</v>
      </c>
    </row>
    <row r="349" spans="17:45" x14ac:dyDescent="0.25">
      <c r="Q349" s="127">
        <v>45262.583333333343</v>
      </c>
      <c r="R349">
        <v>1</v>
      </c>
      <c r="S349" s="13">
        <f t="shared" si="716"/>
        <v>3286800.0000001397</v>
      </c>
      <c r="T349">
        <f t="shared" si="713"/>
        <v>96</v>
      </c>
      <c r="U349" s="13">
        <f t="shared" si="714"/>
        <v>3286800.0000001397</v>
      </c>
      <c r="V349" s="112">
        <f t="shared" si="715"/>
        <v>96</v>
      </c>
      <c r="AN349" s="127">
        <v>45262.583333333343</v>
      </c>
      <c r="AO349">
        <v>1</v>
      </c>
      <c r="AP349" s="13">
        <f t="shared" si="717"/>
        <v>3286800.0000001397</v>
      </c>
      <c r="AQ349">
        <f t="shared" si="710"/>
        <v>96</v>
      </c>
      <c r="AR349" s="13">
        <f t="shared" si="711"/>
        <v>3286800.0000001397</v>
      </c>
      <c r="AS349" s="112">
        <f t="shared" si="712"/>
        <v>96</v>
      </c>
    </row>
    <row r="350" spans="17:45" x14ac:dyDescent="0.25">
      <c r="Q350" s="127">
        <v>45262.6875</v>
      </c>
      <c r="R350">
        <v>1</v>
      </c>
      <c r="S350" s="13">
        <f t="shared" si="716"/>
        <v>3295800.0000001397</v>
      </c>
      <c r="T350">
        <f t="shared" si="713"/>
        <v>96</v>
      </c>
      <c r="U350" s="13">
        <f t="shared" si="714"/>
        <v>3295800.0000001397</v>
      </c>
      <c r="V350" s="112">
        <f t="shared" si="715"/>
        <v>96</v>
      </c>
      <c r="AN350" s="127">
        <v>45262.6875</v>
      </c>
      <c r="AO350">
        <v>1</v>
      </c>
      <c r="AP350" s="13">
        <f t="shared" si="717"/>
        <v>3295800.0000001397</v>
      </c>
      <c r="AQ350">
        <f t="shared" si="710"/>
        <v>96</v>
      </c>
      <c r="AR350" s="13">
        <f t="shared" si="711"/>
        <v>3295800.0000001397</v>
      </c>
      <c r="AS350" s="112">
        <f t="shared" si="712"/>
        <v>96</v>
      </c>
    </row>
    <row r="351" spans="17:45" x14ac:dyDescent="0.25">
      <c r="Q351" s="127">
        <v>45262.791666666657</v>
      </c>
      <c r="R351">
        <v>1</v>
      </c>
      <c r="S351" s="13">
        <f t="shared" si="716"/>
        <v>3304800.0000001397</v>
      </c>
      <c r="T351">
        <f t="shared" si="713"/>
        <v>96</v>
      </c>
      <c r="U351" s="13">
        <f t="shared" si="714"/>
        <v>3304800.0000001397</v>
      </c>
      <c r="V351" s="112">
        <f t="shared" si="715"/>
        <v>96</v>
      </c>
      <c r="AN351" s="127">
        <v>45262.791666666657</v>
      </c>
      <c r="AO351">
        <v>1</v>
      </c>
      <c r="AP351" s="13">
        <f t="shared" si="717"/>
        <v>3304800.0000001397</v>
      </c>
      <c r="AQ351">
        <f t="shared" si="710"/>
        <v>96</v>
      </c>
      <c r="AR351" s="13">
        <f t="shared" si="711"/>
        <v>3304800.0000001397</v>
      </c>
      <c r="AS351" s="112">
        <f t="shared" si="712"/>
        <v>96</v>
      </c>
    </row>
    <row r="352" spans="17:45" x14ac:dyDescent="0.25">
      <c r="Q352" s="127">
        <v>45262.895833333343</v>
      </c>
      <c r="R352">
        <v>1</v>
      </c>
      <c r="S352" s="13">
        <f t="shared" si="716"/>
        <v>3313800.0000001397</v>
      </c>
      <c r="T352">
        <f t="shared" si="713"/>
        <v>96</v>
      </c>
      <c r="U352" s="13">
        <f t="shared" si="714"/>
        <v>3313800.0000001397</v>
      </c>
      <c r="V352" s="112">
        <f t="shared" si="715"/>
        <v>96</v>
      </c>
      <c r="AN352" s="127">
        <v>45262.895833333343</v>
      </c>
      <c r="AO352">
        <v>1</v>
      </c>
      <c r="AP352" s="13">
        <f t="shared" si="717"/>
        <v>3313800.0000001397</v>
      </c>
      <c r="AQ352">
        <f t="shared" si="710"/>
        <v>96</v>
      </c>
      <c r="AR352" s="13">
        <f t="shared" si="711"/>
        <v>3313800.0000001397</v>
      </c>
      <c r="AS352" s="112">
        <f t="shared" si="712"/>
        <v>96</v>
      </c>
    </row>
    <row r="353" spans="17:45" x14ac:dyDescent="0.25">
      <c r="Q353" s="127">
        <v>45263</v>
      </c>
      <c r="R353">
        <v>1</v>
      </c>
      <c r="S353" s="13">
        <f t="shared" si="716"/>
        <v>3322800.0000001397</v>
      </c>
      <c r="T353">
        <f t="shared" si="713"/>
        <v>96</v>
      </c>
      <c r="U353" s="13">
        <f t="shared" si="714"/>
        <v>3322800.0000001397</v>
      </c>
      <c r="V353" s="112">
        <f t="shared" si="715"/>
        <v>96</v>
      </c>
      <c r="AN353" s="127">
        <v>45263</v>
      </c>
      <c r="AO353">
        <v>1</v>
      </c>
      <c r="AP353" s="13">
        <f t="shared" si="717"/>
        <v>3322800.0000001397</v>
      </c>
      <c r="AQ353">
        <f t="shared" si="710"/>
        <v>96</v>
      </c>
      <c r="AR353" s="13">
        <f t="shared" si="711"/>
        <v>3322800.0000001397</v>
      </c>
      <c r="AS353" s="112">
        <f t="shared" si="712"/>
        <v>96</v>
      </c>
    </row>
    <row r="354" spans="17:45" x14ac:dyDescent="0.25">
      <c r="Q354" s="127">
        <v>45263.104166666657</v>
      </c>
      <c r="R354">
        <v>1</v>
      </c>
      <c r="S354" s="13">
        <f t="shared" si="716"/>
        <v>3331800.0000001397</v>
      </c>
      <c r="T354">
        <f t="shared" si="713"/>
        <v>96</v>
      </c>
      <c r="U354" s="13">
        <f t="shared" si="714"/>
        <v>3331800.0000001397</v>
      </c>
      <c r="V354" s="112">
        <f t="shared" si="715"/>
        <v>96</v>
      </c>
      <c r="AN354" s="127">
        <v>45263.104166666657</v>
      </c>
      <c r="AO354">
        <v>1</v>
      </c>
      <c r="AP354" s="13">
        <f t="shared" si="717"/>
        <v>3331800.0000001397</v>
      </c>
      <c r="AQ354">
        <f t="shared" si="710"/>
        <v>96</v>
      </c>
      <c r="AR354" s="13">
        <f t="shared" si="711"/>
        <v>3331800.0000001397</v>
      </c>
      <c r="AS354" s="112">
        <f t="shared" si="712"/>
        <v>96</v>
      </c>
    </row>
    <row r="355" spans="17:45" x14ac:dyDescent="0.25">
      <c r="Q355" s="127">
        <v>45263.208333333343</v>
      </c>
      <c r="R355">
        <v>1</v>
      </c>
      <c r="S355" s="13">
        <f t="shared" si="716"/>
        <v>3340800.0000001397</v>
      </c>
      <c r="T355">
        <f t="shared" si="713"/>
        <v>96</v>
      </c>
      <c r="U355" s="13">
        <f t="shared" si="714"/>
        <v>3340800.0000001397</v>
      </c>
      <c r="V355" s="112">
        <f t="shared" si="715"/>
        <v>96</v>
      </c>
      <c r="AN355" s="127">
        <v>45263.208333333343</v>
      </c>
      <c r="AO355">
        <v>1</v>
      </c>
      <c r="AP355" s="13">
        <f t="shared" si="717"/>
        <v>3340800.0000001397</v>
      </c>
      <c r="AQ355">
        <f t="shared" ref="AQ355:AQ418" si="718">AO355*96</f>
        <v>96</v>
      </c>
      <c r="AR355" s="13">
        <f t="shared" ref="AR355:AR418" si="719">AP355</f>
        <v>3340800.0000001397</v>
      </c>
      <c r="AS355" s="112">
        <f t="shared" ref="AS355:AS418" si="720">IF(AQ355=0,0.0000000001,AQ355)</f>
        <v>96</v>
      </c>
    </row>
    <row r="356" spans="17:45" x14ac:dyDescent="0.25">
      <c r="Q356" s="127">
        <v>45263.3125</v>
      </c>
      <c r="R356">
        <v>1</v>
      </c>
      <c r="S356" s="13">
        <f t="shared" si="716"/>
        <v>3349800.0000001397</v>
      </c>
      <c r="T356">
        <f t="shared" si="713"/>
        <v>96</v>
      </c>
      <c r="U356" s="13">
        <f t="shared" si="714"/>
        <v>3349800.0000001397</v>
      </c>
      <c r="V356" s="112">
        <f t="shared" si="715"/>
        <v>96</v>
      </c>
      <c r="AN356" s="127">
        <v>45263.3125</v>
      </c>
      <c r="AO356">
        <v>1</v>
      </c>
      <c r="AP356" s="13">
        <f t="shared" si="717"/>
        <v>3349800.0000001397</v>
      </c>
      <c r="AQ356">
        <f t="shared" si="718"/>
        <v>96</v>
      </c>
      <c r="AR356" s="13">
        <f t="shared" si="719"/>
        <v>3349800.0000001397</v>
      </c>
      <c r="AS356" s="112">
        <f t="shared" si="720"/>
        <v>96</v>
      </c>
    </row>
    <row r="357" spans="17:45" x14ac:dyDescent="0.25">
      <c r="Q357" s="127">
        <v>45263.416666666657</v>
      </c>
      <c r="R357">
        <v>1</v>
      </c>
      <c r="S357" s="13">
        <f t="shared" si="716"/>
        <v>3358800.0000001397</v>
      </c>
      <c r="T357">
        <f t="shared" si="713"/>
        <v>96</v>
      </c>
      <c r="U357" s="13">
        <f t="shared" si="714"/>
        <v>3358800.0000001397</v>
      </c>
      <c r="V357" s="112">
        <f t="shared" si="715"/>
        <v>96</v>
      </c>
      <c r="AN357" s="127">
        <v>45263.416666666657</v>
      </c>
      <c r="AO357">
        <v>1</v>
      </c>
      <c r="AP357" s="13">
        <f t="shared" si="717"/>
        <v>3358800.0000001397</v>
      </c>
      <c r="AQ357">
        <f t="shared" si="718"/>
        <v>96</v>
      </c>
      <c r="AR357" s="13">
        <f t="shared" si="719"/>
        <v>3358800.0000001397</v>
      </c>
      <c r="AS357" s="112">
        <f t="shared" si="720"/>
        <v>96</v>
      </c>
    </row>
    <row r="358" spans="17:45" x14ac:dyDescent="0.25">
      <c r="Q358" s="127">
        <v>45263.520833333343</v>
      </c>
      <c r="R358">
        <v>1</v>
      </c>
      <c r="S358" s="13">
        <f t="shared" si="716"/>
        <v>3367800.0000001397</v>
      </c>
      <c r="T358">
        <f t="shared" si="713"/>
        <v>96</v>
      </c>
      <c r="U358" s="13">
        <f t="shared" si="714"/>
        <v>3367800.0000001397</v>
      </c>
      <c r="V358" s="112">
        <f t="shared" si="715"/>
        <v>96</v>
      </c>
      <c r="AN358" s="127">
        <v>45263.520833333343</v>
      </c>
      <c r="AO358">
        <v>1</v>
      </c>
      <c r="AP358" s="13">
        <f t="shared" si="717"/>
        <v>3367800.0000001397</v>
      </c>
      <c r="AQ358">
        <f t="shared" si="718"/>
        <v>96</v>
      </c>
      <c r="AR358" s="13">
        <f t="shared" si="719"/>
        <v>3367800.0000001397</v>
      </c>
      <c r="AS358" s="112">
        <f t="shared" si="720"/>
        <v>96</v>
      </c>
    </row>
    <row r="359" spans="17:45" x14ac:dyDescent="0.25">
      <c r="Q359" s="127">
        <v>45263.625</v>
      </c>
      <c r="R359">
        <v>1</v>
      </c>
      <c r="S359" s="13">
        <f t="shared" si="716"/>
        <v>3376800.0000001397</v>
      </c>
      <c r="T359">
        <f t="shared" si="713"/>
        <v>96</v>
      </c>
      <c r="U359" s="13">
        <f t="shared" si="714"/>
        <v>3376800.0000001397</v>
      </c>
      <c r="V359" s="112">
        <f t="shared" si="715"/>
        <v>96</v>
      </c>
      <c r="AN359" s="127">
        <v>45263.625</v>
      </c>
      <c r="AO359">
        <v>1</v>
      </c>
      <c r="AP359" s="13">
        <f t="shared" si="717"/>
        <v>3376800.0000001397</v>
      </c>
      <c r="AQ359">
        <f t="shared" si="718"/>
        <v>96</v>
      </c>
      <c r="AR359" s="13">
        <f t="shared" si="719"/>
        <v>3376800.0000001397</v>
      </c>
      <c r="AS359" s="112">
        <f t="shared" si="720"/>
        <v>96</v>
      </c>
    </row>
    <row r="360" spans="17:45" x14ac:dyDescent="0.25">
      <c r="Q360" s="127">
        <v>45263.729166666657</v>
      </c>
      <c r="R360">
        <v>1</v>
      </c>
      <c r="S360" s="13">
        <f t="shared" si="716"/>
        <v>3385800.0000001397</v>
      </c>
      <c r="T360">
        <f t="shared" si="713"/>
        <v>96</v>
      </c>
      <c r="U360" s="13">
        <f t="shared" si="714"/>
        <v>3385800.0000001397</v>
      </c>
      <c r="V360" s="112">
        <f t="shared" si="715"/>
        <v>96</v>
      </c>
      <c r="AN360" s="127">
        <v>45263.729166666657</v>
      </c>
      <c r="AO360">
        <v>1</v>
      </c>
      <c r="AP360" s="13">
        <f t="shared" si="717"/>
        <v>3385800.0000001397</v>
      </c>
      <c r="AQ360">
        <f t="shared" si="718"/>
        <v>96</v>
      </c>
      <c r="AR360" s="13">
        <f t="shared" si="719"/>
        <v>3385800.0000001397</v>
      </c>
      <c r="AS360" s="112">
        <f t="shared" si="720"/>
        <v>96</v>
      </c>
    </row>
    <row r="361" spans="17:45" x14ac:dyDescent="0.25">
      <c r="Q361" s="127">
        <v>45263.833333333343</v>
      </c>
      <c r="R361">
        <v>1</v>
      </c>
      <c r="S361" s="13">
        <f t="shared" si="716"/>
        <v>3394800.0000001397</v>
      </c>
      <c r="T361">
        <f t="shared" si="713"/>
        <v>96</v>
      </c>
      <c r="U361" s="13">
        <f t="shared" si="714"/>
        <v>3394800.0000001397</v>
      </c>
      <c r="V361" s="112">
        <f t="shared" si="715"/>
        <v>96</v>
      </c>
      <c r="AN361" s="127">
        <v>45263.833333333343</v>
      </c>
      <c r="AO361">
        <v>1</v>
      </c>
      <c r="AP361" s="13">
        <f t="shared" si="717"/>
        <v>3394800.0000001397</v>
      </c>
      <c r="AQ361">
        <f t="shared" si="718"/>
        <v>96</v>
      </c>
      <c r="AR361" s="13">
        <f t="shared" si="719"/>
        <v>3394800.0000001397</v>
      </c>
      <c r="AS361" s="112">
        <f t="shared" si="720"/>
        <v>96</v>
      </c>
    </row>
    <row r="362" spans="17:45" x14ac:dyDescent="0.25">
      <c r="Q362" s="127">
        <v>45263.9375</v>
      </c>
      <c r="R362">
        <v>1</v>
      </c>
      <c r="S362" s="13">
        <f t="shared" si="716"/>
        <v>3403800.0000001397</v>
      </c>
      <c r="T362">
        <f t="shared" si="713"/>
        <v>96</v>
      </c>
      <c r="U362" s="13">
        <f t="shared" si="714"/>
        <v>3403800.0000001397</v>
      </c>
      <c r="V362" s="112">
        <f t="shared" si="715"/>
        <v>96</v>
      </c>
      <c r="AN362" s="127">
        <v>45263.9375</v>
      </c>
      <c r="AO362">
        <v>1</v>
      </c>
      <c r="AP362" s="13">
        <f t="shared" si="717"/>
        <v>3403800.0000001397</v>
      </c>
      <c r="AQ362">
        <f t="shared" si="718"/>
        <v>96</v>
      </c>
      <c r="AR362" s="13">
        <f t="shared" si="719"/>
        <v>3403800.0000001397</v>
      </c>
      <c r="AS362" s="112">
        <f t="shared" si="720"/>
        <v>96</v>
      </c>
    </row>
    <row r="363" spans="17:45" x14ac:dyDescent="0.25">
      <c r="Q363" s="127">
        <v>45264.041666666657</v>
      </c>
      <c r="R363">
        <v>1</v>
      </c>
      <c r="S363" s="13">
        <f t="shared" si="716"/>
        <v>3412800.0000001397</v>
      </c>
      <c r="T363">
        <f t="shared" si="713"/>
        <v>96</v>
      </c>
      <c r="U363" s="13">
        <f t="shared" si="714"/>
        <v>3412800.0000001397</v>
      </c>
      <c r="V363" s="112">
        <f t="shared" si="715"/>
        <v>96</v>
      </c>
      <c r="AN363" s="127">
        <v>45264.041666666657</v>
      </c>
      <c r="AO363">
        <v>1</v>
      </c>
      <c r="AP363" s="13">
        <f t="shared" si="717"/>
        <v>3412800.0000001397</v>
      </c>
      <c r="AQ363">
        <f t="shared" si="718"/>
        <v>96</v>
      </c>
      <c r="AR363" s="13">
        <f t="shared" si="719"/>
        <v>3412800.0000001397</v>
      </c>
      <c r="AS363" s="112">
        <f t="shared" si="720"/>
        <v>96</v>
      </c>
    </row>
    <row r="364" spans="17:45" x14ac:dyDescent="0.25">
      <c r="Q364" s="127">
        <v>45264.145833333343</v>
      </c>
      <c r="R364">
        <v>1</v>
      </c>
      <c r="S364" s="13">
        <f t="shared" si="716"/>
        <v>3421800.0000001397</v>
      </c>
      <c r="T364">
        <f t="shared" si="713"/>
        <v>96</v>
      </c>
      <c r="U364" s="13">
        <f t="shared" si="714"/>
        <v>3421800.0000001397</v>
      </c>
      <c r="V364" s="112">
        <f t="shared" si="715"/>
        <v>96</v>
      </c>
      <c r="AN364" s="127">
        <v>45264.145833333343</v>
      </c>
      <c r="AO364">
        <v>1</v>
      </c>
      <c r="AP364" s="13">
        <f t="shared" si="717"/>
        <v>3421800.0000001397</v>
      </c>
      <c r="AQ364">
        <f t="shared" si="718"/>
        <v>96</v>
      </c>
      <c r="AR364" s="13">
        <f t="shared" si="719"/>
        <v>3421800.0000001397</v>
      </c>
      <c r="AS364" s="112">
        <f t="shared" si="720"/>
        <v>96</v>
      </c>
    </row>
    <row r="365" spans="17:45" x14ac:dyDescent="0.25">
      <c r="Q365" s="127">
        <v>45264.25</v>
      </c>
      <c r="R365">
        <v>1</v>
      </c>
      <c r="S365" s="13">
        <f t="shared" si="716"/>
        <v>3430800.0000001397</v>
      </c>
      <c r="T365">
        <f t="shared" si="713"/>
        <v>96</v>
      </c>
      <c r="U365" s="13">
        <f t="shared" si="714"/>
        <v>3430800.0000001397</v>
      </c>
      <c r="V365" s="112">
        <f t="shared" si="715"/>
        <v>96</v>
      </c>
      <c r="AN365" s="127">
        <v>45264.25</v>
      </c>
      <c r="AO365">
        <v>1</v>
      </c>
      <c r="AP365" s="13">
        <f t="shared" si="717"/>
        <v>3430800.0000001397</v>
      </c>
      <c r="AQ365">
        <f t="shared" si="718"/>
        <v>96</v>
      </c>
      <c r="AR365" s="13">
        <f t="shared" si="719"/>
        <v>3430800.0000001397</v>
      </c>
      <c r="AS365" s="112">
        <f t="shared" si="720"/>
        <v>96</v>
      </c>
    </row>
    <row r="366" spans="17:45" x14ac:dyDescent="0.25">
      <c r="Q366" s="127">
        <v>45264.354166666657</v>
      </c>
      <c r="R366">
        <v>1</v>
      </c>
      <c r="S366" s="13">
        <f t="shared" si="716"/>
        <v>3439800.0000001397</v>
      </c>
      <c r="T366">
        <f t="shared" si="713"/>
        <v>96</v>
      </c>
      <c r="U366" s="13">
        <f t="shared" si="714"/>
        <v>3439800.0000001397</v>
      </c>
      <c r="V366" s="112">
        <f t="shared" si="715"/>
        <v>96</v>
      </c>
      <c r="AN366" s="127">
        <v>45264.354166666657</v>
      </c>
      <c r="AO366">
        <v>2</v>
      </c>
      <c r="AP366" s="13">
        <f t="shared" si="717"/>
        <v>3439800.0000001397</v>
      </c>
      <c r="AQ366">
        <f t="shared" si="718"/>
        <v>192</v>
      </c>
      <c r="AR366" s="13">
        <f t="shared" si="719"/>
        <v>3439800.0000001397</v>
      </c>
      <c r="AS366" s="112">
        <f t="shared" si="720"/>
        <v>192</v>
      </c>
    </row>
    <row r="367" spans="17:45" x14ac:dyDescent="0.25">
      <c r="Q367" s="127">
        <v>45264.458333333343</v>
      </c>
      <c r="R367">
        <v>1</v>
      </c>
      <c r="S367" s="13">
        <f t="shared" si="716"/>
        <v>3448800.0000001397</v>
      </c>
      <c r="T367">
        <f t="shared" si="713"/>
        <v>96</v>
      </c>
      <c r="U367" s="13">
        <f t="shared" si="714"/>
        <v>3448800.0000001397</v>
      </c>
      <c r="V367" s="112">
        <f t="shared" si="715"/>
        <v>96</v>
      </c>
      <c r="AN367" s="127">
        <v>45264.458333333343</v>
      </c>
      <c r="AO367">
        <v>6</v>
      </c>
      <c r="AP367" s="13">
        <f t="shared" si="717"/>
        <v>3448800.0000001397</v>
      </c>
      <c r="AQ367">
        <f t="shared" si="718"/>
        <v>576</v>
      </c>
      <c r="AR367" s="13">
        <f t="shared" si="719"/>
        <v>3448800.0000001397</v>
      </c>
      <c r="AS367" s="112">
        <f t="shared" si="720"/>
        <v>576</v>
      </c>
    </row>
    <row r="368" spans="17:45" x14ac:dyDescent="0.25">
      <c r="Q368" s="127">
        <v>45264.5625</v>
      </c>
      <c r="R368">
        <v>1</v>
      </c>
      <c r="S368" s="13">
        <f t="shared" si="716"/>
        <v>3457800.0000001397</v>
      </c>
      <c r="T368">
        <f t="shared" si="713"/>
        <v>96</v>
      </c>
      <c r="U368" s="13">
        <f t="shared" si="714"/>
        <v>3457800.0000001397</v>
      </c>
      <c r="V368" s="112">
        <f t="shared" si="715"/>
        <v>96</v>
      </c>
      <c r="AN368" s="127">
        <v>45264.5625</v>
      </c>
      <c r="AO368">
        <v>1</v>
      </c>
      <c r="AP368" s="13">
        <f t="shared" si="717"/>
        <v>3457800.0000001397</v>
      </c>
      <c r="AQ368">
        <f t="shared" si="718"/>
        <v>96</v>
      </c>
      <c r="AR368" s="13">
        <f t="shared" si="719"/>
        <v>3457800.0000001397</v>
      </c>
      <c r="AS368" s="112">
        <f t="shared" si="720"/>
        <v>96</v>
      </c>
    </row>
    <row r="369" spans="17:45" x14ac:dyDescent="0.25">
      <c r="Q369" s="127">
        <v>45264.666666666657</v>
      </c>
      <c r="R369">
        <v>1</v>
      </c>
      <c r="S369" s="13">
        <f t="shared" si="716"/>
        <v>3466800.0000001397</v>
      </c>
      <c r="T369">
        <f t="shared" si="713"/>
        <v>96</v>
      </c>
      <c r="U369" s="13">
        <f t="shared" si="714"/>
        <v>3466800.0000001397</v>
      </c>
      <c r="V369" s="112">
        <f t="shared" si="715"/>
        <v>96</v>
      </c>
      <c r="AN369" s="127">
        <v>45264.666666666657</v>
      </c>
      <c r="AO369">
        <v>1</v>
      </c>
      <c r="AP369" s="13">
        <f t="shared" si="717"/>
        <v>3466800.0000001397</v>
      </c>
      <c r="AQ369">
        <f t="shared" si="718"/>
        <v>96</v>
      </c>
      <c r="AR369" s="13">
        <f t="shared" si="719"/>
        <v>3466800.0000001397</v>
      </c>
      <c r="AS369" s="112">
        <f t="shared" si="720"/>
        <v>96</v>
      </c>
    </row>
    <row r="370" spans="17:45" x14ac:dyDescent="0.25">
      <c r="Q370" s="127">
        <v>45264.770833333343</v>
      </c>
      <c r="R370">
        <v>1</v>
      </c>
      <c r="S370" s="13">
        <f t="shared" si="716"/>
        <v>3475800.0000001397</v>
      </c>
      <c r="T370">
        <f t="shared" si="713"/>
        <v>96</v>
      </c>
      <c r="U370" s="13">
        <f t="shared" si="714"/>
        <v>3475800.0000001397</v>
      </c>
      <c r="V370" s="112">
        <f t="shared" si="715"/>
        <v>96</v>
      </c>
      <c r="AN370" s="127">
        <v>45264.770833333343</v>
      </c>
      <c r="AO370">
        <v>1</v>
      </c>
      <c r="AP370" s="13">
        <f t="shared" si="717"/>
        <v>3475800.0000001397</v>
      </c>
      <c r="AQ370">
        <f t="shared" si="718"/>
        <v>96</v>
      </c>
      <c r="AR370" s="13">
        <f t="shared" si="719"/>
        <v>3475800.0000001397</v>
      </c>
      <c r="AS370" s="112">
        <f t="shared" si="720"/>
        <v>96</v>
      </c>
    </row>
    <row r="371" spans="17:45" x14ac:dyDescent="0.25">
      <c r="Q371" s="127">
        <v>45264.875</v>
      </c>
      <c r="R371">
        <v>1</v>
      </c>
      <c r="S371" s="13">
        <f t="shared" si="716"/>
        <v>3484800.0000001397</v>
      </c>
      <c r="T371">
        <f t="shared" si="713"/>
        <v>96</v>
      </c>
      <c r="U371" s="13">
        <f t="shared" si="714"/>
        <v>3484800.0000001397</v>
      </c>
      <c r="V371" s="112">
        <f t="shared" si="715"/>
        <v>96</v>
      </c>
      <c r="AN371" s="127">
        <v>45264.875</v>
      </c>
      <c r="AO371">
        <v>1</v>
      </c>
      <c r="AP371" s="13">
        <f t="shared" si="717"/>
        <v>3484800.0000001397</v>
      </c>
      <c r="AQ371">
        <f t="shared" si="718"/>
        <v>96</v>
      </c>
      <c r="AR371" s="13">
        <f t="shared" si="719"/>
        <v>3484800.0000001397</v>
      </c>
      <c r="AS371" s="112">
        <f t="shared" si="720"/>
        <v>96</v>
      </c>
    </row>
    <row r="372" spans="17:45" x14ac:dyDescent="0.25">
      <c r="Q372" s="127">
        <v>45264.979166666657</v>
      </c>
      <c r="R372">
        <v>1</v>
      </c>
      <c r="S372" s="13">
        <f t="shared" si="716"/>
        <v>3493800.0000001397</v>
      </c>
      <c r="T372">
        <f t="shared" si="713"/>
        <v>96</v>
      </c>
      <c r="U372" s="13">
        <f t="shared" si="714"/>
        <v>3493800.0000001397</v>
      </c>
      <c r="V372" s="112">
        <f t="shared" si="715"/>
        <v>96</v>
      </c>
      <c r="AN372" s="127">
        <v>45264.979166666657</v>
      </c>
      <c r="AO372">
        <v>1</v>
      </c>
      <c r="AP372" s="13">
        <f t="shared" si="717"/>
        <v>3493800.0000001397</v>
      </c>
      <c r="AQ372">
        <f t="shared" si="718"/>
        <v>96</v>
      </c>
      <c r="AR372" s="13">
        <f t="shared" si="719"/>
        <v>3493800.0000001397</v>
      </c>
      <c r="AS372" s="112">
        <f t="shared" si="720"/>
        <v>96</v>
      </c>
    </row>
    <row r="373" spans="17:45" x14ac:dyDescent="0.25">
      <c r="Q373" s="127">
        <v>45265.083333333343</v>
      </c>
      <c r="R373">
        <v>1</v>
      </c>
      <c r="S373" s="13">
        <f t="shared" si="716"/>
        <v>3502800.0000001397</v>
      </c>
      <c r="T373">
        <f t="shared" si="713"/>
        <v>96</v>
      </c>
      <c r="U373" s="13">
        <f t="shared" si="714"/>
        <v>3502800.0000001397</v>
      </c>
      <c r="V373" s="112">
        <f t="shared" si="715"/>
        <v>96</v>
      </c>
      <c r="AN373" s="127">
        <v>45265.083333333343</v>
      </c>
      <c r="AO373">
        <v>1</v>
      </c>
      <c r="AP373" s="13">
        <f t="shared" si="717"/>
        <v>3502800.0000001397</v>
      </c>
      <c r="AQ373">
        <f t="shared" si="718"/>
        <v>96</v>
      </c>
      <c r="AR373" s="13">
        <f t="shared" si="719"/>
        <v>3502800.0000001397</v>
      </c>
      <c r="AS373" s="112">
        <f t="shared" si="720"/>
        <v>96</v>
      </c>
    </row>
    <row r="374" spans="17:45" x14ac:dyDescent="0.25">
      <c r="Q374" s="127">
        <v>45265.1875</v>
      </c>
      <c r="R374">
        <v>1</v>
      </c>
      <c r="S374" s="13">
        <f t="shared" si="716"/>
        <v>3511800.0000001397</v>
      </c>
      <c r="T374">
        <f t="shared" si="713"/>
        <v>96</v>
      </c>
      <c r="U374" s="13">
        <f t="shared" si="714"/>
        <v>3511800.0000001397</v>
      </c>
      <c r="V374" s="112">
        <f t="shared" si="715"/>
        <v>96</v>
      </c>
      <c r="AN374" s="127">
        <v>45265.1875</v>
      </c>
      <c r="AO374">
        <v>1</v>
      </c>
      <c r="AP374" s="13">
        <f t="shared" si="717"/>
        <v>3511800.0000001397</v>
      </c>
      <c r="AQ374">
        <f t="shared" si="718"/>
        <v>96</v>
      </c>
      <c r="AR374" s="13">
        <f t="shared" si="719"/>
        <v>3511800.0000001397</v>
      </c>
      <c r="AS374" s="112">
        <f t="shared" si="720"/>
        <v>96</v>
      </c>
    </row>
    <row r="375" spans="17:45" x14ac:dyDescent="0.25">
      <c r="Q375" s="127">
        <v>45265.291666666657</v>
      </c>
      <c r="R375">
        <v>1</v>
      </c>
      <c r="S375" s="13">
        <f t="shared" si="716"/>
        <v>3520800.0000001397</v>
      </c>
      <c r="T375">
        <f t="shared" si="713"/>
        <v>96</v>
      </c>
      <c r="U375" s="13">
        <f t="shared" si="714"/>
        <v>3520800.0000001397</v>
      </c>
      <c r="V375" s="112">
        <f t="shared" si="715"/>
        <v>96</v>
      </c>
      <c r="AN375" s="127">
        <v>45265.291666666657</v>
      </c>
      <c r="AO375">
        <v>1</v>
      </c>
      <c r="AP375" s="13">
        <f t="shared" si="717"/>
        <v>3520800.0000001397</v>
      </c>
      <c r="AQ375">
        <f t="shared" si="718"/>
        <v>96</v>
      </c>
      <c r="AR375" s="13">
        <f t="shared" si="719"/>
        <v>3520800.0000001397</v>
      </c>
      <c r="AS375" s="112">
        <f t="shared" si="720"/>
        <v>96</v>
      </c>
    </row>
    <row r="376" spans="17:45" x14ac:dyDescent="0.25">
      <c r="Q376" s="127">
        <v>45265.395833333343</v>
      </c>
      <c r="R376">
        <v>1</v>
      </c>
      <c r="S376" s="13">
        <f t="shared" si="716"/>
        <v>3529800.0000001397</v>
      </c>
      <c r="T376">
        <f t="shared" si="713"/>
        <v>96</v>
      </c>
      <c r="U376" s="13">
        <f t="shared" si="714"/>
        <v>3529800.0000001397</v>
      </c>
      <c r="V376" s="112">
        <f t="shared" si="715"/>
        <v>96</v>
      </c>
      <c r="AN376" s="127">
        <v>45265.395833333343</v>
      </c>
      <c r="AO376">
        <v>1</v>
      </c>
      <c r="AP376" s="13">
        <f t="shared" si="717"/>
        <v>3529800.0000001397</v>
      </c>
      <c r="AQ376">
        <f t="shared" si="718"/>
        <v>96</v>
      </c>
      <c r="AR376" s="13">
        <f t="shared" si="719"/>
        <v>3529800.0000001397</v>
      </c>
      <c r="AS376" s="112">
        <f t="shared" si="720"/>
        <v>96</v>
      </c>
    </row>
    <row r="377" spans="17:45" x14ac:dyDescent="0.25">
      <c r="Q377" s="127">
        <v>45265.5</v>
      </c>
      <c r="R377">
        <v>1</v>
      </c>
      <c r="S377" s="13">
        <f t="shared" si="716"/>
        <v>3538800.0000001397</v>
      </c>
      <c r="T377">
        <f t="shared" si="713"/>
        <v>96</v>
      </c>
      <c r="U377" s="13">
        <f t="shared" si="714"/>
        <v>3538800.0000001397</v>
      </c>
      <c r="V377" s="112">
        <f t="shared" si="715"/>
        <v>96</v>
      </c>
      <c r="AN377" s="127">
        <v>45265.5</v>
      </c>
      <c r="AO377">
        <v>1</v>
      </c>
      <c r="AP377" s="13">
        <f t="shared" si="717"/>
        <v>3538800.0000001397</v>
      </c>
      <c r="AQ377">
        <f t="shared" si="718"/>
        <v>96</v>
      </c>
      <c r="AR377" s="13">
        <f t="shared" si="719"/>
        <v>3538800.0000001397</v>
      </c>
      <c r="AS377" s="112">
        <f t="shared" si="720"/>
        <v>96</v>
      </c>
    </row>
    <row r="378" spans="17:45" x14ac:dyDescent="0.25">
      <c r="Q378" s="127">
        <v>45265.604166666657</v>
      </c>
      <c r="R378">
        <v>1</v>
      </c>
      <c r="S378" s="13">
        <f t="shared" si="716"/>
        <v>3547800.0000001397</v>
      </c>
      <c r="T378">
        <f t="shared" si="713"/>
        <v>96</v>
      </c>
      <c r="U378" s="13">
        <f t="shared" si="714"/>
        <v>3547800.0000001397</v>
      </c>
      <c r="V378" s="112">
        <f t="shared" si="715"/>
        <v>96</v>
      </c>
      <c r="AN378" s="127">
        <v>45265.604166666657</v>
      </c>
      <c r="AO378">
        <v>1</v>
      </c>
      <c r="AP378" s="13">
        <f t="shared" si="717"/>
        <v>3547800.0000001397</v>
      </c>
      <c r="AQ378">
        <f t="shared" si="718"/>
        <v>96</v>
      </c>
      <c r="AR378" s="13">
        <f t="shared" si="719"/>
        <v>3547800.0000001397</v>
      </c>
      <c r="AS378" s="112">
        <f t="shared" si="720"/>
        <v>96</v>
      </c>
    </row>
    <row r="379" spans="17:45" x14ac:dyDescent="0.25">
      <c r="Q379" s="127">
        <v>45265.708333333343</v>
      </c>
      <c r="R379">
        <v>1</v>
      </c>
      <c r="S379" s="13">
        <f t="shared" si="716"/>
        <v>3556800.0000001397</v>
      </c>
      <c r="T379">
        <f t="shared" si="713"/>
        <v>96</v>
      </c>
      <c r="U379" s="13">
        <f t="shared" si="714"/>
        <v>3556800.0000001397</v>
      </c>
      <c r="V379" s="112">
        <f t="shared" si="715"/>
        <v>96</v>
      </c>
      <c r="AN379" s="127">
        <v>45265.708333333343</v>
      </c>
      <c r="AO379">
        <v>1</v>
      </c>
      <c r="AP379" s="13">
        <f t="shared" si="717"/>
        <v>3556800.0000001397</v>
      </c>
      <c r="AQ379">
        <f t="shared" si="718"/>
        <v>96</v>
      </c>
      <c r="AR379" s="13">
        <f t="shared" si="719"/>
        <v>3556800.0000001397</v>
      </c>
      <c r="AS379" s="112">
        <f t="shared" si="720"/>
        <v>96</v>
      </c>
    </row>
    <row r="380" spans="17:45" x14ac:dyDescent="0.25">
      <c r="Q380" s="127">
        <v>45265.8125</v>
      </c>
      <c r="R380">
        <v>1</v>
      </c>
      <c r="S380" s="13">
        <f t="shared" si="716"/>
        <v>3565800.0000001397</v>
      </c>
      <c r="T380">
        <f t="shared" si="713"/>
        <v>96</v>
      </c>
      <c r="U380" s="13">
        <f t="shared" si="714"/>
        <v>3565800.0000001397</v>
      </c>
      <c r="V380" s="112">
        <f t="shared" si="715"/>
        <v>96</v>
      </c>
      <c r="AN380" s="127">
        <v>45265.8125</v>
      </c>
      <c r="AO380">
        <v>1</v>
      </c>
      <c r="AP380" s="13">
        <f t="shared" si="717"/>
        <v>3565800.0000001397</v>
      </c>
      <c r="AQ380">
        <f t="shared" si="718"/>
        <v>96</v>
      </c>
      <c r="AR380" s="13">
        <f t="shared" si="719"/>
        <v>3565800.0000001397</v>
      </c>
      <c r="AS380" s="112">
        <f t="shared" si="720"/>
        <v>96</v>
      </c>
    </row>
    <row r="381" spans="17:45" x14ac:dyDescent="0.25">
      <c r="Q381" s="127">
        <v>45265.916666666657</v>
      </c>
      <c r="R381">
        <v>1</v>
      </c>
      <c r="S381" s="13">
        <f t="shared" si="716"/>
        <v>3574800.0000001397</v>
      </c>
      <c r="T381">
        <f t="shared" si="713"/>
        <v>96</v>
      </c>
      <c r="U381" s="13">
        <f t="shared" si="714"/>
        <v>3574800.0000001397</v>
      </c>
      <c r="V381" s="112">
        <f t="shared" si="715"/>
        <v>96</v>
      </c>
      <c r="AN381" s="127">
        <v>45265.916666666657</v>
      </c>
      <c r="AO381">
        <v>1</v>
      </c>
      <c r="AP381" s="13">
        <f t="shared" si="717"/>
        <v>3574800.0000001397</v>
      </c>
      <c r="AQ381">
        <f t="shared" si="718"/>
        <v>96</v>
      </c>
      <c r="AR381" s="13">
        <f t="shared" si="719"/>
        <v>3574800.0000001397</v>
      </c>
      <c r="AS381" s="112">
        <f t="shared" si="720"/>
        <v>96</v>
      </c>
    </row>
    <row r="382" spans="17:45" x14ac:dyDescent="0.25">
      <c r="Q382" s="127">
        <v>45266.020833333343</v>
      </c>
      <c r="R382">
        <v>1</v>
      </c>
      <c r="S382" s="13">
        <f t="shared" si="716"/>
        <v>3583800.0000001397</v>
      </c>
      <c r="T382">
        <f t="shared" si="713"/>
        <v>96</v>
      </c>
      <c r="U382" s="13">
        <f t="shared" si="714"/>
        <v>3583800.0000001397</v>
      </c>
      <c r="V382" s="112">
        <f t="shared" si="715"/>
        <v>96</v>
      </c>
      <c r="AN382" s="127">
        <v>45266.020833333343</v>
      </c>
      <c r="AO382">
        <v>1</v>
      </c>
      <c r="AP382" s="13">
        <f t="shared" si="717"/>
        <v>3583800.0000001397</v>
      </c>
      <c r="AQ382">
        <f t="shared" si="718"/>
        <v>96</v>
      </c>
      <c r="AR382" s="13">
        <f t="shared" si="719"/>
        <v>3583800.0000001397</v>
      </c>
      <c r="AS382" s="112">
        <f t="shared" si="720"/>
        <v>96</v>
      </c>
    </row>
    <row r="383" spans="17:45" x14ac:dyDescent="0.25">
      <c r="Q383" s="127">
        <v>45266.125</v>
      </c>
      <c r="R383">
        <v>1</v>
      </c>
      <c r="S383" s="13">
        <f t="shared" si="716"/>
        <v>3592800.0000001397</v>
      </c>
      <c r="T383">
        <f t="shared" si="713"/>
        <v>96</v>
      </c>
      <c r="U383" s="13">
        <f t="shared" si="714"/>
        <v>3592800.0000001397</v>
      </c>
      <c r="V383" s="112">
        <f t="shared" si="715"/>
        <v>96</v>
      </c>
      <c r="AN383" s="127">
        <v>45266.125</v>
      </c>
      <c r="AO383">
        <v>1</v>
      </c>
      <c r="AP383" s="13">
        <f t="shared" si="717"/>
        <v>3592800.0000001397</v>
      </c>
      <c r="AQ383">
        <f t="shared" si="718"/>
        <v>96</v>
      </c>
      <c r="AR383" s="13">
        <f t="shared" si="719"/>
        <v>3592800.0000001397</v>
      </c>
      <c r="AS383" s="112">
        <f t="shared" si="720"/>
        <v>96</v>
      </c>
    </row>
    <row r="384" spans="17:45" x14ac:dyDescent="0.25">
      <c r="Q384" s="127">
        <v>45266.229166666657</v>
      </c>
      <c r="R384">
        <v>1</v>
      </c>
      <c r="S384" s="13">
        <f t="shared" si="716"/>
        <v>3601800.0000001397</v>
      </c>
      <c r="T384">
        <f t="shared" si="713"/>
        <v>96</v>
      </c>
      <c r="U384" s="13">
        <f t="shared" si="714"/>
        <v>3601800.0000001397</v>
      </c>
      <c r="V384" s="112">
        <f t="shared" si="715"/>
        <v>96</v>
      </c>
      <c r="AN384" s="127">
        <v>45266.229166666657</v>
      </c>
      <c r="AO384">
        <v>1</v>
      </c>
      <c r="AP384" s="13">
        <f t="shared" si="717"/>
        <v>3601800.0000001397</v>
      </c>
      <c r="AQ384">
        <f t="shared" si="718"/>
        <v>96</v>
      </c>
      <c r="AR384" s="13">
        <f t="shared" si="719"/>
        <v>3601800.0000001397</v>
      </c>
      <c r="AS384" s="112">
        <f t="shared" si="720"/>
        <v>96</v>
      </c>
    </row>
    <row r="385" spans="17:45" x14ac:dyDescent="0.25">
      <c r="Q385" s="127">
        <v>45266.333333333343</v>
      </c>
      <c r="R385">
        <v>1</v>
      </c>
      <c r="S385" s="13">
        <f t="shared" si="716"/>
        <v>3610800.0000001397</v>
      </c>
      <c r="T385">
        <f t="shared" si="713"/>
        <v>96</v>
      </c>
      <c r="U385" s="13">
        <f t="shared" si="714"/>
        <v>3610800.0000001397</v>
      </c>
      <c r="V385" s="112">
        <f t="shared" si="715"/>
        <v>96</v>
      </c>
      <c r="AN385" s="127">
        <v>45266.333333333343</v>
      </c>
      <c r="AO385">
        <v>1</v>
      </c>
      <c r="AP385" s="13">
        <f t="shared" si="717"/>
        <v>3610800.0000001397</v>
      </c>
      <c r="AQ385">
        <f t="shared" si="718"/>
        <v>96</v>
      </c>
      <c r="AR385" s="13">
        <f t="shared" si="719"/>
        <v>3610800.0000001397</v>
      </c>
      <c r="AS385" s="112">
        <f t="shared" si="720"/>
        <v>96</v>
      </c>
    </row>
    <row r="386" spans="17:45" x14ac:dyDescent="0.25">
      <c r="Q386" s="127">
        <v>45266.4375</v>
      </c>
      <c r="R386">
        <v>1</v>
      </c>
      <c r="S386" s="13">
        <f t="shared" si="716"/>
        <v>3619800.0000001397</v>
      </c>
      <c r="T386">
        <f t="shared" si="713"/>
        <v>96</v>
      </c>
      <c r="U386" s="13">
        <f t="shared" si="714"/>
        <v>3619800.0000001397</v>
      </c>
      <c r="V386" s="112">
        <f t="shared" si="715"/>
        <v>96</v>
      </c>
      <c r="AN386" s="127">
        <v>45266.4375</v>
      </c>
      <c r="AO386">
        <v>2</v>
      </c>
      <c r="AP386" s="13">
        <f t="shared" si="717"/>
        <v>3619800.0000001397</v>
      </c>
      <c r="AQ386">
        <f t="shared" si="718"/>
        <v>192</v>
      </c>
      <c r="AR386" s="13">
        <f t="shared" si="719"/>
        <v>3619800.0000001397</v>
      </c>
      <c r="AS386" s="112">
        <f t="shared" si="720"/>
        <v>192</v>
      </c>
    </row>
    <row r="387" spans="17:45" x14ac:dyDescent="0.25">
      <c r="Q387" s="127">
        <v>45266.541666666657</v>
      </c>
      <c r="R387">
        <v>1</v>
      </c>
      <c r="S387" s="13">
        <f t="shared" si="716"/>
        <v>3628800.0000001397</v>
      </c>
      <c r="T387">
        <f t="shared" ref="T387:T450" si="721">R387*96</f>
        <v>96</v>
      </c>
      <c r="U387" s="13">
        <f t="shared" ref="U387:U450" si="722">S387</f>
        <v>3628800.0000001397</v>
      </c>
      <c r="V387" s="112">
        <f t="shared" ref="V387:V450" si="723">IF(T387=0,0.0000000001,T387)</f>
        <v>96</v>
      </c>
      <c r="AN387" s="127">
        <v>45266.541666666657</v>
      </c>
      <c r="AO387">
        <v>1</v>
      </c>
      <c r="AP387" s="13">
        <f t="shared" si="717"/>
        <v>3628800.0000001397</v>
      </c>
      <c r="AQ387">
        <f t="shared" si="718"/>
        <v>96</v>
      </c>
      <c r="AR387" s="13">
        <f t="shared" si="719"/>
        <v>3628800.0000001397</v>
      </c>
      <c r="AS387" s="112">
        <f t="shared" si="720"/>
        <v>96</v>
      </c>
    </row>
    <row r="388" spans="17:45" x14ac:dyDescent="0.25">
      <c r="Q388" s="127">
        <v>45266.645833333343</v>
      </c>
      <c r="R388">
        <v>2</v>
      </c>
      <c r="S388" s="13">
        <f t="shared" ref="S388:S451" si="724">S387+150*60</f>
        <v>3637800.0000001397</v>
      </c>
      <c r="T388">
        <f t="shared" si="721"/>
        <v>192</v>
      </c>
      <c r="U388" s="13">
        <f t="shared" si="722"/>
        <v>3637800.0000001397</v>
      </c>
      <c r="V388" s="112">
        <f t="shared" si="723"/>
        <v>192</v>
      </c>
      <c r="AN388" s="127">
        <v>45266.645833333343</v>
      </c>
      <c r="AO388">
        <v>2</v>
      </c>
      <c r="AP388" s="13">
        <f t="shared" ref="AP388:AP451" si="725">AP387+150*60</f>
        <v>3637800.0000001397</v>
      </c>
      <c r="AQ388">
        <f t="shared" si="718"/>
        <v>192</v>
      </c>
      <c r="AR388" s="13">
        <f t="shared" si="719"/>
        <v>3637800.0000001397</v>
      </c>
      <c r="AS388" s="112">
        <f t="shared" si="720"/>
        <v>192</v>
      </c>
    </row>
    <row r="389" spans="17:45" x14ac:dyDescent="0.25">
      <c r="Q389" s="127">
        <v>45266.75</v>
      </c>
      <c r="R389">
        <v>0</v>
      </c>
      <c r="S389" s="13">
        <f t="shared" si="724"/>
        <v>3646800.0000001397</v>
      </c>
      <c r="T389">
        <f t="shared" si="721"/>
        <v>0</v>
      </c>
      <c r="U389" s="13">
        <f t="shared" si="722"/>
        <v>3646800.0000001397</v>
      </c>
      <c r="V389" s="112">
        <f t="shared" si="723"/>
        <v>1E-10</v>
      </c>
      <c r="AN389" s="127">
        <v>45266.75</v>
      </c>
      <c r="AO389">
        <v>1</v>
      </c>
      <c r="AP389" s="13">
        <f t="shared" si="725"/>
        <v>3646800.0000001397</v>
      </c>
      <c r="AQ389">
        <f t="shared" si="718"/>
        <v>96</v>
      </c>
      <c r="AR389" s="13">
        <f t="shared" si="719"/>
        <v>3646800.0000001397</v>
      </c>
      <c r="AS389" s="112">
        <f t="shared" si="720"/>
        <v>96</v>
      </c>
    </row>
    <row r="390" spans="17:45" x14ac:dyDescent="0.25">
      <c r="Q390" s="127">
        <v>45266.854166666657</v>
      </c>
      <c r="R390">
        <v>1</v>
      </c>
      <c r="S390" s="13">
        <f t="shared" si="724"/>
        <v>3655800.0000001397</v>
      </c>
      <c r="T390">
        <f t="shared" si="721"/>
        <v>96</v>
      </c>
      <c r="U390" s="13">
        <f t="shared" si="722"/>
        <v>3655800.0000001397</v>
      </c>
      <c r="V390" s="112">
        <f t="shared" si="723"/>
        <v>96</v>
      </c>
      <c r="AN390" s="127">
        <v>45266.854166666657</v>
      </c>
      <c r="AO390">
        <v>1</v>
      </c>
      <c r="AP390" s="13">
        <f t="shared" si="725"/>
        <v>3655800.0000001397</v>
      </c>
      <c r="AQ390">
        <f t="shared" si="718"/>
        <v>96</v>
      </c>
      <c r="AR390" s="13">
        <f t="shared" si="719"/>
        <v>3655800.0000001397</v>
      </c>
      <c r="AS390" s="112">
        <f t="shared" si="720"/>
        <v>96</v>
      </c>
    </row>
    <row r="391" spans="17:45" x14ac:dyDescent="0.25">
      <c r="Q391" s="127">
        <v>45266.958333333343</v>
      </c>
      <c r="R391">
        <v>1</v>
      </c>
      <c r="S391" s="13">
        <f t="shared" si="724"/>
        <v>3664800.0000001397</v>
      </c>
      <c r="T391">
        <f t="shared" si="721"/>
        <v>96</v>
      </c>
      <c r="U391" s="13">
        <f t="shared" si="722"/>
        <v>3664800.0000001397</v>
      </c>
      <c r="V391" s="112">
        <f t="shared" si="723"/>
        <v>96</v>
      </c>
      <c r="AN391" s="127">
        <v>45266.958333333343</v>
      </c>
      <c r="AO391">
        <v>1</v>
      </c>
      <c r="AP391" s="13">
        <f t="shared" si="725"/>
        <v>3664800.0000001397</v>
      </c>
      <c r="AQ391">
        <f t="shared" si="718"/>
        <v>96</v>
      </c>
      <c r="AR391" s="13">
        <f t="shared" si="719"/>
        <v>3664800.0000001397</v>
      </c>
      <c r="AS391" s="112">
        <f t="shared" si="720"/>
        <v>96</v>
      </c>
    </row>
    <row r="392" spans="17:45" x14ac:dyDescent="0.25">
      <c r="Q392" s="127">
        <v>45267.0625</v>
      </c>
      <c r="R392">
        <v>0</v>
      </c>
      <c r="S392" s="13">
        <f t="shared" si="724"/>
        <v>3673800.0000001397</v>
      </c>
      <c r="T392">
        <f t="shared" si="721"/>
        <v>0</v>
      </c>
      <c r="U392" s="13">
        <f t="shared" si="722"/>
        <v>3673800.0000001397</v>
      </c>
      <c r="V392" s="112">
        <f t="shared" si="723"/>
        <v>1E-10</v>
      </c>
      <c r="AN392" s="127">
        <v>45267.0625</v>
      </c>
      <c r="AO392">
        <v>1</v>
      </c>
      <c r="AP392" s="13">
        <f t="shared" si="725"/>
        <v>3673800.0000001397</v>
      </c>
      <c r="AQ392">
        <f t="shared" si="718"/>
        <v>96</v>
      </c>
      <c r="AR392" s="13">
        <f t="shared" si="719"/>
        <v>3673800.0000001397</v>
      </c>
      <c r="AS392" s="112">
        <f t="shared" si="720"/>
        <v>96</v>
      </c>
    </row>
    <row r="393" spans="17:45" x14ac:dyDescent="0.25">
      <c r="Q393" s="127">
        <v>45267.166666666657</v>
      </c>
      <c r="R393">
        <v>1</v>
      </c>
      <c r="S393" s="13">
        <f t="shared" si="724"/>
        <v>3682800.0000001397</v>
      </c>
      <c r="T393">
        <f t="shared" si="721"/>
        <v>96</v>
      </c>
      <c r="U393" s="13">
        <f t="shared" si="722"/>
        <v>3682800.0000001397</v>
      </c>
      <c r="V393" s="112">
        <f t="shared" si="723"/>
        <v>96</v>
      </c>
      <c r="AN393" s="127">
        <v>45267.166666666657</v>
      </c>
      <c r="AO393">
        <v>1</v>
      </c>
      <c r="AP393" s="13">
        <f t="shared" si="725"/>
        <v>3682800.0000001397</v>
      </c>
      <c r="AQ393">
        <f t="shared" si="718"/>
        <v>96</v>
      </c>
      <c r="AR393" s="13">
        <f t="shared" si="719"/>
        <v>3682800.0000001397</v>
      </c>
      <c r="AS393" s="112">
        <f t="shared" si="720"/>
        <v>96</v>
      </c>
    </row>
    <row r="394" spans="17:45" x14ac:dyDescent="0.25">
      <c r="Q394" s="127">
        <v>45267.270833333343</v>
      </c>
      <c r="R394">
        <v>1</v>
      </c>
      <c r="S394" s="13">
        <f t="shared" si="724"/>
        <v>3691800.0000001397</v>
      </c>
      <c r="T394">
        <f t="shared" si="721"/>
        <v>96</v>
      </c>
      <c r="U394" s="13">
        <f t="shared" si="722"/>
        <v>3691800.0000001397</v>
      </c>
      <c r="V394" s="112">
        <f t="shared" si="723"/>
        <v>96</v>
      </c>
      <c r="AN394" s="127">
        <v>45267.270833333343</v>
      </c>
      <c r="AO394">
        <v>1</v>
      </c>
      <c r="AP394" s="13">
        <f t="shared" si="725"/>
        <v>3691800.0000001397</v>
      </c>
      <c r="AQ394">
        <f t="shared" si="718"/>
        <v>96</v>
      </c>
      <c r="AR394" s="13">
        <f t="shared" si="719"/>
        <v>3691800.0000001397</v>
      </c>
      <c r="AS394" s="112">
        <f t="shared" si="720"/>
        <v>96</v>
      </c>
    </row>
    <row r="395" spans="17:45" x14ac:dyDescent="0.25">
      <c r="Q395" s="127">
        <v>45267.375</v>
      </c>
      <c r="R395">
        <v>1</v>
      </c>
      <c r="S395" s="13">
        <f t="shared" si="724"/>
        <v>3700800.0000001397</v>
      </c>
      <c r="T395">
        <f t="shared" si="721"/>
        <v>96</v>
      </c>
      <c r="U395" s="13">
        <f t="shared" si="722"/>
        <v>3700800.0000001397</v>
      </c>
      <c r="V395" s="112">
        <f t="shared" si="723"/>
        <v>96</v>
      </c>
      <c r="AN395" s="127">
        <v>45267.375</v>
      </c>
      <c r="AO395">
        <v>1</v>
      </c>
      <c r="AP395" s="13">
        <f t="shared" si="725"/>
        <v>3700800.0000001397</v>
      </c>
      <c r="AQ395">
        <f t="shared" si="718"/>
        <v>96</v>
      </c>
      <c r="AR395" s="13">
        <f t="shared" si="719"/>
        <v>3700800.0000001397</v>
      </c>
      <c r="AS395" s="112">
        <f t="shared" si="720"/>
        <v>96</v>
      </c>
    </row>
    <row r="396" spans="17:45" x14ac:dyDescent="0.25">
      <c r="Q396" s="127">
        <v>45267.479166666657</v>
      </c>
      <c r="R396">
        <v>1</v>
      </c>
      <c r="S396" s="13">
        <f t="shared" si="724"/>
        <v>3709800.0000001397</v>
      </c>
      <c r="T396">
        <f t="shared" si="721"/>
        <v>96</v>
      </c>
      <c r="U396" s="13">
        <f t="shared" si="722"/>
        <v>3709800.0000001397</v>
      </c>
      <c r="V396" s="112">
        <f t="shared" si="723"/>
        <v>96</v>
      </c>
      <c r="AN396" s="127">
        <v>45267.479166666657</v>
      </c>
      <c r="AO396">
        <v>1</v>
      </c>
      <c r="AP396" s="13">
        <f t="shared" si="725"/>
        <v>3709800.0000001397</v>
      </c>
      <c r="AQ396">
        <f t="shared" si="718"/>
        <v>96</v>
      </c>
      <c r="AR396" s="13">
        <f t="shared" si="719"/>
        <v>3709800.0000001397</v>
      </c>
      <c r="AS396" s="112">
        <f t="shared" si="720"/>
        <v>96</v>
      </c>
    </row>
    <row r="397" spans="17:45" x14ac:dyDescent="0.25">
      <c r="Q397" s="127">
        <v>45267.583333333343</v>
      </c>
      <c r="R397">
        <v>1</v>
      </c>
      <c r="S397" s="13">
        <f t="shared" si="724"/>
        <v>3718800.0000001397</v>
      </c>
      <c r="T397">
        <f t="shared" si="721"/>
        <v>96</v>
      </c>
      <c r="U397" s="13">
        <f t="shared" si="722"/>
        <v>3718800.0000001397</v>
      </c>
      <c r="V397" s="112">
        <f t="shared" si="723"/>
        <v>96</v>
      </c>
      <c r="AN397" s="127">
        <v>45267.583333333343</v>
      </c>
      <c r="AO397">
        <v>1</v>
      </c>
      <c r="AP397" s="13">
        <f t="shared" si="725"/>
        <v>3718800.0000001397</v>
      </c>
      <c r="AQ397">
        <f t="shared" si="718"/>
        <v>96</v>
      </c>
      <c r="AR397" s="13">
        <f t="shared" si="719"/>
        <v>3718800.0000001397</v>
      </c>
      <c r="AS397" s="112">
        <f t="shared" si="720"/>
        <v>96</v>
      </c>
    </row>
    <row r="398" spans="17:45" x14ac:dyDescent="0.25">
      <c r="Q398" s="127">
        <v>45267.6875</v>
      </c>
      <c r="R398">
        <v>1</v>
      </c>
      <c r="S398" s="13">
        <f t="shared" si="724"/>
        <v>3727800.0000001397</v>
      </c>
      <c r="T398">
        <f t="shared" si="721"/>
        <v>96</v>
      </c>
      <c r="U398" s="13">
        <f t="shared" si="722"/>
        <v>3727800.0000001397</v>
      </c>
      <c r="V398" s="112">
        <f t="shared" si="723"/>
        <v>96</v>
      </c>
      <c r="AN398" s="127">
        <v>45267.6875</v>
      </c>
      <c r="AO398">
        <v>1</v>
      </c>
      <c r="AP398" s="13">
        <f t="shared" si="725"/>
        <v>3727800.0000001397</v>
      </c>
      <c r="AQ398">
        <f t="shared" si="718"/>
        <v>96</v>
      </c>
      <c r="AR398" s="13">
        <f t="shared" si="719"/>
        <v>3727800.0000001397</v>
      </c>
      <c r="AS398" s="112">
        <f t="shared" si="720"/>
        <v>96</v>
      </c>
    </row>
    <row r="399" spans="17:45" x14ac:dyDescent="0.25">
      <c r="Q399" s="127">
        <v>45267.791666666657</v>
      </c>
      <c r="R399">
        <v>1</v>
      </c>
      <c r="S399" s="13">
        <f t="shared" si="724"/>
        <v>3736800.0000001397</v>
      </c>
      <c r="T399">
        <f t="shared" si="721"/>
        <v>96</v>
      </c>
      <c r="U399" s="13">
        <f t="shared" si="722"/>
        <v>3736800.0000001397</v>
      </c>
      <c r="V399" s="112">
        <f t="shared" si="723"/>
        <v>96</v>
      </c>
      <c r="AN399" s="127">
        <v>45267.791666666657</v>
      </c>
      <c r="AO399">
        <v>1</v>
      </c>
      <c r="AP399" s="13">
        <f t="shared" si="725"/>
        <v>3736800.0000001397</v>
      </c>
      <c r="AQ399">
        <f t="shared" si="718"/>
        <v>96</v>
      </c>
      <c r="AR399" s="13">
        <f t="shared" si="719"/>
        <v>3736800.0000001397</v>
      </c>
      <c r="AS399" s="112">
        <f t="shared" si="720"/>
        <v>96</v>
      </c>
    </row>
    <row r="400" spans="17:45" x14ac:dyDescent="0.25">
      <c r="Q400" s="127">
        <v>45267.895833333343</v>
      </c>
      <c r="R400">
        <v>1</v>
      </c>
      <c r="S400" s="13">
        <f t="shared" si="724"/>
        <v>3745800.0000001397</v>
      </c>
      <c r="T400">
        <f t="shared" si="721"/>
        <v>96</v>
      </c>
      <c r="U400" s="13">
        <f t="shared" si="722"/>
        <v>3745800.0000001397</v>
      </c>
      <c r="V400" s="112">
        <f t="shared" si="723"/>
        <v>96</v>
      </c>
      <c r="AN400" s="127">
        <v>45267.895833333343</v>
      </c>
      <c r="AO400">
        <v>1</v>
      </c>
      <c r="AP400" s="13">
        <f t="shared" si="725"/>
        <v>3745800.0000001397</v>
      </c>
      <c r="AQ400">
        <f t="shared" si="718"/>
        <v>96</v>
      </c>
      <c r="AR400" s="13">
        <f t="shared" si="719"/>
        <v>3745800.0000001397</v>
      </c>
      <c r="AS400" s="112">
        <f t="shared" si="720"/>
        <v>96</v>
      </c>
    </row>
    <row r="401" spans="17:45" x14ac:dyDescent="0.25">
      <c r="Q401" s="127">
        <v>45268</v>
      </c>
      <c r="R401">
        <v>1</v>
      </c>
      <c r="S401" s="13">
        <f t="shared" si="724"/>
        <v>3754800.0000001397</v>
      </c>
      <c r="T401">
        <f t="shared" si="721"/>
        <v>96</v>
      </c>
      <c r="U401" s="13">
        <f t="shared" si="722"/>
        <v>3754800.0000001397</v>
      </c>
      <c r="V401" s="112">
        <f t="shared" si="723"/>
        <v>96</v>
      </c>
      <c r="AN401" s="127">
        <v>45268</v>
      </c>
      <c r="AO401">
        <v>1</v>
      </c>
      <c r="AP401" s="13">
        <f t="shared" si="725"/>
        <v>3754800.0000001397</v>
      </c>
      <c r="AQ401">
        <f t="shared" si="718"/>
        <v>96</v>
      </c>
      <c r="AR401" s="13">
        <f t="shared" si="719"/>
        <v>3754800.0000001397</v>
      </c>
      <c r="AS401" s="112">
        <f t="shared" si="720"/>
        <v>96</v>
      </c>
    </row>
    <row r="402" spans="17:45" x14ac:dyDescent="0.25">
      <c r="Q402" s="127">
        <v>45268.104166666657</v>
      </c>
      <c r="R402">
        <v>1</v>
      </c>
      <c r="S402" s="13">
        <f t="shared" si="724"/>
        <v>3763800.0000001397</v>
      </c>
      <c r="T402">
        <f t="shared" si="721"/>
        <v>96</v>
      </c>
      <c r="U402" s="13">
        <f t="shared" si="722"/>
        <v>3763800.0000001397</v>
      </c>
      <c r="V402" s="112">
        <f t="shared" si="723"/>
        <v>96</v>
      </c>
      <c r="AN402" s="127">
        <v>45268.104166666657</v>
      </c>
      <c r="AO402">
        <v>1</v>
      </c>
      <c r="AP402" s="13">
        <f t="shared" si="725"/>
        <v>3763800.0000001397</v>
      </c>
      <c r="AQ402">
        <f t="shared" si="718"/>
        <v>96</v>
      </c>
      <c r="AR402" s="13">
        <f t="shared" si="719"/>
        <v>3763800.0000001397</v>
      </c>
      <c r="AS402" s="112">
        <f t="shared" si="720"/>
        <v>96</v>
      </c>
    </row>
    <row r="403" spans="17:45" x14ac:dyDescent="0.25">
      <c r="Q403" s="127">
        <v>45268.208333333343</v>
      </c>
      <c r="R403">
        <v>1</v>
      </c>
      <c r="S403" s="13">
        <f t="shared" si="724"/>
        <v>3772800.0000001397</v>
      </c>
      <c r="T403">
        <f t="shared" si="721"/>
        <v>96</v>
      </c>
      <c r="U403" s="13">
        <f t="shared" si="722"/>
        <v>3772800.0000001397</v>
      </c>
      <c r="V403" s="112">
        <f t="shared" si="723"/>
        <v>96</v>
      </c>
      <c r="AN403" s="127">
        <v>45268.208333333343</v>
      </c>
      <c r="AO403">
        <v>1</v>
      </c>
      <c r="AP403" s="13">
        <f t="shared" si="725"/>
        <v>3772800.0000001397</v>
      </c>
      <c r="AQ403">
        <f t="shared" si="718"/>
        <v>96</v>
      </c>
      <c r="AR403" s="13">
        <f t="shared" si="719"/>
        <v>3772800.0000001397</v>
      </c>
      <c r="AS403" s="112">
        <f t="shared" si="720"/>
        <v>96</v>
      </c>
    </row>
    <row r="404" spans="17:45" x14ac:dyDescent="0.25">
      <c r="Q404" s="127">
        <v>45268.3125</v>
      </c>
      <c r="R404">
        <v>1</v>
      </c>
      <c r="S404" s="13">
        <f t="shared" si="724"/>
        <v>3781800.0000001397</v>
      </c>
      <c r="T404">
        <f t="shared" si="721"/>
        <v>96</v>
      </c>
      <c r="U404" s="13">
        <f t="shared" si="722"/>
        <v>3781800.0000001397</v>
      </c>
      <c r="V404" s="112">
        <f t="shared" si="723"/>
        <v>96</v>
      </c>
      <c r="AN404" s="127">
        <v>45268.3125</v>
      </c>
      <c r="AO404">
        <v>1</v>
      </c>
      <c r="AP404" s="13">
        <f t="shared" si="725"/>
        <v>3781800.0000001397</v>
      </c>
      <c r="AQ404">
        <f t="shared" si="718"/>
        <v>96</v>
      </c>
      <c r="AR404" s="13">
        <f t="shared" si="719"/>
        <v>3781800.0000001397</v>
      </c>
      <c r="AS404" s="112">
        <f t="shared" si="720"/>
        <v>96</v>
      </c>
    </row>
    <row r="405" spans="17:45" x14ac:dyDescent="0.25">
      <c r="Q405" s="127">
        <v>45268.416666666657</v>
      </c>
      <c r="R405">
        <v>1</v>
      </c>
      <c r="S405" s="13">
        <f t="shared" si="724"/>
        <v>3790800.0000001397</v>
      </c>
      <c r="T405">
        <f t="shared" si="721"/>
        <v>96</v>
      </c>
      <c r="U405" s="13">
        <f t="shared" si="722"/>
        <v>3790800.0000001397</v>
      </c>
      <c r="V405" s="112">
        <f t="shared" si="723"/>
        <v>96</v>
      </c>
      <c r="AN405" s="127">
        <v>45268.416666666657</v>
      </c>
      <c r="AO405">
        <v>1</v>
      </c>
      <c r="AP405" s="13">
        <f t="shared" si="725"/>
        <v>3790800.0000001397</v>
      </c>
      <c r="AQ405">
        <f t="shared" si="718"/>
        <v>96</v>
      </c>
      <c r="AR405" s="13">
        <f t="shared" si="719"/>
        <v>3790800.0000001397</v>
      </c>
      <c r="AS405" s="112">
        <f t="shared" si="720"/>
        <v>96</v>
      </c>
    </row>
    <row r="406" spans="17:45" x14ac:dyDescent="0.25">
      <c r="Q406" s="127">
        <v>45268.520833333343</v>
      </c>
      <c r="R406">
        <v>1</v>
      </c>
      <c r="S406" s="13">
        <f t="shared" si="724"/>
        <v>3799800.0000001397</v>
      </c>
      <c r="T406">
        <f t="shared" si="721"/>
        <v>96</v>
      </c>
      <c r="U406" s="13">
        <f t="shared" si="722"/>
        <v>3799800.0000001397</v>
      </c>
      <c r="V406" s="112">
        <f t="shared" si="723"/>
        <v>96</v>
      </c>
      <c r="AN406" s="127">
        <v>45268.520833333343</v>
      </c>
      <c r="AO406">
        <v>1</v>
      </c>
      <c r="AP406" s="13">
        <f t="shared" si="725"/>
        <v>3799800.0000001397</v>
      </c>
      <c r="AQ406">
        <f t="shared" si="718"/>
        <v>96</v>
      </c>
      <c r="AR406" s="13">
        <f t="shared" si="719"/>
        <v>3799800.0000001397</v>
      </c>
      <c r="AS406" s="112">
        <f t="shared" si="720"/>
        <v>96</v>
      </c>
    </row>
    <row r="407" spans="17:45" x14ac:dyDescent="0.25">
      <c r="Q407" s="127">
        <v>45268.625</v>
      </c>
      <c r="R407">
        <v>1</v>
      </c>
      <c r="S407" s="13">
        <f t="shared" si="724"/>
        <v>3808800.0000001397</v>
      </c>
      <c r="T407">
        <f t="shared" si="721"/>
        <v>96</v>
      </c>
      <c r="U407" s="13">
        <f t="shared" si="722"/>
        <v>3808800.0000001397</v>
      </c>
      <c r="V407" s="112">
        <f t="shared" si="723"/>
        <v>96</v>
      </c>
      <c r="AN407" s="127">
        <v>45268.625</v>
      </c>
      <c r="AO407">
        <v>1</v>
      </c>
      <c r="AP407" s="13">
        <f t="shared" si="725"/>
        <v>3808800.0000001397</v>
      </c>
      <c r="AQ407">
        <f t="shared" si="718"/>
        <v>96</v>
      </c>
      <c r="AR407" s="13">
        <f t="shared" si="719"/>
        <v>3808800.0000001397</v>
      </c>
      <c r="AS407" s="112">
        <f t="shared" si="720"/>
        <v>96</v>
      </c>
    </row>
    <row r="408" spans="17:45" x14ac:dyDescent="0.25">
      <c r="Q408" s="127">
        <v>45268.729166666657</v>
      </c>
      <c r="R408">
        <v>1</v>
      </c>
      <c r="S408" s="13">
        <f t="shared" si="724"/>
        <v>3817800.0000001397</v>
      </c>
      <c r="T408">
        <f t="shared" si="721"/>
        <v>96</v>
      </c>
      <c r="U408" s="13">
        <f t="shared" si="722"/>
        <v>3817800.0000001397</v>
      </c>
      <c r="V408" s="112">
        <f t="shared" si="723"/>
        <v>96</v>
      </c>
      <c r="AN408" s="127">
        <v>45268.729166666657</v>
      </c>
      <c r="AO408">
        <v>1</v>
      </c>
      <c r="AP408" s="13">
        <f t="shared" si="725"/>
        <v>3817800.0000001397</v>
      </c>
      <c r="AQ408">
        <f t="shared" si="718"/>
        <v>96</v>
      </c>
      <c r="AR408" s="13">
        <f t="shared" si="719"/>
        <v>3817800.0000001397</v>
      </c>
      <c r="AS408" s="112">
        <f t="shared" si="720"/>
        <v>96</v>
      </c>
    </row>
    <row r="409" spans="17:45" x14ac:dyDescent="0.25">
      <c r="Q409" s="127">
        <v>45268.833333333343</v>
      </c>
      <c r="R409">
        <v>1</v>
      </c>
      <c r="S409" s="13">
        <f t="shared" si="724"/>
        <v>3826800.0000001397</v>
      </c>
      <c r="T409">
        <f t="shared" si="721"/>
        <v>96</v>
      </c>
      <c r="U409" s="13">
        <f t="shared" si="722"/>
        <v>3826800.0000001397</v>
      </c>
      <c r="V409" s="112">
        <f t="shared" si="723"/>
        <v>96</v>
      </c>
      <c r="AN409" s="127">
        <v>45268.833333333343</v>
      </c>
      <c r="AO409">
        <v>1</v>
      </c>
      <c r="AP409" s="13">
        <f t="shared" si="725"/>
        <v>3826800.0000001397</v>
      </c>
      <c r="AQ409">
        <f t="shared" si="718"/>
        <v>96</v>
      </c>
      <c r="AR409" s="13">
        <f t="shared" si="719"/>
        <v>3826800.0000001397</v>
      </c>
      <c r="AS409" s="112">
        <f t="shared" si="720"/>
        <v>96</v>
      </c>
    </row>
    <row r="410" spans="17:45" x14ac:dyDescent="0.25">
      <c r="Q410" s="127">
        <v>45268.9375</v>
      </c>
      <c r="R410">
        <v>1</v>
      </c>
      <c r="S410" s="13">
        <f t="shared" si="724"/>
        <v>3835800.0000001397</v>
      </c>
      <c r="T410">
        <f t="shared" si="721"/>
        <v>96</v>
      </c>
      <c r="U410" s="13">
        <f t="shared" si="722"/>
        <v>3835800.0000001397</v>
      </c>
      <c r="V410" s="112">
        <f t="shared" si="723"/>
        <v>96</v>
      </c>
      <c r="AN410" s="127">
        <v>45268.9375</v>
      </c>
      <c r="AO410">
        <v>1</v>
      </c>
      <c r="AP410" s="13">
        <f t="shared" si="725"/>
        <v>3835800.0000001397</v>
      </c>
      <c r="AQ410">
        <f t="shared" si="718"/>
        <v>96</v>
      </c>
      <c r="AR410" s="13">
        <f t="shared" si="719"/>
        <v>3835800.0000001397</v>
      </c>
      <c r="AS410" s="112">
        <f t="shared" si="720"/>
        <v>96</v>
      </c>
    </row>
    <row r="411" spans="17:45" x14ac:dyDescent="0.25">
      <c r="Q411" s="127">
        <v>45269.041666666657</v>
      </c>
      <c r="R411">
        <v>1</v>
      </c>
      <c r="S411" s="13">
        <f t="shared" si="724"/>
        <v>3844800.0000001397</v>
      </c>
      <c r="T411">
        <f t="shared" si="721"/>
        <v>96</v>
      </c>
      <c r="U411" s="13">
        <f t="shared" si="722"/>
        <v>3844800.0000001397</v>
      </c>
      <c r="V411" s="112">
        <f t="shared" si="723"/>
        <v>96</v>
      </c>
      <c r="AN411" s="127">
        <v>45269.041666666657</v>
      </c>
      <c r="AO411">
        <v>1</v>
      </c>
      <c r="AP411" s="13">
        <f t="shared" si="725"/>
        <v>3844800.0000001397</v>
      </c>
      <c r="AQ411">
        <f t="shared" si="718"/>
        <v>96</v>
      </c>
      <c r="AR411" s="13">
        <f t="shared" si="719"/>
        <v>3844800.0000001397</v>
      </c>
      <c r="AS411" s="112">
        <f t="shared" si="720"/>
        <v>96</v>
      </c>
    </row>
    <row r="412" spans="17:45" x14ac:dyDescent="0.25">
      <c r="Q412" s="127">
        <v>45269.145833333343</v>
      </c>
      <c r="R412">
        <v>1</v>
      </c>
      <c r="S412" s="13">
        <f t="shared" si="724"/>
        <v>3853800.0000001397</v>
      </c>
      <c r="T412">
        <f t="shared" si="721"/>
        <v>96</v>
      </c>
      <c r="U412" s="13">
        <f t="shared" si="722"/>
        <v>3853800.0000001397</v>
      </c>
      <c r="V412" s="112">
        <f t="shared" si="723"/>
        <v>96</v>
      </c>
      <c r="AN412" s="127">
        <v>45269.145833333343</v>
      </c>
      <c r="AO412">
        <v>1</v>
      </c>
      <c r="AP412" s="13">
        <f t="shared" si="725"/>
        <v>3853800.0000001397</v>
      </c>
      <c r="AQ412">
        <f t="shared" si="718"/>
        <v>96</v>
      </c>
      <c r="AR412" s="13">
        <f t="shared" si="719"/>
        <v>3853800.0000001397</v>
      </c>
      <c r="AS412" s="112">
        <f t="shared" si="720"/>
        <v>96</v>
      </c>
    </row>
    <row r="413" spans="17:45" x14ac:dyDescent="0.25">
      <c r="Q413" s="127">
        <v>45269.25</v>
      </c>
      <c r="R413">
        <v>1</v>
      </c>
      <c r="S413" s="13">
        <f t="shared" si="724"/>
        <v>3862800.0000001397</v>
      </c>
      <c r="T413">
        <f t="shared" si="721"/>
        <v>96</v>
      </c>
      <c r="U413" s="13">
        <f t="shared" si="722"/>
        <v>3862800.0000001397</v>
      </c>
      <c r="V413" s="112">
        <f t="shared" si="723"/>
        <v>96</v>
      </c>
      <c r="AN413" s="127">
        <v>45269.25</v>
      </c>
      <c r="AO413">
        <v>1</v>
      </c>
      <c r="AP413" s="13">
        <f t="shared" si="725"/>
        <v>3862800.0000001397</v>
      </c>
      <c r="AQ413">
        <f t="shared" si="718"/>
        <v>96</v>
      </c>
      <c r="AR413" s="13">
        <f t="shared" si="719"/>
        <v>3862800.0000001397</v>
      </c>
      <c r="AS413" s="112">
        <f t="shared" si="720"/>
        <v>96</v>
      </c>
    </row>
    <row r="414" spans="17:45" x14ac:dyDescent="0.25">
      <c r="Q414" s="127">
        <v>45269.354166666657</v>
      </c>
      <c r="R414">
        <v>1</v>
      </c>
      <c r="S414" s="13">
        <f t="shared" si="724"/>
        <v>3871800.0000001397</v>
      </c>
      <c r="T414">
        <f t="shared" si="721"/>
        <v>96</v>
      </c>
      <c r="U414" s="13">
        <f t="shared" si="722"/>
        <v>3871800.0000001397</v>
      </c>
      <c r="V414" s="112">
        <f t="shared" si="723"/>
        <v>96</v>
      </c>
      <c r="AN414" s="127">
        <v>45269.354166666657</v>
      </c>
      <c r="AO414">
        <v>2</v>
      </c>
      <c r="AP414" s="13">
        <f t="shared" si="725"/>
        <v>3871800.0000001397</v>
      </c>
      <c r="AQ414">
        <f t="shared" si="718"/>
        <v>192</v>
      </c>
      <c r="AR414" s="13">
        <f t="shared" si="719"/>
        <v>3871800.0000001397</v>
      </c>
      <c r="AS414" s="112">
        <f t="shared" si="720"/>
        <v>192</v>
      </c>
    </row>
    <row r="415" spans="17:45" x14ac:dyDescent="0.25">
      <c r="Q415" s="127">
        <v>45269.458333333343</v>
      </c>
      <c r="R415">
        <v>1</v>
      </c>
      <c r="S415" s="13">
        <f t="shared" si="724"/>
        <v>3880800.0000001397</v>
      </c>
      <c r="T415">
        <f t="shared" si="721"/>
        <v>96</v>
      </c>
      <c r="U415" s="13">
        <f t="shared" si="722"/>
        <v>3880800.0000001397</v>
      </c>
      <c r="V415" s="112">
        <f t="shared" si="723"/>
        <v>96</v>
      </c>
      <c r="AN415" s="127">
        <v>45269.458333333343</v>
      </c>
      <c r="AO415">
        <v>1</v>
      </c>
      <c r="AP415" s="13">
        <f t="shared" si="725"/>
        <v>3880800.0000001397</v>
      </c>
      <c r="AQ415">
        <f t="shared" si="718"/>
        <v>96</v>
      </c>
      <c r="AR415" s="13">
        <f t="shared" si="719"/>
        <v>3880800.0000001397</v>
      </c>
      <c r="AS415" s="112">
        <f t="shared" si="720"/>
        <v>96</v>
      </c>
    </row>
    <row r="416" spans="17:45" x14ac:dyDescent="0.25">
      <c r="Q416" s="127">
        <v>45269.5625</v>
      </c>
      <c r="R416">
        <v>0</v>
      </c>
      <c r="S416" s="13">
        <f t="shared" si="724"/>
        <v>3889800.0000001397</v>
      </c>
      <c r="T416">
        <f t="shared" si="721"/>
        <v>0</v>
      </c>
      <c r="U416" s="13">
        <f t="shared" si="722"/>
        <v>3889800.0000001397</v>
      </c>
      <c r="V416" s="112">
        <f t="shared" si="723"/>
        <v>1E-10</v>
      </c>
      <c r="AN416" s="127">
        <v>45269.5625</v>
      </c>
      <c r="AO416">
        <v>1</v>
      </c>
      <c r="AP416" s="13">
        <f t="shared" si="725"/>
        <v>3889800.0000001397</v>
      </c>
      <c r="AQ416">
        <f t="shared" si="718"/>
        <v>96</v>
      </c>
      <c r="AR416" s="13">
        <f t="shared" si="719"/>
        <v>3889800.0000001397</v>
      </c>
      <c r="AS416" s="112">
        <f t="shared" si="720"/>
        <v>96</v>
      </c>
    </row>
    <row r="417" spans="17:45" x14ac:dyDescent="0.25">
      <c r="Q417" s="127">
        <v>45269.666666666657</v>
      </c>
      <c r="R417">
        <v>1</v>
      </c>
      <c r="S417" s="13">
        <f t="shared" si="724"/>
        <v>3898800.0000001397</v>
      </c>
      <c r="T417">
        <f t="shared" si="721"/>
        <v>96</v>
      </c>
      <c r="U417" s="13">
        <f t="shared" si="722"/>
        <v>3898800.0000001397</v>
      </c>
      <c r="V417" s="112">
        <f t="shared" si="723"/>
        <v>96</v>
      </c>
      <c r="AN417" s="127">
        <v>45269.666666666657</v>
      </c>
      <c r="AO417">
        <v>1</v>
      </c>
      <c r="AP417" s="13">
        <f t="shared" si="725"/>
        <v>3898800.0000001397</v>
      </c>
      <c r="AQ417">
        <f t="shared" si="718"/>
        <v>96</v>
      </c>
      <c r="AR417" s="13">
        <f t="shared" si="719"/>
        <v>3898800.0000001397</v>
      </c>
      <c r="AS417" s="112">
        <f t="shared" si="720"/>
        <v>96</v>
      </c>
    </row>
    <row r="418" spans="17:45" x14ac:dyDescent="0.25">
      <c r="Q418" s="127">
        <v>45269.770833333343</v>
      </c>
      <c r="R418">
        <v>1</v>
      </c>
      <c r="S418" s="13">
        <f t="shared" si="724"/>
        <v>3907800.0000001397</v>
      </c>
      <c r="T418">
        <f t="shared" si="721"/>
        <v>96</v>
      </c>
      <c r="U418" s="13">
        <f t="shared" si="722"/>
        <v>3907800.0000001397</v>
      </c>
      <c r="V418" s="112">
        <f t="shared" si="723"/>
        <v>96</v>
      </c>
      <c r="AN418" s="127">
        <v>45269.770833333343</v>
      </c>
      <c r="AO418">
        <v>1</v>
      </c>
      <c r="AP418" s="13">
        <f t="shared" si="725"/>
        <v>3907800.0000001397</v>
      </c>
      <c r="AQ418">
        <f t="shared" si="718"/>
        <v>96</v>
      </c>
      <c r="AR418" s="13">
        <f t="shared" si="719"/>
        <v>3907800.0000001397</v>
      </c>
      <c r="AS418" s="112">
        <f t="shared" si="720"/>
        <v>96</v>
      </c>
    </row>
    <row r="419" spans="17:45" x14ac:dyDescent="0.25">
      <c r="Q419" s="127">
        <v>45269.875</v>
      </c>
      <c r="R419">
        <v>1</v>
      </c>
      <c r="S419" s="13">
        <f t="shared" si="724"/>
        <v>3916800.0000001397</v>
      </c>
      <c r="T419">
        <f t="shared" si="721"/>
        <v>96</v>
      </c>
      <c r="U419" s="13">
        <f t="shared" si="722"/>
        <v>3916800.0000001397</v>
      </c>
      <c r="V419" s="112">
        <f t="shared" si="723"/>
        <v>96</v>
      </c>
      <c r="AN419" s="127">
        <v>45269.875</v>
      </c>
      <c r="AO419">
        <v>1</v>
      </c>
      <c r="AP419" s="13">
        <f t="shared" si="725"/>
        <v>3916800.0000001397</v>
      </c>
      <c r="AQ419">
        <f t="shared" ref="AQ419:AQ482" si="726">AO419*96</f>
        <v>96</v>
      </c>
      <c r="AR419" s="13">
        <f t="shared" ref="AR419:AR482" si="727">AP419</f>
        <v>3916800.0000001397</v>
      </c>
      <c r="AS419" s="112">
        <f t="shared" ref="AS419:AS482" si="728">IF(AQ419=0,0.0000000001,AQ419)</f>
        <v>96</v>
      </c>
    </row>
    <row r="420" spans="17:45" x14ac:dyDescent="0.25">
      <c r="Q420" s="127">
        <v>45269.979166666657</v>
      </c>
      <c r="R420">
        <v>1</v>
      </c>
      <c r="S420" s="13">
        <f t="shared" si="724"/>
        <v>3925800.0000001397</v>
      </c>
      <c r="T420">
        <f t="shared" si="721"/>
        <v>96</v>
      </c>
      <c r="U420" s="13">
        <f t="shared" si="722"/>
        <v>3925800.0000001397</v>
      </c>
      <c r="V420" s="112">
        <f t="shared" si="723"/>
        <v>96</v>
      </c>
      <c r="AN420" s="127">
        <v>45269.979166666657</v>
      </c>
      <c r="AO420">
        <v>1</v>
      </c>
      <c r="AP420" s="13">
        <f t="shared" si="725"/>
        <v>3925800.0000001397</v>
      </c>
      <c r="AQ420">
        <f t="shared" si="726"/>
        <v>96</v>
      </c>
      <c r="AR420" s="13">
        <f t="shared" si="727"/>
        <v>3925800.0000001397</v>
      </c>
      <c r="AS420" s="112">
        <f t="shared" si="728"/>
        <v>96</v>
      </c>
    </row>
    <row r="421" spans="17:45" x14ac:dyDescent="0.25">
      <c r="Q421" s="127">
        <v>45270.083333333343</v>
      </c>
      <c r="R421">
        <v>1</v>
      </c>
      <c r="S421" s="13">
        <f t="shared" si="724"/>
        <v>3934800.0000001397</v>
      </c>
      <c r="T421">
        <f t="shared" si="721"/>
        <v>96</v>
      </c>
      <c r="U421" s="13">
        <f t="shared" si="722"/>
        <v>3934800.0000001397</v>
      </c>
      <c r="V421" s="112">
        <f t="shared" si="723"/>
        <v>96</v>
      </c>
      <c r="AN421" s="127">
        <v>45270.083333333343</v>
      </c>
      <c r="AO421">
        <v>1</v>
      </c>
      <c r="AP421" s="13">
        <f t="shared" si="725"/>
        <v>3934800.0000001397</v>
      </c>
      <c r="AQ421">
        <f t="shared" si="726"/>
        <v>96</v>
      </c>
      <c r="AR421" s="13">
        <f t="shared" si="727"/>
        <v>3934800.0000001397</v>
      </c>
      <c r="AS421" s="112">
        <f t="shared" si="728"/>
        <v>96</v>
      </c>
    </row>
    <row r="422" spans="17:45" x14ac:dyDescent="0.25">
      <c r="Q422" s="127">
        <v>45270.1875</v>
      </c>
      <c r="R422">
        <v>1</v>
      </c>
      <c r="S422" s="13">
        <f t="shared" si="724"/>
        <v>3943800.0000001397</v>
      </c>
      <c r="T422">
        <f t="shared" si="721"/>
        <v>96</v>
      </c>
      <c r="U422" s="13">
        <f t="shared" si="722"/>
        <v>3943800.0000001397</v>
      </c>
      <c r="V422" s="112">
        <f t="shared" si="723"/>
        <v>96</v>
      </c>
      <c r="AN422" s="127">
        <v>45270.1875</v>
      </c>
      <c r="AO422">
        <v>1</v>
      </c>
      <c r="AP422" s="13">
        <f t="shared" si="725"/>
        <v>3943800.0000001397</v>
      </c>
      <c r="AQ422">
        <f t="shared" si="726"/>
        <v>96</v>
      </c>
      <c r="AR422" s="13">
        <f t="shared" si="727"/>
        <v>3943800.0000001397</v>
      </c>
      <c r="AS422" s="112">
        <f t="shared" si="728"/>
        <v>96</v>
      </c>
    </row>
    <row r="423" spans="17:45" x14ac:dyDescent="0.25">
      <c r="Q423" s="127">
        <v>45270.291666666657</v>
      </c>
      <c r="R423">
        <v>1</v>
      </c>
      <c r="S423" s="13">
        <f t="shared" si="724"/>
        <v>3952800.0000001397</v>
      </c>
      <c r="T423">
        <f t="shared" si="721"/>
        <v>96</v>
      </c>
      <c r="U423" s="13">
        <f t="shared" si="722"/>
        <v>3952800.0000001397</v>
      </c>
      <c r="V423" s="112">
        <f t="shared" si="723"/>
        <v>96</v>
      </c>
      <c r="AN423" s="127">
        <v>45270.291666666657</v>
      </c>
      <c r="AO423">
        <v>1</v>
      </c>
      <c r="AP423" s="13">
        <f t="shared" si="725"/>
        <v>3952800.0000001397</v>
      </c>
      <c r="AQ423">
        <f t="shared" si="726"/>
        <v>96</v>
      </c>
      <c r="AR423" s="13">
        <f t="shared" si="727"/>
        <v>3952800.0000001397</v>
      </c>
      <c r="AS423" s="112">
        <f t="shared" si="728"/>
        <v>96</v>
      </c>
    </row>
    <row r="424" spans="17:45" x14ac:dyDescent="0.25">
      <c r="Q424" s="127">
        <v>45270.395833333343</v>
      </c>
      <c r="R424">
        <v>1</v>
      </c>
      <c r="S424" s="13">
        <f t="shared" si="724"/>
        <v>3961800.0000001397</v>
      </c>
      <c r="T424">
        <f t="shared" si="721"/>
        <v>96</v>
      </c>
      <c r="U424" s="13">
        <f t="shared" si="722"/>
        <v>3961800.0000001397</v>
      </c>
      <c r="V424" s="112">
        <f t="shared" si="723"/>
        <v>96</v>
      </c>
      <c r="AN424" s="127">
        <v>45270.395833333343</v>
      </c>
      <c r="AO424">
        <v>1</v>
      </c>
      <c r="AP424" s="13">
        <f t="shared" si="725"/>
        <v>3961800.0000001397</v>
      </c>
      <c r="AQ424">
        <f t="shared" si="726"/>
        <v>96</v>
      </c>
      <c r="AR424" s="13">
        <f t="shared" si="727"/>
        <v>3961800.0000001397</v>
      </c>
      <c r="AS424" s="112">
        <f t="shared" si="728"/>
        <v>96</v>
      </c>
    </row>
    <row r="425" spans="17:45" x14ac:dyDescent="0.25">
      <c r="Q425" s="127">
        <v>45270.5</v>
      </c>
      <c r="R425">
        <v>1</v>
      </c>
      <c r="S425" s="13">
        <f t="shared" si="724"/>
        <v>3970800.0000001397</v>
      </c>
      <c r="T425">
        <f t="shared" si="721"/>
        <v>96</v>
      </c>
      <c r="U425" s="13">
        <f t="shared" si="722"/>
        <v>3970800.0000001397</v>
      </c>
      <c r="V425" s="112">
        <f t="shared" si="723"/>
        <v>96</v>
      </c>
      <c r="AN425" s="127">
        <v>45270.5</v>
      </c>
      <c r="AO425">
        <v>1</v>
      </c>
      <c r="AP425" s="13">
        <f t="shared" si="725"/>
        <v>3970800.0000001397</v>
      </c>
      <c r="AQ425">
        <f t="shared" si="726"/>
        <v>96</v>
      </c>
      <c r="AR425" s="13">
        <f t="shared" si="727"/>
        <v>3970800.0000001397</v>
      </c>
      <c r="AS425" s="112">
        <f t="shared" si="728"/>
        <v>96</v>
      </c>
    </row>
    <row r="426" spans="17:45" x14ac:dyDescent="0.25">
      <c r="Q426" s="127">
        <v>45270.604166666657</v>
      </c>
      <c r="R426">
        <v>1</v>
      </c>
      <c r="S426" s="13">
        <f t="shared" si="724"/>
        <v>3979800.0000001397</v>
      </c>
      <c r="T426">
        <f t="shared" si="721"/>
        <v>96</v>
      </c>
      <c r="U426" s="13">
        <f t="shared" si="722"/>
        <v>3979800.0000001397</v>
      </c>
      <c r="V426" s="112">
        <f t="shared" si="723"/>
        <v>96</v>
      </c>
      <c r="AN426" s="127">
        <v>45270.604166666657</v>
      </c>
      <c r="AO426">
        <v>1</v>
      </c>
      <c r="AP426" s="13">
        <f t="shared" si="725"/>
        <v>3979800.0000001397</v>
      </c>
      <c r="AQ426">
        <f t="shared" si="726"/>
        <v>96</v>
      </c>
      <c r="AR426" s="13">
        <f t="shared" si="727"/>
        <v>3979800.0000001397</v>
      </c>
      <c r="AS426" s="112">
        <f t="shared" si="728"/>
        <v>96</v>
      </c>
    </row>
    <row r="427" spans="17:45" x14ac:dyDescent="0.25">
      <c r="Q427" s="127">
        <v>45270.708333333343</v>
      </c>
      <c r="R427">
        <v>1</v>
      </c>
      <c r="S427" s="13">
        <f t="shared" si="724"/>
        <v>3988800.0000001397</v>
      </c>
      <c r="T427">
        <f t="shared" si="721"/>
        <v>96</v>
      </c>
      <c r="U427" s="13">
        <f t="shared" si="722"/>
        <v>3988800.0000001397</v>
      </c>
      <c r="V427" s="112">
        <f t="shared" si="723"/>
        <v>96</v>
      </c>
      <c r="AN427" s="127">
        <v>45270.708333333343</v>
      </c>
      <c r="AO427">
        <v>1</v>
      </c>
      <c r="AP427" s="13">
        <f t="shared" si="725"/>
        <v>3988800.0000001397</v>
      </c>
      <c r="AQ427">
        <f t="shared" si="726"/>
        <v>96</v>
      </c>
      <c r="AR427" s="13">
        <f t="shared" si="727"/>
        <v>3988800.0000001397</v>
      </c>
      <c r="AS427" s="112">
        <f t="shared" si="728"/>
        <v>96</v>
      </c>
    </row>
    <row r="428" spans="17:45" x14ac:dyDescent="0.25">
      <c r="Q428" s="127">
        <v>45270.8125</v>
      </c>
      <c r="R428">
        <v>0</v>
      </c>
      <c r="S428" s="13">
        <f t="shared" si="724"/>
        <v>3997800.0000001397</v>
      </c>
      <c r="T428">
        <f t="shared" si="721"/>
        <v>0</v>
      </c>
      <c r="U428" s="13">
        <f t="shared" si="722"/>
        <v>3997800.0000001397</v>
      </c>
      <c r="V428" s="112">
        <f t="shared" si="723"/>
        <v>1E-10</v>
      </c>
      <c r="AN428" s="127">
        <v>45270.8125</v>
      </c>
      <c r="AO428">
        <v>1</v>
      </c>
      <c r="AP428" s="13">
        <f t="shared" si="725"/>
        <v>3997800.0000001397</v>
      </c>
      <c r="AQ428">
        <f t="shared" si="726"/>
        <v>96</v>
      </c>
      <c r="AR428" s="13">
        <f t="shared" si="727"/>
        <v>3997800.0000001397</v>
      </c>
      <c r="AS428" s="112">
        <f t="shared" si="728"/>
        <v>96</v>
      </c>
    </row>
    <row r="429" spans="17:45" x14ac:dyDescent="0.25">
      <c r="Q429" s="127">
        <v>45270.916666666657</v>
      </c>
      <c r="R429">
        <v>1</v>
      </c>
      <c r="S429" s="13">
        <f t="shared" si="724"/>
        <v>4006800.0000001397</v>
      </c>
      <c r="T429">
        <f t="shared" si="721"/>
        <v>96</v>
      </c>
      <c r="U429" s="13">
        <f t="shared" si="722"/>
        <v>4006800.0000001397</v>
      </c>
      <c r="V429" s="112">
        <f t="shared" si="723"/>
        <v>96</v>
      </c>
      <c r="AN429" s="127">
        <v>45270.916666666657</v>
      </c>
      <c r="AO429">
        <v>1</v>
      </c>
      <c r="AP429" s="13">
        <f t="shared" si="725"/>
        <v>4006800.0000001397</v>
      </c>
      <c r="AQ429">
        <f t="shared" si="726"/>
        <v>96</v>
      </c>
      <c r="AR429" s="13">
        <f t="shared" si="727"/>
        <v>4006800.0000001397</v>
      </c>
      <c r="AS429" s="112">
        <f t="shared" si="728"/>
        <v>96</v>
      </c>
    </row>
    <row r="430" spans="17:45" x14ac:dyDescent="0.25">
      <c r="Q430" s="127">
        <v>45271.020833333343</v>
      </c>
      <c r="R430">
        <v>1</v>
      </c>
      <c r="S430" s="13">
        <f t="shared" si="724"/>
        <v>4015800.0000001397</v>
      </c>
      <c r="T430">
        <f t="shared" si="721"/>
        <v>96</v>
      </c>
      <c r="U430" s="13">
        <f t="shared" si="722"/>
        <v>4015800.0000001397</v>
      </c>
      <c r="V430" s="112">
        <f t="shared" si="723"/>
        <v>96</v>
      </c>
      <c r="AN430" s="127">
        <v>45271.020833333343</v>
      </c>
      <c r="AO430">
        <v>1</v>
      </c>
      <c r="AP430" s="13">
        <f t="shared" si="725"/>
        <v>4015800.0000001397</v>
      </c>
      <c r="AQ430">
        <f t="shared" si="726"/>
        <v>96</v>
      </c>
      <c r="AR430" s="13">
        <f t="shared" si="727"/>
        <v>4015800.0000001397</v>
      </c>
      <c r="AS430" s="112">
        <f t="shared" si="728"/>
        <v>96</v>
      </c>
    </row>
    <row r="431" spans="17:45" x14ac:dyDescent="0.25">
      <c r="Q431" s="127">
        <v>45271.125</v>
      </c>
      <c r="R431">
        <v>1</v>
      </c>
      <c r="S431" s="13">
        <f t="shared" si="724"/>
        <v>4024800.0000001397</v>
      </c>
      <c r="T431">
        <f t="shared" si="721"/>
        <v>96</v>
      </c>
      <c r="U431" s="13">
        <f t="shared" si="722"/>
        <v>4024800.0000001397</v>
      </c>
      <c r="V431" s="112">
        <f t="shared" si="723"/>
        <v>96</v>
      </c>
      <c r="AN431" s="127">
        <v>45271.125</v>
      </c>
      <c r="AO431">
        <v>1</v>
      </c>
      <c r="AP431" s="13">
        <f t="shared" si="725"/>
        <v>4024800.0000001397</v>
      </c>
      <c r="AQ431">
        <f t="shared" si="726"/>
        <v>96</v>
      </c>
      <c r="AR431" s="13">
        <f t="shared" si="727"/>
        <v>4024800.0000001397</v>
      </c>
      <c r="AS431" s="112">
        <f t="shared" si="728"/>
        <v>96</v>
      </c>
    </row>
    <row r="432" spans="17:45" x14ac:dyDescent="0.25">
      <c r="Q432" s="127">
        <v>45271.229166666657</v>
      </c>
      <c r="R432">
        <v>1</v>
      </c>
      <c r="S432" s="13">
        <f t="shared" si="724"/>
        <v>4033800.0000001397</v>
      </c>
      <c r="T432">
        <f t="shared" si="721"/>
        <v>96</v>
      </c>
      <c r="U432" s="13">
        <f t="shared" si="722"/>
        <v>4033800.0000001397</v>
      </c>
      <c r="V432" s="112">
        <f t="shared" si="723"/>
        <v>96</v>
      </c>
      <c r="AN432" s="127">
        <v>45271.229166666657</v>
      </c>
      <c r="AO432">
        <v>1</v>
      </c>
      <c r="AP432" s="13">
        <f t="shared" si="725"/>
        <v>4033800.0000001397</v>
      </c>
      <c r="AQ432">
        <f t="shared" si="726"/>
        <v>96</v>
      </c>
      <c r="AR432" s="13">
        <f t="shared" si="727"/>
        <v>4033800.0000001397</v>
      </c>
      <c r="AS432" s="112">
        <f t="shared" si="728"/>
        <v>96</v>
      </c>
    </row>
    <row r="433" spans="17:45" x14ac:dyDescent="0.25">
      <c r="Q433" s="127">
        <v>45271.333333333343</v>
      </c>
      <c r="R433">
        <v>1</v>
      </c>
      <c r="S433" s="13">
        <f t="shared" si="724"/>
        <v>4042800.0000001397</v>
      </c>
      <c r="T433">
        <f t="shared" si="721"/>
        <v>96</v>
      </c>
      <c r="U433" s="13">
        <f t="shared" si="722"/>
        <v>4042800.0000001397</v>
      </c>
      <c r="V433" s="112">
        <f t="shared" si="723"/>
        <v>96</v>
      </c>
      <c r="AN433" s="127">
        <v>45271.333333333343</v>
      </c>
      <c r="AO433">
        <v>1</v>
      </c>
      <c r="AP433" s="13">
        <f t="shared" si="725"/>
        <v>4042800.0000001397</v>
      </c>
      <c r="AQ433">
        <f t="shared" si="726"/>
        <v>96</v>
      </c>
      <c r="AR433" s="13">
        <f t="shared" si="727"/>
        <v>4042800.0000001397</v>
      </c>
      <c r="AS433" s="112">
        <f t="shared" si="728"/>
        <v>96</v>
      </c>
    </row>
    <row r="434" spans="17:45" x14ac:dyDescent="0.25">
      <c r="Q434" s="127">
        <v>45271.4375</v>
      </c>
      <c r="R434">
        <v>2</v>
      </c>
      <c r="S434" s="13">
        <f t="shared" si="724"/>
        <v>4051800.0000001397</v>
      </c>
      <c r="T434">
        <f t="shared" si="721"/>
        <v>192</v>
      </c>
      <c r="U434" s="13">
        <f t="shared" si="722"/>
        <v>4051800.0000001397</v>
      </c>
      <c r="V434" s="112">
        <f t="shared" si="723"/>
        <v>192</v>
      </c>
      <c r="AN434" s="127">
        <v>45271.4375</v>
      </c>
      <c r="AO434">
        <v>2</v>
      </c>
      <c r="AP434" s="13">
        <f t="shared" si="725"/>
        <v>4051800.0000001397</v>
      </c>
      <c r="AQ434">
        <f t="shared" si="726"/>
        <v>192</v>
      </c>
      <c r="AR434" s="13">
        <f t="shared" si="727"/>
        <v>4051800.0000001397</v>
      </c>
      <c r="AS434" s="112">
        <f t="shared" si="728"/>
        <v>192</v>
      </c>
    </row>
    <row r="435" spans="17:45" x14ac:dyDescent="0.25">
      <c r="Q435" s="127">
        <v>45271.541666666657</v>
      </c>
      <c r="R435">
        <v>1</v>
      </c>
      <c r="S435" s="13">
        <f t="shared" si="724"/>
        <v>4060800.0000001397</v>
      </c>
      <c r="T435">
        <f t="shared" si="721"/>
        <v>96</v>
      </c>
      <c r="U435" s="13">
        <f t="shared" si="722"/>
        <v>4060800.0000001397</v>
      </c>
      <c r="V435" s="112">
        <f t="shared" si="723"/>
        <v>96</v>
      </c>
      <c r="AN435" s="127">
        <v>45271.541666666657</v>
      </c>
      <c r="AO435">
        <v>1</v>
      </c>
      <c r="AP435" s="13">
        <f t="shared" si="725"/>
        <v>4060800.0000001397</v>
      </c>
      <c r="AQ435">
        <f t="shared" si="726"/>
        <v>96</v>
      </c>
      <c r="AR435" s="13">
        <f t="shared" si="727"/>
        <v>4060800.0000001397</v>
      </c>
      <c r="AS435" s="112">
        <f t="shared" si="728"/>
        <v>96</v>
      </c>
    </row>
    <row r="436" spans="17:45" x14ac:dyDescent="0.25">
      <c r="Q436" s="127">
        <v>45271.645833333343</v>
      </c>
      <c r="R436">
        <v>1</v>
      </c>
      <c r="S436" s="13">
        <f t="shared" si="724"/>
        <v>4069800.0000001397</v>
      </c>
      <c r="T436">
        <f t="shared" si="721"/>
        <v>96</v>
      </c>
      <c r="U436" s="13">
        <f t="shared" si="722"/>
        <v>4069800.0000001397</v>
      </c>
      <c r="V436" s="112">
        <f t="shared" si="723"/>
        <v>96</v>
      </c>
      <c r="AN436" s="127">
        <v>45271.645833333343</v>
      </c>
      <c r="AO436">
        <v>1</v>
      </c>
      <c r="AP436" s="13">
        <f t="shared" si="725"/>
        <v>4069800.0000001397</v>
      </c>
      <c r="AQ436">
        <f t="shared" si="726"/>
        <v>96</v>
      </c>
      <c r="AR436" s="13">
        <f t="shared" si="727"/>
        <v>4069800.0000001397</v>
      </c>
      <c r="AS436" s="112">
        <f t="shared" si="728"/>
        <v>96</v>
      </c>
    </row>
    <row r="437" spans="17:45" x14ac:dyDescent="0.25">
      <c r="Q437" s="127">
        <v>45271.75</v>
      </c>
      <c r="R437">
        <v>1</v>
      </c>
      <c r="S437" s="13">
        <f t="shared" si="724"/>
        <v>4078800.0000001397</v>
      </c>
      <c r="T437">
        <f t="shared" si="721"/>
        <v>96</v>
      </c>
      <c r="U437" s="13">
        <f t="shared" si="722"/>
        <v>4078800.0000001397</v>
      </c>
      <c r="V437" s="112">
        <f t="shared" si="723"/>
        <v>96</v>
      </c>
      <c r="AN437" s="127">
        <v>45271.75</v>
      </c>
      <c r="AO437">
        <v>1</v>
      </c>
      <c r="AP437" s="13">
        <f t="shared" si="725"/>
        <v>4078800.0000001397</v>
      </c>
      <c r="AQ437">
        <f t="shared" si="726"/>
        <v>96</v>
      </c>
      <c r="AR437" s="13">
        <f t="shared" si="727"/>
        <v>4078800.0000001397</v>
      </c>
      <c r="AS437" s="112">
        <f t="shared" si="728"/>
        <v>96</v>
      </c>
    </row>
    <row r="438" spans="17:45" x14ac:dyDescent="0.25">
      <c r="Q438" s="127">
        <v>45271.854166666657</v>
      </c>
      <c r="R438">
        <v>1</v>
      </c>
      <c r="S438" s="13">
        <f t="shared" si="724"/>
        <v>4087800.0000001397</v>
      </c>
      <c r="T438">
        <f t="shared" si="721"/>
        <v>96</v>
      </c>
      <c r="U438" s="13">
        <f t="shared" si="722"/>
        <v>4087800.0000001397</v>
      </c>
      <c r="V438" s="112">
        <f t="shared" si="723"/>
        <v>96</v>
      </c>
      <c r="AN438" s="127">
        <v>45271.854166666657</v>
      </c>
      <c r="AO438">
        <v>1</v>
      </c>
      <c r="AP438" s="13">
        <f t="shared" si="725"/>
        <v>4087800.0000001397</v>
      </c>
      <c r="AQ438">
        <f t="shared" si="726"/>
        <v>96</v>
      </c>
      <c r="AR438" s="13">
        <f t="shared" si="727"/>
        <v>4087800.0000001397</v>
      </c>
      <c r="AS438" s="112">
        <f t="shared" si="728"/>
        <v>96</v>
      </c>
    </row>
    <row r="439" spans="17:45" x14ac:dyDescent="0.25">
      <c r="Q439" s="127">
        <v>45271.958333333343</v>
      </c>
      <c r="R439">
        <v>1</v>
      </c>
      <c r="S439" s="13">
        <f t="shared" si="724"/>
        <v>4096800.0000001397</v>
      </c>
      <c r="T439">
        <f t="shared" si="721"/>
        <v>96</v>
      </c>
      <c r="U439" s="13">
        <f t="shared" si="722"/>
        <v>4096800.0000001397</v>
      </c>
      <c r="V439" s="112">
        <f t="shared" si="723"/>
        <v>96</v>
      </c>
      <c r="AN439" s="127">
        <v>45271.958333333343</v>
      </c>
      <c r="AO439">
        <v>1</v>
      </c>
      <c r="AP439" s="13">
        <f t="shared" si="725"/>
        <v>4096800.0000001397</v>
      </c>
      <c r="AQ439">
        <f t="shared" si="726"/>
        <v>96</v>
      </c>
      <c r="AR439" s="13">
        <f t="shared" si="727"/>
        <v>4096800.0000001397</v>
      </c>
      <c r="AS439" s="112">
        <f t="shared" si="728"/>
        <v>96</v>
      </c>
    </row>
    <row r="440" spans="17:45" x14ac:dyDescent="0.25">
      <c r="Q440" s="127">
        <v>45272.0625</v>
      </c>
      <c r="R440">
        <v>1</v>
      </c>
      <c r="S440" s="13">
        <f t="shared" si="724"/>
        <v>4105800.0000001397</v>
      </c>
      <c r="T440">
        <f t="shared" si="721"/>
        <v>96</v>
      </c>
      <c r="U440" s="13">
        <f t="shared" si="722"/>
        <v>4105800.0000001397</v>
      </c>
      <c r="V440" s="112">
        <f t="shared" si="723"/>
        <v>96</v>
      </c>
      <c r="AN440" s="127">
        <v>45272.0625</v>
      </c>
      <c r="AO440">
        <v>1</v>
      </c>
      <c r="AP440" s="13">
        <f t="shared" si="725"/>
        <v>4105800.0000001397</v>
      </c>
      <c r="AQ440">
        <f t="shared" si="726"/>
        <v>96</v>
      </c>
      <c r="AR440" s="13">
        <f t="shared" si="727"/>
        <v>4105800.0000001397</v>
      </c>
      <c r="AS440" s="112">
        <f t="shared" si="728"/>
        <v>96</v>
      </c>
    </row>
    <row r="441" spans="17:45" x14ac:dyDescent="0.25">
      <c r="Q441" s="127">
        <v>45272.166666666657</v>
      </c>
      <c r="R441">
        <v>1</v>
      </c>
      <c r="S441" s="13">
        <f t="shared" si="724"/>
        <v>4114800.0000001397</v>
      </c>
      <c r="T441">
        <f t="shared" si="721"/>
        <v>96</v>
      </c>
      <c r="U441" s="13">
        <f t="shared" si="722"/>
        <v>4114800.0000001397</v>
      </c>
      <c r="V441" s="112">
        <f t="shared" si="723"/>
        <v>96</v>
      </c>
      <c r="AN441" s="127">
        <v>45272.166666666657</v>
      </c>
      <c r="AO441">
        <v>0</v>
      </c>
      <c r="AP441" s="13">
        <f t="shared" si="725"/>
        <v>4114800.0000001397</v>
      </c>
      <c r="AQ441">
        <f t="shared" si="726"/>
        <v>0</v>
      </c>
      <c r="AR441" s="13">
        <f t="shared" si="727"/>
        <v>4114800.0000001397</v>
      </c>
      <c r="AS441" s="112">
        <f t="shared" si="728"/>
        <v>1E-10</v>
      </c>
    </row>
    <row r="442" spans="17:45" x14ac:dyDescent="0.25">
      <c r="Q442" s="127">
        <v>45272.270833333343</v>
      </c>
      <c r="R442">
        <v>1</v>
      </c>
      <c r="S442" s="13">
        <f t="shared" si="724"/>
        <v>4123800.0000001397</v>
      </c>
      <c r="T442">
        <f t="shared" si="721"/>
        <v>96</v>
      </c>
      <c r="U442" s="13">
        <f t="shared" si="722"/>
        <v>4123800.0000001397</v>
      </c>
      <c r="V442" s="112">
        <f t="shared" si="723"/>
        <v>96</v>
      </c>
      <c r="AN442" s="127">
        <v>45272.270833333343</v>
      </c>
      <c r="AO442">
        <v>1</v>
      </c>
      <c r="AP442" s="13">
        <f t="shared" si="725"/>
        <v>4123800.0000001397</v>
      </c>
      <c r="AQ442">
        <f t="shared" si="726"/>
        <v>96</v>
      </c>
      <c r="AR442" s="13">
        <f t="shared" si="727"/>
        <v>4123800.0000001397</v>
      </c>
      <c r="AS442" s="112">
        <f t="shared" si="728"/>
        <v>96</v>
      </c>
    </row>
    <row r="443" spans="17:45" x14ac:dyDescent="0.25">
      <c r="Q443" s="127">
        <v>45272.375</v>
      </c>
      <c r="R443">
        <v>2</v>
      </c>
      <c r="S443" s="13">
        <f t="shared" si="724"/>
        <v>4132800.0000001397</v>
      </c>
      <c r="T443">
        <f t="shared" si="721"/>
        <v>192</v>
      </c>
      <c r="U443" s="13">
        <f t="shared" si="722"/>
        <v>4132800.0000001397</v>
      </c>
      <c r="V443" s="112">
        <f t="shared" si="723"/>
        <v>192</v>
      </c>
      <c r="AN443" s="127">
        <v>45272.375</v>
      </c>
      <c r="AO443">
        <v>2</v>
      </c>
      <c r="AP443" s="13">
        <f t="shared" si="725"/>
        <v>4132800.0000001397</v>
      </c>
      <c r="AQ443">
        <f t="shared" si="726"/>
        <v>192</v>
      </c>
      <c r="AR443" s="13">
        <f t="shared" si="727"/>
        <v>4132800.0000001397</v>
      </c>
      <c r="AS443" s="112">
        <f t="shared" si="728"/>
        <v>192</v>
      </c>
    </row>
    <row r="444" spans="17:45" x14ac:dyDescent="0.25">
      <c r="Q444" s="127">
        <v>45272.479166666657</v>
      </c>
      <c r="R444">
        <v>1</v>
      </c>
      <c r="S444" s="13">
        <f t="shared" si="724"/>
        <v>4141800.0000001397</v>
      </c>
      <c r="T444">
        <f t="shared" si="721"/>
        <v>96</v>
      </c>
      <c r="U444" s="13">
        <f t="shared" si="722"/>
        <v>4141800.0000001397</v>
      </c>
      <c r="V444" s="112">
        <f t="shared" si="723"/>
        <v>96</v>
      </c>
      <c r="AN444" s="127">
        <v>45272.479166666657</v>
      </c>
      <c r="AO444">
        <v>1</v>
      </c>
      <c r="AP444" s="13">
        <f t="shared" si="725"/>
        <v>4141800.0000001397</v>
      </c>
      <c r="AQ444">
        <f t="shared" si="726"/>
        <v>96</v>
      </c>
      <c r="AR444" s="13">
        <f t="shared" si="727"/>
        <v>4141800.0000001397</v>
      </c>
      <c r="AS444" s="112">
        <f t="shared" si="728"/>
        <v>96</v>
      </c>
    </row>
    <row r="445" spans="17:45" x14ac:dyDescent="0.25">
      <c r="Q445" s="127">
        <v>45272.583333333343</v>
      </c>
      <c r="R445">
        <v>1</v>
      </c>
      <c r="S445" s="13">
        <f t="shared" si="724"/>
        <v>4150800.0000001397</v>
      </c>
      <c r="T445">
        <f t="shared" si="721"/>
        <v>96</v>
      </c>
      <c r="U445" s="13">
        <f t="shared" si="722"/>
        <v>4150800.0000001397</v>
      </c>
      <c r="V445" s="112">
        <f t="shared" si="723"/>
        <v>96</v>
      </c>
      <c r="AN445" s="127">
        <v>45272.583333333343</v>
      </c>
      <c r="AO445">
        <v>1</v>
      </c>
      <c r="AP445" s="13">
        <f t="shared" si="725"/>
        <v>4150800.0000001397</v>
      </c>
      <c r="AQ445">
        <f t="shared" si="726"/>
        <v>96</v>
      </c>
      <c r="AR445" s="13">
        <f t="shared" si="727"/>
        <v>4150800.0000001397</v>
      </c>
      <c r="AS445" s="112">
        <f t="shared" si="728"/>
        <v>96</v>
      </c>
    </row>
    <row r="446" spans="17:45" x14ac:dyDescent="0.25">
      <c r="Q446" s="127">
        <v>45272.6875</v>
      </c>
      <c r="R446">
        <v>1</v>
      </c>
      <c r="S446" s="13">
        <f t="shared" si="724"/>
        <v>4159800.0000001397</v>
      </c>
      <c r="T446">
        <f t="shared" si="721"/>
        <v>96</v>
      </c>
      <c r="U446" s="13">
        <f t="shared" si="722"/>
        <v>4159800.0000001397</v>
      </c>
      <c r="V446" s="112">
        <f t="shared" si="723"/>
        <v>96</v>
      </c>
      <c r="AN446" s="127">
        <v>45272.6875</v>
      </c>
      <c r="AO446">
        <v>1</v>
      </c>
      <c r="AP446" s="13">
        <f t="shared" si="725"/>
        <v>4159800.0000001397</v>
      </c>
      <c r="AQ446">
        <f t="shared" si="726"/>
        <v>96</v>
      </c>
      <c r="AR446" s="13">
        <f t="shared" si="727"/>
        <v>4159800.0000001397</v>
      </c>
      <c r="AS446" s="112">
        <f t="shared" si="728"/>
        <v>96</v>
      </c>
    </row>
    <row r="447" spans="17:45" x14ac:dyDescent="0.25">
      <c r="Q447" s="127">
        <v>45272.791666666657</v>
      </c>
      <c r="R447">
        <v>1</v>
      </c>
      <c r="S447" s="13">
        <f t="shared" si="724"/>
        <v>4168800.0000001397</v>
      </c>
      <c r="T447">
        <f t="shared" si="721"/>
        <v>96</v>
      </c>
      <c r="U447" s="13">
        <f t="shared" si="722"/>
        <v>4168800.0000001397</v>
      </c>
      <c r="V447" s="112">
        <f t="shared" si="723"/>
        <v>96</v>
      </c>
      <c r="AN447" s="127">
        <v>45272.791666666657</v>
      </c>
      <c r="AO447">
        <v>1</v>
      </c>
      <c r="AP447" s="13">
        <f t="shared" si="725"/>
        <v>4168800.0000001397</v>
      </c>
      <c r="AQ447">
        <f t="shared" si="726"/>
        <v>96</v>
      </c>
      <c r="AR447" s="13">
        <f t="shared" si="727"/>
        <v>4168800.0000001397</v>
      </c>
      <c r="AS447" s="112">
        <f t="shared" si="728"/>
        <v>96</v>
      </c>
    </row>
    <row r="448" spans="17:45" x14ac:dyDescent="0.25">
      <c r="Q448" s="127">
        <v>45272.895833333343</v>
      </c>
      <c r="R448">
        <v>1</v>
      </c>
      <c r="S448" s="13">
        <f t="shared" si="724"/>
        <v>4177800.0000001397</v>
      </c>
      <c r="T448">
        <f t="shared" si="721"/>
        <v>96</v>
      </c>
      <c r="U448" s="13">
        <f t="shared" si="722"/>
        <v>4177800.0000001397</v>
      </c>
      <c r="V448" s="112">
        <f t="shared" si="723"/>
        <v>96</v>
      </c>
      <c r="AN448" s="127">
        <v>45272.895833333343</v>
      </c>
      <c r="AO448">
        <v>1</v>
      </c>
      <c r="AP448" s="13">
        <f t="shared" si="725"/>
        <v>4177800.0000001397</v>
      </c>
      <c r="AQ448">
        <f t="shared" si="726"/>
        <v>96</v>
      </c>
      <c r="AR448" s="13">
        <f t="shared" si="727"/>
        <v>4177800.0000001397</v>
      </c>
      <c r="AS448" s="112">
        <f t="shared" si="728"/>
        <v>96</v>
      </c>
    </row>
    <row r="449" spans="17:45" x14ac:dyDescent="0.25">
      <c r="Q449" s="127">
        <v>45273</v>
      </c>
      <c r="R449">
        <v>1</v>
      </c>
      <c r="S449" s="13">
        <f t="shared" si="724"/>
        <v>4186800.0000001397</v>
      </c>
      <c r="T449">
        <f t="shared" si="721"/>
        <v>96</v>
      </c>
      <c r="U449" s="13">
        <f t="shared" si="722"/>
        <v>4186800.0000001397</v>
      </c>
      <c r="V449" s="112">
        <f t="shared" si="723"/>
        <v>96</v>
      </c>
      <c r="AN449" s="127">
        <v>45273</v>
      </c>
      <c r="AO449">
        <v>1</v>
      </c>
      <c r="AP449" s="13">
        <f t="shared" si="725"/>
        <v>4186800.0000001397</v>
      </c>
      <c r="AQ449">
        <f t="shared" si="726"/>
        <v>96</v>
      </c>
      <c r="AR449" s="13">
        <f t="shared" si="727"/>
        <v>4186800.0000001397</v>
      </c>
      <c r="AS449" s="112">
        <f t="shared" si="728"/>
        <v>96</v>
      </c>
    </row>
    <row r="450" spans="17:45" x14ac:dyDescent="0.25">
      <c r="Q450" s="127">
        <v>45273.104166666657</v>
      </c>
      <c r="R450">
        <v>1</v>
      </c>
      <c r="S450" s="13">
        <f t="shared" si="724"/>
        <v>4195800.0000001397</v>
      </c>
      <c r="T450">
        <f t="shared" si="721"/>
        <v>96</v>
      </c>
      <c r="U450" s="13">
        <f t="shared" si="722"/>
        <v>4195800.0000001397</v>
      </c>
      <c r="V450" s="112">
        <f t="shared" si="723"/>
        <v>96</v>
      </c>
      <c r="AN450" s="127">
        <v>45273.104166666657</v>
      </c>
      <c r="AO450">
        <v>1</v>
      </c>
      <c r="AP450" s="13">
        <f t="shared" si="725"/>
        <v>4195800.0000001397</v>
      </c>
      <c r="AQ450">
        <f t="shared" si="726"/>
        <v>96</v>
      </c>
      <c r="AR450" s="13">
        <f t="shared" si="727"/>
        <v>4195800.0000001397</v>
      </c>
      <c r="AS450" s="112">
        <f t="shared" si="728"/>
        <v>96</v>
      </c>
    </row>
    <row r="451" spans="17:45" x14ac:dyDescent="0.25">
      <c r="Q451" s="127">
        <v>45273.208333333343</v>
      </c>
      <c r="R451">
        <v>1</v>
      </c>
      <c r="S451" s="13">
        <f t="shared" si="724"/>
        <v>4204800.0000001397</v>
      </c>
      <c r="T451">
        <f t="shared" ref="T451:T514" si="729">R451*96</f>
        <v>96</v>
      </c>
      <c r="U451" s="13">
        <f t="shared" ref="U451:U514" si="730">S451</f>
        <v>4204800.0000001397</v>
      </c>
      <c r="V451" s="112">
        <f t="shared" ref="V451:V514" si="731">IF(T451=0,0.0000000001,T451)</f>
        <v>96</v>
      </c>
      <c r="AN451" s="127">
        <v>45273.208333333343</v>
      </c>
      <c r="AO451">
        <v>1</v>
      </c>
      <c r="AP451" s="13">
        <f t="shared" si="725"/>
        <v>4204800.0000001397</v>
      </c>
      <c r="AQ451">
        <f t="shared" si="726"/>
        <v>96</v>
      </c>
      <c r="AR451" s="13">
        <f t="shared" si="727"/>
        <v>4204800.0000001397</v>
      </c>
      <c r="AS451" s="112">
        <f t="shared" si="728"/>
        <v>96</v>
      </c>
    </row>
    <row r="452" spans="17:45" x14ac:dyDescent="0.25">
      <c r="Q452" s="127">
        <v>45273.3125</v>
      </c>
      <c r="R452">
        <v>1</v>
      </c>
      <c r="S452" s="13">
        <f t="shared" ref="S452:S515" si="732">S451+150*60</f>
        <v>4213800.0000001397</v>
      </c>
      <c r="T452">
        <f t="shared" si="729"/>
        <v>96</v>
      </c>
      <c r="U452" s="13">
        <f t="shared" si="730"/>
        <v>4213800.0000001397</v>
      </c>
      <c r="V452" s="112">
        <f t="shared" si="731"/>
        <v>96</v>
      </c>
      <c r="AN452" s="127">
        <v>45273.3125</v>
      </c>
      <c r="AO452">
        <v>1</v>
      </c>
      <c r="AP452" s="13">
        <f t="shared" ref="AP452:AP515" si="733">AP451+150*60</f>
        <v>4213800.0000001397</v>
      </c>
      <c r="AQ452">
        <f t="shared" si="726"/>
        <v>96</v>
      </c>
      <c r="AR452" s="13">
        <f t="shared" si="727"/>
        <v>4213800.0000001397</v>
      </c>
      <c r="AS452" s="112">
        <f t="shared" si="728"/>
        <v>96</v>
      </c>
    </row>
    <row r="453" spans="17:45" x14ac:dyDescent="0.25">
      <c r="Q453" s="127">
        <v>45273.416666666657</v>
      </c>
      <c r="R453">
        <v>1</v>
      </c>
      <c r="S453" s="13">
        <f t="shared" si="732"/>
        <v>4222800.0000001397</v>
      </c>
      <c r="T453">
        <f t="shared" si="729"/>
        <v>96</v>
      </c>
      <c r="U453" s="13">
        <f t="shared" si="730"/>
        <v>4222800.0000001397</v>
      </c>
      <c r="V453" s="112">
        <f t="shared" si="731"/>
        <v>96</v>
      </c>
      <c r="AN453" s="127">
        <v>45273.416666666657</v>
      </c>
      <c r="AO453">
        <v>1</v>
      </c>
      <c r="AP453" s="13">
        <f t="shared" si="733"/>
        <v>4222800.0000001397</v>
      </c>
      <c r="AQ453">
        <f t="shared" si="726"/>
        <v>96</v>
      </c>
      <c r="AR453" s="13">
        <f t="shared" si="727"/>
        <v>4222800.0000001397</v>
      </c>
      <c r="AS453" s="112">
        <f t="shared" si="728"/>
        <v>96</v>
      </c>
    </row>
    <row r="454" spans="17:45" x14ac:dyDescent="0.25">
      <c r="Q454" s="127">
        <v>45273.520833333343</v>
      </c>
      <c r="R454">
        <v>1</v>
      </c>
      <c r="S454" s="13">
        <f t="shared" si="732"/>
        <v>4231800.0000001397</v>
      </c>
      <c r="T454">
        <f t="shared" si="729"/>
        <v>96</v>
      </c>
      <c r="U454" s="13">
        <f t="shared" si="730"/>
        <v>4231800.0000001397</v>
      </c>
      <c r="V454" s="112">
        <f t="shared" si="731"/>
        <v>96</v>
      </c>
      <c r="AN454" s="127">
        <v>45273.520833333343</v>
      </c>
      <c r="AO454">
        <v>1</v>
      </c>
      <c r="AP454" s="13">
        <f t="shared" si="733"/>
        <v>4231800.0000001397</v>
      </c>
      <c r="AQ454">
        <f t="shared" si="726"/>
        <v>96</v>
      </c>
      <c r="AR454" s="13">
        <f t="shared" si="727"/>
        <v>4231800.0000001397</v>
      </c>
      <c r="AS454" s="112">
        <f t="shared" si="728"/>
        <v>96</v>
      </c>
    </row>
    <row r="455" spans="17:45" x14ac:dyDescent="0.25">
      <c r="Q455" s="127">
        <v>45273.625</v>
      </c>
      <c r="R455">
        <v>1</v>
      </c>
      <c r="S455" s="13">
        <f t="shared" si="732"/>
        <v>4240800.0000001397</v>
      </c>
      <c r="T455">
        <f t="shared" si="729"/>
        <v>96</v>
      </c>
      <c r="U455" s="13">
        <f t="shared" si="730"/>
        <v>4240800.0000001397</v>
      </c>
      <c r="V455" s="112">
        <f t="shared" si="731"/>
        <v>96</v>
      </c>
      <c r="AN455" s="127">
        <v>45273.625</v>
      </c>
      <c r="AO455">
        <v>1</v>
      </c>
      <c r="AP455" s="13">
        <f t="shared" si="733"/>
        <v>4240800.0000001397</v>
      </c>
      <c r="AQ455">
        <f t="shared" si="726"/>
        <v>96</v>
      </c>
      <c r="AR455" s="13">
        <f t="shared" si="727"/>
        <v>4240800.0000001397</v>
      </c>
      <c r="AS455" s="112">
        <f t="shared" si="728"/>
        <v>96</v>
      </c>
    </row>
    <row r="456" spans="17:45" x14ac:dyDescent="0.25">
      <c r="Q456" s="127">
        <v>45273.729166666657</v>
      </c>
      <c r="R456">
        <v>1</v>
      </c>
      <c r="S456" s="13">
        <f t="shared" si="732"/>
        <v>4249800.0000001397</v>
      </c>
      <c r="T456">
        <f t="shared" si="729"/>
        <v>96</v>
      </c>
      <c r="U456" s="13">
        <f t="shared" si="730"/>
        <v>4249800.0000001397</v>
      </c>
      <c r="V456" s="112">
        <f t="shared" si="731"/>
        <v>96</v>
      </c>
      <c r="AN456" s="127">
        <v>45273.729166666657</v>
      </c>
      <c r="AO456">
        <v>1</v>
      </c>
      <c r="AP456" s="13">
        <f t="shared" si="733"/>
        <v>4249800.0000001397</v>
      </c>
      <c r="AQ456">
        <f t="shared" si="726"/>
        <v>96</v>
      </c>
      <c r="AR456" s="13">
        <f t="shared" si="727"/>
        <v>4249800.0000001397</v>
      </c>
      <c r="AS456" s="112">
        <f t="shared" si="728"/>
        <v>96</v>
      </c>
    </row>
    <row r="457" spans="17:45" x14ac:dyDescent="0.25">
      <c r="Q457" s="127">
        <v>45273.833333333343</v>
      </c>
      <c r="R457">
        <v>1</v>
      </c>
      <c r="S457" s="13">
        <f t="shared" si="732"/>
        <v>4258800.0000001397</v>
      </c>
      <c r="T457">
        <f t="shared" si="729"/>
        <v>96</v>
      </c>
      <c r="U457" s="13">
        <f t="shared" si="730"/>
        <v>4258800.0000001397</v>
      </c>
      <c r="V457" s="112">
        <f t="shared" si="731"/>
        <v>96</v>
      </c>
      <c r="AN457" s="127">
        <v>45273.833333333343</v>
      </c>
      <c r="AO457">
        <v>1</v>
      </c>
      <c r="AP457" s="13">
        <f t="shared" si="733"/>
        <v>4258800.0000001397</v>
      </c>
      <c r="AQ457">
        <f t="shared" si="726"/>
        <v>96</v>
      </c>
      <c r="AR457" s="13">
        <f t="shared" si="727"/>
        <v>4258800.0000001397</v>
      </c>
      <c r="AS457" s="112">
        <f t="shared" si="728"/>
        <v>96</v>
      </c>
    </row>
    <row r="458" spans="17:45" x14ac:dyDescent="0.25">
      <c r="Q458" s="127">
        <v>45273.9375</v>
      </c>
      <c r="R458">
        <v>1</v>
      </c>
      <c r="S458" s="13">
        <f t="shared" si="732"/>
        <v>4267800.0000001397</v>
      </c>
      <c r="T458">
        <f t="shared" si="729"/>
        <v>96</v>
      </c>
      <c r="U458" s="13">
        <f t="shared" si="730"/>
        <v>4267800.0000001397</v>
      </c>
      <c r="V458" s="112">
        <f t="shared" si="731"/>
        <v>96</v>
      </c>
      <c r="AN458" s="127">
        <v>45273.9375</v>
      </c>
      <c r="AO458">
        <v>1</v>
      </c>
      <c r="AP458" s="13">
        <f t="shared" si="733"/>
        <v>4267800.0000001397</v>
      </c>
      <c r="AQ458">
        <f t="shared" si="726"/>
        <v>96</v>
      </c>
      <c r="AR458" s="13">
        <f t="shared" si="727"/>
        <v>4267800.0000001397</v>
      </c>
      <c r="AS458" s="112">
        <f t="shared" si="728"/>
        <v>96</v>
      </c>
    </row>
    <row r="459" spans="17:45" x14ac:dyDescent="0.25">
      <c r="Q459" s="127">
        <v>45274.041666666657</v>
      </c>
      <c r="R459">
        <v>1</v>
      </c>
      <c r="S459" s="13">
        <f t="shared" si="732"/>
        <v>4276800.0000001397</v>
      </c>
      <c r="T459">
        <f t="shared" si="729"/>
        <v>96</v>
      </c>
      <c r="U459" s="13">
        <f t="shared" si="730"/>
        <v>4276800.0000001397</v>
      </c>
      <c r="V459" s="112">
        <f t="shared" si="731"/>
        <v>96</v>
      </c>
      <c r="AN459" s="127">
        <v>45274.041666666657</v>
      </c>
      <c r="AO459">
        <v>1</v>
      </c>
      <c r="AP459" s="13">
        <f t="shared" si="733"/>
        <v>4276800.0000001397</v>
      </c>
      <c r="AQ459">
        <f t="shared" si="726"/>
        <v>96</v>
      </c>
      <c r="AR459" s="13">
        <f t="shared" si="727"/>
        <v>4276800.0000001397</v>
      </c>
      <c r="AS459" s="112">
        <f t="shared" si="728"/>
        <v>96</v>
      </c>
    </row>
    <row r="460" spans="17:45" x14ac:dyDescent="0.25">
      <c r="Q460" s="127">
        <v>45274.145833333343</v>
      </c>
      <c r="R460">
        <v>1</v>
      </c>
      <c r="S460" s="13">
        <f t="shared" si="732"/>
        <v>4285800.0000001397</v>
      </c>
      <c r="T460">
        <f t="shared" si="729"/>
        <v>96</v>
      </c>
      <c r="U460" s="13">
        <f t="shared" si="730"/>
        <v>4285800.0000001397</v>
      </c>
      <c r="V460" s="112">
        <f t="shared" si="731"/>
        <v>96</v>
      </c>
      <c r="AN460" s="127">
        <v>45274.145833333343</v>
      </c>
      <c r="AO460">
        <v>1</v>
      </c>
      <c r="AP460" s="13">
        <f t="shared" si="733"/>
        <v>4285800.0000001397</v>
      </c>
      <c r="AQ460">
        <f t="shared" si="726"/>
        <v>96</v>
      </c>
      <c r="AR460" s="13">
        <f t="shared" si="727"/>
        <v>4285800.0000001397</v>
      </c>
      <c r="AS460" s="112">
        <f t="shared" si="728"/>
        <v>96</v>
      </c>
    </row>
    <row r="461" spans="17:45" x14ac:dyDescent="0.25">
      <c r="Q461" s="127">
        <v>45274.25</v>
      </c>
      <c r="R461">
        <v>1</v>
      </c>
      <c r="S461" s="13">
        <f t="shared" si="732"/>
        <v>4294800.0000001397</v>
      </c>
      <c r="T461">
        <f t="shared" si="729"/>
        <v>96</v>
      </c>
      <c r="U461" s="13">
        <f t="shared" si="730"/>
        <v>4294800.0000001397</v>
      </c>
      <c r="V461" s="112">
        <f t="shared" si="731"/>
        <v>96</v>
      </c>
      <c r="AN461" s="127">
        <v>45274.25</v>
      </c>
      <c r="AO461">
        <v>1</v>
      </c>
      <c r="AP461" s="13">
        <f t="shared" si="733"/>
        <v>4294800.0000001397</v>
      </c>
      <c r="AQ461">
        <f t="shared" si="726"/>
        <v>96</v>
      </c>
      <c r="AR461" s="13">
        <f t="shared" si="727"/>
        <v>4294800.0000001397</v>
      </c>
      <c r="AS461" s="112">
        <f t="shared" si="728"/>
        <v>96</v>
      </c>
    </row>
    <row r="462" spans="17:45" x14ac:dyDescent="0.25">
      <c r="Q462" s="127">
        <v>45274.354166666657</v>
      </c>
      <c r="R462">
        <v>1</v>
      </c>
      <c r="S462" s="13">
        <f t="shared" si="732"/>
        <v>4303800.0000001397</v>
      </c>
      <c r="T462">
        <f t="shared" si="729"/>
        <v>96</v>
      </c>
      <c r="U462" s="13">
        <f t="shared" si="730"/>
        <v>4303800.0000001397</v>
      </c>
      <c r="V462" s="112">
        <f t="shared" si="731"/>
        <v>96</v>
      </c>
      <c r="AN462" s="127">
        <v>45274.354166666657</v>
      </c>
      <c r="AO462">
        <v>1</v>
      </c>
      <c r="AP462" s="13">
        <f t="shared" si="733"/>
        <v>4303800.0000001397</v>
      </c>
      <c r="AQ462">
        <f t="shared" si="726"/>
        <v>96</v>
      </c>
      <c r="AR462" s="13">
        <f t="shared" si="727"/>
        <v>4303800.0000001397</v>
      </c>
      <c r="AS462" s="112">
        <f t="shared" si="728"/>
        <v>96</v>
      </c>
    </row>
    <row r="463" spans="17:45" x14ac:dyDescent="0.25">
      <c r="Q463" s="127">
        <v>45274.458333333343</v>
      </c>
      <c r="R463">
        <v>1</v>
      </c>
      <c r="S463" s="13">
        <f t="shared" si="732"/>
        <v>4312800.0000001397</v>
      </c>
      <c r="T463">
        <f t="shared" si="729"/>
        <v>96</v>
      </c>
      <c r="U463" s="13">
        <f t="shared" si="730"/>
        <v>4312800.0000001397</v>
      </c>
      <c r="V463" s="112">
        <f t="shared" si="731"/>
        <v>96</v>
      </c>
      <c r="AN463" s="127">
        <v>45274.458333333343</v>
      </c>
      <c r="AO463">
        <v>1</v>
      </c>
      <c r="AP463" s="13">
        <f t="shared" si="733"/>
        <v>4312800.0000001397</v>
      </c>
      <c r="AQ463">
        <f t="shared" si="726"/>
        <v>96</v>
      </c>
      <c r="AR463" s="13">
        <f t="shared" si="727"/>
        <v>4312800.0000001397</v>
      </c>
      <c r="AS463" s="112">
        <f t="shared" si="728"/>
        <v>96</v>
      </c>
    </row>
    <row r="464" spans="17:45" x14ac:dyDescent="0.25">
      <c r="Q464" s="127">
        <v>45274.5625</v>
      </c>
      <c r="R464">
        <v>1</v>
      </c>
      <c r="S464" s="13">
        <f t="shared" si="732"/>
        <v>4321800.0000001397</v>
      </c>
      <c r="T464">
        <f t="shared" si="729"/>
        <v>96</v>
      </c>
      <c r="U464" s="13">
        <f t="shared" si="730"/>
        <v>4321800.0000001397</v>
      </c>
      <c r="V464" s="112">
        <f t="shared" si="731"/>
        <v>96</v>
      </c>
      <c r="AN464" s="127">
        <v>45274.5625</v>
      </c>
      <c r="AO464">
        <v>1</v>
      </c>
      <c r="AP464" s="13">
        <f t="shared" si="733"/>
        <v>4321800.0000001397</v>
      </c>
      <c r="AQ464">
        <f t="shared" si="726"/>
        <v>96</v>
      </c>
      <c r="AR464" s="13">
        <f t="shared" si="727"/>
        <v>4321800.0000001397</v>
      </c>
      <c r="AS464" s="112">
        <f t="shared" si="728"/>
        <v>96</v>
      </c>
    </row>
    <row r="465" spans="17:45" x14ac:dyDescent="0.25">
      <c r="Q465" s="127">
        <v>45274.666666666657</v>
      </c>
      <c r="R465">
        <v>1</v>
      </c>
      <c r="S465" s="13">
        <f t="shared" si="732"/>
        <v>4330800.0000001397</v>
      </c>
      <c r="T465">
        <f t="shared" si="729"/>
        <v>96</v>
      </c>
      <c r="U465" s="13">
        <f t="shared" si="730"/>
        <v>4330800.0000001397</v>
      </c>
      <c r="V465" s="112">
        <f t="shared" si="731"/>
        <v>96</v>
      </c>
      <c r="AN465" s="127">
        <v>45274.666666666657</v>
      </c>
      <c r="AO465">
        <v>0</v>
      </c>
      <c r="AP465" s="13">
        <f t="shared" si="733"/>
        <v>4330800.0000001397</v>
      </c>
      <c r="AQ465">
        <f t="shared" si="726"/>
        <v>0</v>
      </c>
      <c r="AR465" s="13">
        <f t="shared" si="727"/>
        <v>4330800.0000001397</v>
      </c>
      <c r="AS465" s="112">
        <f t="shared" si="728"/>
        <v>1E-10</v>
      </c>
    </row>
    <row r="466" spans="17:45" x14ac:dyDescent="0.25">
      <c r="Q466" s="127">
        <v>45274.770833333343</v>
      </c>
      <c r="R466">
        <v>1</v>
      </c>
      <c r="S466" s="13">
        <f t="shared" si="732"/>
        <v>4339800.0000001397</v>
      </c>
      <c r="T466">
        <f t="shared" si="729"/>
        <v>96</v>
      </c>
      <c r="U466" s="13">
        <f t="shared" si="730"/>
        <v>4339800.0000001397</v>
      </c>
      <c r="V466" s="112">
        <f t="shared" si="731"/>
        <v>96</v>
      </c>
      <c r="AN466" s="127">
        <v>45274.770833333343</v>
      </c>
      <c r="AO466">
        <v>1</v>
      </c>
      <c r="AP466" s="13">
        <f t="shared" si="733"/>
        <v>4339800.0000001397</v>
      </c>
      <c r="AQ466">
        <f t="shared" si="726"/>
        <v>96</v>
      </c>
      <c r="AR466" s="13">
        <f t="shared" si="727"/>
        <v>4339800.0000001397</v>
      </c>
      <c r="AS466" s="112">
        <f t="shared" si="728"/>
        <v>96</v>
      </c>
    </row>
    <row r="467" spans="17:45" x14ac:dyDescent="0.25">
      <c r="Q467" s="127">
        <v>45274.875</v>
      </c>
      <c r="R467">
        <v>1</v>
      </c>
      <c r="S467" s="13">
        <f t="shared" si="732"/>
        <v>4348800.0000001397</v>
      </c>
      <c r="T467">
        <f t="shared" si="729"/>
        <v>96</v>
      </c>
      <c r="U467" s="13">
        <f t="shared" si="730"/>
        <v>4348800.0000001397</v>
      </c>
      <c r="V467" s="112">
        <f t="shared" si="731"/>
        <v>96</v>
      </c>
      <c r="AN467" s="127">
        <v>45274.875</v>
      </c>
      <c r="AO467">
        <v>1</v>
      </c>
      <c r="AP467" s="13">
        <f t="shared" si="733"/>
        <v>4348800.0000001397</v>
      </c>
      <c r="AQ467">
        <f t="shared" si="726"/>
        <v>96</v>
      </c>
      <c r="AR467" s="13">
        <f t="shared" si="727"/>
        <v>4348800.0000001397</v>
      </c>
      <c r="AS467" s="112">
        <f t="shared" si="728"/>
        <v>96</v>
      </c>
    </row>
    <row r="468" spans="17:45" x14ac:dyDescent="0.25">
      <c r="Q468" s="127">
        <v>45274.979166666657</v>
      </c>
      <c r="R468">
        <v>1</v>
      </c>
      <c r="S468" s="13">
        <f t="shared" si="732"/>
        <v>4357800.0000001397</v>
      </c>
      <c r="T468">
        <f t="shared" si="729"/>
        <v>96</v>
      </c>
      <c r="U468" s="13">
        <f t="shared" si="730"/>
        <v>4357800.0000001397</v>
      </c>
      <c r="V468" s="112">
        <f t="shared" si="731"/>
        <v>96</v>
      </c>
      <c r="AN468" s="127">
        <v>45274.979166666657</v>
      </c>
      <c r="AO468">
        <v>1</v>
      </c>
      <c r="AP468" s="13">
        <f t="shared" si="733"/>
        <v>4357800.0000001397</v>
      </c>
      <c r="AQ468">
        <f t="shared" si="726"/>
        <v>96</v>
      </c>
      <c r="AR468" s="13">
        <f t="shared" si="727"/>
        <v>4357800.0000001397</v>
      </c>
      <c r="AS468" s="112">
        <f t="shared" si="728"/>
        <v>96</v>
      </c>
    </row>
    <row r="469" spans="17:45" x14ac:dyDescent="0.25">
      <c r="Q469" s="127">
        <v>45275.083333333343</v>
      </c>
      <c r="R469">
        <v>1</v>
      </c>
      <c r="S469" s="13">
        <f t="shared" si="732"/>
        <v>4366800.0000001397</v>
      </c>
      <c r="T469">
        <f t="shared" si="729"/>
        <v>96</v>
      </c>
      <c r="U469" s="13">
        <f t="shared" si="730"/>
        <v>4366800.0000001397</v>
      </c>
      <c r="V469" s="112">
        <f t="shared" si="731"/>
        <v>96</v>
      </c>
      <c r="AN469" s="127">
        <v>45275.083333333343</v>
      </c>
      <c r="AO469">
        <v>1</v>
      </c>
      <c r="AP469" s="13">
        <f t="shared" si="733"/>
        <v>4366800.0000001397</v>
      </c>
      <c r="AQ469">
        <f t="shared" si="726"/>
        <v>96</v>
      </c>
      <c r="AR469" s="13">
        <f t="shared" si="727"/>
        <v>4366800.0000001397</v>
      </c>
      <c r="AS469" s="112">
        <f t="shared" si="728"/>
        <v>96</v>
      </c>
    </row>
    <row r="470" spans="17:45" x14ac:dyDescent="0.25">
      <c r="Q470" s="127">
        <v>45275.1875</v>
      </c>
      <c r="R470">
        <v>1</v>
      </c>
      <c r="S470" s="13">
        <f t="shared" si="732"/>
        <v>4375800.0000001397</v>
      </c>
      <c r="T470">
        <f t="shared" si="729"/>
        <v>96</v>
      </c>
      <c r="U470" s="13">
        <f t="shared" si="730"/>
        <v>4375800.0000001397</v>
      </c>
      <c r="V470" s="112">
        <f t="shared" si="731"/>
        <v>96</v>
      </c>
      <c r="AN470" s="127">
        <v>45275.1875</v>
      </c>
      <c r="AO470">
        <v>1</v>
      </c>
      <c r="AP470" s="13">
        <f t="shared" si="733"/>
        <v>4375800.0000001397</v>
      </c>
      <c r="AQ470">
        <f t="shared" si="726"/>
        <v>96</v>
      </c>
      <c r="AR470" s="13">
        <f t="shared" si="727"/>
        <v>4375800.0000001397</v>
      </c>
      <c r="AS470" s="112">
        <f t="shared" si="728"/>
        <v>96</v>
      </c>
    </row>
    <row r="471" spans="17:45" x14ac:dyDescent="0.25">
      <c r="Q471" s="127">
        <v>45275.291666666657</v>
      </c>
      <c r="R471">
        <v>1</v>
      </c>
      <c r="S471" s="13">
        <f t="shared" si="732"/>
        <v>4384800.0000001397</v>
      </c>
      <c r="T471">
        <f t="shared" si="729"/>
        <v>96</v>
      </c>
      <c r="U471" s="13">
        <f t="shared" si="730"/>
        <v>4384800.0000001397</v>
      </c>
      <c r="V471" s="112">
        <f t="shared" si="731"/>
        <v>96</v>
      </c>
      <c r="AN471" s="127">
        <v>45275.291666666657</v>
      </c>
      <c r="AO471">
        <v>1</v>
      </c>
      <c r="AP471" s="13">
        <f t="shared" si="733"/>
        <v>4384800.0000001397</v>
      </c>
      <c r="AQ471">
        <f t="shared" si="726"/>
        <v>96</v>
      </c>
      <c r="AR471" s="13">
        <f t="shared" si="727"/>
        <v>4384800.0000001397</v>
      </c>
      <c r="AS471" s="112">
        <f t="shared" si="728"/>
        <v>96</v>
      </c>
    </row>
    <row r="472" spans="17:45" x14ac:dyDescent="0.25">
      <c r="Q472" s="127">
        <v>45275.395833333343</v>
      </c>
      <c r="R472">
        <v>1</v>
      </c>
      <c r="S472" s="13">
        <f t="shared" si="732"/>
        <v>4393800.0000001397</v>
      </c>
      <c r="T472">
        <f t="shared" si="729"/>
        <v>96</v>
      </c>
      <c r="U472" s="13">
        <f t="shared" si="730"/>
        <v>4393800.0000001397</v>
      </c>
      <c r="V472" s="112">
        <f t="shared" si="731"/>
        <v>96</v>
      </c>
      <c r="AN472" s="127">
        <v>45275.395833333343</v>
      </c>
      <c r="AO472">
        <v>1</v>
      </c>
      <c r="AP472" s="13">
        <f t="shared" si="733"/>
        <v>4393800.0000001397</v>
      </c>
      <c r="AQ472">
        <f t="shared" si="726"/>
        <v>96</v>
      </c>
      <c r="AR472" s="13">
        <f t="shared" si="727"/>
        <v>4393800.0000001397</v>
      </c>
      <c r="AS472" s="112">
        <f t="shared" si="728"/>
        <v>96</v>
      </c>
    </row>
    <row r="473" spans="17:45" x14ac:dyDescent="0.25">
      <c r="Q473" s="127">
        <v>45275.5</v>
      </c>
      <c r="R473">
        <v>1</v>
      </c>
      <c r="S473" s="13">
        <f t="shared" si="732"/>
        <v>4402800.0000001397</v>
      </c>
      <c r="T473">
        <f t="shared" si="729"/>
        <v>96</v>
      </c>
      <c r="U473" s="13">
        <f t="shared" si="730"/>
        <v>4402800.0000001397</v>
      </c>
      <c r="V473" s="112">
        <f t="shared" si="731"/>
        <v>96</v>
      </c>
      <c r="AN473" s="127">
        <v>45275.5</v>
      </c>
      <c r="AO473">
        <v>1</v>
      </c>
      <c r="AP473" s="13">
        <f t="shared" si="733"/>
        <v>4402800.0000001397</v>
      </c>
      <c r="AQ473">
        <f t="shared" si="726"/>
        <v>96</v>
      </c>
      <c r="AR473" s="13">
        <f t="shared" si="727"/>
        <v>4402800.0000001397</v>
      </c>
      <c r="AS473" s="112">
        <f t="shared" si="728"/>
        <v>96</v>
      </c>
    </row>
    <row r="474" spans="17:45" x14ac:dyDescent="0.25">
      <c r="Q474" s="127">
        <v>45275.604166666657</v>
      </c>
      <c r="R474">
        <v>1</v>
      </c>
      <c r="S474" s="13">
        <f t="shared" si="732"/>
        <v>4411800.0000001397</v>
      </c>
      <c r="T474">
        <f t="shared" si="729"/>
        <v>96</v>
      </c>
      <c r="U474" s="13">
        <f t="shared" si="730"/>
        <v>4411800.0000001397</v>
      </c>
      <c r="V474" s="112">
        <f t="shared" si="731"/>
        <v>96</v>
      </c>
      <c r="AN474" s="127">
        <v>45275.604166666657</v>
      </c>
      <c r="AO474">
        <v>1</v>
      </c>
      <c r="AP474" s="13">
        <f t="shared" si="733"/>
        <v>4411800.0000001397</v>
      </c>
      <c r="AQ474">
        <f t="shared" si="726"/>
        <v>96</v>
      </c>
      <c r="AR474" s="13">
        <f t="shared" si="727"/>
        <v>4411800.0000001397</v>
      </c>
      <c r="AS474" s="112">
        <f t="shared" si="728"/>
        <v>96</v>
      </c>
    </row>
    <row r="475" spans="17:45" x14ac:dyDescent="0.25">
      <c r="Q475" s="127">
        <v>45275.708333333343</v>
      </c>
      <c r="R475">
        <v>1</v>
      </c>
      <c r="S475" s="13">
        <f t="shared" si="732"/>
        <v>4420800.0000001397</v>
      </c>
      <c r="T475">
        <f t="shared" si="729"/>
        <v>96</v>
      </c>
      <c r="U475" s="13">
        <f t="shared" si="730"/>
        <v>4420800.0000001397</v>
      </c>
      <c r="V475" s="112">
        <f t="shared" si="731"/>
        <v>96</v>
      </c>
      <c r="AN475" s="127">
        <v>45275.708333333343</v>
      </c>
      <c r="AO475">
        <v>1</v>
      </c>
      <c r="AP475" s="13">
        <f t="shared" si="733"/>
        <v>4420800.0000001397</v>
      </c>
      <c r="AQ475">
        <f t="shared" si="726"/>
        <v>96</v>
      </c>
      <c r="AR475" s="13">
        <f t="shared" si="727"/>
        <v>4420800.0000001397</v>
      </c>
      <c r="AS475" s="112">
        <f t="shared" si="728"/>
        <v>96</v>
      </c>
    </row>
    <row r="476" spans="17:45" x14ac:dyDescent="0.25">
      <c r="Q476" s="127">
        <v>45275.8125</v>
      </c>
      <c r="R476">
        <v>1</v>
      </c>
      <c r="S476" s="13">
        <f t="shared" si="732"/>
        <v>4429800.0000001397</v>
      </c>
      <c r="T476">
        <f t="shared" si="729"/>
        <v>96</v>
      </c>
      <c r="U476" s="13">
        <f t="shared" si="730"/>
        <v>4429800.0000001397</v>
      </c>
      <c r="V476" s="112">
        <f t="shared" si="731"/>
        <v>96</v>
      </c>
      <c r="AN476" s="127">
        <v>45275.8125</v>
      </c>
      <c r="AO476">
        <v>1</v>
      </c>
      <c r="AP476" s="13">
        <f t="shared" si="733"/>
        <v>4429800.0000001397</v>
      </c>
      <c r="AQ476">
        <f t="shared" si="726"/>
        <v>96</v>
      </c>
      <c r="AR476" s="13">
        <f t="shared" si="727"/>
        <v>4429800.0000001397</v>
      </c>
      <c r="AS476" s="112">
        <f t="shared" si="728"/>
        <v>96</v>
      </c>
    </row>
    <row r="477" spans="17:45" x14ac:dyDescent="0.25">
      <c r="Q477" s="127">
        <v>45275.916666666657</v>
      </c>
      <c r="R477">
        <v>1</v>
      </c>
      <c r="S477" s="13">
        <f t="shared" si="732"/>
        <v>4438800.0000001397</v>
      </c>
      <c r="T477">
        <f t="shared" si="729"/>
        <v>96</v>
      </c>
      <c r="U477" s="13">
        <f t="shared" si="730"/>
        <v>4438800.0000001397</v>
      </c>
      <c r="V477" s="112">
        <f t="shared" si="731"/>
        <v>96</v>
      </c>
      <c r="AN477" s="127">
        <v>45275.916666666657</v>
      </c>
      <c r="AO477">
        <v>1</v>
      </c>
      <c r="AP477" s="13">
        <f t="shared" si="733"/>
        <v>4438800.0000001397</v>
      </c>
      <c r="AQ477">
        <f t="shared" si="726"/>
        <v>96</v>
      </c>
      <c r="AR477" s="13">
        <f t="shared" si="727"/>
        <v>4438800.0000001397</v>
      </c>
      <c r="AS477" s="112">
        <f t="shared" si="728"/>
        <v>96</v>
      </c>
    </row>
    <row r="478" spans="17:45" x14ac:dyDescent="0.25">
      <c r="Q478" s="127">
        <v>45276.020833333343</v>
      </c>
      <c r="R478">
        <v>1</v>
      </c>
      <c r="S478" s="13">
        <f t="shared" si="732"/>
        <v>4447800.0000001397</v>
      </c>
      <c r="T478">
        <f t="shared" si="729"/>
        <v>96</v>
      </c>
      <c r="U478" s="13">
        <f t="shared" si="730"/>
        <v>4447800.0000001397</v>
      </c>
      <c r="V478" s="112">
        <f t="shared" si="731"/>
        <v>96</v>
      </c>
      <c r="AN478" s="127">
        <v>45276.020833333343</v>
      </c>
      <c r="AO478">
        <v>1</v>
      </c>
      <c r="AP478" s="13">
        <f t="shared" si="733"/>
        <v>4447800.0000001397</v>
      </c>
      <c r="AQ478">
        <f t="shared" si="726"/>
        <v>96</v>
      </c>
      <c r="AR478" s="13">
        <f t="shared" si="727"/>
        <v>4447800.0000001397</v>
      </c>
      <c r="AS478" s="112">
        <f t="shared" si="728"/>
        <v>96</v>
      </c>
    </row>
    <row r="479" spans="17:45" x14ac:dyDescent="0.25">
      <c r="Q479" s="127">
        <v>45276.125</v>
      </c>
      <c r="R479">
        <v>1</v>
      </c>
      <c r="S479" s="13">
        <f t="shared" si="732"/>
        <v>4456800.0000001397</v>
      </c>
      <c r="T479">
        <f t="shared" si="729"/>
        <v>96</v>
      </c>
      <c r="U479" s="13">
        <f t="shared" si="730"/>
        <v>4456800.0000001397</v>
      </c>
      <c r="V479" s="112">
        <f t="shared" si="731"/>
        <v>96</v>
      </c>
      <c r="AN479" s="127">
        <v>45276.125</v>
      </c>
      <c r="AO479">
        <v>1</v>
      </c>
      <c r="AP479" s="13">
        <f t="shared" si="733"/>
        <v>4456800.0000001397</v>
      </c>
      <c r="AQ479">
        <f t="shared" si="726"/>
        <v>96</v>
      </c>
      <c r="AR479" s="13">
        <f t="shared" si="727"/>
        <v>4456800.0000001397</v>
      </c>
      <c r="AS479" s="112">
        <f t="shared" si="728"/>
        <v>96</v>
      </c>
    </row>
    <row r="480" spans="17:45" x14ac:dyDescent="0.25">
      <c r="Q480" s="127">
        <v>45276.229166666657</v>
      </c>
      <c r="R480">
        <v>1</v>
      </c>
      <c r="S480" s="13">
        <f t="shared" si="732"/>
        <v>4465800.0000001397</v>
      </c>
      <c r="T480">
        <f t="shared" si="729"/>
        <v>96</v>
      </c>
      <c r="U480" s="13">
        <f t="shared" si="730"/>
        <v>4465800.0000001397</v>
      </c>
      <c r="V480" s="112">
        <f t="shared" si="731"/>
        <v>96</v>
      </c>
      <c r="AN480" s="127">
        <v>45276.229166666657</v>
      </c>
      <c r="AO480">
        <v>1</v>
      </c>
      <c r="AP480" s="13">
        <f t="shared" si="733"/>
        <v>4465800.0000001397</v>
      </c>
      <c r="AQ480">
        <f t="shared" si="726"/>
        <v>96</v>
      </c>
      <c r="AR480" s="13">
        <f t="shared" si="727"/>
        <v>4465800.0000001397</v>
      </c>
      <c r="AS480" s="112">
        <f t="shared" si="728"/>
        <v>96</v>
      </c>
    </row>
    <row r="481" spans="17:45" x14ac:dyDescent="0.25">
      <c r="Q481" s="127">
        <v>45276.333333333343</v>
      </c>
      <c r="R481">
        <v>1</v>
      </c>
      <c r="S481" s="13">
        <f t="shared" si="732"/>
        <v>4474800.0000001397</v>
      </c>
      <c r="T481">
        <f t="shared" si="729"/>
        <v>96</v>
      </c>
      <c r="U481" s="13">
        <f t="shared" si="730"/>
        <v>4474800.0000001397</v>
      </c>
      <c r="V481" s="112">
        <f t="shared" si="731"/>
        <v>96</v>
      </c>
      <c r="AN481" s="127">
        <v>45276.333333333343</v>
      </c>
      <c r="AO481">
        <v>1</v>
      </c>
      <c r="AP481" s="13">
        <f t="shared" si="733"/>
        <v>4474800.0000001397</v>
      </c>
      <c r="AQ481">
        <f t="shared" si="726"/>
        <v>96</v>
      </c>
      <c r="AR481" s="13">
        <f t="shared" si="727"/>
        <v>4474800.0000001397</v>
      </c>
      <c r="AS481" s="112">
        <f t="shared" si="728"/>
        <v>96</v>
      </c>
    </row>
    <row r="482" spans="17:45" x14ac:dyDescent="0.25">
      <c r="Q482" s="127">
        <v>45276.4375</v>
      </c>
      <c r="R482">
        <v>1</v>
      </c>
      <c r="S482" s="13">
        <f t="shared" si="732"/>
        <v>4483800.0000001397</v>
      </c>
      <c r="T482">
        <f t="shared" si="729"/>
        <v>96</v>
      </c>
      <c r="U482" s="13">
        <f t="shared" si="730"/>
        <v>4483800.0000001397</v>
      </c>
      <c r="V482" s="112">
        <f t="shared" si="731"/>
        <v>96</v>
      </c>
      <c r="AN482" s="127">
        <v>45276.4375</v>
      </c>
      <c r="AO482">
        <v>1</v>
      </c>
      <c r="AP482" s="13">
        <f t="shared" si="733"/>
        <v>4483800.0000001397</v>
      </c>
      <c r="AQ482">
        <f t="shared" si="726"/>
        <v>96</v>
      </c>
      <c r="AR482" s="13">
        <f t="shared" si="727"/>
        <v>4483800.0000001397</v>
      </c>
      <c r="AS482" s="112">
        <f t="shared" si="728"/>
        <v>96</v>
      </c>
    </row>
    <row r="483" spans="17:45" x14ac:dyDescent="0.25">
      <c r="Q483" s="127">
        <v>45276.541666666657</v>
      </c>
      <c r="R483">
        <v>1</v>
      </c>
      <c r="S483" s="13">
        <f t="shared" si="732"/>
        <v>4492800.0000001397</v>
      </c>
      <c r="T483">
        <f t="shared" si="729"/>
        <v>96</v>
      </c>
      <c r="U483" s="13">
        <f t="shared" si="730"/>
        <v>4492800.0000001397</v>
      </c>
      <c r="V483" s="112">
        <f t="shared" si="731"/>
        <v>96</v>
      </c>
      <c r="AN483" s="127">
        <v>45276.541666666657</v>
      </c>
      <c r="AO483">
        <v>1</v>
      </c>
      <c r="AP483" s="13">
        <f t="shared" si="733"/>
        <v>4492800.0000001397</v>
      </c>
      <c r="AQ483">
        <f t="shared" ref="AQ483:AQ546" si="734">AO483*96</f>
        <v>96</v>
      </c>
      <c r="AR483" s="13">
        <f t="shared" ref="AR483:AR546" si="735">AP483</f>
        <v>4492800.0000001397</v>
      </c>
      <c r="AS483" s="112">
        <f t="shared" ref="AS483:AS546" si="736">IF(AQ483=0,0.0000000001,AQ483)</f>
        <v>96</v>
      </c>
    </row>
    <row r="484" spans="17:45" x14ac:dyDescent="0.25">
      <c r="Q484" s="127">
        <v>45276.645833333343</v>
      </c>
      <c r="R484">
        <v>1</v>
      </c>
      <c r="S484" s="13">
        <f t="shared" si="732"/>
        <v>4501800.0000001397</v>
      </c>
      <c r="T484">
        <f t="shared" si="729"/>
        <v>96</v>
      </c>
      <c r="U484" s="13">
        <f t="shared" si="730"/>
        <v>4501800.0000001397</v>
      </c>
      <c r="V484" s="112">
        <f t="shared" si="731"/>
        <v>96</v>
      </c>
      <c r="AN484" s="127">
        <v>45276.645833333343</v>
      </c>
      <c r="AO484">
        <v>1</v>
      </c>
      <c r="AP484" s="13">
        <f t="shared" si="733"/>
        <v>4501800.0000001397</v>
      </c>
      <c r="AQ484">
        <f t="shared" si="734"/>
        <v>96</v>
      </c>
      <c r="AR484" s="13">
        <f t="shared" si="735"/>
        <v>4501800.0000001397</v>
      </c>
      <c r="AS484" s="112">
        <f t="shared" si="736"/>
        <v>96</v>
      </c>
    </row>
    <row r="485" spans="17:45" x14ac:dyDescent="0.25">
      <c r="Q485" s="127">
        <v>45276.75</v>
      </c>
      <c r="R485">
        <v>1</v>
      </c>
      <c r="S485" s="13">
        <f t="shared" si="732"/>
        <v>4510800.0000001397</v>
      </c>
      <c r="T485">
        <f t="shared" si="729"/>
        <v>96</v>
      </c>
      <c r="U485" s="13">
        <f t="shared" si="730"/>
        <v>4510800.0000001397</v>
      </c>
      <c r="V485" s="112">
        <f t="shared" si="731"/>
        <v>96</v>
      </c>
      <c r="AN485" s="127">
        <v>45276.75</v>
      </c>
      <c r="AO485">
        <v>1</v>
      </c>
      <c r="AP485" s="13">
        <f t="shared" si="733"/>
        <v>4510800.0000001397</v>
      </c>
      <c r="AQ485">
        <f t="shared" si="734"/>
        <v>96</v>
      </c>
      <c r="AR485" s="13">
        <f t="shared" si="735"/>
        <v>4510800.0000001397</v>
      </c>
      <c r="AS485" s="112">
        <f t="shared" si="736"/>
        <v>96</v>
      </c>
    </row>
    <row r="486" spans="17:45" x14ac:dyDescent="0.25">
      <c r="Q486" s="127">
        <v>45276.854166666657</v>
      </c>
      <c r="R486">
        <v>1</v>
      </c>
      <c r="S486" s="13">
        <f t="shared" si="732"/>
        <v>4519800.0000001397</v>
      </c>
      <c r="T486">
        <f t="shared" si="729"/>
        <v>96</v>
      </c>
      <c r="U486" s="13">
        <f t="shared" si="730"/>
        <v>4519800.0000001397</v>
      </c>
      <c r="V486" s="112">
        <f t="shared" si="731"/>
        <v>96</v>
      </c>
      <c r="AN486" s="127">
        <v>45276.854166666657</v>
      </c>
      <c r="AO486">
        <v>1</v>
      </c>
      <c r="AP486" s="13">
        <f t="shared" si="733"/>
        <v>4519800.0000001397</v>
      </c>
      <c r="AQ486">
        <f t="shared" si="734"/>
        <v>96</v>
      </c>
      <c r="AR486" s="13">
        <f t="shared" si="735"/>
        <v>4519800.0000001397</v>
      </c>
      <c r="AS486" s="112">
        <f t="shared" si="736"/>
        <v>96</v>
      </c>
    </row>
    <row r="487" spans="17:45" x14ac:dyDescent="0.25">
      <c r="Q487" s="127">
        <v>45276.958333333343</v>
      </c>
      <c r="R487">
        <v>1</v>
      </c>
      <c r="S487" s="13">
        <f t="shared" si="732"/>
        <v>4528800.0000001397</v>
      </c>
      <c r="T487">
        <f t="shared" si="729"/>
        <v>96</v>
      </c>
      <c r="U487" s="13">
        <f t="shared" si="730"/>
        <v>4528800.0000001397</v>
      </c>
      <c r="V487" s="112">
        <f t="shared" si="731"/>
        <v>96</v>
      </c>
      <c r="AN487" s="127">
        <v>45276.958333333343</v>
      </c>
      <c r="AO487">
        <v>1</v>
      </c>
      <c r="AP487" s="13">
        <f t="shared" si="733"/>
        <v>4528800.0000001397</v>
      </c>
      <c r="AQ487">
        <f t="shared" si="734"/>
        <v>96</v>
      </c>
      <c r="AR487" s="13">
        <f t="shared" si="735"/>
        <v>4528800.0000001397</v>
      </c>
      <c r="AS487" s="112">
        <f t="shared" si="736"/>
        <v>96</v>
      </c>
    </row>
    <row r="488" spans="17:45" x14ac:dyDescent="0.25">
      <c r="Q488" s="127">
        <v>45277.0625</v>
      </c>
      <c r="R488">
        <v>1</v>
      </c>
      <c r="S488" s="13">
        <f t="shared" si="732"/>
        <v>4537800.0000001397</v>
      </c>
      <c r="T488">
        <f t="shared" si="729"/>
        <v>96</v>
      </c>
      <c r="U488" s="13">
        <f t="shared" si="730"/>
        <v>4537800.0000001397</v>
      </c>
      <c r="V488" s="112">
        <f t="shared" si="731"/>
        <v>96</v>
      </c>
      <c r="AN488" s="127">
        <v>45277.0625</v>
      </c>
      <c r="AO488">
        <v>1</v>
      </c>
      <c r="AP488" s="13">
        <f t="shared" si="733"/>
        <v>4537800.0000001397</v>
      </c>
      <c r="AQ488">
        <f t="shared" si="734"/>
        <v>96</v>
      </c>
      <c r="AR488" s="13">
        <f t="shared" si="735"/>
        <v>4537800.0000001397</v>
      </c>
      <c r="AS488" s="112">
        <f t="shared" si="736"/>
        <v>96</v>
      </c>
    </row>
    <row r="489" spans="17:45" x14ac:dyDescent="0.25">
      <c r="Q489" s="127">
        <v>45277.166666666657</v>
      </c>
      <c r="R489">
        <v>0</v>
      </c>
      <c r="S489" s="13">
        <f t="shared" si="732"/>
        <v>4546800.0000001397</v>
      </c>
      <c r="T489">
        <f t="shared" si="729"/>
        <v>0</v>
      </c>
      <c r="U489" s="13">
        <f t="shared" si="730"/>
        <v>4546800.0000001397</v>
      </c>
      <c r="V489" s="112">
        <f t="shared" si="731"/>
        <v>1E-10</v>
      </c>
      <c r="AN489" s="127">
        <v>45277.166666666657</v>
      </c>
      <c r="AO489">
        <v>1</v>
      </c>
      <c r="AP489" s="13">
        <f t="shared" si="733"/>
        <v>4546800.0000001397</v>
      </c>
      <c r="AQ489">
        <f t="shared" si="734"/>
        <v>96</v>
      </c>
      <c r="AR489" s="13">
        <f t="shared" si="735"/>
        <v>4546800.0000001397</v>
      </c>
      <c r="AS489" s="112">
        <f t="shared" si="736"/>
        <v>96</v>
      </c>
    </row>
    <row r="490" spans="17:45" x14ac:dyDescent="0.25">
      <c r="Q490" s="127">
        <v>45277.270833333343</v>
      </c>
      <c r="R490">
        <v>1</v>
      </c>
      <c r="S490" s="13">
        <f t="shared" si="732"/>
        <v>4555800.0000001397</v>
      </c>
      <c r="T490">
        <f t="shared" si="729"/>
        <v>96</v>
      </c>
      <c r="U490" s="13">
        <f t="shared" si="730"/>
        <v>4555800.0000001397</v>
      </c>
      <c r="V490" s="112">
        <f t="shared" si="731"/>
        <v>96</v>
      </c>
      <c r="AN490" s="127">
        <v>45277.270833333343</v>
      </c>
      <c r="AO490">
        <v>1</v>
      </c>
      <c r="AP490" s="13">
        <f t="shared" si="733"/>
        <v>4555800.0000001397</v>
      </c>
      <c r="AQ490">
        <f t="shared" si="734"/>
        <v>96</v>
      </c>
      <c r="AR490" s="13">
        <f t="shared" si="735"/>
        <v>4555800.0000001397</v>
      </c>
      <c r="AS490" s="112">
        <f t="shared" si="736"/>
        <v>96</v>
      </c>
    </row>
    <row r="491" spans="17:45" x14ac:dyDescent="0.25">
      <c r="Q491" s="127">
        <v>45277.375</v>
      </c>
      <c r="R491">
        <v>1</v>
      </c>
      <c r="S491" s="13">
        <f t="shared" si="732"/>
        <v>4564800.0000001397</v>
      </c>
      <c r="T491">
        <f t="shared" si="729"/>
        <v>96</v>
      </c>
      <c r="U491" s="13">
        <f t="shared" si="730"/>
        <v>4564800.0000001397</v>
      </c>
      <c r="V491" s="112">
        <f t="shared" si="731"/>
        <v>96</v>
      </c>
      <c r="AN491" s="127">
        <v>45277.375</v>
      </c>
      <c r="AO491">
        <v>1</v>
      </c>
      <c r="AP491" s="13">
        <f t="shared" si="733"/>
        <v>4564800.0000001397</v>
      </c>
      <c r="AQ491">
        <f t="shared" si="734"/>
        <v>96</v>
      </c>
      <c r="AR491" s="13">
        <f t="shared" si="735"/>
        <v>4564800.0000001397</v>
      </c>
      <c r="AS491" s="112">
        <f t="shared" si="736"/>
        <v>96</v>
      </c>
    </row>
    <row r="492" spans="17:45" x14ac:dyDescent="0.25">
      <c r="Q492" s="127">
        <v>45277.479166666657</v>
      </c>
      <c r="R492">
        <v>1</v>
      </c>
      <c r="S492" s="13">
        <f t="shared" si="732"/>
        <v>4573800.0000001397</v>
      </c>
      <c r="T492">
        <f t="shared" si="729"/>
        <v>96</v>
      </c>
      <c r="U492" s="13">
        <f t="shared" si="730"/>
        <v>4573800.0000001397</v>
      </c>
      <c r="V492" s="112">
        <f t="shared" si="731"/>
        <v>96</v>
      </c>
      <c r="AN492" s="127">
        <v>45277.479166666657</v>
      </c>
      <c r="AO492">
        <v>1</v>
      </c>
      <c r="AP492" s="13">
        <f t="shared" si="733"/>
        <v>4573800.0000001397</v>
      </c>
      <c r="AQ492">
        <f t="shared" si="734"/>
        <v>96</v>
      </c>
      <c r="AR492" s="13">
        <f t="shared" si="735"/>
        <v>4573800.0000001397</v>
      </c>
      <c r="AS492" s="112">
        <f t="shared" si="736"/>
        <v>96</v>
      </c>
    </row>
    <row r="493" spans="17:45" x14ac:dyDescent="0.25">
      <c r="Q493" s="127">
        <v>45277.583333333343</v>
      </c>
      <c r="R493">
        <v>1</v>
      </c>
      <c r="S493" s="13">
        <f t="shared" si="732"/>
        <v>4582800.0000001397</v>
      </c>
      <c r="T493">
        <f t="shared" si="729"/>
        <v>96</v>
      </c>
      <c r="U493" s="13">
        <f t="shared" si="730"/>
        <v>4582800.0000001397</v>
      </c>
      <c r="V493" s="112">
        <f t="shared" si="731"/>
        <v>96</v>
      </c>
      <c r="AN493" s="127">
        <v>45277.583333333343</v>
      </c>
      <c r="AO493">
        <v>1</v>
      </c>
      <c r="AP493" s="13">
        <f t="shared" si="733"/>
        <v>4582800.0000001397</v>
      </c>
      <c r="AQ493">
        <f t="shared" si="734"/>
        <v>96</v>
      </c>
      <c r="AR493" s="13">
        <f t="shared" si="735"/>
        <v>4582800.0000001397</v>
      </c>
      <c r="AS493" s="112">
        <f t="shared" si="736"/>
        <v>96</v>
      </c>
    </row>
    <row r="494" spans="17:45" x14ac:dyDescent="0.25">
      <c r="Q494" s="127">
        <v>45277.6875</v>
      </c>
      <c r="R494">
        <v>1</v>
      </c>
      <c r="S494" s="13">
        <f t="shared" si="732"/>
        <v>4591800.0000001397</v>
      </c>
      <c r="T494">
        <f t="shared" si="729"/>
        <v>96</v>
      </c>
      <c r="U494" s="13">
        <f t="shared" si="730"/>
        <v>4591800.0000001397</v>
      </c>
      <c r="V494" s="112">
        <f t="shared" si="731"/>
        <v>96</v>
      </c>
      <c r="AN494" s="127">
        <v>45277.6875</v>
      </c>
      <c r="AO494">
        <v>1</v>
      </c>
      <c r="AP494" s="13">
        <f t="shared" si="733"/>
        <v>4591800.0000001397</v>
      </c>
      <c r="AQ494">
        <f t="shared" si="734"/>
        <v>96</v>
      </c>
      <c r="AR494" s="13">
        <f t="shared" si="735"/>
        <v>4591800.0000001397</v>
      </c>
      <c r="AS494" s="112">
        <f t="shared" si="736"/>
        <v>96</v>
      </c>
    </row>
    <row r="495" spans="17:45" x14ac:dyDescent="0.25">
      <c r="Q495" s="127">
        <v>45277.791666666657</v>
      </c>
      <c r="R495">
        <v>1</v>
      </c>
      <c r="S495" s="13">
        <f t="shared" si="732"/>
        <v>4600800.0000001397</v>
      </c>
      <c r="T495">
        <f t="shared" si="729"/>
        <v>96</v>
      </c>
      <c r="U495" s="13">
        <f t="shared" si="730"/>
        <v>4600800.0000001397</v>
      </c>
      <c r="V495" s="112">
        <f t="shared" si="731"/>
        <v>96</v>
      </c>
      <c r="AN495" s="127">
        <v>45277.791666666657</v>
      </c>
      <c r="AO495">
        <v>1</v>
      </c>
      <c r="AP495" s="13">
        <f t="shared" si="733"/>
        <v>4600800.0000001397</v>
      </c>
      <c r="AQ495">
        <f t="shared" si="734"/>
        <v>96</v>
      </c>
      <c r="AR495" s="13">
        <f t="shared" si="735"/>
        <v>4600800.0000001397</v>
      </c>
      <c r="AS495" s="112">
        <f t="shared" si="736"/>
        <v>96</v>
      </c>
    </row>
    <row r="496" spans="17:45" x14ac:dyDescent="0.25">
      <c r="Q496" s="127">
        <v>45277.895833333343</v>
      </c>
      <c r="R496">
        <v>1</v>
      </c>
      <c r="S496" s="13">
        <f t="shared" si="732"/>
        <v>4609800.0000001397</v>
      </c>
      <c r="T496">
        <f t="shared" si="729"/>
        <v>96</v>
      </c>
      <c r="U496" s="13">
        <f t="shared" si="730"/>
        <v>4609800.0000001397</v>
      </c>
      <c r="V496" s="112">
        <f t="shared" si="731"/>
        <v>96</v>
      </c>
      <c r="AN496" s="127">
        <v>45277.895833333343</v>
      </c>
      <c r="AO496">
        <v>1</v>
      </c>
      <c r="AP496" s="13">
        <f t="shared" si="733"/>
        <v>4609800.0000001397</v>
      </c>
      <c r="AQ496">
        <f t="shared" si="734"/>
        <v>96</v>
      </c>
      <c r="AR496" s="13">
        <f t="shared" si="735"/>
        <v>4609800.0000001397</v>
      </c>
      <c r="AS496" s="112">
        <f t="shared" si="736"/>
        <v>96</v>
      </c>
    </row>
    <row r="497" spans="17:45" x14ac:dyDescent="0.25">
      <c r="Q497" s="127">
        <v>45278</v>
      </c>
      <c r="R497">
        <v>1</v>
      </c>
      <c r="S497" s="13">
        <f t="shared" si="732"/>
        <v>4618800.0000001397</v>
      </c>
      <c r="T497">
        <f t="shared" si="729"/>
        <v>96</v>
      </c>
      <c r="U497" s="13">
        <f t="shared" si="730"/>
        <v>4618800.0000001397</v>
      </c>
      <c r="V497" s="112">
        <f t="shared" si="731"/>
        <v>96</v>
      </c>
      <c r="AN497" s="127">
        <v>45278</v>
      </c>
      <c r="AO497">
        <v>1</v>
      </c>
      <c r="AP497" s="13">
        <f t="shared" si="733"/>
        <v>4618800.0000001397</v>
      </c>
      <c r="AQ497">
        <f t="shared" si="734"/>
        <v>96</v>
      </c>
      <c r="AR497" s="13">
        <f t="shared" si="735"/>
        <v>4618800.0000001397</v>
      </c>
      <c r="AS497" s="112">
        <f t="shared" si="736"/>
        <v>96</v>
      </c>
    </row>
    <row r="498" spans="17:45" x14ac:dyDescent="0.25">
      <c r="Q498" s="127">
        <v>45278.104166666657</v>
      </c>
      <c r="R498">
        <v>1</v>
      </c>
      <c r="S498" s="13">
        <f t="shared" si="732"/>
        <v>4627800.0000001397</v>
      </c>
      <c r="T498">
        <f t="shared" si="729"/>
        <v>96</v>
      </c>
      <c r="U498" s="13">
        <f t="shared" si="730"/>
        <v>4627800.0000001397</v>
      </c>
      <c r="V498" s="112">
        <f t="shared" si="731"/>
        <v>96</v>
      </c>
      <c r="AN498" s="127">
        <v>45278.104166666657</v>
      </c>
      <c r="AO498">
        <v>1</v>
      </c>
      <c r="AP498" s="13">
        <f t="shared" si="733"/>
        <v>4627800.0000001397</v>
      </c>
      <c r="AQ498">
        <f t="shared" si="734"/>
        <v>96</v>
      </c>
      <c r="AR498" s="13">
        <f t="shared" si="735"/>
        <v>4627800.0000001397</v>
      </c>
      <c r="AS498" s="112">
        <f t="shared" si="736"/>
        <v>96</v>
      </c>
    </row>
    <row r="499" spans="17:45" x14ac:dyDescent="0.25">
      <c r="Q499" s="127">
        <v>45278.208333333343</v>
      </c>
      <c r="R499">
        <v>1</v>
      </c>
      <c r="S499" s="13">
        <f t="shared" si="732"/>
        <v>4636800.0000001397</v>
      </c>
      <c r="T499">
        <f t="shared" si="729"/>
        <v>96</v>
      </c>
      <c r="U499" s="13">
        <f t="shared" si="730"/>
        <v>4636800.0000001397</v>
      </c>
      <c r="V499" s="112">
        <f t="shared" si="731"/>
        <v>96</v>
      </c>
      <c r="AN499" s="127">
        <v>45278.208333333343</v>
      </c>
      <c r="AO499">
        <v>1</v>
      </c>
      <c r="AP499" s="13">
        <f t="shared" si="733"/>
        <v>4636800.0000001397</v>
      </c>
      <c r="AQ499">
        <f t="shared" si="734"/>
        <v>96</v>
      </c>
      <c r="AR499" s="13">
        <f t="shared" si="735"/>
        <v>4636800.0000001397</v>
      </c>
      <c r="AS499" s="112">
        <f t="shared" si="736"/>
        <v>96</v>
      </c>
    </row>
    <row r="500" spans="17:45" x14ac:dyDescent="0.25">
      <c r="Q500" s="127">
        <v>45278.3125</v>
      </c>
      <c r="R500">
        <v>1</v>
      </c>
      <c r="S500" s="13">
        <f t="shared" si="732"/>
        <v>4645800.0000001397</v>
      </c>
      <c r="T500">
        <f t="shared" si="729"/>
        <v>96</v>
      </c>
      <c r="U500" s="13">
        <f t="shared" si="730"/>
        <v>4645800.0000001397</v>
      </c>
      <c r="V500" s="112">
        <f t="shared" si="731"/>
        <v>96</v>
      </c>
      <c r="AN500" s="127">
        <v>45278.3125</v>
      </c>
      <c r="AO500">
        <v>1</v>
      </c>
      <c r="AP500" s="13">
        <f t="shared" si="733"/>
        <v>4645800.0000001397</v>
      </c>
      <c r="AQ500">
        <f t="shared" si="734"/>
        <v>96</v>
      </c>
      <c r="AR500" s="13">
        <f t="shared" si="735"/>
        <v>4645800.0000001397</v>
      </c>
      <c r="AS500" s="112">
        <f t="shared" si="736"/>
        <v>96</v>
      </c>
    </row>
    <row r="501" spans="17:45" x14ac:dyDescent="0.25">
      <c r="Q501" s="127">
        <v>45278.416666666657</v>
      </c>
      <c r="R501">
        <v>1</v>
      </c>
      <c r="S501" s="13">
        <f t="shared" si="732"/>
        <v>4654800.0000001397</v>
      </c>
      <c r="T501">
        <f t="shared" si="729"/>
        <v>96</v>
      </c>
      <c r="U501" s="13">
        <f t="shared" si="730"/>
        <v>4654800.0000001397</v>
      </c>
      <c r="V501" s="112">
        <f t="shared" si="731"/>
        <v>96</v>
      </c>
      <c r="AN501" s="127">
        <v>45278.416666666657</v>
      </c>
      <c r="AO501">
        <v>1</v>
      </c>
      <c r="AP501" s="13">
        <f t="shared" si="733"/>
        <v>4654800.0000001397</v>
      </c>
      <c r="AQ501">
        <f t="shared" si="734"/>
        <v>96</v>
      </c>
      <c r="AR501" s="13">
        <f t="shared" si="735"/>
        <v>4654800.0000001397</v>
      </c>
      <c r="AS501" s="112">
        <f t="shared" si="736"/>
        <v>96</v>
      </c>
    </row>
    <row r="502" spans="17:45" x14ac:dyDescent="0.25">
      <c r="Q502" s="127">
        <v>45278.520833333343</v>
      </c>
      <c r="R502">
        <v>1</v>
      </c>
      <c r="S502" s="13">
        <f t="shared" si="732"/>
        <v>4663800.0000001397</v>
      </c>
      <c r="T502">
        <f t="shared" si="729"/>
        <v>96</v>
      </c>
      <c r="U502" s="13">
        <f t="shared" si="730"/>
        <v>4663800.0000001397</v>
      </c>
      <c r="V502" s="112">
        <f t="shared" si="731"/>
        <v>96</v>
      </c>
      <c r="AN502" s="127">
        <v>45278.520833333343</v>
      </c>
      <c r="AO502">
        <v>1</v>
      </c>
      <c r="AP502" s="13">
        <f t="shared" si="733"/>
        <v>4663800.0000001397</v>
      </c>
      <c r="AQ502">
        <f t="shared" si="734"/>
        <v>96</v>
      </c>
      <c r="AR502" s="13">
        <f t="shared" si="735"/>
        <v>4663800.0000001397</v>
      </c>
      <c r="AS502" s="112">
        <f t="shared" si="736"/>
        <v>96</v>
      </c>
    </row>
    <row r="503" spans="17:45" x14ac:dyDescent="0.25">
      <c r="Q503" s="127">
        <v>45278.625</v>
      </c>
      <c r="R503">
        <v>1</v>
      </c>
      <c r="S503" s="13">
        <f t="shared" si="732"/>
        <v>4672800.0000001397</v>
      </c>
      <c r="T503">
        <f t="shared" si="729"/>
        <v>96</v>
      </c>
      <c r="U503" s="13">
        <f t="shared" si="730"/>
        <v>4672800.0000001397</v>
      </c>
      <c r="V503" s="112">
        <f t="shared" si="731"/>
        <v>96</v>
      </c>
      <c r="AN503" s="127">
        <v>45278.625</v>
      </c>
      <c r="AO503">
        <v>1</v>
      </c>
      <c r="AP503" s="13">
        <f t="shared" si="733"/>
        <v>4672800.0000001397</v>
      </c>
      <c r="AQ503">
        <f t="shared" si="734"/>
        <v>96</v>
      </c>
      <c r="AR503" s="13">
        <f t="shared" si="735"/>
        <v>4672800.0000001397</v>
      </c>
      <c r="AS503" s="112">
        <f t="shared" si="736"/>
        <v>96</v>
      </c>
    </row>
    <row r="504" spans="17:45" x14ac:dyDescent="0.25">
      <c r="Q504" s="127">
        <v>45278.729166666657</v>
      </c>
      <c r="R504">
        <v>1</v>
      </c>
      <c r="S504" s="13">
        <f t="shared" si="732"/>
        <v>4681800.0000001397</v>
      </c>
      <c r="T504">
        <f t="shared" si="729"/>
        <v>96</v>
      </c>
      <c r="U504" s="13">
        <f t="shared" si="730"/>
        <v>4681800.0000001397</v>
      </c>
      <c r="V504" s="112">
        <f t="shared" si="731"/>
        <v>96</v>
      </c>
      <c r="AN504" s="127">
        <v>45278.729166666657</v>
      </c>
      <c r="AO504">
        <v>1</v>
      </c>
      <c r="AP504" s="13">
        <f t="shared" si="733"/>
        <v>4681800.0000001397</v>
      </c>
      <c r="AQ504">
        <f t="shared" si="734"/>
        <v>96</v>
      </c>
      <c r="AR504" s="13">
        <f t="shared" si="735"/>
        <v>4681800.0000001397</v>
      </c>
      <c r="AS504" s="112">
        <f t="shared" si="736"/>
        <v>96</v>
      </c>
    </row>
    <row r="505" spans="17:45" x14ac:dyDescent="0.25">
      <c r="Q505" s="127">
        <v>45278.833333333343</v>
      </c>
      <c r="R505">
        <v>1</v>
      </c>
      <c r="S505" s="13">
        <f t="shared" si="732"/>
        <v>4690800.0000001397</v>
      </c>
      <c r="T505">
        <f t="shared" si="729"/>
        <v>96</v>
      </c>
      <c r="U505" s="13">
        <f t="shared" si="730"/>
        <v>4690800.0000001397</v>
      </c>
      <c r="V505" s="112">
        <f t="shared" si="731"/>
        <v>96</v>
      </c>
      <c r="AN505" s="127">
        <v>45278.833333333343</v>
      </c>
      <c r="AO505">
        <v>1</v>
      </c>
      <c r="AP505" s="13">
        <f t="shared" si="733"/>
        <v>4690800.0000001397</v>
      </c>
      <c r="AQ505">
        <f t="shared" si="734"/>
        <v>96</v>
      </c>
      <c r="AR505" s="13">
        <f t="shared" si="735"/>
        <v>4690800.0000001397</v>
      </c>
      <c r="AS505" s="112">
        <f t="shared" si="736"/>
        <v>96</v>
      </c>
    </row>
    <row r="506" spans="17:45" x14ac:dyDescent="0.25">
      <c r="Q506" s="127">
        <v>45278.9375</v>
      </c>
      <c r="R506">
        <v>1</v>
      </c>
      <c r="S506" s="13">
        <f t="shared" si="732"/>
        <v>4699800.0000001397</v>
      </c>
      <c r="T506">
        <f t="shared" si="729"/>
        <v>96</v>
      </c>
      <c r="U506" s="13">
        <f t="shared" si="730"/>
        <v>4699800.0000001397</v>
      </c>
      <c r="V506" s="112">
        <f t="shared" si="731"/>
        <v>96</v>
      </c>
      <c r="AN506" s="127">
        <v>45278.9375</v>
      </c>
      <c r="AO506">
        <v>1</v>
      </c>
      <c r="AP506" s="13">
        <f t="shared" si="733"/>
        <v>4699800.0000001397</v>
      </c>
      <c r="AQ506">
        <f t="shared" si="734"/>
        <v>96</v>
      </c>
      <c r="AR506" s="13">
        <f t="shared" si="735"/>
        <v>4699800.0000001397</v>
      </c>
      <c r="AS506" s="112">
        <f t="shared" si="736"/>
        <v>96</v>
      </c>
    </row>
    <row r="507" spans="17:45" x14ac:dyDescent="0.25">
      <c r="Q507" s="127">
        <v>45279.041666666657</v>
      </c>
      <c r="R507">
        <v>1</v>
      </c>
      <c r="S507" s="13">
        <f t="shared" si="732"/>
        <v>4708800.0000001397</v>
      </c>
      <c r="T507">
        <f t="shared" si="729"/>
        <v>96</v>
      </c>
      <c r="U507" s="13">
        <f t="shared" si="730"/>
        <v>4708800.0000001397</v>
      </c>
      <c r="V507" s="112">
        <f t="shared" si="731"/>
        <v>96</v>
      </c>
      <c r="AN507" s="127">
        <v>45279.041666666657</v>
      </c>
      <c r="AO507">
        <v>1</v>
      </c>
      <c r="AP507" s="13">
        <f t="shared" si="733"/>
        <v>4708800.0000001397</v>
      </c>
      <c r="AQ507">
        <f t="shared" si="734"/>
        <v>96</v>
      </c>
      <c r="AR507" s="13">
        <f t="shared" si="735"/>
        <v>4708800.0000001397</v>
      </c>
      <c r="AS507" s="112">
        <f t="shared" si="736"/>
        <v>96</v>
      </c>
    </row>
    <row r="508" spans="17:45" x14ac:dyDescent="0.25">
      <c r="Q508" s="127">
        <v>45279.145833333343</v>
      </c>
      <c r="R508">
        <v>1</v>
      </c>
      <c r="S508" s="13">
        <f t="shared" si="732"/>
        <v>4717800.0000001397</v>
      </c>
      <c r="T508">
        <f t="shared" si="729"/>
        <v>96</v>
      </c>
      <c r="U508" s="13">
        <f t="shared" si="730"/>
        <v>4717800.0000001397</v>
      </c>
      <c r="V508" s="112">
        <f t="shared" si="731"/>
        <v>96</v>
      </c>
      <c r="AN508" s="127">
        <v>45279.145833333343</v>
      </c>
      <c r="AO508">
        <v>1</v>
      </c>
      <c r="AP508" s="13">
        <f t="shared" si="733"/>
        <v>4717800.0000001397</v>
      </c>
      <c r="AQ508">
        <f t="shared" si="734"/>
        <v>96</v>
      </c>
      <c r="AR508" s="13">
        <f t="shared" si="735"/>
        <v>4717800.0000001397</v>
      </c>
      <c r="AS508" s="112">
        <f t="shared" si="736"/>
        <v>96</v>
      </c>
    </row>
    <row r="509" spans="17:45" x14ac:dyDescent="0.25">
      <c r="Q509" s="127">
        <v>45279.25</v>
      </c>
      <c r="R509">
        <v>1</v>
      </c>
      <c r="S509" s="13">
        <f t="shared" si="732"/>
        <v>4726800.0000001397</v>
      </c>
      <c r="T509">
        <f t="shared" si="729"/>
        <v>96</v>
      </c>
      <c r="U509" s="13">
        <f t="shared" si="730"/>
        <v>4726800.0000001397</v>
      </c>
      <c r="V509" s="112">
        <f t="shared" si="731"/>
        <v>96</v>
      </c>
      <c r="AN509" s="127">
        <v>45279.25</v>
      </c>
      <c r="AO509">
        <v>1</v>
      </c>
      <c r="AP509" s="13">
        <f t="shared" si="733"/>
        <v>4726800.0000001397</v>
      </c>
      <c r="AQ509">
        <f t="shared" si="734"/>
        <v>96</v>
      </c>
      <c r="AR509" s="13">
        <f t="shared" si="735"/>
        <v>4726800.0000001397</v>
      </c>
      <c r="AS509" s="112">
        <f t="shared" si="736"/>
        <v>96</v>
      </c>
    </row>
    <row r="510" spans="17:45" x14ac:dyDescent="0.25">
      <c r="Q510" s="127">
        <v>45279.354166666657</v>
      </c>
      <c r="R510">
        <v>1</v>
      </c>
      <c r="S510" s="13">
        <f t="shared" si="732"/>
        <v>4735800.0000001397</v>
      </c>
      <c r="T510">
        <f t="shared" si="729"/>
        <v>96</v>
      </c>
      <c r="U510" s="13">
        <f t="shared" si="730"/>
        <v>4735800.0000001397</v>
      </c>
      <c r="V510" s="112">
        <f t="shared" si="731"/>
        <v>96</v>
      </c>
      <c r="AN510" s="127">
        <v>45279.354166666657</v>
      </c>
      <c r="AO510">
        <v>1</v>
      </c>
      <c r="AP510" s="13">
        <f t="shared" si="733"/>
        <v>4735800.0000001397</v>
      </c>
      <c r="AQ510">
        <f t="shared" si="734"/>
        <v>96</v>
      </c>
      <c r="AR510" s="13">
        <f t="shared" si="735"/>
        <v>4735800.0000001397</v>
      </c>
      <c r="AS510" s="112">
        <f t="shared" si="736"/>
        <v>96</v>
      </c>
    </row>
    <row r="511" spans="17:45" x14ac:dyDescent="0.25">
      <c r="Q511" s="127">
        <v>45279.458333333343</v>
      </c>
      <c r="R511">
        <v>1</v>
      </c>
      <c r="S511" s="13">
        <f t="shared" si="732"/>
        <v>4744800.0000001397</v>
      </c>
      <c r="T511">
        <f t="shared" si="729"/>
        <v>96</v>
      </c>
      <c r="U511" s="13">
        <f t="shared" si="730"/>
        <v>4744800.0000001397</v>
      </c>
      <c r="V511" s="112">
        <f t="shared" si="731"/>
        <v>96</v>
      </c>
      <c r="AN511" s="127">
        <v>45279.458333333343</v>
      </c>
      <c r="AO511">
        <v>1</v>
      </c>
      <c r="AP511" s="13">
        <f t="shared" si="733"/>
        <v>4744800.0000001397</v>
      </c>
      <c r="AQ511">
        <f t="shared" si="734"/>
        <v>96</v>
      </c>
      <c r="AR511" s="13">
        <f t="shared" si="735"/>
        <v>4744800.0000001397</v>
      </c>
      <c r="AS511" s="112">
        <f t="shared" si="736"/>
        <v>96</v>
      </c>
    </row>
    <row r="512" spans="17:45" x14ac:dyDescent="0.25">
      <c r="Q512" s="127">
        <v>45279.5625</v>
      </c>
      <c r="R512">
        <v>1</v>
      </c>
      <c r="S512" s="13">
        <f t="shared" si="732"/>
        <v>4753800.0000001397</v>
      </c>
      <c r="T512">
        <f t="shared" si="729"/>
        <v>96</v>
      </c>
      <c r="U512" s="13">
        <f t="shared" si="730"/>
        <v>4753800.0000001397</v>
      </c>
      <c r="V512" s="112">
        <f t="shared" si="731"/>
        <v>96</v>
      </c>
      <c r="AN512" s="127">
        <v>45279.5625</v>
      </c>
      <c r="AO512">
        <v>1</v>
      </c>
      <c r="AP512" s="13">
        <f t="shared" si="733"/>
        <v>4753800.0000001397</v>
      </c>
      <c r="AQ512">
        <f t="shared" si="734"/>
        <v>96</v>
      </c>
      <c r="AR512" s="13">
        <f t="shared" si="735"/>
        <v>4753800.0000001397</v>
      </c>
      <c r="AS512" s="112">
        <f t="shared" si="736"/>
        <v>96</v>
      </c>
    </row>
    <row r="513" spans="17:45" x14ac:dyDescent="0.25">
      <c r="Q513" s="127">
        <v>45279.666666666657</v>
      </c>
      <c r="R513">
        <v>1</v>
      </c>
      <c r="S513" s="13">
        <f t="shared" si="732"/>
        <v>4762800.0000001397</v>
      </c>
      <c r="T513">
        <f t="shared" si="729"/>
        <v>96</v>
      </c>
      <c r="U513" s="13">
        <f t="shared" si="730"/>
        <v>4762800.0000001397</v>
      </c>
      <c r="V513" s="112">
        <f t="shared" si="731"/>
        <v>96</v>
      </c>
      <c r="AN513" s="127">
        <v>45279.666666666657</v>
      </c>
      <c r="AO513">
        <v>1</v>
      </c>
      <c r="AP513" s="13">
        <f t="shared" si="733"/>
        <v>4762800.0000001397</v>
      </c>
      <c r="AQ513">
        <f t="shared" si="734"/>
        <v>96</v>
      </c>
      <c r="AR513" s="13">
        <f t="shared" si="735"/>
        <v>4762800.0000001397</v>
      </c>
      <c r="AS513" s="112">
        <f t="shared" si="736"/>
        <v>96</v>
      </c>
    </row>
    <row r="514" spans="17:45" x14ac:dyDescent="0.25">
      <c r="Q514" s="127">
        <v>45279.770833333343</v>
      </c>
      <c r="R514">
        <v>1</v>
      </c>
      <c r="S514" s="13">
        <f t="shared" si="732"/>
        <v>4771800.0000001397</v>
      </c>
      <c r="T514">
        <f t="shared" si="729"/>
        <v>96</v>
      </c>
      <c r="U514" s="13">
        <f t="shared" si="730"/>
        <v>4771800.0000001397</v>
      </c>
      <c r="V514" s="112">
        <f t="shared" si="731"/>
        <v>96</v>
      </c>
      <c r="AN514" s="127">
        <v>45279.770833333343</v>
      </c>
      <c r="AO514">
        <v>1</v>
      </c>
      <c r="AP514" s="13">
        <f t="shared" si="733"/>
        <v>4771800.0000001397</v>
      </c>
      <c r="AQ514">
        <f t="shared" si="734"/>
        <v>96</v>
      </c>
      <c r="AR514" s="13">
        <f t="shared" si="735"/>
        <v>4771800.0000001397</v>
      </c>
      <c r="AS514" s="112">
        <f t="shared" si="736"/>
        <v>96</v>
      </c>
    </row>
    <row r="515" spans="17:45" x14ac:dyDescent="0.25">
      <c r="Q515" s="127">
        <v>45279.875</v>
      </c>
      <c r="R515">
        <v>1</v>
      </c>
      <c r="S515" s="13">
        <f t="shared" si="732"/>
        <v>4780800.0000001397</v>
      </c>
      <c r="T515">
        <f t="shared" ref="T515:T578" si="737">R515*96</f>
        <v>96</v>
      </c>
      <c r="U515" s="13">
        <f t="shared" ref="U515:U578" si="738">S515</f>
        <v>4780800.0000001397</v>
      </c>
      <c r="V515" s="112">
        <f t="shared" ref="V515:V578" si="739">IF(T515=0,0.0000000001,T515)</f>
        <v>96</v>
      </c>
      <c r="AN515" s="127">
        <v>45279.875</v>
      </c>
      <c r="AO515">
        <v>1</v>
      </c>
      <c r="AP515" s="13">
        <f t="shared" si="733"/>
        <v>4780800.0000001397</v>
      </c>
      <c r="AQ515">
        <f t="shared" si="734"/>
        <v>96</v>
      </c>
      <c r="AR515" s="13">
        <f t="shared" si="735"/>
        <v>4780800.0000001397</v>
      </c>
      <c r="AS515" s="112">
        <f t="shared" si="736"/>
        <v>96</v>
      </c>
    </row>
    <row r="516" spans="17:45" x14ac:dyDescent="0.25">
      <c r="Q516" s="127">
        <v>45279.979166666657</v>
      </c>
      <c r="R516">
        <v>1</v>
      </c>
      <c r="S516" s="13">
        <f t="shared" ref="S516:S579" si="740">S515+150*60</f>
        <v>4789800.0000001397</v>
      </c>
      <c r="T516">
        <f t="shared" si="737"/>
        <v>96</v>
      </c>
      <c r="U516" s="13">
        <f t="shared" si="738"/>
        <v>4789800.0000001397</v>
      </c>
      <c r="V516" s="112">
        <f t="shared" si="739"/>
        <v>96</v>
      </c>
      <c r="AN516" s="127">
        <v>45279.979166666657</v>
      </c>
      <c r="AO516">
        <v>1</v>
      </c>
      <c r="AP516" s="13">
        <f t="shared" ref="AP516:AP579" si="741">AP515+150*60</f>
        <v>4789800.0000001397</v>
      </c>
      <c r="AQ516">
        <f t="shared" si="734"/>
        <v>96</v>
      </c>
      <c r="AR516" s="13">
        <f t="shared" si="735"/>
        <v>4789800.0000001397</v>
      </c>
      <c r="AS516" s="112">
        <f t="shared" si="736"/>
        <v>96</v>
      </c>
    </row>
    <row r="517" spans="17:45" x14ac:dyDescent="0.25">
      <c r="Q517" s="127">
        <v>45280.083333333343</v>
      </c>
      <c r="R517">
        <v>1</v>
      </c>
      <c r="S517" s="13">
        <f t="shared" si="740"/>
        <v>4798800.0000001397</v>
      </c>
      <c r="T517">
        <f t="shared" si="737"/>
        <v>96</v>
      </c>
      <c r="U517" s="13">
        <f t="shared" si="738"/>
        <v>4798800.0000001397</v>
      </c>
      <c r="V517" s="112">
        <f t="shared" si="739"/>
        <v>96</v>
      </c>
      <c r="AN517" s="127">
        <v>45280.083333333343</v>
      </c>
      <c r="AO517">
        <v>1</v>
      </c>
      <c r="AP517" s="13">
        <f t="shared" si="741"/>
        <v>4798800.0000001397</v>
      </c>
      <c r="AQ517">
        <f t="shared" si="734"/>
        <v>96</v>
      </c>
      <c r="AR517" s="13">
        <f t="shared" si="735"/>
        <v>4798800.0000001397</v>
      </c>
      <c r="AS517" s="112">
        <f t="shared" si="736"/>
        <v>96</v>
      </c>
    </row>
    <row r="518" spans="17:45" x14ac:dyDescent="0.25">
      <c r="Q518" s="127">
        <v>45280.1875</v>
      </c>
      <c r="R518">
        <v>1</v>
      </c>
      <c r="S518" s="13">
        <f t="shared" si="740"/>
        <v>4807800.0000001397</v>
      </c>
      <c r="T518">
        <f t="shared" si="737"/>
        <v>96</v>
      </c>
      <c r="U518" s="13">
        <f t="shared" si="738"/>
        <v>4807800.0000001397</v>
      </c>
      <c r="V518" s="112">
        <f t="shared" si="739"/>
        <v>96</v>
      </c>
      <c r="AN518" s="127">
        <v>45280.1875</v>
      </c>
      <c r="AO518">
        <v>1</v>
      </c>
      <c r="AP518" s="13">
        <f t="shared" si="741"/>
        <v>4807800.0000001397</v>
      </c>
      <c r="AQ518">
        <f t="shared" si="734"/>
        <v>96</v>
      </c>
      <c r="AR518" s="13">
        <f t="shared" si="735"/>
        <v>4807800.0000001397</v>
      </c>
      <c r="AS518" s="112">
        <f t="shared" si="736"/>
        <v>96</v>
      </c>
    </row>
    <row r="519" spans="17:45" x14ac:dyDescent="0.25">
      <c r="Q519" s="127">
        <v>45280.291666666657</v>
      </c>
      <c r="R519">
        <v>1</v>
      </c>
      <c r="S519" s="13">
        <f t="shared" si="740"/>
        <v>4816800.0000001397</v>
      </c>
      <c r="T519">
        <f t="shared" si="737"/>
        <v>96</v>
      </c>
      <c r="U519" s="13">
        <f t="shared" si="738"/>
        <v>4816800.0000001397</v>
      </c>
      <c r="V519" s="112">
        <f t="shared" si="739"/>
        <v>96</v>
      </c>
      <c r="AN519" s="127">
        <v>45280.291666666657</v>
      </c>
      <c r="AO519">
        <v>1</v>
      </c>
      <c r="AP519" s="13">
        <f t="shared" si="741"/>
        <v>4816800.0000001397</v>
      </c>
      <c r="AQ519">
        <f t="shared" si="734"/>
        <v>96</v>
      </c>
      <c r="AR519" s="13">
        <f t="shared" si="735"/>
        <v>4816800.0000001397</v>
      </c>
      <c r="AS519" s="112">
        <f t="shared" si="736"/>
        <v>96</v>
      </c>
    </row>
    <row r="520" spans="17:45" x14ac:dyDescent="0.25">
      <c r="Q520" s="127">
        <v>45280.395833333343</v>
      </c>
      <c r="R520">
        <v>1</v>
      </c>
      <c r="S520" s="13">
        <f t="shared" si="740"/>
        <v>4825800.0000001397</v>
      </c>
      <c r="T520">
        <f t="shared" si="737"/>
        <v>96</v>
      </c>
      <c r="U520" s="13">
        <f t="shared" si="738"/>
        <v>4825800.0000001397</v>
      </c>
      <c r="V520" s="112">
        <f t="shared" si="739"/>
        <v>96</v>
      </c>
      <c r="AN520" s="127">
        <v>45280.395833333343</v>
      </c>
      <c r="AO520">
        <v>1</v>
      </c>
      <c r="AP520" s="13">
        <f t="shared" si="741"/>
        <v>4825800.0000001397</v>
      </c>
      <c r="AQ520">
        <f t="shared" si="734"/>
        <v>96</v>
      </c>
      <c r="AR520" s="13">
        <f t="shared" si="735"/>
        <v>4825800.0000001397</v>
      </c>
      <c r="AS520" s="112">
        <f t="shared" si="736"/>
        <v>96</v>
      </c>
    </row>
    <row r="521" spans="17:45" x14ac:dyDescent="0.25">
      <c r="Q521" s="127">
        <v>45280.5</v>
      </c>
      <c r="R521">
        <v>1</v>
      </c>
      <c r="S521" s="13">
        <f t="shared" si="740"/>
        <v>4834800.0000001397</v>
      </c>
      <c r="T521">
        <f t="shared" si="737"/>
        <v>96</v>
      </c>
      <c r="U521" s="13">
        <f t="shared" si="738"/>
        <v>4834800.0000001397</v>
      </c>
      <c r="V521" s="112">
        <f t="shared" si="739"/>
        <v>96</v>
      </c>
      <c r="AN521" s="127">
        <v>45280.5</v>
      </c>
      <c r="AO521">
        <v>1</v>
      </c>
      <c r="AP521" s="13">
        <f t="shared" si="741"/>
        <v>4834800.0000001397</v>
      </c>
      <c r="AQ521">
        <f t="shared" si="734"/>
        <v>96</v>
      </c>
      <c r="AR521" s="13">
        <f t="shared" si="735"/>
        <v>4834800.0000001397</v>
      </c>
      <c r="AS521" s="112">
        <f t="shared" si="736"/>
        <v>96</v>
      </c>
    </row>
    <row r="522" spans="17:45" x14ac:dyDescent="0.25">
      <c r="Q522" s="127">
        <v>45280.604166666657</v>
      </c>
      <c r="R522">
        <v>3</v>
      </c>
      <c r="S522" s="13">
        <f t="shared" si="740"/>
        <v>4843800.0000001397</v>
      </c>
      <c r="T522">
        <f t="shared" si="737"/>
        <v>288</v>
      </c>
      <c r="U522" s="13">
        <f t="shared" si="738"/>
        <v>4843800.0000001397</v>
      </c>
      <c r="V522" s="112">
        <f t="shared" si="739"/>
        <v>288</v>
      </c>
      <c r="AN522" s="127">
        <v>45280.604166666657</v>
      </c>
      <c r="AO522">
        <v>3</v>
      </c>
      <c r="AP522" s="13">
        <f t="shared" si="741"/>
        <v>4843800.0000001397</v>
      </c>
      <c r="AQ522">
        <f t="shared" si="734"/>
        <v>288</v>
      </c>
      <c r="AR522" s="13">
        <f t="shared" si="735"/>
        <v>4843800.0000001397</v>
      </c>
      <c r="AS522" s="112">
        <f t="shared" si="736"/>
        <v>288</v>
      </c>
    </row>
    <row r="523" spans="17:45" x14ac:dyDescent="0.25">
      <c r="Q523" s="127">
        <v>45280.708333333343</v>
      </c>
      <c r="R523">
        <v>1</v>
      </c>
      <c r="S523" s="13">
        <f t="shared" si="740"/>
        <v>4852800.0000001397</v>
      </c>
      <c r="T523">
        <f t="shared" si="737"/>
        <v>96</v>
      </c>
      <c r="U523" s="13">
        <f t="shared" si="738"/>
        <v>4852800.0000001397</v>
      </c>
      <c r="V523" s="112">
        <f t="shared" si="739"/>
        <v>96</v>
      </c>
      <c r="AN523" s="127">
        <v>45280.708333333343</v>
      </c>
      <c r="AO523">
        <v>1</v>
      </c>
      <c r="AP523" s="13">
        <f t="shared" si="741"/>
        <v>4852800.0000001397</v>
      </c>
      <c r="AQ523">
        <f t="shared" si="734"/>
        <v>96</v>
      </c>
      <c r="AR523" s="13">
        <f t="shared" si="735"/>
        <v>4852800.0000001397</v>
      </c>
      <c r="AS523" s="112">
        <f t="shared" si="736"/>
        <v>96</v>
      </c>
    </row>
    <row r="524" spans="17:45" x14ac:dyDescent="0.25">
      <c r="Q524" s="127">
        <v>45280.8125</v>
      </c>
      <c r="R524">
        <v>1</v>
      </c>
      <c r="S524" s="13">
        <f t="shared" si="740"/>
        <v>4861800.0000001397</v>
      </c>
      <c r="T524">
        <f t="shared" si="737"/>
        <v>96</v>
      </c>
      <c r="U524" s="13">
        <f t="shared" si="738"/>
        <v>4861800.0000001397</v>
      </c>
      <c r="V524" s="112">
        <f t="shared" si="739"/>
        <v>96</v>
      </c>
      <c r="AN524" s="127">
        <v>45280.8125</v>
      </c>
      <c r="AO524">
        <v>1</v>
      </c>
      <c r="AP524" s="13">
        <f t="shared" si="741"/>
        <v>4861800.0000001397</v>
      </c>
      <c r="AQ524">
        <f t="shared" si="734"/>
        <v>96</v>
      </c>
      <c r="AR524" s="13">
        <f t="shared" si="735"/>
        <v>4861800.0000001397</v>
      </c>
      <c r="AS524" s="112">
        <f t="shared" si="736"/>
        <v>96</v>
      </c>
    </row>
    <row r="525" spans="17:45" x14ac:dyDescent="0.25">
      <c r="Q525" s="127">
        <v>45280.916666666657</v>
      </c>
      <c r="R525">
        <v>1</v>
      </c>
      <c r="S525" s="13">
        <f t="shared" si="740"/>
        <v>4870800.0000001397</v>
      </c>
      <c r="T525">
        <f t="shared" si="737"/>
        <v>96</v>
      </c>
      <c r="U525" s="13">
        <f t="shared" si="738"/>
        <v>4870800.0000001397</v>
      </c>
      <c r="V525" s="112">
        <f t="shared" si="739"/>
        <v>96</v>
      </c>
      <c r="AN525" s="127">
        <v>45280.916666666657</v>
      </c>
      <c r="AO525">
        <v>1</v>
      </c>
      <c r="AP525" s="13">
        <f t="shared" si="741"/>
        <v>4870800.0000001397</v>
      </c>
      <c r="AQ525">
        <f t="shared" si="734"/>
        <v>96</v>
      </c>
      <c r="AR525" s="13">
        <f t="shared" si="735"/>
        <v>4870800.0000001397</v>
      </c>
      <c r="AS525" s="112">
        <f t="shared" si="736"/>
        <v>96</v>
      </c>
    </row>
    <row r="526" spans="17:45" x14ac:dyDescent="0.25">
      <c r="Q526" s="127">
        <v>45281.020833333343</v>
      </c>
      <c r="R526">
        <v>1</v>
      </c>
      <c r="S526" s="13">
        <f t="shared" si="740"/>
        <v>4879800.0000001397</v>
      </c>
      <c r="T526">
        <f t="shared" si="737"/>
        <v>96</v>
      </c>
      <c r="U526" s="13">
        <f t="shared" si="738"/>
        <v>4879800.0000001397</v>
      </c>
      <c r="V526" s="112">
        <f t="shared" si="739"/>
        <v>96</v>
      </c>
      <c r="AN526" s="127">
        <v>45281.020833333343</v>
      </c>
      <c r="AO526">
        <v>1</v>
      </c>
      <c r="AP526" s="13">
        <f t="shared" si="741"/>
        <v>4879800.0000001397</v>
      </c>
      <c r="AQ526">
        <f t="shared" si="734"/>
        <v>96</v>
      </c>
      <c r="AR526" s="13">
        <f t="shared" si="735"/>
        <v>4879800.0000001397</v>
      </c>
      <c r="AS526" s="112">
        <f t="shared" si="736"/>
        <v>96</v>
      </c>
    </row>
    <row r="527" spans="17:45" x14ac:dyDescent="0.25">
      <c r="Q527" s="127">
        <v>45281.125</v>
      </c>
      <c r="R527">
        <v>1</v>
      </c>
      <c r="S527" s="13">
        <f t="shared" si="740"/>
        <v>4888800.0000001397</v>
      </c>
      <c r="T527">
        <f t="shared" si="737"/>
        <v>96</v>
      </c>
      <c r="U527" s="13">
        <f t="shared" si="738"/>
        <v>4888800.0000001397</v>
      </c>
      <c r="V527" s="112">
        <f t="shared" si="739"/>
        <v>96</v>
      </c>
      <c r="AN527" s="127">
        <v>45281.125</v>
      </c>
      <c r="AO527">
        <v>1</v>
      </c>
      <c r="AP527" s="13">
        <f t="shared" si="741"/>
        <v>4888800.0000001397</v>
      </c>
      <c r="AQ527">
        <f t="shared" si="734"/>
        <v>96</v>
      </c>
      <c r="AR527" s="13">
        <f t="shared" si="735"/>
        <v>4888800.0000001397</v>
      </c>
      <c r="AS527" s="112">
        <f t="shared" si="736"/>
        <v>96</v>
      </c>
    </row>
    <row r="528" spans="17:45" x14ac:dyDescent="0.25">
      <c r="Q528" s="127">
        <v>45281.229166666657</v>
      </c>
      <c r="R528">
        <v>1</v>
      </c>
      <c r="S528" s="13">
        <f t="shared" si="740"/>
        <v>4897800.0000001397</v>
      </c>
      <c r="T528">
        <f t="shared" si="737"/>
        <v>96</v>
      </c>
      <c r="U528" s="13">
        <f t="shared" si="738"/>
        <v>4897800.0000001397</v>
      </c>
      <c r="V528" s="112">
        <f t="shared" si="739"/>
        <v>96</v>
      </c>
      <c r="AN528" s="127">
        <v>45281.229166666657</v>
      </c>
      <c r="AO528">
        <v>1</v>
      </c>
      <c r="AP528" s="13">
        <f t="shared" si="741"/>
        <v>4897800.0000001397</v>
      </c>
      <c r="AQ528">
        <f t="shared" si="734"/>
        <v>96</v>
      </c>
      <c r="AR528" s="13">
        <f t="shared" si="735"/>
        <v>4897800.0000001397</v>
      </c>
      <c r="AS528" s="112">
        <f t="shared" si="736"/>
        <v>96</v>
      </c>
    </row>
    <row r="529" spans="17:45" x14ac:dyDescent="0.25">
      <c r="Q529" s="127">
        <v>45281.333333333343</v>
      </c>
      <c r="R529">
        <v>1</v>
      </c>
      <c r="S529" s="13">
        <f t="shared" si="740"/>
        <v>4906800.0000001397</v>
      </c>
      <c r="T529">
        <f t="shared" si="737"/>
        <v>96</v>
      </c>
      <c r="U529" s="13">
        <f t="shared" si="738"/>
        <v>4906800.0000001397</v>
      </c>
      <c r="V529" s="112">
        <f t="shared" si="739"/>
        <v>96</v>
      </c>
      <c r="AN529" s="127">
        <v>45281.333333333343</v>
      </c>
      <c r="AO529">
        <v>1</v>
      </c>
      <c r="AP529" s="13">
        <f t="shared" si="741"/>
        <v>4906800.0000001397</v>
      </c>
      <c r="AQ529">
        <f t="shared" si="734"/>
        <v>96</v>
      </c>
      <c r="AR529" s="13">
        <f t="shared" si="735"/>
        <v>4906800.0000001397</v>
      </c>
      <c r="AS529" s="112">
        <f t="shared" si="736"/>
        <v>96</v>
      </c>
    </row>
    <row r="530" spans="17:45" x14ac:dyDescent="0.25">
      <c r="Q530" s="127">
        <v>45281.4375</v>
      </c>
      <c r="R530">
        <v>1</v>
      </c>
      <c r="S530" s="13">
        <f t="shared" si="740"/>
        <v>4915800.0000001397</v>
      </c>
      <c r="T530">
        <f t="shared" si="737"/>
        <v>96</v>
      </c>
      <c r="U530" s="13">
        <f t="shared" si="738"/>
        <v>4915800.0000001397</v>
      </c>
      <c r="V530" s="112">
        <f t="shared" si="739"/>
        <v>96</v>
      </c>
      <c r="AN530" s="127">
        <v>45281.4375</v>
      </c>
      <c r="AO530">
        <v>1</v>
      </c>
      <c r="AP530" s="13">
        <f t="shared" si="741"/>
        <v>4915800.0000001397</v>
      </c>
      <c r="AQ530">
        <f t="shared" si="734"/>
        <v>96</v>
      </c>
      <c r="AR530" s="13">
        <f t="shared" si="735"/>
        <v>4915800.0000001397</v>
      </c>
      <c r="AS530" s="112">
        <f t="shared" si="736"/>
        <v>96</v>
      </c>
    </row>
    <row r="531" spans="17:45" x14ac:dyDescent="0.25">
      <c r="Q531" s="127">
        <v>45281.541666666657</v>
      </c>
      <c r="R531">
        <v>1</v>
      </c>
      <c r="S531" s="13">
        <f t="shared" si="740"/>
        <v>4924800.0000001397</v>
      </c>
      <c r="T531">
        <f t="shared" si="737"/>
        <v>96</v>
      </c>
      <c r="U531" s="13">
        <f t="shared" si="738"/>
        <v>4924800.0000001397</v>
      </c>
      <c r="V531" s="112">
        <f t="shared" si="739"/>
        <v>96</v>
      </c>
      <c r="AN531" s="127">
        <v>45281.541666666657</v>
      </c>
      <c r="AO531">
        <v>1</v>
      </c>
      <c r="AP531" s="13">
        <f t="shared" si="741"/>
        <v>4924800.0000001397</v>
      </c>
      <c r="AQ531">
        <f t="shared" si="734"/>
        <v>96</v>
      </c>
      <c r="AR531" s="13">
        <f t="shared" si="735"/>
        <v>4924800.0000001397</v>
      </c>
      <c r="AS531" s="112">
        <f t="shared" si="736"/>
        <v>96</v>
      </c>
    </row>
    <row r="532" spans="17:45" x14ac:dyDescent="0.25">
      <c r="Q532" s="127">
        <v>45281.645833333343</v>
      </c>
      <c r="R532">
        <v>1</v>
      </c>
      <c r="S532" s="13">
        <f t="shared" si="740"/>
        <v>4933800.0000001397</v>
      </c>
      <c r="T532">
        <f t="shared" si="737"/>
        <v>96</v>
      </c>
      <c r="U532" s="13">
        <f t="shared" si="738"/>
        <v>4933800.0000001397</v>
      </c>
      <c r="V532" s="112">
        <f t="shared" si="739"/>
        <v>96</v>
      </c>
      <c r="AN532" s="127">
        <v>45281.645833333343</v>
      </c>
      <c r="AO532">
        <v>1</v>
      </c>
      <c r="AP532" s="13">
        <f t="shared" si="741"/>
        <v>4933800.0000001397</v>
      </c>
      <c r="AQ532">
        <f t="shared" si="734"/>
        <v>96</v>
      </c>
      <c r="AR532" s="13">
        <f t="shared" si="735"/>
        <v>4933800.0000001397</v>
      </c>
      <c r="AS532" s="112">
        <f t="shared" si="736"/>
        <v>96</v>
      </c>
    </row>
    <row r="533" spans="17:45" x14ac:dyDescent="0.25">
      <c r="Q533" s="127">
        <v>45281.75</v>
      </c>
      <c r="R533">
        <v>1</v>
      </c>
      <c r="S533" s="13">
        <f t="shared" si="740"/>
        <v>4942800.0000001397</v>
      </c>
      <c r="T533">
        <f t="shared" si="737"/>
        <v>96</v>
      </c>
      <c r="U533" s="13">
        <f t="shared" si="738"/>
        <v>4942800.0000001397</v>
      </c>
      <c r="V533" s="112">
        <f t="shared" si="739"/>
        <v>96</v>
      </c>
      <c r="AN533" s="127">
        <v>45281.75</v>
      </c>
      <c r="AO533">
        <v>1</v>
      </c>
      <c r="AP533" s="13">
        <f t="shared" si="741"/>
        <v>4942800.0000001397</v>
      </c>
      <c r="AQ533">
        <f t="shared" si="734"/>
        <v>96</v>
      </c>
      <c r="AR533" s="13">
        <f t="shared" si="735"/>
        <v>4942800.0000001397</v>
      </c>
      <c r="AS533" s="112">
        <f t="shared" si="736"/>
        <v>96</v>
      </c>
    </row>
    <row r="534" spans="17:45" x14ac:dyDescent="0.25">
      <c r="Q534" s="127">
        <v>45281.854166666657</v>
      </c>
      <c r="R534">
        <v>1</v>
      </c>
      <c r="S534" s="13">
        <f t="shared" si="740"/>
        <v>4951800.0000001397</v>
      </c>
      <c r="T534">
        <f t="shared" si="737"/>
        <v>96</v>
      </c>
      <c r="U534" s="13">
        <f t="shared" si="738"/>
        <v>4951800.0000001397</v>
      </c>
      <c r="V534" s="112">
        <f t="shared" si="739"/>
        <v>96</v>
      </c>
      <c r="AN534" s="127">
        <v>45281.854166666657</v>
      </c>
      <c r="AO534">
        <v>1</v>
      </c>
      <c r="AP534" s="13">
        <f t="shared" si="741"/>
        <v>4951800.0000001397</v>
      </c>
      <c r="AQ534">
        <f t="shared" si="734"/>
        <v>96</v>
      </c>
      <c r="AR534" s="13">
        <f t="shared" si="735"/>
        <v>4951800.0000001397</v>
      </c>
      <c r="AS534" s="112">
        <f t="shared" si="736"/>
        <v>96</v>
      </c>
    </row>
    <row r="535" spans="17:45" x14ac:dyDescent="0.25">
      <c r="Q535" s="127">
        <v>45281.958333333343</v>
      </c>
      <c r="R535">
        <v>1</v>
      </c>
      <c r="S535" s="13">
        <f t="shared" si="740"/>
        <v>4960800.0000001397</v>
      </c>
      <c r="T535">
        <f t="shared" si="737"/>
        <v>96</v>
      </c>
      <c r="U535" s="13">
        <f t="shared" si="738"/>
        <v>4960800.0000001397</v>
      </c>
      <c r="V535" s="112">
        <f t="shared" si="739"/>
        <v>96</v>
      </c>
      <c r="AN535" s="127">
        <v>45281.958333333343</v>
      </c>
      <c r="AO535">
        <v>1</v>
      </c>
      <c r="AP535" s="13">
        <f t="shared" si="741"/>
        <v>4960800.0000001397</v>
      </c>
      <c r="AQ535">
        <f t="shared" si="734"/>
        <v>96</v>
      </c>
      <c r="AR535" s="13">
        <f t="shared" si="735"/>
        <v>4960800.0000001397</v>
      </c>
      <c r="AS535" s="112">
        <f t="shared" si="736"/>
        <v>96</v>
      </c>
    </row>
    <row r="536" spans="17:45" x14ac:dyDescent="0.25">
      <c r="Q536" s="127">
        <v>45282.0625</v>
      </c>
      <c r="R536">
        <v>1</v>
      </c>
      <c r="S536" s="13">
        <f t="shared" si="740"/>
        <v>4969800.0000001397</v>
      </c>
      <c r="T536">
        <f t="shared" si="737"/>
        <v>96</v>
      </c>
      <c r="U536" s="13">
        <f t="shared" si="738"/>
        <v>4969800.0000001397</v>
      </c>
      <c r="V536" s="112">
        <f t="shared" si="739"/>
        <v>96</v>
      </c>
      <c r="AN536" s="127">
        <v>45282.0625</v>
      </c>
      <c r="AO536">
        <v>1</v>
      </c>
      <c r="AP536" s="13">
        <f t="shared" si="741"/>
        <v>4969800.0000001397</v>
      </c>
      <c r="AQ536">
        <f t="shared" si="734"/>
        <v>96</v>
      </c>
      <c r="AR536" s="13">
        <f t="shared" si="735"/>
        <v>4969800.0000001397</v>
      </c>
      <c r="AS536" s="112">
        <f t="shared" si="736"/>
        <v>96</v>
      </c>
    </row>
    <row r="537" spans="17:45" x14ac:dyDescent="0.25">
      <c r="Q537" s="127">
        <v>45282.166666666657</v>
      </c>
      <c r="R537">
        <v>1</v>
      </c>
      <c r="S537" s="13">
        <f t="shared" si="740"/>
        <v>4978800.0000001397</v>
      </c>
      <c r="T537">
        <f t="shared" si="737"/>
        <v>96</v>
      </c>
      <c r="U537" s="13">
        <f t="shared" si="738"/>
        <v>4978800.0000001397</v>
      </c>
      <c r="V537" s="112">
        <f t="shared" si="739"/>
        <v>96</v>
      </c>
      <c r="AN537" s="127">
        <v>45282.166666666657</v>
      </c>
      <c r="AO537">
        <v>1</v>
      </c>
      <c r="AP537" s="13">
        <f t="shared" si="741"/>
        <v>4978800.0000001397</v>
      </c>
      <c r="AQ537">
        <f t="shared" si="734"/>
        <v>96</v>
      </c>
      <c r="AR537" s="13">
        <f t="shared" si="735"/>
        <v>4978800.0000001397</v>
      </c>
      <c r="AS537" s="112">
        <f t="shared" si="736"/>
        <v>96</v>
      </c>
    </row>
    <row r="538" spans="17:45" x14ac:dyDescent="0.25">
      <c r="Q538" s="127">
        <v>45282.270833333343</v>
      </c>
      <c r="R538">
        <v>1</v>
      </c>
      <c r="S538" s="13">
        <f t="shared" si="740"/>
        <v>4987800.0000001397</v>
      </c>
      <c r="T538">
        <f t="shared" si="737"/>
        <v>96</v>
      </c>
      <c r="U538" s="13">
        <f t="shared" si="738"/>
        <v>4987800.0000001397</v>
      </c>
      <c r="V538" s="112">
        <f t="shared" si="739"/>
        <v>96</v>
      </c>
      <c r="AN538" s="127">
        <v>45282.270833333343</v>
      </c>
      <c r="AO538">
        <v>1</v>
      </c>
      <c r="AP538" s="13">
        <f t="shared" si="741"/>
        <v>4987800.0000001397</v>
      </c>
      <c r="AQ538">
        <f t="shared" si="734"/>
        <v>96</v>
      </c>
      <c r="AR538" s="13">
        <f t="shared" si="735"/>
        <v>4987800.0000001397</v>
      </c>
      <c r="AS538" s="112">
        <f t="shared" si="736"/>
        <v>96</v>
      </c>
    </row>
    <row r="539" spans="17:45" x14ac:dyDescent="0.25">
      <c r="Q539" s="127">
        <v>45282.375</v>
      </c>
      <c r="R539">
        <v>1</v>
      </c>
      <c r="S539" s="13">
        <f t="shared" si="740"/>
        <v>4996800.0000001397</v>
      </c>
      <c r="T539">
        <f t="shared" si="737"/>
        <v>96</v>
      </c>
      <c r="U539" s="13">
        <f t="shared" si="738"/>
        <v>4996800.0000001397</v>
      </c>
      <c r="V539" s="112">
        <f t="shared" si="739"/>
        <v>96</v>
      </c>
      <c r="AN539" s="127">
        <v>45282.375</v>
      </c>
      <c r="AO539">
        <v>0</v>
      </c>
      <c r="AP539" s="13">
        <f t="shared" si="741"/>
        <v>4996800.0000001397</v>
      </c>
      <c r="AQ539">
        <f t="shared" si="734"/>
        <v>0</v>
      </c>
      <c r="AR539" s="13">
        <f t="shared" si="735"/>
        <v>4996800.0000001397</v>
      </c>
      <c r="AS539" s="112">
        <f t="shared" si="736"/>
        <v>1E-10</v>
      </c>
    </row>
    <row r="540" spans="17:45" x14ac:dyDescent="0.25">
      <c r="Q540" s="127">
        <v>45282.479166666657</v>
      </c>
      <c r="R540">
        <v>1</v>
      </c>
      <c r="S540" s="13">
        <f t="shared" si="740"/>
        <v>5005800.0000001397</v>
      </c>
      <c r="T540">
        <f t="shared" si="737"/>
        <v>96</v>
      </c>
      <c r="U540" s="13">
        <f t="shared" si="738"/>
        <v>5005800.0000001397</v>
      </c>
      <c r="V540" s="112">
        <f t="shared" si="739"/>
        <v>96</v>
      </c>
      <c r="AN540" s="127">
        <v>45282.479166666657</v>
      </c>
      <c r="AO540">
        <v>0</v>
      </c>
      <c r="AP540" s="13">
        <f t="shared" si="741"/>
        <v>5005800.0000001397</v>
      </c>
      <c r="AQ540">
        <f t="shared" si="734"/>
        <v>0</v>
      </c>
      <c r="AR540" s="13">
        <f t="shared" si="735"/>
        <v>5005800.0000001397</v>
      </c>
      <c r="AS540" s="112">
        <f t="shared" si="736"/>
        <v>1E-10</v>
      </c>
    </row>
    <row r="541" spans="17:45" x14ac:dyDescent="0.25">
      <c r="Q541" s="127">
        <v>45282.583333333343</v>
      </c>
      <c r="R541">
        <v>4</v>
      </c>
      <c r="S541" s="13">
        <f t="shared" si="740"/>
        <v>5014800.0000001397</v>
      </c>
      <c r="T541">
        <f t="shared" si="737"/>
        <v>384</v>
      </c>
      <c r="U541" s="13">
        <f t="shared" si="738"/>
        <v>5014800.0000001397</v>
      </c>
      <c r="V541" s="112">
        <f t="shared" si="739"/>
        <v>384</v>
      </c>
      <c r="AN541" s="127">
        <v>45282.583333333343</v>
      </c>
      <c r="AO541">
        <v>2</v>
      </c>
      <c r="AP541" s="13">
        <f t="shared" si="741"/>
        <v>5014800.0000001397</v>
      </c>
      <c r="AQ541">
        <f t="shared" si="734"/>
        <v>192</v>
      </c>
      <c r="AR541" s="13">
        <f t="shared" si="735"/>
        <v>5014800.0000001397</v>
      </c>
      <c r="AS541" s="112">
        <f t="shared" si="736"/>
        <v>192</v>
      </c>
    </row>
    <row r="542" spans="17:45" x14ac:dyDescent="0.25">
      <c r="Q542" s="127">
        <v>45282.6875</v>
      </c>
      <c r="R542">
        <v>2</v>
      </c>
      <c r="S542" s="13">
        <f t="shared" si="740"/>
        <v>5023800.0000001397</v>
      </c>
      <c r="T542">
        <f t="shared" si="737"/>
        <v>192</v>
      </c>
      <c r="U542" s="13">
        <f t="shared" si="738"/>
        <v>5023800.0000001397</v>
      </c>
      <c r="V542" s="112">
        <f t="shared" si="739"/>
        <v>192</v>
      </c>
      <c r="AN542" s="127">
        <v>45282.6875</v>
      </c>
      <c r="AO542">
        <v>3</v>
      </c>
      <c r="AP542" s="13">
        <f t="shared" si="741"/>
        <v>5023800.0000001397</v>
      </c>
      <c r="AQ542">
        <f t="shared" si="734"/>
        <v>288</v>
      </c>
      <c r="AR542" s="13">
        <f t="shared" si="735"/>
        <v>5023800.0000001397</v>
      </c>
      <c r="AS542" s="112">
        <f t="shared" si="736"/>
        <v>288</v>
      </c>
    </row>
    <row r="543" spans="17:45" x14ac:dyDescent="0.25">
      <c r="Q543" s="127">
        <v>45282.791666666657</v>
      </c>
      <c r="R543">
        <v>0</v>
      </c>
      <c r="S543" s="13">
        <f t="shared" si="740"/>
        <v>5032800.0000001397</v>
      </c>
      <c r="T543">
        <f t="shared" si="737"/>
        <v>0</v>
      </c>
      <c r="U543" s="13">
        <f t="shared" si="738"/>
        <v>5032800.0000001397</v>
      </c>
      <c r="V543" s="112">
        <f t="shared" si="739"/>
        <v>1E-10</v>
      </c>
      <c r="AN543" s="127">
        <v>45282.791666666657</v>
      </c>
      <c r="AO543">
        <v>0</v>
      </c>
      <c r="AP543" s="13">
        <f t="shared" si="741"/>
        <v>5032800.0000001397</v>
      </c>
      <c r="AQ543">
        <f t="shared" si="734"/>
        <v>0</v>
      </c>
      <c r="AR543" s="13">
        <f t="shared" si="735"/>
        <v>5032800.0000001397</v>
      </c>
      <c r="AS543" s="112">
        <f t="shared" si="736"/>
        <v>1E-10</v>
      </c>
    </row>
    <row r="544" spans="17:45" x14ac:dyDescent="0.25">
      <c r="Q544" s="127">
        <v>45282.895833333343</v>
      </c>
      <c r="R544">
        <v>0</v>
      </c>
      <c r="S544" s="13">
        <f t="shared" si="740"/>
        <v>5041800.0000001397</v>
      </c>
      <c r="T544">
        <f t="shared" si="737"/>
        <v>0</v>
      </c>
      <c r="U544" s="13">
        <f t="shared" si="738"/>
        <v>5041800.0000001397</v>
      </c>
      <c r="V544" s="112">
        <f t="shared" si="739"/>
        <v>1E-10</v>
      </c>
      <c r="AN544" s="127">
        <v>45282.895833333343</v>
      </c>
      <c r="AO544">
        <v>0</v>
      </c>
      <c r="AP544" s="13">
        <f t="shared" si="741"/>
        <v>5041800.0000001397</v>
      </c>
      <c r="AQ544">
        <f t="shared" si="734"/>
        <v>0</v>
      </c>
      <c r="AR544" s="13">
        <f t="shared" si="735"/>
        <v>5041800.0000001397</v>
      </c>
      <c r="AS544" s="112">
        <f t="shared" si="736"/>
        <v>1E-10</v>
      </c>
    </row>
    <row r="545" spans="17:45" x14ac:dyDescent="0.25">
      <c r="Q545" s="127">
        <v>45283</v>
      </c>
      <c r="R545">
        <v>0</v>
      </c>
      <c r="S545" s="13">
        <f t="shared" si="740"/>
        <v>5050800.0000001397</v>
      </c>
      <c r="T545">
        <f t="shared" si="737"/>
        <v>0</v>
      </c>
      <c r="U545" s="13">
        <f t="shared" si="738"/>
        <v>5050800.0000001397</v>
      </c>
      <c r="V545" s="112">
        <f t="shared" si="739"/>
        <v>1E-10</v>
      </c>
      <c r="AN545" s="127">
        <v>45283</v>
      </c>
      <c r="AO545">
        <v>0</v>
      </c>
      <c r="AP545" s="13">
        <f t="shared" si="741"/>
        <v>5050800.0000001397</v>
      </c>
      <c r="AQ545">
        <f t="shared" si="734"/>
        <v>0</v>
      </c>
      <c r="AR545" s="13">
        <f t="shared" si="735"/>
        <v>5050800.0000001397</v>
      </c>
      <c r="AS545" s="112">
        <f t="shared" si="736"/>
        <v>1E-10</v>
      </c>
    </row>
    <row r="546" spans="17:45" x14ac:dyDescent="0.25">
      <c r="Q546" s="127">
        <v>45283.104166666657</v>
      </c>
      <c r="R546">
        <v>0</v>
      </c>
      <c r="S546" s="13">
        <f t="shared" si="740"/>
        <v>5059800.0000001397</v>
      </c>
      <c r="T546">
        <f t="shared" si="737"/>
        <v>0</v>
      </c>
      <c r="U546" s="13">
        <f t="shared" si="738"/>
        <v>5059800.0000001397</v>
      </c>
      <c r="V546" s="112">
        <f t="shared" si="739"/>
        <v>1E-10</v>
      </c>
      <c r="AN546" s="127">
        <v>45283.104166666657</v>
      </c>
      <c r="AO546">
        <v>0</v>
      </c>
      <c r="AP546" s="13">
        <f t="shared" si="741"/>
        <v>5059800.0000001397</v>
      </c>
      <c r="AQ546">
        <f t="shared" si="734"/>
        <v>0</v>
      </c>
      <c r="AR546" s="13">
        <f t="shared" si="735"/>
        <v>5059800.0000001397</v>
      </c>
      <c r="AS546" s="112">
        <f t="shared" si="736"/>
        <v>1E-10</v>
      </c>
    </row>
    <row r="547" spans="17:45" x14ac:dyDescent="0.25">
      <c r="Q547" s="127">
        <v>45283.208333333343</v>
      </c>
      <c r="R547">
        <v>0</v>
      </c>
      <c r="S547" s="13">
        <f t="shared" si="740"/>
        <v>5068800.0000001397</v>
      </c>
      <c r="T547">
        <f t="shared" si="737"/>
        <v>0</v>
      </c>
      <c r="U547" s="13">
        <f t="shared" si="738"/>
        <v>5068800.0000001397</v>
      </c>
      <c r="V547" s="112">
        <f t="shared" si="739"/>
        <v>1E-10</v>
      </c>
      <c r="AN547" s="127">
        <v>45283.208333333343</v>
      </c>
      <c r="AO547">
        <v>0</v>
      </c>
      <c r="AP547" s="13">
        <f t="shared" si="741"/>
        <v>5068800.0000001397</v>
      </c>
      <c r="AQ547">
        <f t="shared" ref="AQ547:AQ610" si="742">AO547*96</f>
        <v>0</v>
      </c>
      <c r="AR547" s="13">
        <f t="shared" ref="AR547:AR610" si="743">AP547</f>
        <v>5068800.0000001397</v>
      </c>
      <c r="AS547" s="112">
        <f t="shared" ref="AS547:AS610" si="744">IF(AQ547=0,0.0000000001,AQ547)</f>
        <v>1E-10</v>
      </c>
    </row>
    <row r="548" spans="17:45" x14ac:dyDescent="0.25">
      <c r="Q548" s="127">
        <v>45283.3125</v>
      </c>
      <c r="R548">
        <v>0</v>
      </c>
      <c r="S548" s="13">
        <f t="shared" si="740"/>
        <v>5077800.0000001397</v>
      </c>
      <c r="T548">
        <f t="shared" si="737"/>
        <v>0</v>
      </c>
      <c r="U548" s="13">
        <f t="shared" si="738"/>
        <v>5077800.0000001397</v>
      </c>
      <c r="V548" s="112">
        <f t="shared" si="739"/>
        <v>1E-10</v>
      </c>
      <c r="AN548" s="127">
        <v>45283.3125</v>
      </c>
      <c r="AO548">
        <v>0</v>
      </c>
      <c r="AP548" s="13">
        <f t="shared" si="741"/>
        <v>5077800.0000001397</v>
      </c>
      <c r="AQ548">
        <f t="shared" si="742"/>
        <v>0</v>
      </c>
      <c r="AR548" s="13">
        <f t="shared" si="743"/>
        <v>5077800.0000001397</v>
      </c>
      <c r="AS548" s="112">
        <f t="shared" si="744"/>
        <v>1E-10</v>
      </c>
    </row>
    <row r="549" spans="17:45" x14ac:dyDescent="0.25">
      <c r="Q549" s="127">
        <v>45283.416666666657</v>
      </c>
      <c r="R549">
        <v>0</v>
      </c>
      <c r="S549" s="13">
        <f t="shared" si="740"/>
        <v>5086800.0000001397</v>
      </c>
      <c r="T549">
        <f t="shared" si="737"/>
        <v>0</v>
      </c>
      <c r="U549" s="13">
        <f t="shared" si="738"/>
        <v>5086800.0000001397</v>
      </c>
      <c r="V549" s="112">
        <f t="shared" si="739"/>
        <v>1E-10</v>
      </c>
      <c r="AN549" s="127">
        <v>45283.416666666657</v>
      </c>
      <c r="AO549">
        <v>0</v>
      </c>
      <c r="AP549" s="13">
        <f t="shared" si="741"/>
        <v>5086800.0000001397</v>
      </c>
      <c r="AQ549">
        <f t="shared" si="742"/>
        <v>0</v>
      </c>
      <c r="AR549" s="13">
        <f t="shared" si="743"/>
        <v>5086800.0000001397</v>
      </c>
      <c r="AS549" s="112">
        <f t="shared" si="744"/>
        <v>1E-10</v>
      </c>
    </row>
    <row r="550" spans="17:45" x14ac:dyDescent="0.25">
      <c r="Q550" s="127">
        <v>45283.520833333343</v>
      </c>
      <c r="R550">
        <v>0</v>
      </c>
      <c r="S550" s="13">
        <f t="shared" si="740"/>
        <v>5095800.0000001397</v>
      </c>
      <c r="T550">
        <f t="shared" si="737"/>
        <v>0</v>
      </c>
      <c r="U550" s="13">
        <f t="shared" si="738"/>
        <v>5095800.0000001397</v>
      </c>
      <c r="V550" s="112">
        <f t="shared" si="739"/>
        <v>1E-10</v>
      </c>
      <c r="AN550" s="127">
        <v>45283.520833333343</v>
      </c>
      <c r="AO550">
        <v>0</v>
      </c>
      <c r="AP550" s="13">
        <f t="shared" si="741"/>
        <v>5095800.0000001397</v>
      </c>
      <c r="AQ550">
        <f t="shared" si="742"/>
        <v>0</v>
      </c>
      <c r="AR550" s="13">
        <f t="shared" si="743"/>
        <v>5095800.0000001397</v>
      </c>
      <c r="AS550" s="112">
        <f t="shared" si="744"/>
        <v>1E-10</v>
      </c>
    </row>
    <row r="551" spans="17:45" x14ac:dyDescent="0.25">
      <c r="Q551" s="127">
        <v>45283.625</v>
      </c>
      <c r="R551">
        <v>0</v>
      </c>
      <c r="S551" s="13">
        <f t="shared" si="740"/>
        <v>5104800.0000001397</v>
      </c>
      <c r="T551">
        <f t="shared" si="737"/>
        <v>0</v>
      </c>
      <c r="U551" s="13">
        <f t="shared" si="738"/>
        <v>5104800.0000001397</v>
      </c>
      <c r="V551" s="112">
        <f t="shared" si="739"/>
        <v>1E-10</v>
      </c>
      <c r="AN551" s="127">
        <v>45283.625</v>
      </c>
      <c r="AO551">
        <v>0</v>
      </c>
      <c r="AP551" s="13">
        <f t="shared" si="741"/>
        <v>5104800.0000001397</v>
      </c>
      <c r="AQ551">
        <f t="shared" si="742"/>
        <v>0</v>
      </c>
      <c r="AR551" s="13">
        <f t="shared" si="743"/>
        <v>5104800.0000001397</v>
      </c>
      <c r="AS551" s="112">
        <f t="shared" si="744"/>
        <v>1E-10</v>
      </c>
    </row>
    <row r="552" spans="17:45" x14ac:dyDescent="0.25">
      <c r="Q552" s="127">
        <v>45283.729166666657</v>
      </c>
      <c r="R552">
        <v>0</v>
      </c>
      <c r="S552" s="13">
        <f t="shared" si="740"/>
        <v>5113800.0000001397</v>
      </c>
      <c r="T552">
        <f t="shared" si="737"/>
        <v>0</v>
      </c>
      <c r="U552" s="13">
        <f t="shared" si="738"/>
        <v>5113800.0000001397</v>
      </c>
      <c r="V552" s="112">
        <f t="shared" si="739"/>
        <v>1E-10</v>
      </c>
      <c r="AN552" s="127">
        <v>45283.729166666657</v>
      </c>
      <c r="AO552">
        <v>0</v>
      </c>
      <c r="AP552" s="13">
        <f t="shared" si="741"/>
        <v>5113800.0000001397</v>
      </c>
      <c r="AQ552">
        <f t="shared" si="742"/>
        <v>0</v>
      </c>
      <c r="AR552" s="13">
        <f t="shared" si="743"/>
        <v>5113800.0000001397</v>
      </c>
      <c r="AS552" s="112">
        <f t="shared" si="744"/>
        <v>1E-10</v>
      </c>
    </row>
    <row r="553" spans="17:45" x14ac:dyDescent="0.25">
      <c r="Q553" s="127">
        <v>45283.833333333343</v>
      </c>
      <c r="R553">
        <v>0</v>
      </c>
      <c r="S553" s="13">
        <f t="shared" si="740"/>
        <v>5122800.0000001397</v>
      </c>
      <c r="T553">
        <f t="shared" si="737"/>
        <v>0</v>
      </c>
      <c r="U553" s="13">
        <f t="shared" si="738"/>
        <v>5122800.0000001397</v>
      </c>
      <c r="V553" s="112">
        <f t="shared" si="739"/>
        <v>1E-10</v>
      </c>
      <c r="AN553" s="127">
        <v>45283.833333333343</v>
      </c>
      <c r="AO553">
        <v>0</v>
      </c>
      <c r="AP553" s="13">
        <f t="shared" si="741"/>
        <v>5122800.0000001397</v>
      </c>
      <c r="AQ553">
        <f t="shared" si="742"/>
        <v>0</v>
      </c>
      <c r="AR553" s="13">
        <f t="shared" si="743"/>
        <v>5122800.0000001397</v>
      </c>
      <c r="AS553" s="112">
        <f t="shared" si="744"/>
        <v>1E-10</v>
      </c>
    </row>
    <row r="554" spans="17:45" x14ac:dyDescent="0.25">
      <c r="Q554" s="127">
        <v>45283.9375</v>
      </c>
      <c r="R554">
        <v>0</v>
      </c>
      <c r="S554" s="13">
        <f t="shared" si="740"/>
        <v>5131800.0000001397</v>
      </c>
      <c r="T554">
        <f t="shared" si="737"/>
        <v>0</v>
      </c>
      <c r="U554" s="13">
        <f t="shared" si="738"/>
        <v>5131800.0000001397</v>
      </c>
      <c r="V554" s="112">
        <f t="shared" si="739"/>
        <v>1E-10</v>
      </c>
      <c r="AN554" s="127">
        <v>45283.9375</v>
      </c>
      <c r="AO554">
        <v>0</v>
      </c>
      <c r="AP554" s="13">
        <f t="shared" si="741"/>
        <v>5131800.0000001397</v>
      </c>
      <c r="AQ554">
        <f t="shared" si="742"/>
        <v>0</v>
      </c>
      <c r="AR554" s="13">
        <f t="shared" si="743"/>
        <v>5131800.0000001397</v>
      </c>
      <c r="AS554" s="112">
        <f t="shared" si="744"/>
        <v>1E-10</v>
      </c>
    </row>
    <row r="555" spans="17:45" x14ac:dyDescent="0.25">
      <c r="Q555" s="127">
        <v>45284.041666666657</v>
      </c>
      <c r="R555">
        <v>0</v>
      </c>
      <c r="S555" s="13">
        <f t="shared" si="740"/>
        <v>5140800.0000001397</v>
      </c>
      <c r="T555">
        <f t="shared" si="737"/>
        <v>0</v>
      </c>
      <c r="U555" s="13">
        <f t="shared" si="738"/>
        <v>5140800.0000001397</v>
      </c>
      <c r="V555" s="112">
        <f t="shared" si="739"/>
        <v>1E-10</v>
      </c>
      <c r="AN555" s="127">
        <v>45284.041666666657</v>
      </c>
      <c r="AO555">
        <v>0</v>
      </c>
      <c r="AP555" s="13">
        <f t="shared" si="741"/>
        <v>5140800.0000001397</v>
      </c>
      <c r="AQ555">
        <f t="shared" si="742"/>
        <v>0</v>
      </c>
      <c r="AR555" s="13">
        <f t="shared" si="743"/>
        <v>5140800.0000001397</v>
      </c>
      <c r="AS555" s="112">
        <f t="shared" si="744"/>
        <v>1E-10</v>
      </c>
    </row>
    <row r="556" spans="17:45" x14ac:dyDescent="0.25">
      <c r="Q556" s="127">
        <v>45284.145833333343</v>
      </c>
      <c r="R556">
        <v>0</v>
      </c>
      <c r="S556" s="13">
        <f t="shared" si="740"/>
        <v>5149800.0000001397</v>
      </c>
      <c r="T556">
        <f t="shared" si="737"/>
        <v>0</v>
      </c>
      <c r="U556" s="13">
        <f t="shared" si="738"/>
        <v>5149800.0000001397</v>
      </c>
      <c r="V556" s="112">
        <f t="shared" si="739"/>
        <v>1E-10</v>
      </c>
      <c r="AN556" s="127">
        <v>45284.145833333343</v>
      </c>
      <c r="AO556">
        <v>0</v>
      </c>
      <c r="AP556" s="13">
        <f t="shared" si="741"/>
        <v>5149800.0000001397</v>
      </c>
      <c r="AQ556">
        <f t="shared" si="742"/>
        <v>0</v>
      </c>
      <c r="AR556" s="13">
        <f t="shared" si="743"/>
        <v>5149800.0000001397</v>
      </c>
      <c r="AS556" s="112">
        <f t="shared" si="744"/>
        <v>1E-10</v>
      </c>
    </row>
    <row r="557" spans="17:45" x14ac:dyDescent="0.25">
      <c r="Q557" s="127">
        <v>45284.25</v>
      </c>
      <c r="R557">
        <v>0</v>
      </c>
      <c r="S557" s="13">
        <f t="shared" si="740"/>
        <v>5158800.0000001397</v>
      </c>
      <c r="T557">
        <f t="shared" si="737"/>
        <v>0</v>
      </c>
      <c r="U557" s="13">
        <f t="shared" si="738"/>
        <v>5158800.0000001397</v>
      </c>
      <c r="V557" s="112">
        <f t="shared" si="739"/>
        <v>1E-10</v>
      </c>
      <c r="AN557" s="127">
        <v>45284.25</v>
      </c>
      <c r="AO557">
        <v>0</v>
      </c>
      <c r="AP557" s="13">
        <f t="shared" si="741"/>
        <v>5158800.0000001397</v>
      </c>
      <c r="AQ557">
        <f t="shared" si="742"/>
        <v>0</v>
      </c>
      <c r="AR557" s="13">
        <f t="shared" si="743"/>
        <v>5158800.0000001397</v>
      </c>
      <c r="AS557" s="112">
        <f t="shared" si="744"/>
        <v>1E-10</v>
      </c>
    </row>
    <row r="558" spans="17:45" x14ac:dyDescent="0.25">
      <c r="Q558" s="127">
        <v>45284.354166666657</v>
      </c>
      <c r="R558">
        <v>0</v>
      </c>
      <c r="S558" s="13">
        <f t="shared" si="740"/>
        <v>5167800.0000001397</v>
      </c>
      <c r="T558">
        <f t="shared" si="737"/>
        <v>0</v>
      </c>
      <c r="U558" s="13">
        <f t="shared" si="738"/>
        <v>5167800.0000001397</v>
      </c>
      <c r="V558" s="112">
        <f t="shared" si="739"/>
        <v>1E-10</v>
      </c>
      <c r="AN558" s="127">
        <v>45284.354166666657</v>
      </c>
      <c r="AO558">
        <v>0</v>
      </c>
      <c r="AP558" s="13">
        <f t="shared" si="741"/>
        <v>5167800.0000001397</v>
      </c>
      <c r="AQ558">
        <f t="shared" si="742"/>
        <v>0</v>
      </c>
      <c r="AR558" s="13">
        <f t="shared" si="743"/>
        <v>5167800.0000001397</v>
      </c>
      <c r="AS558" s="112">
        <f t="shared" si="744"/>
        <v>1E-10</v>
      </c>
    </row>
    <row r="559" spans="17:45" x14ac:dyDescent="0.25">
      <c r="Q559" s="127">
        <v>45284.458333333343</v>
      </c>
      <c r="R559">
        <v>0</v>
      </c>
      <c r="S559" s="13">
        <f t="shared" si="740"/>
        <v>5176800.0000001397</v>
      </c>
      <c r="T559">
        <f t="shared" si="737"/>
        <v>0</v>
      </c>
      <c r="U559" s="13">
        <f t="shared" si="738"/>
        <v>5176800.0000001397</v>
      </c>
      <c r="V559" s="112">
        <f t="shared" si="739"/>
        <v>1E-10</v>
      </c>
      <c r="AN559" s="127">
        <v>45284.458333333343</v>
      </c>
      <c r="AO559">
        <v>0</v>
      </c>
      <c r="AP559" s="13">
        <f t="shared" si="741"/>
        <v>5176800.0000001397</v>
      </c>
      <c r="AQ559">
        <f t="shared" si="742"/>
        <v>0</v>
      </c>
      <c r="AR559" s="13">
        <f t="shared" si="743"/>
        <v>5176800.0000001397</v>
      </c>
      <c r="AS559" s="112">
        <f t="shared" si="744"/>
        <v>1E-10</v>
      </c>
    </row>
    <row r="560" spans="17:45" x14ac:dyDescent="0.25">
      <c r="Q560" s="127">
        <v>45284.5625</v>
      </c>
      <c r="R560">
        <v>0</v>
      </c>
      <c r="S560" s="13">
        <f t="shared" si="740"/>
        <v>5185800.0000001397</v>
      </c>
      <c r="T560">
        <f t="shared" si="737"/>
        <v>0</v>
      </c>
      <c r="U560" s="13">
        <f t="shared" si="738"/>
        <v>5185800.0000001397</v>
      </c>
      <c r="V560" s="112">
        <f t="shared" si="739"/>
        <v>1E-10</v>
      </c>
      <c r="AN560" s="127">
        <v>45284.5625</v>
      </c>
      <c r="AO560">
        <v>0</v>
      </c>
      <c r="AP560" s="13">
        <f t="shared" si="741"/>
        <v>5185800.0000001397</v>
      </c>
      <c r="AQ560">
        <f t="shared" si="742"/>
        <v>0</v>
      </c>
      <c r="AR560" s="13">
        <f t="shared" si="743"/>
        <v>5185800.0000001397</v>
      </c>
      <c r="AS560" s="112">
        <f t="shared" si="744"/>
        <v>1E-10</v>
      </c>
    </row>
    <row r="561" spans="17:45" x14ac:dyDescent="0.25">
      <c r="Q561" s="127">
        <v>45284.666666666657</v>
      </c>
      <c r="R561">
        <v>0</v>
      </c>
      <c r="S561" s="13">
        <f t="shared" si="740"/>
        <v>5194800.0000001397</v>
      </c>
      <c r="T561">
        <f t="shared" si="737"/>
        <v>0</v>
      </c>
      <c r="U561" s="13">
        <f t="shared" si="738"/>
        <v>5194800.0000001397</v>
      </c>
      <c r="V561" s="112">
        <f t="shared" si="739"/>
        <v>1E-10</v>
      </c>
      <c r="AN561" s="127">
        <v>45284.666666666657</v>
      </c>
      <c r="AO561">
        <v>0</v>
      </c>
      <c r="AP561" s="13">
        <f t="shared" si="741"/>
        <v>5194800.0000001397</v>
      </c>
      <c r="AQ561">
        <f t="shared" si="742"/>
        <v>0</v>
      </c>
      <c r="AR561" s="13">
        <f t="shared" si="743"/>
        <v>5194800.0000001397</v>
      </c>
      <c r="AS561" s="112">
        <f t="shared" si="744"/>
        <v>1E-10</v>
      </c>
    </row>
    <row r="562" spans="17:45" x14ac:dyDescent="0.25">
      <c r="Q562" s="127">
        <v>45284.770833333343</v>
      </c>
      <c r="R562">
        <v>0</v>
      </c>
      <c r="S562" s="13">
        <f t="shared" si="740"/>
        <v>5203800.0000001397</v>
      </c>
      <c r="T562">
        <f t="shared" si="737"/>
        <v>0</v>
      </c>
      <c r="U562" s="13">
        <f t="shared" si="738"/>
        <v>5203800.0000001397</v>
      </c>
      <c r="V562" s="112">
        <f t="shared" si="739"/>
        <v>1E-10</v>
      </c>
      <c r="AN562" s="127">
        <v>45284.770833333343</v>
      </c>
      <c r="AO562">
        <v>0</v>
      </c>
      <c r="AP562" s="13">
        <f t="shared" si="741"/>
        <v>5203800.0000001397</v>
      </c>
      <c r="AQ562">
        <f t="shared" si="742"/>
        <v>0</v>
      </c>
      <c r="AR562" s="13">
        <f t="shared" si="743"/>
        <v>5203800.0000001397</v>
      </c>
      <c r="AS562" s="112">
        <f t="shared" si="744"/>
        <v>1E-10</v>
      </c>
    </row>
    <row r="563" spans="17:45" x14ac:dyDescent="0.25">
      <c r="Q563" s="127">
        <v>45284.875</v>
      </c>
      <c r="R563">
        <v>0</v>
      </c>
      <c r="S563" s="13">
        <f t="shared" si="740"/>
        <v>5212800.0000001397</v>
      </c>
      <c r="T563">
        <f t="shared" si="737"/>
        <v>0</v>
      </c>
      <c r="U563" s="13">
        <f t="shared" si="738"/>
        <v>5212800.0000001397</v>
      </c>
      <c r="V563" s="112">
        <f t="shared" si="739"/>
        <v>1E-10</v>
      </c>
      <c r="AN563" s="127">
        <v>45284.875</v>
      </c>
      <c r="AO563">
        <v>0</v>
      </c>
      <c r="AP563" s="13">
        <f t="shared" si="741"/>
        <v>5212800.0000001397</v>
      </c>
      <c r="AQ563">
        <f t="shared" si="742"/>
        <v>0</v>
      </c>
      <c r="AR563" s="13">
        <f t="shared" si="743"/>
        <v>5212800.0000001397</v>
      </c>
      <c r="AS563" s="112">
        <f t="shared" si="744"/>
        <v>1E-10</v>
      </c>
    </row>
    <row r="564" spans="17:45" x14ac:dyDescent="0.25">
      <c r="Q564" s="127">
        <v>45284.979166666657</v>
      </c>
      <c r="R564">
        <v>0</v>
      </c>
      <c r="S564" s="13">
        <f t="shared" si="740"/>
        <v>5221800.0000001397</v>
      </c>
      <c r="T564">
        <f t="shared" si="737"/>
        <v>0</v>
      </c>
      <c r="U564" s="13">
        <f t="shared" si="738"/>
        <v>5221800.0000001397</v>
      </c>
      <c r="V564" s="112">
        <f t="shared" si="739"/>
        <v>1E-10</v>
      </c>
      <c r="AN564" s="127">
        <v>45284.979166666657</v>
      </c>
      <c r="AO564">
        <v>0</v>
      </c>
      <c r="AP564" s="13">
        <f t="shared" si="741"/>
        <v>5221800.0000001397</v>
      </c>
      <c r="AQ564">
        <f t="shared" si="742"/>
        <v>0</v>
      </c>
      <c r="AR564" s="13">
        <f t="shared" si="743"/>
        <v>5221800.0000001397</v>
      </c>
      <c r="AS564" s="112">
        <f t="shared" si="744"/>
        <v>1E-10</v>
      </c>
    </row>
    <row r="565" spans="17:45" x14ac:dyDescent="0.25">
      <c r="Q565" s="127">
        <v>45285.083333333343</v>
      </c>
      <c r="R565">
        <v>0</v>
      </c>
      <c r="S565" s="13">
        <f t="shared" si="740"/>
        <v>5230800.0000001397</v>
      </c>
      <c r="T565">
        <f t="shared" si="737"/>
        <v>0</v>
      </c>
      <c r="U565" s="13">
        <f t="shared" si="738"/>
        <v>5230800.0000001397</v>
      </c>
      <c r="V565" s="112">
        <f t="shared" si="739"/>
        <v>1E-10</v>
      </c>
      <c r="AN565" s="127">
        <v>45285.083333333343</v>
      </c>
      <c r="AO565">
        <v>0</v>
      </c>
      <c r="AP565" s="13">
        <f t="shared" si="741"/>
        <v>5230800.0000001397</v>
      </c>
      <c r="AQ565">
        <f t="shared" si="742"/>
        <v>0</v>
      </c>
      <c r="AR565" s="13">
        <f t="shared" si="743"/>
        <v>5230800.0000001397</v>
      </c>
      <c r="AS565" s="112">
        <f t="shared" si="744"/>
        <v>1E-10</v>
      </c>
    </row>
    <row r="566" spans="17:45" x14ac:dyDescent="0.25">
      <c r="Q566" s="127">
        <v>45285.1875</v>
      </c>
      <c r="R566">
        <v>0</v>
      </c>
      <c r="S566" s="13">
        <f t="shared" si="740"/>
        <v>5239800.0000001397</v>
      </c>
      <c r="T566">
        <f t="shared" si="737"/>
        <v>0</v>
      </c>
      <c r="U566" s="13">
        <f t="shared" si="738"/>
        <v>5239800.0000001397</v>
      </c>
      <c r="V566" s="112">
        <f t="shared" si="739"/>
        <v>1E-10</v>
      </c>
      <c r="AN566" s="127">
        <v>45285.1875</v>
      </c>
      <c r="AO566">
        <v>0</v>
      </c>
      <c r="AP566" s="13">
        <f t="shared" si="741"/>
        <v>5239800.0000001397</v>
      </c>
      <c r="AQ566">
        <f t="shared" si="742"/>
        <v>0</v>
      </c>
      <c r="AR566" s="13">
        <f t="shared" si="743"/>
        <v>5239800.0000001397</v>
      </c>
      <c r="AS566" s="112">
        <f t="shared" si="744"/>
        <v>1E-10</v>
      </c>
    </row>
    <row r="567" spans="17:45" x14ac:dyDescent="0.25">
      <c r="Q567" s="127">
        <v>45285.291666666657</v>
      </c>
      <c r="R567">
        <v>0</v>
      </c>
      <c r="S567" s="13">
        <f t="shared" si="740"/>
        <v>5248800.0000001397</v>
      </c>
      <c r="T567">
        <f t="shared" si="737"/>
        <v>0</v>
      </c>
      <c r="U567" s="13">
        <f t="shared" si="738"/>
        <v>5248800.0000001397</v>
      </c>
      <c r="V567" s="112">
        <f t="shared" si="739"/>
        <v>1E-10</v>
      </c>
      <c r="AN567" s="127">
        <v>45285.291666666657</v>
      </c>
      <c r="AO567">
        <v>0</v>
      </c>
      <c r="AP567" s="13">
        <f t="shared" si="741"/>
        <v>5248800.0000001397</v>
      </c>
      <c r="AQ567">
        <f t="shared" si="742"/>
        <v>0</v>
      </c>
      <c r="AR567" s="13">
        <f t="shared" si="743"/>
        <v>5248800.0000001397</v>
      </c>
      <c r="AS567" s="112">
        <f t="shared" si="744"/>
        <v>1E-10</v>
      </c>
    </row>
    <row r="568" spans="17:45" x14ac:dyDescent="0.25">
      <c r="Q568" s="127">
        <v>45285.395833333343</v>
      </c>
      <c r="R568">
        <v>0</v>
      </c>
      <c r="S568" s="13">
        <f t="shared" si="740"/>
        <v>5257800.0000001397</v>
      </c>
      <c r="T568">
        <f t="shared" si="737"/>
        <v>0</v>
      </c>
      <c r="U568" s="13">
        <f t="shared" si="738"/>
        <v>5257800.0000001397</v>
      </c>
      <c r="V568" s="112">
        <f t="shared" si="739"/>
        <v>1E-10</v>
      </c>
      <c r="AN568" s="127">
        <v>45285.395833333343</v>
      </c>
      <c r="AO568">
        <v>0</v>
      </c>
      <c r="AP568" s="13">
        <f t="shared" si="741"/>
        <v>5257800.0000001397</v>
      </c>
      <c r="AQ568">
        <f t="shared" si="742"/>
        <v>0</v>
      </c>
      <c r="AR568" s="13">
        <f t="shared" si="743"/>
        <v>5257800.0000001397</v>
      </c>
      <c r="AS568" s="112">
        <f t="shared" si="744"/>
        <v>1E-10</v>
      </c>
    </row>
    <row r="569" spans="17:45" x14ac:dyDescent="0.25">
      <c r="Q569" s="127">
        <v>45285.5</v>
      </c>
      <c r="R569">
        <v>0</v>
      </c>
      <c r="S569" s="13">
        <f t="shared" si="740"/>
        <v>5266800.0000001397</v>
      </c>
      <c r="T569">
        <f t="shared" si="737"/>
        <v>0</v>
      </c>
      <c r="U569" s="13">
        <f t="shared" si="738"/>
        <v>5266800.0000001397</v>
      </c>
      <c r="V569" s="112">
        <f t="shared" si="739"/>
        <v>1E-10</v>
      </c>
      <c r="AN569" s="127">
        <v>45285.5</v>
      </c>
      <c r="AO569">
        <v>0</v>
      </c>
      <c r="AP569" s="13">
        <f t="shared" si="741"/>
        <v>5266800.0000001397</v>
      </c>
      <c r="AQ569">
        <f t="shared" si="742"/>
        <v>0</v>
      </c>
      <c r="AR569" s="13">
        <f t="shared" si="743"/>
        <v>5266800.0000001397</v>
      </c>
      <c r="AS569" s="112">
        <f t="shared" si="744"/>
        <v>1E-10</v>
      </c>
    </row>
    <row r="570" spans="17:45" x14ac:dyDescent="0.25">
      <c r="Q570" s="127">
        <v>45285.604166666657</v>
      </c>
      <c r="R570">
        <v>0</v>
      </c>
      <c r="S570" s="13">
        <f t="shared" si="740"/>
        <v>5275800.0000001397</v>
      </c>
      <c r="T570">
        <f t="shared" si="737"/>
        <v>0</v>
      </c>
      <c r="U570" s="13">
        <f t="shared" si="738"/>
        <v>5275800.0000001397</v>
      </c>
      <c r="V570" s="112">
        <f t="shared" si="739"/>
        <v>1E-10</v>
      </c>
      <c r="AN570" s="127">
        <v>45285.604166666657</v>
      </c>
      <c r="AO570">
        <v>0</v>
      </c>
      <c r="AP570" s="13">
        <f t="shared" si="741"/>
        <v>5275800.0000001397</v>
      </c>
      <c r="AQ570">
        <f t="shared" si="742"/>
        <v>0</v>
      </c>
      <c r="AR570" s="13">
        <f t="shared" si="743"/>
        <v>5275800.0000001397</v>
      </c>
      <c r="AS570" s="112">
        <f t="shared" si="744"/>
        <v>1E-10</v>
      </c>
    </row>
    <row r="571" spans="17:45" x14ac:dyDescent="0.25">
      <c r="Q571" s="127">
        <v>45285.708333333343</v>
      </c>
      <c r="R571">
        <v>0</v>
      </c>
      <c r="S571" s="13">
        <f t="shared" si="740"/>
        <v>5284800.0000001397</v>
      </c>
      <c r="T571">
        <f t="shared" si="737"/>
        <v>0</v>
      </c>
      <c r="U571" s="13">
        <f t="shared" si="738"/>
        <v>5284800.0000001397</v>
      </c>
      <c r="V571" s="112">
        <f t="shared" si="739"/>
        <v>1E-10</v>
      </c>
      <c r="AN571" s="127">
        <v>45285.708333333343</v>
      </c>
      <c r="AO571">
        <v>0</v>
      </c>
      <c r="AP571" s="13">
        <f t="shared" si="741"/>
        <v>5284800.0000001397</v>
      </c>
      <c r="AQ571">
        <f t="shared" si="742"/>
        <v>0</v>
      </c>
      <c r="AR571" s="13">
        <f t="shared" si="743"/>
        <v>5284800.0000001397</v>
      </c>
      <c r="AS571" s="112">
        <f t="shared" si="744"/>
        <v>1E-10</v>
      </c>
    </row>
    <row r="572" spans="17:45" x14ac:dyDescent="0.25">
      <c r="Q572" s="127">
        <v>45285.8125</v>
      </c>
      <c r="R572">
        <v>0</v>
      </c>
      <c r="S572" s="13">
        <f t="shared" si="740"/>
        <v>5293800.0000001397</v>
      </c>
      <c r="T572">
        <f t="shared" si="737"/>
        <v>0</v>
      </c>
      <c r="U572" s="13">
        <f t="shared" si="738"/>
        <v>5293800.0000001397</v>
      </c>
      <c r="V572" s="112">
        <f t="shared" si="739"/>
        <v>1E-10</v>
      </c>
      <c r="AN572" s="127">
        <v>45285.8125</v>
      </c>
      <c r="AO572">
        <v>0</v>
      </c>
      <c r="AP572" s="13">
        <f t="shared" si="741"/>
        <v>5293800.0000001397</v>
      </c>
      <c r="AQ572">
        <f t="shared" si="742"/>
        <v>0</v>
      </c>
      <c r="AR572" s="13">
        <f t="shared" si="743"/>
        <v>5293800.0000001397</v>
      </c>
      <c r="AS572" s="112">
        <f t="shared" si="744"/>
        <v>1E-10</v>
      </c>
    </row>
    <row r="573" spans="17:45" x14ac:dyDescent="0.25">
      <c r="Q573" s="127">
        <v>45285.916666666657</v>
      </c>
      <c r="R573">
        <v>0</v>
      </c>
      <c r="S573" s="13">
        <f t="shared" si="740"/>
        <v>5302800.0000001397</v>
      </c>
      <c r="T573">
        <f t="shared" si="737"/>
        <v>0</v>
      </c>
      <c r="U573" s="13">
        <f t="shared" si="738"/>
        <v>5302800.0000001397</v>
      </c>
      <c r="V573" s="112">
        <f t="shared" si="739"/>
        <v>1E-10</v>
      </c>
      <c r="AN573" s="127">
        <v>45285.916666666657</v>
      </c>
      <c r="AO573">
        <v>0</v>
      </c>
      <c r="AP573" s="13">
        <f t="shared" si="741"/>
        <v>5302800.0000001397</v>
      </c>
      <c r="AQ573">
        <f t="shared" si="742"/>
        <v>0</v>
      </c>
      <c r="AR573" s="13">
        <f t="shared" si="743"/>
        <v>5302800.0000001397</v>
      </c>
      <c r="AS573" s="112">
        <f t="shared" si="744"/>
        <v>1E-10</v>
      </c>
    </row>
    <row r="574" spans="17:45" x14ac:dyDescent="0.25">
      <c r="Q574" s="127">
        <v>45286.020833333343</v>
      </c>
      <c r="R574">
        <v>0</v>
      </c>
      <c r="S574" s="13">
        <f t="shared" si="740"/>
        <v>5311800.0000001397</v>
      </c>
      <c r="T574">
        <f t="shared" si="737"/>
        <v>0</v>
      </c>
      <c r="U574" s="13">
        <f t="shared" si="738"/>
        <v>5311800.0000001397</v>
      </c>
      <c r="V574" s="112">
        <f t="shared" si="739"/>
        <v>1E-10</v>
      </c>
      <c r="AN574" s="127">
        <v>45286.020833333343</v>
      </c>
      <c r="AO574">
        <v>0</v>
      </c>
      <c r="AP574" s="13">
        <f t="shared" si="741"/>
        <v>5311800.0000001397</v>
      </c>
      <c r="AQ574">
        <f t="shared" si="742"/>
        <v>0</v>
      </c>
      <c r="AR574" s="13">
        <f t="shared" si="743"/>
        <v>5311800.0000001397</v>
      </c>
      <c r="AS574" s="112">
        <f t="shared" si="744"/>
        <v>1E-10</v>
      </c>
    </row>
    <row r="575" spans="17:45" x14ac:dyDescent="0.25">
      <c r="Q575" s="127">
        <v>45286.125</v>
      </c>
      <c r="R575">
        <v>0</v>
      </c>
      <c r="S575" s="13">
        <f t="shared" si="740"/>
        <v>5320800.0000001397</v>
      </c>
      <c r="T575">
        <f t="shared" si="737"/>
        <v>0</v>
      </c>
      <c r="U575" s="13">
        <f t="shared" si="738"/>
        <v>5320800.0000001397</v>
      </c>
      <c r="V575" s="112">
        <f t="shared" si="739"/>
        <v>1E-10</v>
      </c>
      <c r="AN575" s="127">
        <v>45286.125</v>
      </c>
      <c r="AO575">
        <v>0</v>
      </c>
      <c r="AP575" s="13">
        <f t="shared" si="741"/>
        <v>5320800.0000001397</v>
      </c>
      <c r="AQ575">
        <f t="shared" si="742"/>
        <v>0</v>
      </c>
      <c r="AR575" s="13">
        <f t="shared" si="743"/>
        <v>5320800.0000001397</v>
      </c>
      <c r="AS575" s="112">
        <f t="shared" si="744"/>
        <v>1E-10</v>
      </c>
    </row>
    <row r="576" spans="17:45" x14ac:dyDescent="0.25">
      <c r="Q576" s="127">
        <v>45286.229166666657</v>
      </c>
      <c r="R576">
        <v>0</v>
      </c>
      <c r="S576" s="13">
        <f t="shared" si="740"/>
        <v>5329800.0000001397</v>
      </c>
      <c r="T576">
        <f t="shared" si="737"/>
        <v>0</v>
      </c>
      <c r="U576" s="13">
        <f t="shared" si="738"/>
        <v>5329800.0000001397</v>
      </c>
      <c r="V576" s="112">
        <f t="shared" si="739"/>
        <v>1E-10</v>
      </c>
      <c r="AN576" s="127">
        <v>45286.229166666657</v>
      </c>
      <c r="AO576">
        <v>0</v>
      </c>
      <c r="AP576" s="13">
        <f t="shared" si="741"/>
        <v>5329800.0000001397</v>
      </c>
      <c r="AQ576">
        <f t="shared" si="742"/>
        <v>0</v>
      </c>
      <c r="AR576" s="13">
        <f t="shared" si="743"/>
        <v>5329800.0000001397</v>
      </c>
      <c r="AS576" s="112">
        <f t="shared" si="744"/>
        <v>1E-10</v>
      </c>
    </row>
    <row r="577" spans="17:45" x14ac:dyDescent="0.25">
      <c r="Q577" s="127">
        <v>45286.333333333343</v>
      </c>
      <c r="R577">
        <v>0</v>
      </c>
      <c r="S577" s="13">
        <f t="shared" si="740"/>
        <v>5338800.0000001397</v>
      </c>
      <c r="T577">
        <f t="shared" si="737"/>
        <v>0</v>
      </c>
      <c r="U577" s="13">
        <f t="shared" si="738"/>
        <v>5338800.0000001397</v>
      </c>
      <c r="V577" s="112">
        <f t="shared" si="739"/>
        <v>1E-10</v>
      </c>
      <c r="AN577" s="127">
        <v>45286.333333333343</v>
      </c>
      <c r="AO577">
        <v>0</v>
      </c>
      <c r="AP577" s="13">
        <f t="shared" si="741"/>
        <v>5338800.0000001397</v>
      </c>
      <c r="AQ577">
        <f t="shared" si="742"/>
        <v>0</v>
      </c>
      <c r="AR577" s="13">
        <f t="shared" si="743"/>
        <v>5338800.0000001397</v>
      </c>
      <c r="AS577" s="112">
        <f t="shared" si="744"/>
        <v>1E-10</v>
      </c>
    </row>
    <row r="578" spans="17:45" x14ac:dyDescent="0.25">
      <c r="Q578" s="127">
        <v>45286.4375</v>
      </c>
      <c r="R578">
        <v>0</v>
      </c>
      <c r="S578" s="13">
        <f t="shared" si="740"/>
        <v>5347800.0000001397</v>
      </c>
      <c r="T578">
        <f t="shared" si="737"/>
        <v>0</v>
      </c>
      <c r="U578" s="13">
        <f t="shared" si="738"/>
        <v>5347800.0000001397</v>
      </c>
      <c r="V578" s="112">
        <f t="shared" si="739"/>
        <v>1E-10</v>
      </c>
      <c r="AN578" s="127">
        <v>45286.4375</v>
      </c>
      <c r="AO578">
        <v>0</v>
      </c>
      <c r="AP578" s="13">
        <f t="shared" si="741"/>
        <v>5347800.0000001397</v>
      </c>
      <c r="AQ578">
        <f t="shared" si="742"/>
        <v>0</v>
      </c>
      <c r="AR578" s="13">
        <f t="shared" si="743"/>
        <v>5347800.0000001397</v>
      </c>
      <c r="AS578" s="112">
        <f t="shared" si="744"/>
        <v>1E-10</v>
      </c>
    </row>
    <row r="579" spans="17:45" x14ac:dyDescent="0.25">
      <c r="Q579" s="127">
        <v>45286.541666666657</v>
      </c>
      <c r="R579">
        <v>0</v>
      </c>
      <c r="S579" s="13">
        <f t="shared" si="740"/>
        <v>5356800.0000001397</v>
      </c>
      <c r="T579">
        <f t="shared" ref="T579:T642" si="745">R579*96</f>
        <v>0</v>
      </c>
      <c r="U579" s="13">
        <f t="shared" ref="U579:U642" si="746">S579</f>
        <v>5356800.0000001397</v>
      </c>
      <c r="V579" s="112">
        <f t="shared" ref="V579:V642" si="747">IF(T579=0,0.0000000001,T579)</f>
        <v>1E-10</v>
      </c>
      <c r="AN579" s="127">
        <v>45286.541666666657</v>
      </c>
      <c r="AO579">
        <v>0</v>
      </c>
      <c r="AP579" s="13">
        <f t="shared" si="741"/>
        <v>5356800.0000001397</v>
      </c>
      <c r="AQ579">
        <f t="shared" si="742"/>
        <v>0</v>
      </c>
      <c r="AR579" s="13">
        <f t="shared" si="743"/>
        <v>5356800.0000001397</v>
      </c>
      <c r="AS579" s="112">
        <f t="shared" si="744"/>
        <v>1E-10</v>
      </c>
    </row>
    <row r="580" spans="17:45" x14ac:dyDescent="0.25">
      <c r="Q580" s="127">
        <v>45286.645833333343</v>
      </c>
      <c r="R580">
        <v>0</v>
      </c>
      <c r="S580" s="13">
        <f t="shared" ref="S580:S643" si="748">S579+150*60</f>
        <v>5365800.0000001397</v>
      </c>
      <c r="T580">
        <f t="shared" si="745"/>
        <v>0</v>
      </c>
      <c r="U580" s="13">
        <f t="shared" si="746"/>
        <v>5365800.0000001397</v>
      </c>
      <c r="V580" s="112">
        <f t="shared" si="747"/>
        <v>1E-10</v>
      </c>
      <c r="AN580" s="127">
        <v>45286.645833333343</v>
      </c>
      <c r="AO580">
        <v>0</v>
      </c>
      <c r="AP580" s="13">
        <f t="shared" ref="AP580:AP643" si="749">AP579+150*60</f>
        <v>5365800.0000001397</v>
      </c>
      <c r="AQ580">
        <f t="shared" si="742"/>
        <v>0</v>
      </c>
      <c r="AR580" s="13">
        <f t="shared" si="743"/>
        <v>5365800.0000001397</v>
      </c>
      <c r="AS580" s="112">
        <f t="shared" si="744"/>
        <v>1E-10</v>
      </c>
    </row>
    <row r="581" spans="17:45" x14ac:dyDescent="0.25">
      <c r="Q581" s="127">
        <v>45286.75</v>
      </c>
      <c r="R581">
        <v>0</v>
      </c>
      <c r="S581" s="13">
        <f t="shared" si="748"/>
        <v>5374800.0000001397</v>
      </c>
      <c r="T581">
        <f t="shared" si="745"/>
        <v>0</v>
      </c>
      <c r="U581" s="13">
        <f t="shared" si="746"/>
        <v>5374800.0000001397</v>
      </c>
      <c r="V581" s="112">
        <f t="shared" si="747"/>
        <v>1E-10</v>
      </c>
      <c r="AN581" s="127">
        <v>45286.75</v>
      </c>
      <c r="AO581">
        <v>0</v>
      </c>
      <c r="AP581" s="13">
        <f t="shared" si="749"/>
        <v>5374800.0000001397</v>
      </c>
      <c r="AQ581">
        <f t="shared" si="742"/>
        <v>0</v>
      </c>
      <c r="AR581" s="13">
        <f t="shared" si="743"/>
        <v>5374800.0000001397</v>
      </c>
      <c r="AS581" s="112">
        <f t="shared" si="744"/>
        <v>1E-10</v>
      </c>
    </row>
    <row r="582" spans="17:45" x14ac:dyDescent="0.25">
      <c r="Q582" s="127">
        <v>45286.854166666657</v>
      </c>
      <c r="R582">
        <v>0</v>
      </c>
      <c r="S582" s="13">
        <f t="shared" si="748"/>
        <v>5383800.0000001397</v>
      </c>
      <c r="T582">
        <f t="shared" si="745"/>
        <v>0</v>
      </c>
      <c r="U582" s="13">
        <f t="shared" si="746"/>
        <v>5383800.0000001397</v>
      </c>
      <c r="V582" s="112">
        <f t="shared" si="747"/>
        <v>1E-10</v>
      </c>
      <c r="AN582" s="127">
        <v>45286.854166666657</v>
      </c>
      <c r="AO582">
        <v>0</v>
      </c>
      <c r="AP582" s="13">
        <f t="shared" si="749"/>
        <v>5383800.0000001397</v>
      </c>
      <c r="AQ582">
        <f t="shared" si="742"/>
        <v>0</v>
      </c>
      <c r="AR582" s="13">
        <f t="shared" si="743"/>
        <v>5383800.0000001397</v>
      </c>
      <c r="AS582" s="112">
        <f t="shared" si="744"/>
        <v>1E-10</v>
      </c>
    </row>
    <row r="583" spans="17:45" x14ac:dyDescent="0.25">
      <c r="Q583" s="127">
        <v>45286.958333333343</v>
      </c>
      <c r="R583">
        <v>0</v>
      </c>
      <c r="S583" s="13">
        <f t="shared" si="748"/>
        <v>5392800.0000001397</v>
      </c>
      <c r="T583">
        <f t="shared" si="745"/>
        <v>0</v>
      </c>
      <c r="U583" s="13">
        <f t="shared" si="746"/>
        <v>5392800.0000001397</v>
      </c>
      <c r="V583" s="112">
        <f t="shared" si="747"/>
        <v>1E-10</v>
      </c>
      <c r="AN583" s="127">
        <v>45286.958333333343</v>
      </c>
      <c r="AO583">
        <v>0</v>
      </c>
      <c r="AP583" s="13">
        <f t="shared" si="749"/>
        <v>5392800.0000001397</v>
      </c>
      <c r="AQ583">
        <f t="shared" si="742"/>
        <v>0</v>
      </c>
      <c r="AR583" s="13">
        <f t="shared" si="743"/>
        <v>5392800.0000001397</v>
      </c>
      <c r="AS583" s="112">
        <f t="shared" si="744"/>
        <v>1E-10</v>
      </c>
    </row>
    <row r="584" spans="17:45" x14ac:dyDescent="0.25">
      <c r="Q584" s="127">
        <v>45287.0625</v>
      </c>
      <c r="R584">
        <v>0</v>
      </c>
      <c r="S584" s="13">
        <f t="shared" si="748"/>
        <v>5401800.0000001397</v>
      </c>
      <c r="T584">
        <f t="shared" si="745"/>
        <v>0</v>
      </c>
      <c r="U584" s="13">
        <f t="shared" si="746"/>
        <v>5401800.0000001397</v>
      </c>
      <c r="V584" s="112">
        <f t="shared" si="747"/>
        <v>1E-10</v>
      </c>
      <c r="AN584" s="127">
        <v>45287.0625</v>
      </c>
      <c r="AO584">
        <v>0</v>
      </c>
      <c r="AP584" s="13">
        <f t="shared" si="749"/>
        <v>5401800.0000001397</v>
      </c>
      <c r="AQ584">
        <f t="shared" si="742"/>
        <v>0</v>
      </c>
      <c r="AR584" s="13">
        <f t="shared" si="743"/>
        <v>5401800.0000001397</v>
      </c>
      <c r="AS584" s="112">
        <f t="shared" si="744"/>
        <v>1E-10</v>
      </c>
    </row>
    <row r="585" spans="17:45" x14ac:dyDescent="0.25">
      <c r="Q585" s="127">
        <v>45287.166666666657</v>
      </c>
      <c r="R585">
        <v>0</v>
      </c>
      <c r="S585" s="13">
        <f t="shared" si="748"/>
        <v>5410800.0000001397</v>
      </c>
      <c r="T585">
        <f t="shared" si="745"/>
        <v>0</v>
      </c>
      <c r="U585" s="13">
        <f t="shared" si="746"/>
        <v>5410800.0000001397</v>
      </c>
      <c r="V585" s="112">
        <f t="shared" si="747"/>
        <v>1E-10</v>
      </c>
      <c r="AN585" s="127">
        <v>45287.166666666657</v>
      </c>
      <c r="AO585">
        <v>0</v>
      </c>
      <c r="AP585" s="13">
        <f t="shared" si="749"/>
        <v>5410800.0000001397</v>
      </c>
      <c r="AQ585">
        <f t="shared" si="742"/>
        <v>0</v>
      </c>
      <c r="AR585" s="13">
        <f t="shared" si="743"/>
        <v>5410800.0000001397</v>
      </c>
      <c r="AS585" s="112">
        <f t="shared" si="744"/>
        <v>1E-10</v>
      </c>
    </row>
    <row r="586" spans="17:45" x14ac:dyDescent="0.25">
      <c r="Q586" s="127">
        <v>45287.270833333343</v>
      </c>
      <c r="R586">
        <v>0</v>
      </c>
      <c r="S586" s="13">
        <f t="shared" si="748"/>
        <v>5419800.0000001397</v>
      </c>
      <c r="T586">
        <f t="shared" si="745"/>
        <v>0</v>
      </c>
      <c r="U586" s="13">
        <f t="shared" si="746"/>
        <v>5419800.0000001397</v>
      </c>
      <c r="V586" s="112">
        <f t="shared" si="747"/>
        <v>1E-10</v>
      </c>
      <c r="AN586" s="127">
        <v>45287.270833333343</v>
      </c>
      <c r="AO586">
        <v>0</v>
      </c>
      <c r="AP586" s="13">
        <f t="shared" si="749"/>
        <v>5419800.0000001397</v>
      </c>
      <c r="AQ586">
        <f t="shared" si="742"/>
        <v>0</v>
      </c>
      <c r="AR586" s="13">
        <f t="shared" si="743"/>
        <v>5419800.0000001397</v>
      </c>
      <c r="AS586" s="112">
        <f t="shared" si="744"/>
        <v>1E-10</v>
      </c>
    </row>
    <row r="587" spans="17:45" x14ac:dyDescent="0.25">
      <c r="Q587" s="127">
        <v>45287.375</v>
      </c>
      <c r="R587">
        <v>0</v>
      </c>
      <c r="S587" s="13">
        <f t="shared" si="748"/>
        <v>5428800.0000001397</v>
      </c>
      <c r="T587">
        <f t="shared" si="745"/>
        <v>0</v>
      </c>
      <c r="U587" s="13">
        <f t="shared" si="746"/>
        <v>5428800.0000001397</v>
      </c>
      <c r="V587" s="112">
        <f t="shared" si="747"/>
        <v>1E-10</v>
      </c>
      <c r="AN587" s="127">
        <v>45287.375</v>
      </c>
      <c r="AO587">
        <v>0</v>
      </c>
      <c r="AP587" s="13">
        <f t="shared" si="749"/>
        <v>5428800.0000001397</v>
      </c>
      <c r="AQ587">
        <f t="shared" si="742"/>
        <v>0</v>
      </c>
      <c r="AR587" s="13">
        <f t="shared" si="743"/>
        <v>5428800.0000001397</v>
      </c>
      <c r="AS587" s="112">
        <f t="shared" si="744"/>
        <v>1E-10</v>
      </c>
    </row>
    <row r="588" spans="17:45" x14ac:dyDescent="0.25">
      <c r="Q588" s="127">
        <v>45287.479166666657</v>
      </c>
      <c r="R588">
        <v>0</v>
      </c>
      <c r="S588" s="13">
        <f t="shared" si="748"/>
        <v>5437800.0000001397</v>
      </c>
      <c r="T588">
        <f t="shared" si="745"/>
        <v>0</v>
      </c>
      <c r="U588" s="13">
        <f t="shared" si="746"/>
        <v>5437800.0000001397</v>
      </c>
      <c r="V588" s="112">
        <f t="shared" si="747"/>
        <v>1E-10</v>
      </c>
      <c r="AN588" s="127">
        <v>45287.479166666657</v>
      </c>
      <c r="AO588">
        <v>0</v>
      </c>
      <c r="AP588" s="13">
        <f t="shared" si="749"/>
        <v>5437800.0000001397</v>
      </c>
      <c r="AQ588">
        <f t="shared" si="742"/>
        <v>0</v>
      </c>
      <c r="AR588" s="13">
        <f t="shared" si="743"/>
        <v>5437800.0000001397</v>
      </c>
      <c r="AS588" s="112">
        <f t="shared" si="744"/>
        <v>1E-10</v>
      </c>
    </row>
    <row r="589" spans="17:45" x14ac:dyDescent="0.25">
      <c r="Q589" s="127">
        <v>45287.583333333343</v>
      </c>
      <c r="R589">
        <v>0</v>
      </c>
      <c r="S589" s="13">
        <f t="shared" si="748"/>
        <v>5446800.0000001397</v>
      </c>
      <c r="T589">
        <f t="shared" si="745"/>
        <v>0</v>
      </c>
      <c r="U589" s="13">
        <f t="shared" si="746"/>
        <v>5446800.0000001397</v>
      </c>
      <c r="V589" s="112">
        <f t="shared" si="747"/>
        <v>1E-10</v>
      </c>
      <c r="AN589" s="127">
        <v>45287.583333333343</v>
      </c>
      <c r="AO589">
        <v>0</v>
      </c>
      <c r="AP589" s="13">
        <f t="shared" si="749"/>
        <v>5446800.0000001397</v>
      </c>
      <c r="AQ589">
        <f t="shared" si="742"/>
        <v>0</v>
      </c>
      <c r="AR589" s="13">
        <f t="shared" si="743"/>
        <v>5446800.0000001397</v>
      </c>
      <c r="AS589" s="112">
        <f t="shared" si="744"/>
        <v>1E-10</v>
      </c>
    </row>
    <row r="590" spans="17:45" x14ac:dyDescent="0.25">
      <c r="Q590" s="127">
        <v>45287.6875</v>
      </c>
      <c r="R590">
        <v>0</v>
      </c>
      <c r="S590" s="13">
        <f t="shared" si="748"/>
        <v>5455800.0000001397</v>
      </c>
      <c r="T590">
        <f t="shared" si="745"/>
        <v>0</v>
      </c>
      <c r="U590" s="13">
        <f t="shared" si="746"/>
        <v>5455800.0000001397</v>
      </c>
      <c r="V590" s="112">
        <f t="shared" si="747"/>
        <v>1E-10</v>
      </c>
      <c r="AN590" s="127">
        <v>45287.6875</v>
      </c>
      <c r="AO590">
        <v>0</v>
      </c>
      <c r="AP590" s="13">
        <f t="shared" si="749"/>
        <v>5455800.0000001397</v>
      </c>
      <c r="AQ590">
        <f t="shared" si="742"/>
        <v>0</v>
      </c>
      <c r="AR590" s="13">
        <f t="shared" si="743"/>
        <v>5455800.0000001397</v>
      </c>
      <c r="AS590" s="112">
        <f t="shared" si="744"/>
        <v>1E-10</v>
      </c>
    </row>
    <row r="591" spans="17:45" x14ac:dyDescent="0.25">
      <c r="Q591" s="127">
        <v>45287.791666666657</v>
      </c>
      <c r="R591">
        <v>0</v>
      </c>
      <c r="S591" s="13">
        <f t="shared" si="748"/>
        <v>5464800.0000001397</v>
      </c>
      <c r="T591">
        <f t="shared" si="745"/>
        <v>0</v>
      </c>
      <c r="U591" s="13">
        <f t="shared" si="746"/>
        <v>5464800.0000001397</v>
      </c>
      <c r="V591" s="112">
        <f t="shared" si="747"/>
        <v>1E-10</v>
      </c>
      <c r="AN591" s="127">
        <v>45287.791666666657</v>
      </c>
      <c r="AO591">
        <v>0</v>
      </c>
      <c r="AP591" s="13">
        <f t="shared" si="749"/>
        <v>5464800.0000001397</v>
      </c>
      <c r="AQ591">
        <f t="shared" si="742"/>
        <v>0</v>
      </c>
      <c r="AR591" s="13">
        <f t="shared" si="743"/>
        <v>5464800.0000001397</v>
      </c>
      <c r="AS591" s="112">
        <f t="shared" si="744"/>
        <v>1E-10</v>
      </c>
    </row>
    <row r="592" spans="17:45" x14ac:dyDescent="0.25">
      <c r="Q592" s="127">
        <v>45287.895833333343</v>
      </c>
      <c r="R592">
        <v>0</v>
      </c>
      <c r="S592" s="13">
        <f t="shared" si="748"/>
        <v>5473800.0000001397</v>
      </c>
      <c r="T592">
        <f t="shared" si="745"/>
        <v>0</v>
      </c>
      <c r="U592" s="13">
        <f t="shared" si="746"/>
        <v>5473800.0000001397</v>
      </c>
      <c r="V592" s="112">
        <f t="shared" si="747"/>
        <v>1E-10</v>
      </c>
      <c r="AN592" s="127">
        <v>45287.895833333343</v>
      </c>
      <c r="AO592">
        <v>0</v>
      </c>
      <c r="AP592" s="13">
        <f t="shared" si="749"/>
        <v>5473800.0000001397</v>
      </c>
      <c r="AQ592">
        <f t="shared" si="742"/>
        <v>0</v>
      </c>
      <c r="AR592" s="13">
        <f t="shared" si="743"/>
        <v>5473800.0000001397</v>
      </c>
      <c r="AS592" s="112">
        <f t="shared" si="744"/>
        <v>1E-10</v>
      </c>
    </row>
    <row r="593" spans="17:45" x14ac:dyDescent="0.25">
      <c r="Q593" s="127">
        <v>45288</v>
      </c>
      <c r="R593">
        <v>0</v>
      </c>
      <c r="S593" s="13">
        <f t="shared" si="748"/>
        <v>5482800.0000001397</v>
      </c>
      <c r="T593">
        <f t="shared" si="745"/>
        <v>0</v>
      </c>
      <c r="U593" s="13">
        <f t="shared" si="746"/>
        <v>5482800.0000001397</v>
      </c>
      <c r="V593" s="112">
        <f t="shared" si="747"/>
        <v>1E-10</v>
      </c>
      <c r="AN593" s="127">
        <v>45288</v>
      </c>
      <c r="AO593">
        <v>0</v>
      </c>
      <c r="AP593" s="13">
        <f t="shared" si="749"/>
        <v>5482800.0000001397</v>
      </c>
      <c r="AQ593">
        <f t="shared" si="742"/>
        <v>0</v>
      </c>
      <c r="AR593" s="13">
        <f t="shared" si="743"/>
        <v>5482800.0000001397</v>
      </c>
      <c r="AS593" s="112">
        <f t="shared" si="744"/>
        <v>1E-10</v>
      </c>
    </row>
    <row r="594" spans="17:45" x14ac:dyDescent="0.25">
      <c r="Q594" s="127">
        <v>45288.104166666657</v>
      </c>
      <c r="R594">
        <v>0</v>
      </c>
      <c r="S594" s="13">
        <f t="shared" si="748"/>
        <v>5491800.0000001397</v>
      </c>
      <c r="T594">
        <f t="shared" si="745"/>
        <v>0</v>
      </c>
      <c r="U594" s="13">
        <f t="shared" si="746"/>
        <v>5491800.0000001397</v>
      </c>
      <c r="V594" s="112">
        <f t="shared" si="747"/>
        <v>1E-10</v>
      </c>
      <c r="AN594" s="127">
        <v>45288.104166666657</v>
      </c>
      <c r="AO594">
        <v>0</v>
      </c>
      <c r="AP594" s="13">
        <f t="shared" si="749"/>
        <v>5491800.0000001397</v>
      </c>
      <c r="AQ594">
        <f t="shared" si="742"/>
        <v>0</v>
      </c>
      <c r="AR594" s="13">
        <f t="shared" si="743"/>
        <v>5491800.0000001397</v>
      </c>
      <c r="AS594" s="112">
        <f t="shared" si="744"/>
        <v>1E-10</v>
      </c>
    </row>
    <row r="595" spans="17:45" x14ac:dyDescent="0.25">
      <c r="Q595" s="127">
        <v>45288.208333333343</v>
      </c>
      <c r="R595">
        <v>0</v>
      </c>
      <c r="S595" s="13">
        <f t="shared" si="748"/>
        <v>5500800.0000001397</v>
      </c>
      <c r="T595">
        <f t="shared" si="745"/>
        <v>0</v>
      </c>
      <c r="U595" s="13">
        <f t="shared" si="746"/>
        <v>5500800.0000001397</v>
      </c>
      <c r="V595" s="112">
        <f t="shared" si="747"/>
        <v>1E-10</v>
      </c>
      <c r="AN595" s="127">
        <v>45288.208333333343</v>
      </c>
      <c r="AO595">
        <v>0</v>
      </c>
      <c r="AP595" s="13">
        <f t="shared" si="749"/>
        <v>5500800.0000001397</v>
      </c>
      <c r="AQ595">
        <f t="shared" si="742"/>
        <v>0</v>
      </c>
      <c r="AR595" s="13">
        <f t="shared" si="743"/>
        <v>5500800.0000001397</v>
      </c>
      <c r="AS595" s="112">
        <f t="shared" si="744"/>
        <v>1E-10</v>
      </c>
    </row>
    <row r="596" spans="17:45" x14ac:dyDescent="0.25">
      <c r="Q596" s="127">
        <v>45288.3125</v>
      </c>
      <c r="R596">
        <v>0</v>
      </c>
      <c r="S596" s="13">
        <f t="shared" si="748"/>
        <v>5509800.0000001397</v>
      </c>
      <c r="T596">
        <f t="shared" si="745"/>
        <v>0</v>
      </c>
      <c r="U596" s="13">
        <f t="shared" si="746"/>
        <v>5509800.0000001397</v>
      </c>
      <c r="V596" s="112">
        <f t="shared" si="747"/>
        <v>1E-10</v>
      </c>
      <c r="AN596" s="127">
        <v>45288.3125</v>
      </c>
      <c r="AO596">
        <v>0</v>
      </c>
      <c r="AP596" s="13">
        <f t="shared" si="749"/>
        <v>5509800.0000001397</v>
      </c>
      <c r="AQ596">
        <f t="shared" si="742"/>
        <v>0</v>
      </c>
      <c r="AR596" s="13">
        <f t="shared" si="743"/>
        <v>5509800.0000001397</v>
      </c>
      <c r="AS596" s="112">
        <f t="shared" si="744"/>
        <v>1E-10</v>
      </c>
    </row>
    <row r="597" spans="17:45" x14ac:dyDescent="0.25">
      <c r="Q597" s="127">
        <v>45288.416666666657</v>
      </c>
      <c r="R597">
        <v>0</v>
      </c>
      <c r="S597" s="13">
        <f t="shared" si="748"/>
        <v>5518800.0000001397</v>
      </c>
      <c r="T597">
        <f t="shared" si="745"/>
        <v>0</v>
      </c>
      <c r="U597" s="13">
        <f t="shared" si="746"/>
        <v>5518800.0000001397</v>
      </c>
      <c r="V597" s="112">
        <f t="shared" si="747"/>
        <v>1E-10</v>
      </c>
      <c r="AN597" s="127">
        <v>45288.416666666657</v>
      </c>
      <c r="AO597">
        <v>0</v>
      </c>
      <c r="AP597" s="13">
        <f t="shared" si="749"/>
        <v>5518800.0000001397</v>
      </c>
      <c r="AQ597">
        <f t="shared" si="742"/>
        <v>0</v>
      </c>
      <c r="AR597" s="13">
        <f t="shared" si="743"/>
        <v>5518800.0000001397</v>
      </c>
      <c r="AS597" s="112">
        <f t="shared" si="744"/>
        <v>1E-10</v>
      </c>
    </row>
    <row r="598" spans="17:45" x14ac:dyDescent="0.25">
      <c r="Q598" s="127">
        <v>45288.520833333343</v>
      </c>
      <c r="R598">
        <v>0</v>
      </c>
      <c r="S598" s="13">
        <f t="shared" si="748"/>
        <v>5527800.0000001397</v>
      </c>
      <c r="T598">
        <f t="shared" si="745"/>
        <v>0</v>
      </c>
      <c r="U598" s="13">
        <f t="shared" si="746"/>
        <v>5527800.0000001397</v>
      </c>
      <c r="V598" s="112">
        <f t="shared" si="747"/>
        <v>1E-10</v>
      </c>
      <c r="AN598" s="127">
        <v>45288.520833333343</v>
      </c>
      <c r="AO598">
        <v>0</v>
      </c>
      <c r="AP598" s="13">
        <f t="shared" si="749"/>
        <v>5527800.0000001397</v>
      </c>
      <c r="AQ598">
        <f t="shared" si="742"/>
        <v>0</v>
      </c>
      <c r="AR598" s="13">
        <f t="shared" si="743"/>
        <v>5527800.0000001397</v>
      </c>
      <c r="AS598" s="112">
        <f t="shared" si="744"/>
        <v>1E-10</v>
      </c>
    </row>
    <row r="599" spans="17:45" x14ac:dyDescent="0.25">
      <c r="Q599" s="127">
        <v>45288.625</v>
      </c>
      <c r="R599">
        <v>0</v>
      </c>
      <c r="S599" s="13">
        <f t="shared" si="748"/>
        <v>5536800.0000001397</v>
      </c>
      <c r="T599">
        <f t="shared" si="745"/>
        <v>0</v>
      </c>
      <c r="U599" s="13">
        <f t="shared" si="746"/>
        <v>5536800.0000001397</v>
      </c>
      <c r="V599" s="112">
        <f t="shared" si="747"/>
        <v>1E-10</v>
      </c>
      <c r="AN599" s="127">
        <v>45288.625</v>
      </c>
      <c r="AO599">
        <v>0</v>
      </c>
      <c r="AP599" s="13">
        <f t="shared" si="749"/>
        <v>5536800.0000001397</v>
      </c>
      <c r="AQ599">
        <f t="shared" si="742"/>
        <v>0</v>
      </c>
      <c r="AR599" s="13">
        <f t="shared" si="743"/>
        <v>5536800.0000001397</v>
      </c>
      <c r="AS599" s="112">
        <f t="shared" si="744"/>
        <v>1E-10</v>
      </c>
    </row>
    <row r="600" spans="17:45" x14ac:dyDescent="0.25">
      <c r="Q600" s="127">
        <v>45288.729166666657</v>
      </c>
      <c r="R600">
        <v>0</v>
      </c>
      <c r="S600" s="13">
        <f t="shared" si="748"/>
        <v>5545800.0000001397</v>
      </c>
      <c r="T600">
        <f t="shared" si="745"/>
        <v>0</v>
      </c>
      <c r="U600" s="13">
        <f t="shared" si="746"/>
        <v>5545800.0000001397</v>
      </c>
      <c r="V600" s="112">
        <f t="shared" si="747"/>
        <v>1E-10</v>
      </c>
      <c r="AN600" s="127">
        <v>45288.729166666657</v>
      </c>
      <c r="AO600">
        <v>0</v>
      </c>
      <c r="AP600" s="13">
        <f t="shared" si="749"/>
        <v>5545800.0000001397</v>
      </c>
      <c r="AQ600">
        <f t="shared" si="742"/>
        <v>0</v>
      </c>
      <c r="AR600" s="13">
        <f t="shared" si="743"/>
        <v>5545800.0000001397</v>
      </c>
      <c r="AS600" s="112">
        <f t="shared" si="744"/>
        <v>1E-10</v>
      </c>
    </row>
    <row r="601" spans="17:45" x14ac:dyDescent="0.25">
      <c r="Q601" s="127">
        <v>45288.833333333343</v>
      </c>
      <c r="R601">
        <v>0</v>
      </c>
      <c r="S601" s="13">
        <f t="shared" si="748"/>
        <v>5554800.0000001397</v>
      </c>
      <c r="T601">
        <f t="shared" si="745"/>
        <v>0</v>
      </c>
      <c r="U601" s="13">
        <f t="shared" si="746"/>
        <v>5554800.0000001397</v>
      </c>
      <c r="V601" s="112">
        <f t="shared" si="747"/>
        <v>1E-10</v>
      </c>
      <c r="AN601" s="127">
        <v>45288.833333333343</v>
      </c>
      <c r="AO601">
        <v>0</v>
      </c>
      <c r="AP601" s="13">
        <f t="shared" si="749"/>
        <v>5554800.0000001397</v>
      </c>
      <c r="AQ601">
        <f t="shared" si="742"/>
        <v>0</v>
      </c>
      <c r="AR601" s="13">
        <f t="shared" si="743"/>
        <v>5554800.0000001397</v>
      </c>
      <c r="AS601" s="112">
        <f t="shared" si="744"/>
        <v>1E-10</v>
      </c>
    </row>
    <row r="602" spans="17:45" x14ac:dyDescent="0.25">
      <c r="Q602" s="127">
        <v>45288.9375</v>
      </c>
      <c r="R602">
        <v>0</v>
      </c>
      <c r="S602" s="13">
        <f t="shared" si="748"/>
        <v>5563800.0000001397</v>
      </c>
      <c r="T602">
        <f t="shared" si="745"/>
        <v>0</v>
      </c>
      <c r="U602" s="13">
        <f t="shared" si="746"/>
        <v>5563800.0000001397</v>
      </c>
      <c r="V602" s="112">
        <f t="shared" si="747"/>
        <v>1E-10</v>
      </c>
      <c r="AN602" s="127">
        <v>45288.9375</v>
      </c>
      <c r="AO602">
        <v>0</v>
      </c>
      <c r="AP602" s="13">
        <f t="shared" si="749"/>
        <v>5563800.0000001397</v>
      </c>
      <c r="AQ602">
        <f t="shared" si="742"/>
        <v>0</v>
      </c>
      <c r="AR602" s="13">
        <f t="shared" si="743"/>
        <v>5563800.0000001397</v>
      </c>
      <c r="AS602" s="112">
        <f t="shared" si="744"/>
        <v>1E-10</v>
      </c>
    </row>
    <row r="603" spans="17:45" x14ac:dyDescent="0.25">
      <c r="Q603" s="127">
        <v>45289.041666666657</v>
      </c>
      <c r="R603">
        <v>0</v>
      </c>
      <c r="S603" s="13">
        <f t="shared" si="748"/>
        <v>5572800.0000001397</v>
      </c>
      <c r="T603">
        <f t="shared" si="745"/>
        <v>0</v>
      </c>
      <c r="U603" s="13">
        <f t="shared" si="746"/>
        <v>5572800.0000001397</v>
      </c>
      <c r="V603" s="112">
        <f t="shared" si="747"/>
        <v>1E-10</v>
      </c>
      <c r="AN603" s="127">
        <v>45289.041666666657</v>
      </c>
      <c r="AO603">
        <v>0</v>
      </c>
      <c r="AP603" s="13">
        <f t="shared" si="749"/>
        <v>5572800.0000001397</v>
      </c>
      <c r="AQ603">
        <f t="shared" si="742"/>
        <v>0</v>
      </c>
      <c r="AR603" s="13">
        <f t="shared" si="743"/>
        <v>5572800.0000001397</v>
      </c>
      <c r="AS603" s="112">
        <f t="shared" si="744"/>
        <v>1E-10</v>
      </c>
    </row>
    <row r="604" spans="17:45" x14ac:dyDescent="0.25">
      <c r="Q604" s="127">
        <v>45289.145833333343</v>
      </c>
      <c r="R604">
        <v>0</v>
      </c>
      <c r="S604" s="13">
        <f t="shared" si="748"/>
        <v>5581800.0000001397</v>
      </c>
      <c r="T604">
        <f t="shared" si="745"/>
        <v>0</v>
      </c>
      <c r="U604" s="13">
        <f t="shared" si="746"/>
        <v>5581800.0000001397</v>
      </c>
      <c r="V604" s="112">
        <f t="shared" si="747"/>
        <v>1E-10</v>
      </c>
      <c r="AN604" s="127">
        <v>45289.145833333343</v>
      </c>
      <c r="AO604">
        <v>0</v>
      </c>
      <c r="AP604" s="13">
        <f t="shared" si="749"/>
        <v>5581800.0000001397</v>
      </c>
      <c r="AQ604">
        <f t="shared" si="742"/>
        <v>0</v>
      </c>
      <c r="AR604" s="13">
        <f t="shared" si="743"/>
        <v>5581800.0000001397</v>
      </c>
      <c r="AS604" s="112">
        <f t="shared" si="744"/>
        <v>1E-10</v>
      </c>
    </row>
    <row r="605" spans="17:45" x14ac:dyDescent="0.25">
      <c r="Q605" s="127">
        <v>45289.25</v>
      </c>
      <c r="R605">
        <v>0</v>
      </c>
      <c r="S605" s="13">
        <f t="shared" si="748"/>
        <v>5590800.0000001397</v>
      </c>
      <c r="T605">
        <f t="shared" si="745"/>
        <v>0</v>
      </c>
      <c r="U605" s="13">
        <f t="shared" si="746"/>
        <v>5590800.0000001397</v>
      </c>
      <c r="V605" s="112">
        <f t="shared" si="747"/>
        <v>1E-10</v>
      </c>
      <c r="AN605" s="127">
        <v>45289.25</v>
      </c>
      <c r="AO605">
        <v>0</v>
      </c>
      <c r="AP605" s="13">
        <f t="shared" si="749"/>
        <v>5590800.0000001397</v>
      </c>
      <c r="AQ605">
        <f t="shared" si="742"/>
        <v>0</v>
      </c>
      <c r="AR605" s="13">
        <f t="shared" si="743"/>
        <v>5590800.0000001397</v>
      </c>
      <c r="AS605" s="112">
        <f t="shared" si="744"/>
        <v>1E-10</v>
      </c>
    </row>
    <row r="606" spans="17:45" x14ac:dyDescent="0.25">
      <c r="Q606" s="127">
        <v>45289.354166666657</v>
      </c>
      <c r="R606">
        <v>0</v>
      </c>
      <c r="S606" s="13">
        <f t="shared" si="748"/>
        <v>5599800.0000001397</v>
      </c>
      <c r="T606">
        <f t="shared" si="745"/>
        <v>0</v>
      </c>
      <c r="U606" s="13">
        <f t="shared" si="746"/>
        <v>5599800.0000001397</v>
      </c>
      <c r="V606" s="112">
        <f t="shared" si="747"/>
        <v>1E-10</v>
      </c>
      <c r="AN606" s="127">
        <v>45289.354166666657</v>
      </c>
      <c r="AO606">
        <v>0</v>
      </c>
      <c r="AP606" s="13">
        <f t="shared" si="749"/>
        <v>5599800.0000001397</v>
      </c>
      <c r="AQ606">
        <f t="shared" si="742"/>
        <v>0</v>
      </c>
      <c r="AR606" s="13">
        <f t="shared" si="743"/>
        <v>5599800.0000001397</v>
      </c>
      <c r="AS606" s="112">
        <f t="shared" si="744"/>
        <v>1E-10</v>
      </c>
    </row>
    <row r="607" spans="17:45" x14ac:dyDescent="0.25">
      <c r="Q607" s="127">
        <v>45289.458333333343</v>
      </c>
      <c r="R607">
        <v>0</v>
      </c>
      <c r="S607" s="13">
        <f t="shared" si="748"/>
        <v>5608800.0000001397</v>
      </c>
      <c r="T607">
        <f t="shared" si="745"/>
        <v>0</v>
      </c>
      <c r="U607" s="13">
        <f t="shared" si="746"/>
        <v>5608800.0000001397</v>
      </c>
      <c r="V607" s="112">
        <f t="shared" si="747"/>
        <v>1E-10</v>
      </c>
      <c r="AN607" s="127">
        <v>45289.458333333343</v>
      </c>
      <c r="AO607">
        <v>0</v>
      </c>
      <c r="AP607" s="13">
        <f t="shared" si="749"/>
        <v>5608800.0000001397</v>
      </c>
      <c r="AQ607">
        <f t="shared" si="742"/>
        <v>0</v>
      </c>
      <c r="AR607" s="13">
        <f t="shared" si="743"/>
        <v>5608800.0000001397</v>
      </c>
      <c r="AS607" s="112">
        <f t="shared" si="744"/>
        <v>1E-10</v>
      </c>
    </row>
    <row r="608" spans="17:45" x14ac:dyDescent="0.25">
      <c r="Q608" s="127">
        <v>45289.5625</v>
      </c>
      <c r="R608">
        <v>0</v>
      </c>
      <c r="S608" s="13">
        <f t="shared" si="748"/>
        <v>5617800.0000001397</v>
      </c>
      <c r="T608">
        <f t="shared" si="745"/>
        <v>0</v>
      </c>
      <c r="U608" s="13">
        <f t="shared" si="746"/>
        <v>5617800.0000001397</v>
      </c>
      <c r="V608" s="112">
        <f t="shared" si="747"/>
        <v>1E-10</v>
      </c>
      <c r="AN608" s="127">
        <v>45289.5625</v>
      </c>
      <c r="AO608">
        <v>0</v>
      </c>
      <c r="AP608" s="13">
        <f t="shared" si="749"/>
        <v>5617800.0000001397</v>
      </c>
      <c r="AQ608">
        <f t="shared" si="742"/>
        <v>0</v>
      </c>
      <c r="AR608" s="13">
        <f t="shared" si="743"/>
        <v>5617800.0000001397</v>
      </c>
      <c r="AS608" s="112">
        <f t="shared" si="744"/>
        <v>1E-10</v>
      </c>
    </row>
    <row r="609" spans="17:45" x14ac:dyDescent="0.25">
      <c r="Q609" s="127">
        <v>45289.666666666657</v>
      </c>
      <c r="R609">
        <v>0</v>
      </c>
      <c r="S609" s="13">
        <f t="shared" si="748"/>
        <v>5626800.0000001397</v>
      </c>
      <c r="T609">
        <f t="shared" si="745"/>
        <v>0</v>
      </c>
      <c r="U609" s="13">
        <f t="shared" si="746"/>
        <v>5626800.0000001397</v>
      </c>
      <c r="V609" s="112">
        <f t="shared" si="747"/>
        <v>1E-10</v>
      </c>
      <c r="AN609" s="127">
        <v>45289.666666666657</v>
      </c>
      <c r="AO609">
        <v>0</v>
      </c>
      <c r="AP609" s="13">
        <f t="shared" si="749"/>
        <v>5626800.0000001397</v>
      </c>
      <c r="AQ609">
        <f t="shared" si="742"/>
        <v>0</v>
      </c>
      <c r="AR609" s="13">
        <f t="shared" si="743"/>
        <v>5626800.0000001397</v>
      </c>
      <c r="AS609" s="112">
        <f t="shared" si="744"/>
        <v>1E-10</v>
      </c>
    </row>
    <row r="610" spans="17:45" x14ac:dyDescent="0.25">
      <c r="Q610" s="127">
        <v>45289.770833333343</v>
      </c>
      <c r="R610">
        <v>0</v>
      </c>
      <c r="S610" s="13">
        <f t="shared" si="748"/>
        <v>5635800.0000001397</v>
      </c>
      <c r="T610">
        <f t="shared" si="745"/>
        <v>0</v>
      </c>
      <c r="U610" s="13">
        <f t="shared" si="746"/>
        <v>5635800.0000001397</v>
      </c>
      <c r="V610" s="112">
        <f t="shared" si="747"/>
        <v>1E-10</v>
      </c>
      <c r="AN610" s="127">
        <v>45289.770833333343</v>
      </c>
      <c r="AO610">
        <v>0</v>
      </c>
      <c r="AP610" s="13">
        <f t="shared" si="749"/>
        <v>5635800.0000001397</v>
      </c>
      <c r="AQ610">
        <f t="shared" si="742"/>
        <v>0</v>
      </c>
      <c r="AR610" s="13">
        <f t="shared" si="743"/>
        <v>5635800.0000001397</v>
      </c>
      <c r="AS610" s="112">
        <f t="shared" si="744"/>
        <v>1E-10</v>
      </c>
    </row>
    <row r="611" spans="17:45" x14ac:dyDescent="0.25">
      <c r="Q611" s="127">
        <v>45289.875</v>
      </c>
      <c r="R611">
        <v>0</v>
      </c>
      <c r="S611" s="13">
        <f t="shared" si="748"/>
        <v>5644800.0000001397</v>
      </c>
      <c r="T611">
        <f t="shared" si="745"/>
        <v>0</v>
      </c>
      <c r="U611" s="13">
        <f t="shared" si="746"/>
        <v>5644800.0000001397</v>
      </c>
      <c r="V611" s="112">
        <f t="shared" si="747"/>
        <v>1E-10</v>
      </c>
      <c r="AN611" s="127">
        <v>45289.875</v>
      </c>
      <c r="AO611">
        <v>0</v>
      </c>
      <c r="AP611" s="13">
        <f t="shared" si="749"/>
        <v>5644800.0000001397</v>
      </c>
      <c r="AQ611">
        <f t="shared" ref="AQ611:AQ674" si="750">AO611*96</f>
        <v>0</v>
      </c>
      <c r="AR611" s="13">
        <f t="shared" ref="AR611:AR674" si="751">AP611</f>
        <v>5644800.0000001397</v>
      </c>
      <c r="AS611" s="112">
        <f t="shared" ref="AS611:AS674" si="752">IF(AQ611=0,0.0000000001,AQ611)</f>
        <v>1E-10</v>
      </c>
    </row>
    <row r="612" spans="17:45" x14ac:dyDescent="0.25">
      <c r="Q612" s="127">
        <v>45289.979166666657</v>
      </c>
      <c r="R612">
        <v>0</v>
      </c>
      <c r="S612" s="13">
        <f t="shared" si="748"/>
        <v>5653800.0000001397</v>
      </c>
      <c r="T612">
        <f t="shared" si="745"/>
        <v>0</v>
      </c>
      <c r="U612" s="13">
        <f t="shared" si="746"/>
        <v>5653800.0000001397</v>
      </c>
      <c r="V612" s="112">
        <f t="shared" si="747"/>
        <v>1E-10</v>
      </c>
      <c r="AN612" s="127">
        <v>45289.979166666657</v>
      </c>
      <c r="AO612">
        <v>0</v>
      </c>
      <c r="AP612" s="13">
        <f t="shared" si="749"/>
        <v>5653800.0000001397</v>
      </c>
      <c r="AQ612">
        <f t="shared" si="750"/>
        <v>0</v>
      </c>
      <c r="AR612" s="13">
        <f t="shared" si="751"/>
        <v>5653800.0000001397</v>
      </c>
      <c r="AS612" s="112">
        <f t="shared" si="752"/>
        <v>1E-10</v>
      </c>
    </row>
    <row r="613" spans="17:45" x14ac:dyDescent="0.25">
      <c r="Q613" s="127">
        <v>45290.083333333343</v>
      </c>
      <c r="R613">
        <v>0</v>
      </c>
      <c r="S613" s="13">
        <f t="shared" si="748"/>
        <v>5662800.0000001397</v>
      </c>
      <c r="T613">
        <f t="shared" si="745"/>
        <v>0</v>
      </c>
      <c r="U613" s="13">
        <f t="shared" si="746"/>
        <v>5662800.0000001397</v>
      </c>
      <c r="V613" s="112">
        <f t="shared" si="747"/>
        <v>1E-10</v>
      </c>
      <c r="AN613" s="127">
        <v>45290.083333333343</v>
      </c>
      <c r="AO613">
        <v>0</v>
      </c>
      <c r="AP613" s="13">
        <f t="shared" si="749"/>
        <v>5662800.0000001397</v>
      </c>
      <c r="AQ613">
        <f t="shared" si="750"/>
        <v>0</v>
      </c>
      <c r="AR613" s="13">
        <f t="shared" si="751"/>
        <v>5662800.0000001397</v>
      </c>
      <c r="AS613" s="112">
        <f t="shared" si="752"/>
        <v>1E-10</v>
      </c>
    </row>
    <row r="614" spans="17:45" x14ac:dyDescent="0.25">
      <c r="Q614" s="127">
        <v>45290.1875</v>
      </c>
      <c r="R614">
        <v>0</v>
      </c>
      <c r="S614" s="13">
        <f t="shared" si="748"/>
        <v>5671800.0000001397</v>
      </c>
      <c r="T614">
        <f t="shared" si="745"/>
        <v>0</v>
      </c>
      <c r="U614" s="13">
        <f t="shared" si="746"/>
        <v>5671800.0000001397</v>
      </c>
      <c r="V614" s="112">
        <f t="shared" si="747"/>
        <v>1E-10</v>
      </c>
      <c r="AN614" s="127">
        <v>45290.1875</v>
      </c>
      <c r="AO614">
        <v>0</v>
      </c>
      <c r="AP614" s="13">
        <f t="shared" si="749"/>
        <v>5671800.0000001397</v>
      </c>
      <c r="AQ614">
        <f t="shared" si="750"/>
        <v>0</v>
      </c>
      <c r="AR614" s="13">
        <f t="shared" si="751"/>
        <v>5671800.0000001397</v>
      </c>
      <c r="AS614" s="112">
        <f t="shared" si="752"/>
        <v>1E-10</v>
      </c>
    </row>
    <row r="615" spans="17:45" x14ac:dyDescent="0.25">
      <c r="Q615" s="127">
        <v>45290.291666666657</v>
      </c>
      <c r="R615">
        <v>0</v>
      </c>
      <c r="S615" s="13">
        <f t="shared" si="748"/>
        <v>5680800.0000001397</v>
      </c>
      <c r="T615">
        <f t="shared" si="745"/>
        <v>0</v>
      </c>
      <c r="U615" s="13">
        <f t="shared" si="746"/>
        <v>5680800.0000001397</v>
      </c>
      <c r="V615" s="112">
        <f t="shared" si="747"/>
        <v>1E-10</v>
      </c>
      <c r="AN615" s="127">
        <v>45290.291666666657</v>
      </c>
      <c r="AO615">
        <v>0</v>
      </c>
      <c r="AP615" s="13">
        <f t="shared" si="749"/>
        <v>5680800.0000001397</v>
      </c>
      <c r="AQ615">
        <f t="shared" si="750"/>
        <v>0</v>
      </c>
      <c r="AR615" s="13">
        <f t="shared" si="751"/>
        <v>5680800.0000001397</v>
      </c>
      <c r="AS615" s="112">
        <f t="shared" si="752"/>
        <v>1E-10</v>
      </c>
    </row>
    <row r="616" spans="17:45" x14ac:dyDescent="0.25">
      <c r="Q616" s="127">
        <v>45290.395833333343</v>
      </c>
      <c r="R616">
        <v>0</v>
      </c>
      <c r="S616" s="13">
        <f t="shared" si="748"/>
        <v>5689800.0000001397</v>
      </c>
      <c r="T616">
        <f t="shared" si="745"/>
        <v>0</v>
      </c>
      <c r="U616" s="13">
        <f t="shared" si="746"/>
        <v>5689800.0000001397</v>
      </c>
      <c r="V616" s="112">
        <f t="shared" si="747"/>
        <v>1E-10</v>
      </c>
      <c r="AN616" s="127">
        <v>45290.395833333343</v>
      </c>
      <c r="AO616">
        <v>0</v>
      </c>
      <c r="AP616" s="13">
        <f t="shared" si="749"/>
        <v>5689800.0000001397</v>
      </c>
      <c r="AQ616">
        <f t="shared" si="750"/>
        <v>0</v>
      </c>
      <c r="AR616" s="13">
        <f t="shared" si="751"/>
        <v>5689800.0000001397</v>
      </c>
      <c r="AS616" s="112">
        <f t="shared" si="752"/>
        <v>1E-10</v>
      </c>
    </row>
    <row r="617" spans="17:45" x14ac:dyDescent="0.25">
      <c r="Q617" s="127">
        <v>45290.5</v>
      </c>
      <c r="R617">
        <v>0</v>
      </c>
      <c r="S617" s="13">
        <f t="shared" si="748"/>
        <v>5698800.0000001397</v>
      </c>
      <c r="T617">
        <f t="shared" si="745"/>
        <v>0</v>
      </c>
      <c r="U617" s="13">
        <f t="shared" si="746"/>
        <v>5698800.0000001397</v>
      </c>
      <c r="V617" s="112">
        <f t="shared" si="747"/>
        <v>1E-10</v>
      </c>
      <c r="AN617" s="127">
        <v>45290.5</v>
      </c>
      <c r="AO617">
        <v>0</v>
      </c>
      <c r="AP617" s="13">
        <f t="shared" si="749"/>
        <v>5698800.0000001397</v>
      </c>
      <c r="AQ617">
        <f t="shared" si="750"/>
        <v>0</v>
      </c>
      <c r="AR617" s="13">
        <f t="shared" si="751"/>
        <v>5698800.0000001397</v>
      </c>
      <c r="AS617" s="112">
        <f t="shared" si="752"/>
        <v>1E-10</v>
      </c>
    </row>
    <row r="618" spans="17:45" x14ac:dyDescent="0.25">
      <c r="Q618" s="127">
        <v>45290.604166666657</v>
      </c>
      <c r="R618">
        <v>0</v>
      </c>
      <c r="S618" s="13">
        <f t="shared" si="748"/>
        <v>5707800.0000001397</v>
      </c>
      <c r="T618">
        <f t="shared" si="745"/>
        <v>0</v>
      </c>
      <c r="U618" s="13">
        <f t="shared" si="746"/>
        <v>5707800.0000001397</v>
      </c>
      <c r="V618" s="112">
        <f t="shared" si="747"/>
        <v>1E-10</v>
      </c>
      <c r="AN618" s="127">
        <v>45290.604166666657</v>
      </c>
      <c r="AO618">
        <v>0</v>
      </c>
      <c r="AP618" s="13">
        <f t="shared" si="749"/>
        <v>5707800.0000001397</v>
      </c>
      <c r="AQ618">
        <f t="shared" si="750"/>
        <v>0</v>
      </c>
      <c r="AR618" s="13">
        <f t="shared" si="751"/>
        <v>5707800.0000001397</v>
      </c>
      <c r="AS618" s="112">
        <f t="shared" si="752"/>
        <v>1E-10</v>
      </c>
    </row>
    <row r="619" spans="17:45" x14ac:dyDescent="0.25">
      <c r="Q619" s="127">
        <v>45290.708333333343</v>
      </c>
      <c r="R619">
        <v>0</v>
      </c>
      <c r="S619" s="13">
        <f t="shared" si="748"/>
        <v>5716800.0000001397</v>
      </c>
      <c r="T619">
        <f t="shared" si="745"/>
        <v>0</v>
      </c>
      <c r="U619" s="13">
        <f t="shared" si="746"/>
        <v>5716800.0000001397</v>
      </c>
      <c r="V619" s="112">
        <f t="shared" si="747"/>
        <v>1E-10</v>
      </c>
      <c r="AN619" s="127">
        <v>45290.708333333343</v>
      </c>
      <c r="AO619">
        <v>0</v>
      </c>
      <c r="AP619" s="13">
        <f t="shared" si="749"/>
        <v>5716800.0000001397</v>
      </c>
      <c r="AQ619">
        <f t="shared" si="750"/>
        <v>0</v>
      </c>
      <c r="AR619" s="13">
        <f t="shared" si="751"/>
        <v>5716800.0000001397</v>
      </c>
      <c r="AS619" s="112">
        <f t="shared" si="752"/>
        <v>1E-10</v>
      </c>
    </row>
    <row r="620" spans="17:45" x14ac:dyDescent="0.25">
      <c r="Q620" s="127">
        <v>45290.8125</v>
      </c>
      <c r="R620">
        <v>0</v>
      </c>
      <c r="S620" s="13">
        <f t="shared" si="748"/>
        <v>5725800.0000001397</v>
      </c>
      <c r="T620">
        <f t="shared" si="745"/>
        <v>0</v>
      </c>
      <c r="U620" s="13">
        <f t="shared" si="746"/>
        <v>5725800.0000001397</v>
      </c>
      <c r="V620" s="112">
        <f t="shared" si="747"/>
        <v>1E-10</v>
      </c>
      <c r="AN620" s="127">
        <v>45290.8125</v>
      </c>
      <c r="AO620">
        <v>0</v>
      </c>
      <c r="AP620" s="13">
        <f t="shared" si="749"/>
        <v>5725800.0000001397</v>
      </c>
      <c r="AQ620">
        <f t="shared" si="750"/>
        <v>0</v>
      </c>
      <c r="AR620" s="13">
        <f t="shared" si="751"/>
        <v>5725800.0000001397</v>
      </c>
      <c r="AS620" s="112">
        <f t="shared" si="752"/>
        <v>1E-10</v>
      </c>
    </row>
    <row r="621" spans="17:45" x14ac:dyDescent="0.25">
      <c r="Q621" s="127">
        <v>45290.916666666657</v>
      </c>
      <c r="R621">
        <v>0</v>
      </c>
      <c r="S621" s="13">
        <f t="shared" si="748"/>
        <v>5734800.0000001397</v>
      </c>
      <c r="T621">
        <f t="shared" si="745"/>
        <v>0</v>
      </c>
      <c r="U621" s="13">
        <f t="shared" si="746"/>
        <v>5734800.0000001397</v>
      </c>
      <c r="V621" s="112">
        <f t="shared" si="747"/>
        <v>1E-10</v>
      </c>
      <c r="AN621" s="127">
        <v>45290.916666666657</v>
      </c>
      <c r="AO621">
        <v>0</v>
      </c>
      <c r="AP621" s="13">
        <f t="shared" si="749"/>
        <v>5734800.0000001397</v>
      </c>
      <c r="AQ621">
        <f t="shared" si="750"/>
        <v>0</v>
      </c>
      <c r="AR621" s="13">
        <f t="shared" si="751"/>
        <v>5734800.0000001397</v>
      </c>
      <c r="AS621" s="112">
        <f t="shared" si="752"/>
        <v>1E-10</v>
      </c>
    </row>
    <row r="622" spans="17:45" x14ac:dyDescent="0.25">
      <c r="Q622" s="127">
        <v>45291.020833333343</v>
      </c>
      <c r="R622">
        <v>0</v>
      </c>
      <c r="S622" s="13">
        <f t="shared" si="748"/>
        <v>5743800.0000001397</v>
      </c>
      <c r="T622">
        <f t="shared" si="745"/>
        <v>0</v>
      </c>
      <c r="U622" s="13">
        <f t="shared" si="746"/>
        <v>5743800.0000001397</v>
      </c>
      <c r="V622" s="112">
        <f t="shared" si="747"/>
        <v>1E-10</v>
      </c>
      <c r="AN622" s="127">
        <v>45291.020833333343</v>
      </c>
      <c r="AO622">
        <v>0</v>
      </c>
      <c r="AP622" s="13">
        <f t="shared" si="749"/>
        <v>5743800.0000001397</v>
      </c>
      <c r="AQ622">
        <f t="shared" si="750"/>
        <v>0</v>
      </c>
      <c r="AR622" s="13">
        <f t="shared" si="751"/>
        <v>5743800.0000001397</v>
      </c>
      <c r="AS622" s="112">
        <f t="shared" si="752"/>
        <v>1E-10</v>
      </c>
    </row>
    <row r="623" spans="17:45" x14ac:dyDescent="0.25">
      <c r="Q623" s="127">
        <v>45291.125</v>
      </c>
      <c r="R623">
        <v>0</v>
      </c>
      <c r="S623" s="13">
        <f t="shared" si="748"/>
        <v>5752800.0000001397</v>
      </c>
      <c r="T623">
        <f t="shared" si="745"/>
        <v>0</v>
      </c>
      <c r="U623" s="13">
        <f t="shared" si="746"/>
        <v>5752800.0000001397</v>
      </c>
      <c r="V623" s="112">
        <f t="shared" si="747"/>
        <v>1E-10</v>
      </c>
      <c r="AN623" s="127">
        <v>45291.125</v>
      </c>
      <c r="AO623">
        <v>0</v>
      </c>
      <c r="AP623" s="13">
        <f t="shared" si="749"/>
        <v>5752800.0000001397</v>
      </c>
      <c r="AQ623">
        <f t="shared" si="750"/>
        <v>0</v>
      </c>
      <c r="AR623" s="13">
        <f t="shared" si="751"/>
        <v>5752800.0000001397</v>
      </c>
      <c r="AS623" s="112">
        <f t="shared" si="752"/>
        <v>1E-10</v>
      </c>
    </row>
    <row r="624" spans="17:45" x14ac:dyDescent="0.25">
      <c r="Q624" s="127">
        <v>45291.229166666657</v>
      </c>
      <c r="R624">
        <v>0</v>
      </c>
      <c r="S624" s="13">
        <f t="shared" si="748"/>
        <v>5761800.0000001397</v>
      </c>
      <c r="T624">
        <f t="shared" si="745"/>
        <v>0</v>
      </c>
      <c r="U624" s="13">
        <f t="shared" si="746"/>
        <v>5761800.0000001397</v>
      </c>
      <c r="V624" s="112">
        <f t="shared" si="747"/>
        <v>1E-10</v>
      </c>
      <c r="AN624" s="127">
        <v>45291.229166666657</v>
      </c>
      <c r="AO624">
        <v>0</v>
      </c>
      <c r="AP624" s="13">
        <f t="shared" si="749"/>
        <v>5761800.0000001397</v>
      </c>
      <c r="AQ624">
        <f t="shared" si="750"/>
        <v>0</v>
      </c>
      <c r="AR624" s="13">
        <f t="shared" si="751"/>
        <v>5761800.0000001397</v>
      </c>
      <c r="AS624" s="112">
        <f t="shared" si="752"/>
        <v>1E-10</v>
      </c>
    </row>
    <row r="625" spans="17:45" x14ac:dyDescent="0.25">
      <c r="Q625" s="127">
        <v>45291.333333333343</v>
      </c>
      <c r="R625">
        <v>0</v>
      </c>
      <c r="S625" s="13">
        <f t="shared" si="748"/>
        <v>5770800.0000001397</v>
      </c>
      <c r="T625">
        <f t="shared" si="745"/>
        <v>0</v>
      </c>
      <c r="U625" s="13">
        <f t="shared" si="746"/>
        <v>5770800.0000001397</v>
      </c>
      <c r="V625" s="112">
        <f t="shared" si="747"/>
        <v>1E-10</v>
      </c>
      <c r="AN625" s="127">
        <v>45291.333333333343</v>
      </c>
      <c r="AO625">
        <v>0</v>
      </c>
      <c r="AP625" s="13">
        <f t="shared" si="749"/>
        <v>5770800.0000001397</v>
      </c>
      <c r="AQ625">
        <f t="shared" si="750"/>
        <v>0</v>
      </c>
      <c r="AR625" s="13">
        <f t="shared" si="751"/>
        <v>5770800.0000001397</v>
      </c>
      <c r="AS625" s="112">
        <f t="shared" si="752"/>
        <v>1E-10</v>
      </c>
    </row>
    <row r="626" spans="17:45" x14ac:dyDescent="0.25">
      <c r="Q626" s="127">
        <v>45291.4375</v>
      </c>
      <c r="R626">
        <v>0</v>
      </c>
      <c r="S626" s="13">
        <f t="shared" si="748"/>
        <v>5779800.0000001397</v>
      </c>
      <c r="T626">
        <f t="shared" si="745"/>
        <v>0</v>
      </c>
      <c r="U626" s="13">
        <f t="shared" si="746"/>
        <v>5779800.0000001397</v>
      </c>
      <c r="V626" s="112">
        <f t="shared" si="747"/>
        <v>1E-10</v>
      </c>
      <c r="AN626" s="127">
        <v>45291.4375</v>
      </c>
      <c r="AO626">
        <v>0</v>
      </c>
      <c r="AP626" s="13">
        <f t="shared" si="749"/>
        <v>5779800.0000001397</v>
      </c>
      <c r="AQ626">
        <f t="shared" si="750"/>
        <v>0</v>
      </c>
      <c r="AR626" s="13">
        <f t="shared" si="751"/>
        <v>5779800.0000001397</v>
      </c>
      <c r="AS626" s="112">
        <f t="shared" si="752"/>
        <v>1E-10</v>
      </c>
    </row>
    <row r="627" spans="17:45" x14ac:dyDescent="0.25">
      <c r="Q627" s="127">
        <v>45291.541666666657</v>
      </c>
      <c r="R627">
        <v>0</v>
      </c>
      <c r="S627" s="13">
        <f t="shared" si="748"/>
        <v>5788800.0000001397</v>
      </c>
      <c r="T627">
        <f t="shared" si="745"/>
        <v>0</v>
      </c>
      <c r="U627" s="13">
        <f t="shared" si="746"/>
        <v>5788800.0000001397</v>
      </c>
      <c r="V627" s="112">
        <f t="shared" si="747"/>
        <v>1E-10</v>
      </c>
      <c r="AN627" s="127">
        <v>45291.541666666657</v>
      </c>
      <c r="AO627">
        <v>0</v>
      </c>
      <c r="AP627" s="13">
        <f t="shared" si="749"/>
        <v>5788800.0000001397</v>
      </c>
      <c r="AQ627">
        <f t="shared" si="750"/>
        <v>0</v>
      </c>
      <c r="AR627" s="13">
        <f t="shared" si="751"/>
        <v>5788800.0000001397</v>
      </c>
      <c r="AS627" s="112">
        <f t="shared" si="752"/>
        <v>1E-10</v>
      </c>
    </row>
    <row r="628" spans="17:45" x14ac:dyDescent="0.25">
      <c r="Q628" s="127">
        <v>45291.645833333343</v>
      </c>
      <c r="R628">
        <v>0</v>
      </c>
      <c r="S628" s="13">
        <f t="shared" si="748"/>
        <v>5797800.0000001397</v>
      </c>
      <c r="T628">
        <f t="shared" si="745"/>
        <v>0</v>
      </c>
      <c r="U628" s="13">
        <f t="shared" si="746"/>
        <v>5797800.0000001397</v>
      </c>
      <c r="V628" s="112">
        <f t="shared" si="747"/>
        <v>1E-10</v>
      </c>
      <c r="AN628" s="127">
        <v>45291.645833333343</v>
      </c>
      <c r="AO628">
        <v>0</v>
      </c>
      <c r="AP628" s="13">
        <f t="shared" si="749"/>
        <v>5797800.0000001397</v>
      </c>
      <c r="AQ628">
        <f t="shared" si="750"/>
        <v>0</v>
      </c>
      <c r="AR628" s="13">
        <f t="shared" si="751"/>
        <v>5797800.0000001397</v>
      </c>
      <c r="AS628" s="112">
        <f t="shared" si="752"/>
        <v>1E-10</v>
      </c>
    </row>
    <row r="629" spans="17:45" x14ac:dyDescent="0.25">
      <c r="Q629" s="127">
        <v>45291.75</v>
      </c>
      <c r="R629">
        <v>0</v>
      </c>
      <c r="S629" s="13">
        <f t="shared" si="748"/>
        <v>5806800.0000001397</v>
      </c>
      <c r="T629">
        <f t="shared" si="745"/>
        <v>0</v>
      </c>
      <c r="U629" s="13">
        <f t="shared" si="746"/>
        <v>5806800.0000001397</v>
      </c>
      <c r="V629" s="112">
        <f t="shared" si="747"/>
        <v>1E-10</v>
      </c>
      <c r="AN629" s="127">
        <v>45291.75</v>
      </c>
      <c r="AO629">
        <v>0</v>
      </c>
      <c r="AP629" s="13">
        <f t="shared" si="749"/>
        <v>5806800.0000001397</v>
      </c>
      <c r="AQ629">
        <f t="shared" si="750"/>
        <v>0</v>
      </c>
      <c r="AR629" s="13">
        <f t="shared" si="751"/>
        <v>5806800.0000001397</v>
      </c>
      <c r="AS629" s="112">
        <f t="shared" si="752"/>
        <v>1E-10</v>
      </c>
    </row>
    <row r="630" spans="17:45" x14ac:dyDescent="0.25">
      <c r="Q630" s="127">
        <v>45291.854166666657</v>
      </c>
      <c r="R630">
        <v>0</v>
      </c>
      <c r="S630" s="13">
        <f t="shared" si="748"/>
        <v>5815800.0000001397</v>
      </c>
      <c r="T630">
        <f t="shared" si="745"/>
        <v>0</v>
      </c>
      <c r="U630" s="13">
        <f t="shared" si="746"/>
        <v>5815800.0000001397</v>
      </c>
      <c r="V630" s="112">
        <f t="shared" si="747"/>
        <v>1E-10</v>
      </c>
      <c r="AN630" s="127">
        <v>45291.854166666657</v>
      </c>
      <c r="AO630">
        <v>0</v>
      </c>
      <c r="AP630" s="13">
        <f t="shared" si="749"/>
        <v>5815800.0000001397</v>
      </c>
      <c r="AQ630">
        <f t="shared" si="750"/>
        <v>0</v>
      </c>
      <c r="AR630" s="13">
        <f t="shared" si="751"/>
        <v>5815800.0000001397</v>
      </c>
      <c r="AS630" s="112">
        <f t="shared" si="752"/>
        <v>1E-10</v>
      </c>
    </row>
    <row r="631" spans="17:45" x14ac:dyDescent="0.25">
      <c r="Q631" s="127">
        <v>45291.958333333343</v>
      </c>
      <c r="R631">
        <v>0</v>
      </c>
      <c r="S631" s="13">
        <f t="shared" si="748"/>
        <v>5824800.0000001397</v>
      </c>
      <c r="T631">
        <f t="shared" si="745"/>
        <v>0</v>
      </c>
      <c r="U631" s="13">
        <f t="shared" si="746"/>
        <v>5824800.0000001397</v>
      </c>
      <c r="V631" s="112">
        <f t="shared" si="747"/>
        <v>1E-10</v>
      </c>
      <c r="AN631" s="127">
        <v>45291.958333333343</v>
      </c>
      <c r="AO631">
        <v>0</v>
      </c>
      <c r="AP631" s="13">
        <f t="shared" si="749"/>
        <v>5824800.0000001397</v>
      </c>
      <c r="AQ631">
        <f t="shared" si="750"/>
        <v>0</v>
      </c>
      <c r="AR631" s="13">
        <f t="shared" si="751"/>
        <v>5824800.0000001397</v>
      </c>
      <c r="AS631" s="112">
        <f t="shared" si="752"/>
        <v>1E-10</v>
      </c>
    </row>
    <row r="632" spans="17:45" x14ac:dyDescent="0.25">
      <c r="Q632" s="127">
        <v>45292.0625</v>
      </c>
      <c r="R632">
        <v>0</v>
      </c>
      <c r="S632" s="13">
        <f t="shared" si="748"/>
        <v>5833800.0000001397</v>
      </c>
      <c r="T632">
        <f t="shared" si="745"/>
        <v>0</v>
      </c>
      <c r="U632" s="13">
        <f t="shared" si="746"/>
        <v>5833800.0000001397</v>
      </c>
      <c r="V632" s="112">
        <f t="shared" si="747"/>
        <v>1E-10</v>
      </c>
      <c r="AN632" s="127">
        <v>45292.0625</v>
      </c>
      <c r="AO632">
        <v>0</v>
      </c>
      <c r="AP632" s="13">
        <f t="shared" si="749"/>
        <v>5833800.0000001397</v>
      </c>
      <c r="AQ632">
        <f t="shared" si="750"/>
        <v>0</v>
      </c>
      <c r="AR632" s="13">
        <f t="shared" si="751"/>
        <v>5833800.0000001397</v>
      </c>
      <c r="AS632" s="112">
        <f t="shared" si="752"/>
        <v>1E-10</v>
      </c>
    </row>
    <row r="633" spans="17:45" x14ac:dyDescent="0.25">
      <c r="Q633" s="127">
        <v>45292.166666666657</v>
      </c>
      <c r="R633">
        <v>0</v>
      </c>
      <c r="S633" s="13">
        <f t="shared" si="748"/>
        <v>5842800.0000001397</v>
      </c>
      <c r="T633">
        <f t="shared" si="745"/>
        <v>0</v>
      </c>
      <c r="U633" s="13">
        <f t="shared" si="746"/>
        <v>5842800.0000001397</v>
      </c>
      <c r="V633" s="112">
        <f t="shared" si="747"/>
        <v>1E-10</v>
      </c>
      <c r="AN633" s="127">
        <v>45292.166666666657</v>
      </c>
      <c r="AO633">
        <v>0</v>
      </c>
      <c r="AP633" s="13">
        <f t="shared" si="749"/>
        <v>5842800.0000001397</v>
      </c>
      <c r="AQ633">
        <f t="shared" si="750"/>
        <v>0</v>
      </c>
      <c r="AR633" s="13">
        <f t="shared" si="751"/>
        <v>5842800.0000001397</v>
      </c>
      <c r="AS633" s="112">
        <f t="shared" si="752"/>
        <v>1E-10</v>
      </c>
    </row>
    <row r="634" spans="17:45" x14ac:dyDescent="0.25">
      <c r="Q634" s="127">
        <v>45292.270833333343</v>
      </c>
      <c r="R634">
        <v>0</v>
      </c>
      <c r="S634" s="13">
        <f t="shared" si="748"/>
        <v>5851800.0000001397</v>
      </c>
      <c r="T634">
        <f t="shared" si="745"/>
        <v>0</v>
      </c>
      <c r="U634" s="13">
        <f t="shared" si="746"/>
        <v>5851800.0000001397</v>
      </c>
      <c r="V634" s="112">
        <f t="shared" si="747"/>
        <v>1E-10</v>
      </c>
      <c r="AN634" s="127">
        <v>45292.270833333343</v>
      </c>
      <c r="AO634">
        <v>0</v>
      </c>
      <c r="AP634" s="13">
        <f t="shared" si="749"/>
        <v>5851800.0000001397</v>
      </c>
      <c r="AQ634">
        <f t="shared" si="750"/>
        <v>0</v>
      </c>
      <c r="AR634" s="13">
        <f t="shared" si="751"/>
        <v>5851800.0000001397</v>
      </c>
      <c r="AS634" s="112">
        <f t="shared" si="752"/>
        <v>1E-10</v>
      </c>
    </row>
    <row r="635" spans="17:45" x14ac:dyDescent="0.25">
      <c r="Q635" s="127">
        <v>45292.375</v>
      </c>
      <c r="R635">
        <v>0</v>
      </c>
      <c r="S635" s="13">
        <f t="shared" si="748"/>
        <v>5860800.0000001397</v>
      </c>
      <c r="T635">
        <f t="shared" si="745"/>
        <v>0</v>
      </c>
      <c r="U635" s="13">
        <f t="shared" si="746"/>
        <v>5860800.0000001397</v>
      </c>
      <c r="V635" s="112">
        <f t="shared" si="747"/>
        <v>1E-10</v>
      </c>
      <c r="AN635" s="127">
        <v>45292.375</v>
      </c>
      <c r="AO635">
        <v>0</v>
      </c>
      <c r="AP635" s="13">
        <f t="shared" si="749"/>
        <v>5860800.0000001397</v>
      </c>
      <c r="AQ635">
        <f t="shared" si="750"/>
        <v>0</v>
      </c>
      <c r="AR635" s="13">
        <f t="shared" si="751"/>
        <v>5860800.0000001397</v>
      </c>
      <c r="AS635" s="112">
        <f t="shared" si="752"/>
        <v>1E-10</v>
      </c>
    </row>
    <row r="636" spans="17:45" x14ac:dyDescent="0.25">
      <c r="Q636" s="127">
        <v>45292.479166666657</v>
      </c>
      <c r="R636">
        <v>0</v>
      </c>
      <c r="S636" s="13">
        <f t="shared" si="748"/>
        <v>5869800.0000001397</v>
      </c>
      <c r="T636">
        <f t="shared" si="745"/>
        <v>0</v>
      </c>
      <c r="U636" s="13">
        <f t="shared" si="746"/>
        <v>5869800.0000001397</v>
      </c>
      <c r="V636" s="112">
        <f t="shared" si="747"/>
        <v>1E-10</v>
      </c>
      <c r="AN636" s="127">
        <v>45292.479166666657</v>
      </c>
      <c r="AO636">
        <v>0</v>
      </c>
      <c r="AP636" s="13">
        <f t="shared" si="749"/>
        <v>5869800.0000001397</v>
      </c>
      <c r="AQ636">
        <f t="shared" si="750"/>
        <v>0</v>
      </c>
      <c r="AR636" s="13">
        <f t="shared" si="751"/>
        <v>5869800.0000001397</v>
      </c>
      <c r="AS636" s="112">
        <f t="shared" si="752"/>
        <v>1E-10</v>
      </c>
    </row>
    <row r="637" spans="17:45" x14ac:dyDescent="0.25">
      <c r="Q637" s="127">
        <v>45292.583333333343</v>
      </c>
      <c r="R637">
        <v>0</v>
      </c>
      <c r="S637" s="13">
        <f t="shared" si="748"/>
        <v>5878800.0000001397</v>
      </c>
      <c r="T637">
        <f t="shared" si="745"/>
        <v>0</v>
      </c>
      <c r="U637" s="13">
        <f t="shared" si="746"/>
        <v>5878800.0000001397</v>
      </c>
      <c r="V637" s="112">
        <f t="shared" si="747"/>
        <v>1E-10</v>
      </c>
      <c r="AN637" s="127">
        <v>45292.583333333343</v>
      </c>
      <c r="AO637">
        <v>0</v>
      </c>
      <c r="AP637" s="13">
        <f t="shared" si="749"/>
        <v>5878800.0000001397</v>
      </c>
      <c r="AQ637">
        <f t="shared" si="750"/>
        <v>0</v>
      </c>
      <c r="AR637" s="13">
        <f t="shared" si="751"/>
        <v>5878800.0000001397</v>
      </c>
      <c r="AS637" s="112">
        <f t="shared" si="752"/>
        <v>1E-10</v>
      </c>
    </row>
    <row r="638" spans="17:45" x14ac:dyDescent="0.25">
      <c r="Q638" s="127">
        <v>45292.6875</v>
      </c>
      <c r="R638">
        <v>0</v>
      </c>
      <c r="S638" s="13">
        <f t="shared" si="748"/>
        <v>5887800.0000001397</v>
      </c>
      <c r="T638">
        <f t="shared" si="745"/>
        <v>0</v>
      </c>
      <c r="U638" s="13">
        <f t="shared" si="746"/>
        <v>5887800.0000001397</v>
      </c>
      <c r="V638" s="112">
        <f t="shared" si="747"/>
        <v>1E-10</v>
      </c>
      <c r="AN638" s="127">
        <v>45292.6875</v>
      </c>
      <c r="AO638">
        <v>0</v>
      </c>
      <c r="AP638" s="13">
        <f t="shared" si="749"/>
        <v>5887800.0000001397</v>
      </c>
      <c r="AQ638">
        <f t="shared" si="750"/>
        <v>0</v>
      </c>
      <c r="AR638" s="13">
        <f t="shared" si="751"/>
        <v>5887800.0000001397</v>
      </c>
      <c r="AS638" s="112">
        <f t="shared" si="752"/>
        <v>1E-10</v>
      </c>
    </row>
    <row r="639" spans="17:45" x14ac:dyDescent="0.25">
      <c r="Q639" s="127">
        <v>45292.791666666657</v>
      </c>
      <c r="R639">
        <v>0</v>
      </c>
      <c r="S639" s="13">
        <f t="shared" si="748"/>
        <v>5896800.0000001397</v>
      </c>
      <c r="T639">
        <f t="shared" si="745"/>
        <v>0</v>
      </c>
      <c r="U639" s="13">
        <f t="shared" si="746"/>
        <v>5896800.0000001397</v>
      </c>
      <c r="V639" s="112">
        <f t="shared" si="747"/>
        <v>1E-10</v>
      </c>
      <c r="AN639" s="127">
        <v>45292.791666666657</v>
      </c>
      <c r="AO639">
        <v>0</v>
      </c>
      <c r="AP639" s="13">
        <f t="shared" si="749"/>
        <v>5896800.0000001397</v>
      </c>
      <c r="AQ639">
        <f t="shared" si="750"/>
        <v>0</v>
      </c>
      <c r="AR639" s="13">
        <f t="shared" si="751"/>
        <v>5896800.0000001397</v>
      </c>
      <c r="AS639" s="112">
        <f t="shared" si="752"/>
        <v>1E-10</v>
      </c>
    </row>
    <row r="640" spans="17:45" x14ac:dyDescent="0.25">
      <c r="Q640" s="127">
        <v>45292.895833333343</v>
      </c>
      <c r="R640">
        <v>0</v>
      </c>
      <c r="S640" s="13">
        <f t="shared" si="748"/>
        <v>5905800.0000001397</v>
      </c>
      <c r="T640">
        <f t="shared" si="745"/>
        <v>0</v>
      </c>
      <c r="U640" s="13">
        <f t="shared" si="746"/>
        <v>5905800.0000001397</v>
      </c>
      <c r="V640" s="112">
        <f t="shared" si="747"/>
        <v>1E-10</v>
      </c>
      <c r="AN640" s="127">
        <v>45292.895833333343</v>
      </c>
      <c r="AO640">
        <v>0</v>
      </c>
      <c r="AP640" s="13">
        <f t="shared" si="749"/>
        <v>5905800.0000001397</v>
      </c>
      <c r="AQ640">
        <f t="shared" si="750"/>
        <v>0</v>
      </c>
      <c r="AR640" s="13">
        <f t="shared" si="751"/>
        <v>5905800.0000001397</v>
      </c>
      <c r="AS640" s="112">
        <f t="shared" si="752"/>
        <v>1E-10</v>
      </c>
    </row>
    <row r="641" spans="17:45" x14ac:dyDescent="0.25">
      <c r="Q641" s="127">
        <v>45293</v>
      </c>
      <c r="R641">
        <v>0</v>
      </c>
      <c r="S641" s="13">
        <f t="shared" si="748"/>
        <v>5914800.0000001397</v>
      </c>
      <c r="T641">
        <f t="shared" si="745"/>
        <v>0</v>
      </c>
      <c r="U641" s="13">
        <f t="shared" si="746"/>
        <v>5914800.0000001397</v>
      </c>
      <c r="V641" s="112">
        <f t="shared" si="747"/>
        <v>1E-10</v>
      </c>
      <c r="AN641" s="127">
        <v>45293</v>
      </c>
      <c r="AO641">
        <v>0</v>
      </c>
      <c r="AP641" s="13">
        <f t="shared" si="749"/>
        <v>5914800.0000001397</v>
      </c>
      <c r="AQ641">
        <f t="shared" si="750"/>
        <v>0</v>
      </c>
      <c r="AR641" s="13">
        <f t="shared" si="751"/>
        <v>5914800.0000001397</v>
      </c>
      <c r="AS641" s="112">
        <f t="shared" si="752"/>
        <v>1E-10</v>
      </c>
    </row>
    <row r="642" spans="17:45" x14ac:dyDescent="0.25">
      <c r="Q642" s="127">
        <v>45293.104166666657</v>
      </c>
      <c r="R642">
        <v>0</v>
      </c>
      <c r="S642" s="13">
        <f t="shared" si="748"/>
        <v>5923800.0000001397</v>
      </c>
      <c r="T642">
        <f t="shared" si="745"/>
        <v>0</v>
      </c>
      <c r="U642" s="13">
        <f t="shared" si="746"/>
        <v>5923800.0000001397</v>
      </c>
      <c r="V642" s="112">
        <f t="shared" si="747"/>
        <v>1E-10</v>
      </c>
      <c r="AN642" s="127">
        <v>45293.104166666657</v>
      </c>
      <c r="AO642">
        <v>0</v>
      </c>
      <c r="AP642" s="13">
        <f t="shared" si="749"/>
        <v>5923800.0000001397</v>
      </c>
      <c r="AQ642">
        <f t="shared" si="750"/>
        <v>0</v>
      </c>
      <c r="AR642" s="13">
        <f t="shared" si="751"/>
        <v>5923800.0000001397</v>
      </c>
      <c r="AS642" s="112">
        <f t="shared" si="752"/>
        <v>1E-10</v>
      </c>
    </row>
    <row r="643" spans="17:45" x14ac:dyDescent="0.25">
      <c r="Q643" s="127">
        <v>45293.208333333343</v>
      </c>
      <c r="R643">
        <v>0</v>
      </c>
      <c r="S643" s="13">
        <f t="shared" si="748"/>
        <v>5932800.0000001397</v>
      </c>
      <c r="T643">
        <f t="shared" ref="T643:T706" si="753">R643*96</f>
        <v>0</v>
      </c>
      <c r="U643" s="13">
        <f t="shared" ref="U643:U706" si="754">S643</f>
        <v>5932800.0000001397</v>
      </c>
      <c r="V643" s="112">
        <f t="shared" ref="V643:V706" si="755">IF(T643=0,0.0000000001,T643)</f>
        <v>1E-10</v>
      </c>
      <c r="AN643" s="127">
        <v>45293.208333333343</v>
      </c>
      <c r="AO643">
        <v>0</v>
      </c>
      <c r="AP643" s="13">
        <f t="shared" si="749"/>
        <v>5932800.0000001397</v>
      </c>
      <c r="AQ643">
        <f t="shared" si="750"/>
        <v>0</v>
      </c>
      <c r="AR643" s="13">
        <f t="shared" si="751"/>
        <v>5932800.0000001397</v>
      </c>
      <c r="AS643" s="112">
        <f t="shared" si="752"/>
        <v>1E-10</v>
      </c>
    </row>
    <row r="644" spans="17:45" x14ac:dyDescent="0.25">
      <c r="Q644" s="127">
        <v>45293.3125</v>
      </c>
      <c r="R644">
        <v>0</v>
      </c>
      <c r="S644" s="13">
        <f t="shared" ref="S644:S707" si="756">S643+150*60</f>
        <v>5941800.0000001397</v>
      </c>
      <c r="T644">
        <f t="shared" si="753"/>
        <v>0</v>
      </c>
      <c r="U644" s="13">
        <f t="shared" si="754"/>
        <v>5941800.0000001397</v>
      </c>
      <c r="V644" s="112">
        <f t="shared" si="755"/>
        <v>1E-10</v>
      </c>
      <c r="AN644" s="127">
        <v>45293.3125</v>
      </c>
      <c r="AO644">
        <v>0</v>
      </c>
      <c r="AP644" s="13">
        <f t="shared" ref="AP644:AP707" si="757">AP643+150*60</f>
        <v>5941800.0000001397</v>
      </c>
      <c r="AQ644">
        <f t="shared" si="750"/>
        <v>0</v>
      </c>
      <c r="AR644" s="13">
        <f t="shared" si="751"/>
        <v>5941800.0000001397</v>
      </c>
      <c r="AS644" s="112">
        <f t="shared" si="752"/>
        <v>1E-10</v>
      </c>
    </row>
    <row r="645" spans="17:45" x14ac:dyDescent="0.25">
      <c r="Q645" s="127">
        <v>45293.416666666657</v>
      </c>
      <c r="R645">
        <v>0</v>
      </c>
      <c r="S645" s="13">
        <f t="shared" si="756"/>
        <v>5950800.0000001397</v>
      </c>
      <c r="T645">
        <f t="shared" si="753"/>
        <v>0</v>
      </c>
      <c r="U645" s="13">
        <f t="shared" si="754"/>
        <v>5950800.0000001397</v>
      </c>
      <c r="V645" s="112">
        <f t="shared" si="755"/>
        <v>1E-10</v>
      </c>
      <c r="AN645" s="127">
        <v>45293.416666666657</v>
      </c>
      <c r="AO645">
        <v>0</v>
      </c>
      <c r="AP645" s="13">
        <f t="shared" si="757"/>
        <v>5950800.0000001397</v>
      </c>
      <c r="AQ645">
        <f t="shared" si="750"/>
        <v>0</v>
      </c>
      <c r="AR645" s="13">
        <f t="shared" si="751"/>
        <v>5950800.0000001397</v>
      </c>
      <c r="AS645" s="112">
        <f t="shared" si="752"/>
        <v>1E-10</v>
      </c>
    </row>
    <row r="646" spans="17:45" x14ac:dyDescent="0.25">
      <c r="Q646" s="127">
        <v>45293.520833333343</v>
      </c>
      <c r="R646">
        <v>0</v>
      </c>
      <c r="S646" s="13">
        <f t="shared" si="756"/>
        <v>5959800.0000001397</v>
      </c>
      <c r="T646">
        <f t="shared" si="753"/>
        <v>0</v>
      </c>
      <c r="U646" s="13">
        <f t="shared" si="754"/>
        <v>5959800.0000001397</v>
      </c>
      <c r="V646" s="112">
        <f t="shared" si="755"/>
        <v>1E-10</v>
      </c>
      <c r="AN646" s="127">
        <v>45293.520833333343</v>
      </c>
      <c r="AO646">
        <v>0</v>
      </c>
      <c r="AP646" s="13">
        <f t="shared" si="757"/>
        <v>5959800.0000001397</v>
      </c>
      <c r="AQ646">
        <f t="shared" si="750"/>
        <v>0</v>
      </c>
      <c r="AR646" s="13">
        <f t="shared" si="751"/>
        <v>5959800.0000001397</v>
      </c>
      <c r="AS646" s="112">
        <f t="shared" si="752"/>
        <v>1E-10</v>
      </c>
    </row>
    <row r="647" spans="17:45" x14ac:dyDescent="0.25">
      <c r="Q647" s="127">
        <v>45293.625</v>
      </c>
      <c r="R647">
        <v>0</v>
      </c>
      <c r="S647" s="13">
        <f t="shared" si="756"/>
        <v>5968800.0000001397</v>
      </c>
      <c r="T647">
        <f t="shared" si="753"/>
        <v>0</v>
      </c>
      <c r="U647" s="13">
        <f t="shared" si="754"/>
        <v>5968800.0000001397</v>
      </c>
      <c r="V647" s="112">
        <f t="shared" si="755"/>
        <v>1E-10</v>
      </c>
      <c r="AN647" s="127">
        <v>45293.625</v>
      </c>
      <c r="AO647">
        <v>0</v>
      </c>
      <c r="AP647" s="13">
        <f t="shared" si="757"/>
        <v>5968800.0000001397</v>
      </c>
      <c r="AQ647">
        <f t="shared" si="750"/>
        <v>0</v>
      </c>
      <c r="AR647" s="13">
        <f t="shared" si="751"/>
        <v>5968800.0000001397</v>
      </c>
      <c r="AS647" s="112">
        <f t="shared" si="752"/>
        <v>1E-10</v>
      </c>
    </row>
    <row r="648" spans="17:45" x14ac:dyDescent="0.25">
      <c r="Q648" s="127">
        <v>45293.729166666657</v>
      </c>
      <c r="R648">
        <v>0</v>
      </c>
      <c r="S648" s="13">
        <f t="shared" si="756"/>
        <v>5977800.0000001397</v>
      </c>
      <c r="T648">
        <f t="shared" si="753"/>
        <v>0</v>
      </c>
      <c r="U648" s="13">
        <f t="shared" si="754"/>
        <v>5977800.0000001397</v>
      </c>
      <c r="V648" s="112">
        <f t="shared" si="755"/>
        <v>1E-10</v>
      </c>
      <c r="AN648" s="127">
        <v>45293.729166666657</v>
      </c>
      <c r="AO648">
        <v>0</v>
      </c>
      <c r="AP648" s="13">
        <f t="shared" si="757"/>
        <v>5977800.0000001397</v>
      </c>
      <c r="AQ648">
        <f t="shared" si="750"/>
        <v>0</v>
      </c>
      <c r="AR648" s="13">
        <f t="shared" si="751"/>
        <v>5977800.0000001397</v>
      </c>
      <c r="AS648" s="112">
        <f t="shared" si="752"/>
        <v>1E-10</v>
      </c>
    </row>
    <row r="649" spans="17:45" x14ac:dyDescent="0.25">
      <c r="Q649" s="127">
        <v>45293.833333333343</v>
      </c>
      <c r="R649">
        <v>0</v>
      </c>
      <c r="S649" s="13">
        <f t="shared" si="756"/>
        <v>5986800.0000001397</v>
      </c>
      <c r="T649">
        <f t="shared" si="753"/>
        <v>0</v>
      </c>
      <c r="U649" s="13">
        <f t="shared" si="754"/>
        <v>5986800.0000001397</v>
      </c>
      <c r="V649" s="112">
        <f t="shared" si="755"/>
        <v>1E-10</v>
      </c>
      <c r="AN649" s="127">
        <v>45293.833333333343</v>
      </c>
      <c r="AO649">
        <v>0</v>
      </c>
      <c r="AP649" s="13">
        <f t="shared" si="757"/>
        <v>5986800.0000001397</v>
      </c>
      <c r="AQ649">
        <f t="shared" si="750"/>
        <v>0</v>
      </c>
      <c r="AR649" s="13">
        <f t="shared" si="751"/>
        <v>5986800.0000001397</v>
      </c>
      <c r="AS649" s="112">
        <f t="shared" si="752"/>
        <v>1E-10</v>
      </c>
    </row>
    <row r="650" spans="17:45" x14ac:dyDescent="0.25">
      <c r="Q650" s="127">
        <v>45293.9375</v>
      </c>
      <c r="R650">
        <v>0</v>
      </c>
      <c r="S650" s="13">
        <f t="shared" si="756"/>
        <v>5995800.0000001397</v>
      </c>
      <c r="T650">
        <f t="shared" si="753"/>
        <v>0</v>
      </c>
      <c r="U650" s="13">
        <f t="shared" si="754"/>
        <v>5995800.0000001397</v>
      </c>
      <c r="V650" s="112">
        <f t="shared" si="755"/>
        <v>1E-10</v>
      </c>
      <c r="AN650" s="127">
        <v>45293.9375</v>
      </c>
      <c r="AO650">
        <v>0</v>
      </c>
      <c r="AP650" s="13">
        <f t="shared" si="757"/>
        <v>5995800.0000001397</v>
      </c>
      <c r="AQ650">
        <f t="shared" si="750"/>
        <v>0</v>
      </c>
      <c r="AR650" s="13">
        <f t="shared" si="751"/>
        <v>5995800.0000001397</v>
      </c>
      <c r="AS650" s="112">
        <f t="shared" si="752"/>
        <v>1E-10</v>
      </c>
    </row>
    <row r="651" spans="17:45" x14ac:dyDescent="0.25">
      <c r="Q651" s="127">
        <v>45294.041666666657</v>
      </c>
      <c r="R651">
        <v>0</v>
      </c>
      <c r="S651" s="13">
        <f t="shared" si="756"/>
        <v>6004800.0000001397</v>
      </c>
      <c r="T651">
        <f t="shared" si="753"/>
        <v>0</v>
      </c>
      <c r="U651" s="13">
        <f t="shared" si="754"/>
        <v>6004800.0000001397</v>
      </c>
      <c r="V651" s="112">
        <f t="shared" si="755"/>
        <v>1E-10</v>
      </c>
      <c r="AN651" s="127">
        <v>45294.041666666657</v>
      </c>
      <c r="AO651">
        <v>0</v>
      </c>
      <c r="AP651" s="13">
        <f t="shared" si="757"/>
        <v>6004800.0000001397</v>
      </c>
      <c r="AQ651">
        <f t="shared" si="750"/>
        <v>0</v>
      </c>
      <c r="AR651" s="13">
        <f t="shared" si="751"/>
        <v>6004800.0000001397</v>
      </c>
      <c r="AS651" s="112">
        <f t="shared" si="752"/>
        <v>1E-10</v>
      </c>
    </row>
    <row r="652" spans="17:45" x14ac:dyDescent="0.25">
      <c r="Q652" s="127">
        <v>45294.145833333343</v>
      </c>
      <c r="R652">
        <v>0</v>
      </c>
      <c r="S652" s="13">
        <f t="shared" si="756"/>
        <v>6013800.0000001397</v>
      </c>
      <c r="T652">
        <f t="shared" si="753"/>
        <v>0</v>
      </c>
      <c r="U652" s="13">
        <f t="shared" si="754"/>
        <v>6013800.0000001397</v>
      </c>
      <c r="V652" s="112">
        <f t="shared" si="755"/>
        <v>1E-10</v>
      </c>
      <c r="AN652" s="127">
        <v>45294.145833333343</v>
      </c>
      <c r="AO652">
        <v>0</v>
      </c>
      <c r="AP652" s="13">
        <f t="shared" si="757"/>
        <v>6013800.0000001397</v>
      </c>
      <c r="AQ652">
        <f t="shared" si="750"/>
        <v>0</v>
      </c>
      <c r="AR652" s="13">
        <f t="shared" si="751"/>
        <v>6013800.0000001397</v>
      </c>
      <c r="AS652" s="112">
        <f t="shared" si="752"/>
        <v>1E-10</v>
      </c>
    </row>
    <row r="653" spans="17:45" x14ac:dyDescent="0.25">
      <c r="Q653" s="127">
        <v>45294.25</v>
      </c>
      <c r="R653">
        <v>0</v>
      </c>
      <c r="S653" s="13">
        <f t="shared" si="756"/>
        <v>6022800.0000001397</v>
      </c>
      <c r="T653">
        <f t="shared" si="753"/>
        <v>0</v>
      </c>
      <c r="U653" s="13">
        <f t="shared" si="754"/>
        <v>6022800.0000001397</v>
      </c>
      <c r="V653" s="112">
        <f t="shared" si="755"/>
        <v>1E-10</v>
      </c>
      <c r="AN653" s="127">
        <v>45294.25</v>
      </c>
      <c r="AO653">
        <v>0</v>
      </c>
      <c r="AP653" s="13">
        <f t="shared" si="757"/>
        <v>6022800.0000001397</v>
      </c>
      <c r="AQ653">
        <f t="shared" si="750"/>
        <v>0</v>
      </c>
      <c r="AR653" s="13">
        <f t="shared" si="751"/>
        <v>6022800.0000001397</v>
      </c>
      <c r="AS653" s="112">
        <f t="shared" si="752"/>
        <v>1E-10</v>
      </c>
    </row>
    <row r="654" spans="17:45" x14ac:dyDescent="0.25">
      <c r="Q654" s="127">
        <v>45294.354166666657</v>
      </c>
      <c r="R654">
        <v>0</v>
      </c>
      <c r="S654" s="13">
        <f t="shared" si="756"/>
        <v>6031800.0000001397</v>
      </c>
      <c r="T654">
        <f t="shared" si="753"/>
        <v>0</v>
      </c>
      <c r="U654" s="13">
        <f t="shared" si="754"/>
        <v>6031800.0000001397</v>
      </c>
      <c r="V654" s="112">
        <f t="shared" si="755"/>
        <v>1E-10</v>
      </c>
      <c r="AN654" s="127">
        <v>45294.354166666657</v>
      </c>
      <c r="AO654">
        <v>0</v>
      </c>
      <c r="AP654" s="13">
        <f t="shared" si="757"/>
        <v>6031800.0000001397</v>
      </c>
      <c r="AQ654">
        <f t="shared" si="750"/>
        <v>0</v>
      </c>
      <c r="AR654" s="13">
        <f t="shared" si="751"/>
        <v>6031800.0000001397</v>
      </c>
      <c r="AS654" s="112">
        <f t="shared" si="752"/>
        <v>1E-10</v>
      </c>
    </row>
    <row r="655" spans="17:45" x14ac:dyDescent="0.25">
      <c r="Q655" s="127">
        <v>45294.458333333343</v>
      </c>
      <c r="R655">
        <v>0</v>
      </c>
      <c r="S655" s="13">
        <f t="shared" si="756"/>
        <v>6040800.0000001397</v>
      </c>
      <c r="T655">
        <f t="shared" si="753"/>
        <v>0</v>
      </c>
      <c r="U655" s="13">
        <f t="shared" si="754"/>
        <v>6040800.0000001397</v>
      </c>
      <c r="V655" s="112">
        <f t="shared" si="755"/>
        <v>1E-10</v>
      </c>
      <c r="AN655" s="127">
        <v>45294.458333333343</v>
      </c>
      <c r="AO655">
        <v>0</v>
      </c>
      <c r="AP655" s="13">
        <f t="shared" si="757"/>
        <v>6040800.0000001397</v>
      </c>
      <c r="AQ655">
        <f t="shared" si="750"/>
        <v>0</v>
      </c>
      <c r="AR655" s="13">
        <f t="shared" si="751"/>
        <v>6040800.0000001397</v>
      </c>
      <c r="AS655" s="112">
        <f t="shared" si="752"/>
        <v>1E-10</v>
      </c>
    </row>
    <row r="656" spans="17:45" x14ac:dyDescent="0.25">
      <c r="Q656" s="127">
        <v>45294.5625</v>
      </c>
      <c r="R656">
        <v>0</v>
      </c>
      <c r="S656" s="13">
        <f t="shared" si="756"/>
        <v>6049800.0000001397</v>
      </c>
      <c r="T656">
        <f t="shared" si="753"/>
        <v>0</v>
      </c>
      <c r="U656" s="13">
        <f t="shared" si="754"/>
        <v>6049800.0000001397</v>
      </c>
      <c r="V656" s="112">
        <f t="shared" si="755"/>
        <v>1E-10</v>
      </c>
      <c r="AN656" s="127">
        <v>45294.5625</v>
      </c>
      <c r="AO656">
        <v>0</v>
      </c>
      <c r="AP656" s="13">
        <f t="shared" si="757"/>
        <v>6049800.0000001397</v>
      </c>
      <c r="AQ656">
        <f t="shared" si="750"/>
        <v>0</v>
      </c>
      <c r="AR656" s="13">
        <f t="shared" si="751"/>
        <v>6049800.0000001397</v>
      </c>
      <c r="AS656" s="112">
        <f t="shared" si="752"/>
        <v>1E-10</v>
      </c>
    </row>
    <row r="657" spans="17:45" x14ac:dyDescent="0.25">
      <c r="Q657" s="127">
        <v>45294.666666666657</v>
      </c>
      <c r="R657">
        <v>0</v>
      </c>
      <c r="S657" s="13">
        <f t="shared" si="756"/>
        <v>6058800.0000001397</v>
      </c>
      <c r="T657">
        <f t="shared" si="753"/>
        <v>0</v>
      </c>
      <c r="U657" s="13">
        <f t="shared" si="754"/>
        <v>6058800.0000001397</v>
      </c>
      <c r="V657" s="112">
        <f t="shared" si="755"/>
        <v>1E-10</v>
      </c>
      <c r="AN657" s="127">
        <v>45294.666666666657</v>
      </c>
      <c r="AO657">
        <v>0</v>
      </c>
      <c r="AP657" s="13">
        <f t="shared" si="757"/>
        <v>6058800.0000001397</v>
      </c>
      <c r="AQ657">
        <f t="shared" si="750"/>
        <v>0</v>
      </c>
      <c r="AR657" s="13">
        <f t="shared" si="751"/>
        <v>6058800.0000001397</v>
      </c>
      <c r="AS657" s="112">
        <f t="shared" si="752"/>
        <v>1E-10</v>
      </c>
    </row>
    <row r="658" spans="17:45" x14ac:dyDescent="0.25">
      <c r="Q658" s="127">
        <v>45294.770833333343</v>
      </c>
      <c r="R658">
        <v>0</v>
      </c>
      <c r="S658" s="13">
        <f t="shared" si="756"/>
        <v>6067800.0000001397</v>
      </c>
      <c r="T658">
        <f t="shared" si="753"/>
        <v>0</v>
      </c>
      <c r="U658" s="13">
        <f t="shared" si="754"/>
        <v>6067800.0000001397</v>
      </c>
      <c r="V658" s="112">
        <f t="shared" si="755"/>
        <v>1E-10</v>
      </c>
      <c r="AN658" s="127">
        <v>45294.770833333343</v>
      </c>
      <c r="AO658">
        <v>0</v>
      </c>
      <c r="AP658" s="13">
        <f t="shared" si="757"/>
        <v>6067800.0000001397</v>
      </c>
      <c r="AQ658">
        <f t="shared" si="750"/>
        <v>0</v>
      </c>
      <c r="AR658" s="13">
        <f t="shared" si="751"/>
        <v>6067800.0000001397</v>
      </c>
      <c r="AS658" s="112">
        <f t="shared" si="752"/>
        <v>1E-10</v>
      </c>
    </row>
    <row r="659" spans="17:45" x14ac:dyDescent="0.25">
      <c r="Q659" s="127">
        <v>45294.875</v>
      </c>
      <c r="R659">
        <v>0</v>
      </c>
      <c r="S659" s="13">
        <f t="shared" si="756"/>
        <v>6076800.0000001397</v>
      </c>
      <c r="T659">
        <f t="shared" si="753"/>
        <v>0</v>
      </c>
      <c r="U659" s="13">
        <f t="shared" si="754"/>
        <v>6076800.0000001397</v>
      </c>
      <c r="V659" s="112">
        <f t="shared" si="755"/>
        <v>1E-10</v>
      </c>
      <c r="AN659" s="127">
        <v>45294.875</v>
      </c>
      <c r="AO659">
        <v>0</v>
      </c>
      <c r="AP659" s="13">
        <f t="shared" si="757"/>
        <v>6076800.0000001397</v>
      </c>
      <c r="AQ659">
        <f t="shared" si="750"/>
        <v>0</v>
      </c>
      <c r="AR659" s="13">
        <f t="shared" si="751"/>
        <v>6076800.0000001397</v>
      </c>
      <c r="AS659" s="112">
        <f t="shared" si="752"/>
        <v>1E-10</v>
      </c>
    </row>
    <row r="660" spans="17:45" x14ac:dyDescent="0.25">
      <c r="Q660" s="127">
        <v>45294.979166666657</v>
      </c>
      <c r="R660">
        <v>0</v>
      </c>
      <c r="S660" s="13">
        <f t="shared" si="756"/>
        <v>6085800.0000001397</v>
      </c>
      <c r="T660">
        <f t="shared" si="753"/>
        <v>0</v>
      </c>
      <c r="U660" s="13">
        <f t="shared" si="754"/>
        <v>6085800.0000001397</v>
      </c>
      <c r="V660" s="112">
        <f t="shared" si="755"/>
        <v>1E-10</v>
      </c>
      <c r="AN660" s="127">
        <v>45294.979166666657</v>
      </c>
      <c r="AO660">
        <v>0</v>
      </c>
      <c r="AP660" s="13">
        <f t="shared" si="757"/>
        <v>6085800.0000001397</v>
      </c>
      <c r="AQ660">
        <f t="shared" si="750"/>
        <v>0</v>
      </c>
      <c r="AR660" s="13">
        <f t="shared" si="751"/>
        <v>6085800.0000001397</v>
      </c>
      <c r="AS660" s="112">
        <f t="shared" si="752"/>
        <v>1E-10</v>
      </c>
    </row>
    <row r="661" spans="17:45" x14ac:dyDescent="0.25">
      <c r="Q661" s="127">
        <v>45295.083333333343</v>
      </c>
      <c r="R661">
        <v>0</v>
      </c>
      <c r="S661" s="13">
        <f t="shared" si="756"/>
        <v>6094800.0000001397</v>
      </c>
      <c r="T661">
        <f t="shared" si="753"/>
        <v>0</v>
      </c>
      <c r="U661" s="13">
        <f t="shared" si="754"/>
        <v>6094800.0000001397</v>
      </c>
      <c r="V661" s="112">
        <f t="shared" si="755"/>
        <v>1E-10</v>
      </c>
      <c r="AN661" s="127">
        <v>45295.083333333343</v>
      </c>
      <c r="AO661">
        <v>0</v>
      </c>
      <c r="AP661" s="13">
        <f t="shared" si="757"/>
        <v>6094800.0000001397</v>
      </c>
      <c r="AQ661">
        <f t="shared" si="750"/>
        <v>0</v>
      </c>
      <c r="AR661" s="13">
        <f t="shared" si="751"/>
        <v>6094800.0000001397</v>
      </c>
      <c r="AS661" s="112">
        <f t="shared" si="752"/>
        <v>1E-10</v>
      </c>
    </row>
    <row r="662" spans="17:45" x14ac:dyDescent="0.25">
      <c r="Q662" s="127">
        <v>45295.1875</v>
      </c>
      <c r="R662">
        <v>0</v>
      </c>
      <c r="S662" s="13">
        <f t="shared" si="756"/>
        <v>6103800.0000001397</v>
      </c>
      <c r="T662">
        <f t="shared" si="753"/>
        <v>0</v>
      </c>
      <c r="U662" s="13">
        <f t="shared" si="754"/>
        <v>6103800.0000001397</v>
      </c>
      <c r="V662" s="112">
        <f t="shared" si="755"/>
        <v>1E-10</v>
      </c>
      <c r="AN662" s="127">
        <v>45295.1875</v>
      </c>
      <c r="AO662">
        <v>0</v>
      </c>
      <c r="AP662" s="13">
        <f t="shared" si="757"/>
        <v>6103800.0000001397</v>
      </c>
      <c r="AQ662">
        <f t="shared" si="750"/>
        <v>0</v>
      </c>
      <c r="AR662" s="13">
        <f t="shared" si="751"/>
        <v>6103800.0000001397</v>
      </c>
      <c r="AS662" s="112">
        <f t="shared" si="752"/>
        <v>1E-10</v>
      </c>
    </row>
    <row r="663" spans="17:45" x14ac:dyDescent="0.25">
      <c r="Q663" s="127">
        <v>45295.291666666657</v>
      </c>
      <c r="R663">
        <v>0</v>
      </c>
      <c r="S663" s="13">
        <f t="shared" si="756"/>
        <v>6112800.0000001397</v>
      </c>
      <c r="T663">
        <f t="shared" si="753"/>
        <v>0</v>
      </c>
      <c r="U663" s="13">
        <f t="shared" si="754"/>
        <v>6112800.0000001397</v>
      </c>
      <c r="V663" s="112">
        <f t="shared" si="755"/>
        <v>1E-10</v>
      </c>
      <c r="AN663" s="127">
        <v>45295.291666666657</v>
      </c>
      <c r="AO663">
        <v>0</v>
      </c>
      <c r="AP663" s="13">
        <f t="shared" si="757"/>
        <v>6112800.0000001397</v>
      </c>
      <c r="AQ663">
        <f t="shared" si="750"/>
        <v>0</v>
      </c>
      <c r="AR663" s="13">
        <f t="shared" si="751"/>
        <v>6112800.0000001397</v>
      </c>
      <c r="AS663" s="112">
        <f t="shared" si="752"/>
        <v>1E-10</v>
      </c>
    </row>
    <row r="664" spans="17:45" x14ac:dyDescent="0.25">
      <c r="Q664" s="127">
        <v>45295.395833333343</v>
      </c>
      <c r="R664">
        <v>0</v>
      </c>
      <c r="S664" s="13">
        <f t="shared" si="756"/>
        <v>6121800.0000001397</v>
      </c>
      <c r="T664">
        <f t="shared" si="753"/>
        <v>0</v>
      </c>
      <c r="U664" s="13">
        <f t="shared" si="754"/>
        <v>6121800.0000001397</v>
      </c>
      <c r="V664" s="112">
        <f t="shared" si="755"/>
        <v>1E-10</v>
      </c>
      <c r="AN664" s="127">
        <v>45295.395833333343</v>
      </c>
      <c r="AO664">
        <v>0</v>
      </c>
      <c r="AP664" s="13">
        <f t="shared" si="757"/>
        <v>6121800.0000001397</v>
      </c>
      <c r="AQ664">
        <f t="shared" si="750"/>
        <v>0</v>
      </c>
      <c r="AR664" s="13">
        <f t="shared" si="751"/>
        <v>6121800.0000001397</v>
      </c>
      <c r="AS664" s="112">
        <f t="shared" si="752"/>
        <v>1E-10</v>
      </c>
    </row>
    <row r="665" spans="17:45" x14ac:dyDescent="0.25">
      <c r="Q665" s="127">
        <v>45295.5</v>
      </c>
      <c r="R665">
        <v>0</v>
      </c>
      <c r="S665" s="13">
        <f t="shared" si="756"/>
        <v>6130800.0000001397</v>
      </c>
      <c r="T665">
        <f t="shared" si="753"/>
        <v>0</v>
      </c>
      <c r="U665" s="13">
        <f t="shared" si="754"/>
        <v>6130800.0000001397</v>
      </c>
      <c r="V665" s="112">
        <f t="shared" si="755"/>
        <v>1E-10</v>
      </c>
      <c r="AN665" s="127">
        <v>45295.5</v>
      </c>
      <c r="AO665">
        <v>0</v>
      </c>
      <c r="AP665" s="13">
        <f t="shared" si="757"/>
        <v>6130800.0000001397</v>
      </c>
      <c r="AQ665">
        <f t="shared" si="750"/>
        <v>0</v>
      </c>
      <c r="AR665" s="13">
        <f t="shared" si="751"/>
        <v>6130800.0000001397</v>
      </c>
      <c r="AS665" s="112">
        <f t="shared" si="752"/>
        <v>1E-10</v>
      </c>
    </row>
    <row r="666" spans="17:45" x14ac:dyDescent="0.25">
      <c r="Q666" s="127">
        <v>45295.604166666657</v>
      </c>
      <c r="R666">
        <v>0</v>
      </c>
      <c r="S666" s="13">
        <f t="shared" si="756"/>
        <v>6139800.0000001397</v>
      </c>
      <c r="T666">
        <f t="shared" si="753"/>
        <v>0</v>
      </c>
      <c r="U666" s="13">
        <f t="shared" si="754"/>
        <v>6139800.0000001397</v>
      </c>
      <c r="V666" s="112">
        <f t="shared" si="755"/>
        <v>1E-10</v>
      </c>
      <c r="AN666" s="127">
        <v>45295.604166666657</v>
      </c>
      <c r="AO666">
        <v>0</v>
      </c>
      <c r="AP666" s="13">
        <f t="shared" si="757"/>
        <v>6139800.0000001397</v>
      </c>
      <c r="AQ666">
        <f t="shared" si="750"/>
        <v>0</v>
      </c>
      <c r="AR666" s="13">
        <f t="shared" si="751"/>
        <v>6139800.0000001397</v>
      </c>
      <c r="AS666" s="112">
        <f t="shared" si="752"/>
        <v>1E-10</v>
      </c>
    </row>
    <row r="667" spans="17:45" x14ac:dyDescent="0.25">
      <c r="Q667" s="127">
        <v>45295.708333333343</v>
      </c>
      <c r="R667">
        <v>0</v>
      </c>
      <c r="S667" s="13">
        <f t="shared" si="756"/>
        <v>6148800.0000001397</v>
      </c>
      <c r="T667">
        <f t="shared" si="753"/>
        <v>0</v>
      </c>
      <c r="U667" s="13">
        <f t="shared" si="754"/>
        <v>6148800.0000001397</v>
      </c>
      <c r="V667" s="112">
        <f t="shared" si="755"/>
        <v>1E-10</v>
      </c>
      <c r="AN667" s="127">
        <v>45295.708333333343</v>
      </c>
      <c r="AO667">
        <v>0</v>
      </c>
      <c r="AP667" s="13">
        <f t="shared" si="757"/>
        <v>6148800.0000001397</v>
      </c>
      <c r="AQ667">
        <f t="shared" si="750"/>
        <v>0</v>
      </c>
      <c r="AR667" s="13">
        <f t="shared" si="751"/>
        <v>6148800.0000001397</v>
      </c>
      <c r="AS667" s="112">
        <f t="shared" si="752"/>
        <v>1E-10</v>
      </c>
    </row>
    <row r="668" spans="17:45" x14ac:dyDescent="0.25">
      <c r="Q668" s="127">
        <v>45295.8125</v>
      </c>
      <c r="R668">
        <v>0</v>
      </c>
      <c r="S668" s="13">
        <f t="shared" si="756"/>
        <v>6157800.0000001397</v>
      </c>
      <c r="T668">
        <f t="shared" si="753"/>
        <v>0</v>
      </c>
      <c r="U668" s="13">
        <f t="shared" si="754"/>
        <v>6157800.0000001397</v>
      </c>
      <c r="V668" s="112">
        <f t="shared" si="755"/>
        <v>1E-10</v>
      </c>
      <c r="AN668" s="127">
        <v>45295.8125</v>
      </c>
      <c r="AO668">
        <v>0</v>
      </c>
      <c r="AP668" s="13">
        <f t="shared" si="757"/>
        <v>6157800.0000001397</v>
      </c>
      <c r="AQ668">
        <f t="shared" si="750"/>
        <v>0</v>
      </c>
      <c r="AR668" s="13">
        <f t="shared" si="751"/>
        <v>6157800.0000001397</v>
      </c>
      <c r="AS668" s="112">
        <f t="shared" si="752"/>
        <v>1E-10</v>
      </c>
    </row>
    <row r="669" spans="17:45" x14ac:dyDescent="0.25">
      <c r="Q669" s="127">
        <v>45295.916666666657</v>
      </c>
      <c r="R669">
        <v>0</v>
      </c>
      <c r="S669" s="13">
        <f t="shared" si="756"/>
        <v>6166800.0000001397</v>
      </c>
      <c r="T669">
        <f t="shared" si="753"/>
        <v>0</v>
      </c>
      <c r="U669" s="13">
        <f t="shared" si="754"/>
        <v>6166800.0000001397</v>
      </c>
      <c r="V669" s="112">
        <f t="shared" si="755"/>
        <v>1E-10</v>
      </c>
      <c r="AN669" s="127">
        <v>45295.916666666657</v>
      </c>
      <c r="AO669">
        <v>0</v>
      </c>
      <c r="AP669" s="13">
        <f t="shared" si="757"/>
        <v>6166800.0000001397</v>
      </c>
      <c r="AQ669">
        <f t="shared" si="750"/>
        <v>0</v>
      </c>
      <c r="AR669" s="13">
        <f t="shared" si="751"/>
        <v>6166800.0000001397</v>
      </c>
      <c r="AS669" s="112">
        <f t="shared" si="752"/>
        <v>1E-10</v>
      </c>
    </row>
    <row r="670" spans="17:45" x14ac:dyDescent="0.25">
      <c r="Q670" s="127">
        <v>45296.020833333343</v>
      </c>
      <c r="R670">
        <v>0</v>
      </c>
      <c r="S670" s="13">
        <f t="shared" si="756"/>
        <v>6175800.0000001397</v>
      </c>
      <c r="T670">
        <f t="shared" si="753"/>
        <v>0</v>
      </c>
      <c r="U670" s="13">
        <f t="shared" si="754"/>
        <v>6175800.0000001397</v>
      </c>
      <c r="V670" s="112">
        <f t="shared" si="755"/>
        <v>1E-10</v>
      </c>
      <c r="AN670" s="127">
        <v>45296.020833333343</v>
      </c>
      <c r="AO670">
        <v>0</v>
      </c>
      <c r="AP670" s="13">
        <f t="shared" si="757"/>
        <v>6175800.0000001397</v>
      </c>
      <c r="AQ670">
        <f t="shared" si="750"/>
        <v>0</v>
      </c>
      <c r="AR670" s="13">
        <f t="shared" si="751"/>
        <v>6175800.0000001397</v>
      </c>
      <c r="AS670" s="112">
        <f t="shared" si="752"/>
        <v>1E-10</v>
      </c>
    </row>
    <row r="671" spans="17:45" x14ac:dyDescent="0.25">
      <c r="Q671" s="127">
        <v>45296.125</v>
      </c>
      <c r="R671">
        <v>0</v>
      </c>
      <c r="S671" s="13">
        <f t="shared" si="756"/>
        <v>6184800.0000001397</v>
      </c>
      <c r="T671">
        <f t="shared" si="753"/>
        <v>0</v>
      </c>
      <c r="U671" s="13">
        <f t="shared" si="754"/>
        <v>6184800.0000001397</v>
      </c>
      <c r="V671" s="112">
        <f t="shared" si="755"/>
        <v>1E-10</v>
      </c>
      <c r="AN671" s="127">
        <v>45296.125</v>
      </c>
      <c r="AO671">
        <v>0</v>
      </c>
      <c r="AP671" s="13">
        <f t="shared" si="757"/>
        <v>6184800.0000001397</v>
      </c>
      <c r="AQ671">
        <f t="shared" si="750"/>
        <v>0</v>
      </c>
      <c r="AR671" s="13">
        <f t="shared" si="751"/>
        <v>6184800.0000001397</v>
      </c>
      <c r="AS671" s="112">
        <f t="shared" si="752"/>
        <v>1E-10</v>
      </c>
    </row>
    <row r="672" spans="17:45" x14ac:dyDescent="0.25">
      <c r="Q672" s="127">
        <v>45296.229166666657</v>
      </c>
      <c r="R672">
        <v>0</v>
      </c>
      <c r="S672" s="13">
        <f t="shared" si="756"/>
        <v>6193800.0000001397</v>
      </c>
      <c r="T672">
        <f t="shared" si="753"/>
        <v>0</v>
      </c>
      <c r="U672" s="13">
        <f t="shared" si="754"/>
        <v>6193800.0000001397</v>
      </c>
      <c r="V672" s="112">
        <f t="shared" si="755"/>
        <v>1E-10</v>
      </c>
      <c r="AN672" s="127">
        <v>45296.229166666657</v>
      </c>
      <c r="AO672">
        <v>0</v>
      </c>
      <c r="AP672" s="13">
        <f t="shared" si="757"/>
        <v>6193800.0000001397</v>
      </c>
      <c r="AQ672">
        <f t="shared" si="750"/>
        <v>0</v>
      </c>
      <c r="AR672" s="13">
        <f t="shared" si="751"/>
        <v>6193800.0000001397</v>
      </c>
      <c r="AS672" s="112">
        <f t="shared" si="752"/>
        <v>1E-10</v>
      </c>
    </row>
    <row r="673" spans="17:45" x14ac:dyDescent="0.25">
      <c r="Q673" s="127">
        <v>45296.333333333343</v>
      </c>
      <c r="R673">
        <v>0</v>
      </c>
      <c r="S673" s="13">
        <f t="shared" si="756"/>
        <v>6202800.0000001397</v>
      </c>
      <c r="T673">
        <f t="shared" si="753"/>
        <v>0</v>
      </c>
      <c r="U673" s="13">
        <f t="shared" si="754"/>
        <v>6202800.0000001397</v>
      </c>
      <c r="V673" s="112">
        <f t="shared" si="755"/>
        <v>1E-10</v>
      </c>
      <c r="AN673" s="127">
        <v>45296.333333333343</v>
      </c>
      <c r="AO673">
        <v>0</v>
      </c>
      <c r="AP673" s="13">
        <f t="shared" si="757"/>
        <v>6202800.0000001397</v>
      </c>
      <c r="AQ673">
        <f t="shared" si="750"/>
        <v>0</v>
      </c>
      <c r="AR673" s="13">
        <f t="shared" si="751"/>
        <v>6202800.0000001397</v>
      </c>
      <c r="AS673" s="112">
        <f t="shared" si="752"/>
        <v>1E-10</v>
      </c>
    </row>
    <row r="674" spans="17:45" x14ac:dyDescent="0.25">
      <c r="Q674" s="127">
        <v>45296.4375</v>
      </c>
      <c r="R674">
        <v>0</v>
      </c>
      <c r="S674" s="13">
        <f t="shared" si="756"/>
        <v>6211800.0000001397</v>
      </c>
      <c r="T674">
        <f t="shared" si="753"/>
        <v>0</v>
      </c>
      <c r="U674" s="13">
        <f t="shared" si="754"/>
        <v>6211800.0000001397</v>
      </c>
      <c r="V674" s="112">
        <f t="shared" si="755"/>
        <v>1E-10</v>
      </c>
      <c r="AN674" s="127">
        <v>45296.4375</v>
      </c>
      <c r="AO674">
        <v>0</v>
      </c>
      <c r="AP674" s="13">
        <f t="shared" si="757"/>
        <v>6211800.0000001397</v>
      </c>
      <c r="AQ674">
        <f t="shared" si="750"/>
        <v>0</v>
      </c>
      <c r="AR674" s="13">
        <f t="shared" si="751"/>
        <v>6211800.0000001397</v>
      </c>
      <c r="AS674" s="112">
        <f t="shared" si="752"/>
        <v>1E-10</v>
      </c>
    </row>
    <row r="675" spans="17:45" x14ac:dyDescent="0.25">
      <c r="Q675" s="127">
        <v>45296.541666666657</v>
      </c>
      <c r="R675">
        <v>0</v>
      </c>
      <c r="S675" s="13">
        <f t="shared" si="756"/>
        <v>6220800.0000001397</v>
      </c>
      <c r="T675">
        <f t="shared" si="753"/>
        <v>0</v>
      </c>
      <c r="U675" s="13">
        <f t="shared" si="754"/>
        <v>6220800.0000001397</v>
      </c>
      <c r="V675" s="112">
        <f t="shared" si="755"/>
        <v>1E-10</v>
      </c>
      <c r="AN675" s="127">
        <v>45296.541666666657</v>
      </c>
      <c r="AO675">
        <v>0</v>
      </c>
      <c r="AP675" s="13">
        <f t="shared" si="757"/>
        <v>6220800.0000001397</v>
      </c>
      <c r="AQ675">
        <f t="shared" ref="AQ675:AQ738" si="758">AO675*96</f>
        <v>0</v>
      </c>
      <c r="AR675" s="13">
        <f t="shared" ref="AR675:AR738" si="759">AP675</f>
        <v>6220800.0000001397</v>
      </c>
      <c r="AS675" s="112">
        <f t="shared" ref="AS675:AS738" si="760">IF(AQ675=0,0.0000000001,AQ675)</f>
        <v>1E-10</v>
      </c>
    </row>
    <row r="676" spans="17:45" x14ac:dyDescent="0.25">
      <c r="Q676" s="127">
        <v>45296.645833333343</v>
      </c>
      <c r="R676">
        <v>0</v>
      </c>
      <c r="S676" s="13">
        <f t="shared" si="756"/>
        <v>6229800.0000001397</v>
      </c>
      <c r="T676">
        <f t="shared" si="753"/>
        <v>0</v>
      </c>
      <c r="U676" s="13">
        <f t="shared" si="754"/>
        <v>6229800.0000001397</v>
      </c>
      <c r="V676" s="112">
        <f t="shared" si="755"/>
        <v>1E-10</v>
      </c>
      <c r="AN676" s="127">
        <v>45296.645833333343</v>
      </c>
      <c r="AO676">
        <v>0</v>
      </c>
      <c r="AP676" s="13">
        <f t="shared" si="757"/>
        <v>6229800.0000001397</v>
      </c>
      <c r="AQ676">
        <f t="shared" si="758"/>
        <v>0</v>
      </c>
      <c r="AR676" s="13">
        <f t="shared" si="759"/>
        <v>6229800.0000001397</v>
      </c>
      <c r="AS676" s="112">
        <f t="shared" si="760"/>
        <v>1E-10</v>
      </c>
    </row>
    <row r="677" spans="17:45" x14ac:dyDescent="0.25">
      <c r="Q677" s="127">
        <v>45296.75</v>
      </c>
      <c r="R677">
        <v>0</v>
      </c>
      <c r="S677" s="13">
        <f t="shared" si="756"/>
        <v>6238800.0000001397</v>
      </c>
      <c r="T677">
        <f t="shared" si="753"/>
        <v>0</v>
      </c>
      <c r="U677" s="13">
        <f t="shared" si="754"/>
        <v>6238800.0000001397</v>
      </c>
      <c r="V677" s="112">
        <f t="shared" si="755"/>
        <v>1E-10</v>
      </c>
      <c r="AN677" s="127">
        <v>45296.75</v>
      </c>
      <c r="AO677">
        <v>0</v>
      </c>
      <c r="AP677" s="13">
        <f t="shared" si="757"/>
        <v>6238800.0000001397</v>
      </c>
      <c r="AQ677">
        <f t="shared" si="758"/>
        <v>0</v>
      </c>
      <c r="AR677" s="13">
        <f t="shared" si="759"/>
        <v>6238800.0000001397</v>
      </c>
      <c r="AS677" s="112">
        <f t="shared" si="760"/>
        <v>1E-10</v>
      </c>
    </row>
    <row r="678" spans="17:45" x14ac:dyDescent="0.25">
      <c r="Q678" s="127">
        <v>45296.854166666657</v>
      </c>
      <c r="R678">
        <v>0</v>
      </c>
      <c r="S678" s="13">
        <f t="shared" si="756"/>
        <v>6247800.0000001397</v>
      </c>
      <c r="T678">
        <f t="shared" si="753"/>
        <v>0</v>
      </c>
      <c r="U678" s="13">
        <f t="shared" si="754"/>
        <v>6247800.0000001397</v>
      </c>
      <c r="V678" s="112">
        <f t="shared" si="755"/>
        <v>1E-10</v>
      </c>
      <c r="AN678" s="127">
        <v>45296.854166666657</v>
      </c>
      <c r="AO678">
        <v>0</v>
      </c>
      <c r="AP678" s="13">
        <f t="shared" si="757"/>
        <v>6247800.0000001397</v>
      </c>
      <c r="AQ678">
        <f t="shared" si="758"/>
        <v>0</v>
      </c>
      <c r="AR678" s="13">
        <f t="shared" si="759"/>
        <v>6247800.0000001397</v>
      </c>
      <c r="AS678" s="112">
        <f t="shared" si="760"/>
        <v>1E-10</v>
      </c>
    </row>
    <row r="679" spans="17:45" x14ac:dyDescent="0.25">
      <c r="Q679" s="127">
        <v>45296.958333333343</v>
      </c>
      <c r="R679">
        <v>0</v>
      </c>
      <c r="S679" s="13">
        <f t="shared" si="756"/>
        <v>6256800.0000001397</v>
      </c>
      <c r="T679">
        <f t="shared" si="753"/>
        <v>0</v>
      </c>
      <c r="U679" s="13">
        <f t="shared" si="754"/>
        <v>6256800.0000001397</v>
      </c>
      <c r="V679" s="112">
        <f t="shared" si="755"/>
        <v>1E-10</v>
      </c>
      <c r="AN679" s="127">
        <v>45296.958333333343</v>
      </c>
      <c r="AO679">
        <v>0</v>
      </c>
      <c r="AP679" s="13">
        <f t="shared" si="757"/>
        <v>6256800.0000001397</v>
      </c>
      <c r="AQ679">
        <f t="shared" si="758"/>
        <v>0</v>
      </c>
      <c r="AR679" s="13">
        <f t="shared" si="759"/>
        <v>6256800.0000001397</v>
      </c>
      <c r="AS679" s="112">
        <f t="shared" si="760"/>
        <v>1E-10</v>
      </c>
    </row>
    <row r="680" spans="17:45" x14ac:dyDescent="0.25">
      <c r="Q680" s="127">
        <v>45297.0625</v>
      </c>
      <c r="R680">
        <v>0</v>
      </c>
      <c r="S680" s="13">
        <f t="shared" si="756"/>
        <v>6265800.0000001397</v>
      </c>
      <c r="T680">
        <f t="shared" si="753"/>
        <v>0</v>
      </c>
      <c r="U680" s="13">
        <f t="shared" si="754"/>
        <v>6265800.0000001397</v>
      </c>
      <c r="V680" s="112">
        <f t="shared" si="755"/>
        <v>1E-10</v>
      </c>
      <c r="AN680" s="127">
        <v>45297.0625</v>
      </c>
      <c r="AO680">
        <v>0</v>
      </c>
      <c r="AP680" s="13">
        <f t="shared" si="757"/>
        <v>6265800.0000001397</v>
      </c>
      <c r="AQ680">
        <f t="shared" si="758"/>
        <v>0</v>
      </c>
      <c r="AR680" s="13">
        <f t="shared" si="759"/>
        <v>6265800.0000001397</v>
      </c>
      <c r="AS680" s="112">
        <f t="shared" si="760"/>
        <v>1E-10</v>
      </c>
    </row>
    <row r="681" spans="17:45" x14ac:dyDescent="0.25">
      <c r="Q681" s="127">
        <v>45297.166666666657</v>
      </c>
      <c r="R681">
        <v>0</v>
      </c>
      <c r="S681" s="13">
        <f t="shared" si="756"/>
        <v>6274800.0000001397</v>
      </c>
      <c r="T681">
        <f t="shared" si="753"/>
        <v>0</v>
      </c>
      <c r="U681" s="13">
        <f t="shared" si="754"/>
        <v>6274800.0000001397</v>
      </c>
      <c r="V681" s="112">
        <f t="shared" si="755"/>
        <v>1E-10</v>
      </c>
      <c r="AN681" s="127">
        <v>45297.166666666657</v>
      </c>
      <c r="AO681">
        <v>0</v>
      </c>
      <c r="AP681" s="13">
        <f t="shared" si="757"/>
        <v>6274800.0000001397</v>
      </c>
      <c r="AQ681">
        <f t="shared" si="758"/>
        <v>0</v>
      </c>
      <c r="AR681" s="13">
        <f t="shared" si="759"/>
        <v>6274800.0000001397</v>
      </c>
      <c r="AS681" s="112">
        <f t="shared" si="760"/>
        <v>1E-10</v>
      </c>
    </row>
    <row r="682" spans="17:45" x14ac:dyDescent="0.25">
      <c r="Q682" s="127">
        <v>45297.270833333343</v>
      </c>
      <c r="R682">
        <v>0</v>
      </c>
      <c r="S682" s="13">
        <f t="shared" si="756"/>
        <v>6283800.0000001397</v>
      </c>
      <c r="T682">
        <f t="shared" si="753"/>
        <v>0</v>
      </c>
      <c r="U682" s="13">
        <f t="shared" si="754"/>
        <v>6283800.0000001397</v>
      </c>
      <c r="V682" s="112">
        <f t="shared" si="755"/>
        <v>1E-10</v>
      </c>
      <c r="AN682" s="127">
        <v>45297.270833333343</v>
      </c>
      <c r="AO682">
        <v>0</v>
      </c>
      <c r="AP682" s="13">
        <f t="shared" si="757"/>
        <v>6283800.0000001397</v>
      </c>
      <c r="AQ682">
        <f t="shared" si="758"/>
        <v>0</v>
      </c>
      <c r="AR682" s="13">
        <f t="shared" si="759"/>
        <v>6283800.0000001397</v>
      </c>
      <c r="AS682" s="112">
        <f t="shared" si="760"/>
        <v>1E-10</v>
      </c>
    </row>
    <row r="683" spans="17:45" x14ac:dyDescent="0.25">
      <c r="Q683" s="127">
        <v>45297.375</v>
      </c>
      <c r="R683">
        <v>0</v>
      </c>
      <c r="S683" s="13">
        <f t="shared" si="756"/>
        <v>6292800.0000001397</v>
      </c>
      <c r="T683">
        <f t="shared" si="753"/>
        <v>0</v>
      </c>
      <c r="U683" s="13">
        <f t="shared" si="754"/>
        <v>6292800.0000001397</v>
      </c>
      <c r="V683" s="112">
        <f t="shared" si="755"/>
        <v>1E-10</v>
      </c>
      <c r="AN683" s="127">
        <v>45297.375</v>
      </c>
      <c r="AO683">
        <v>0</v>
      </c>
      <c r="AP683" s="13">
        <f t="shared" si="757"/>
        <v>6292800.0000001397</v>
      </c>
      <c r="AQ683">
        <f t="shared" si="758"/>
        <v>0</v>
      </c>
      <c r="AR683" s="13">
        <f t="shared" si="759"/>
        <v>6292800.0000001397</v>
      </c>
      <c r="AS683" s="112">
        <f t="shared" si="760"/>
        <v>1E-10</v>
      </c>
    </row>
    <row r="684" spans="17:45" x14ac:dyDescent="0.25">
      <c r="Q684" s="127">
        <v>45297.479166666657</v>
      </c>
      <c r="R684">
        <v>0</v>
      </c>
      <c r="S684" s="13">
        <f t="shared" si="756"/>
        <v>6301800.0000001397</v>
      </c>
      <c r="T684">
        <f t="shared" si="753"/>
        <v>0</v>
      </c>
      <c r="U684" s="13">
        <f t="shared" si="754"/>
        <v>6301800.0000001397</v>
      </c>
      <c r="V684" s="112">
        <f t="shared" si="755"/>
        <v>1E-10</v>
      </c>
      <c r="AN684" s="127">
        <v>45297.479166666657</v>
      </c>
      <c r="AO684">
        <v>0</v>
      </c>
      <c r="AP684" s="13">
        <f t="shared" si="757"/>
        <v>6301800.0000001397</v>
      </c>
      <c r="AQ684">
        <f t="shared" si="758"/>
        <v>0</v>
      </c>
      <c r="AR684" s="13">
        <f t="shared" si="759"/>
        <v>6301800.0000001397</v>
      </c>
      <c r="AS684" s="112">
        <f t="shared" si="760"/>
        <v>1E-10</v>
      </c>
    </row>
    <row r="685" spans="17:45" x14ac:dyDescent="0.25">
      <c r="Q685" s="127">
        <v>45297.583333333343</v>
      </c>
      <c r="R685">
        <v>0</v>
      </c>
      <c r="S685" s="13">
        <f t="shared" si="756"/>
        <v>6310800.0000001397</v>
      </c>
      <c r="T685">
        <f t="shared" si="753"/>
        <v>0</v>
      </c>
      <c r="U685" s="13">
        <f t="shared" si="754"/>
        <v>6310800.0000001397</v>
      </c>
      <c r="V685" s="112">
        <f t="shared" si="755"/>
        <v>1E-10</v>
      </c>
      <c r="AN685" s="127">
        <v>45297.583333333343</v>
      </c>
      <c r="AO685">
        <v>0</v>
      </c>
      <c r="AP685" s="13">
        <f t="shared" si="757"/>
        <v>6310800.0000001397</v>
      </c>
      <c r="AQ685">
        <f t="shared" si="758"/>
        <v>0</v>
      </c>
      <c r="AR685" s="13">
        <f t="shared" si="759"/>
        <v>6310800.0000001397</v>
      </c>
      <c r="AS685" s="112">
        <f t="shared" si="760"/>
        <v>1E-10</v>
      </c>
    </row>
    <row r="686" spans="17:45" x14ac:dyDescent="0.25">
      <c r="Q686" s="127">
        <v>45297.6875</v>
      </c>
      <c r="R686">
        <v>0</v>
      </c>
      <c r="S686" s="13">
        <f t="shared" si="756"/>
        <v>6319800.0000001397</v>
      </c>
      <c r="T686">
        <f t="shared" si="753"/>
        <v>0</v>
      </c>
      <c r="U686" s="13">
        <f t="shared" si="754"/>
        <v>6319800.0000001397</v>
      </c>
      <c r="V686" s="112">
        <f t="shared" si="755"/>
        <v>1E-10</v>
      </c>
      <c r="AN686" s="127">
        <v>45297.6875</v>
      </c>
      <c r="AO686">
        <v>0</v>
      </c>
      <c r="AP686" s="13">
        <f t="shared" si="757"/>
        <v>6319800.0000001397</v>
      </c>
      <c r="AQ686">
        <f t="shared" si="758"/>
        <v>0</v>
      </c>
      <c r="AR686" s="13">
        <f t="shared" si="759"/>
        <v>6319800.0000001397</v>
      </c>
      <c r="AS686" s="112">
        <f t="shared" si="760"/>
        <v>1E-10</v>
      </c>
    </row>
    <row r="687" spans="17:45" x14ac:dyDescent="0.25">
      <c r="Q687" s="127">
        <v>45297.791666666657</v>
      </c>
      <c r="R687">
        <v>0</v>
      </c>
      <c r="S687" s="13">
        <f t="shared" si="756"/>
        <v>6328800.0000001397</v>
      </c>
      <c r="T687">
        <f t="shared" si="753"/>
        <v>0</v>
      </c>
      <c r="U687" s="13">
        <f t="shared" si="754"/>
        <v>6328800.0000001397</v>
      </c>
      <c r="V687" s="112">
        <f t="shared" si="755"/>
        <v>1E-10</v>
      </c>
      <c r="AN687" s="127">
        <v>45297.791666666657</v>
      </c>
      <c r="AO687">
        <v>0</v>
      </c>
      <c r="AP687" s="13">
        <f t="shared" si="757"/>
        <v>6328800.0000001397</v>
      </c>
      <c r="AQ687">
        <f t="shared" si="758"/>
        <v>0</v>
      </c>
      <c r="AR687" s="13">
        <f t="shared" si="759"/>
        <v>6328800.0000001397</v>
      </c>
      <c r="AS687" s="112">
        <f t="shared" si="760"/>
        <v>1E-10</v>
      </c>
    </row>
    <row r="688" spans="17:45" x14ac:dyDescent="0.25">
      <c r="Q688" s="127">
        <v>45297.895833333343</v>
      </c>
      <c r="R688">
        <v>0</v>
      </c>
      <c r="S688" s="13">
        <f t="shared" si="756"/>
        <v>6337800.0000001397</v>
      </c>
      <c r="T688">
        <f t="shared" si="753"/>
        <v>0</v>
      </c>
      <c r="U688" s="13">
        <f t="shared" si="754"/>
        <v>6337800.0000001397</v>
      </c>
      <c r="V688" s="112">
        <f t="shared" si="755"/>
        <v>1E-10</v>
      </c>
      <c r="AN688" s="127">
        <v>45297.895833333343</v>
      </c>
      <c r="AO688">
        <v>0</v>
      </c>
      <c r="AP688" s="13">
        <f t="shared" si="757"/>
        <v>6337800.0000001397</v>
      </c>
      <c r="AQ688">
        <f t="shared" si="758"/>
        <v>0</v>
      </c>
      <c r="AR688" s="13">
        <f t="shared" si="759"/>
        <v>6337800.0000001397</v>
      </c>
      <c r="AS688" s="112">
        <f t="shared" si="760"/>
        <v>1E-10</v>
      </c>
    </row>
    <row r="689" spans="17:45" x14ac:dyDescent="0.25">
      <c r="Q689" s="127">
        <v>45298</v>
      </c>
      <c r="R689">
        <v>0</v>
      </c>
      <c r="S689" s="13">
        <f t="shared" si="756"/>
        <v>6346800.0000001397</v>
      </c>
      <c r="T689">
        <f t="shared" si="753"/>
        <v>0</v>
      </c>
      <c r="U689" s="13">
        <f t="shared" si="754"/>
        <v>6346800.0000001397</v>
      </c>
      <c r="V689" s="112">
        <f t="shared" si="755"/>
        <v>1E-10</v>
      </c>
      <c r="AN689" s="127">
        <v>45298</v>
      </c>
      <c r="AO689">
        <v>0</v>
      </c>
      <c r="AP689" s="13">
        <f t="shared" si="757"/>
        <v>6346800.0000001397</v>
      </c>
      <c r="AQ689">
        <f t="shared" si="758"/>
        <v>0</v>
      </c>
      <c r="AR689" s="13">
        <f t="shared" si="759"/>
        <v>6346800.0000001397</v>
      </c>
      <c r="AS689" s="112">
        <f t="shared" si="760"/>
        <v>1E-10</v>
      </c>
    </row>
    <row r="690" spans="17:45" x14ac:dyDescent="0.25">
      <c r="Q690" s="127">
        <v>45298.104166666657</v>
      </c>
      <c r="R690">
        <v>0</v>
      </c>
      <c r="S690" s="13">
        <f t="shared" si="756"/>
        <v>6355800.0000001397</v>
      </c>
      <c r="T690">
        <f t="shared" si="753"/>
        <v>0</v>
      </c>
      <c r="U690" s="13">
        <f t="shared" si="754"/>
        <v>6355800.0000001397</v>
      </c>
      <c r="V690" s="112">
        <f t="shared" si="755"/>
        <v>1E-10</v>
      </c>
      <c r="AN690" s="127">
        <v>45298.104166666657</v>
      </c>
      <c r="AO690">
        <v>0</v>
      </c>
      <c r="AP690" s="13">
        <f t="shared" si="757"/>
        <v>6355800.0000001397</v>
      </c>
      <c r="AQ690">
        <f t="shared" si="758"/>
        <v>0</v>
      </c>
      <c r="AR690" s="13">
        <f t="shared" si="759"/>
        <v>6355800.0000001397</v>
      </c>
      <c r="AS690" s="112">
        <f t="shared" si="760"/>
        <v>1E-10</v>
      </c>
    </row>
    <row r="691" spans="17:45" x14ac:dyDescent="0.25">
      <c r="Q691" s="127">
        <v>45298.208333333343</v>
      </c>
      <c r="R691">
        <v>0</v>
      </c>
      <c r="S691" s="13">
        <f t="shared" si="756"/>
        <v>6364800.0000001397</v>
      </c>
      <c r="T691">
        <f t="shared" si="753"/>
        <v>0</v>
      </c>
      <c r="U691" s="13">
        <f t="shared" si="754"/>
        <v>6364800.0000001397</v>
      </c>
      <c r="V691" s="112">
        <f t="shared" si="755"/>
        <v>1E-10</v>
      </c>
      <c r="AN691" s="127">
        <v>45298.208333333343</v>
      </c>
      <c r="AO691">
        <v>0</v>
      </c>
      <c r="AP691" s="13">
        <f t="shared" si="757"/>
        <v>6364800.0000001397</v>
      </c>
      <c r="AQ691">
        <f t="shared" si="758"/>
        <v>0</v>
      </c>
      <c r="AR691" s="13">
        <f t="shared" si="759"/>
        <v>6364800.0000001397</v>
      </c>
      <c r="AS691" s="112">
        <f t="shared" si="760"/>
        <v>1E-10</v>
      </c>
    </row>
    <row r="692" spans="17:45" x14ac:dyDescent="0.25">
      <c r="Q692" s="127">
        <v>45298.3125</v>
      </c>
      <c r="R692">
        <v>0</v>
      </c>
      <c r="S692" s="13">
        <f t="shared" si="756"/>
        <v>6373800.0000001397</v>
      </c>
      <c r="T692">
        <f t="shared" si="753"/>
        <v>0</v>
      </c>
      <c r="U692" s="13">
        <f t="shared" si="754"/>
        <v>6373800.0000001397</v>
      </c>
      <c r="V692" s="112">
        <f t="shared" si="755"/>
        <v>1E-10</v>
      </c>
      <c r="AN692" s="127">
        <v>45298.3125</v>
      </c>
      <c r="AO692">
        <v>0</v>
      </c>
      <c r="AP692" s="13">
        <f t="shared" si="757"/>
        <v>6373800.0000001397</v>
      </c>
      <c r="AQ692">
        <f t="shared" si="758"/>
        <v>0</v>
      </c>
      <c r="AR692" s="13">
        <f t="shared" si="759"/>
        <v>6373800.0000001397</v>
      </c>
      <c r="AS692" s="112">
        <f t="shared" si="760"/>
        <v>1E-10</v>
      </c>
    </row>
    <row r="693" spans="17:45" x14ac:dyDescent="0.25">
      <c r="Q693" s="127">
        <v>45298.416666666657</v>
      </c>
      <c r="R693">
        <v>0</v>
      </c>
      <c r="S693" s="13">
        <f t="shared" si="756"/>
        <v>6382800.0000001397</v>
      </c>
      <c r="T693">
        <f t="shared" si="753"/>
        <v>0</v>
      </c>
      <c r="U693" s="13">
        <f t="shared" si="754"/>
        <v>6382800.0000001397</v>
      </c>
      <c r="V693" s="112">
        <f t="shared" si="755"/>
        <v>1E-10</v>
      </c>
      <c r="AN693" s="127">
        <v>45298.416666666657</v>
      </c>
      <c r="AO693">
        <v>0</v>
      </c>
      <c r="AP693" s="13">
        <f t="shared" si="757"/>
        <v>6382800.0000001397</v>
      </c>
      <c r="AQ693">
        <f t="shared" si="758"/>
        <v>0</v>
      </c>
      <c r="AR693" s="13">
        <f t="shared" si="759"/>
        <v>6382800.0000001397</v>
      </c>
      <c r="AS693" s="112">
        <f t="shared" si="760"/>
        <v>1E-10</v>
      </c>
    </row>
    <row r="694" spans="17:45" x14ac:dyDescent="0.25">
      <c r="Q694" s="127">
        <v>45298.520833333343</v>
      </c>
      <c r="R694">
        <v>0</v>
      </c>
      <c r="S694" s="13">
        <f t="shared" si="756"/>
        <v>6391800.0000001397</v>
      </c>
      <c r="T694">
        <f t="shared" si="753"/>
        <v>0</v>
      </c>
      <c r="U694" s="13">
        <f t="shared" si="754"/>
        <v>6391800.0000001397</v>
      </c>
      <c r="V694" s="112">
        <f t="shared" si="755"/>
        <v>1E-10</v>
      </c>
      <c r="AN694" s="127">
        <v>45298.520833333343</v>
      </c>
      <c r="AO694">
        <v>0</v>
      </c>
      <c r="AP694" s="13">
        <f t="shared" si="757"/>
        <v>6391800.0000001397</v>
      </c>
      <c r="AQ694">
        <f t="shared" si="758"/>
        <v>0</v>
      </c>
      <c r="AR694" s="13">
        <f t="shared" si="759"/>
        <v>6391800.0000001397</v>
      </c>
      <c r="AS694" s="112">
        <f t="shared" si="760"/>
        <v>1E-10</v>
      </c>
    </row>
    <row r="695" spans="17:45" x14ac:dyDescent="0.25">
      <c r="Q695" s="127">
        <v>45298.625</v>
      </c>
      <c r="R695">
        <v>0</v>
      </c>
      <c r="S695" s="13">
        <f t="shared" si="756"/>
        <v>6400800.0000001397</v>
      </c>
      <c r="T695">
        <f t="shared" si="753"/>
        <v>0</v>
      </c>
      <c r="U695" s="13">
        <f t="shared" si="754"/>
        <v>6400800.0000001397</v>
      </c>
      <c r="V695" s="112">
        <f t="shared" si="755"/>
        <v>1E-10</v>
      </c>
      <c r="AN695" s="127">
        <v>45298.625</v>
      </c>
      <c r="AO695">
        <v>0</v>
      </c>
      <c r="AP695" s="13">
        <f t="shared" si="757"/>
        <v>6400800.0000001397</v>
      </c>
      <c r="AQ695">
        <f t="shared" si="758"/>
        <v>0</v>
      </c>
      <c r="AR695" s="13">
        <f t="shared" si="759"/>
        <v>6400800.0000001397</v>
      </c>
      <c r="AS695" s="112">
        <f t="shared" si="760"/>
        <v>1E-10</v>
      </c>
    </row>
    <row r="696" spans="17:45" x14ac:dyDescent="0.25">
      <c r="Q696" s="127">
        <v>45298.729166666657</v>
      </c>
      <c r="R696">
        <v>0</v>
      </c>
      <c r="S696" s="13">
        <f t="shared" si="756"/>
        <v>6409800.0000001397</v>
      </c>
      <c r="T696">
        <f t="shared" si="753"/>
        <v>0</v>
      </c>
      <c r="U696" s="13">
        <f t="shared" si="754"/>
        <v>6409800.0000001397</v>
      </c>
      <c r="V696" s="112">
        <f t="shared" si="755"/>
        <v>1E-10</v>
      </c>
      <c r="AN696" s="127">
        <v>45298.729166666657</v>
      </c>
      <c r="AO696">
        <v>0</v>
      </c>
      <c r="AP696" s="13">
        <f t="shared" si="757"/>
        <v>6409800.0000001397</v>
      </c>
      <c r="AQ696">
        <f t="shared" si="758"/>
        <v>0</v>
      </c>
      <c r="AR696" s="13">
        <f t="shared" si="759"/>
        <v>6409800.0000001397</v>
      </c>
      <c r="AS696" s="112">
        <f t="shared" si="760"/>
        <v>1E-10</v>
      </c>
    </row>
    <row r="697" spans="17:45" x14ac:dyDescent="0.25">
      <c r="Q697" s="127">
        <v>45298.833333333343</v>
      </c>
      <c r="R697">
        <v>0</v>
      </c>
      <c r="S697" s="13">
        <f t="shared" si="756"/>
        <v>6418800.0000001397</v>
      </c>
      <c r="T697">
        <f t="shared" si="753"/>
        <v>0</v>
      </c>
      <c r="U697" s="13">
        <f t="shared" si="754"/>
        <v>6418800.0000001397</v>
      </c>
      <c r="V697" s="112">
        <f t="shared" si="755"/>
        <v>1E-10</v>
      </c>
      <c r="AN697" s="127">
        <v>45298.833333333343</v>
      </c>
      <c r="AO697">
        <v>0</v>
      </c>
      <c r="AP697" s="13">
        <f t="shared" si="757"/>
        <v>6418800.0000001397</v>
      </c>
      <c r="AQ697">
        <f t="shared" si="758"/>
        <v>0</v>
      </c>
      <c r="AR697" s="13">
        <f t="shared" si="759"/>
        <v>6418800.0000001397</v>
      </c>
      <c r="AS697" s="112">
        <f t="shared" si="760"/>
        <v>1E-10</v>
      </c>
    </row>
    <row r="698" spans="17:45" x14ac:dyDescent="0.25">
      <c r="Q698" s="127">
        <v>45298.9375</v>
      </c>
      <c r="R698">
        <v>0</v>
      </c>
      <c r="S698" s="13">
        <f t="shared" si="756"/>
        <v>6427800.0000001397</v>
      </c>
      <c r="T698">
        <f t="shared" si="753"/>
        <v>0</v>
      </c>
      <c r="U698" s="13">
        <f t="shared" si="754"/>
        <v>6427800.0000001397</v>
      </c>
      <c r="V698" s="112">
        <f t="shared" si="755"/>
        <v>1E-10</v>
      </c>
      <c r="AN698" s="127">
        <v>45298.9375</v>
      </c>
      <c r="AO698">
        <v>0</v>
      </c>
      <c r="AP698" s="13">
        <f t="shared" si="757"/>
        <v>6427800.0000001397</v>
      </c>
      <c r="AQ698">
        <f t="shared" si="758"/>
        <v>0</v>
      </c>
      <c r="AR698" s="13">
        <f t="shared" si="759"/>
        <v>6427800.0000001397</v>
      </c>
      <c r="AS698" s="112">
        <f t="shared" si="760"/>
        <v>1E-10</v>
      </c>
    </row>
    <row r="699" spans="17:45" x14ac:dyDescent="0.25">
      <c r="Q699" s="127">
        <v>45299.041666666657</v>
      </c>
      <c r="R699">
        <v>0</v>
      </c>
      <c r="S699" s="13">
        <f t="shared" si="756"/>
        <v>6436800.0000001397</v>
      </c>
      <c r="T699">
        <f t="shared" si="753"/>
        <v>0</v>
      </c>
      <c r="U699" s="13">
        <f t="shared" si="754"/>
        <v>6436800.0000001397</v>
      </c>
      <c r="V699" s="112">
        <f t="shared" si="755"/>
        <v>1E-10</v>
      </c>
      <c r="AN699" s="127">
        <v>45299.041666666657</v>
      </c>
      <c r="AO699">
        <v>0</v>
      </c>
      <c r="AP699" s="13">
        <f t="shared" si="757"/>
        <v>6436800.0000001397</v>
      </c>
      <c r="AQ699">
        <f t="shared" si="758"/>
        <v>0</v>
      </c>
      <c r="AR699" s="13">
        <f t="shared" si="759"/>
        <v>6436800.0000001397</v>
      </c>
      <c r="AS699" s="112">
        <f t="shared" si="760"/>
        <v>1E-10</v>
      </c>
    </row>
    <row r="700" spans="17:45" x14ac:dyDescent="0.25">
      <c r="Q700" s="127">
        <v>45299.145833333343</v>
      </c>
      <c r="R700">
        <v>0</v>
      </c>
      <c r="S700" s="13">
        <f t="shared" si="756"/>
        <v>6445800.0000001397</v>
      </c>
      <c r="T700">
        <f t="shared" si="753"/>
        <v>0</v>
      </c>
      <c r="U700" s="13">
        <f t="shared" si="754"/>
        <v>6445800.0000001397</v>
      </c>
      <c r="V700" s="112">
        <f t="shared" si="755"/>
        <v>1E-10</v>
      </c>
      <c r="AN700" s="127">
        <v>45299.145833333343</v>
      </c>
      <c r="AO700">
        <v>0</v>
      </c>
      <c r="AP700" s="13">
        <f t="shared" si="757"/>
        <v>6445800.0000001397</v>
      </c>
      <c r="AQ700">
        <f t="shared" si="758"/>
        <v>0</v>
      </c>
      <c r="AR700" s="13">
        <f t="shared" si="759"/>
        <v>6445800.0000001397</v>
      </c>
      <c r="AS700" s="112">
        <f t="shared" si="760"/>
        <v>1E-10</v>
      </c>
    </row>
    <row r="701" spans="17:45" x14ac:dyDescent="0.25">
      <c r="Q701" s="127">
        <v>45299.25</v>
      </c>
      <c r="R701">
        <v>0</v>
      </c>
      <c r="S701" s="13">
        <f t="shared" si="756"/>
        <v>6454800.0000001397</v>
      </c>
      <c r="T701">
        <f t="shared" si="753"/>
        <v>0</v>
      </c>
      <c r="U701" s="13">
        <f t="shared" si="754"/>
        <v>6454800.0000001397</v>
      </c>
      <c r="V701" s="112">
        <f t="shared" si="755"/>
        <v>1E-10</v>
      </c>
      <c r="AN701" s="127">
        <v>45299.25</v>
      </c>
      <c r="AO701">
        <v>0</v>
      </c>
      <c r="AP701" s="13">
        <f t="shared" si="757"/>
        <v>6454800.0000001397</v>
      </c>
      <c r="AQ701">
        <f t="shared" si="758"/>
        <v>0</v>
      </c>
      <c r="AR701" s="13">
        <f t="shared" si="759"/>
        <v>6454800.0000001397</v>
      </c>
      <c r="AS701" s="112">
        <f t="shared" si="760"/>
        <v>1E-10</v>
      </c>
    </row>
    <row r="702" spans="17:45" x14ac:dyDescent="0.25">
      <c r="Q702" s="127">
        <v>45299.354166666657</v>
      </c>
      <c r="R702">
        <v>0</v>
      </c>
      <c r="S702" s="13">
        <f t="shared" si="756"/>
        <v>6463800.0000001397</v>
      </c>
      <c r="T702">
        <f t="shared" si="753"/>
        <v>0</v>
      </c>
      <c r="U702" s="13">
        <f t="shared" si="754"/>
        <v>6463800.0000001397</v>
      </c>
      <c r="V702" s="112">
        <f t="shared" si="755"/>
        <v>1E-10</v>
      </c>
      <c r="AN702" s="127">
        <v>45299.354166666657</v>
      </c>
      <c r="AO702">
        <v>0</v>
      </c>
      <c r="AP702" s="13">
        <f t="shared" si="757"/>
        <v>6463800.0000001397</v>
      </c>
      <c r="AQ702">
        <f t="shared" si="758"/>
        <v>0</v>
      </c>
      <c r="AR702" s="13">
        <f t="shared" si="759"/>
        <v>6463800.0000001397</v>
      </c>
      <c r="AS702" s="112">
        <f t="shared" si="760"/>
        <v>1E-10</v>
      </c>
    </row>
    <row r="703" spans="17:45" x14ac:dyDescent="0.25">
      <c r="Q703" s="127">
        <v>45299.458333333343</v>
      </c>
      <c r="R703">
        <v>3</v>
      </c>
      <c r="S703" s="13">
        <f t="shared" si="756"/>
        <v>6472800.0000001397</v>
      </c>
      <c r="T703">
        <f t="shared" si="753"/>
        <v>288</v>
      </c>
      <c r="U703" s="13">
        <f t="shared" si="754"/>
        <v>6472800.0000001397</v>
      </c>
      <c r="V703" s="112">
        <f t="shared" si="755"/>
        <v>288</v>
      </c>
      <c r="AN703" s="127">
        <v>45299.458333333343</v>
      </c>
      <c r="AO703">
        <v>2</v>
      </c>
      <c r="AP703" s="13">
        <f t="shared" si="757"/>
        <v>6472800.0000001397</v>
      </c>
      <c r="AQ703">
        <f t="shared" si="758"/>
        <v>192</v>
      </c>
      <c r="AR703" s="13">
        <f t="shared" si="759"/>
        <v>6472800.0000001397</v>
      </c>
      <c r="AS703" s="112">
        <f t="shared" si="760"/>
        <v>192</v>
      </c>
    </row>
    <row r="704" spans="17:45" x14ac:dyDescent="0.25">
      <c r="Q704" s="127">
        <v>45299.5625</v>
      </c>
      <c r="R704">
        <v>1</v>
      </c>
      <c r="S704" s="13">
        <f t="shared" si="756"/>
        <v>6481800.0000001397</v>
      </c>
      <c r="T704">
        <f t="shared" si="753"/>
        <v>96</v>
      </c>
      <c r="U704" s="13">
        <f t="shared" si="754"/>
        <v>6481800.0000001397</v>
      </c>
      <c r="V704" s="112">
        <f t="shared" si="755"/>
        <v>96</v>
      </c>
      <c r="AN704" s="127">
        <v>45299.5625</v>
      </c>
      <c r="AO704">
        <v>1</v>
      </c>
      <c r="AP704" s="13">
        <f t="shared" si="757"/>
        <v>6481800.0000001397</v>
      </c>
      <c r="AQ704">
        <f t="shared" si="758"/>
        <v>96</v>
      </c>
      <c r="AR704" s="13">
        <f t="shared" si="759"/>
        <v>6481800.0000001397</v>
      </c>
      <c r="AS704" s="112">
        <f t="shared" si="760"/>
        <v>96</v>
      </c>
    </row>
    <row r="705" spans="17:45" x14ac:dyDescent="0.25">
      <c r="Q705" s="127">
        <v>45299.666666666657</v>
      </c>
      <c r="R705">
        <v>1</v>
      </c>
      <c r="S705" s="13">
        <f t="shared" si="756"/>
        <v>6490800.0000001397</v>
      </c>
      <c r="T705">
        <f t="shared" si="753"/>
        <v>96</v>
      </c>
      <c r="U705" s="13">
        <f t="shared" si="754"/>
        <v>6490800.0000001397</v>
      </c>
      <c r="V705" s="112">
        <f t="shared" si="755"/>
        <v>96</v>
      </c>
      <c r="AN705" s="127">
        <v>45299.666666666657</v>
      </c>
      <c r="AO705">
        <v>1</v>
      </c>
      <c r="AP705" s="13">
        <f t="shared" si="757"/>
        <v>6490800.0000001397</v>
      </c>
      <c r="AQ705">
        <f t="shared" si="758"/>
        <v>96</v>
      </c>
      <c r="AR705" s="13">
        <f t="shared" si="759"/>
        <v>6490800.0000001397</v>
      </c>
      <c r="AS705" s="112">
        <f t="shared" si="760"/>
        <v>96</v>
      </c>
    </row>
    <row r="706" spans="17:45" x14ac:dyDescent="0.25">
      <c r="Q706" s="127">
        <v>45299.770833333343</v>
      </c>
      <c r="R706">
        <v>1</v>
      </c>
      <c r="S706" s="13">
        <f t="shared" si="756"/>
        <v>6499800.0000001397</v>
      </c>
      <c r="T706">
        <f t="shared" si="753"/>
        <v>96</v>
      </c>
      <c r="U706" s="13">
        <f t="shared" si="754"/>
        <v>6499800.0000001397</v>
      </c>
      <c r="V706" s="112">
        <f t="shared" si="755"/>
        <v>96</v>
      </c>
      <c r="AN706" s="127">
        <v>45299.770833333343</v>
      </c>
      <c r="AO706">
        <v>1</v>
      </c>
      <c r="AP706" s="13">
        <f t="shared" si="757"/>
        <v>6499800.0000001397</v>
      </c>
      <c r="AQ706">
        <f t="shared" si="758"/>
        <v>96</v>
      </c>
      <c r="AR706" s="13">
        <f t="shared" si="759"/>
        <v>6499800.0000001397</v>
      </c>
      <c r="AS706" s="112">
        <f t="shared" si="760"/>
        <v>96</v>
      </c>
    </row>
    <row r="707" spans="17:45" x14ac:dyDescent="0.25">
      <c r="Q707" s="127">
        <v>45299.875</v>
      </c>
      <c r="R707">
        <v>1</v>
      </c>
      <c r="S707" s="13">
        <f t="shared" si="756"/>
        <v>6508800.0000001397</v>
      </c>
      <c r="T707">
        <f t="shared" ref="T707:T770" si="761">R707*96</f>
        <v>96</v>
      </c>
      <c r="U707" s="13">
        <f t="shared" ref="U707:U770" si="762">S707</f>
        <v>6508800.0000001397</v>
      </c>
      <c r="V707" s="112">
        <f t="shared" ref="V707:V770" si="763">IF(T707=0,0.0000000001,T707)</f>
        <v>96</v>
      </c>
      <c r="AN707" s="127">
        <v>45299.875</v>
      </c>
      <c r="AO707">
        <v>1</v>
      </c>
      <c r="AP707" s="13">
        <f t="shared" si="757"/>
        <v>6508800.0000001397</v>
      </c>
      <c r="AQ707">
        <f t="shared" si="758"/>
        <v>96</v>
      </c>
      <c r="AR707" s="13">
        <f t="shared" si="759"/>
        <v>6508800.0000001397</v>
      </c>
      <c r="AS707" s="112">
        <f t="shared" si="760"/>
        <v>96</v>
      </c>
    </row>
    <row r="708" spans="17:45" x14ac:dyDescent="0.25">
      <c r="Q708" s="127">
        <v>45299.979166666657</v>
      </c>
      <c r="R708">
        <v>1</v>
      </c>
      <c r="S708" s="13">
        <f t="shared" ref="S708:S771" si="764">S707+150*60</f>
        <v>6517800.0000001397</v>
      </c>
      <c r="T708">
        <f t="shared" si="761"/>
        <v>96</v>
      </c>
      <c r="U708" s="13">
        <f t="shared" si="762"/>
        <v>6517800.0000001397</v>
      </c>
      <c r="V708" s="112">
        <f t="shared" si="763"/>
        <v>96</v>
      </c>
      <c r="AN708" s="127">
        <v>45299.979166666657</v>
      </c>
      <c r="AO708">
        <v>1</v>
      </c>
      <c r="AP708" s="13">
        <f t="shared" ref="AP708:AP771" si="765">AP707+150*60</f>
        <v>6517800.0000001397</v>
      </c>
      <c r="AQ708">
        <f t="shared" si="758"/>
        <v>96</v>
      </c>
      <c r="AR708" s="13">
        <f t="shared" si="759"/>
        <v>6517800.0000001397</v>
      </c>
      <c r="AS708" s="112">
        <f t="shared" si="760"/>
        <v>96</v>
      </c>
    </row>
    <row r="709" spans="17:45" x14ac:dyDescent="0.25">
      <c r="Q709" s="127">
        <v>45300.083333333343</v>
      </c>
      <c r="R709">
        <v>1</v>
      </c>
      <c r="S709" s="13">
        <f t="shared" si="764"/>
        <v>6526800.0000001397</v>
      </c>
      <c r="T709">
        <f t="shared" si="761"/>
        <v>96</v>
      </c>
      <c r="U709" s="13">
        <f t="shared" si="762"/>
        <v>6526800.0000001397</v>
      </c>
      <c r="V709" s="112">
        <f t="shared" si="763"/>
        <v>96</v>
      </c>
      <c r="AN709" s="127">
        <v>45300.083333333343</v>
      </c>
      <c r="AO709">
        <v>1</v>
      </c>
      <c r="AP709" s="13">
        <f t="shared" si="765"/>
        <v>6526800.0000001397</v>
      </c>
      <c r="AQ709">
        <f t="shared" si="758"/>
        <v>96</v>
      </c>
      <c r="AR709" s="13">
        <f t="shared" si="759"/>
        <v>6526800.0000001397</v>
      </c>
      <c r="AS709" s="112">
        <f t="shared" si="760"/>
        <v>96</v>
      </c>
    </row>
    <row r="710" spans="17:45" x14ac:dyDescent="0.25">
      <c r="Q710" s="127">
        <v>45300.1875</v>
      </c>
      <c r="R710">
        <v>1</v>
      </c>
      <c r="S710" s="13">
        <f t="shared" si="764"/>
        <v>6535800.0000001397</v>
      </c>
      <c r="T710">
        <f t="shared" si="761"/>
        <v>96</v>
      </c>
      <c r="U710" s="13">
        <f t="shared" si="762"/>
        <v>6535800.0000001397</v>
      </c>
      <c r="V710" s="112">
        <f t="shared" si="763"/>
        <v>96</v>
      </c>
      <c r="AN710" s="127">
        <v>45300.1875</v>
      </c>
      <c r="AO710">
        <v>1</v>
      </c>
      <c r="AP710" s="13">
        <f t="shared" si="765"/>
        <v>6535800.0000001397</v>
      </c>
      <c r="AQ710">
        <f t="shared" si="758"/>
        <v>96</v>
      </c>
      <c r="AR710" s="13">
        <f t="shared" si="759"/>
        <v>6535800.0000001397</v>
      </c>
      <c r="AS710" s="112">
        <f t="shared" si="760"/>
        <v>96</v>
      </c>
    </row>
    <row r="711" spans="17:45" x14ac:dyDescent="0.25">
      <c r="Q711" s="127">
        <v>45300.291666666657</v>
      </c>
      <c r="R711">
        <v>1</v>
      </c>
      <c r="S711" s="13">
        <f t="shared" si="764"/>
        <v>6544800.0000001397</v>
      </c>
      <c r="T711">
        <f t="shared" si="761"/>
        <v>96</v>
      </c>
      <c r="U711" s="13">
        <f t="shared" si="762"/>
        <v>6544800.0000001397</v>
      </c>
      <c r="V711" s="112">
        <f t="shared" si="763"/>
        <v>96</v>
      </c>
      <c r="AN711" s="127">
        <v>45300.291666666657</v>
      </c>
      <c r="AO711">
        <v>1</v>
      </c>
      <c r="AP711" s="13">
        <f t="shared" si="765"/>
        <v>6544800.0000001397</v>
      </c>
      <c r="AQ711">
        <f t="shared" si="758"/>
        <v>96</v>
      </c>
      <c r="AR711" s="13">
        <f t="shared" si="759"/>
        <v>6544800.0000001397</v>
      </c>
      <c r="AS711" s="112">
        <f t="shared" si="760"/>
        <v>96</v>
      </c>
    </row>
    <row r="712" spans="17:45" x14ac:dyDescent="0.25">
      <c r="Q712" s="127">
        <v>45300.395833333343</v>
      </c>
      <c r="R712">
        <v>1</v>
      </c>
      <c r="S712" s="13">
        <f t="shared" si="764"/>
        <v>6553800.0000001397</v>
      </c>
      <c r="T712">
        <f t="shared" si="761"/>
        <v>96</v>
      </c>
      <c r="U712" s="13">
        <f t="shared" si="762"/>
        <v>6553800.0000001397</v>
      </c>
      <c r="V712" s="112">
        <f t="shared" si="763"/>
        <v>96</v>
      </c>
      <c r="AN712" s="127">
        <v>45300.395833333343</v>
      </c>
      <c r="AO712">
        <v>1</v>
      </c>
      <c r="AP712" s="13">
        <f t="shared" si="765"/>
        <v>6553800.0000001397</v>
      </c>
      <c r="AQ712">
        <f t="shared" si="758"/>
        <v>96</v>
      </c>
      <c r="AR712" s="13">
        <f t="shared" si="759"/>
        <v>6553800.0000001397</v>
      </c>
      <c r="AS712" s="112">
        <f t="shared" si="760"/>
        <v>96</v>
      </c>
    </row>
    <row r="713" spans="17:45" x14ac:dyDescent="0.25">
      <c r="Q713" s="127">
        <v>45300.5</v>
      </c>
      <c r="R713">
        <v>1</v>
      </c>
      <c r="S713" s="13">
        <f t="shared" si="764"/>
        <v>6562800.0000001397</v>
      </c>
      <c r="T713">
        <f t="shared" si="761"/>
        <v>96</v>
      </c>
      <c r="U713" s="13">
        <f t="shared" si="762"/>
        <v>6562800.0000001397</v>
      </c>
      <c r="V713" s="112">
        <f t="shared" si="763"/>
        <v>96</v>
      </c>
      <c r="AN713" s="127">
        <v>45300.5</v>
      </c>
      <c r="AO713">
        <v>1</v>
      </c>
      <c r="AP713" s="13">
        <f t="shared" si="765"/>
        <v>6562800.0000001397</v>
      </c>
      <c r="AQ713">
        <f t="shared" si="758"/>
        <v>96</v>
      </c>
      <c r="AR713" s="13">
        <f t="shared" si="759"/>
        <v>6562800.0000001397</v>
      </c>
      <c r="AS713" s="112">
        <f t="shared" si="760"/>
        <v>96</v>
      </c>
    </row>
    <row r="714" spans="17:45" x14ac:dyDescent="0.25">
      <c r="Q714" s="127">
        <v>45300.604166666657</v>
      </c>
      <c r="R714">
        <v>1</v>
      </c>
      <c r="S714" s="13">
        <f t="shared" si="764"/>
        <v>6571800.0000001397</v>
      </c>
      <c r="T714">
        <f t="shared" si="761"/>
        <v>96</v>
      </c>
      <c r="U714" s="13">
        <f t="shared" si="762"/>
        <v>6571800.0000001397</v>
      </c>
      <c r="V714" s="112">
        <f t="shared" si="763"/>
        <v>96</v>
      </c>
      <c r="AN714" s="127">
        <v>45300.604166666657</v>
      </c>
      <c r="AO714">
        <v>1</v>
      </c>
      <c r="AP714" s="13">
        <f t="shared" si="765"/>
        <v>6571800.0000001397</v>
      </c>
      <c r="AQ714">
        <f t="shared" si="758"/>
        <v>96</v>
      </c>
      <c r="AR714" s="13">
        <f t="shared" si="759"/>
        <v>6571800.0000001397</v>
      </c>
      <c r="AS714" s="112">
        <f t="shared" si="760"/>
        <v>96</v>
      </c>
    </row>
    <row r="715" spans="17:45" x14ac:dyDescent="0.25">
      <c r="Q715" s="127">
        <v>45300.708333333343</v>
      </c>
      <c r="R715">
        <v>1</v>
      </c>
      <c r="S715" s="13">
        <f t="shared" si="764"/>
        <v>6580800.0000001397</v>
      </c>
      <c r="T715">
        <f t="shared" si="761"/>
        <v>96</v>
      </c>
      <c r="U715" s="13">
        <f t="shared" si="762"/>
        <v>6580800.0000001397</v>
      </c>
      <c r="V715" s="112">
        <f t="shared" si="763"/>
        <v>96</v>
      </c>
      <c r="AN715" s="127">
        <v>45300.708333333343</v>
      </c>
      <c r="AO715">
        <v>1</v>
      </c>
      <c r="AP715" s="13">
        <f t="shared" si="765"/>
        <v>6580800.0000001397</v>
      </c>
      <c r="AQ715">
        <f t="shared" si="758"/>
        <v>96</v>
      </c>
      <c r="AR715" s="13">
        <f t="shared" si="759"/>
        <v>6580800.0000001397</v>
      </c>
      <c r="AS715" s="112">
        <f t="shared" si="760"/>
        <v>96</v>
      </c>
    </row>
    <row r="716" spans="17:45" x14ac:dyDescent="0.25">
      <c r="Q716" s="127">
        <v>45300.8125</v>
      </c>
      <c r="R716">
        <v>1</v>
      </c>
      <c r="S716" s="13">
        <f t="shared" si="764"/>
        <v>6589800.0000001397</v>
      </c>
      <c r="T716">
        <f t="shared" si="761"/>
        <v>96</v>
      </c>
      <c r="U716" s="13">
        <f t="shared" si="762"/>
        <v>6589800.0000001397</v>
      </c>
      <c r="V716" s="112">
        <f t="shared" si="763"/>
        <v>96</v>
      </c>
      <c r="AN716" s="127">
        <v>45300.8125</v>
      </c>
      <c r="AO716">
        <v>1</v>
      </c>
      <c r="AP716" s="13">
        <f t="shared" si="765"/>
        <v>6589800.0000001397</v>
      </c>
      <c r="AQ716">
        <f t="shared" si="758"/>
        <v>96</v>
      </c>
      <c r="AR716" s="13">
        <f t="shared" si="759"/>
        <v>6589800.0000001397</v>
      </c>
      <c r="AS716" s="112">
        <f t="shared" si="760"/>
        <v>96</v>
      </c>
    </row>
    <row r="717" spans="17:45" x14ac:dyDescent="0.25">
      <c r="Q717" s="127">
        <v>45300.916666666657</v>
      </c>
      <c r="R717">
        <v>1</v>
      </c>
      <c r="S717" s="13">
        <f t="shared" si="764"/>
        <v>6598800.0000001397</v>
      </c>
      <c r="T717">
        <f t="shared" si="761"/>
        <v>96</v>
      </c>
      <c r="U717" s="13">
        <f t="shared" si="762"/>
        <v>6598800.0000001397</v>
      </c>
      <c r="V717" s="112">
        <f t="shared" si="763"/>
        <v>96</v>
      </c>
      <c r="AN717" s="127">
        <v>45300.916666666657</v>
      </c>
      <c r="AO717">
        <v>1</v>
      </c>
      <c r="AP717" s="13">
        <f t="shared" si="765"/>
        <v>6598800.0000001397</v>
      </c>
      <c r="AQ717">
        <f t="shared" si="758"/>
        <v>96</v>
      </c>
      <c r="AR717" s="13">
        <f t="shared" si="759"/>
        <v>6598800.0000001397</v>
      </c>
      <c r="AS717" s="112">
        <f t="shared" si="760"/>
        <v>96</v>
      </c>
    </row>
    <row r="718" spans="17:45" x14ac:dyDescent="0.25">
      <c r="Q718" s="127">
        <v>45301.020833333343</v>
      </c>
      <c r="R718">
        <v>1</v>
      </c>
      <c r="S718" s="13">
        <f t="shared" si="764"/>
        <v>6607800.0000001397</v>
      </c>
      <c r="T718">
        <f t="shared" si="761"/>
        <v>96</v>
      </c>
      <c r="U718" s="13">
        <f t="shared" si="762"/>
        <v>6607800.0000001397</v>
      </c>
      <c r="V718" s="112">
        <f t="shared" si="763"/>
        <v>96</v>
      </c>
      <c r="AN718" s="127">
        <v>45301.020833333343</v>
      </c>
      <c r="AO718">
        <v>1</v>
      </c>
      <c r="AP718" s="13">
        <f t="shared" si="765"/>
        <v>6607800.0000001397</v>
      </c>
      <c r="AQ718">
        <f t="shared" si="758"/>
        <v>96</v>
      </c>
      <c r="AR718" s="13">
        <f t="shared" si="759"/>
        <v>6607800.0000001397</v>
      </c>
      <c r="AS718" s="112">
        <f t="shared" si="760"/>
        <v>96</v>
      </c>
    </row>
    <row r="719" spans="17:45" x14ac:dyDescent="0.25">
      <c r="Q719" s="127">
        <v>45301.125</v>
      </c>
      <c r="R719">
        <v>1</v>
      </c>
      <c r="S719" s="13">
        <f t="shared" si="764"/>
        <v>6616800.0000001397</v>
      </c>
      <c r="T719">
        <f t="shared" si="761"/>
        <v>96</v>
      </c>
      <c r="U719" s="13">
        <f t="shared" si="762"/>
        <v>6616800.0000001397</v>
      </c>
      <c r="V719" s="112">
        <f t="shared" si="763"/>
        <v>96</v>
      </c>
      <c r="AN719" s="127">
        <v>45301.125</v>
      </c>
      <c r="AO719">
        <v>1</v>
      </c>
      <c r="AP719" s="13">
        <f t="shared" si="765"/>
        <v>6616800.0000001397</v>
      </c>
      <c r="AQ719">
        <f t="shared" si="758"/>
        <v>96</v>
      </c>
      <c r="AR719" s="13">
        <f t="shared" si="759"/>
        <v>6616800.0000001397</v>
      </c>
      <c r="AS719" s="112">
        <f t="shared" si="760"/>
        <v>96</v>
      </c>
    </row>
    <row r="720" spans="17:45" x14ac:dyDescent="0.25">
      <c r="Q720" s="127">
        <v>45301.229166666657</v>
      </c>
      <c r="R720">
        <v>1</v>
      </c>
      <c r="S720" s="13">
        <f t="shared" si="764"/>
        <v>6625800.0000001397</v>
      </c>
      <c r="T720">
        <f t="shared" si="761"/>
        <v>96</v>
      </c>
      <c r="U720" s="13">
        <f t="shared" si="762"/>
        <v>6625800.0000001397</v>
      </c>
      <c r="V720" s="112">
        <f t="shared" si="763"/>
        <v>96</v>
      </c>
      <c r="AN720" s="127">
        <v>45301.229166666657</v>
      </c>
      <c r="AO720">
        <v>1</v>
      </c>
      <c r="AP720" s="13">
        <f t="shared" si="765"/>
        <v>6625800.0000001397</v>
      </c>
      <c r="AQ720">
        <f t="shared" si="758"/>
        <v>96</v>
      </c>
      <c r="AR720" s="13">
        <f t="shared" si="759"/>
        <v>6625800.0000001397</v>
      </c>
      <c r="AS720" s="112">
        <f t="shared" si="760"/>
        <v>96</v>
      </c>
    </row>
    <row r="721" spans="17:45" x14ac:dyDescent="0.25">
      <c r="Q721" s="127">
        <v>45301.333333333343</v>
      </c>
      <c r="R721">
        <v>1</v>
      </c>
      <c r="S721" s="13">
        <f t="shared" si="764"/>
        <v>6634800.0000001397</v>
      </c>
      <c r="T721">
        <f t="shared" si="761"/>
        <v>96</v>
      </c>
      <c r="U721" s="13">
        <f t="shared" si="762"/>
        <v>6634800.0000001397</v>
      </c>
      <c r="V721" s="112">
        <f t="shared" si="763"/>
        <v>96</v>
      </c>
      <c r="AN721" s="127">
        <v>45301.333333333343</v>
      </c>
      <c r="AO721">
        <v>1</v>
      </c>
      <c r="AP721" s="13">
        <f t="shared" si="765"/>
        <v>6634800.0000001397</v>
      </c>
      <c r="AQ721">
        <f t="shared" si="758"/>
        <v>96</v>
      </c>
      <c r="AR721" s="13">
        <f t="shared" si="759"/>
        <v>6634800.0000001397</v>
      </c>
      <c r="AS721" s="112">
        <f t="shared" si="760"/>
        <v>96</v>
      </c>
    </row>
    <row r="722" spans="17:45" x14ac:dyDescent="0.25">
      <c r="Q722" s="127">
        <v>45301.4375</v>
      </c>
      <c r="R722">
        <v>1</v>
      </c>
      <c r="S722" s="13">
        <f t="shared" si="764"/>
        <v>6643800.0000001397</v>
      </c>
      <c r="T722">
        <f t="shared" si="761"/>
        <v>96</v>
      </c>
      <c r="U722" s="13">
        <f t="shared" si="762"/>
        <v>6643800.0000001397</v>
      </c>
      <c r="V722" s="112">
        <f t="shared" si="763"/>
        <v>96</v>
      </c>
      <c r="AN722" s="127">
        <v>45301.4375</v>
      </c>
      <c r="AO722">
        <v>1</v>
      </c>
      <c r="AP722" s="13">
        <f t="shared" si="765"/>
        <v>6643800.0000001397</v>
      </c>
      <c r="AQ722">
        <f t="shared" si="758"/>
        <v>96</v>
      </c>
      <c r="AR722" s="13">
        <f t="shared" si="759"/>
        <v>6643800.0000001397</v>
      </c>
      <c r="AS722" s="112">
        <f t="shared" si="760"/>
        <v>96</v>
      </c>
    </row>
    <row r="723" spans="17:45" x14ac:dyDescent="0.25">
      <c r="Q723" s="127">
        <v>45301.541666666657</v>
      </c>
      <c r="R723">
        <v>1</v>
      </c>
      <c r="S723" s="13">
        <f t="shared" si="764"/>
        <v>6652800.0000001397</v>
      </c>
      <c r="T723">
        <f t="shared" si="761"/>
        <v>96</v>
      </c>
      <c r="U723" s="13">
        <f t="shared" si="762"/>
        <v>6652800.0000001397</v>
      </c>
      <c r="V723" s="112">
        <f t="shared" si="763"/>
        <v>96</v>
      </c>
      <c r="AN723" s="127">
        <v>45301.541666666657</v>
      </c>
      <c r="AO723">
        <v>1</v>
      </c>
      <c r="AP723" s="13">
        <f t="shared" si="765"/>
        <v>6652800.0000001397</v>
      </c>
      <c r="AQ723">
        <f t="shared" si="758"/>
        <v>96</v>
      </c>
      <c r="AR723" s="13">
        <f t="shared" si="759"/>
        <v>6652800.0000001397</v>
      </c>
      <c r="AS723" s="112">
        <f t="shared" si="760"/>
        <v>96</v>
      </c>
    </row>
    <row r="724" spans="17:45" x14ac:dyDescent="0.25">
      <c r="Q724" s="127">
        <v>45301.645833333343</v>
      </c>
      <c r="R724">
        <v>1</v>
      </c>
      <c r="S724" s="13">
        <f t="shared" si="764"/>
        <v>6661800.0000001397</v>
      </c>
      <c r="T724">
        <f t="shared" si="761"/>
        <v>96</v>
      </c>
      <c r="U724" s="13">
        <f t="shared" si="762"/>
        <v>6661800.0000001397</v>
      </c>
      <c r="V724" s="112">
        <f t="shared" si="763"/>
        <v>96</v>
      </c>
      <c r="AN724" s="127">
        <v>45301.645833333343</v>
      </c>
      <c r="AO724">
        <v>1</v>
      </c>
      <c r="AP724" s="13">
        <f t="shared" si="765"/>
        <v>6661800.0000001397</v>
      </c>
      <c r="AQ724">
        <f t="shared" si="758"/>
        <v>96</v>
      </c>
      <c r="AR724" s="13">
        <f t="shared" si="759"/>
        <v>6661800.0000001397</v>
      </c>
      <c r="AS724" s="112">
        <f t="shared" si="760"/>
        <v>96</v>
      </c>
    </row>
    <row r="725" spans="17:45" x14ac:dyDescent="0.25">
      <c r="Q725" s="127">
        <v>45301.75</v>
      </c>
      <c r="R725">
        <v>1</v>
      </c>
      <c r="S725" s="13">
        <f t="shared" si="764"/>
        <v>6670800.0000001397</v>
      </c>
      <c r="T725">
        <f t="shared" si="761"/>
        <v>96</v>
      </c>
      <c r="U725" s="13">
        <f t="shared" si="762"/>
        <v>6670800.0000001397</v>
      </c>
      <c r="V725" s="112">
        <f t="shared" si="763"/>
        <v>96</v>
      </c>
      <c r="AN725" s="127">
        <v>45301.75</v>
      </c>
      <c r="AO725">
        <v>1</v>
      </c>
      <c r="AP725" s="13">
        <f t="shared" si="765"/>
        <v>6670800.0000001397</v>
      </c>
      <c r="AQ725">
        <f t="shared" si="758"/>
        <v>96</v>
      </c>
      <c r="AR725" s="13">
        <f t="shared" si="759"/>
        <v>6670800.0000001397</v>
      </c>
      <c r="AS725" s="112">
        <f t="shared" si="760"/>
        <v>96</v>
      </c>
    </row>
    <row r="726" spans="17:45" x14ac:dyDescent="0.25">
      <c r="Q726" s="127">
        <v>45301.854166666657</v>
      </c>
      <c r="R726">
        <v>1</v>
      </c>
      <c r="S726" s="13">
        <f t="shared" si="764"/>
        <v>6679800.0000001397</v>
      </c>
      <c r="T726">
        <f t="shared" si="761"/>
        <v>96</v>
      </c>
      <c r="U726" s="13">
        <f t="shared" si="762"/>
        <v>6679800.0000001397</v>
      </c>
      <c r="V726" s="112">
        <f t="shared" si="763"/>
        <v>96</v>
      </c>
      <c r="AN726" s="127">
        <v>45301.854166666657</v>
      </c>
      <c r="AO726">
        <v>1</v>
      </c>
      <c r="AP726" s="13">
        <f t="shared" si="765"/>
        <v>6679800.0000001397</v>
      </c>
      <c r="AQ726">
        <f t="shared" si="758"/>
        <v>96</v>
      </c>
      <c r="AR726" s="13">
        <f t="shared" si="759"/>
        <v>6679800.0000001397</v>
      </c>
      <c r="AS726" s="112">
        <f t="shared" si="760"/>
        <v>96</v>
      </c>
    </row>
    <row r="727" spans="17:45" x14ac:dyDescent="0.25">
      <c r="Q727" s="127">
        <v>45301.958333333343</v>
      </c>
      <c r="R727">
        <v>1</v>
      </c>
      <c r="S727" s="13">
        <f t="shared" si="764"/>
        <v>6688800.0000001397</v>
      </c>
      <c r="T727">
        <f t="shared" si="761"/>
        <v>96</v>
      </c>
      <c r="U727" s="13">
        <f t="shared" si="762"/>
        <v>6688800.0000001397</v>
      </c>
      <c r="V727" s="112">
        <f t="shared" si="763"/>
        <v>96</v>
      </c>
      <c r="AN727" s="127">
        <v>45301.958333333343</v>
      </c>
      <c r="AO727">
        <v>0</v>
      </c>
      <c r="AP727" s="13">
        <f t="shared" si="765"/>
        <v>6688800.0000001397</v>
      </c>
      <c r="AQ727">
        <f t="shared" si="758"/>
        <v>0</v>
      </c>
      <c r="AR727" s="13">
        <f t="shared" si="759"/>
        <v>6688800.0000001397</v>
      </c>
      <c r="AS727" s="112">
        <f t="shared" si="760"/>
        <v>1E-10</v>
      </c>
    </row>
    <row r="728" spans="17:45" x14ac:dyDescent="0.25">
      <c r="Q728" s="127">
        <v>45302.0625</v>
      </c>
      <c r="R728">
        <v>1</v>
      </c>
      <c r="S728" s="13">
        <f t="shared" si="764"/>
        <v>6697800.0000001397</v>
      </c>
      <c r="T728">
        <f t="shared" si="761"/>
        <v>96</v>
      </c>
      <c r="U728" s="13">
        <f t="shared" si="762"/>
        <v>6697800.0000001397</v>
      </c>
      <c r="V728" s="112">
        <f t="shared" si="763"/>
        <v>96</v>
      </c>
      <c r="AN728" s="127">
        <v>45302.0625</v>
      </c>
      <c r="AO728">
        <v>1</v>
      </c>
      <c r="AP728" s="13">
        <f t="shared" si="765"/>
        <v>6697800.0000001397</v>
      </c>
      <c r="AQ728">
        <f t="shared" si="758"/>
        <v>96</v>
      </c>
      <c r="AR728" s="13">
        <f t="shared" si="759"/>
        <v>6697800.0000001397</v>
      </c>
      <c r="AS728" s="112">
        <f t="shared" si="760"/>
        <v>96</v>
      </c>
    </row>
    <row r="729" spans="17:45" x14ac:dyDescent="0.25">
      <c r="Q729" s="127">
        <v>45302.166666666657</v>
      </c>
      <c r="R729">
        <v>1</v>
      </c>
      <c r="S729" s="13">
        <f t="shared" si="764"/>
        <v>6706800.0000001397</v>
      </c>
      <c r="T729">
        <f t="shared" si="761"/>
        <v>96</v>
      </c>
      <c r="U729" s="13">
        <f t="shared" si="762"/>
        <v>6706800.0000001397</v>
      </c>
      <c r="V729" s="112">
        <f t="shared" si="763"/>
        <v>96</v>
      </c>
      <c r="AN729" s="127">
        <v>45302.166666666657</v>
      </c>
      <c r="AO729">
        <v>1</v>
      </c>
      <c r="AP729" s="13">
        <f t="shared" si="765"/>
        <v>6706800.0000001397</v>
      </c>
      <c r="AQ729">
        <f t="shared" si="758"/>
        <v>96</v>
      </c>
      <c r="AR729" s="13">
        <f t="shared" si="759"/>
        <v>6706800.0000001397</v>
      </c>
      <c r="AS729" s="112">
        <f t="shared" si="760"/>
        <v>96</v>
      </c>
    </row>
    <row r="730" spans="17:45" x14ac:dyDescent="0.25">
      <c r="Q730" s="127">
        <v>45302.270833333343</v>
      </c>
      <c r="R730">
        <v>1</v>
      </c>
      <c r="S730" s="13">
        <f t="shared" si="764"/>
        <v>6715800.0000001397</v>
      </c>
      <c r="T730">
        <f t="shared" si="761"/>
        <v>96</v>
      </c>
      <c r="U730" s="13">
        <f t="shared" si="762"/>
        <v>6715800.0000001397</v>
      </c>
      <c r="V730" s="112">
        <f t="shared" si="763"/>
        <v>96</v>
      </c>
      <c r="AN730" s="127">
        <v>45302.270833333343</v>
      </c>
      <c r="AO730">
        <v>1</v>
      </c>
      <c r="AP730" s="13">
        <f t="shared" si="765"/>
        <v>6715800.0000001397</v>
      </c>
      <c r="AQ730">
        <f t="shared" si="758"/>
        <v>96</v>
      </c>
      <c r="AR730" s="13">
        <f t="shared" si="759"/>
        <v>6715800.0000001397</v>
      </c>
      <c r="AS730" s="112">
        <f t="shared" si="760"/>
        <v>96</v>
      </c>
    </row>
    <row r="731" spans="17:45" x14ac:dyDescent="0.25">
      <c r="Q731" s="127">
        <v>45302.375</v>
      </c>
      <c r="R731">
        <v>1</v>
      </c>
      <c r="S731" s="13">
        <f t="shared" si="764"/>
        <v>6724800.0000001397</v>
      </c>
      <c r="T731">
        <f t="shared" si="761"/>
        <v>96</v>
      </c>
      <c r="U731" s="13">
        <f t="shared" si="762"/>
        <v>6724800.0000001397</v>
      </c>
      <c r="V731" s="112">
        <f t="shared" si="763"/>
        <v>96</v>
      </c>
      <c r="AN731" s="127">
        <v>45302.375</v>
      </c>
      <c r="AO731">
        <v>1</v>
      </c>
      <c r="AP731" s="13">
        <f t="shared" si="765"/>
        <v>6724800.0000001397</v>
      </c>
      <c r="AQ731">
        <f t="shared" si="758"/>
        <v>96</v>
      </c>
      <c r="AR731" s="13">
        <f t="shared" si="759"/>
        <v>6724800.0000001397</v>
      </c>
      <c r="AS731" s="112">
        <f t="shared" si="760"/>
        <v>96</v>
      </c>
    </row>
    <row r="732" spans="17:45" x14ac:dyDescent="0.25">
      <c r="Q732" s="127">
        <v>45302.479166666657</v>
      </c>
      <c r="R732">
        <v>1</v>
      </c>
      <c r="S732" s="13">
        <f t="shared" si="764"/>
        <v>6733800.0000001397</v>
      </c>
      <c r="T732">
        <f t="shared" si="761"/>
        <v>96</v>
      </c>
      <c r="U732" s="13">
        <f t="shared" si="762"/>
        <v>6733800.0000001397</v>
      </c>
      <c r="V732" s="112">
        <f t="shared" si="763"/>
        <v>96</v>
      </c>
      <c r="AN732" s="127">
        <v>45302.479166666657</v>
      </c>
      <c r="AO732">
        <v>1</v>
      </c>
      <c r="AP732" s="13">
        <f t="shared" si="765"/>
        <v>6733800.0000001397</v>
      </c>
      <c r="AQ732">
        <f t="shared" si="758"/>
        <v>96</v>
      </c>
      <c r="AR732" s="13">
        <f t="shared" si="759"/>
        <v>6733800.0000001397</v>
      </c>
      <c r="AS732" s="112">
        <f t="shared" si="760"/>
        <v>96</v>
      </c>
    </row>
    <row r="733" spans="17:45" x14ac:dyDescent="0.25">
      <c r="Q733" s="127">
        <v>45302.583333333343</v>
      </c>
      <c r="R733">
        <v>1</v>
      </c>
      <c r="S733" s="13">
        <f t="shared" si="764"/>
        <v>6742800.0000001397</v>
      </c>
      <c r="T733">
        <f t="shared" si="761"/>
        <v>96</v>
      </c>
      <c r="U733" s="13">
        <f t="shared" si="762"/>
        <v>6742800.0000001397</v>
      </c>
      <c r="V733" s="112">
        <f t="shared" si="763"/>
        <v>96</v>
      </c>
      <c r="AN733" s="127">
        <v>45302.583333333343</v>
      </c>
      <c r="AO733">
        <v>1</v>
      </c>
      <c r="AP733" s="13">
        <f t="shared" si="765"/>
        <v>6742800.0000001397</v>
      </c>
      <c r="AQ733">
        <f t="shared" si="758"/>
        <v>96</v>
      </c>
      <c r="AR733" s="13">
        <f t="shared" si="759"/>
        <v>6742800.0000001397</v>
      </c>
      <c r="AS733" s="112">
        <f t="shared" si="760"/>
        <v>96</v>
      </c>
    </row>
    <row r="734" spans="17:45" x14ac:dyDescent="0.25">
      <c r="Q734" s="127">
        <v>45302.6875</v>
      </c>
      <c r="R734">
        <v>1</v>
      </c>
      <c r="S734" s="13">
        <f t="shared" si="764"/>
        <v>6751800.0000001397</v>
      </c>
      <c r="T734">
        <f t="shared" si="761"/>
        <v>96</v>
      </c>
      <c r="U734" s="13">
        <f t="shared" si="762"/>
        <v>6751800.0000001397</v>
      </c>
      <c r="V734" s="112">
        <f t="shared" si="763"/>
        <v>96</v>
      </c>
      <c r="AN734" s="127">
        <v>45302.6875</v>
      </c>
      <c r="AO734">
        <v>1</v>
      </c>
      <c r="AP734" s="13">
        <f t="shared" si="765"/>
        <v>6751800.0000001397</v>
      </c>
      <c r="AQ734">
        <f t="shared" si="758"/>
        <v>96</v>
      </c>
      <c r="AR734" s="13">
        <f t="shared" si="759"/>
        <v>6751800.0000001397</v>
      </c>
      <c r="AS734" s="112">
        <f t="shared" si="760"/>
        <v>96</v>
      </c>
    </row>
    <row r="735" spans="17:45" x14ac:dyDescent="0.25">
      <c r="Q735" s="127">
        <v>45302.791666666657</v>
      </c>
      <c r="R735">
        <v>1</v>
      </c>
      <c r="S735" s="13">
        <f t="shared" si="764"/>
        <v>6760800.0000001397</v>
      </c>
      <c r="T735">
        <f t="shared" si="761"/>
        <v>96</v>
      </c>
      <c r="U735" s="13">
        <f t="shared" si="762"/>
        <v>6760800.0000001397</v>
      </c>
      <c r="V735" s="112">
        <f t="shared" si="763"/>
        <v>96</v>
      </c>
      <c r="AN735" s="127">
        <v>45302.791666666657</v>
      </c>
      <c r="AO735">
        <v>1</v>
      </c>
      <c r="AP735" s="13">
        <f t="shared" si="765"/>
        <v>6760800.0000001397</v>
      </c>
      <c r="AQ735">
        <f t="shared" si="758"/>
        <v>96</v>
      </c>
      <c r="AR735" s="13">
        <f t="shared" si="759"/>
        <v>6760800.0000001397</v>
      </c>
      <c r="AS735" s="112">
        <f t="shared" si="760"/>
        <v>96</v>
      </c>
    </row>
    <row r="736" spans="17:45" x14ac:dyDescent="0.25">
      <c r="Q736" s="127">
        <v>45302.895833333343</v>
      </c>
      <c r="R736">
        <v>1</v>
      </c>
      <c r="S736" s="13">
        <f t="shared" si="764"/>
        <v>6769800.0000001397</v>
      </c>
      <c r="T736">
        <f t="shared" si="761"/>
        <v>96</v>
      </c>
      <c r="U736" s="13">
        <f t="shared" si="762"/>
        <v>6769800.0000001397</v>
      </c>
      <c r="V736" s="112">
        <f t="shared" si="763"/>
        <v>96</v>
      </c>
      <c r="AN736" s="127">
        <v>45302.895833333343</v>
      </c>
      <c r="AO736">
        <v>1</v>
      </c>
      <c r="AP736" s="13">
        <f t="shared" si="765"/>
        <v>6769800.0000001397</v>
      </c>
      <c r="AQ736">
        <f t="shared" si="758"/>
        <v>96</v>
      </c>
      <c r="AR736" s="13">
        <f t="shared" si="759"/>
        <v>6769800.0000001397</v>
      </c>
      <c r="AS736" s="112">
        <f t="shared" si="760"/>
        <v>96</v>
      </c>
    </row>
    <row r="737" spans="17:45" x14ac:dyDescent="0.25">
      <c r="Q737" s="127">
        <v>45303</v>
      </c>
      <c r="R737">
        <v>1</v>
      </c>
      <c r="S737" s="13">
        <f t="shared" si="764"/>
        <v>6778800.0000001397</v>
      </c>
      <c r="T737">
        <f t="shared" si="761"/>
        <v>96</v>
      </c>
      <c r="U737" s="13">
        <f t="shared" si="762"/>
        <v>6778800.0000001397</v>
      </c>
      <c r="V737" s="112">
        <f t="shared" si="763"/>
        <v>96</v>
      </c>
      <c r="AN737" s="127">
        <v>45303</v>
      </c>
      <c r="AO737">
        <v>1</v>
      </c>
      <c r="AP737" s="13">
        <f t="shared" si="765"/>
        <v>6778800.0000001397</v>
      </c>
      <c r="AQ737">
        <f t="shared" si="758"/>
        <v>96</v>
      </c>
      <c r="AR737" s="13">
        <f t="shared" si="759"/>
        <v>6778800.0000001397</v>
      </c>
      <c r="AS737" s="112">
        <f t="shared" si="760"/>
        <v>96</v>
      </c>
    </row>
    <row r="738" spans="17:45" x14ac:dyDescent="0.25">
      <c r="Q738" s="127">
        <v>45303.104166666657</v>
      </c>
      <c r="R738">
        <v>1</v>
      </c>
      <c r="S738" s="13">
        <f t="shared" si="764"/>
        <v>6787800.0000001397</v>
      </c>
      <c r="T738">
        <f t="shared" si="761"/>
        <v>96</v>
      </c>
      <c r="U738" s="13">
        <f t="shared" si="762"/>
        <v>6787800.0000001397</v>
      </c>
      <c r="V738" s="112">
        <f t="shared" si="763"/>
        <v>96</v>
      </c>
      <c r="AN738" s="127">
        <v>45303.104166666657</v>
      </c>
      <c r="AO738">
        <v>1</v>
      </c>
      <c r="AP738" s="13">
        <f t="shared" si="765"/>
        <v>6787800.0000001397</v>
      </c>
      <c r="AQ738">
        <f t="shared" si="758"/>
        <v>96</v>
      </c>
      <c r="AR738" s="13">
        <f t="shared" si="759"/>
        <v>6787800.0000001397</v>
      </c>
      <c r="AS738" s="112">
        <f t="shared" si="760"/>
        <v>96</v>
      </c>
    </row>
    <row r="739" spans="17:45" x14ac:dyDescent="0.25">
      <c r="Q739" s="127">
        <v>45303.208333333343</v>
      </c>
      <c r="R739">
        <v>1</v>
      </c>
      <c r="S739" s="13">
        <f t="shared" si="764"/>
        <v>6796800.0000001397</v>
      </c>
      <c r="T739">
        <f t="shared" si="761"/>
        <v>96</v>
      </c>
      <c r="U739" s="13">
        <f t="shared" si="762"/>
        <v>6796800.0000001397</v>
      </c>
      <c r="V739" s="112">
        <f t="shared" si="763"/>
        <v>96</v>
      </c>
      <c r="AN739" s="127">
        <v>45303.208333333343</v>
      </c>
      <c r="AO739">
        <v>1</v>
      </c>
      <c r="AP739" s="13">
        <f t="shared" si="765"/>
        <v>6796800.0000001397</v>
      </c>
      <c r="AQ739">
        <f t="shared" ref="AQ739:AQ802" si="766">AO739*96</f>
        <v>96</v>
      </c>
      <c r="AR739" s="13">
        <f t="shared" ref="AR739:AR802" si="767">AP739</f>
        <v>6796800.0000001397</v>
      </c>
      <c r="AS739" s="112">
        <f t="shared" ref="AS739:AS802" si="768">IF(AQ739=0,0.0000000001,AQ739)</f>
        <v>96</v>
      </c>
    </row>
    <row r="740" spans="17:45" x14ac:dyDescent="0.25">
      <c r="Q740" s="127">
        <v>45303.3125</v>
      </c>
      <c r="R740">
        <v>1</v>
      </c>
      <c r="S740" s="13">
        <f t="shared" si="764"/>
        <v>6805800.0000001397</v>
      </c>
      <c r="T740">
        <f t="shared" si="761"/>
        <v>96</v>
      </c>
      <c r="U740" s="13">
        <f t="shared" si="762"/>
        <v>6805800.0000001397</v>
      </c>
      <c r="V740" s="112">
        <f t="shared" si="763"/>
        <v>96</v>
      </c>
      <c r="AN740" s="127">
        <v>45303.3125</v>
      </c>
      <c r="AO740">
        <v>1</v>
      </c>
      <c r="AP740" s="13">
        <f t="shared" si="765"/>
        <v>6805800.0000001397</v>
      </c>
      <c r="AQ740">
        <f t="shared" si="766"/>
        <v>96</v>
      </c>
      <c r="AR740" s="13">
        <f t="shared" si="767"/>
        <v>6805800.0000001397</v>
      </c>
      <c r="AS740" s="112">
        <f t="shared" si="768"/>
        <v>96</v>
      </c>
    </row>
    <row r="741" spans="17:45" x14ac:dyDescent="0.25">
      <c r="Q741" s="127">
        <v>45303.416666666657</v>
      </c>
      <c r="R741">
        <v>1</v>
      </c>
      <c r="S741" s="13">
        <f t="shared" si="764"/>
        <v>6814800.0000001397</v>
      </c>
      <c r="T741">
        <f t="shared" si="761"/>
        <v>96</v>
      </c>
      <c r="U741" s="13">
        <f t="shared" si="762"/>
        <v>6814800.0000001397</v>
      </c>
      <c r="V741" s="112">
        <f t="shared" si="763"/>
        <v>96</v>
      </c>
      <c r="AN741" s="127">
        <v>45303.416666666657</v>
      </c>
      <c r="AO741">
        <v>1</v>
      </c>
      <c r="AP741" s="13">
        <f t="shared" si="765"/>
        <v>6814800.0000001397</v>
      </c>
      <c r="AQ741">
        <f t="shared" si="766"/>
        <v>96</v>
      </c>
      <c r="AR741" s="13">
        <f t="shared" si="767"/>
        <v>6814800.0000001397</v>
      </c>
      <c r="AS741" s="112">
        <f t="shared" si="768"/>
        <v>96</v>
      </c>
    </row>
    <row r="742" spans="17:45" x14ac:dyDescent="0.25">
      <c r="Q742" s="127">
        <v>45303.520833333343</v>
      </c>
      <c r="R742">
        <v>1</v>
      </c>
      <c r="S742" s="13">
        <f t="shared" si="764"/>
        <v>6823800.0000001397</v>
      </c>
      <c r="T742">
        <f t="shared" si="761"/>
        <v>96</v>
      </c>
      <c r="U742" s="13">
        <f t="shared" si="762"/>
        <v>6823800.0000001397</v>
      </c>
      <c r="V742" s="112">
        <f t="shared" si="763"/>
        <v>96</v>
      </c>
      <c r="AN742" s="127">
        <v>45303.520833333343</v>
      </c>
      <c r="AO742">
        <v>1</v>
      </c>
      <c r="AP742" s="13">
        <f t="shared" si="765"/>
        <v>6823800.0000001397</v>
      </c>
      <c r="AQ742">
        <f t="shared" si="766"/>
        <v>96</v>
      </c>
      <c r="AR742" s="13">
        <f t="shared" si="767"/>
        <v>6823800.0000001397</v>
      </c>
      <c r="AS742" s="112">
        <f t="shared" si="768"/>
        <v>96</v>
      </c>
    </row>
    <row r="743" spans="17:45" x14ac:dyDescent="0.25">
      <c r="Q743" s="127">
        <v>45303.625</v>
      </c>
      <c r="R743">
        <v>1</v>
      </c>
      <c r="S743" s="13">
        <f t="shared" si="764"/>
        <v>6832800.0000001397</v>
      </c>
      <c r="T743">
        <f t="shared" si="761"/>
        <v>96</v>
      </c>
      <c r="U743" s="13">
        <f t="shared" si="762"/>
        <v>6832800.0000001397</v>
      </c>
      <c r="V743" s="112">
        <f t="shared" si="763"/>
        <v>96</v>
      </c>
      <c r="AN743" s="127">
        <v>45303.625</v>
      </c>
      <c r="AO743">
        <v>1</v>
      </c>
      <c r="AP743" s="13">
        <f t="shared" si="765"/>
        <v>6832800.0000001397</v>
      </c>
      <c r="AQ743">
        <f t="shared" si="766"/>
        <v>96</v>
      </c>
      <c r="AR743" s="13">
        <f t="shared" si="767"/>
        <v>6832800.0000001397</v>
      </c>
      <c r="AS743" s="112">
        <f t="shared" si="768"/>
        <v>96</v>
      </c>
    </row>
    <row r="744" spans="17:45" x14ac:dyDescent="0.25">
      <c r="Q744" s="127">
        <v>45303.729166666657</v>
      </c>
      <c r="R744">
        <v>1</v>
      </c>
      <c r="S744" s="13">
        <f t="shared" si="764"/>
        <v>6841800.0000001397</v>
      </c>
      <c r="T744">
        <f t="shared" si="761"/>
        <v>96</v>
      </c>
      <c r="U744" s="13">
        <f t="shared" si="762"/>
        <v>6841800.0000001397</v>
      </c>
      <c r="V744" s="112">
        <f t="shared" si="763"/>
        <v>96</v>
      </c>
      <c r="AN744" s="127">
        <v>45303.729166666657</v>
      </c>
      <c r="AO744">
        <v>1</v>
      </c>
      <c r="AP744" s="13">
        <f t="shared" si="765"/>
        <v>6841800.0000001397</v>
      </c>
      <c r="AQ744">
        <f t="shared" si="766"/>
        <v>96</v>
      </c>
      <c r="AR744" s="13">
        <f t="shared" si="767"/>
        <v>6841800.0000001397</v>
      </c>
      <c r="AS744" s="112">
        <f t="shared" si="768"/>
        <v>96</v>
      </c>
    </row>
    <row r="745" spans="17:45" x14ac:dyDescent="0.25">
      <c r="Q745" s="127">
        <v>45303.833333333343</v>
      </c>
      <c r="R745">
        <v>1</v>
      </c>
      <c r="S745" s="13">
        <f t="shared" si="764"/>
        <v>6850800.0000001397</v>
      </c>
      <c r="T745">
        <f t="shared" si="761"/>
        <v>96</v>
      </c>
      <c r="U745" s="13">
        <f t="shared" si="762"/>
        <v>6850800.0000001397</v>
      </c>
      <c r="V745" s="112">
        <f t="shared" si="763"/>
        <v>96</v>
      </c>
      <c r="AN745" s="127">
        <v>45303.833333333343</v>
      </c>
      <c r="AO745">
        <v>1</v>
      </c>
      <c r="AP745" s="13">
        <f t="shared" si="765"/>
        <v>6850800.0000001397</v>
      </c>
      <c r="AQ745">
        <f t="shared" si="766"/>
        <v>96</v>
      </c>
      <c r="AR745" s="13">
        <f t="shared" si="767"/>
        <v>6850800.0000001397</v>
      </c>
      <c r="AS745" s="112">
        <f t="shared" si="768"/>
        <v>96</v>
      </c>
    </row>
    <row r="746" spans="17:45" x14ac:dyDescent="0.25">
      <c r="Q746" s="127">
        <v>45303.9375</v>
      </c>
      <c r="R746">
        <v>1</v>
      </c>
      <c r="S746" s="13">
        <f t="shared" si="764"/>
        <v>6859800.0000001397</v>
      </c>
      <c r="T746">
        <f t="shared" si="761"/>
        <v>96</v>
      </c>
      <c r="U746" s="13">
        <f t="shared" si="762"/>
        <v>6859800.0000001397</v>
      </c>
      <c r="V746" s="112">
        <f t="shared" si="763"/>
        <v>96</v>
      </c>
      <c r="AN746" s="127">
        <v>45303.9375</v>
      </c>
      <c r="AO746">
        <v>1</v>
      </c>
      <c r="AP746" s="13">
        <f t="shared" si="765"/>
        <v>6859800.0000001397</v>
      </c>
      <c r="AQ746">
        <f t="shared" si="766"/>
        <v>96</v>
      </c>
      <c r="AR746" s="13">
        <f t="shared" si="767"/>
        <v>6859800.0000001397</v>
      </c>
      <c r="AS746" s="112">
        <f t="shared" si="768"/>
        <v>96</v>
      </c>
    </row>
    <row r="747" spans="17:45" x14ac:dyDescent="0.25">
      <c r="Q747" s="127">
        <v>45304.041666666657</v>
      </c>
      <c r="R747">
        <v>1</v>
      </c>
      <c r="S747" s="13">
        <f t="shared" si="764"/>
        <v>6868800.0000001397</v>
      </c>
      <c r="T747">
        <f t="shared" si="761"/>
        <v>96</v>
      </c>
      <c r="U747" s="13">
        <f t="shared" si="762"/>
        <v>6868800.0000001397</v>
      </c>
      <c r="V747" s="112">
        <f t="shared" si="763"/>
        <v>96</v>
      </c>
      <c r="AN747" s="127">
        <v>45304.041666666657</v>
      </c>
      <c r="AO747">
        <v>1</v>
      </c>
      <c r="AP747" s="13">
        <f t="shared" si="765"/>
        <v>6868800.0000001397</v>
      </c>
      <c r="AQ747">
        <f t="shared" si="766"/>
        <v>96</v>
      </c>
      <c r="AR747" s="13">
        <f t="shared" si="767"/>
        <v>6868800.0000001397</v>
      </c>
      <c r="AS747" s="112">
        <f t="shared" si="768"/>
        <v>96</v>
      </c>
    </row>
    <row r="748" spans="17:45" x14ac:dyDescent="0.25">
      <c r="Q748" s="127">
        <v>45304.145833333343</v>
      </c>
      <c r="R748">
        <v>1</v>
      </c>
      <c r="S748" s="13">
        <f t="shared" si="764"/>
        <v>6877800.0000001397</v>
      </c>
      <c r="T748">
        <f t="shared" si="761"/>
        <v>96</v>
      </c>
      <c r="U748" s="13">
        <f t="shared" si="762"/>
        <v>6877800.0000001397</v>
      </c>
      <c r="V748" s="112">
        <f t="shared" si="763"/>
        <v>96</v>
      </c>
      <c r="AN748" s="127">
        <v>45304.145833333343</v>
      </c>
      <c r="AO748">
        <v>1</v>
      </c>
      <c r="AP748" s="13">
        <f t="shared" si="765"/>
        <v>6877800.0000001397</v>
      </c>
      <c r="AQ748">
        <f t="shared" si="766"/>
        <v>96</v>
      </c>
      <c r="AR748" s="13">
        <f t="shared" si="767"/>
        <v>6877800.0000001397</v>
      </c>
      <c r="AS748" s="112">
        <f t="shared" si="768"/>
        <v>96</v>
      </c>
    </row>
    <row r="749" spans="17:45" x14ac:dyDescent="0.25">
      <c r="Q749" s="127">
        <v>45304.25</v>
      </c>
      <c r="R749">
        <v>1</v>
      </c>
      <c r="S749" s="13">
        <f t="shared" si="764"/>
        <v>6886800.0000001397</v>
      </c>
      <c r="T749">
        <f t="shared" si="761"/>
        <v>96</v>
      </c>
      <c r="U749" s="13">
        <f t="shared" si="762"/>
        <v>6886800.0000001397</v>
      </c>
      <c r="V749" s="112">
        <f t="shared" si="763"/>
        <v>96</v>
      </c>
      <c r="AN749" s="127">
        <v>45304.25</v>
      </c>
      <c r="AO749">
        <v>1</v>
      </c>
      <c r="AP749" s="13">
        <f t="shared" si="765"/>
        <v>6886800.0000001397</v>
      </c>
      <c r="AQ749">
        <f t="shared" si="766"/>
        <v>96</v>
      </c>
      <c r="AR749" s="13">
        <f t="shared" si="767"/>
        <v>6886800.0000001397</v>
      </c>
      <c r="AS749" s="112">
        <f t="shared" si="768"/>
        <v>96</v>
      </c>
    </row>
    <row r="750" spans="17:45" x14ac:dyDescent="0.25">
      <c r="Q750" s="127">
        <v>45304.354166666657</v>
      </c>
      <c r="R750">
        <v>1</v>
      </c>
      <c r="S750" s="13">
        <f t="shared" si="764"/>
        <v>6895800.0000001397</v>
      </c>
      <c r="T750">
        <f t="shared" si="761"/>
        <v>96</v>
      </c>
      <c r="U750" s="13">
        <f t="shared" si="762"/>
        <v>6895800.0000001397</v>
      </c>
      <c r="V750" s="112">
        <f t="shared" si="763"/>
        <v>96</v>
      </c>
      <c r="AN750" s="127">
        <v>45304.354166666657</v>
      </c>
      <c r="AO750">
        <v>1</v>
      </c>
      <c r="AP750" s="13">
        <f t="shared" si="765"/>
        <v>6895800.0000001397</v>
      </c>
      <c r="AQ750">
        <f t="shared" si="766"/>
        <v>96</v>
      </c>
      <c r="AR750" s="13">
        <f t="shared" si="767"/>
        <v>6895800.0000001397</v>
      </c>
      <c r="AS750" s="112">
        <f t="shared" si="768"/>
        <v>96</v>
      </c>
    </row>
    <row r="751" spans="17:45" x14ac:dyDescent="0.25">
      <c r="Q751" s="127">
        <v>45304.458333333343</v>
      </c>
      <c r="R751">
        <v>1</v>
      </c>
      <c r="S751" s="13">
        <f t="shared" si="764"/>
        <v>6904800.0000001397</v>
      </c>
      <c r="T751">
        <f t="shared" si="761"/>
        <v>96</v>
      </c>
      <c r="U751" s="13">
        <f t="shared" si="762"/>
        <v>6904800.0000001397</v>
      </c>
      <c r="V751" s="112">
        <f t="shared" si="763"/>
        <v>96</v>
      </c>
      <c r="AN751" s="127">
        <v>45304.458333333343</v>
      </c>
      <c r="AO751">
        <v>1</v>
      </c>
      <c r="AP751" s="13">
        <f t="shared" si="765"/>
        <v>6904800.0000001397</v>
      </c>
      <c r="AQ751">
        <f t="shared" si="766"/>
        <v>96</v>
      </c>
      <c r="AR751" s="13">
        <f t="shared" si="767"/>
        <v>6904800.0000001397</v>
      </c>
      <c r="AS751" s="112">
        <f t="shared" si="768"/>
        <v>96</v>
      </c>
    </row>
    <row r="752" spans="17:45" x14ac:dyDescent="0.25">
      <c r="Q752" s="127">
        <v>45304.5625</v>
      </c>
      <c r="R752">
        <v>1</v>
      </c>
      <c r="S752" s="13">
        <f t="shared" si="764"/>
        <v>6913800.0000001397</v>
      </c>
      <c r="T752">
        <f t="shared" si="761"/>
        <v>96</v>
      </c>
      <c r="U752" s="13">
        <f t="shared" si="762"/>
        <v>6913800.0000001397</v>
      </c>
      <c r="V752" s="112">
        <f t="shared" si="763"/>
        <v>96</v>
      </c>
      <c r="AN752" s="127">
        <v>45304.5625</v>
      </c>
      <c r="AO752">
        <v>1</v>
      </c>
      <c r="AP752" s="13">
        <f t="shared" si="765"/>
        <v>6913800.0000001397</v>
      </c>
      <c r="AQ752">
        <f t="shared" si="766"/>
        <v>96</v>
      </c>
      <c r="AR752" s="13">
        <f t="shared" si="767"/>
        <v>6913800.0000001397</v>
      </c>
      <c r="AS752" s="112">
        <f t="shared" si="768"/>
        <v>96</v>
      </c>
    </row>
    <row r="753" spans="17:45" x14ac:dyDescent="0.25">
      <c r="Q753" s="127">
        <v>45304.666666666657</v>
      </c>
      <c r="R753">
        <v>1</v>
      </c>
      <c r="S753" s="13">
        <f t="shared" si="764"/>
        <v>6922800.0000001397</v>
      </c>
      <c r="T753">
        <f t="shared" si="761"/>
        <v>96</v>
      </c>
      <c r="U753" s="13">
        <f t="shared" si="762"/>
        <v>6922800.0000001397</v>
      </c>
      <c r="V753" s="112">
        <f t="shared" si="763"/>
        <v>96</v>
      </c>
      <c r="AN753" s="127">
        <v>45304.666666666657</v>
      </c>
      <c r="AO753">
        <v>1</v>
      </c>
      <c r="AP753" s="13">
        <f t="shared" si="765"/>
        <v>6922800.0000001397</v>
      </c>
      <c r="AQ753">
        <f t="shared" si="766"/>
        <v>96</v>
      </c>
      <c r="AR753" s="13">
        <f t="shared" si="767"/>
        <v>6922800.0000001397</v>
      </c>
      <c r="AS753" s="112">
        <f t="shared" si="768"/>
        <v>96</v>
      </c>
    </row>
    <row r="754" spans="17:45" x14ac:dyDescent="0.25">
      <c r="Q754" s="127">
        <v>45304.770833333343</v>
      </c>
      <c r="R754">
        <v>1</v>
      </c>
      <c r="S754" s="13">
        <f t="shared" si="764"/>
        <v>6931800.0000001397</v>
      </c>
      <c r="T754">
        <f t="shared" si="761"/>
        <v>96</v>
      </c>
      <c r="U754" s="13">
        <f t="shared" si="762"/>
        <v>6931800.0000001397</v>
      </c>
      <c r="V754" s="112">
        <f t="shared" si="763"/>
        <v>96</v>
      </c>
      <c r="AN754" s="127">
        <v>45304.770833333343</v>
      </c>
      <c r="AO754">
        <v>1</v>
      </c>
      <c r="AP754" s="13">
        <f t="shared" si="765"/>
        <v>6931800.0000001397</v>
      </c>
      <c r="AQ754">
        <f t="shared" si="766"/>
        <v>96</v>
      </c>
      <c r="AR754" s="13">
        <f t="shared" si="767"/>
        <v>6931800.0000001397</v>
      </c>
      <c r="AS754" s="112">
        <f t="shared" si="768"/>
        <v>96</v>
      </c>
    </row>
    <row r="755" spans="17:45" x14ac:dyDescent="0.25">
      <c r="Q755" s="127">
        <v>45304.875</v>
      </c>
      <c r="R755">
        <v>1</v>
      </c>
      <c r="S755" s="13">
        <f t="shared" si="764"/>
        <v>6940800.0000001397</v>
      </c>
      <c r="T755">
        <f t="shared" si="761"/>
        <v>96</v>
      </c>
      <c r="U755" s="13">
        <f t="shared" si="762"/>
        <v>6940800.0000001397</v>
      </c>
      <c r="V755" s="112">
        <f t="shared" si="763"/>
        <v>96</v>
      </c>
      <c r="AN755" s="127">
        <v>45304.875</v>
      </c>
      <c r="AO755">
        <v>1</v>
      </c>
      <c r="AP755" s="13">
        <f t="shared" si="765"/>
        <v>6940800.0000001397</v>
      </c>
      <c r="AQ755">
        <f t="shared" si="766"/>
        <v>96</v>
      </c>
      <c r="AR755" s="13">
        <f t="shared" si="767"/>
        <v>6940800.0000001397</v>
      </c>
      <c r="AS755" s="112">
        <f t="shared" si="768"/>
        <v>96</v>
      </c>
    </row>
    <row r="756" spans="17:45" x14ac:dyDescent="0.25">
      <c r="Q756" s="127">
        <v>45304.979166666657</v>
      </c>
      <c r="R756">
        <v>1</v>
      </c>
      <c r="S756" s="13">
        <f t="shared" si="764"/>
        <v>6949800.0000001397</v>
      </c>
      <c r="T756">
        <f t="shared" si="761"/>
        <v>96</v>
      </c>
      <c r="U756" s="13">
        <f t="shared" si="762"/>
        <v>6949800.0000001397</v>
      </c>
      <c r="V756" s="112">
        <f t="shared" si="763"/>
        <v>96</v>
      </c>
      <c r="AN756" s="127">
        <v>45304.979166666657</v>
      </c>
      <c r="AO756">
        <v>1</v>
      </c>
      <c r="AP756" s="13">
        <f t="shared" si="765"/>
        <v>6949800.0000001397</v>
      </c>
      <c r="AQ756">
        <f t="shared" si="766"/>
        <v>96</v>
      </c>
      <c r="AR756" s="13">
        <f t="shared" si="767"/>
        <v>6949800.0000001397</v>
      </c>
      <c r="AS756" s="112">
        <f t="shared" si="768"/>
        <v>96</v>
      </c>
    </row>
    <row r="757" spans="17:45" x14ac:dyDescent="0.25">
      <c r="Q757" s="127">
        <v>45305.083333333343</v>
      </c>
      <c r="R757">
        <v>1</v>
      </c>
      <c r="S757" s="13">
        <f t="shared" si="764"/>
        <v>6958800.0000001397</v>
      </c>
      <c r="T757">
        <f t="shared" si="761"/>
        <v>96</v>
      </c>
      <c r="U757" s="13">
        <f t="shared" si="762"/>
        <v>6958800.0000001397</v>
      </c>
      <c r="V757" s="112">
        <f t="shared" si="763"/>
        <v>96</v>
      </c>
      <c r="AN757" s="127">
        <v>45305.083333333343</v>
      </c>
      <c r="AO757">
        <v>1</v>
      </c>
      <c r="AP757" s="13">
        <f t="shared" si="765"/>
        <v>6958800.0000001397</v>
      </c>
      <c r="AQ757">
        <f t="shared" si="766"/>
        <v>96</v>
      </c>
      <c r="AR757" s="13">
        <f t="shared" si="767"/>
        <v>6958800.0000001397</v>
      </c>
      <c r="AS757" s="112">
        <f t="shared" si="768"/>
        <v>96</v>
      </c>
    </row>
    <row r="758" spans="17:45" x14ac:dyDescent="0.25">
      <c r="Q758" s="127">
        <v>45305.1875</v>
      </c>
      <c r="R758">
        <v>1</v>
      </c>
      <c r="S758" s="13">
        <f t="shared" si="764"/>
        <v>6967800.0000001397</v>
      </c>
      <c r="T758">
        <f t="shared" si="761"/>
        <v>96</v>
      </c>
      <c r="U758" s="13">
        <f t="shared" si="762"/>
        <v>6967800.0000001397</v>
      </c>
      <c r="V758" s="112">
        <f t="shared" si="763"/>
        <v>96</v>
      </c>
      <c r="AN758" s="127">
        <v>45305.1875</v>
      </c>
      <c r="AO758">
        <v>1</v>
      </c>
      <c r="AP758" s="13">
        <f t="shared" si="765"/>
        <v>6967800.0000001397</v>
      </c>
      <c r="AQ758">
        <f t="shared" si="766"/>
        <v>96</v>
      </c>
      <c r="AR758" s="13">
        <f t="shared" si="767"/>
        <v>6967800.0000001397</v>
      </c>
      <c r="AS758" s="112">
        <f t="shared" si="768"/>
        <v>96</v>
      </c>
    </row>
    <row r="759" spans="17:45" x14ac:dyDescent="0.25">
      <c r="Q759" s="127">
        <v>45305.291666666657</v>
      </c>
      <c r="R759">
        <v>1</v>
      </c>
      <c r="S759" s="13">
        <f t="shared" si="764"/>
        <v>6976800.0000001397</v>
      </c>
      <c r="T759">
        <f t="shared" si="761"/>
        <v>96</v>
      </c>
      <c r="U759" s="13">
        <f t="shared" si="762"/>
        <v>6976800.0000001397</v>
      </c>
      <c r="V759" s="112">
        <f t="shared" si="763"/>
        <v>96</v>
      </c>
      <c r="AN759" s="127">
        <v>45305.291666666657</v>
      </c>
      <c r="AO759">
        <v>1</v>
      </c>
      <c r="AP759" s="13">
        <f t="shared" si="765"/>
        <v>6976800.0000001397</v>
      </c>
      <c r="AQ759">
        <f t="shared" si="766"/>
        <v>96</v>
      </c>
      <c r="AR759" s="13">
        <f t="shared" si="767"/>
        <v>6976800.0000001397</v>
      </c>
      <c r="AS759" s="112">
        <f t="shared" si="768"/>
        <v>96</v>
      </c>
    </row>
    <row r="760" spans="17:45" x14ac:dyDescent="0.25">
      <c r="Q760" s="127">
        <v>45305.395833333343</v>
      </c>
      <c r="R760">
        <v>1</v>
      </c>
      <c r="S760" s="13">
        <f t="shared" si="764"/>
        <v>6985800.0000001397</v>
      </c>
      <c r="T760">
        <f t="shared" si="761"/>
        <v>96</v>
      </c>
      <c r="U760" s="13">
        <f t="shared" si="762"/>
        <v>6985800.0000001397</v>
      </c>
      <c r="V760" s="112">
        <f t="shared" si="763"/>
        <v>96</v>
      </c>
      <c r="AN760" s="127">
        <v>45305.395833333343</v>
      </c>
      <c r="AO760">
        <v>1</v>
      </c>
      <c r="AP760" s="13">
        <f t="shared" si="765"/>
        <v>6985800.0000001397</v>
      </c>
      <c r="AQ760">
        <f t="shared" si="766"/>
        <v>96</v>
      </c>
      <c r="AR760" s="13">
        <f t="shared" si="767"/>
        <v>6985800.0000001397</v>
      </c>
      <c r="AS760" s="112">
        <f t="shared" si="768"/>
        <v>96</v>
      </c>
    </row>
    <row r="761" spans="17:45" x14ac:dyDescent="0.25">
      <c r="Q761" s="127">
        <v>45305.5</v>
      </c>
      <c r="R761">
        <v>1</v>
      </c>
      <c r="S761" s="13">
        <f t="shared" si="764"/>
        <v>6994800.0000001397</v>
      </c>
      <c r="T761">
        <f t="shared" si="761"/>
        <v>96</v>
      </c>
      <c r="U761" s="13">
        <f t="shared" si="762"/>
        <v>6994800.0000001397</v>
      </c>
      <c r="V761" s="112">
        <f t="shared" si="763"/>
        <v>96</v>
      </c>
      <c r="AN761" s="127">
        <v>45305.5</v>
      </c>
      <c r="AO761">
        <v>1</v>
      </c>
      <c r="AP761" s="13">
        <f t="shared" si="765"/>
        <v>6994800.0000001397</v>
      </c>
      <c r="AQ761">
        <f t="shared" si="766"/>
        <v>96</v>
      </c>
      <c r="AR761" s="13">
        <f t="shared" si="767"/>
        <v>6994800.0000001397</v>
      </c>
      <c r="AS761" s="112">
        <f t="shared" si="768"/>
        <v>96</v>
      </c>
    </row>
    <row r="762" spans="17:45" x14ac:dyDescent="0.25">
      <c r="Q762" s="127">
        <v>45305.604166666657</v>
      </c>
      <c r="R762">
        <v>1</v>
      </c>
      <c r="S762" s="13">
        <f t="shared" si="764"/>
        <v>7003800.0000001397</v>
      </c>
      <c r="T762">
        <f t="shared" si="761"/>
        <v>96</v>
      </c>
      <c r="U762" s="13">
        <f t="shared" si="762"/>
        <v>7003800.0000001397</v>
      </c>
      <c r="V762" s="112">
        <f t="shared" si="763"/>
        <v>96</v>
      </c>
      <c r="AN762" s="127">
        <v>45305.604166666657</v>
      </c>
      <c r="AO762">
        <v>1</v>
      </c>
      <c r="AP762" s="13">
        <f t="shared" si="765"/>
        <v>7003800.0000001397</v>
      </c>
      <c r="AQ762">
        <f t="shared" si="766"/>
        <v>96</v>
      </c>
      <c r="AR762" s="13">
        <f t="shared" si="767"/>
        <v>7003800.0000001397</v>
      </c>
      <c r="AS762" s="112">
        <f t="shared" si="768"/>
        <v>96</v>
      </c>
    </row>
    <row r="763" spans="17:45" x14ac:dyDescent="0.25">
      <c r="Q763" s="127">
        <v>45305.708333333343</v>
      </c>
      <c r="R763">
        <v>1</v>
      </c>
      <c r="S763" s="13">
        <f t="shared" si="764"/>
        <v>7012800.0000001397</v>
      </c>
      <c r="T763">
        <f t="shared" si="761"/>
        <v>96</v>
      </c>
      <c r="U763" s="13">
        <f t="shared" si="762"/>
        <v>7012800.0000001397</v>
      </c>
      <c r="V763" s="112">
        <f t="shared" si="763"/>
        <v>96</v>
      </c>
      <c r="AN763" s="127">
        <v>45305.708333333343</v>
      </c>
      <c r="AO763">
        <v>1</v>
      </c>
      <c r="AP763" s="13">
        <f t="shared" si="765"/>
        <v>7012800.0000001397</v>
      </c>
      <c r="AQ763">
        <f t="shared" si="766"/>
        <v>96</v>
      </c>
      <c r="AR763" s="13">
        <f t="shared" si="767"/>
        <v>7012800.0000001397</v>
      </c>
      <c r="AS763" s="112">
        <f t="shared" si="768"/>
        <v>96</v>
      </c>
    </row>
    <row r="764" spans="17:45" x14ac:dyDescent="0.25">
      <c r="Q764" s="127">
        <v>45305.8125</v>
      </c>
      <c r="R764">
        <v>1</v>
      </c>
      <c r="S764" s="13">
        <f t="shared" si="764"/>
        <v>7021800.0000001397</v>
      </c>
      <c r="T764">
        <f t="shared" si="761"/>
        <v>96</v>
      </c>
      <c r="U764" s="13">
        <f t="shared" si="762"/>
        <v>7021800.0000001397</v>
      </c>
      <c r="V764" s="112">
        <f t="shared" si="763"/>
        <v>96</v>
      </c>
      <c r="AN764" s="127">
        <v>45305.8125</v>
      </c>
      <c r="AO764">
        <v>1</v>
      </c>
      <c r="AP764" s="13">
        <f t="shared" si="765"/>
        <v>7021800.0000001397</v>
      </c>
      <c r="AQ764">
        <f t="shared" si="766"/>
        <v>96</v>
      </c>
      <c r="AR764" s="13">
        <f t="shared" si="767"/>
        <v>7021800.0000001397</v>
      </c>
      <c r="AS764" s="112">
        <f t="shared" si="768"/>
        <v>96</v>
      </c>
    </row>
    <row r="765" spans="17:45" x14ac:dyDescent="0.25">
      <c r="Q765" s="127">
        <v>45305.916666666657</v>
      </c>
      <c r="R765">
        <v>1</v>
      </c>
      <c r="S765" s="13">
        <f t="shared" si="764"/>
        <v>7030800.0000001397</v>
      </c>
      <c r="T765">
        <f t="shared" si="761"/>
        <v>96</v>
      </c>
      <c r="U765" s="13">
        <f t="shared" si="762"/>
        <v>7030800.0000001397</v>
      </c>
      <c r="V765" s="112">
        <f t="shared" si="763"/>
        <v>96</v>
      </c>
      <c r="AN765" s="127">
        <v>45305.916666666657</v>
      </c>
      <c r="AO765">
        <v>1</v>
      </c>
      <c r="AP765" s="13">
        <f t="shared" si="765"/>
        <v>7030800.0000001397</v>
      </c>
      <c r="AQ765">
        <f t="shared" si="766"/>
        <v>96</v>
      </c>
      <c r="AR765" s="13">
        <f t="shared" si="767"/>
        <v>7030800.0000001397</v>
      </c>
      <c r="AS765" s="112">
        <f t="shared" si="768"/>
        <v>96</v>
      </c>
    </row>
    <row r="766" spans="17:45" x14ac:dyDescent="0.25">
      <c r="Q766" s="127">
        <v>45306.020833333343</v>
      </c>
      <c r="R766">
        <v>1</v>
      </c>
      <c r="S766" s="13">
        <f t="shared" si="764"/>
        <v>7039800.0000001397</v>
      </c>
      <c r="T766">
        <f t="shared" si="761"/>
        <v>96</v>
      </c>
      <c r="U766" s="13">
        <f t="shared" si="762"/>
        <v>7039800.0000001397</v>
      </c>
      <c r="V766" s="112">
        <f t="shared" si="763"/>
        <v>96</v>
      </c>
      <c r="AN766" s="127">
        <v>45306.020833333343</v>
      </c>
      <c r="AO766">
        <v>1</v>
      </c>
      <c r="AP766" s="13">
        <f t="shared" si="765"/>
        <v>7039800.0000001397</v>
      </c>
      <c r="AQ766">
        <f t="shared" si="766"/>
        <v>96</v>
      </c>
      <c r="AR766" s="13">
        <f t="shared" si="767"/>
        <v>7039800.0000001397</v>
      </c>
      <c r="AS766" s="112">
        <f t="shared" si="768"/>
        <v>96</v>
      </c>
    </row>
    <row r="767" spans="17:45" x14ac:dyDescent="0.25">
      <c r="Q767" s="127">
        <v>45306.125</v>
      </c>
      <c r="R767">
        <v>1</v>
      </c>
      <c r="S767" s="13">
        <f t="shared" si="764"/>
        <v>7048800.0000001397</v>
      </c>
      <c r="T767">
        <f t="shared" si="761"/>
        <v>96</v>
      </c>
      <c r="U767" s="13">
        <f t="shared" si="762"/>
        <v>7048800.0000001397</v>
      </c>
      <c r="V767" s="112">
        <f t="shared" si="763"/>
        <v>96</v>
      </c>
      <c r="AN767" s="127">
        <v>45306.125</v>
      </c>
      <c r="AO767">
        <v>1</v>
      </c>
      <c r="AP767" s="13">
        <f t="shared" si="765"/>
        <v>7048800.0000001397</v>
      </c>
      <c r="AQ767">
        <f t="shared" si="766"/>
        <v>96</v>
      </c>
      <c r="AR767" s="13">
        <f t="shared" si="767"/>
        <v>7048800.0000001397</v>
      </c>
      <c r="AS767" s="112">
        <f t="shared" si="768"/>
        <v>96</v>
      </c>
    </row>
    <row r="768" spans="17:45" x14ac:dyDescent="0.25">
      <c r="Q768" s="127">
        <v>45306.229166666657</v>
      </c>
      <c r="R768">
        <v>1</v>
      </c>
      <c r="S768" s="13">
        <f t="shared" si="764"/>
        <v>7057800.0000001397</v>
      </c>
      <c r="T768">
        <f t="shared" si="761"/>
        <v>96</v>
      </c>
      <c r="U768" s="13">
        <f t="shared" si="762"/>
        <v>7057800.0000001397</v>
      </c>
      <c r="V768" s="112">
        <f t="shared" si="763"/>
        <v>96</v>
      </c>
      <c r="AN768" s="127">
        <v>45306.229166666657</v>
      </c>
      <c r="AO768">
        <v>1</v>
      </c>
      <c r="AP768" s="13">
        <f t="shared" si="765"/>
        <v>7057800.0000001397</v>
      </c>
      <c r="AQ768">
        <f t="shared" si="766"/>
        <v>96</v>
      </c>
      <c r="AR768" s="13">
        <f t="shared" si="767"/>
        <v>7057800.0000001397</v>
      </c>
      <c r="AS768" s="112">
        <f t="shared" si="768"/>
        <v>96</v>
      </c>
    </row>
    <row r="769" spans="17:45" x14ac:dyDescent="0.25">
      <c r="Q769" s="127">
        <v>45306.333333333343</v>
      </c>
      <c r="R769">
        <v>1</v>
      </c>
      <c r="S769" s="13">
        <f t="shared" si="764"/>
        <v>7066800.0000001397</v>
      </c>
      <c r="T769">
        <f t="shared" si="761"/>
        <v>96</v>
      </c>
      <c r="U769" s="13">
        <f t="shared" si="762"/>
        <v>7066800.0000001397</v>
      </c>
      <c r="V769" s="112">
        <f t="shared" si="763"/>
        <v>96</v>
      </c>
      <c r="AN769" s="127">
        <v>45306.333333333343</v>
      </c>
      <c r="AO769">
        <v>1</v>
      </c>
      <c r="AP769" s="13">
        <f t="shared" si="765"/>
        <v>7066800.0000001397</v>
      </c>
      <c r="AQ769">
        <f t="shared" si="766"/>
        <v>96</v>
      </c>
      <c r="AR769" s="13">
        <f t="shared" si="767"/>
        <v>7066800.0000001397</v>
      </c>
      <c r="AS769" s="112">
        <f t="shared" si="768"/>
        <v>96</v>
      </c>
    </row>
    <row r="770" spans="17:45" x14ac:dyDescent="0.25">
      <c r="Q770" s="127">
        <v>45306.4375</v>
      </c>
      <c r="R770">
        <v>0</v>
      </c>
      <c r="S770" s="13">
        <f t="shared" si="764"/>
        <v>7075800.0000001397</v>
      </c>
      <c r="T770">
        <f t="shared" si="761"/>
        <v>0</v>
      </c>
      <c r="U770" s="13">
        <f t="shared" si="762"/>
        <v>7075800.0000001397</v>
      </c>
      <c r="V770" s="112">
        <f t="shared" si="763"/>
        <v>1E-10</v>
      </c>
      <c r="AN770" s="127">
        <v>45306.4375</v>
      </c>
      <c r="AO770">
        <v>0</v>
      </c>
      <c r="AP770" s="13">
        <f t="shared" si="765"/>
        <v>7075800.0000001397</v>
      </c>
      <c r="AQ770">
        <f t="shared" si="766"/>
        <v>0</v>
      </c>
      <c r="AR770" s="13">
        <f t="shared" si="767"/>
        <v>7075800.0000001397</v>
      </c>
      <c r="AS770" s="112">
        <f t="shared" si="768"/>
        <v>1E-10</v>
      </c>
    </row>
    <row r="771" spans="17:45" x14ac:dyDescent="0.25">
      <c r="Q771" s="127">
        <v>45306.541666666657</v>
      </c>
      <c r="R771">
        <v>0</v>
      </c>
      <c r="S771" s="13">
        <f t="shared" si="764"/>
        <v>7084800.0000001397</v>
      </c>
      <c r="T771">
        <f t="shared" ref="T771:T834" si="769">R771*96</f>
        <v>0</v>
      </c>
      <c r="U771" s="13">
        <f t="shared" ref="U771:U834" si="770">S771</f>
        <v>7084800.0000001397</v>
      </c>
      <c r="V771" s="112">
        <f t="shared" ref="V771:V834" si="771">IF(T771=0,0.0000000001,T771)</f>
        <v>1E-10</v>
      </c>
      <c r="AN771" s="127">
        <v>45306.541666666657</v>
      </c>
      <c r="AO771">
        <v>0</v>
      </c>
      <c r="AP771" s="13">
        <f t="shared" si="765"/>
        <v>7084800.0000001397</v>
      </c>
      <c r="AQ771">
        <f t="shared" si="766"/>
        <v>0</v>
      </c>
      <c r="AR771" s="13">
        <f t="shared" si="767"/>
        <v>7084800.0000001397</v>
      </c>
      <c r="AS771" s="112">
        <f t="shared" si="768"/>
        <v>1E-10</v>
      </c>
    </row>
    <row r="772" spans="17:45" x14ac:dyDescent="0.25">
      <c r="Q772" s="127">
        <v>45306.645833333343</v>
      </c>
      <c r="R772">
        <v>0</v>
      </c>
      <c r="S772" s="13">
        <f t="shared" ref="S772:S835" si="772">S771+150*60</f>
        <v>7093800.0000001397</v>
      </c>
      <c r="T772">
        <f t="shared" si="769"/>
        <v>0</v>
      </c>
      <c r="U772" s="13">
        <f t="shared" si="770"/>
        <v>7093800.0000001397</v>
      </c>
      <c r="V772" s="112">
        <f t="shared" si="771"/>
        <v>1E-10</v>
      </c>
      <c r="AN772" s="127">
        <v>45306.645833333343</v>
      </c>
      <c r="AO772">
        <v>0</v>
      </c>
      <c r="AP772" s="13">
        <f t="shared" ref="AP772:AP835" si="773">AP771+150*60</f>
        <v>7093800.0000001397</v>
      </c>
      <c r="AQ772">
        <f t="shared" si="766"/>
        <v>0</v>
      </c>
      <c r="AR772" s="13">
        <f t="shared" si="767"/>
        <v>7093800.0000001397</v>
      </c>
      <c r="AS772" s="112">
        <f t="shared" si="768"/>
        <v>1E-10</v>
      </c>
    </row>
    <row r="773" spans="17:45" x14ac:dyDescent="0.25">
      <c r="Q773" s="127">
        <v>45306.75</v>
      </c>
      <c r="R773">
        <v>0</v>
      </c>
      <c r="S773" s="13">
        <f t="shared" si="772"/>
        <v>7102800.0000001397</v>
      </c>
      <c r="T773">
        <f t="shared" si="769"/>
        <v>0</v>
      </c>
      <c r="U773" s="13">
        <f t="shared" si="770"/>
        <v>7102800.0000001397</v>
      </c>
      <c r="V773" s="112">
        <f t="shared" si="771"/>
        <v>1E-10</v>
      </c>
      <c r="AN773" s="127">
        <v>45306.75</v>
      </c>
      <c r="AO773">
        <v>0</v>
      </c>
      <c r="AP773" s="13">
        <f t="shared" si="773"/>
        <v>7102800.0000001397</v>
      </c>
      <c r="AQ773">
        <f t="shared" si="766"/>
        <v>0</v>
      </c>
      <c r="AR773" s="13">
        <f t="shared" si="767"/>
        <v>7102800.0000001397</v>
      </c>
      <c r="AS773" s="112">
        <f t="shared" si="768"/>
        <v>1E-10</v>
      </c>
    </row>
    <row r="774" spans="17:45" x14ac:dyDescent="0.25">
      <c r="Q774" s="127">
        <v>45306.854166666657</v>
      </c>
      <c r="R774">
        <v>0</v>
      </c>
      <c r="S774" s="13">
        <f t="shared" si="772"/>
        <v>7111800.0000001397</v>
      </c>
      <c r="T774">
        <f t="shared" si="769"/>
        <v>0</v>
      </c>
      <c r="U774" s="13">
        <f t="shared" si="770"/>
        <v>7111800.0000001397</v>
      </c>
      <c r="V774" s="112">
        <f t="shared" si="771"/>
        <v>1E-10</v>
      </c>
      <c r="AN774" s="127">
        <v>45306.854166666657</v>
      </c>
      <c r="AO774">
        <v>0</v>
      </c>
      <c r="AP774" s="13">
        <f t="shared" si="773"/>
        <v>7111800.0000001397</v>
      </c>
      <c r="AQ774">
        <f t="shared" si="766"/>
        <v>0</v>
      </c>
      <c r="AR774" s="13">
        <f t="shared" si="767"/>
        <v>7111800.0000001397</v>
      </c>
      <c r="AS774" s="112">
        <f t="shared" si="768"/>
        <v>1E-10</v>
      </c>
    </row>
    <row r="775" spans="17:45" x14ac:dyDescent="0.25">
      <c r="Q775" s="127">
        <v>45306.958333333343</v>
      </c>
      <c r="R775">
        <v>0</v>
      </c>
      <c r="S775" s="13">
        <f t="shared" si="772"/>
        <v>7120800.0000001397</v>
      </c>
      <c r="T775">
        <f t="shared" si="769"/>
        <v>0</v>
      </c>
      <c r="U775" s="13">
        <f t="shared" si="770"/>
        <v>7120800.0000001397</v>
      </c>
      <c r="V775" s="112">
        <f t="shared" si="771"/>
        <v>1E-10</v>
      </c>
      <c r="AN775" s="127">
        <v>45306.958333333343</v>
      </c>
      <c r="AO775">
        <v>0</v>
      </c>
      <c r="AP775" s="13">
        <f t="shared" si="773"/>
        <v>7120800.0000001397</v>
      </c>
      <c r="AQ775">
        <f t="shared" si="766"/>
        <v>0</v>
      </c>
      <c r="AR775" s="13">
        <f t="shared" si="767"/>
        <v>7120800.0000001397</v>
      </c>
      <c r="AS775" s="112">
        <f t="shared" si="768"/>
        <v>1E-10</v>
      </c>
    </row>
    <row r="776" spans="17:45" x14ac:dyDescent="0.25">
      <c r="Q776" s="127">
        <v>45307.0625</v>
      </c>
      <c r="R776">
        <v>0</v>
      </c>
      <c r="S776" s="13">
        <f t="shared" si="772"/>
        <v>7129800.0000001397</v>
      </c>
      <c r="T776">
        <f t="shared" si="769"/>
        <v>0</v>
      </c>
      <c r="U776" s="13">
        <f t="shared" si="770"/>
        <v>7129800.0000001397</v>
      </c>
      <c r="V776" s="112">
        <f t="shared" si="771"/>
        <v>1E-10</v>
      </c>
      <c r="AN776" s="127">
        <v>45307.0625</v>
      </c>
      <c r="AO776">
        <v>0</v>
      </c>
      <c r="AP776" s="13">
        <f t="shared" si="773"/>
        <v>7129800.0000001397</v>
      </c>
      <c r="AQ776">
        <f t="shared" si="766"/>
        <v>0</v>
      </c>
      <c r="AR776" s="13">
        <f t="shared" si="767"/>
        <v>7129800.0000001397</v>
      </c>
      <c r="AS776" s="112">
        <f t="shared" si="768"/>
        <v>1E-10</v>
      </c>
    </row>
    <row r="777" spans="17:45" x14ac:dyDescent="0.25">
      <c r="Q777" s="127">
        <v>45307.166666666657</v>
      </c>
      <c r="R777">
        <v>0</v>
      </c>
      <c r="S777" s="13">
        <f t="shared" si="772"/>
        <v>7138800.0000001397</v>
      </c>
      <c r="T777">
        <f t="shared" si="769"/>
        <v>0</v>
      </c>
      <c r="U777" s="13">
        <f t="shared" si="770"/>
        <v>7138800.0000001397</v>
      </c>
      <c r="V777" s="112">
        <f t="shared" si="771"/>
        <v>1E-10</v>
      </c>
      <c r="AN777" s="127">
        <v>45307.166666666657</v>
      </c>
      <c r="AO777">
        <v>0</v>
      </c>
      <c r="AP777" s="13">
        <f t="shared" si="773"/>
        <v>7138800.0000001397</v>
      </c>
      <c r="AQ777">
        <f t="shared" si="766"/>
        <v>0</v>
      </c>
      <c r="AR777" s="13">
        <f t="shared" si="767"/>
        <v>7138800.0000001397</v>
      </c>
      <c r="AS777" s="112">
        <f t="shared" si="768"/>
        <v>1E-10</v>
      </c>
    </row>
    <row r="778" spans="17:45" x14ac:dyDescent="0.25">
      <c r="Q778" s="127">
        <v>45307.270833333343</v>
      </c>
      <c r="R778">
        <v>0</v>
      </c>
      <c r="S778" s="13">
        <f t="shared" si="772"/>
        <v>7147800.0000001397</v>
      </c>
      <c r="T778">
        <f t="shared" si="769"/>
        <v>0</v>
      </c>
      <c r="U778" s="13">
        <f t="shared" si="770"/>
        <v>7147800.0000001397</v>
      </c>
      <c r="V778" s="112">
        <f t="shared" si="771"/>
        <v>1E-10</v>
      </c>
      <c r="AN778" s="127">
        <v>45307.270833333343</v>
      </c>
      <c r="AO778">
        <v>0</v>
      </c>
      <c r="AP778" s="13">
        <f t="shared" si="773"/>
        <v>7147800.0000001397</v>
      </c>
      <c r="AQ778">
        <f t="shared" si="766"/>
        <v>0</v>
      </c>
      <c r="AR778" s="13">
        <f t="shared" si="767"/>
        <v>7147800.0000001397</v>
      </c>
      <c r="AS778" s="112">
        <f t="shared" si="768"/>
        <v>1E-10</v>
      </c>
    </row>
    <row r="779" spans="17:45" x14ac:dyDescent="0.25">
      <c r="Q779" s="127">
        <v>45307.375</v>
      </c>
      <c r="R779">
        <v>0</v>
      </c>
      <c r="S779" s="13">
        <f t="shared" si="772"/>
        <v>7156800.0000001397</v>
      </c>
      <c r="T779">
        <f t="shared" si="769"/>
        <v>0</v>
      </c>
      <c r="U779" s="13">
        <f t="shared" si="770"/>
        <v>7156800.0000001397</v>
      </c>
      <c r="V779" s="112">
        <f t="shared" si="771"/>
        <v>1E-10</v>
      </c>
      <c r="AN779" s="127">
        <v>45307.375</v>
      </c>
      <c r="AO779">
        <v>0</v>
      </c>
      <c r="AP779" s="13">
        <f t="shared" si="773"/>
        <v>7156800.0000001397</v>
      </c>
      <c r="AQ779">
        <f t="shared" si="766"/>
        <v>0</v>
      </c>
      <c r="AR779" s="13">
        <f t="shared" si="767"/>
        <v>7156800.0000001397</v>
      </c>
      <c r="AS779" s="112">
        <f t="shared" si="768"/>
        <v>1E-10</v>
      </c>
    </row>
    <row r="780" spans="17:45" x14ac:dyDescent="0.25">
      <c r="Q780" s="127">
        <v>45307.479166666657</v>
      </c>
      <c r="R780">
        <v>0</v>
      </c>
      <c r="S780" s="13">
        <f t="shared" si="772"/>
        <v>7165800.0000001397</v>
      </c>
      <c r="T780">
        <f t="shared" si="769"/>
        <v>0</v>
      </c>
      <c r="U780" s="13">
        <f t="shared" si="770"/>
        <v>7165800.0000001397</v>
      </c>
      <c r="V780" s="112">
        <f t="shared" si="771"/>
        <v>1E-10</v>
      </c>
      <c r="AN780" s="127">
        <v>45307.479166666657</v>
      </c>
      <c r="AO780">
        <v>0</v>
      </c>
      <c r="AP780" s="13">
        <f t="shared" si="773"/>
        <v>7165800.0000001397</v>
      </c>
      <c r="AQ780">
        <f t="shared" si="766"/>
        <v>0</v>
      </c>
      <c r="AR780" s="13">
        <f t="shared" si="767"/>
        <v>7165800.0000001397</v>
      </c>
      <c r="AS780" s="112">
        <f t="shared" si="768"/>
        <v>1E-10</v>
      </c>
    </row>
    <row r="781" spans="17:45" x14ac:dyDescent="0.25">
      <c r="Q781" s="127">
        <v>45307.583333333343</v>
      </c>
      <c r="R781">
        <v>0</v>
      </c>
      <c r="S781" s="13">
        <f t="shared" si="772"/>
        <v>7174800.0000001397</v>
      </c>
      <c r="T781">
        <f t="shared" si="769"/>
        <v>0</v>
      </c>
      <c r="U781" s="13">
        <f t="shared" si="770"/>
        <v>7174800.0000001397</v>
      </c>
      <c r="V781" s="112">
        <f t="shared" si="771"/>
        <v>1E-10</v>
      </c>
      <c r="AN781" s="127">
        <v>45307.583333333343</v>
      </c>
      <c r="AO781">
        <v>0</v>
      </c>
      <c r="AP781" s="13">
        <f t="shared" si="773"/>
        <v>7174800.0000001397</v>
      </c>
      <c r="AQ781">
        <f t="shared" si="766"/>
        <v>0</v>
      </c>
      <c r="AR781" s="13">
        <f t="shared" si="767"/>
        <v>7174800.0000001397</v>
      </c>
      <c r="AS781" s="112">
        <f t="shared" si="768"/>
        <v>1E-10</v>
      </c>
    </row>
    <row r="782" spans="17:45" x14ac:dyDescent="0.25">
      <c r="Q782" s="127">
        <v>45307.6875</v>
      </c>
      <c r="R782">
        <v>0</v>
      </c>
      <c r="S782" s="13">
        <f t="shared" si="772"/>
        <v>7183800.0000001397</v>
      </c>
      <c r="T782">
        <f t="shared" si="769"/>
        <v>0</v>
      </c>
      <c r="U782" s="13">
        <f t="shared" si="770"/>
        <v>7183800.0000001397</v>
      </c>
      <c r="V782" s="112">
        <f t="shared" si="771"/>
        <v>1E-10</v>
      </c>
      <c r="AN782" s="127">
        <v>45307.6875</v>
      </c>
      <c r="AO782">
        <v>0</v>
      </c>
      <c r="AP782" s="13">
        <f t="shared" si="773"/>
        <v>7183800.0000001397</v>
      </c>
      <c r="AQ782">
        <f t="shared" si="766"/>
        <v>0</v>
      </c>
      <c r="AR782" s="13">
        <f t="shared" si="767"/>
        <v>7183800.0000001397</v>
      </c>
      <c r="AS782" s="112">
        <f t="shared" si="768"/>
        <v>1E-10</v>
      </c>
    </row>
    <row r="783" spans="17:45" x14ac:dyDescent="0.25">
      <c r="Q783" s="127">
        <v>45307.791666666657</v>
      </c>
      <c r="R783">
        <v>0</v>
      </c>
      <c r="S783" s="13">
        <f t="shared" si="772"/>
        <v>7192800.0000001397</v>
      </c>
      <c r="T783">
        <f t="shared" si="769"/>
        <v>0</v>
      </c>
      <c r="U783" s="13">
        <f t="shared" si="770"/>
        <v>7192800.0000001397</v>
      </c>
      <c r="V783" s="112">
        <f t="shared" si="771"/>
        <v>1E-10</v>
      </c>
      <c r="AN783" s="127">
        <v>45307.791666666657</v>
      </c>
      <c r="AO783">
        <v>0</v>
      </c>
      <c r="AP783" s="13">
        <f t="shared" si="773"/>
        <v>7192800.0000001397</v>
      </c>
      <c r="AQ783">
        <f t="shared" si="766"/>
        <v>0</v>
      </c>
      <c r="AR783" s="13">
        <f t="shared" si="767"/>
        <v>7192800.0000001397</v>
      </c>
      <c r="AS783" s="112">
        <f t="shared" si="768"/>
        <v>1E-10</v>
      </c>
    </row>
    <row r="784" spans="17:45" x14ac:dyDescent="0.25">
      <c r="Q784" s="127">
        <v>45307.895833333343</v>
      </c>
      <c r="R784">
        <v>0</v>
      </c>
      <c r="S784" s="13">
        <f t="shared" si="772"/>
        <v>7201800.0000001397</v>
      </c>
      <c r="T784">
        <f t="shared" si="769"/>
        <v>0</v>
      </c>
      <c r="U784" s="13">
        <f t="shared" si="770"/>
        <v>7201800.0000001397</v>
      </c>
      <c r="V784" s="112">
        <f t="shared" si="771"/>
        <v>1E-10</v>
      </c>
      <c r="AN784" s="127">
        <v>45307.895833333343</v>
      </c>
      <c r="AO784">
        <v>0</v>
      </c>
      <c r="AP784" s="13">
        <f t="shared" si="773"/>
        <v>7201800.0000001397</v>
      </c>
      <c r="AQ784">
        <f t="shared" si="766"/>
        <v>0</v>
      </c>
      <c r="AR784" s="13">
        <f t="shared" si="767"/>
        <v>7201800.0000001397</v>
      </c>
      <c r="AS784" s="112">
        <f t="shared" si="768"/>
        <v>1E-10</v>
      </c>
    </row>
    <row r="785" spans="17:45" x14ac:dyDescent="0.25">
      <c r="Q785" s="127">
        <v>45308</v>
      </c>
      <c r="R785">
        <v>0</v>
      </c>
      <c r="S785" s="13">
        <f t="shared" si="772"/>
        <v>7210800.0000001397</v>
      </c>
      <c r="T785">
        <f t="shared" si="769"/>
        <v>0</v>
      </c>
      <c r="U785" s="13">
        <f t="shared" si="770"/>
        <v>7210800.0000001397</v>
      </c>
      <c r="V785" s="112">
        <f t="shared" si="771"/>
        <v>1E-10</v>
      </c>
      <c r="AN785" s="127">
        <v>45308</v>
      </c>
      <c r="AO785">
        <v>0</v>
      </c>
      <c r="AP785" s="13">
        <f t="shared" si="773"/>
        <v>7210800.0000001397</v>
      </c>
      <c r="AQ785">
        <f t="shared" si="766"/>
        <v>0</v>
      </c>
      <c r="AR785" s="13">
        <f t="shared" si="767"/>
        <v>7210800.0000001397</v>
      </c>
      <c r="AS785" s="112">
        <f t="shared" si="768"/>
        <v>1E-10</v>
      </c>
    </row>
    <row r="786" spans="17:45" x14ac:dyDescent="0.25">
      <c r="Q786" s="127">
        <v>45308.104166666657</v>
      </c>
      <c r="R786">
        <v>0</v>
      </c>
      <c r="S786" s="13">
        <f t="shared" si="772"/>
        <v>7219800.0000001397</v>
      </c>
      <c r="T786">
        <f t="shared" si="769"/>
        <v>0</v>
      </c>
      <c r="U786" s="13">
        <f t="shared" si="770"/>
        <v>7219800.0000001397</v>
      </c>
      <c r="V786" s="112">
        <f t="shared" si="771"/>
        <v>1E-10</v>
      </c>
      <c r="AN786" s="127">
        <v>45308.104166666657</v>
      </c>
      <c r="AO786">
        <v>0</v>
      </c>
      <c r="AP786" s="13">
        <f t="shared" si="773"/>
        <v>7219800.0000001397</v>
      </c>
      <c r="AQ786">
        <f t="shared" si="766"/>
        <v>0</v>
      </c>
      <c r="AR786" s="13">
        <f t="shared" si="767"/>
        <v>7219800.0000001397</v>
      </c>
      <c r="AS786" s="112">
        <f t="shared" si="768"/>
        <v>1E-10</v>
      </c>
    </row>
    <row r="787" spans="17:45" x14ac:dyDescent="0.25">
      <c r="Q787" s="127">
        <v>45308.208333333343</v>
      </c>
      <c r="R787">
        <v>0</v>
      </c>
      <c r="S787" s="13">
        <f t="shared" si="772"/>
        <v>7228800.0000001397</v>
      </c>
      <c r="T787">
        <f t="shared" si="769"/>
        <v>0</v>
      </c>
      <c r="U787" s="13">
        <f t="shared" si="770"/>
        <v>7228800.0000001397</v>
      </c>
      <c r="V787" s="112">
        <f t="shared" si="771"/>
        <v>1E-10</v>
      </c>
      <c r="AN787" s="127">
        <v>45308.208333333343</v>
      </c>
      <c r="AO787">
        <v>0</v>
      </c>
      <c r="AP787" s="13">
        <f t="shared" si="773"/>
        <v>7228800.0000001397</v>
      </c>
      <c r="AQ787">
        <f t="shared" si="766"/>
        <v>0</v>
      </c>
      <c r="AR787" s="13">
        <f t="shared" si="767"/>
        <v>7228800.0000001397</v>
      </c>
      <c r="AS787" s="112">
        <f t="shared" si="768"/>
        <v>1E-10</v>
      </c>
    </row>
    <row r="788" spans="17:45" x14ac:dyDescent="0.25">
      <c r="Q788" s="127">
        <v>45308.3125</v>
      </c>
      <c r="R788">
        <v>0</v>
      </c>
      <c r="S788" s="13">
        <f t="shared" si="772"/>
        <v>7237800.0000001397</v>
      </c>
      <c r="T788">
        <f t="shared" si="769"/>
        <v>0</v>
      </c>
      <c r="U788" s="13">
        <f t="shared" si="770"/>
        <v>7237800.0000001397</v>
      </c>
      <c r="V788" s="112">
        <f t="shared" si="771"/>
        <v>1E-10</v>
      </c>
      <c r="AN788" s="127">
        <v>45308.3125</v>
      </c>
      <c r="AO788">
        <v>0</v>
      </c>
      <c r="AP788" s="13">
        <f t="shared" si="773"/>
        <v>7237800.0000001397</v>
      </c>
      <c r="AQ788">
        <f t="shared" si="766"/>
        <v>0</v>
      </c>
      <c r="AR788" s="13">
        <f t="shared" si="767"/>
        <v>7237800.0000001397</v>
      </c>
      <c r="AS788" s="112">
        <f t="shared" si="768"/>
        <v>1E-10</v>
      </c>
    </row>
    <row r="789" spans="17:45" x14ac:dyDescent="0.25">
      <c r="Q789" s="127">
        <v>45308.416666666657</v>
      </c>
      <c r="R789">
        <v>0</v>
      </c>
      <c r="S789" s="13">
        <f t="shared" si="772"/>
        <v>7246800.0000001397</v>
      </c>
      <c r="T789">
        <f t="shared" si="769"/>
        <v>0</v>
      </c>
      <c r="U789" s="13">
        <f t="shared" si="770"/>
        <v>7246800.0000001397</v>
      </c>
      <c r="V789" s="112">
        <f t="shared" si="771"/>
        <v>1E-10</v>
      </c>
      <c r="AN789" s="127">
        <v>45308.416666666657</v>
      </c>
      <c r="AO789">
        <v>0</v>
      </c>
      <c r="AP789" s="13">
        <f t="shared" si="773"/>
        <v>7246800.0000001397</v>
      </c>
      <c r="AQ789">
        <f t="shared" si="766"/>
        <v>0</v>
      </c>
      <c r="AR789" s="13">
        <f t="shared" si="767"/>
        <v>7246800.0000001397</v>
      </c>
      <c r="AS789" s="112">
        <f t="shared" si="768"/>
        <v>1E-10</v>
      </c>
    </row>
    <row r="790" spans="17:45" x14ac:dyDescent="0.25">
      <c r="Q790" s="127">
        <v>45308.520833333343</v>
      </c>
      <c r="R790">
        <v>0</v>
      </c>
      <c r="S790" s="13">
        <f t="shared" si="772"/>
        <v>7255800.0000001397</v>
      </c>
      <c r="T790">
        <f t="shared" si="769"/>
        <v>0</v>
      </c>
      <c r="U790" s="13">
        <f t="shared" si="770"/>
        <v>7255800.0000001397</v>
      </c>
      <c r="V790" s="112">
        <f t="shared" si="771"/>
        <v>1E-10</v>
      </c>
      <c r="AN790" s="127">
        <v>45308.520833333343</v>
      </c>
      <c r="AO790">
        <v>0</v>
      </c>
      <c r="AP790" s="13">
        <f t="shared" si="773"/>
        <v>7255800.0000001397</v>
      </c>
      <c r="AQ790">
        <f t="shared" si="766"/>
        <v>0</v>
      </c>
      <c r="AR790" s="13">
        <f t="shared" si="767"/>
        <v>7255800.0000001397</v>
      </c>
      <c r="AS790" s="112">
        <f t="shared" si="768"/>
        <v>1E-10</v>
      </c>
    </row>
    <row r="791" spans="17:45" x14ac:dyDescent="0.25">
      <c r="Q791" s="127">
        <v>45308.625</v>
      </c>
      <c r="R791">
        <v>0</v>
      </c>
      <c r="S791" s="13">
        <f t="shared" si="772"/>
        <v>7264800.0000001397</v>
      </c>
      <c r="T791">
        <f t="shared" si="769"/>
        <v>0</v>
      </c>
      <c r="U791" s="13">
        <f t="shared" si="770"/>
        <v>7264800.0000001397</v>
      </c>
      <c r="V791" s="112">
        <f t="shared" si="771"/>
        <v>1E-10</v>
      </c>
      <c r="AN791" s="127">
        <v>45308.625</v>
      </c>
      <c r="AO791">
        <v>0</v>
      </c>
      <c r="AP791" s="13">
        <f t="shared" si="773"/>
        <v>7264800.0000001397</v>
      </c>
      <c r="AQ791">
        <f t="shared" si="766"/>
        <v>0</v>
      </c>
      <c r="AR791" s="13">
        <f t="shared" si="767"/>
        <v>7264800.0000001397</v>
      </c>
      <c r="AS791" s="112">
        <f t="shared" si="768"/>
        <v>1E-10</v>
      </c>
    </row>
    <row r="792" spans="17:45" x14ac:dyDescent="0.25">
      <c r="Q792" s="127">
        <v>45308.729166666657</v>
      </c>
      <c r="R792">
        <v>0</v>
      </c>
      <c r="S792" s="13">
        <f t="shared" si="772"/>
        <v>7273800.0000001397</v>
      </c>
      <c r="T792">
        <f t="shared" si="769"/>
        <v>0</v>
      </c>
      <c r="U792" s="13">
        <f t="shared" si="770"/>
        <v>7273800.0000001397</v>
      </c>
      <c r="V792" s="112">
        <f t="shared" si="771"/>
        <v>1E-10</v>
      </c>
      <c r="AN792" s="127">
        <v>45308.729166666657</v>
      </c>
      <c r="AO792">
        <v>0</v>
      </c>
      <c r="AP792" s="13">
        <f t="shared" si="773"/>
        <v>7273800.0000001397</v>
      </c>
      <c r="AQ792">
        <f t="shared" si="766"/>
        <v>0</v>
      </c>
      <c r="AR792" s="13">
        <f t="shared" si="767"/>
        <v>7273800.0000001397</v>
      </c>
      <c r="AS792" s="112">
        <f t="shared" si="768"/>
        <v>1E-10</v>
      </c>
    </row>
    <row r="793" spans="17:45" x14ac:dyDescent="0.25">
      <c r="Q793" s="127">
        <v>45308.833333333343</v>
      </c>
      <c r="R793">
        <v>0</v>
      </c>
      <c r="S793" s="13">
        <f t="shared" si="772"/>
        <v>7282800.0000001397</v>
      </c>
      <c r="T793">
        <f t="shared" si="769"/>
        <v>0</v>
      </c>
      <c r="U793" s="13">
        <f t="shared" si="770"/>
        <v>7282800.0000001397</v>
      </c>
      <c r="V793" s="112">
        <f t="shared" si="771"/>
        <v>1E-10</v>
      </c>
      <c r="AN793" s="127">
        <v>45308.833333333343</v>
      </c>
      <c r="AO793">
        <v>0</v>
      </c>
      <c r="AP793" s="13">
        <f t="shared" si="773"/>
        <v>7282800.0000001397</v>
      </c>
      <c r="AQ793">
        <f t="shared" si="766"/>
        <v>0</v>
      </c>
      <c r="AR793" s="13">
        <f t="shared" si="767"/>
        <v>7282800.0000001397</v>
      </c>
      <c r="AS793" s="112">
        <f t="shared" si="768"/>
        <v>1E-10</v>
      </c>
    </row>
    <row r="794" spans="17:45" x14ac:dyDescent="0.25">
      <c r="Q794" s="127">
        <v>45308.9375</v>
      </c>
      <c r="R794">
        <v>0</v>
      </c>
      <c r="S794" s="13">
        <f t="shared" si="772"/>
        <v>7291800.0000001397</v>
      </c>
      <c r="T794">
        <f t="shared" si="769"/>
        <v>0</v>
      </c>
      <c r="U794" s="13">
        <f t="shared" si="770"/>
        <v>7291800.0000001397</v>
      </c>
      <c r="V794" s="112">
        <f t="shared" si="771"/>
        <v>1E-10</v>
      </c>
      <c r="AN794" s="127">
        <v>45308.9375</v>
      </c>
      <c r="AO794">
        <v>0</v>
      </c>
      <c r="AP794" s="13">
        <f t="shared" si="773"/>
        <v>7291800.0000001397</v>
      </c>
      <c r="AQ794">
        <f t="shared" si="766"/>
        <v>0</v>
      </c>
      <c r="AR794" s="13">
        <f t="shared" si="767"/>
        <v>7291800.0000001397</v>
      </c>
      <c r="AS794" s="112">
        <f t="shared" si="768"/>
        <v>1E-10</v>
      </c>
    </row>
    <row r="795" spans="17:45" x14ac:dyDescent="0.25">
      <c r="Q795" s="127">
        <v>45309.041666666657</v>
      </c>
      <c r="R795">
        <v>0</v>
      </c>
      <c r="S795" s="13">
        <f t="shared" si="772"/>
        <v>7300800.0000001397</v>
      </c>
      <c r="T795">
        <f t="shared" si="769"/>
        <v>0</v>
      </c>
      <c r="U795" s="13">
        <f t="shared" si="770"/>
        <v>7300800.0000001397</v>
      </c>
      <c r="V795" s="112">
        <f t="shared" si="771"/>
        <v>1E-10</v>
      </c>
      <c r="AN795" s="127">
        <v>45309.041666666657</v>
      </c>
      <c r="AO795">
        <v>0</v>
      </c>
      <c r="AP795" s="13">
        <f t="shared" si="773"/>
        <v>7300800.0000001397</v>
      </c>
      <c r="AQ795">
        <f t="shared" si="766"/>
        <v>0</v>
      </c>
      <c r="AR795" s="13">
        <f t="shared" si="767"/>
        <v>7300800.0000001397</v>
      </c>
      <c r="AS795" s="112">
        <f t="shared" si="768"/>
        <v>1E-10</v>
      </c>
    </row>
    <row r="796" spans="17:45" x14ac:dyDescent="0.25">
      <c r="Q796" s="127">
        <v>45309.145833333343</v>
      </c>
      <c r="R796">
        <v>0</v>
      </c>
      <c r="S796" s="13">
        <f t="shared" si="772"/>
        <v>7309800.0000001397</v>
      </c>
      <c r="T796">
        <f t="shared" si="769"/>
        <v>0</v>
      </c>
      <c r="U796" s="13">
        <f t="shared" si="770"/>
        <v>7309800.0000001397</v>
      </c>
      <c r="V796" s="112">
        <f t="shared" si="771"/>
        <v>1E-10</v>
      </c>
      <c r="AN796" s="127">
        <v>45309.145833333343</v>
      </c>
      <c r="AO796">
        <v>0</v>
      </c>
      <c r="AP796" s="13">
        <f t="shared" si="773"/>
        <v>7309800.0000001397</v>
      </c>
      <c r="AQ796">
        <f t="shared" si="766"/>
        <v>0</v>
      </c>
      <c r="AR796" s="13">
        <f t="shared" si="767"/>
        <v>7309800.0000001397</v>
      </c>
      <c r="AS796" s="112">
        <f t="shared" si="768"/>
        <v>1E-10</v>
      </c>
    </row>
    <row r="797" spans="17:45" x14ac:dyDescent="0.25">
      <c r="Q797" s="127">
        <v>45309.25</v>
      </c>
      <c r="R797">
        <v>0</v>
      </c>
      <c r="S797" s="13">
        <f t="shared" si="772"/>
        <v>7318800.0000001397</v>
      </c>
      <c r="T797">
        <f t="shared" si="769"/>
        <v>0</v>
      </c>
      <c r="U797" s="13">
        <f t="shared" si="770"/>
        <v>7318800.0000001397</v>
      </c>
      <c r="V797" s="112">
        <f t="shared" si="771"/>
        <v>1E-10</v>
      </c>
      <c r="AN797" s="127">
        <v>45309.25</v>
      </c>
      <c r="AO797">
        <v>0</v>
      </c>
      <c r="AP797" s="13">
        <f t="shared" si="773"/>
        <v>7318800.0000001397</v>
      </c>
      <c r="AQ797">
        <f t="shared" si="766"/>
        <v>0</v>
      </c>
      <c r="AR797" s="13">
        <f t="shared" si="767"/>
        <v>7318800.0000001397</v>
      </c>
      <c r="AS797" s="112">
        <f t="shared" si="768"/>
        <v>1E-10</v>
      </c>
    </row>
    <row r="798" spans="17:45" x14ac:dyDescent="0.25">
      <c r="Q798" s="127">
        <v>45309.354166666657</v>
      </c>
      <c r="R798">
        <v>0</v>
      </c>
      <c r="S798" s="13">
        <f t="shared" si="772"/>
        <v>7327800.0000001397</v>
      </c>
      <c r="T798">
        <f t="shared" si="769"/>
        <v>0</v>
      </c>
      <c r="U798" s="13">
        <f t="shared" si="770"/>
        <v>7327800.0000001397</v>
      </c>
      <c r="V798" s="112">
        <f t="shared" si="771"/>
        <v>1E-10</v>
      </c>
      <c r="AN798" s="127">
        <v>45309.354166666657</v>
      </c>
      <c r="AO798">
        <v>0</v>
      </c>
      <c r="AP798" s="13">
        <f t="shared" si="773"/>
        <v>7327800.0000001397</v>
      </c>
      <c r="AQ798">
        <f t="shared" si="766"/>
        <v>0</v>
      </c>
      <c r="AR798" s="13">
        <f t="shared" si="767"/>
        <v>7327800.0000001397</v>
      </c>
      <c r="AS798" s="112">
        <f t="shared" si="768"/>
        <v>1E-10</v>
      </c>
    </row>
    <row r="799" spans="17:45" x14ac:dyDescent="0.25">
      <c r="Q799" s="127">
        <v>45309.458333333343</v>
      </c>
      <c r="R799">
        <v>0</v>
      </c>
      <c r="S799" s="13">
        <f t="shared" si="772"/>
        <v>7336800.0000001397</v>
      </c>
      <c r="T799">
        <f t="shared" si="769"/>
        <v>0</v>
      </c>
      <c r="U799" s="13">
        <f t="shared" si="770"/>
        <v>7336800.0000001397</v>
      </c>
      <c r="V799" s="112">
        <f t="shared" si="771"/>
        <v>1E-10</v>
      </c>
      <c r="AN799" s="127">
        <v>45309.458333333343</v>
      </c>
      <c r="AO799">
        <v>0</v>
      </c>
      <c r="AP799" s="13">
        <f t="shared" si="773"/>
        <v>7336800.0000001397</v>
      </c>
      <c r="AQ799">
        <f t="shared" si="766"/>
        <v>0</v>
      </c>
      <c r="AR799" s="13">
        <f t="shared" si="767"/>
        <v>7336800.0000001397</v>
      </c>
      <c r="AS799" s="112">
        <f t="shared" si="768"/>
        <v>1E-10</v>
      </c>
    </row>
    <row r="800" spans="17:45" x14ac:dyDescent="0.25">
      <c r="Q800" s="127">
        <v>45309.5625</v>
      </c>
      <c r="R800">
        <v>0</v>
      </c>
      <c r="S800" s="13">
        <f t="shared" si="772"/>
        <v>7345800.0000001397</v>
      </c>
      <c r="T800">
        <f t="shared" si="769"/>
        <v>0</v>
      </c>
      <c r="U800" s="13">
        <f t="shared" si="770"/>
        <v>7345800.0000001397</v>
      </c>
      <c r="V800" s="112">
        <f t="shared" si="771"/>
        <v>1E-10</v>
      </c>
      <c r="AN800" s="127">
        <v>45309.5625</v>
      </c>
      <c r="AO800">
        <v>0</v>
      </c>
      <c r="AP800" s="13">
        <f t="shared" si="773"/>
        <v>7345800.0000001397</v>
      </c>
      <c r="AQ800">
        <f t="shared" si="766"/>
        <v>0</v>
      </c>
      <c r="AR800" s="13">
        <f t="shared" si="767"/>
        <v>7345800.0000001397</v>
      </c>
      <c r="AS800" s="112">
        <f t="shared" si="768"/>
        <v>1E-10</v>
      </c>
    </row>
    <row r="801" spans="17:45" x14ac:dyDescent="0.25">
      <c r="Q801" s="127">
        <v>45309.666666666657</v>
      </c>
      <c r="R801">
        <v>0</v>
      </c>
      <c r="S801" s="13">
        <f t="shared" si="772"/>
        <v>7354800.0000001397</v>
      </c>
      <c r="T801">
        <f t="shared" si="769"/>
        <v>0</v>
      </c>
      <c r="U801" s="13">
        <f t="shared" si="770"/>
        <v>7354800.0000001397</v>
      </c>
      <c r="V801" s="112">
        <f t="shared" si="771"/>
        <v>1E-10</v>
      </c>
      <c r="AN801" s="127">
        <v>45309.666666666657</v>
      </c>
      <c r="AO801">
        <v>0</v>
      </c>
      <c r="AP801" s="13">
        <f t="shared" si="773"/>
        <v>7354800.0000001397</v>
      </c>
      <c r="AQ801">
        <f t="shared" si="766"/>
        <v>0</v>
      </c>
      <c r="AR801" s="13">
        <f t="shared" si="767"/>
        <v>7354800.0000001397</v>
      </c>
      <c r="AS801" s="112">
        <f t="shared" si="768"/>
        <v>1E-10</v>
      </c>
    </row>
    <row r="802" spans="17:45" x14ac:dyDescent="0.25">
      <c r="Q802" s="127">
        <v>45309.770833333343</v>
      </c>
      <c r="R802">
        <v>0</v>
      </c>
      <c r="S802" s="13">
        <f t="shared" si="772"/>
        <v>7363800.0000001397</v>
      </c>
      <c r="T802">
        <f t="shared" si="769"/>
        <v>0</v>
      </c>
      <c r="U802" s="13">
        <f t="shared" si="770"/>
        <v>7363800.0000001397</v>
      </c>
      <c r="V802" s="112">
        <f t="shared" si="771"/>
        <v>1E-10</v>
      </c>
      <c r="AN802" s="127">
        <v>45309.770833333343</v>
      </c>
      <c r="AO802">
        <v>0</v>
      </c>
      <c r="AP802" s="13">
        <f t="shared" si="773"/>
        <v>7363800.0000001397</v>
      </c>
      <c r="AQ802">
        <f t="shared" si="766"/>
        <v>0</v>
      </c>
      <c r="AR802" s="13">
        <f t="shared" si="767"/>
        <v>7363800.0000001397</v>
      </c>
      <c r="AS802" s="112">
        <f t="shared" si="768"/>
        <v>1E-10</v>
      </c>
    </row>
    <row r="803" spans="17:45" x14ac:dyDescent="0.25">
      <c r="Q803" s="127">
        <v>45309.875</v>
      </c>
      <c r="R803">
        <v>0</v>
      </c>
      <c r="S803" s="13">
        <f t="shared" si="772"/>
        <v>7372800.0000001397</v>
      </c>
      <c r="T803">
        <f t="shared" si="769"/>
        <v>0</v>
      </c>
      <c r="U803" s="13">
        <f t="shared" si="770"/>
        <v>7372800.0000001397</v>
      </c>
      <c r="V803" s="112">
        <f t="shared" si="771"/>
        <v>1E-10</v>
      </c>
      <c r="AN803" s="127">
        <v>45309.875</v>
      </c>
      <c r="AO803">
        <v>0</v>
      </c>
      <c r="AP803" s="13">
        <f t="shared" si="773"/>
        <v>7372800.0000001397</v>
      </c>
      <c r="AQ803">
        <f t="shared" ref="AQ803:AQ866" si="774">AO803*96</f>
        <v>0</v>
      </c>
      <c r="AR803" s="13">
        <f t="shared" ref="AR803:AR866" si="775">AP803</f>
        <v>7372800.0000001397</v>
      </c>
      <c r="AS803" s="112">
        <f t="shared" ref="AS803:AS866" si="776">IF(AQ803=0,0.0000000001,AQ803)</f>
        <v>1E-10</v>
      </c>
    </row>
    <row r="804" spans="17:45" x14ac:dyDescent="0.25">
      <c r="Q804" s="127">
        <v>45309.979166666657</v>
      </c>
      <c r="R804">
        <v>0</v>
      </c>
      <c r="S804" s="13">
        <f t="shared" si="772"/>
        <v>7381800.0000001397</v>
      </c>
      <c r="T804">
        <f t="shared" si="769"/>
        <v>0</v>
      </c>
      <c r="U804" s="13">
        <f t="shared" si="770"/>
        <v>7381800.0000001397</v>
      </c>
      <c r="V804" s="112">
        <f t="shared" si="771"/>
        <v>1E-10</v>
      </c>
      <c r="AN804" s="127">
        <v>45309.979166666657</v>
      </c>
      <c r="AO804">
        <v>0</v>
      </c>
      <c r="AP804" s="13">
        <f t="shared" si="773"/>
        <v>7381800.0000001397</v>
      </c>
      <c r="AQ804">
        <f t="shared" si="774"/>
        <v>0</v>
      </c>
      <c r="AR804" s="13">
        <f t="shared" si="775"/>
        <v>7381800.0000001397</v>
      </c>
      <c r="AS804" s="112">
        <f t="shared" si="776"/>
        <v>1E-10</v>
      </c>
    </row>
    <row r="805" spans="17:45" x14ac:dyDescent="0.25">
      <c r="Q805" s="127">
        <v>45310.083333333343</v>
      </c>
      <c r="R805">
        <v>0</v>
      </c>
      <c r="S805" s="13">
        <f t="shared" si="772"/>
        <v>7390800.0000001397</v>
      </c>
      <c r="T805">
        <f t="shared" si="769"/>
        <v>0</v>
      </c>
      <c r="U805" s="13">
        <f t="shared" si="770"/>
        <v>7390800.0000001397</v>
      </c>
      <c r="V805" s="112">
        <f t="shared" si="771"/>
        <v>1E-10</v>
      </c>
      <c r="AN805" s="127">
        <v>45310.083333333343</v>
      </c>
      <c r="AO805">
        <v>0</v>
      </c>
      <c r="AP805" s="13">
        <f t="shared" si="773"/>
        <v>7390800.0000001397</v>
      </c>
      <c r="AQ805">
        <f t="shared" si="774"/>
        <v>0</v>
      </c>
      <c r="AR805" s="13">
        <f t="shared" si="775"/>
        <v>7390800.0000001397</v>
      </c>
      <c r="AS805" s="112">
        <f t="shared" si="776"/>
        <v>1E-10</v>
      </c>
    </row>
    <row r="806" spans="17:45" x14ac:dyDescent="0.25">
      <c r="Q806" s="127">
        <v>45310.1875</v>
      </c>
      <c r="R806">
        <v>0</v>
      </c>
      <c r="S806" s="13">
        <f t="shared" si="772"/>
        <v>7399800.0000001397</v>
      </c>
      <c r="T806">
        <f t="shared" si="769"/>
        <v>0</v>
      </c>
      <c r="U806" s="13">
        <f t="shared" si="770"/>
        <v>7399800.0000001397</v>
      </c>
      <c r="V806" s="112">
        <f t="shared" si="771"/>
        <v>1E-10</v>
      </c>
      <c r="AN806" s="127">
        <v>45310.1875</v>
      </c>
      <c r="AO806">
        <v>0</v>
      </c>
      <c r="AP806" s="13">
        <f t="shared" si="773"/>
        <v>7399800.0000001397</v>
      </c>
      <c r="AQ806">
        <f t="shared" si="774"/>
        <v>0</v>
      </c>
      <c r="AR806" s="13">
        <f t="shared" si="775"/>
        <v>7399800.0000001397</v>
      </c>
      <c r="AS806" s="112">
        <f t="shared" si="776"/>
        <v>1E-10</v>
      </c>
    </row>
    <row r="807" spans="17:45" x14ac:dyDescent="0.25">
      <c r="Q807" s="127">
        <v>45310.291666666657</v>
      </c>
      <c r="R807">
        <v>0</v>
      </c>
      <c r="S807" s="13">
        <f t="shared" si="772"/>
        <v>7408800.0000001397</v>
      </c>
      <c r="T807">
        <f t="shared" si="769"/>
        <v>0</v>
      </c>
      <c r="U807" s="13">
        <f t="shared" si="770"/>
        <v>7408800.0000001397</v>
      </c>
      <c r="V807" s="112">
        <f t="shared" si="771"/>
        <v>1E-10</v>
      </c>
      <c r="AN807" s="127">
        <v>45310.291666666657</v>
      </c>
      <c r="AO807">
        <v>0</v>
      </c>
      <c r="AP807" s="13">
        <f t="shared" si="773"/>
        <v>7408800.0000001397</v>
      </c>
      <c r="AQ807">
        <f t="shared" si="774"/>
        <v>0</v>
      </c>
      <c r="AR807" s="13">
        <f t="shared" si="775"/>
        <v>7408800.0000001397</v>
      </c>
      <c r="AS807" s="112">
        <f t="shared" si="776"/>
        <v>1E-10</v>
      </c>
    </row>
    <row r="808" spans="17:45" x14ac:dyDescent="0.25">
      <c r="Q808" s="127">
        <v>45310.395833333343</v>
      </c>
      <c r="R808">
        <v>0</v>
      </c>
      <c r="S808" s="13">
        <f t="shared" si="772"/>
        <v>7417800.0000001397</v>
      </c>
      <c r="T808">
        <f t="shared" si="769"/>
        <v>0</v>
      </c>
      <c r="U808" s="13">
        <f t="shared" si="770"/>
        <v>7417800.0000001397</v>
      </c>
      <c r="V808" s="112">
        <f t="shared" si="771"/>
        <v>1E-10</v>
      </c>
      <c r="AN808" s="127">
        <v>45310.395833333343</v>
      </c>
      <c r="AO808">
        <v>0</v>
      </c>
      <c r="AP808" s="13">
        <f t="shared" si="773"/>
        <v>7417800.0000001397</v>
      </c>
      <c r="AQ808">
        <f t="shared" si="774"/>
        <v>0</v>
      </c>
      <c r="AR808" s="13">
        <f t="shared" si="775"/>
        <v>7417800.0000001397</v>
      </c>
      <c r="AS808" s="112">
        <f t="shared" si="776"/>
        <v>1E-10</v>
      </c>
    </row>
    <row r="809" spans="17:45" x14ac:dyDescent="0.25">
      <c r="Q809" s="127">
        <v>45310.5</v>
      </c>
      <c r="R809">
        <v>4</v>
      </c>
      <c r="S809" s="13">
        <f t="shared" si="772"/>
        <v>7426800.0000001397</v>
      </c>
      <c r="T809">
        <f t="shared" si="769"/>
        <v>384</v>
      </c>
      <c r="U809" s="13">
        <f t="shared" si="770"/>
        <v>7426800.0000001397</v>
      </c>
      <c r="V809" s="112">
        <f t="shared" si="771"/>
        <v>384</v>
      </c>
      <c r="AN809" s="127">
        <v>45310.5</v>
      </c>
      <c r="AO809">
        <v>4</v>
      </c>
      <c r="AP809" s="13">
        <f t="shared" si="773"/>
        <v>7426800.0000001397</v>
      </c>
      <c r="AQ809">
        <f t="shared" si="774"/>
        <v>384</v>
      </c>
      <c r="AR809" s="13">
        <f t="shared" si="775"/>
        <v>7426800.0000001397</v>
      </c>
      <c r="AS809" s="112">
        <f t="shared" si="776"/>
        <v>384</v>
      </c>
    </row>
    <row r="810" spans="17:45" x14ac:dyDescent="0.25">
      <c r="Q810" s="127">
        <v>45310.604166666657</v>
      </c>
      <c r="R810">
        <v>1</v>
      </c>
      <c r="S810" s="13">
        <f t="shared" si="772"/>
        <v>7435800.0000001397</v>
      </c>
      <c r="T810">
        <f t="shared" si="769"/>
        <v>96</v>
      </c>
      <c r="U810" s="13">
        <f t="shared" si="770"/>
        <v>7435800.0000001397</v>
      </c>
      <c r="V810" s="112">
        <f t="shared" si="771"/>
        <v>96</v>
      </c>
      <c r="AN810" s="127">
        <v>45310.604166666657</v>
      </c>
      <c r="AO810">
        <v>1</v>
      </c>
      <c r="AP810" s="13">
        <f t="shared" si="773"/>
        <v>7435800.0000001397</v>
      </c>
      <c r="AQ810">
        <f t="shared" si="774"/>
        <v>96</v>
      </c>
      <c r="AR810" s="13">
        <f t="shared" si="775"/>
        <v>7435800.0000001397</v>
      </c>
      <c r="AS810" s="112">
        <f t="shared" si="776"/>
        <v>96</v>
      </c>
    </row>
    <row r="811" spans="17:45" x14ac:dyDescent="0.25">
      <c r="Q811" s="127">
        <v>45310.708333333343</v>
      </c>
      <c r="R811">
        <v>1</v>
      </c>
      <c r="S811" s="13">
        <f t="shared" si="772"/>
        <v>7444800.0000001397</v>
      </c>
      <c r="T811">
        <f t="shared" si="769"/>
        <v>96</v>
      </c>
      <c r="U811" s="13">
        <f t="shared" si="770"/>
        <v>7444800.0000001397</v>
      </c>
      <c r="V811" s="112">
        <f t="shared" si="771"/>
        <v>96</v>
      </c>
      <c r="AN811" s="127">
        <v>45310.708333333343</v>
      </c>
      <c r="AO811">
        <v>1</v>
      </c>
      <c r="AP811" s="13">
        <f t="shared" si="773"/>
        <v>7444800.0000001397</v>
      </c>
      <c r="AQ811">
        <f t="shared" si="774"/>
        <v>96</v>
      </c>
      <c r="AR811" s="13">
        <f t="shared" si="775"/>
        <v>7444800.0000001397</v>
      </c>
      <c r="AS811" s="112">
        <f t="shared" si="776"/>
        <v>96</v>
      </c>
    </row>
    <row r="812" spans="17:45" x14ac:dyDescent="0.25">
      <c r="Q812" s="127">
        <v>45310.8125</v>
      </c>
      <c r="R812">
        <v>1</v>
      </c>
      <c r="S812" s="13">
        <f t="shared" si="772"/>
        <v>7453800.0000001397</v>
      </c>
      <c r="T812">
        <f t="shared" si="769"/>
        <v>96</v>
      </c>
      <c r="U812" s="13">
        <f t="shared" si="770"/>
        <v>7453800.0000001397</v>
      </c>
      <c r="V812" s="112">
        <f t="shared" si="771"/>
        <v>96</v>
      </c>
      <c r="AN812" s="127">
        <v>45310.8125</v>
      </c>
      <c r="AO812">
        <v>1</v>
      </c>
      <c r="AP812" s="13">
        <f t="shared" si="773"/>
        <v>7453800.0000001397</v>
      </c>
      <c r="AQ812">
        <f t="shared" si="774"/>
        <v>96</v>
      </c>
      <c r="AR812" s="13">
        <f t="shared" si="775"/>
        <v>7453800.0000001397</v>
      </c>
      <c r="AS812" s="112">
        <f t="shared" si="776"/>
        <v>96</v>
      </c>
    </row>
    <row r="813" spans="17:45" x14ac:dyDescent="0.25">
      <c r="Q813" s="127">
        <v>45310.916666666657</v>
      </c>
      <c r="R813">
        <v>1</v>
      </c>
      <c r="S813" s="13">
        <f t="shared" si="772"/>
        <v>7462800.0000001397</v>
      </c>
      <c r="T813">
        <f t="shared" si="769"/>
        <v>96</v>
      </c>
      <c r="U813" s="13">
        <f t="shared" si="770"/>
        <v>7462800.0000001397</v>
      </c>
      <c r="V813" s="112">
        <f t="shared" si="771"/>
        <v>96</v>
      </c>
      <c r="AN813" s="127">
        <v>45310.916666666657</v>
      </c>
      <c r="AO813">
        <v>1</v>
      </c>
      <c r="AP813" s="13">
        <f t="shared" si="773"/>
        <v>7462800.0000001397</v>
      </c>
      <c r="AQ813">
        <f t="shared" si="774"/>
        <v>96</v>
      </c>
      <c r="AR813" s="13">
        <f t="shared" si="775"/>
        <v>7462800.0000001397</v>
      </c>
      <c r="AS813" s="112">
        <f t="shared" si="776"/>
        <v>96</v>
      </c>
    </row>
    <row r="814" spans="17:45" x14ac:dyDescent="0.25">
      <c r="Q814" s="127">
        <v>45311.020833333343</v>
      </c>
      <c r="R814">
        <v>1</v>
      </c>
      <c r="S814" s="13">
        <f t="shared" si="772"/>
        <v>7471800.0000001397</v>
      </c>
      <c r="T814">
        <f t="shared" si="769"/>
        <v>96</v>
      </c>
      <c r="U814" s="13">
        <f t="shared" si="770"/>
        <v>7471800.0000001397</v>
      </c>
      <c r="V814" s="112">
        <f t="shared" si="771"/>
        <v>96</v>
      </c>
      <c r="AN814" s="127">
        <v>45311.020833333343</v>
      </c>
      <c r="AO814">
        <v>1</v>
      </c>
      <c r="AP814" s="13">
        <f t="shared" si="773"/>
        <v>7471800.0000001397</v>
      </c>
      <c r="AQ814">
        <f t="shared" si="774"/>
        <v>96</v>
      </c>
      <c r="AR814" s="13">
        <f t="shared" si="775"/>
        <v>7471800.0000001397</v>
      </c>
      <c r="AS814" s="112">
        <f t="shared" si="776"/>
        <v>96</v>
      </c>
    </row>
    <row r="815" spans="17:45" x14ac:dyDescent="0.25">
      <c r="Q815" s="127">
        <v>45311.125</v>
      </c>
      <c r="R815">
        <v>1</v>
      </c>
      <c r="S815" s="13">
        <f t="shared" si="772"/>
        <v>7480800.0000001397</v>
      </c>
      <c r="T815">
        <f t="shared" si="769"/>
        <v>96</v>
      </c>
      <c r="U815" s="13">
        <f t="shared" si="770"/>
        <v>7480800.0000001397</v>
      </c>
      <c r="V815" s="112">
        <f t="shared" si="771"/>
        <v>96</v>
      </c>
      <c r="AN815" s="127">
        <v>45311.125</v>
      </c>
      <c r="AO815">
        <v>1</v>
      </c>
      <c r="AP815" s="13">
        <f t="shared" si="773"/>
        <v>7480800.0000001397</v>
      </c>
      <c r="AQ815">
        <f t="shared" si="774"/>
        <v>96</v>
      </c>
      <c r="AR815" s="13">
        <f t="shared" si="775"/>
        <v>7480800.0000001397</v>
      </c>
      <c r="AS815" s="112">
        <f t="shared" si="776"/>
        <v>96</v>
      </c>
    </row>
    <row r="816" spans="17:45" x14ac:dyDescent="0.25">
      <c r="Q816" s="127">
        <v>45311.229166666657</v>
      </c>
      <c r="R816">
        <v>1</v>
      </c>
      <c r="S816" s="13">
        <f t="shared" si="772"/>
        <v>7489800.0000001397</v>
      </c>
      <c r="T816">
        <f t="shared" si="769"/>
        <v>96</v>
      </c>
      <c r="U816" s="13">
        <f t="shared" si="770"/>
        <v>7489800.0000001397</v>
      </c>
      <c r="V816" s="112">
        <f t="shared" si="771"/>
        <v>96</v>
      </c>
      <c r="AN816" s="127">
        <v>45311.229166666657</v>
      </c>
      <c r="AO816">
        <v>1</v>
      </c>
      <c r="AP816" s="13">
        <f t="shared" si="773"/>
        <v>7489800.0000001397</v>
      </c>
      <c r="AQ816">
        <f t="shared" si="774"/>
        <v>96</v>
      </c>
      <c r="AR816" s="13">
        <f t="shared" si="775"/>
        <v>7489800.0000001397</v>
      </c>
      <c r="AS816" s="112">
        <f t="shared" si="776"/>
        <v>96</v>
      </c>
    </row>
    <row r="817" spans="17:45" x14ac:dyDescent="0.25">
      <c r="Q817" s="127">
        <v>45311.333333333343</v>
      </c>
      <c r="R817">
        <v>1</v>
      </c>
      <c r="S817" s="13">
        <f t="shared" si="772"/>
        <v>7498800.0000001397</v>
      </c>
      <c r="T817">
        <f t="shared" si="769"/>
        <v>96</v>
      </c>
      <c r="U817" s="13">
        <f t="shared" si="770"/>
        <v>7498800.0000001397</v>
      </c>
      <c r="V817" s="112">
        <f t="shared" si="771"/>
        <v>96</v>
      </c>
      <c r="AN817" s="127">
        <v>45311.333333333343</v>
      </c>
      <c r="AO817">
        <v>1</v>
      </c>
      <c r="AP817" s="13">
        <f t="shared" si="773"/>
        <v>7498800.0000001397</v>
      </c>
      <c r="AQ817">
        <f t="shared" si="774"/>
        <v>96</v>
      </c>
      <c r="AR817" s="13">
        <f t="shared" si="775"/>
        <v>7498800.0000001397</v>
      </c>
      <c r="AS817" s="112">
        <f t="shared" si="776"/>
        <v>96</v>
      </c>
    </row>
    <row r="818" spans="17:45" x14ac:dyDescent="0.25">
      <c r="Q818" s="127">
        <v>45311.4375</v>
      </c>
      <c r="R818">
        <v>1</v>
      </c>
      <c r="S818" s="13">
        <f t="shared" si="772"/>
        <v>7507800.0000001397</v>
      </c>
      <c r="T818">
        <f t="shared" si="769"/>
        <v>96</v>
      </c>
      <c r="U818" s="13">
        <f t="shared" si="770"/>
        <v>7507800.0000001397</v>
      </c>
      <c r="V818" s="112">
        <f t="shared" si="771"/>
        <v>96</v>
      </c>
      <c r="AN818" s="127">
        <v>45311.4375</v>
      </c>
      <c r="AO818">
        <v>1</v>
      </c>
      <c r="AP818" s="13">
        <f t="shared" si="773"/>
        <v>7507800.0000001397</v>
      </c>
      <c r="AQ818">
        <f t="shared" si="774"/>
        <v>96</v>
      </c>
      <c r="AR818" s="13">
        <f t="shared" si="775"/>
        <v>7507800.0000001397</v>
      </c>
      <c r="AS818" s="112">
        <f t="shared" si="776"/>
        <v>96</v>
      </c>
    </row>
    <row r="819" spans="17:45" x14ac:dyDescent="0.25">
      <c r="Q819" s="127">
        <v>45311.541666666657</v>
      </c>
      <c r="R819">
        <v>1</v>
      </c>
      <c r="S819" s="13">
        <f t="shared" si="772"/>
        <v>7516800.0000001397</v>
      </c>
      <c r="T819">
        <f t="shared" si="769"/>
        <v>96</v>
      </c>
      <c r="U819" s="13">
        <f t="shared" si="770"/>
        <v>7516800.0000001397</v>
      </c>
      <c r="V819" s="112">
        <f t="shared" si="771"/>
        <v>96</v>
      </c>
      <c r="AN819" s="127">
        <v>45311.541666666657</v>
      </c>
      <c r="AO819">
        <v>1</v>
      </c>
      <c r="AP819" s="13">
        <f t="shared" si="773"/>
        <v>7516800.0000001397</v>
      </c>
      <c r="AQ819">
        <f t="shared" si="774"/>
        <v>96</v>
      </c>
      <c r="AR819" s="13">
        <f t="shared" si="775"/>
        <v>7516800.0000001397</v>
      </c>
      <c r="AS819" s="112">
        <f t="shared" si="776"/>
        <v>96</v>
      </c>
    </row>
    <row r="820" spans="17:45" x14ac:dyDescent="0.25">
      <c r="Q820" s="127">
        <v>45311.645833333343</v>
      </c>
      <c r="R820">
        <v>1</v>
      </c>
      <c r="S820" s="13">
        <f t="shared" si="772"/>
        <v>7525800.0000001397</v>
      </c>
      <c r="T820">
        <f t="shared" si="769"/>
        <v>96</v>
      </c>
      <c r="U820" s="13">
        <f t="shared" si="770"/>
        <v>7525800.0000001397</v>
      </c>
      <c r="V820" s="112">
        <f t="shared" si="771"/>
        <v>96</v>
      </c>
      <c r="AN820" s="127">
        <v>45311.645833333343</v>
      </c>
      <c r="AO820">
        <v>1</v>
      </c>
      <c r="AP820" s="13">
        <f t="shared" si="773"/>
        <v>7525800.0000001397</v>
      </c>
      <c r="AQ820">
        <f t="shared" si="774"/>
        <v>96</v>
      </c>
      <c r="AR820" s="13">
        <f t="shared" si="775"/>
        <v>7525800.0000001397</v>
      </c>
      <c r="AS820" s="112">
        <f t="shared" si="776"/>
        <v>96</v>
      </c>
    </row>
    <row r="821" spans="17:45" x14ac:dyDescent="0.25">
      <c r="Q821" s="127">
        <v>45311.75</v>
      </c>
      <c r="R821">
        <v>1</v>
      </c>
      <c r="S821" s="13">
        <f t="shared" si="772"/>
        <v>7534800.0000001397</v>
      </c>
      <c r="T821">
        <f t="shared" si="769"/>
        <v>96</v>
      </c>
      <c r="U821" s="13">
        <f t="shared" si="770"/>
        <v>7534800.0000001397</v>
      </c>
      <c r="V821" s="112">
        <f t="shared" si="771"/>
        <v>96</v>
      </c>
      <c r="AN821" s="127">
        <v>45311.75</v>
      </c>
      <c r="AO821">
        <v>1</v>
      </c>
      <c r="AP821" s="13">
        <f t="shared" si="773"/>
        <v>7534800.0000001397</v>
      </c>
      <c r="AQ821">
        <f t="shared" si="774"/>
        <v>96</v>
      </c>
      <c r="AR821" s="13">
        <f t="shared" si="775"/>
        <v>7534800.0000001397</v>
      </c>
      <c r="AS821" s="112">
        <f t="shared" si="776"/>
        <v>96</v>
      </c>
    </row>
    <row r="822" spans="17:45" x14ac:dyDescent="0.25">
      <c r="Q822" s="127">
        <v>45311.854166666657</v>
      </c>
      <c r="R822">
        <v>1</v>
      </c>
      <c r="S822" s="13">
        <f t="shared" si="772"/>
        <v>7543800.0000001397</v>
      </c>
      <c r="T822">
        <f t="shared" si="769"/>
        <v>96</v>
      </c>
      <c r="U822" s="13">
        <f t="shared" si="770"/>
        <v>7543800.0000001397</v>
      </c>
      <c r="V822" s="112">
        <f t="shared" si="771"/>
        <v>96</v>
      </c>
      <c r="AN822" s="127">
        <v>45311.854166666657</v>
      </c>
      <c r="AO822">
        <v>1</v>
      </c>
      <c r="AP822" s="13">
        <f t="shared" si="773"/>
        <v>7543800.0000001397</v>
      </c>
      <c r="AQ822">
        <f t="shared" si="774"/>
        <v>96</v>
      </c>
      <c r="AR822" s="13">
        <f t="shared" si="775"/>
        <v>7543800.0000001397</v>
      </c>
      <c r="AS822" s="112">
        <f t="shared" si="776"/>
        <v>96</v>
      </c>
    </row>
    <row r="823" spans="17:45" x14ac:dyDescent="0.25">
      <c r="Q823" s="127">
        <v>45311.958333333343</v>
      </c>
      <c r="R823">
        <v>1</v>
      </c>
      <c r="S823" s="13">
        <f t="shared" si="772"/>
        <v>7552800.0000001397</v>
      </c>
      <c r="T823">
        <f t="shared" si="769"/>
        <v>96</v>
      </c>
      <c r="U823" s="13">
        <f t="shared" si="770"/>
        <v>7552800.0000001397</v>
      </c>
      <c r="V823" s="112">
        <f t="shared" si="771"/>
        <v>96</v>
      </c>
      <c r="AN823" s="127">
        <v>45311.958333333343</v>
      </c>
      <c r="AO823">
        <v>1</v>
      </c>
      <c r="AP823" s="13">
        <f t="shared" si="773"/>
        <v>7552800.0000001397</v>
      </c>
      <c r="AQ823">
        <f t="shared" si="774"/>
        <v>96</v>
      </c>
      <c r="AR823" s="13">
        <f t="shared" si="775"/>
        <v>7552800.0000001397</v>
      </c>
      <c r="AS823" s="112">
        <f t="shared" si="776"/>
        <v>96</v>
      </c>
    </row>
    <row r="824" spans="17:45" x14ac:dyDescent="0.25">
      <c r="Q824" s="127">
        <v>45312.0625</v>
      </c>
      <c r="R824">
        <v>1</v>
      </c>
      <c r="S824" s="13">
        <f t="shared" si="772"/>
        <v>7561800.0000001397</v>
      </c>
      <c r="T824">
        <f t="shared" si="769"/>
        <v>96</v>
      </c>
      <c r="U824" s="13">
        <f t="shared" si="770"/>
        <v>7561800.0000001397</v>
      </c>
      <c r="V824" s="112">
        <f t="shared" si="771"/>
        <v>96</v>
      </c>
      <c r="AN824" s="127">
        <v>45312.0625</v>
      </c>
      <c r="AO824">
        <v>1</v>
      </c>
      <c r="AP824" s="13">
        <f t="shared" si="773"/>
        <v>7561800.0000001397</v>
      </c>
      <c r="AQ824">
        <f t="shared" si="774"/>
        <v>96</v>
      </c>
      <c r="AR824" s="13">
        <f t="shared" si="775"/>
        <v>7561800.0000001397</v>
      </c>
      <c r="AS824" s="112">
        <f t="shared" si="776"/>
        <v>96</v>
      </c>
    </row>
    <row r="825" spans="17:45" x14ac:dyDescent="0.25">
      <c r="Q825" s="127">
        <v>45312.166666666657</v>
      </c>
      <c r="R825">
        <v>1</v>
      </c>
      <c r="S825" s="13">
        <f t="shared" si="772"/>
        <v>7570800.0000001397</v>
      </c>
      <c r="T825">
        <f t="shared" si="769"/>
        <v>96</v>
      </c>
      <c r="U825" s="13">
        <f t="shared" si="770"/>
        <v>7570800.0000001397</v>
      </c>
      <c r="V825" s="112">
        <f t="shared" si="771"/>
        <v>96</v>
      </c>
      <c r="AN825" s="127">
        <v>45312.166666666657</v>
      </c>
      <c r="AO825">
        <v>1</v>
      </c>
      <c r="AP825" s="13">
        <f t="shared" si="773"/>
        <v>7570800.0000001397</v>
      </c>
      <c r="AQ825">
        <f t="shared" si="774"/>
        <v>96</v>
      </c>
      <c r="AR825" s="13">
        <f t="shared" si="775"/>
        <v>7570800.0000001397</v>
      </c>
      <c r="AS825" s="112">
        <f t="shared" si="776"/>
        <v>96</v>
      </c>
    </row>
    <row r="826" spans="17:45" x14ac:dyDescent="0.25">
      <c r="Q826" s="127">
        <v>45312.270833333343</v>
      </c>
      <c r="R826">
        <v>1</v>
      </c>
      <c r="S826" s="13">
        <f t="shared" si="772"/>
        <v>7579800.0000001397</v>
      </c>
      <c r="T826">
        <f t="shared" si="769"/>
        <v>96</v>
      </c>
      <c r="U826" s="13">
        <f t="shared" si="770"/>
        <v>7579800.0000001397</v>
      </c>
      <c r="V826" s="112">
        <f t="shared" si="771"/>
        <v>96</v>
      </c>
      <c r="AN826" s="127">
        <v>45312.270833333343</v>
      </c>
      <c r="AO826">
        <v>1</v>
      </c>
      <c r="AP826" s="13">
        <f t="shared" si="773"/>
        <v>7579800.0000001397</v>
      </c>
      <c r="AQ826">
        <f t="shared" si="774"/>
        <v>96</v>
      </c>
      <c r="AR826" s="13">
        <f t="shared" si="775"/>
        <v>7579800.0000001397</v>
      </c>
      <c r="AS826" s="112">
        <f t="shared" si="776"/>
        <v>96</v>
      </c>
    </row>
    <row r="827" spans="17:45" x14ac:dyDescent="0.25">
      <c r="Q827" s="127">
        <v>45312.375</v>
      </c>
      <c r="R827">
        <v>0</v>
      </c>
      <c r="S827" s="13">
        <f t="shared" si="772"/>
        <v>7588800.0000001397</v>
      </c>
      <c r="T827">
        <f t="shared" si="769"/>
        <v>0</v>
      </c>
      <c r="U827" s="13">
        <f t="shared" si="770"/>
        <v>7588800.0000001397</v>
      </c>
      <c r="V827" s="112">
        <f t="shared" si="771"/>
        <v>1E-10</v>
      </c>
      <c r="AN827" s="127">
        <v>45312.375</v>
      </c>
      <c r="AO827">
        <v>1</v>
      </c>
      <c r="AP827" s="13">
        <f t="shared" si="773"/>
        <v>7588800.0000001397</v>
      </c>
      <c r="AQ827">
        <f t="shared" si="774"/>
        <v>96</v>
      </c>
      <c r="AR827" s="13">
        <f t="shared" si="775"/>
        <v>7588800.0000001397</v>
      </c>
      <c r="AS827" s="112">
        <f t="shared" si="776"/>
        <v>96</v>
      </c>
    </row>
    <row r="828" spans="17:45" x14ac:dyDescent="0.25">
      <c r="Q828" s="127">
        <v>45312.479166666657</v>
      </c>
      <c r="R828">
        <v>1</v>
      </c>
      <c r="S828" s="13">
        <f t="shared" si="772"/>
        <v>7597800.0000001397</v>
      </c>
      <c r="T828">
        <f t="shared" si="769"/>
        <v>96</v>
      </c>
      <c r="U828" s="13">
        <f t="shared" si="770"/>
        <v>7597800.0000001397</v>
      </c>
      <c r="V828" s="112">
        <f t="shared" si="771"/>
        <v>96</v>
      </c>
      <c r="AN828" s="127">
        <v>45312.479166666657</v>
      </c>
      <c r="AO828">
        <v>1</v>
      </c>
      <c r="AP828" s="13">
        <f t="shared" si="773"/>
        <v>7597800.0000001397</v>
      </c>
      <c r="AQ828">
        <f t="shared" si="774"/>
        <v>96</v>
      </c>
      <c r="AR828" s="13">
        <f t="shared" si="775"/>
        <v>7597800.0000001397</v>
      </c>
      <c r="AS828" s="112">
        <f t="shared" si="776"/>
        <v>96</v>
      </c>
    </row>
    <row r="829" spans="17:45" x14ac:dyDescent="0.25">
      <c r="Q829" s="127">
        <v>45312.583333333343</v>
      </c>
      <c r="R829">
        <v>1</v>
      </c>
      <c r="S829" s="13">
        <f t="shared" si="772"/>
        <v>7606800.0000001397</v>
      </c>
      <c r="T829">
        <f t="shared" si="769"/>
        <v>96</v>
      </c>
      <c r="U829" s="13">
        <f t="shared" si="770"/>
        <v>7606800.0000001397</v>
      </c>
      <c r="V829" s="112">
        <f t="shared" si="771"/>
        <v>96</v>
      </c>
      <c r="AN829" s="127">
        <v>45312.583333333343</v>
      </c>
      <c r="AO829">
        <v>1</v>
      </c>
      <c r="AP829" s="13">
        <f t="shared" si="773"/>
        <v>7606800.0000001397</v>
      </c>
      <c r="AQ829">
        <f t="shared" si="774"/>
        <v>96</v>
      </c>
      <c r="AR829" s="13">
        <f t="shared" si="775"/>
        <v>7606800.0000001397</v>
      </c>
      <c r="AS829" s="112">
        <f t="shared" si="776"/>
        <v>96</v>
      </c>
    </row>
    <row r="830" spans="17:45" x14ac:dyDescent="0.25">
      <c r="Q830" s="127">
        <v>45312.6875</v>
      </c>
      <c r="R830">
        <v>1</v>
      </c>
      <c r="S830" s="13">
        <f t="shared" si="772"/>
        <v>7615800.0000001397</v>
      </c>
      <c r="T830">
        <f t="shared" si="769"/>
        <v>96</v>
      </c>
      <c r="U830" s="13">
        <f t="shared" si="770"/>
        <v>7615800.0000001397</v>
      </c>
      <c r="V830" s="112">
        <f t="shared" si="771"/>
        <v>96</v>
      </c>
      <c r="AN830" s="127">
        <v>45312.6875</v>
      </c>
      <c r="AO830">
        <v>1</v>
      </c>
      <c r="AP830" s="13">
        <f t="shared" si="773"/>
        <v>7615800.0000001397</v>
      </c>
      <c r="AQ830">
        <f t="shared" si="774"/>
        <v>96</v>
      </c>
      <c r="AR830" s="13">
        <f t="shared" si="775"/>
        <v>7615800.0000001397</v>
      </c>
      <c r="AS830" s="112">
        <f t="shared" si="776"/>
        <v>96</v>
      </c>
    </row>
    <row r="831" spans="17:45" x14ac:dyDescent="0.25">
      <c r="Q831" s="127">
        <v>45312.791666666657</v>
      </c>
      <c r="R831">
        <v>1</v>
      </c>
      <c r="S831" s="13">
        <f t="shared" si="772"/>
        <v>7624800.0000001397</v>
      </c>
      <c r="T831">
        <f t="shared" si="769"/>
        <v>96</v>
      </c>
      <c r="U831" s="13">
        <f t="shared" si="770"/>
        <v>7624800.0000001397</v>
      </c>
      <c r="V831" s="112">
        <f t="shared" si="771"/>
        <v>96</v>
      </c>
      <c r="AN831" s="127">
        <v>45312.791666666657</v>
      </c>
      <c r="AO831">
        <v>1</v>
      </c>
      <c r="AP831" s="13">
        <f t="shared" si="773"/>
        <v>7624800.0000001397</v>
      </c>
      <c r="AQ831">
        <f t="shared" si="774"/>
        <v>96</v>
      </c>
      <c r="AR831" s="13">
        <f t="shared" si="775"/>
        <v>7624800.0000001397</v>
      </c>
      <c r="AS831" s="112">
        <f t="shared" si="776"/>
        <v>96</v>
      </c>
    </row>
    <row r="832" spans="17:45" x14ac:dyDescent="0.25">
      <c r="Q832" s="127">
        <v>45312.895833333343</v>
      </c>
      <c r="R832">
        <v>1</v>
      </c>
      <c r="S832" s="13">
        <f t="shared" si="772"/>
        <v>7633800.0000001397</v>
      </c>
      <c r="T832">
        <f t="shared" si="769"/>
        <v>96</v>
      </c>
      <c r="U832" s="13">
        <f t="shared" si="770"/>
        <v>7633800.0000001397</v>
      </c>
      <c r="V832" s="112">
        <f t="shared" si="771"/>
        <v>96</v>
      </c>
      <c r="AN832" s="127">
        <v>45312.895833333343</v>
      </c>
      <c r="AO832">
        <v>1</v>
      </c>
      <c r="AP832" s="13">
        <f t="shared" si="773"/>
        <v>7633800.0000001397</v>
      </c>
      <c r="AQ832">
        <f t="shared" si="774"/>
        <v>96</v>
      </c>
      <c r="AR832" s="13">
        <f t="shared" si="775"/>
        <v>7633800.0000001397</v>
      </c>
      <c r="AS832" s="112">
        <f t="shared" si="776"/>
        <v>96</v>
      </c>
    </row>
    <row r="833" spans="17:45" x14ac:dyDescent="0.25">
      <c r="Q833" s="127">
        <v>45313</v>
      </c>
      <c r="R833">
        <v>1</v>
      </c>
      <c r="S833" s="13">
        <f t="shared" si="772"/>
        <v>7642800.0000001397</v>
      </c>
      <c r="T833">
        <f t="shared" si="769"/>
        <v>96</v>
      </c>
      <c r="U833" s="13">
        <f t="shared" si="770"/>
        <v>7642800.0000001397</v>
      </c>
      <c r="V833" s="112">
        <f t="shared" si="771"/>
        <v>96</v>
      </c>
      <c r="AN833" s="127">
        <v>45313</v>
      </c>
      <c r="AO833">
        <v>0</v>
      </c>
      <c r="AP833" s="13">
        <f t="shared" si="773"/>
        <v>7642800.0000001397</v>
      </c>
      <c r="AQ833">
        <f t="shared" si="774"/>
        <v>0</v>
      </c>
      <c r="AR833" s="13">
        <f t="shared" si="775"/>
        <v>7642800.0000001397</v>
      </c>
      <c r="AS833" s="112">
        <f t="shared" si="776"/>
        <v>1E-10</v>
      </c>
    </row>
    <row r="834" spans="17:45" x14ac:dyDescent="0.25">
      <c r="Q834" s="127">
        <v>45313.104166666657</v>
      </c>
      <c r="R834">
        <v>1</v>
      </c>
      <c r="S834" s="13">
        <f t="shared" si="772"/>
        <v>7651800.0000001397</v>
      </c>
      <c r="T834">
        <f t="shared" si="769"/>
        <v>96</v>
      </c>
      <c r="U834" s="13">
        <f t="shared" si="770"/>
        <v>7651800.0000001397</v>
      </c>
      <c r="V834" s="112">
        <f t="shared" si="771"/>
        <v>96</v>
      </c>
      <c r="AN834" s="127">
        <v>45313.104166666657</v>
      </c>
      <c r="AO834">
        <v>1</v>
      </c>
      <c r="AP834" s="13">
        <f t="shared" si="773"/>
        <v>7651800.0000001397</v>
      </c>
      <c r="AQ834">
        <f t="shared" si="774"/>
        <v>96</v>
      </c>
      <c r="AR834" s="13">
        <f t="shared" si="775"/>
        <v>7651800.0000001397</v>
      </c>
      <c r="AS834" s="112">
        <f t="shared" si="776"/>
        <v>96</v>
      </c>
    </row>
    <row r="835" spans="17:45" x14ac:dyDescent="0.25">
      <c r="Q835" s="127">
        <v>45313.208333333343</v>
      </c>
      <c r="R835">
        <v>1</v>
      </c>
      <c r="S835" s="13">
        <f t="shared" si="772"/>
        <v>7660800.0000001397</v>
      </c>
      <c r="T835">
        <f t="shared" ref="T835:T898" si="777">R835*96</f>
        <v>96</v>
      </c>
      <c r="U835" s="13">
        <f t="shared" ref="U835:U898" si="778">S835</f>
        <v>7660800.0000001397</v>
      </c>
      <c r="V835" s="112">
        <f t="shared" ref="V835:V898" si="779">IF(T835=0,0.0000000001,T835)</f>
        <v>96</v>
      </c>
      <c r="AN835" s="127">
        <v>45313.208333333343</v>
      </c>
      <c r="AO835">
        <v>1</v>
      </c>
      <c r="AP835" s="13">
        <f t="shared" si="773"/>
        <v>7660800.0000001397</v>
      </c>
      <c r="AQ835">
        <f t="shared" si="774"/>
        <v>96</v>
      </c>
      <c r="AR835" s="13">
        <f t="shared" si="775"/>
        <v>7660800.0000001397</v>
      </c>
      <c r="AS835" s="112">
        <f t="shared" si="776"/>
        <v>96</v>
      </c>
    </row>
    <row r="836" spans="17:45" x14ac:dyDescent="0.25">
      <c r="Q836" s="127">
        <v>45313.3125</v>
      </c>
      <c r="R836">
        <v>1</v>
      </c>
      <c r="S836" s="13">
        <f t="shared" ref="S836:S899" si="780">S835+150*60</f>
        <v>7669800.0000001397</v>
      </c>
      <c r="T836">
        <f t="shared" si="777"/>
        <v>96</v>
      </c>
      <c r="U836" s="13">
        <f t="shared" si="778"/>
        <v>7669800.0000001397</v>
      </c>
      <c r="V836" s="112">
        <f t="shared" si="779"/>
        <v>96</v>
      </c>
      <c r="AN836" s="127">
        <v>45313.3125</v>
      </c>
      <c r="AO836">
        <v>1</v>
      </c>
      <c r="AP836" s="13">
        <f t="shared" ref="AP836:AP899" si="781">AP835+150*60</f>
        <v>7669800.0000001397</v>
      </c>
      <c r="AQ836">
        <f t="shared" si="774"/>
        <v>96</v>
      </c>
      <c r="AR836" s="13">
        <f t="shared" si="775"/>
        <v>7669800.0000001397</v>
      </c>
      <c r="AS836" s="112">
        <f t="shared" si="776"/>
        <v>96</v>
      </c>
    </row>
    <row r="837" spans="17:45" x14ac:dyDescent="0.25">
      <c r="Q837" s="127">
        <v>45313.416666666657</v>
      </c>
      <c r="R837">
        <v>1</v>
      </c>
      <c r="S837" s="13">
        <f t="shared" si="780"/>
        <v>7678800.0000001397</v>
      </c>
      <c r="T837">
        <f t="shared" si="777"/>
        <v>96</v>
      </c>
      <c r="U837" s="13">
        <f t="shared" si="778"/>
        <v>7678800.0000001397</v>
      </c>
      <c r="V837" s="112">
        <f t="shared" si="779"/>
        <v>96</v>
      </c>
      <c r="AN837" s="127">
        <v>45313.416666666657</v>
      </c>
      <c r="AO837">
        <v>1</v>
      </c>
      <c r="AP837" s="13">
        <f t="shared" si="781"/>
        <v>7678800.0000001397</v>
      </c>
      <c r="AQ837">
        <f t="shared" si="774"/>
        <v>96</v>
      </c>
      <c r="AR837" s="13">
        <f t="shared" si="775"/>
        <v>7678800.0000001397</v>
      </c>
      <c r="AS837" s="112">
        <f t="shared" si="776"/>
        <v>96</v>
      </c>
    </row>
    <row r="838" spans="17:45" x14ac:dyDescent="0.25">
      <c r="Q838" s="127">
        <v>45313.520833333343</v>
      </c>
      <c r="R838">
        <v>1</v>
      </c>
      <c r="S838" s="13">
        <f t="shared" si="780"/>
        <v>7687800.0000001397</v>
      </c>
      <c r="T838">
        <f t="shared" si="777"/>
        <v>96</v>
      </c>
      <c r="U838" s="13">
        <f t="shared" si="778"/>
        <v>7687800.0000001397</v>
      </c>
      <c r="V838" s="112">
        <f t="shared" si="779"/>
        <v>96</v>
      </c>
      <c r="AN838" s="127">
        <v>45313.520833333343</v>
      </c>
      <c r="AO838">
        <v>1</v>
      </c>
      <c r="AP838" s="13">
        <f t="shared" si="781"/>
        <v>7687800.0000001397</v>
      </c>
      <c r="AQ838">
        <f t="shared" si="774"/>
        <v>96</v>
      </c>
      <c r="AR838" s="13">
        <f t="shared" si="775"/>
        <v>7687800.0000001397</v>
      </c>
      <c r="AS838" s="112">
        <f t="shared" si="776"/>
        <v>96</v>
      </c>
    </row>
    <row r="839" spans="17:45" x14ac:dyDescent="0.25">
      <c r="Q839" s="127">
        <v>45313.625</v>
      </c>
      <c r="R839">
        <v>1</v>
      </c>
      <c r="S839" s="13">
        <f t="shared" si="780"/>
        <v>7696800.0000001397</v>
      </c>
      <c r="T839">
        <f t="shared" si="777"/>
        <v>96</v>
      </c>
      <c r="U839" s="13">
        <f t="shared" si="778"/>
        <v>7696800.0000001397</v>
      </c>
      <c r="V839" s="112">
        <f t="shared" si="779"/>
        <v>96</v>
      </c>
      <c r="AN839" s="127">
        <v>45313.625</v>
      </c>
      <c r="AO839">
        <v>1</v>
      </c>
      <c r="AP839" s="13">
        <f t="shared" si="781"/>
        <v>7696800.0000001397</v>
      </c>
      <c r="AQ839">
        <f t="shared" si="774"/>
        <v>96</v>
      </c>
      <c r="AR839" s="13">
        <f t="shared" si="775"/>
        <v>7696800.0000001397</v>
      </c>
      <c r="AS839" s="112">
        <f t="shared" si="776"/>
        <v>96</v>
      </c>
    </row>
    <row r="840" spans="17:45" x14ac:dyDescent="0.25">
      <c r="Q840" s="127">
        <v>45313.729166666657</v>
      </c>
      <c r="R840">
        <v>1</v>
      </c>
      <c r="S840" s="13">
        <f t="shared" si="780"/>
        <v>7705800.0000001397</v>
      </c>
      <c r="T840">
        <f t="shared" si="777"/>
        <v>96</v>
      </c>
      <c r="U840" s="13">
        <f t="shared" si="778"/>
        <v>7705800.0000001397</v>
      </c>
      <c r="V840" s="112">
        <f t="shared" si="779"/>
        <v>96</v>
      </c>
      <c r="AN840" s="127">
        <v>45313.729166666657</v>
      </c>
      <c r="AO840">
        <v>1</v>
      </c>
      <c r="AP840" s="13">
        <f t="shared" si="781"/>
        <v>7705800.0000001397</v>
      </c>
      <c r="AQ840">
        <f t="shared" si="774"/>
        <v>96</v>
      </c>
      <c r="AR840" s="13">
        <f t="shared" si="775"/>
        <v>7705800.0000001397</v>
      </c>
      <c r="AS840" s="112">
        <f t="shared" si="776"/>
        <v>96</v>
      </c>
    </row>
    <row r="841" spans="17:45" x14ac:dyDescent="0.25">
      <c r="Q841" s="127">
        <v>45313.833333333343</v>
      </c>
      <c r="R841">
        <v>1</v>
      </c>
      <c r="S841" s="13">
        <f t="shared" si="780"/>
        <v>7714800.0000001397</v>
      </c>
      <c r="T841">
        <f t="shared" si="777"/>
        <v>96</v>
      </c>
      <c r="U841" s="13">
        <f t="shared" si="778"/>
        <v>7714800.0000001397</v>
      </c>
      <c r="V841" s="112">
        <f t="shared" si="779"/>
        <v>96</v>
      </c>
      <c r="AN841" s="127">
        <v>45313.833333333343</v>
      </c>
      <c r="AO841">
        <v>0</v>
      </c>
      <c r="AP841" s="13">
        <f t="shared" si="781"/>
        <v>7714800.0000001397</v>
      </c>
      <c r="AQ841">
        <f t="shared" si="774"/>
        <v>0</v>
      </c>
      <c r="AR841" s="13">
        <f t="shared" si="775"/>
        <v>7714800.0000001397</v>
      </c>
      <c r="AS841" s="112">
        <f t="shared" si="776"/>
        <v>1E-10</v>
      </c>
    </row>
    <row r="842" spans="17:45" x14ac:dyDescent="0.25">
      <c r="Q842" s="127">
        <v>45313.9375</v>
      </c>
      <c r="R842">
        <v>1</v>
      </c>
      <c r="S842" s="13">
        <f t="shared" si="780"/>
        <v>7723800.0000001397</v>
      </c>
      <c r="T842">
        <f t="shared" si="777"/>
        <v>96</v>
      </c>
      <c r="U842" s="13">
        <f t="shared" si="778"/>
        <v>7723800.0000001397</v>
      </c>
      <c r="V842" s="112">
        <f t="shared" si="779"/>
        <v>96</v>
      </c>
      <c r="AN842" s="127">
        <v>45313.9375</v>
      </c>
      <c r="AO842">
        <v>1</v>
      </c>
      <c r="AP842" s="13">
        <f t="shared" si="781"/>
        <v>7723800.0000001397</v>
      </c>
      <c r="AQ842">
        <f t="shared" si="774"/>
        <v>96</v>
      </c>
      <c r="AR842" s="13">
        <f t="shared" si="775"/>
        <v>7723800.0000001397</v>
      </c>
      <c r="AS842" s="112">
        <f t="shared" si="776"/>
        <v>96</v>
      </c>
    </row>
    <row r="843" spans="17:45" x14ac:dyDescent="0.25">
      <c r="Q843" s="127">
        <v>45314.041666666657</v>
      </c>
      <c r="R843">
        <v>1</v>
      </c>
      <c r="S843" s="13">
        <f t="shared" si="780"/>
        <v>7732800.0000001397</v>
      </c>
      <c r="T843">
        <f t="shared" si="777"/>
        <v>96</v>
      </c>
      <c r="U843" s="13">
        <f t="shared" si="778"/>
        <v>7732800.0000001397</v>
      </c>
      <c r="V843" s="112">
        <f t="shared" si="779"/>
        <v>96</v>
      </c>
      <c r="AN843" s="127">
        <v>45314.041666666657</v>
      </c>
      <c r="AO843">
        <v>1</v>
      </c>
      <c r="AP843" s="13">
        <f t="shared" si="781"/>
        <v>7732800.0000001397</v>
      </c>
      <c r="AQ843">
        <f t="shared" si="774"/>
        <v>96</v>
      </c>
      <c r="AR843" s="13">
        <f t="shared" si="775"/>
        <v>7732800.0000001397</v>
      </c>
      <c r="AS843" s="112">
        <f t="shared" si="776"/>
        <v>96</v>
      </c>
    </row>
    <row r="844" spans="17:45" x14ac:dyDescent="0.25">
      <c r="Q844" s="127">
        <v>45314.145833333343</v>
      </c>
      <c r="R844">
        <v>1</v>
      </c>
      <c r="S844" s="13">
        <f t="shared" si="780"/>
        <v>7741800.0000001397</v>
      </c>
      <c r="T844">
        <f t="shared" si="777"/>
        <v>96</v>
      </c>
      <c r="U844" s="13">
        <f t="shared" si="778"/>
        <v>7741800.0000001397</v>
      </c>
      <c r="V844" s="112">
        <f t="shared" si="779"/>
        <v>96</v>
      </c>
      <c r="AN844" s="127">
        <v>45314.145833333343</v>
      </c>
      <c r="AO844">
        <v>1</v>
      </c>
      <c r="AP844" s="13">
        <f t="shared" si="781"/>
        <v>7741800.0000001397</v>
      </c>
      <c r="AQ844">
        <f t="shared" si="774"/>
        <v>96</v>
      </c>
      <c r="AR844" s="13">
        <f t="shared" si="775"/>
        <v>7741800.0000001397</v>
      </c>
      <c r="AS844" s="112">
        <f t="shared" si="776"/>
        <v>96</v>
      </c>
    </row>
    <row r="845" spans="17:45" x14ac:dyDescent="0.25">
      <c r="Q845" s="127">
        <v>45314.25</v>
      </c>
      <c r="R845">
        <v>1</v>
      </c>
      <c r="S845" s="13">
        <f t="shared" si="780"/>
        <v>7750800.0000001397</v>
      </c>
      <c r="T845">
        <f t="shared" si="777"/>
        <v>96</v>
      </c>
      <c r="U845" s="13">
        <f t="shared" si="778"/>
        <v>7750800.0000001397</v>
      </c>
      <c r="V845" s="112">
        <f t="shared" si="779"/>
        <v>96</v>
      </c>
      <c r="AN845" s="127">
        <v>45314.25</v>
      </c>
      <c r="AO845">
        <v>1</v>
      </c>
      <c r="AP845" s="13">
        <f t="shared" si="781"/>
        <v>7750800.0000001397</v>
      </c>
      <c r="AQ845">
        <f t="shared" si="774"/>
        <v>96</v>
      </c>
      <c r="AR845" s="13">
        <f t="shared" si="775"/>
        <v>7750800.0000001397</v>
      </c>
      <c r="AS845" s="112">
        <f t="shared" si="776"/>
        <v>96</v>
      </c>
    </row>
    <row r="846" spans="17:45" x14ac:dyDescent="0.25">
      <c r="Q846" s="127">
        <v>45314.354166666657</v>
      </c>
      <c r="R846">
        <v>1</v>
      </c>
      <c r="S846" s="13">
        <f t="shared" si="780"/>
        <v>7759800.0000001397</v>
      </c>
      <c r="T846">
        <f t="shared" si="777"/>
        <v>96</v>
      </c>
      <c r="U846" s="13">
        <f t="shared" si="778"/>
        <v>7759800.0000001397</v>
      </c>
      <c r="V846" s="112">
        <f t="shared" si="779"/>
        <v>96</v>
      </c>
      <c r="AN846" s="127">
        <v>45314.354166666657</v>
      </c>
      <c r="AO846">
        <v>1</v>
      </c>
      <c r="AP846" s="13">
        <f t="shared" si="781"/>
        <v>7759800.0000001397</v>
      </c>
      <c r="AQ846">
        <f t="shared" si="774"/>
        <v>96</v>
      </c>
      <c r="AR846" s="13">
        <f t="shared" si="775"/>
        <v>7759800.0000001397</v>
      </c>
      <c r="AS846" s="112">
        <f t="shared" si="776"/>
        <v>96</v>
      </c>
    </row>
    <row r="847" spans="17:45" x14ac:dyDescent="0.25">
      <c r="Q847" s="127">
        <v>45314.458333333343</v>
      </c>
      <c r="R847">
        <v>0</v>
      </c>
      <c r="S847" s="13">
        <f t="shared" si="780"/>
        <v>7768800.0000001397</v>
      </c>
      <c r="T847">
        <f t="shared" si="777"/>
        <v>0</v>
      </c>
      <c r="U847" s="13">
        <f t="shared" si="778"/>
        <v>7768800.0000001397</v>
      </c>
      <c r="V847" s="112">
        <f t="shared" si="779"/>
        <v>1E-10</v>
      </c>
      <c r="AN847" s="127">
        <v>45314.458333333343</v>
      </c>
      <c r="AO847">
        <v>1</v>
      </c>
      <c r="AP847" s="13">
        <f t="shared" si="781"/>
        <v>7768800.0000001397</v>
      </c>
      <c r="AQ847">
        <f t="shared" si="774"/>
        <v>96</v>
      </c>
      <c r="AR847" s="13">
        <f t="shared" si="775"/>
        <v>7768800.0000001397</v>
      </c>
      <c r="AS847" s="112">
        <f t="shared" si="776"/>
        <v>96</v>
      </c>
    </row>
    <row r="848" spans="17:45" x14ac:dyDescent="0.25">
      <c r="Q848" s="127">
        <v>45314.5625</v>
      </c>
      <c r="R848">
        <v>1</v>
      </c>
      <c r="S848" s="13">
        <f t="shared" si="780"/>
        <v>7777800.0000001397</v>
      </c>
      <c r="T848">
        <f t="shared" si="777"/>
        <v>96</v>
      </c>
      <c r="U848" s="13">
        <f t="shared" si="778"/>
        <v>7777800.0000001397</v>
      </c>
      <c r="V848" s="112">
        <f t="shared" si="779"/>
        <v>96</v>
      </c>
      <c r="AN848" s="127">
        <v>45314.5625</v>
      </c>
      <c r="AO848">
        <v>1</v>
      </c>
      <c r="AP848" s="13">
        <f t="shared" si="781"/>
        <v>7777800.0000001397</v>
      </c>
      <c r="AQ848">
        <f t="shared" si="774"/>
        <v>96</v>
      </c>
      <c r="AR848" s="13">
        <f t="shared" si="775"/>
        <v>7777800.0000001397</v>
      </c>
      <c r="AS848" s="112">
        <f t="shared" si="776"/>
        <v>96</v>
      </c>
    </row>
    <row r="849" spans="17:45" x14ac:dyDescent="0.25">
      <c r="Q849" s="127">
        <v>45314.666666666657</v>
      </c>
      <c r="R849">
        <v>1</v>
      </c>
      <c r="S849" s="13">
        <f t="shared" si="780"/>
        <v>7786800.0000001397</v>
      </c>
      <c r="T849">
        <f t="shared" si="777"/>
        <v>96</v>
      </c>
      <c r="U849" s="13">
        <f t="shared" si="778"/>
        <v>7786800.0000001397</v>
      </c>
      <c r="V849" s="112">
        <f t="shared" si="779"/>
        <v>96</v>
      </c>
      <c r="AN849" s="127">
        <v>45314.666666666657</v>
      </c>
      <c r="AO849">
        <v>1</v>
      </c>
      <c r="AP849" s="13">
        <f t="shared" si="781"/>
        <v>7786800.0000001397</v>
      </c>
      <c r="AQ849">
        <f t="shared" si="774"/>
        <v>96</v>
      </c>
      <c r="AR849" s="13">
        <f t="shared" si="775"/>
        <v>7786800.0000001397</v>
      </c>
      <c r="AS849" s="112">
        <f t="shared" si="776"/>
        <v>96</v>
      </c>
    </row>
    <row r="850" spans="17:45" x14ac:dyDescent="0.25">
      <c r="Q850" s="127">
        <v>45314.770833333343</v>
      </c>
      <c r="R850">
        <v>1</v>
      </c>
      <c r="S850" s="13">
        <f t="shared" si="780"/>
        <v>7795800.0000001397</v>
      </c>
      <c r="T850">
        <f t="shared" si="777"/>
        <v>96</v>
      </c>
      <c r="U850" s="13">
        <f t="shared" si="778"/>
        <v>7795800.0000001397</v>
      </c>
      <c r="V850" s="112">
        <f t="shared" si="779"/>
        <v>96</v>
      </c>
      <c r="AN850" s="127">
        <v>45314.770833333343</v>
      </c>
      <c r="AO850">
        <v>1</v>
      </c>
      <c r="AP850" s="13">
        <f t="shared" si="781"/>
        <v>7795800.0000001397</v>
      </c>
      <c r="AQ850">
        <f t="shared" si="774"/>
        <v>96</v>
      </c>
      <c r="AR850" s="13">
        <f t="shared" si="775"/>
        <v>7795800.0000001397</v>
      </c>
      <c r="AS850" s="112">
        <f t="shared" si="776"/>
        <v>96</v>
      </c>
    </row>
    <row r="851" spans="17:45" x14ac:dyDescent="0.25">
      <c r="Q851" s="127">
        <v>45314.875</v>
      </c>
      <c r="R851">
        <v>1</v>
      </c>
      <c r="S851" s="13">
        <f t="shared" si="780"/>
        <v>7804800.0000001397</v>
      </c>
      <c r="T851">
        <f t="shared" si="777"/>
        <v>96</v>
      </c>
      <c r="U851" s="13">
        <f t="shared" si="778"/>
        <v>7804800.0000001397</v>
      </c>
      <c r="V851" s="112">
        <f t="shared" si="779"/>
        <v>96</v>
      </c>
      <c r="AN851" s="127">
        <v>45314.875</v>
      </c>
      <c r="AO851">
        <v>1</v>
      </c>
      <c r="AP851" s="13">
        <f t="shared" si="781"/>
        <v>7804800.0000001397</v>
      </c>
      <c r="AQ851">
        <f t="shared" si="774"/>
        <v>96</v>
      </c>
      <c r="AR851" s="13">
        <f t="shared" si="775"/>
        <v>7804800.0000001397</v>
      </c>
      <c r="AS851" s="112">
        <f t="shared" si="776"/>
        <v>96</v>
      </c>
    </row>
    <row r="852" spans="17:45" x14ac:dyDescent="0.25">
      <c r="Q852" s="127">
        <v>45314.979166666657</v>
      </c>
      <c r="R852">
        <v>1</v>
      </c>
      <c r="S852" s="13">
        <f t="shared" si="780"/>
        <v>7813800.0000001397</v>
      </c>
      <c r="T852">
        <f t="shared" si="777"/>
        <v>96</v>
      </c>
      <c r="U852" s="13">
        <f t="shared" si="778"/>
        <v>7813800.0000001397</v>
      </c>
      <c r="V852" s="112">
        <f t="shared" si="779"/>
        <v>96</v>
      </c>
      <c r="AN852" s="127">
        <v>45314.979166666657</v>
      </c>
      <c r="AO852">
        <v>1</v>
      </c>
      <c r="AP852" s="13">
        <f t="shared" si="781"/>
        <v>7813800.0000001397</v>
      </c>
      <c r="AQ852">
        <f t="shared" si="774"/>
        <v>96</v>
      </c>
      <c r="AR852" s="13">
        <f t="shared" si="775"/>
        <v>7813800.0000001397</v>
      </c>
      <c r="AS852" s="112">
        <f t="shared" si="776"/>
        <v>96</v>
      </c>
    </row>
    <row r="853" spans="17:45" x14ac:dyDescent="0.25">
      <c r="Q853" s="127">
        <v>45315.083333333343</v>
      </c>
      <c r="R853">
        <v>1</v>
      </c>
      <c r="S853" s="13">
        <f t="shared" si="780"/>
        <v>7822800.0000001397</v>
      </c>
      <c r="T853">
        <f t="shared" si="777"/>
        <v>96</v>
      </c>
      <c r="U853" s="13">
        <f t="shared" si="778"/>
        <v>7822800.0000001397</v>
      </c>
      <c r="V853" s="112">
        <f t="shared" si="779"/>
        <v>96</v>
      </c>
      <c r="AN853" s="127">
        <v>45315.083333333343</v>
      </c>
      <c r="AO853">
        <v>1</v>
      </c>
      <c r="AP853" s="13">
        <f t="shared" si="781"/>
        <v>7822800.0000001397</v>
      </c>
      <c r="AQ853">
        <f t="shared" si="774"/>
        <v>96</v>
      </c>
      <c r="AR853" s="13">
        <f t="shared" si="775"/>
        <v>7822800.0000001397</v>
      </c>
      <c r="AS853" s="112">
        <f t="shared" si="776"/>
        <v>96</v>
      </c>
    </row>
    <row r="854" spans="17:45" x14ac:dyDescent="0.25">
      <c r="Q854" s="127">
        <v>45315.1875</v>
      </c>
      <c r="R854">
        <v>1</v>
      </c>
      <c r="S854" s="13">
        <f t="shared" si="780"/>
        <v>7831800.0000001397</v>
      </c>
      <c r="T854">
        <f t="shared" si="777"/>
        <v>96</v>
      </c>
      <c r="U854" s="13">
        <f t="shared" si="778"/>
        <v>7831800.0000001397</v>
      </c>
      <c r="V854" s="112">
        <f t="shared" si="779"/>
        <v>96</v>
      </c>
      <c r="AN854" s="127">
        <v>45315.1875</v>
      </c>
      <c r="AO854">
        <v>1</v>
      </c>
      <c r="AP854" s="13">
        <f t="shared" si="781"/>
        <v>7831800.0000001397</v>
      </c>
      <c r="AQ854">
        <f t="shared" si="774"/>
        <v>96</v>
      </c>
      <c r="AR854" s="13">
        <f t="shared" si="775"/>
        <v>7831800.0000001397</v>
      </c>
      <c r="AS854" s="112">
        <f t="shared" si="776"/>
        <v>96</v>
      </c>
    </row>
    <row r="855" spans="17:45" x14ac:dyDescent="0.25">
      <c r="Q855" s="127">
        <v>45315.291666666657</v>
      </c>
      <c r="R855">
        <v>1</v>
      </c>
      <c r="S855" s="13">
        <f t="shared" si="780"/>
        <v>7840800.0000001397</v>
      </c>
      <c r="T855">
        <f t="shared" si="777"/>
        <v>96</v>
      </c>
      <c r="U855" s="13">
        <f t="shared" si="778"/>
        <v>7840800.0000001397</v>
      </c>
      <c r="V855" s="112">
        <f t="shared" si="779"/>
        <v>96</v>
      </c>
      <c r="AN855" s="127">
        <v>45315.291666666657</v>
      </c>
      <c r="AO855">
        <v>1</v>
      </c>
      <c r="AP855" s="13">
        <f t="shared" si="781"/>
        <v>7840800.0000001397</v>
      </c>
      <c r="AQ855">
        <f t="shared" si="774"/>
        <v>96</v>
      </c>
      <c r="AR855" s="13">
        <f t="shared" si="775"/>
        <v>7840800.0000001397</v>
      </c>
      <c r="AS855" s="112">
        <f t="shared" si="776"/>
        <v>96</v>
      </c>
    </row>
    <row r="856" spans="17:45" x14ac:dyDescent="0.25">
      <c r="Q856" s="127">
        <v>45315.395833333343</v>
      </c>
      <c r="R856">
        <v>1</v>
      </c>
      <c r="S856" s="13">
        <f t="shared" si="780"/>
        <v>7849800.0000001397</v>
      </c>
      <c r="T856">
        <f t="shared" si="777"/>
        <v>96</v>
      </c>
      <c r="U856" s="13">
        <f t="shared" si="778"/>
        <v>7849800.0000001397</v>
      </c>
      <c r="V856" s="112">
        <f t="shared" si="779"/>
        <v>96</v>
      </c>
      <c r="AN856" s="127">
        <v>45315.395833333343</v>
      </c>
      <c r="AO856">
        <v>1</v>
      </c>
      <c r="AP856" s="13">
        <f t="shared" si="781"/>
        <v>7849800.0000001397</v>
      </c>
      <c r="AQ856">
        <f t="shared" si="774"/>
        <v>96</v>
      </c>
      <c r="AR856" s="13">
        <f t="shared" si="775"/>
        <v>7849800.0000001397</v>
      </c>
      <c r="AS856" s="112">
        <f t="shared" si="776"/>
        <v>96</v>
      </c>
    </row>
    <row r="857" spans="17:45" x14ac:dyDescent="0.25">
      <c r="Q857" s="127">
        <v>45315.5</v>
      </c>
      <c r="R857">
        <v>1</v>
      </c>
      <c r="S857" s="13">
        <f t="shared" si="780"/>
        <v>7858800.0000001397</v>
      </c>
      <c r="T857">
        <f t="shared" si="777"/>
        <v>96</v>
      </c>
      <c r="U857" s="13">
        <f t="shared" si="778"/>
        <v>7858800.0000001397</v>
      </c>
      <c r="V857" s="112">
        <f t="shared" si="779"/>
        <v>96</v>
      </c>
      <c r="AN857" s="127">
        <v>45315.5</v>
      </c>
      <c r="AO857">
        <v>2</v>
      </c>
      <c r="AP857" s="13">
        <f t="shared" si="781"/>
        <v>7858800.0000001397</v>
      </c>
      <c r="AQ857">
        <f t="shared" si="774"/>
        <v>192</v>
      </c>
      <c r="AR857" s="13">
        <f t="shared" si="775"/>
        <v>7858800.0000001397</v>
      </c>
      <c r="AS857" s="112">
        <f t="shared" si="776"/>
        <v>192</v>
      </c>
    </row>
    <row r="858" spans="17:45" x14ac:dyDescent="0.25">
      <c r="Q858" s="127">
        <v>45315.604166666657</v>
      </c>
      <c r="R858">
        <v>1</v>
      </c>
      <c r="S858" s="13">
        <f t="shared" si="780"/>
        <v>7867800.0000001397</v>
      </c>
      <c r="T858">
        <f t="shared" si="777"/>
        <v>96</v>
      </c>
      <c r="U858" s="13">
        <f t="shared" si="778"/>
        <v>7867800.0000001397</v>
      </c>
      <c r="V858" s="112">
        <f t="shared" si="779"/>
        <v>96</v>
      </c>
      <c r="AN858" s="127">
        <v>45315.604166666657</v>
      </c>
      <c r="AO858">
        <v>1</v>
      </c>
      <c r="AP858" s="13">
        <f t="shared" si="781"/>
        <v>7867800.0000001397</v>
      </c>
      <c r="AQ858">
        <f t="shared" si="774"/>
        <v>96</v>
      </c>
      <c r="AR858" s="13">
        <f t="shared" si="775"/>
        <v>7867800.0000001397</v>
      </c>
      <c r="AS858" s="112">
        <f t="shared" si="776"/>
        <v>96</v>
      </c>
    </row>
    <row r="859" spans="17:45" x14ac:dyDescent="0.25">
      <c r="Q859" s="127">
        <v>45315.708333333343</v>
      </c>
      <c r="R859">
        <v>1</v>
      </c>
      <c r="S859" s="13">
        <f t="shared" si="780"/>
        <v>7876800.0000001397</v>
      </c>
      <c r="T859">
        <f t="shared" si="777"/>
        <v>96</v>
      </c>
      <c r="U859" s="13">
        <f t="shared" si="778"/>
        <v>7876800.0000001397</v>
      </c>
      <c r="V859" s="112">
        <f t="shared" si="779"/>
        <v>96</v>
      </c>
      <c r="AN859" s="127">
        <v>45315.708333333343</v>
      </c>
      <c r="AO859">
        <v>1</v>
      </c>
      <c r="AP859" s="13">
        <f t="shared" si="781"/>
        <v>7876800.0000001397</v>
      </c>
      <c r="AQ859">
        <f t="shared" si="774"/>
        <v>96</v>
      </c>
      <c r="AR859" s="13">
        <f t="shared" si="775"/>
        <v>7876800.0000001397</v>
      </c>
      <c r="AS859" s="112">
        <f t="shared" si="776"/>
        <v>96</v>
      </c>
    </row>
    <row r="860" spans="17:45" x14ac:dyDescent="0.25">
      <c r="Q860" s="127">
        <v>45315.8125</v>
      </c>
      <c r="R860">
        <v>1</v>
      </c>
      <c r="S860" s="13">
        <f t="shared" si="780"/>
        <v>7885800.0000001397</v>
      </c>
      <c r="T860">
        <f t="shared" si="777"/>
        <v>96</v>
      </c>
      <c r="U860" s="13">
        <f t="shared" si="778"/>
        <v>7885800.0000001397</v>
      </c>
      <c r="V860" s="112">
        <f t="shared" si="779"/>
        <v>96</v>
      </c>
      <c r="AN860" s="127">
        <v>45315.8125</v>
      </c>
      <c r="AO860">
        <v>1</v>
      </c>
      <c r="AP860" s="13">
        <f t="shared" si="781"/>
        <v>7885800.0000001397</v>
      </c>
      <c r="AQ860">
        <f t="shared" si="774"/>
        <v>96</v>
      </c>
      <c r="AR860" s="13">
        <f t="shared" si="775"/>
        <v>7885800.0000001397</v>
      </c>
      <c r="AS860" s="112">
        <f t="shared" si="776"/>
        <v>96</v>
      </c>
    </row>
    <row r="861" spans="17:45" x14ac:dyDescent="0.25">
      <c r="Q861" s="127">
        <v>45315.916666666657</v>
      </c>
      <c r="R861">
        <v>1</v>
      </c>
      <c r="S861" s="13">
        <f t="shared" si="780"/>
        <v>7894800.0000001397</v>
      </c>
      <c r="T861">
        <f t="shared" si="777"/>
        <v>96</v>
      </c>
      <c r="U861" s="13">
        <f t="shared" si="778"/>
        <v>7894800.0000001397</v>
      </c>
      <c r="V861" s="112">
        <f t="shared" si="779"/>
        <v>96</v>
      </c>
      <c r="AN861" s="127">
        <v>45315.916666666657</v>
      </c>
      <c r="AO861">
        <v>1</v>
      </c>
      <c r="AP861" s="13">
        <f t="shared" si="781"/>
        <v>7894800.0000001397</v>
      </c>
      <c r="AQ861">
        <f t="shared" si="774"/>
        <v>96</v>
      </c>
      <c r="AR861" s="13">
        <f t="shared" si="775"/>
        <v>7894800.0000001397</v>
      </c>
      <c r="AS861" s="112">
        <f t="shared" si="776"/>
        <v>96</v>
      </c>
    </row>
    <row r="862" spans="17:45" x14ac:dyDescent="0.25">
      <c r="Q862" s="127">
        <v>45316.020833333343</v>
      </c>
      <c r="R862">
        <v>1</v>
      </c>
      <c r="S862" s="13">
        <f t="shared" si="780"/>
        <v>7903800.0000001397</v>
      </c>
      <c r="T862">
        <f t="shared" si="777"/>
        <v>96</v>
      </c>
      <c r="U862" s="13">
        <f t="shared" si="778"/>
        <v>7903800.0000001397</v>
      </c>
      <c r="V862" s="112">
        <f t="shared" si="779"/>
        <v>96</v>
      </c>
      <c r="AN862" s="127">
        <v>45316.020833333343</v>
      </c>
      <c r="AO862">
        <v>1</v>
      </c>
      <c r="AP862" s="13">
        <f t="shared" si="781"/>
        <v>7903800.0000001397</v>
      </c>
      <c r="AQ862">
        <f t="shared" si="774"/>
        <v>96</v>
      </c>
      <c r="AR862" s="13">
        <f t="shared" si="775"/>
        <v>7903800.0000001397</v>
      </c>
      <c r="AS862" s="112">
        <f t="shared" si="776"/>
        <v>96</v>
      </c>
    </row>
    <row r="863" spans="17:45" x14ac:dyDescent="0.25">
      <c r="Q863" s="127">
        <v>45316.125</v>
      </c>
      <c r="R863">
        <v>1</v>
      </c>
      <c r="S863" s="13">
        <f t="shared" si="780"/>
        <v>7912800.0000001397</v>
      </c>
      <c r="T863">
        <f t="shared" si="777"/>
        <v>96</v>
      </c>
      <c r="U863" s="13">
        <f t="shared" si="778"/>
        <v>7912800.0000001397</v>
      </c>
      <c r="V863" s="112">
        <f t="shared" si="779"/>
        <v>96</v>
      </c>
      <c r="AN863" s="127">
        <v>45316.125</v>
      </c>
      <c r="AO863">
        <v>1</v>
      </c>
      <c r="AP863" s="13">
        <f t="shared" si="781"/>
        <v>7912800.0000001397</v>
      </c>
      <c r="AQ863">
        <f t="shared" si="774"/>
        <v>96</v>
      </c>
      <c r="AR863" s="13">
        <f t="shared" si="775"/>
        <v>7912800.0000001397</v>
      </c>
      <c r="AS863" s="112">
        <f t="shared" si="776"/>
        <v>96</v>
      </c>
    </row>
    <row r="864" spans="17:45" x14ac:dyDescent="0.25">
      <c r="Q864" s="127">
        <v>45316.229166666657</v>
      </c>
      <c r="R864">
        <v>1</v>
      </c>
      <c r="S864" s="13">
        <f t="shared" si="780"/>
        <v>7921800.0000001397</v>
      </c>
      <c r="T864">
        <f t="shared" si="777"/>
        <v>96</v>
      </c>
      <c r="U864" s="13">
        <f t="shared" si="778"/>
        <v>7921800.0000001397</v>
      </c>
      <c r="V864" s="112">
        <f t="shared" si="779"/>
        <v>96</v>
      </c>
      <c r="AN864" s="127">
        <v>45316.229166666657</v>
      </c>
      <c r="AO864">
        <v>1</v>
      </c>
      <c r="AP864" s="13">
        <f t="shared" si="781"/>
        <v>7921800.0000001397</v>
      </c>
      <c r="AQ864">
        <f t="shared" si="774"/>
        <v>96</v>
      </c>
      <c r="AR864" s="13">
        <f t="shared" si="775"/>
        <v>7921800.0000001397</v>
      </c>
      <c r="AS864" s="112">
        <f t="shared" si="776"/>
        <v>96</v>
      </c>
    </row>
    <row r="865" spans="17:45" x14ac:dyDescent="0.25">
      <c r="Q865" s="127">
        <v>45316.333333333343</v>
      </c>
      <c r="R865">
        <v>1</v>
      </c>
      <c r="S865" s="13">
        <f t="shared" si="780"/>
        <v>7930800.0000001397</v>
      </c>
      <c r="T865">
        <f t="shared" si="777"/>
        <v>96</v>
      </c>
      <c r="U865" s="13">
        <f t="shared" si="778"/>
        <v>7930800.0000001397</v>
      </c>
      <c r="V865" s="112">
        <f t="shared" si="779"/>
        <v>96</v>
      </c>
      <c r="AN865" s="127">
        <v>45316.333333333343</v>
      </c>
      <c r="AO865">
        <v>1</v>
      </c>
      <c r="AP865" s="13">
        <f t="shared" si="781"/>
        <v>7930800.0000001397</v>
      </c>
      <c r="AQ865">
        <f t="shared" si="774"/>
        <v>96</v>
      </c>
      <c r="AR865" s="13">
        <f t="shared" si="775"/>
        <v>7930800.0000001397</v>
      </c>
      <c r="AS865" s="112">
        <f t="shared" si="776"/>
        <v>96</v>
      </c>
    </row>
    <row r="866" spans="17:45" x14ac:dyDescent="0.25">
      <c r="Q866" s="127">
        <v>45316.4375</v>
      </c>
      <c r="R866">
        <v>1</v>
      </c>
      <c r="S866" s="13">
        <f t="shared" si="780"/>
        <v>7939800.0000001397</v>
      </c>
      <c r="T866">
        <f t="shared" si="777"/>
        <v>96</v>
      </c>
      <c r="U866" s="13">
        <f t="shared" si="778"/>
        <v>7939800.0000001397</v>
      </c>
      <c r="V866" s="112">
        <f t="shared" si="779"/>
        <v>96</v>
      </c>
      <c r="AN866" s="127">
        <v>45316.4375</v>
      </c>
      <c r="AO866">
        <v>1</v>
      </c>
      <c r="AP866" s="13">
        <f t="shared" si="781"/>
        <v>7939800.0000001397</v>
      </c>
      <c r="AQ866">
        <f t="shared" si="774"/>
        <v>96</v>
      </c>
      <c r="AR866" s="13">
        <f t="shared" si="775"/>
        <v>7939800.0000001397</v>
      </c>
      <c r="AS866" s="112">
        <f t="shared" si="776"/>
        <v>96</v>
      </c>
    </row>
    <row r="867" spans="17:45" x14ac:dyDescent="0.25">
      <c r="Q867" s="127">
        <v>45316.541666666657</v>
      </c>
      <c r="R867">
        <v>1</v>
      </c>
      <c r="S867" s="13">
        <f t="shared" si="780"/>
        <v>7948800.0000001397</v>
      </c>
      <c r="T867">
        <f t="shared" si="777"/>
        <v>96</v>
      </c>
      <c r="U867" s="13">
        <f t="shared" si="778"/>
        <v>7948800.0000001397</v>
      </c>
      <c r="V867" s="112">
        <f t="shared" si="779"/>
        <v>96</v>
      </c>
      <c r="AN867" s="127">
        <v>45316.541666666657</v>
      </c>
      <c r="AO867">
        <v>1</v>
      </c>
      <c r="AP867" s="13">
        <f t="shared" si="781"/>
        <v>7948800.0000001397</v>
      </c>
      <c r="AQ867">
        <f t="shared" ref="AQ867:AQ930" si="782">AO867*96</f>
        <v>96</v>
      </c>
      <c r="AR867" s="13">
        <f t="shared" ref="AR867:AR930" si="783">AP867</f>
        <v>7948800.0000001397</v>
      </c>
      <c r="AS867" s="112">
        <f t="shared" ref="AS867:AS930" si="784">IF(AQ867=0,0.0000000001,AQ867)</f>
        <v>96</v>
      </c>
    </row>
    <row r="868" spans="17:45" x14ac:dyDescent="0.25">
      <c r="Q868" s="127">
        <v>45316.645833333343</v>
      </c>
      <c r="R868">
        <v>1</v>
      </c>
      <c r="S868" s="13">
        <f t="shared" si="780"/>
        <v>7957800.0000001397</v>
      </c>
      <c r="T868">
        <f t="shared" si="777"/>
        <v>96</v>
      </c>
      <c r="U868" s="13">
        <f t="shared" si="778"/>
        <v>7957800.0000001397</v>
      </c>
      <c r="V868" s="112">
        <f t="shared" si="779"/>
        <v>96</v>
      </c>
      <c r="AN868" s="127">
        <v>45316.645833333343</v>
      </c>
      <c r="AO868">
        <v>0</v>
      </c>
      <c r="AP868" s="13">
        <f t="shared" si="781"/>
        <v>7957800.0000001397</v>
      </c>
      <c r="AQ868">
        <f t="shared" si="782"/>
        <v>0</v>
      </c>
      <c r="AR868" s="13">
        <f t="shared" si="783"/>
        <v>7957800.0000001397</v>
      </c>
      <c r="AS868" s="112">
        <f t="shared" si="784"/>
        <v>1E-10</v>
      </c>
    </row>
    <row r="869" spans="17:45" x14ac:dyDescent="0.25">
      <c r="Q869" s="127">
        <v>45316.75</v>
      </c>
      <c r="R869">
        <v>1</v>
      </c>
      <c r="S869" s="13">
        <f t="shared" si="780"/>
        <v>7966800.0000001397</v>
      </c>
      <c r="T869">
        <f t="shared" si="777"/>
        <v>96</v>
      </c>
      <c r="U869" s="13">
        <f t="shared" si="778"/>
        <v>7966800.0000001397</v>
      </c>
      <c r="V869" s="112">
        <f t="shared" si="779"/>
        <v>96</v>
      </c>
      <c r="AN869" s="127">
        <v>45316.75</v>
      </c>
      <c r="AO869">
        <v>1</v>
      </c>
      <c r="AP869" s="13">
        <f t="shared" si="781"/>
        <v>7966800.0000001397</v>
      </c>
      <c r="AQ869">
        <f t="shared" si="782"/>
        <v>96</v>
      </c>
      <c r="AR869" s="13">
        <f t="shared" si="783"/>
        <v>7966800.0000001397</v>
      </c>
      <c r="AS869" s="112">
        <f t="shared" si="784"/>
        <v>96</v>
      </c>
    </row>
    <row r="870" spans="17:45" x14ac:dyDescent="0.25">
      <c r="Q870" s="127">
        <v>45316.854166666657</v>
      </c>
      <c r="R870">
        <v>1</v>
      </c>
      <c r="S870" s="13">
        <f t="shared" si="780"/>
        <v>7975800.0000001397</v>
      </c>
      <c r="T870">
        <f t="shared" si="777"/>
        <v>96</v>
      </c>
      <c r="U870" s="13">
        <f t="shared" si="778"/>
        <v>7975800.0000001397</v>
      </c>
      <c r="V870" s="112">
        <f t="shared" si="779"/>
        <v>96</v>
      </c>
      <c r="AN870" s="127">
        <v>45316.854166666657</v>
      </c>
      <c r="AO870">
        <v>1</v>
      </c>
      <c r="AP870" s="13">
        <f t="shared" si="781"/>
        <v>7975800.0000001397</v>
      </c>
      <c r="AQ870">
        <f t="shared" si="782"/>
        <v>96</v>
      </c>
      <c r="AR870" s="13">
        <f t="shared" si="783"/>
        <v>7975800.0000001397</v>
      </c>
      <c r="AS870" s="112">
        <f t="shared" si="784"/>
        <v>96</v>
      </c>
    </row>
    <row r="871" spans="17:45" x14ac:dyDescent="0.25">
      <c r="Q871" s="127">
        <v>45316.958333333343</v>
      </c>
      <c r="R871">
        <v>1</v>
      </c>
      <c r="S871" s="13">
        <f t="shared" si="780"/>
        <v>7984800.0000001397</v>
      </c>
      <c r="T871">
        <f t="shared" si="777"/>
        <v>96</v>
      </c>
      <c r="U871" s="13">
        <f t="shared" si="778"/>
        <v>7984800.0000001397</v>
      </c>
      <c r="V871" s="112">
        <f t="shared" si="779"/>
        <v>96</v>
      </c>
      <c r="AN871" s="127">
        <v>45316.958333333343</v>
      </c>
      <c r="AO871">
        <v>1</v>
      </c>
      <c r="AP871" s="13">
        <f t="shared" si="781"/>
        <v>7984800.0000001397</v>
      </c>
      <c r="AQ871">
        <f t="shared" si="782"/>
        <v>96</v>
      </c>
      <c r="AR871" s="13">
        <f t="shared" si="783"/>
        <v>7984800.0000001397</v>
      </c>
      <c r="AS871" s="112">
        <f t="shared" si="784"/>
        <v>96</v>
      </c>
    </row>
    <row r="872" spans="17:45" x14ac:dyDescent="0.25">
      <c r="Q872" s="127">
        <v>45317.0625</v>
      </c>
      <c r="R872">
        <v>1</v>
      </c>
      <c r="S872" s="13">
        <f t="shared" si="780"/>
        <v>7993800.0000001397</v>
      </c>
      <c r="T872">
        <f t="shared" si="777"/>
        <v>96</v>
      </c>
      <c r="U872" s="13">
        <f t="shared" si="778"/>
        <v>7993800.0000001397</v>
      </c>
      <c r="V872" s="112">
        <f t="shared" si="779"/>
        <v>96</v>
      </c>
      <c r="AN872" s="127">
        <v>45317.0625</v>
      </c>
      <c r="AO872">
        <v>1</v>
      </c>
      <c r="AP872" s="13">
        <f t="shared" si="781"/>
        <v>7993800.0000001397</v>
      </c>
      <c r="AQ872">
        <f t="shared" si="782"/>
        <v>96</v>
      </c>
      <c r="AR872" s="13">
        <f t="shared" si="783"/>
        <v>7993800.0000001397</v>
      </c>
      <c r="AS872" s="112">
        <f t="shared" si="784"/>
        <v>96</v>
      </c>
    </row>
    <row r="873" spans="17:45" x14ac:dyDescent="0.25">
      <c r="Q873" s="127">
        <v>45317.166666666657</v>
      </c>
      <c r="R873">
        <v>1</v>
      </c>
      <c r="S873" s="13">
        <f t="shared" si="780"/>
        <v>8002800.0000001397</v>
      </c>
      <c r="T873">
        <f t="shared" si="777"/>
        <v>96</v>
      </c>
      <c r="U873" s="13">
        <f t="shared" si="778"/>
        <v>8002800.0000001397</v>
      </c>
      <c r="V873" s="112">
        <f t="shared" si="779"/>
        <v>96</v>
      </c>
      <c r="AN873" s="127">
        <v>45317.166666666657</v>
      </c>
      <c r="AO873">
        <v>1</v>
      </c>
      <c r="AP873" s="13">
        <f t="shared" si="781"/>
        <v>8002800.0000001397</v>
      </c>
      <c r="AQ873">
        <f t="shared" si="782"/>
        <v>96</v>
      </c>
      <c r="AR873" s="13">
        <f t="shared" si="783"/>
        <v>8002800.0000001397</v>
      </c>
      <c r="AS873" s="112">
        <f t="shared" si="784"/>
        <v>96</v>
      </c>
    </row>
    <row r="874" spans="17:45" x14ac:dyDescent="0.25">
      <c r="Q874" s="127">
        <v>45317.270833333343</v>
      </c>
      <c r="R874">
        <v>1</v>
      </c>
      <c r="S874" s="13">
        <f t="shared" si="780"/>
        <v>8011800.0000001397</v>
      </c>
      <c r="T874">
        <f t="shared" si="777"/>
        <v>96</v>
      </c>
      <c r="U874" s="13">
        <f t="shared" si="778"/>
        <v>8011800.0000001397</v>
      </c>
      <c r="V874" s="112">
        <f t="shared" si="779"/>
        <v>96</v>
      </c>
      <c r="AN874" s="127">
        <v>45317.270833333343</v>
      </c>
      <c r="AO874">
        <v>1</v>
      </c>
      <c r="AP874" s="13">
        <f t="shared" si="781"/>
        <v>8011800.0000001397</v>
      </c>
      <c r="AQ874">
        <f t="shared" si="782"/>
        <v>96</v>
      </c>
      <c r="AR874" s="13">
        <f t="shared" si="783"/>
        <v>8011800.0000001397</v>
      </c>
      <c r="AS874" s="112">
        <f t="shared" si="784"/>
        <v>96</v>
      </c>
    </row>
    <row r="875" spans="17:45" x14ac:dyDescent="0.25">
      <c r="Q875" s="127">
        <v>45317.375</v>
      </c>
      <c r="R875">
        <v>1</v>
      </c>
      <c r="S875" s="13">
        <f t="shared" si="780"/>
        <v>8020800.0000001397</v>
      </c>
      <c r="T875">
        <f t="shared" si="777"/>
        <v>96</v>
      </c>
      <c r="U875" s="13">
        <f t="shared" si="778"/>
        <v>8020800.0000001397</v>
      </c>
      <c r="V875" s="112">
        <f t="shared" si="779"/>
        <v>96</v>
      </c>
      <c r="AN875" s="127">
        <v>45317.375</v>
      </c>
      <c r="AO875">
        <v>1</v>
      </c>
      <c r="AP875" s="13">
        <f t="shared" si="781"/>
        <v>8020800.0000001397</v>
      </c>
      <c r="AQ875">
        <f t="shared" si="782"/>
        <v>96</v>
      </c>
      <c r="AR875" s="13">
        <f t="shared" si="783"/>
        <v>8020800.0000001397</v>
      </c>
      <c r="AS875" s="112">
        <f t="shared" si="784"/>
        <v>96</v>
      </c>
    </row>
    <row r="876" spans="17:45" x14ac:dyDescent="0.25">
      <c r="Q876" s="127">
        <v>45317.479166666657</v>
      </c>
      <c r="R876">
        <v>1</v>
      </c>
      <c r="S876" s="13">
        <f t="shared" si="780"/>
        <v>8029800.0000001397</v>
      </c>
      <c r="T876">
        <f t="shared" si="777"/>
        <v>96</v>
      </c>
      <c r="U876" s="13">
        <f t="shared" si="778"/>
        <v>8029800.0000001397</v>
      </c>
      <c r="V876" s="112">
        <f t="shared" si="779"/>
        <v>96</v>
      </c>
      <c r="AN876" s="127">
        <v>45317.479166666657</v>
      </c>
      <c r="AO876">
        <v>1</v>
      </c>
      <c r="AP876" s="13">
        <f t="shared" si="781"/>
        <v>8029800.0000001397</v>
      </c>
      <c r="AQ876">
        <f t="shared" si="782"/>
        <v>96</v>
      </c>
      <c r="AR876" s="13">
        <f t="shared" si="783"/>
        <v>8029800.0000001397</v>
      </c>
      <c r="AS876" s="112">
        <f t="shared" si="784"/>
        <v>96</v>
      </c>
    </row>
    <row r="877" spans="17:45" x14ac:dyDescent="0.25">
      <c r="Q877" s="127">
        <v>45317.583333333343</v>
      </c>
      <c r="R877">
        <v>1</v>
      </c>
      <c r="S877" s="13">
        <f t="shared" si="780"/>
        <v>8038800.0000001397</v>
      </c>
      <c r="T877">
        <f t="shared" si="777"/>
        <v>96</v>
      </c>
      <c r="U877" s="13">
        <f t="shared" si="778"/>
        <v>8038800.0000001397</v>
      </c>
      <c r="V877" s="112">
        <f t="shared" si="779"/>
        <v>96</v>
      </c>
      <c r="AN877" s="127">
        <v>45317.583333333343</v>
      </c>
      <c r="AO877">
        <v>1</v>
      </c>
      <c r="AP877" s="13">
        <f t="shared" si="781"/>
        <v>8038800.0000001397</v>
      </c>
      <c r="AQ877">
        <f t="shared" si="782"/>
        <v>96</v>
      </c>
      <c r="AR877" s="13">
        <f t="shared" si="783"/>
        <v>8038800.0000001397</v>
      </c>
      <c r="AS877" s="112">
        <f t="shared" si="784"/>
        <v>96</v>
      </c>
    </row>
    <row r="878" spans="17:45" x14ac:dyDescent="0.25">
      <c r="Q878" s="127">
        <v>45317.6875</v>
      </c>
      <c r="R878">
        <v>1</v>
      </c>
      <c r="S878" s="13">
        <f t="shared" si="780"/>
        <v>8047800.0000001397</v>
      </c>
      <c r="T878">
        <f t="shared" si="777"/>
        <v>96</v>
      </c>
      <c r="U878" s="13">
        <f t="shared" si="778"/>
        <v>8047800.0000001397</v>
      </c>
      <c r="V878" s="112">
        <f t="shared" si="779"/>
        <v>96</v>
      </c>
      <c r="AN878" s="127">
        <v>45317.6875</v>
      </c>
      <c r="AO878">
        <v>1</v>
      </c>
      <c r="AP878" s="13">
        <f t="shared" si="781"/>
        <v>8047800.0000001397</v>
      </c>
      <c r="AQ878">
        <f t="shared" si="782"/>
        <v>96</v>
      </c>
      <c r="AR878" s="13">
        <f t="shared" si="783"/>
        <v>8047800.0000001397</v>
      </c>
      <c r="AS878" s="112">
        <f t="shared" si="784"/>
        <v>96</v>
      </c>
    </row>
    <row r="879" spans="17:45" x14ac:dyDescent="0.25">
      <c r="Q879" s="127">
        <v>45317.791666666657</v>
      </c>
      <c r="R879">
        <v>1</v>
      </c>
      <c r="S879" s="13">
        <f t="shared" si="780"/>
        <v>8056800.0000001397</v>
      </c>
      <c r="T879">
        <f t="shared" si="777"/>
        <v>96</v>
      </c>
      <c r="U879" s="13">
        <f t="shared" si="778"/>
        <v>8056800.0000001397</v>
      </c>
      <c r="V879" s="112">
        <f t="shared" si="779"/>
        <v>96</v>
      </c>
      <c r="AN879" s="127">
        <v>45317.791666666657</v>
      </c>
      <c r="AO879">
        <v>1</v>
      </c>
      <c r="AP879" s="13">
        <f t="shared" si="781"/>
        <v>8056800.0000001397</v>
      </c>
      <c r="AQ879">
        <f t="shared" si="782"/>
        <v>96</v>
      </c>
      <c r="AR879" s="13">
        <f t="shared" si="783"/>
        <v>8056800.0000001397</v>
      </c>
      <c r="AS879" s="112">
        <f t="shared" si="784"/>
        <v>96</v>
      </c>
    </row>
    <row r="880" spans="17:45" x14ac:dyDescent="0.25">
      <c r="Q880" s="127">
        <v>45317.895833333343</v>
      </c>
      <c r="R880">
        <v>1</v>
      </c>
      <c r="S880" s="13">
        <f t="shared" si="780"/>
        <v>8065800.0000001397</v>
      </c>
      <c r="T880">
        <f t="shared" si="777"/>
        <v>96</v>
      </c>
      <c r="U880" s="13">
        <f t="shared" si="778"/>
        <v>8065800.0000001397</v>
      </c>
      <c r="V880" s="112">
        <f t="shared" si="779"/>
        <v>96</v>
      </c>
      <c r="AN880" s="127">
        <v>45317.895833333343</v>
      </c>
      <c r="AO880">
        <v>1</v>
      </c>
      <c r="AP880" s="13">
        <f t="shared" si="781"/>
        <v>8065800.0000001397</v>
      </c>
      <c r="AQ880">
        <f t="shared" si="782"/>
        <v>96</v>
      </c>
      <c r="AR880" s="13">
        <f t="shared" si="783"/>
        <v>8065800.0000001397</v>
      </c>
      <c r="AS880" s="112">
        <f t="shared" si="784"/>
        <v>96</v>
      </c>
    </row>
    <row r="881" spans="17:45" x14ac:dyDescent="0.25">
      <c r="Q881" s="127">
        <v>45318</v>
      </c>
      <c r="R881">
        <v>1</v>
      </c>
      <c r="S881" s="13">
        <f t="shared" si="780"/>
        <v>8074800.0000001397</v>
      </c>
      <c r="T881">
        <f t="shared" si="777"/>
        <v>96</v>
      </c>
      <c r="U881" s="13">
        <f t="shared" si="778"/>
        <v>8074800.0000001397</v>
      </c>
      <c r="V881" s="112">
        <f t="shared" si="779"/>
        <v>96</v>
      </c>
      <c r="AN881" s="127">
        <v>45318</v>
      </c>
      <c r="AO881">
        <v>1</v>
      </c>
      <c r="AP881" s="13">
        <f t="shared" si="781"/>
        <v>8074800.0000001397</v>
      </c>
      <c r="AQ881">
        <f t="shared" si="782"/>
        <v>96</v>
      </c>
      <c r="AR881" s="13">
        <f t="shared" si="783"/>
        <v>8074800.0000001397</v>
      </c>
      <c r="AS881" s="112">
        <f t="shared" si="784"/>
        <v>96</v>
      </c>
    </row>
    <row r="882" spans="17:45" x14ac:dyDescent="0.25">
      <c r="Q882" s="127">
        <v>45318.104166666657</v>
      </c>
      <c r="R882">
        <v>1</v>
      </c>
      <c r="S882" s="13">
        <f t="shared" si="780"/>
        <v>8083800.0000001397</v>
      </c>
      <c r="T882">
        <f t="shared" si="777"/>
        <v>96</v>
      </c>
      <c r="U882" s="13">
        <f t="shared" si="778"/>
        <v>8083800.0000001397</v>
      </c>
      <c r="V882" s="112">
        <f t="shared" si="779"/>
        <v>96</v>
      </c>
      <c r="AN882" s="127">
        <v>45318.104166666657</v>
      </c>
      <c r="AO882">
        <v>1</v>
      </c>
      <c r="AP882" s="13">
        <f t="shared" si="781"/>
        <v>8083800.0000001397</v>
      </c>
      <c r="AQ882">
        <f t="shared" si="782"/>
        <v>96</v>
      </c>
      <c r="AR882" s="13">
        <f t="shared" si="783"/>
        <v>8083800.0000001397</v>
      </c>
      <c r="AS882" s="112">
        <f t="shared" si="784"/>
        <v>96</v>
      </c>
    </row>
    <row r="883" spans="17:45" x14ac:dyDescent="0.25">
      <c r="Q883" s="127">
        <v>45318.208333333343</v>
      </c>
      <c r="R883">
        <v>1</v>
      </c>
      <c r="S883" s="13">
        <f t="shared" si="780"/>
        <v>8092800.0000001397</v>
      </c>
      <c r="T883">
        <f t="shared" si="777"/>
        <v>96</v>
      </c>
      <c r="U883" s="13">
        <f t="shared" si="778"/>
        <v>8092800.0000001397</v>
      </c>
      <c r="V883" s="112">
        <f t="shared" si="779"/>
        <v>96</v>
      </c>
      <c r="AN883" s="127">
        <v>45318.208333333343</v>
      </c>
      <c r="AO883">
        <v>1</v>
      </c>
      <c r="AP883" s="13">
        <f t="shared" si="781"/>
        <v>8092800.0000001397</v>
      </c>
      <c r="AQ883">
        <f t="shared" si="782"/>
        <v>96</v>
      </c>
      <c r="AR883" s="13">
        <f t="shared" si="783"/>
        <v>8092800.0000001397</v>
      </c>
      <c r="AS883" s="112">
        <f t="shared" si="784"/>
        <v>96</v>
      </c>
    </row>
    <row r="884" spans="17:45" x14ac:dyDescent="0.25">
      <c r="Q884" s="127">
        <v>45318.3125</v>
      </c>
      <c r="R884">
        <v>1</v>
      </c>
      <c r="S884" s="13">
        <f t="shared" si="780"/>
        <v>8101800.0000001397</v>
      </c>
      <c r="T884">
        <f t="shared" si="777"/>
        <v>96</v>
      </c>
      <c r="U884" s="13">
        <f t="shared" si="778"/>
        <v>8101800.0000001397</v>
      </c>
      <c r="V884" s="112">
        <f t="shared" si="779"/>
        <v>96</v>
      </c>
      <c r="AN884" s="127">
        <v>45318.3125</v>
      </c>
      <c r="AO884">
        <v>1</v>
      </c>
      <c r="AP884" s="13">
        <f t="shared" si="781"/>
        <v>8101800.0000001397</v>
      </c>
      <c r="AQ884">
        <f t="shared" si="782"/>
        <v>96</v>
      </c>
      <c r="AR884" s="13">
        <f t="shared" si="783"/>
        <v>8101800.0000001397</v>
      </c>
      <c r="AS884" s="112">
        <f t="shared" si="784"/>
        <v>96</v>
      </c>
    </row>
    <row r="885" spans="17:45" x14ac:dyDescent="0.25">
      <c r="Q885" s="127">
        <v>45318.416666666657</v>
      </c>
      <c r="R885">
        <v>1</v>
      </c>
      <c r="S885" s="13">
        <f t="shared" si="780"/>
        <v>8110800.0000001397</v>
      </c>
      <c r="T885">
        <f t="shared" si="777"/>
        <v>96</v>
      </c>
      <c r="U885" s="13">
        <f t="shared" si="778"/>
        <v>8110800.0000001397</v>
      </c>
      <c r="V885" s="112">
        <f t="shared" si="779"/>
        <v>96</v>
      </c>
      <c r="AN885" s="127">
        <v>45318.416666666657</v>
      </c>
      <c r="AO885">
        <v>1</v>
      </c>
      <c r="AP885" s="13">
        <f t="shared" si="781"/>
        <v>8110800.0000001397</v>
      </c>
      <c r="AQ885">
        <f t="shared" si="782"/>
        <v>96</v>
      </c>
      <c r="AR885" s="13">
        <f t="shared" si="783"/>
        <v>8110800.0000001397</v>
      </c>
      <c r="AS885" s="112">
        <f t="shared" si="784"/>
        <v>96</v>
      </c>
    </row>
    <row r="886" spans="17:45" x14ac:dyDescent="0.25">
      <c r="Q886" s="127">
        <v>45318.520833333343</v>
      </c>
      <c r="R886">
        <v>1</v>
      </c>
      <c r="S886" s="13">
        <f t="shared" si="780"/>
        <v>8119800.0000001397</v>
      </c>
      <c r="T886">
        <f t="shared" si="777"/>
        <v>96</v>
      </c>
      <c r="U886" s="13">
        <f t="shared" si="778"/>
        <v>8119800.0000001397</v>
      </c>
      <c r="V886" s="112">
        <f t="shared" si="779"/>
        <v>96</v>
      </c>
      <c r="AN886" s="127">
        <v>45318.520833333343</v>
      </c>
      <c r="AO886">
        <v>1</v>
      </c>
      <c r="AP886" s="13">
        <f t="shared" si="781"/>
        <v>8119800.0000001397</v>
      </c>
      <c r="AQ886">
        <f t="shared" si="782"/>
        <v>96</v>
      </c>
      <c r="AR886" s="13">
        <f t="shared" si="783"/>
        <v>8119800.0000001397</v>
      </c>
      <c r="AS886" s="112">
        <f t="shared" si="784"/>
        <v>96</v>
      </c>
    </row>
    <row r="887" spans="17:45" x14ac:dyDescent="0.25">
      <c r="Q887" s="127">
        <v>45318.625</v>
      </c>
      <c r="R887">
        <v>1</v>
      </c>
      <c r="S887" s="13">
        <f t="shared" si="780"/>
        <v>8128800.0000001397</v>
      </c>
      <c r="T887">
        <f t="shared" si="777"/>
        <v>96</v>
      </c>
      <c r="U887" s="13">
        <f t="shared" si="778"/>
        <v>8128800.0000001397</v>
      </c>
      <c r="V887" s="112">
        <f t="shared" si="779"/>
        <v>96</v>
      </c>
      <c r="AN887" s="127">
        <v>45318.625</v>
      </c>
      <c r="AO887">
        <v>1</v>
      </c>
      <c r="AP887" s="13">
        <f t="shared" si="781"/>
        <v>8128800.0000001397</v>
      </c>
      <c r="AQ887">
        <f t="shared" si="782"/>
        <v>96</v>
      </c>
      <c r="AR887" s="13">
        <f t="shared" si="783"/>
        <v>8128800.0000001397</v>
      </c>
      <c r="AS887" s="112">
        <f t="shared" si="784"/>
        <v>96</v>
      </c>
    </row>
    <row r="888" spans="17:45" x14ac:dyDescent="0.25">
      <c r="Q888" s="127">
        <v>45318.729166666657</v>
      </c>
      <c r="R888">
        <v>1</v>
      </c>
      <c r="S888" s="13">
        <f t="shared" si="780"/>
        <v>8137800.0000001397</v>
      </c>
      <c r="T888">
        <f t="shared" si="777"/>
        <v>96</v>
      </c>
      <c r="U888" s="13">
        <f t="shared" si="778"/>
        <v>8137800.0000001397</v>
      </c>
      <c r="V888" s="112">
        <f t="shared" si="779"/>
        <v>96</v>
      </c>
      <c r="AN888" s="127">
        <v>45318.729166666657</v>
      </c>
      <c r="AO888">
        <v>1</v>
      </c>
      <c r="AP888" s="13">
        <f t="shared" si="781"/>
        <v>8137800.0000001397</v>
      </c>
      <c r="AQ888">
        <f t="shared" si="782"/>
        <v>96</v>
      </c>
      <c r="AR888" s="13">
        <f t="shared" si="783"/>
        <v>8137800.0000001397</v>
      </c>
      <c r="AS888" s="112">
        <f t="shared" si="784"/>
        <v>96</v>
      </c>
    </row>
    <row r="889" spans="17:45" x14ac:dyDescent="0.25">
      <c r="Q889" s="127">
        <v>45318.833333333343</v>
      </c>
      <c r="R889">
        <v>1</v>
      </c>
      <c r="S889" s="13">
        <f t="shared" si="780"/>
        <v>8146800.0000001397</v>
      </c>
      <c r="T889">
        <f t="shared" si="777"/>
        <v>96</v>
      </c>
      <c r="U889" s="13">
        <f t="shared" si="778"/>
        <v>8146800.0000001397</v>
      </c>
      <c r="V889" s="112">
        <f t="shared" si="779"/>
        <v>96</v>
      </c>
      <c r="AN889" s="127">
        <v>45318.833333333343</v>
      </c>
      <c r="AO889">
        <v>1</v>
      </c>
      <c r="AP889" s="13">
        <f t="shared" si="781"/>
        <v>8146800.0000001397</v>
      </c>
      <c r="AQ889">
        <f t="shared" si="782"/>
        <v>96</v>
      </c>
      <c r="AR889" s="13">
        <f t="shared" si="783"/>
        <v>8146800.0000001397</v>
      </c>
      <c r="AS889" s="112">
        <f t="shared" si="784"/>
        <v>96</v>
      </c>
    </row>
    <row r="890" spans="17:45" x14ac:dyDescent="0.25">
      <c r="Q890" s="127">
        <v>45318.9375</v>
      </c>
      <c r="R890">
        <v>1</v>
      </c>
      <c r="S890" s="13">
        <f t="shared" si="780"/>
        <v>8155800.0000001397</v>
      </c>
      <c r="T890">
        <f t="shared" si="777"/>
        <v>96</v>
      </c>
      <c r="U890" s="13">
        <f t="shared" si="778"/>
        <v>8155800.0000001397</v>
      </c>
      <c r="V890" s="112">
        <f t="shared" si="779"/>
        <v>96</v>
      </c>
      <c r="AN890" s="127">
        <v>45318.9375</v>
      </c>
      <c r="AO890">
        <v>1</v>
      </c>
      <c r="AP890" s="13">
        <f t="shared" si="781"/>
        <v>8155800.0000001397</v>
      </c>
      <c r="AQ890">
        <f t="shared" si="782"/>
        <v>96</v>
      </c>
      <c r="AR890" s="13">
        <f t="shared" si="783"/>
        <v>8155800.0000001397</v>
      </c>
      <c r="AS890" s="112">
        <f t="shared" si="784"/>
        <v>96</v>
      </c>
    </row>
    <row r="891" spans="17:45" x14ac:dyDescent="0.25">
      <c r="Q891" s="127">
        <v>45319.041666666657</v>
      </c>
      <c r="R891">
        <v>1</v>
      </c>
      <c r="S891" s="13">
        <f t="shared" si="780"/>
        <v>8164800.0000001397</v>
      </c>
      <c r="T891">
        <f t="shared" si="777"/>
        <v>96</v>
      </c>
      <c r="U891" s="13">
        <f t="shared" si="778"/>
        <v>8164800.0000001397</v>
      </c>
      <c r="V891" s="112">
        <f t="shared" si="779"/>
        <v>96</v>
      </c>
      <c r="AN891" s="127">
        <v>45319.041666666657</v>
      </c>
      <c r="AO891">
        <v>1</v>
      </c>
      <c r="AP891" s="13">
        <f t="shared" si="781"/>
        <v>8164800.0000001397</v>
      </c>
      <c r="AQ891">
        <f t="shared" si="782"/>
        <v>96</v>
      </c>
      <c r="AR891" s="13">
        <f t="shared" si="783"/>
        <v>8164800.0000001397</v>
      </c>
      <c r="AS891" s="112">
        <f t="shared" si="784"/>
        <v>96</v>
      </c>
    </row>
    <row r="892" spans="17:45" x14ac:dyDescent="0.25">
      <c r="Q892" s="127">
        <v>45319.145833333343</v>
      </c>
      <c r="R892">
        <v>1</v>
      </c>
      <c r="S892" s="13">
        <f t="shared" si="780"/>
        <v>8173800.0000001397</v>
      </c>
      <c r="T892">
        <f t="shared" si="777"/>
        <v>96</v>
      </c>
      <c r="U892" s="13">
        <f t="shared" si="778"/>
        <v>8173800.0000001397</v>
      </c>
      <c r="V892" s="112">
        <f t="shared" si="779"/>
        <v>96</v>
      </c>
      <c r="AN892" s="127">
        <v>45319.145833333343</v>
      </c>
      <c r="AO892">
        <v>1</v>
      </c>
      <c r="AP892" s="13">
        <f t="shared" si="781"/>
        <v>8173800.0000001397</v>
      </c>
      <c r="AQ892">
        <f t="shared" si="782"/>
        <v>96</v>
      </c>
      <c r="AR892" s="13">
        <f t="shared" si="783"/>
        <v>8173800.0000001397</v>
      </c>
      <c r="AS892" s="112">
        <f t="shared" si="784"/>
        <v>96</v>
      </c>
    </row>
    <row r="893" spans="17:45" x14ac:dyDescent="0.25">
      <c r="Q893" s="127">
        <v>45319.25</v>
      </c>
      <c r="R893">
        <v>1</v>
      </c>
      <c r="S893" s="13">
        <f t="shared" si="780"/>
        <v>8182800.0000001397</v>
      </c>
      <c r="T893">
        <f t="shared" si="777"/>
        <v>96</v>
      </c>
      <c r="U893" s="13">
        <f t="shared" si="778"/>
        <v>8182800.0000001397</v>
      </c>
      <c r="V893" s="112">
        <f t="shared" si="779"/>
        <v>96</v>
      </c>
      <c r="AN893" s="127">
        <v>45319.25</v>
      </c>
      <c r="AO893">
        <v>1</v>
      </c>
      <c r="AP893" s="13">
        <f t="shared" si="781"/>
        <v>8182800.0000001397</v>
      </c>
      <c r="AQ893">
        <f t="shared" si="782"/>
        <v>96</v>
      </c>
      <c r="AR893" s="13">
        <f t="shared" si="783"/>
        <v>8182800.0000001397</v>
      </c>
      <c r="AS893" s="112">
        <f t="shared" si="784"/>
        <v>96</v>
      </c>
    </row>
    <row r="894" spans="17:45" x14ac:dyDescent="0.25">
      <c r="Q894" s="127">
        <v>45319.354166666657</v>
      </c>
      <c r="R894">
        <v>1</v>
      </c>
      <c r="S894" s="13">
        <f t="shared" si="780"/>
        <v>8191800.0000001397</v>
      </c>
      <c r="T894">
        <f t="shared" si="777"/>
        <v>96</v>
      </c>
      <c r="U894" s="13">
        <f t="shared" si="778"/>
        <v>8191800.0000001397</v>
      </c>
      <c r="V894" s="112">
        <f t="shared" si="779"/>
        <v>96</v>
      </c>
      <c r="AN894" s="127">
        <v>45319.354166666657</v>
      </c>
      <c r="AO894">
        <v>1</v>
      </c>
      <c r="AP894" s="13">
        <f t="shared" si="781"/>
        <v>8191800.0000001397</v>
      </c>
      <c r="AQ894">
        <f t="shared" si="782"/>
        <v>96</v>
      </c>
      <c r="AR894" s="13">
        <f t="shared" si="783"/>
        <v>8191800.0000001397</v>
      </c>
      <c r="AS894" s="112">
        <f t="shared" si="784"/>
        <v>96</v>
      </c>
    </row>
    <row r="895" spans="17:45" x14ac:dyDescent="0.25">
      <c r="Q895" s="127">
        <v>45319.458333333343</v>
      </c>
      <c r="R895">
        <v>1</v>
      </c>
      <c r="S895" s="13">
        <f t="shared" si="780"/>
        <v>8200800.0000001397</v>
      </c>
      <c r="T895">
        <f t="shared" si="777"/>
        <v>96</v>
      </c>
      <c r="U895" s="13">
        <f t="shared" si="778"/>
        <v>8200800.0000001397</v>
      </c>
      <c r="V895" s="112">
        <f t="shared" si="779"/>
        <v>96</v>
      </c>
      <c r="AN895" s="127">
        <v>45319.458333333343</v>
      </c>
      <c r="AO895">
        <v>1</v>
      </c>
      <c r="AP895" s="13">
        <f t="shared" si="781"/>
        <v>8200800.0000001397</v>
      </c>
      <c r="AQ895">
        <f t="shared" si="782"/>
        <v>96</v>
      </c>
      <c r="AR895" s="13">
        <f t="shared" si="783"/>
        <v>8200800.0000001397</v>
      </c>
      <c r="AS895" s="112">
        <f t="shared" si="784"/>
        <v>96</v>
      </c>
    </row>
    <row r="896" spans="17:45" x14ac:dyDescent="0.25">
      <c r="Q896" s="127">
        <v>45319.5625</v>
      </c>
      <c r="R896">
        <v>1</v>
      </c>
      <c r="S896" s="13">
        <f t="shared" si="780"/>
        <v>8209800.0000001397</v>
      </c>
      <c r="T896">
        <f t="shared" si="777"/>
        <v>96</v>
      </c>
      <c r="U896" s="13">
        <f t="shared" si="778"/>
        <v>8209800.0000001397</v>
      </c>
      <c r="V896" s="112">
        <f t="shared" si="779"/>
        <v>96</v>
      </c>
      <c r="AN896" s="127">
        <v>45319.5625</v>
      </c>
      <c r="AO896">
        <v>1</v>
      </c>
      <c r="AP896" s="13">
        <f t="shared" si="781"/>
        <v>8209800.0000001397</v>
      </c>
      <c r="AQ896">
        <f t="shared" si="782"/>
        <v>96</v>
      </c>
      <c r="AR896" s="13">
        <f t="shared" si="783"/>
        <v>8209800.0000001397</v>
      </c>
      <c r="AS896" s="112">
        <f t="shared" si="784"/>
        <v>96</v>
      </c>
    </row>
    <row r="897" spans="17:45" x14ac:dyDescent="0.25">
      <c r="Q897" s="127">
        <v>45319.666666666657</v>
      </c>
      <c r="R897">
        <v>1</v>
      </c>
      <c r="S897" s="13">
        <f t="shared" si="780"/>
        <v>8218800.0000001397</v>
      </c>
      <c r="T897">
        <f t="shared" si="777"/>
        <v>96</v>
      </c>
      <c r="U897" s="13">
        <f t="shared" si="778"/>
        <v>8218800.0000001397</v>
      </c>
      <c r="V897" s="112">
        <f t="shared" si="779"/>
        <v>96</v>
      </c>
      <c r="AN897" s="127">
        <v>45319.666666666657</v>
      </c>
      <c r="AO897">
        <v>1</v>
      </c>
      <c r="AP897" s="13">
        <f t="shared" si="781"/>
        <v>8218800.0000001397</v>
      </c>
      <c r="AQ897">
        <f t="shared" si="782"/>
        <v>96</v>
      </c>
      <c r="AR897" s="13">
        <f t="shared" si="783"/>
        <v>8218800.0000001397</v>
      </c>
      <c r="AS897" s="112">
        <f t="shared" si="784"/>
        <v>96</v>
      </c>
    </row>
    <row r="898" spans="17:45" x14ac:dyDescent="0.25">
      <c r="Q898" s="127">
        <v>45319.770833333343</v>
      </c>
      <c r="R898">
        <v>1</v>
      </c>
      <c r="S898" s="13">
        <f t="shared" si="780"/>
        <v>8227800.0000001397</v>
      </c>
      <c r="T898">
        <f t="shared" si="777"/>
        <v>96</v>
      </c>
      <c r="U898" s="13">
        <f t="shared" si="778"/>
        <v>8227800.0000001397</v>
      </c>
      <c r="V898" s="112">
        <f t="shared" si="779"/>
        <v>96</v>
      </c>
      <c r="AN898" s="127">
        <v>45319.770833333343</v>
      </c>
      <c r="AO898">
        <v>1</v>
      </c>
      <c r="AP898" s="13">
        <f t="shared" si="781"/>
        <v>8227800.0000001397</v>
      </c>
      <c r="AQ898">
        <f t="shared" si="782"/>
        <v>96</v>
      </c>
      <c r="AR898" s="13">
        <f t="shared" si="783"/>
        <v>8227800.0000001397</v>
      </c>
      <c r="AS898" s="112">
        <f t="shared" si="784"/>
        <v>96</v>
      </c>
    </row>
    <row r="899" spans="17:45" x14ac:dyDescent="0.25">
      <c r="Q899" s="127">
        <v>45319.875</v>
      </c>
      <c r="R899">
        <v>1</v>
      </c>
      <c r="S899" s="13">
        <f t="shared" si="780"/>
        <v>8236800.0000001397</v>
      </c>
      <c r="T899">
        <f t="shared" ref="T899:T962" si="785">R899*96</f>
        <v>96</v>
      </c>
      <c r="U899" s="13">
        <f t="shared" ref="U899:U962" si="786">S899</f>
        <v>8236800.0000001397</v>
      </c>
      <c r="V899" s="112">
        <f t="shared" ref="V899:V962" si="787">IF(T899=0,0.0000000001,T899)</f>
        <v>96</v>
      </c>
      <c r="AN899" s="127">
        <v>45319.875</v>
      </c>
      <c r="AO899">
        <v>1</v>
      </c>
      <c r="AP899" s="13">
        <f t="shared" si="781"/>
        <v>8236800.0000001397</v>
      </c>
      <c r="AQ899">
        <f t="shared" si="782"/>
        <v>96</v>
      </c>
      <c r="AR899" s="13">
        <f t="shared" si="783"/>
        <v>8236800.0000001397</v>
      </c>
      <c r="AS899" s="112">
        <f t="shared" si="784"/>
        <v>96</v>
      </c>
    </row>
    <row r="900" spans="17:45" x14ac:dyDescent="0.25">
      <c r="Q900" s="127">
        <v>45319.979166666657</v>
      </c>
      <c r="R900">
        <v>1</v>
      </c>
      <c r="S900" s="13">
        <f t="shared" ref="S900:S963" si="788">S899+150*60</f>
        <v>8245800.0000001397</v>
      </c>
      <c r="T900">
        <f t="shared" si="785"/>
        <v>96</v>
      </c>
      <c r="U900" s="13">
        <f t="shared" si="786"/>
        <v>8245800.0000001397</v>
      </c>
      <c r="V900" s="112">
        <f t="shared" si="787"/>
        <v>96</v>
      </c>
      <c r="AN900" s="127">
        <v>45319.979166666657</v>
      </c>
      <c r="AO900">
        <v>1</v>
      </c>
      <c r="AP900" s="13">
        <f t="shared" ref="AP900:AP963" si="789">AP899+150*60</f>
        <v>8245800.0000001397</v>
      </c>
      <c r="AQ900">
        <f t="shared" si="782"/>
        <v>96</v>
      </c>
      <c r="AR900" s="13">
        <f t="shared" si="783"/>
        <v>8245800.0000001397</v>
      </c>
      <c r="AS900" s="112">
        <f t="shared" si="784"/>
        <v>96</v>
      </c>
    </row>
    <row r="901" spans="17:45" x14ac:dyDescent="0.25">
      <c r="Q901" s="127">
        <v>45320.083333333343</v>
      </c>
      <c r="R901">
        <v>1</v>
      </c>
      <c r="S901" s="13">
        <f t="shared" si="788"/>
        <v>8254800.0000001397</v>
      </c>
      <c r="T901">
        <f t="shared" si="785"/>
        <v>96</v>
      </c>
      <c r="U901" s="13">
        <f t="shared" si="786"/>
        <v>8254800.0000001397</v>
      </c>
      <c r="V901" s="112">
        <f t="shared" si="787"/>
        <v>96</v>
      </c>
      <c r="AN901" s="127">
        <v>45320.083333333343</v>
      </c>
      <c r="AO901">
        <v>1</v>
      </c>
      <c r="AP901" s="13">
        <f t="shared" si="789"/>
        <v>8254800.0000001397</v>
      </c>
      <c r="AQ901">
        <f t="shared" si="782"/>
        <v>96</v>
      </c>
      <c r="AR901" s="13">
        <f t="shared" si="783"/>
        <v>8254800.0000001397</v>
      </c>
      <c r="AS901" s="112">
        <f t="shared" si="784"/>
        <v>96</v>
      </c>
    </row>
    <row r="902" spans="17:45" x14ac:dyDescent="0.25">
      <c r="Q902" s="127">
        <v>45320.1875</v>
      </c>
      <c r="R902">
        <v>1</v>
      </c>
      <c r="S902" s="13">
        <f t="shared" si="788"/>
        <v>8263800.0000001397</v>
      </c>
      <c r="T902">
        <f t="shared" si="785"/>
        <v>96</v>
      </c>
      <c r="U902" s="13">
        <f t="shared" si="786"/>
        <v>8263800.0000001397</v>
      </c>
      <c r="V902" s="112">
        <f t="shared" si="787"/>
        <v>96</v>
      </c>
      <c r="AN902" s="127">
        <v>45320.1875</v>
      </c>
      <c r="AO902">
        <v>1</v>
      </c>
      <c r="AP902" s="13">
        <f t="shared" si="789"/>
        <v>8263800.0000001397</v>
      </c>
      <c r="AQ902">
        <f t="shared" si="782"/>
        <v>96</v>
      </c>
      <c r="AR902" s="13">
        <f t="shared" si="783"/>
        <v>8263800.0000001397</v>
      </c>
      <c r="AS902" s="112">
        <f t="shared" si="784"/>
        <v>96</v>
      </c>
    </row>
    <row r="903" spans="17:45" x14ac:dyDescent="0.25">
      <c r="Q903" s="127">
        <v>45320.291666666657</v>
      </c>
      <c r="R903">
        <v>1</v>
      </c>
      <c r="S903" s="13">
        <f t="shared" si="788"/>
        <v>8272800.0000001397</v>
      </c>
      <c r="T903">
        <f t="shared" si="785"/>
        <v>96</v>
      </c>
      <c r="U903" s="13">
        <f t="shared" si="786"/>
        <v>8272800.0000001397</v>
      </c>
      <c r="V903" s="112">
        <f t="shared" si="787"/>
        <v>96</v>
      </c>
      <c r="AN903" s="127">
        <v>45320.291666666657</v>
      </c>
      <c r="AO903">
        <v>1</v>
      </c>
      <c r="AP903" s="13">
        <f t="shared" si="789"/>
        <v>8272800.0000001397</v>
      </c>
      <c r="AQ903">
        <f t="shared" si="782"/>
        <v>96</v>
      </c>
      <c r="AR903" s="13">
        <f t="shared" si="783"/>
        <v>8272800.0000001397</v>
      </c>
      <c r="AS903" s="112">
        <f t="shared" si="784"/>
        <v>96</v>
      </c>
    </row>
    <row r="904" spans="17:45" x14ac:dyDescent="0.25">
      <c r="Q904" s="127">
        <v>45320.395833333343</v>
      </c>
      <c r="R904">
        <v>2</v>
      </c>
      <c r="S904" s="13">
        <f t="shared" si="788"/>
        <v>8281800.0000001397</v>
      </c>
      <c r="T904">
        <f t="shared" si="785"/>
        <v>192</v>
      </c>
      <c r="U904" s="13">
        <f t="shared" si="786"/>
        <v>8281800.0000001397</v>
      </c>
      <c r="V904" s="112">
        <f t="shared" si="787"/>
        <v>192</v>
      </c>
      <c r="AN904" s="127">
        <v>45320.395833333343</v>
      </c>
      <c r="AO904">
        <v>2</v>
      </c>
      <c r="AP904" s="13">
        <f t="shared" si="789"/>
        <v>8281800.0000001397</v>
      </c>
      <c r="AQ904">
        <f t="shared" si="782"/>
        <v>192</v>
      </c>
      <c r="AR904" s="13">
        <f t="shared" si="783"/>
        <v>8281800.0000001397</v>
      </c>
      <c r="AS904" s="112">
        <f t="shared" si="784"/>
        <v>192</v>
      </c>
    </row>
    <row r="905" spans="17:45" x14ac:dyDescent="0.25">
      <c r="Q905" s="127">
        <v>45320.5</v>
      </c>
      <c r="R905">
        <v>1</v>
      </c>
      <c r="S905" s="13">
        <f t="shared" si="788"/>
        <v>8290800.0000001397</v>
      </c>
      <c r="T905">
        <f t="shared" si="785"/>
        <v>96</v>
      </c>
      <c r="U905" s="13">
        <f t="shared" si="786"/>
        <v>8290800.0000001397</v>
      </c>
      <c r="V905" s="112">
        <f t="shared" si="787"/>
        <v>96</v>
      </c>
      <c r="AN905" s="127">
        <v>45320.5</v>
      </c>
      <c r="AO905">
        <v>1</v>
      </c>
      <c r="AP905" s="13">
        <f t="shared" si="789"/>
        <v>8290800.0000001397</v>
      </c>
      <c r="AQ905">
        <f t="shared" si="782"/>
        <v>96</v>
      </c>
      <c r="AR905" s="13">
        <f t="shared" si="783"/>
        <v>8290800.0000001397</v>
      </c>
      <c r="AS905" s="112">
        <f t="shared" si="784"/>
        <v>96</v>
      </c>
    </row>
    <row r="906" spans="17:45" x14ac:dyDescent="0.25">
      <c r="Q906" s="127">
        <v>45320.604166666657</v>
      </c>
      <c r="R906">
        <v>1</v>
      </c>
      <c r="S906" s="13">
        <f t="shared" si="788"/>
        <v>8299800.0000001397</v>
      </c>
      <c r="T906">
        <f t="shared" si="785"/>
        <v>96</v>
      </c>
      <c r="U906" s="13">
        <f t="shared" si="786"/>
        <v>8299800.0000001397</v>
      </c>
      <c r="V906" s="112">
        <f t="shared" si="787"/>
        <v>96</v>
      </c>
      <c r="AN906" s="127">
        <v>45320.604166666657</v>
      </c>
      <c r="AO906">
        <v>1</v>
      </c>
      <c r="AP906" s="13">
        <f t="shared" si="789"/>
        <v>8299800.0000001397</v>
      </c>
      <c r="AQ906">
        <f t="shared" si="782"/>
        <v>96</v>
      </c>
      <c r="AR906" s="13">
        <f t="shared" si="783"/>
        <v>8299800.0000001397</v>
      </c>
      <c r="AS906" s="112">
        <f t="shared" si="784"/>
        <v>96</v>
      </c>
    </row>
    <row r="907" spans="17:45" x14ac:dyDescent="0.25">
      <c r="Q907" s="127">
        <v>45320.708333333343</v>
      </c>
      <c r="R907">
        <v>1</v>
      </c>
      <c r="S907" s="13">
        <f t="shared" si="788"/>
        <v>8308800.0000001397</v>
      </c>
      <c r="T907">
        <f t="shared" si="785"/>
        <v>96</v>
      </c>
      <c r="U907" s="13">
        <f t="shared" si="786"/>
        <v>8308800.0000001397</v>
      </c>
      <c r="V907" s="112">
        <f t="shared" si="787"/>
        <v>96</v>
      </c>
      <c r="AN907" s="127">
        <v>45320.708333333343</v>
      </c>
      <c r="AO907">
        <v>1</v>
      </c>
      <c r="AP907" s="13">
        <f t="shared" si="789"/>
        <v>8308800.0000001397</v>
      </c>
      <c r="AQ907">
        <f t="shared" si="782"/>
        <v>96</v>
      </c>
      <c r="AR907" s="13">
        <f t="shared" si="783"/>
        <v>8308800.0000001397</v>
      </c>
      <c r="AS907" s="112">
        <f t="shared" si="784"/>
        <v>96</v>
      </c>
    </row>
    <row r="908" spans="17:45" x14ac:dyDescent="0.25">
      <c r="Q908" s="127">
        <v>45320.8125</v>
      </c>
      <c r="R908">
        <v>1</v>
      </c>
      <c r="S908" s="13">
        <f t="shared" si="788"/>
        <v>8317800.0000001397</v>
      </c>
      <c r="T908">
        <f t="shared" si="785"/>
        <v>96</v>
      </c>
      <c r="U908" s="13">
        <f t="shared" si="786"/>
        <v>8317800.0000001397</v>
      </c>
      <c r="V908" s="112">
        <f t="shared" si="787"/>
        <v>96</v>
      </c>
      <c r="AN908" s="127">
        <v>45320.8125</v>
      </c>
      <c r="AO908">
        <v>1</v>
      </c>
      <c r="AP908" s="13">
        <f t="shared" si="789"/>
        <v>8317800.0000001397</v>
      </c>
      <c r="AQ908">
        <f t="shared" si="782"/>
        <v>96</v>
      </c>
      <c r="AR908" s="13">
        <f t="shared" si="783"/>
        <v>8317800.0000001397</v>
      </c>
      <c r="AS908" s="112">
        <f t="shared" si="784"/>
        <v>96</v>
      </c>
    </row>
    <row r="909" spans="17:45" x14ac:dyDescent="0.25">
      <c r="Q909" s="127">
        <v>45320.916666666657</v>
      </c>
      <c r="R909">
        <v>1</v>
      </c>
      <c r="S909" s="13">
        <f t="shared" si="788"/>
        <v>8326800.0000001397</v>
      </c>
      <c r="T909">
        <f t="shared" si="785"/>
        <v>96</v>
      </c>
      <c r="U909" s="13">
        <f t="shared" si="786"/>
        <v>8326800.0000001397</v>
      </c>
      <c r="V909" s="112">
        <f t="shared" si="787"/>
        <v>96</v>
      </c>
      <c r="AN909" s="127">
        <v>45320.916666666657</v>
      </c>
      <c r="AO909">
        <v>1</v>
      </c>
      <c r="AP909" s="13">
        <f t="shared" si="789"/>
        <v>8326800.0000001397</v>
      </c>
      <c r="AQ909">
        <f t="shared" si="782"/>
        <v>96</v>
      </c>
      <c r="AR909" s="13">
        <f t="shared" si="783"/>
        <v>8326800.0000001397</v>
      </c>
      <c r="AS909" s="112">
        <f t="shared" si="784"/>
        <v>96</v>
      </c>
    </row>
    <row r="910" spans="17:45" x14ac:dyDescent="0.25">
      <c r="Q910" s="127">
        <v>45321.020833333343</v>
      </c>
      <c r="R910">
        <v>1</v>
      </c>
      <c r="S910" s="13">
        <f t="shared" si="788"/>
        <v>8335800.0000001397</v>
      </c>
      <c r="T910">
        <f t="shared" si="785"/>
        <v>96</v>
      </c>
      <c r="U910" s="13">
        <f t="shared" si="786"/>
        <v>8335800.0000001397</v>
      </c>
      <c r="V910" s="112">
        <f t="shared" si="787"/>
        <v>96</v>
      </c>
      <c r="AN910" s="127">
        <v>45321.020833333343</v>
      </c>
      <c r="AO910">
        <v>1</v>
      </c>
      <c r="AP910" s="13">
        <f t="shared" si="789"/>
        <v>8335800.0000001397</v>
      </c>
      <c r="AQ910">
        <f t="shared" si="782"/>
        <v>96</v>
      </c>
      <c r="AR910" s="13">
        <f t="shared" si="783"/>
        <v>8335800.0000001397</v>
      </c>
      <c r="AS910" s="112">
        <f t="shared" si="784"/>
        <v>96</v>
      </c>
    </row>
    <row r="911" spans="17:45" x14ac:dyDescent="0.25">
      <c r="Q911" s="127">
        <v>45321.125</v>
      </c>
      <c r="R911">
        <v>1</v>
      </c>
      <c r="S911" s="13">
        <f t="shared" si="788"/>
        <v>8344800.0000001397</v>
      </c>
      <c r="T911">
        <f t="shared" si="785"/>
        <v>96</v>
      </c>
      <c r="U911" s="13">
        <f t="shared" si="786"/>
        <v>8344800.0000001397</v>
      </c>
      <c r="V911" s="112">
        <f t="shared" si="787"/>
        <v>96</v>
      </c>
      <c r="AN911" s="127">
        <v>45321.125</v>
      </c>
      <c r="AO911">
        <v>1</v>
      </c>
      <c r="AP911" s="13">
        <f t="shared" si="789"/>
        <v>8344800.0000001397</v>
      </c>
      <c r="AQ911">
        <f t="shared" si="782"/>
        <v>96</v>
      </c>
      <c r="AR911" s="13">
        <f t="shared" si="783"/>
        <v>8344800.0000001397</v>
      </c>
      <c r="AS911" s="112">
        <f t="shared" si="784"/>
        <v>96</v>
      </c>
    </row>
    <row r="912" spans="17:45" x14ac:dyDescent="0.25">
      <c r="Q912" s="127">
        <v>45321.229166666657</v>
      </c>
      <c r="R912">
        <v>1</v>
      </c>
      <c r="S912" s="13">
        <f t="shared" si="788"/>
        <v>8353800.0000001397</v>
      </c>
      <c r="T912">
        <f t="shared" si="785"/>
        <v>96</v>
      </c>
      <c r="U912" s="13">
        <f t="shared" si="786"/>
        <v>8353800.0000001397</v>
      </c>
      <c r="V912" s="112">
        <f t="shared" si="787"/>
        <v>96</v>
      </c>
      <c r="AN912" s="127">
        <v>45321.229166666657</v>
      </c>
      <c r="AO912">
        <v>1</v>
      </c>
      <c r="AP912" s="13">
        <f t="shared" si="789"/>
        <v>8353800.0000001397</v>
      </c>
      <c r="AQ912">
        <f t="shared" si="782"/>
        <v>96</v>
      </c>
      <c r="AR912" s="13">
        <f t="shared" si="783"/>
        <v>8353800.0000001397</v>
      </c>
      <c r="AS912" s="112">
        <f t="shared" si="784"/>
        <v>96</v>
      </c>
    </row>
    <row r="913" spans="17:45" x14ac:dyDescent="0.25">
      <c r="Q913" s="127">
        <v>45321.333333333343</v>
      </c>
      <c r="R913">
        <v>1</v>
      </c>
      <c r="S913" s="13">
        <f t="shared" si="788"/>
        <v>8362800.0000001397</v>
      </c>
      <c r="T913">
        <f t="shared" si="785"/>
        <v>96</v>
      </c>
      <c r="U913" s="13">
        <f t="shared" si="786"/>
        <v>8362800.0000001397</v>
      </c>
      <c r="V913" s="112">
        <f t="shared" si="787"/>
        <v>96</v>
      </c>
      <c r="AN913" s="127">
        <v>45321.333333333343</v>
      </c>
      <c r="AO913">
        <v>1</v>
      </c>
      <c r="AP913" s="13">
        <f t="shared" si="789"/>
        <v>8362800.0000001397</v>
      </c>
      <c r="AQ913">
        <f t="shared" si="782"/>
        <v>96</v>
      </c>
      <c r="AR913" s="13">
        <f t="shared" si="783"/>
        <v>8362800.0000001397</v>
      </c>
      <c r="AS913" s="112">
        <f t="shared" si="784"/>
        <v>96</v>
      </c>
    </row>
    <row r="914" spans="17:45" x14ac:dyDescent="0.25">
      <c r="Q914" s="127">
        <v>45321.4375</v>
      </c>
      <c r="R914">
        <v>1</v>
      </c>
      <c r="S914" s="13">
        <f t="shared" si="788"/>
        <v>8371800.0000001397</v>
      </c>
      <c r="T914">
        <f t="shared" si="785"/>
        <v>96</v>
      </c>
      <c r="U914" s="13">
        <f t="shared" si="786"/>
        <v>8371800.0000001397</v>
      </c>
      <c r="V914" s="112">
        <f t="shared" si="787"/>
        <v>96</v>
      </c>
      <c r="AN914" s="127">
        <v>45321.4375</v>
      </c>
      <c r="AO914">
        <v>1</v>
      </c>
      <c r="AP914" s="13">
        <f t="shared" si="789"/>
        <v>8371800.0000001397</v>
      </c>
      <c r="AQ914">
        <f t="shared" si="782"/>
        <v>96</v>
      </c>
      <c r="AR914" s="13">
        <f t="shared" si="783"/>
        <v>8371800.0000001397</v>
      </c>
      <c r="AS914" s="112">
        <f t="shared" si="784"/>
        <v>96</v>
      </c>
    </row>
    <row r="915" spans="17:45" x14ac:dyDescent="0.25">
      <c r="Q915" s="127">
        <v>45321.541666666657</v>
      </c>
      <c r="R915">
        <v>1</v>
      </c>
      <c r="S915" s="13">
        <f t="shared" si="788"/>
        <v>8380800.0000001397</v>
      </c>
      <c r="T915">
        <f t="shared" si="785"/>
        <v>96</v>
      </c>
      <c r="U915" s="13">
        <f t="shared" si="786"/>
        <v>8380800.0000001397</v>
      </c>
      <c r="V915" s="112">
        <f t="shared" si="787"/>
        <v>96</v>
      </c>
      <c r="AN915" s="127">
        <v>45321.541666666657</v>
      </c>
      <c r="AO915">
        <v>1</v>
      </c>
      <c r="AP915" s="13">
        <f t="shared" si="789"/>
        <v>8380800.0000001397</v>
      </c>
      <c r="AQ915">
        <f t="shared" si="782"/>
        <v>96</v>
      </c>
      <c r="AR915" s="13">
        <f t="shared" si="783"/>
        <v>8380800.0000001397</v>
      </c>
      <c r="AS915" s="112">
        <f t="shared" si="784"/>
        <v>96</v>
      </c>
    </row>
    <row r="916" spans="17:45" x14ac:dyDescent="0.25">
      <c r="Q916" s="127">
        <v>45321.645833333343</v>
      </c>
      <c r="R916">
        <v>1</v>
      </c>
      <c r="S916" s="13">
        <f t="shared" si="788"/>
        <v>8389800.0000001397</v>
      </c>
      <c r="T916">
        <f t="shared" si="785"/>
        <v>96</v>
      </c>
      <c r="U916" s="13">
        <f t="shared" si="786"/>
        <v>8389800.0000001397</v>
      </c>
      <c r="V916" s="112">
        <f t="shared" si="787"/>
        <v>96</v>
      </c>
      <c r="AN916" s="127">
        <v>45321.645833333343</v>
      </c>
      <c r="AO916">
        <v>1</v>
      </c>
      <c r="AP916" s="13">
        <f t="shared" si="789"/>
        <v>8389800.0000001397</v>
      </c>
      <c r="AQ916">
        <f t="shared" si="782"/>
        <v>96</v>
      </c>
      <c r="AR916" s="13">
        <f t="shared" si="783"/>
        <v>8389800.0000001397</v>
      </c>
      <c r="AS916" s="112">
        <f t="shared" si="784"/>
        <v>96</v>
      </c>
    </row>
    <row r="917" spans="17:45" x14ac:dyDescent="0.25">
      <c r="Q917" s="127">
        <v>45321.75</v>
      </c>
      <c r="R917">
        <v>1</v>
      </c>
      <c r="S917" s="13">
        <f t="shared" si="788"/>
        <v>8398800.0000001397</v>
      </c>
      <c r="T917">
        <f t="shared" si="785"/>
        <v>96</v>
      </c>
      <c r="U917" s="13">
        <f t="shared" si="786"/>
        <v>8398800.0000001397</v>
      </c>
      <c r="V917" s="112">
        <f t="shared" si="787"/>
        <v>96</v>
      </c>
      <c r="AN917" s="127">
        <v>45321.75</v>
      </c>
      <c r="AO917">
        <v>1</v>
      </c>
      <c r="AP917" s="13">
        <f t="shared" si="789"/>
        <v>8398800.0000001397</v>
      </c>
      <c r="AQ917">
        <f t="shared" si="782"/>
        <v>96</v>
      </c>
      <c r="AR917" s="13">
        <f t="shared" si="783"/>
        <v>8398800.0000001397</v>
      </c>
      <c r="AS917" s="112">
        <f t="shared" si="784"/>
        <v>96</v>
      </c>
    </row>
    <row r="918" spans="17:45" x14ac:dyDescent="0.25">
      <c r="Q918" s="127">
        <v>45321.854166666657</v>
      </c>
      <c r="R918">
        <v>1</v>
      </c>
      <c r="S918" s="13">
        <f t="shared" si="788"/>
        <v>8407800.0000001397</v>
      </c>
      <c r="T918">
        <f t="shared" si="785"/>
        <v>96</v>
      </c>
      <c r="U918" s="13">
        <f t="shared" si="786"/>
        <v>8407800.0000001397</v>
      </c>
      <c r="V918" s="112">
        <f t="shared" si="787"/>
        <v>96</v>
      </c>
      <c r="AN918" s="127">
        <v>45321.854166666657</v>
      </c>
      <c r="AO918">
        <v>1</v>
      </c>
      <c r="AP918" s="13">
        <f t="shared" si="789"/>
        <v>8407800.0000001397</v>
      </c>
      <c r="AQ918">
        <f t="shared" si="782"/>
        <v>96</v>
      </c>
      <c r="AR918" s="13">
        <f t="shared" si="783"/>
        <v>8407800.0000001397</v>
      </c>
      <c r="AS918" s="112">
        <f t="shared" si="784"/>
        <v>96</v>
      </c>
    </row>
    <row r="919" spans="17:45" x14ac:dyDescent="0.25">
      <c r="Q919" s="127">
        <v>45321.958333333343</v>
      </c>
      <c r="R919">
        <v>1</v>
      </c>
      <c r="S919" s="13">
        <f t="shared" si="788"/>
        <v>8416800.0000001397</v>
      </c>
      <c r="T919">
        <f t="shared" si="785"/>
        <v>96</v>
      </c>
      <c r="U919" s="13">
        <f t="shared" si="786"/>
        <v>8416800.0000001397</v>
      </c>
      <c r="V919" s="112">
        <f t="shared" si="787"/>
        <v>96</v>
      </c>
      <c r="AN919" s="127">
        <v>45321.958333333343</v>
      </c>
      <c r="AO919">
        <v>1</v>
      </c>
      <c r="AP919" s="13">
        <f t="shared" si="789"/>
        <v>8416800.0000001397</v>
      </c>
      <c r="AQ919">
        <f t="shared" si="782"/>
        <v>96</v>
      </c>
      <c r="AR919" s="13">
        <f t="shared" si="783"/>
        <v>8416800.0000001397</v>
      </c>
      <c r="AS919" s="112">
        <f t="shared" si="784"/>
        <v>96</v>
      </c>
    </row>
    <row r="920" spans="17:45" x14ac:dyDescent="0.25">
      <c r="Q920" s="127">
        <v>45322.0625</v>
      </c>
      <c r="R920">
        <v>1</v>
      </c>
      <c r="S920" s="13">
        <f t="shared" si="788"/>
        <v>8425800.0000001397</v>
      </c>
      <c r="T920">
        <f t="shared" si="785"/>
        <v>96</v>
      </c>
      <c r="U920" s="13">
        <f t="shared" si="786"/>
        <v>8425800.0000001397</v>
      </c>
      <c r="V920" s="112">
        <f t="shared" si="787"/>
        <v>96</v>
      </c>
      <c r="AN920" s="127">
        <v>45322.0625</v>
      </c>
      <c r="AO920">
        <v>1</v>
      </c>
      <c r="AP920" s="13">
        <f t="shared" si="789"/>
        <v>8425800.0000001397</v>
      </c>
      <c r="AQ920">
        <f t="shared" si="782"/>
        <v>96</v>
      </c>
      <c r="AR920" s="13">
        <f t="shared" si="783"/>
        <v>8425800.0000001397</v>
      </c>
      <c r="AS920" s="112">
        <f t="shared" si="784"/>
        <v>96</v>
      </c>
    </row>
    <row r="921" spans="17:45" x14ac:dyDescent="0.25">
      <c r="Q921" s="127">
        <v>45322.166666666657</v>
      </c>
      <c r="R921">
        <v>1</v>
      </c>
      <c r="S921" s="13">
        <f t="shared" si="788"/>
        <v>8434800.0000001397</v>
      </c>
      <c r="T921">
        <f t="shared" si="785"/>
        <v>96</v>
      </c>
      <c r="U921" s="13">
        <f t="shared" si="786"/>
        <v>8434800.0000001397</v>
      </c>
      <c r="V921" s="112">
        <f t="shared" si="787"/>
        <v>96</v>
      </c>
      <c r="AN921" s="127">
        <v>45322.166666666657</v>
      </c>
      <c r="AO921">
        <v>1</v>
      </c>
      <c r="AP921" s="13">
        <f t="shared" si="789"/>
        <v>8434800.0000001397</v>
      </c>
      <c r="AQ921">
        <f t="shared" si="782"/>
        <v>96</v>
      </c>
      <c r="AR921" s="13">
        <f t="shared" si="783"/>
        <v>8434800.0000001397</v>
      </c>
      <c r="AS921" s="112">
        <f t="shared" si="784"/>
        <v>96</v>
      </c>
    </row>
    <row r="922" spans="17:45" x14ac:dyDescent="0.25">
      <c r="Q922" s="127">
        <v>45322.270833333343</v>
      </c>
      <c r="R922">
        <v>1</v>
      </c>
      <c r="S922" s="13">
        <f t="shared" si="788"/>
        <v>8443800.0000001397</v>
      </c>
      <c r="T922">
        <f t="shared" si="785"/>
        <v>96</v>
      </c>
      <c r="U922" s="13">
        <f t="shared" si="786"/>
        <v>8443800.0000001397</v>
      </c>
      <c r="V922" s="112">
        <f t="shared" si="787"/>
        <v>96</v>
      </c>
      <c r="AN922" s="127">
        <v>45322.270833333343</v>
      </c>
      <c r="AO922">
        <v>1</v>
      </c>
      <c r="AP922" s="13">
        <f t="shared" si="789"/>
        <v>8443800.0000001397</v>
      </c>
      <c r="AQ922">
        <f t="shared" si="782"/>
        <v>96</v>
      </c>
      <c r="AR922" s="13">
        <f t="shared" si="783"/>
        <v>8443800.0000001397</v>
      </c>
      <c r="AS922" s="112">
        <f t="shared" si="784"/>
        <v>96</v>
      </c>
    </row>
    <row r="923" spans="17:45" x14ac:dyDescent="0.25">
      <c r="Q923" s="127">
        <v>45322.375</v>
      </c>
      <c r="R923">
        <v>1</v>
      </c>
      <c r="S923" s="13">
        <f t="shared" si="788"/>
        <v>8452800.0000001397</v>
      </c>
      <c r="T923">
        <f t="shared" si="785"/>
        <v>96</v>
      </c>
      <c r="U923" s="13">
        <f t="shared" si="786"/>
        <v>8452800.0000001397</v>
      </c>
      <c r="V923" s="112">
        <f t="shared" si="787"/>
        <v>96</v>
      </c>
      <c r="AN923" s="127">
        <v>45322.375</v>
      </c>
      <c r="AO923">
        <v>1</v>
      </c>
      <c r="AP923" s="13">
        <f t="shared" si="789"/>
        <v>8452800.0000001397</v>
      </c>
      <c r="AQ923">
        <f t="shared" si="782"/>
        <v>96</v>
      </c>
      <c r="AR923" s="13">
        <f t="shared" si="783"/>
        <v>8452800.0000001397</v>
      </c>
      <c r="AS923" s="112">
        <f t="shared" si="784"/>
        <v>96</v>
      </c>
    </row>
    <row r="924" spans="17:45" x14ac:dyDescent="0.25">
      <c r="Q924" s="127">
        <v>45322.479166666657</v>
      </c>
      <c r="R924">
        <v>1</v>
      </c>
      <c r="S924" s="13">
        <f t="shared" si="788"/>
        <v>8461800.0000001397</v>
      </c>
      <c r="T924">
        <f t="shared" si="785"/>
        <v>96</v>
      </c>
      <c r="U924" s="13">
        <f t="shared" si="786"/>
        <v>8461800.0000001397</v>
      </c>
      <c r="V924" s="112">
        <f t="shared" si="787"/>
        <v>96</v>
      </c>
      <c r="AN924" s="127">
        <v>45322.479166666657</v>
      </c>
      <c r="AO924">
        <v>1</v>
      </c>
      <c r="AP924" s="13">
        <f t="shared" si="789"/>
        <v>8461800.0000001397</v>
      </c>
      <c r="AQ924">
        <f t="shared" si="782"/>
        <v>96</v>
      </c>
      <c r="AR924" s="13">
        <f t="shared" si="783"/>
        <v>8461800.0000001397</v>
      </c>
      <c r="AS924" s="112">
        <f t="shared" si="784"/>
        <v>96</v>
      </c>
    </row>
    <row r="925" spans="17:45" x14ac:dyDescent="0.25">
      <c r="Q925" s="127">
        <v>45322.583333333343</v>
      </c>
      <c r="R925">
        <v>1</v>
      </c>
      <c r="S925" s="13">
        <f t="shared" si="788"/>
        <v>8470800.0000001397</v>
      </c>
      <c r="T925">
        <f t="shared" si="785"/>
        <v>96</v>
      </c>
      <c r="U925" s="13">
        <f t="shared" si="786"/>
        <v>8470800.0000001397</v>
      </c>
      <c r="V925" s="112">
        <f t="shared" si="787"/>
        <v>96</v>
      </c>
      <c r="AN925" s="127">
        <v>45322.583333333343</v>
      </c>
      <c r="AO925">
        <v>1</v>
      </c>
      <c r="AP925" s="13">
        <f t="shared" si="789"/>
        <v>8470800.0000001397</v>
      </c>
      <c r="AQ925">
        <f t="shared" si="782"/>
        <v>96</v>
      </c>
      <c r="AR925" s="13">
        <f t="shared" si="783"/>
        <v>8470800.0000001397</v>
      </c>
      <c r="AS925" s="112">
        <f t="shared" si="784"/>
        <v>96</v>
      </c>
    </row>
    <row r="926" spans="17:45" x14ac:dyDescent="0.25">
      <c r="Q926" s="127">
        <v>45322.6875</v>
      </c>
      <c r="R926">
        <v>1</v>
      </c>
      <c r="S926" s="13">
        <f t="shared" si="788"/>
        <v>8479800.0000001397</v>
      </c>
      <c r="T926">
        <f t="shared" si="785"/>
        <v>96</v>
      </c>
      <c r="U926" s="13">
        <f t="shared" si="786"/>
        <v>8479800.0000001397</v>
      </c>
      <c r="V926" s="112">
        <f t="shared" si="787"/>
        <v>96</v>
      </c>
      <c r="AN926" s="127">
        <v>45322.6875</v>
      </c>
      <c r="AO926">
        <v>1</v>
      </c>
      <c r="AP926" s="13">
        <f t="shared" si="789"/>
        <v>8479800.0000001397</v>
      </c>
      <c r="AQ926">
        <f t="shared" si="782"/>
        <v>96</v>
      </c>
      <c r="AR926" s="13">
        <f t="shared" si="783"/>
        <v>8479800.0000001397</v>
      </c>
      <c r="AS926" s="112">
        <f t="shared" si="784"/>
        <v>96</v>
      </c>
    </row>
    <row r="927" spans="17:45" x14ac:dyDescent="0.25">
      <c r="Q927" s="127">
        <v>45322.791666666657</v>
      </c>
      <c r="R927">
        <v>1</v>
      </c>
      <c r="S927" s="13">
        <f t="shared" si="788"/>
        <v>8488800.0000001397</v>
      </c>
      <c r="T927">
        <f t="shared" si="785"/>
        <v>96</v>
      </c>
      <c r="U927" s="13">
        <f t="shared" si="786"/>
        <v>8488800.0000001397</v>
      </c>
      <c r="V927" s="112">
        <f t="shared" si="787"/>
        <v>96</v>
      </c>
      <c r="AN927" s="127">
        <v>45322.791666666657</v>
      </c>
      <c r="AO927">
        <v>1</v>
      </c>
      <c r="AP927" s="13">
        <f t="shared" si="789"/>
        <v>8488800.0000001397</v>
      </c>
      <c r="AQ927">
        <f t="shared" si="782"/>
        <v>96</v>
      </c>
      <c r="AR927" s="13">
        <f t="shared" si="783"/>
        <v>8488800.0000001397</v>
      </c>
      <c r="AS927" s="112">
        <f t="shared" si="784"/>
        <v>96</v>
      </c>
    </row>
    <row r="928" spans="17:45" x14ac:dyDescent="0.25">
      <c r="Q928" s="127">
        <v>45322.895833333343</v>
      </c>
      <c r="R928">
        <v>1</v>
      </c>
      <c r="S928" s="13">
        <f t="shared" si="788"/>
        <v>8497800.0000001397</v>
      </c>
      <c r="T928">
        <f t="shared" si="785"/>
        <v>96</v>
      </c>
      <c r="U928" s="13">
        <f t="shared" si="786"/>
        <v>8497800.0000001397</v>
      </c>
      <c r="V928" s="112">
        <f t="shared" si="787"/>
        <v>96</v>
      </c>
      <c r="AN928" s="127">
        <v>45322.895833333343</v>
      </c>
      <c r="AO928">
        <v>1</v>
      </c>
      <c r="AP928" s="13">
        <f t="shared" si="789"/>
        <v>8497800.0000001397</v>
      </c>
      <c r="AQ928">
        <f t="shared" si="782"/>
        <v>96</v>
      </c>
      <c r="AR928" s="13">
        <f t="shared" si="783"/>
        <v>8497800.0000001397</v>
      </c>
      <c r="AS928" s="112">
        <f t="shared" si="784"/>
        <v>96</v>
      </c>
    </row>
    <row r="929" spans="17:45" x14ac:dyDescent="0.25">
      <c r="Q929" s="127">
        <v>45323</v>
      </c>
      <c r="R929">
        <v>1</v>
      </c>
      <c r="S929" s="13">
        <f t="shared" si="788"/>
        <v>8506800.0000001397</v>
      </c>
      <c r="T929">
        <f t="shared" si="785"/>
        <v>96</v>
      </c>
      <c r="U929" s="13">
        <f t="shared" si="786"/>
        <v>8506800.0000001397</v>
      </c>
      <c r="V929" s="112">
        <f t="shared" si="787"/>
        <v>96</v>
      </c>
      <c r="AN929" s="127">
        <v>45323</v>
      </c>
      <c r="AO929">
        <v>1</v>
      </c>
      <c r="AP929" s="13">
        <f t="shared" si="789"/>
        <v>8506800.0000001397</v>
      </c>
      <c r="AQ929">
        <f t="shared" si="782"/>
        <v>96</v>
      </c>
      <c r="AR929" s="13">
        <f t="shared" si="783"/>
        <v>8506800.0000001397</v>
      </c>
      <c r="AS929" s="112">
        <f t="shared" si="784"/>
        <v>96</v>
      </c>
    </row>
    <row r="930" spans="17:45" x14ac:dyDescent="0.25">
      <c r="Q930" s="127">
        <v>45323.104166666657</v>
      </c>
      <c r="R930">
        <v>0</v>
      </c>
      <c r="S930" s="13">
        <f t="shared" si="788"/>
        <v>8515800.0000001397</v>
      </c>
      <c r="T930">
        <f t="shared" si="785"/>
        <v>0</v>
      </c>
      <c r="U930" s="13">
        <f t="shared" si="786"/>
        <v>8515800.0000001397</v>
      </c>
      <c r="V930" s="112">
        <f t="shared" si="787"/>
        <v>1E-10</v>
      </c>
      <c r="AN930" s="127">
        <v>45323.104166666657</v>
      </c>
      <c r="AO930">
        <v>0</v>
      </c>
      <c r="AP930" s="13">
        <f t="shared" si="789"/>
        <v>8515800.0000001397</v>
      </c>
      <c r="AQ930">
        <f t="shared" si="782"/>
        <v>0</v>
      </c>
      <c r="AR930" s="13">
        <f t="shared" si="783"/>
        <v>8515800.0000001397</v>
      </c>
      <c r="AS930" s="112">
        <f t="shared" si="784"/>
        <v>1E-10</v>
      </c>
    </row>
    <row r="931" spans="17:45" x14ac:dyDescent="0.25">
      <c r="Q931" s="127">
        <v>45323.208333333343</v>
      </c>
      <c r="R931">
        <v>1</v>
      </c>
      <c r="S931" s="13">
        <f t="shared" si="788"/>
        <v>8524800.0000001397</v>
      </c>
      <c r="T931">
        <f t="shared" si="785"/>
        <v>96</v>
      </c>
      <c r="U931" s="13">
        <f t="shared" si="786"/>
        <v>8524800.0000001397</v>
      </c>
      <c r="V931" s="112">
        <f t="shared" si="787"/>
        <v>96</v>
      </c>
      <c r="AN931" s="127">
        <v>45323.208333333343</v>
      </c>
      <c r="AO931">
        <v>1</v>
      </c>
      <c r="AP931" s="13">
        <f t="shared" si="789"/>
        <v>8524800.0000001397</v>
      </c>
      <c r="AQ931">
        <f t="shared" ref="AQ931:AQ994" si="790">AO931*96</f>
        <v>96</v>
      </c>
      <c r="AR931" s="13">
        <f t="shared" ref="AR931:AR994" si="791">AP931</f>
        <v>8524800.0000001397</v>
      </c>
      <c r="AS931" s="112">
        <f t="shared" ref="AS931:AS994" si="792">IF(AQ931=0,0.0000000001,AQ931)</f>
        <v>96</v>
      </c>
    </row>
    <row r="932" spans="17:45" x14ac:dyDescent="0.25">
      <c r="Q932" s="127">
        <v>45323.3125</v>
      </c>
      <c r="R932">
        <v>1</v>
      </c>
      <c r="S932" s="13">
        <f t="shared" si="788"/>
        <v>8533800.0000001397</v>
      </c>
      <c r="T932">
        <f t="shared" si="785"/>
        <v>96</v>
      </c>
      <c r="U932" s="13">
        <f t="shared" si="786"/>
        <v>8533800.0000001397</v>
      </c>
      <c r="V932" s="112">
        <f t="shared" si="787"/>
        <v>96</v>
      </c>
      <c r="AN932" s="127">
        <v>45323.3125</v>
      </c>
      <c r="AO932">
        <v>1</v>
      </c>
      <c r="AP932" s="13">
        <f t="shared" si="789"/>
        <v>8533800.0000001397</v>
      </c>
      <c r="AQ932">
        <f t="shared" si="790"/>
        <v>96</v>
      </c>
      <c r="AR932" s="13">
        <f t="shared" si="791"/>
        <v>8533800.0000001397</v>
      </c>
      <c r="AS932" s="112">
        <f t="shared" si="792"/>
        <v>96</v>
      </c>
    </row>
    <row r="933" spans="17:45" x14ac:dyDescent="0.25">
      <c r="Q933" s="127">
        <v>45323.416666666657</v>
      </c>
      <c r="R933">
        <v>1</v>
      </c>
      <c r="S933" s="13">
        <f t="shared" si="788"/>
        <v>8542800.0000001397</v>
      </c>
      <c r="T933">
        <f t="shared" si="785"/>
        <v>96</v>
      </c>
      <c r="U933" s="13">
        <f t="shared" si="786"/>
        <v>8542800.0000001397</v>
      </c>
      <c r="V933" s="112">
        <f t="shared" si="787"/>
        <v>96</v>
      </c>
      <c r="AN933" s="127">
        <v>45323.416666666657</v>
      </c>
      <c r="AO933">
        <v>1</v>
      </c>
      <c r="AP933" s="13">
        <f t="shared" si="789"/>
        <v>8542800.0000001397</v>
      </c>
      <c r="AQ933">
        <f t="shared" si="790"/>
        <v>96</v>
      </c>
      <c r="AR933" s="13">
        <f t="shared" si="791"/>
        <v>8542800.0000001397</v>
      </c>
      <c r="AS933" s="112">
        <f t="shared" si="792"/>
        <v>96</v>
      </c>
    </row>
    <row r="934" spans="17:45" x14ac:dyDescent="0.25">
      <c r="Q934" s="127">
        <v>45323.520833333343</v>
      </c>
      <c r="R934">
        <v>1</v>
      </c>
      <c r="S934" s="13">
        <f t="shared" si="788"/>
        <v>8551800.0000001397</v>
      </c>
      <c r="T934">
        <f t="shared" si="785"/>
        <v>96</v>
      </c>
      <c r="U934" s="13">
        <f t="shared" si="786"/>
        <v>8551800.0000001397</v>
      </c>
      <c r="V934" s="112">
        <f t="shared" si="787"/>
        <v>96</v>
      </c>
      <c r="AN934" s="127">
        <v>45323.520833333343</v>
      </c>
      <c r="AO934">
        <v>1</v>
      </c>
      <c r="AP934" s="13">
        <f t="shared" si="789"/>
        <v>8551800.0000001397</v>
      </c>
      <c r="AQ934">
        <f t="shared" si="790"/>
        <v>96</v>
      </c>
      <c r="AR934" s="13">
        <f t="shared" si="791"/>
        <v>8551800.0000001397</v>
      </c>
      <c r="AS934" s="112">
        <f t="shared" si="792"/>
        <v>96</v>
      </c>
    </row>
    <row r="935" spans="17:45" x14ac:dyDescent="0.25">
      <c r="Q935" s="127">
        <v>45323.625</v>
      </c>
      <c r="R935">
        <v>2</v>
      </c>
      <c r="S935" s="13">
        <f t="shared" si="788"/>
        <v>8560800.0000001397</v>
      </c>
      <c r="T935">
        <f t="shared" si="785"/>
        <v>192</v>
      </c>
      <c r="U935" s="13">
        <f t="shared" si="786"/>
        <v>8560800.0000001397</v>
      </c>
      <c r="V935" s="112">
        <f t="shared" si="787"/>
        <v>192</v>
      </c>
      <c r="AN935" s="127">
        <v>45323.625</v>
      </c>
      <c r="AO935">
        <v>1</v>
      </c>
      <c r="AP935" s="13">
        <f t="shared" si="789"/>
        <v>8560800.0000001397</v>
      </c>
      <c r="AQ935">
        <f t="shared" si="790"/>
        <v>96</v>
      </c>
      <c r="AR935" s="13">
        <f t="shared" si="791"/>
        <v>8560800.0000001397</v>
      </c>
      <c r="AS935" s="112">
        <f t="shared" si="792"/>
        <v>96</v>
      </c>
    </row>
    <row r="936" spans="17:45" x14ac:dyDescent="0.25">
      <c r="Q936" s="127">
        <v>45323.729166666657</v>
      </c>
      <c r="R936">
        <v>1</v>
      </c>
      <c r="S936" s="13">
        <f t="shared" si="788"/>
        <v>8569800.0000001397</v>
      </c>
      <c r="T936">
        <f t="shared" si="785"/>
        <v>96</v>
      </c>
      <c r="U936" s="13">
        <f t="shared" si="786"/>
        <v>8569800.0000001397</v>
      </c>
      <c r="V936" s="112">
        <f t="shared" si="787"/>
        <v>96</v>
      </c>
      <c r="AN936" s="127">
        <v>45323.729166666657</v>
      </c>
      <c r="AO936">
        <v>1</v>
      </c>
      <c r="AP936" s="13">
        <f t="shared" si="789"/>
        <v>8569800.0000001397</v>
      </c>
      <c r="AQ936">
        <f t="shared" si="790"/>
        <v>96</v>
      </c>
      <c r="AR936" s="13">
        <f t="shared" si="791"/>
        <v>8569800.0000001397</v>
      </c>
      <c r="AS936" s="112">
        <f t="shared" si="792"/>
        <v>96</v>
      </c>
    </row>
    <row r="937" spans="17:45" x14ac:dyDescent="0.25">
      <c r="Q937" s="127">
        <v>45323.833333333343</v>
      </c>
      <c r="R937">
        <v>1</v>
      </c>
      <c r="S937" s="13">
        <f t="shared" si="788"/>
        <v>8578800.0000001397</v>
      </c>
      <c r="T937">
        <f t="shared" si="785"/>
        <v>96</v>
      </c>
      <c r="U937" s="13">
        <f t="shared" si="786"/>
        <v>8578800.0000001397</v>
      </c>
      <c r="V937" s="112">
        <f t="shared" si="787"/>
        <v>96</v>
      </c>
      <c r="AN937" s="127">
        <v>45323.833333333343</v>
      </c>
      <c r="AO937">
        <v>1</v>
      </c>
      <c r="AP937" s="13">
        <f t="shared" si="789"/>
        <v>8578800.0000001397</v>
      </c>
      <c r="AQ937">
        <f t="shared" si="790"/>
        <v>96</v>
      </c>
      <c r="AR937" s="13">
        <f t="shared" si="791"/>
        <v>8578800.0000001397</v>
      </c>
      <c r="AS937" s="112">
        <f t="shared" si="792"/>
        <v>96</v>
      </c>
    </row>
    <row r="938" spans="17:45" x14ac:dyDescent="0.25">
      <c r="Q938" s="127">
        <v>45323.9375</v>
      </c>
      <c r="R938">
        <v>1</v>
      </c>
      <c r="S938" s="13">
        <f t="shared" si="788"/>
        <v>8587800.0000001397</v>
      </c>
      <c r="T938">
        <f t="shared" si="785"/>
        <v>96</v>
      </c>
      <c r="U938" s="13">
        <f t="shared" si="786"/>
        <v>8587800.0000001397</v>
      </c>
      <c r="V938" s="112">
        <f t="shared" si="787"/>
        <v>96</v>
      </c>
      <c r="AN938" s="127">
        <v>45323.9375</v>
      </c>
      <c r="AO938">
        <v>1</v>
      </c>
      <c r="AP938" s="13">
        <f t="shared" si="789"/>
        <v>8587800.0000001397</v>
      </c>
      <c r="AQ938">
        <f t="shared" si="790"/>
        <v>96</v>
      </c>
      <c r="AR938" s="13">
        <f t="shared" si="791"/>
        <v>8587800.0000001397</v>
      </c>
      <c r="AS938" s="112">
        <f t="shared" si="792"/>
        <v>96</v>
      </c>
    </row>
    <row r="939" spans="17:45" x14ac:dyDescent="0.25">
      <c r="Q939" s="127">
        <v>45324.041666666657</v>
      </c>
      <c r="R939">
        <v>2</v>
      </c>
      <c r="S939" s="13">
        <f t="shared" si="788"/>
        <v>8596800.0000001397</v>
      </c>
      <c r="T939">
        <f t="shared" si="785"/>
        <v>192</v>
      </c>
      <c r="U939" s="13">
        <f t="shared" si="786"/>
        <v>8596800.0000001397</v>
      </c>
      <c r="V939" s="112">
        <f t="shared" si="787"/>
        <v>192</v>
      </c>
      <c r="AN939" s="127">
        <v>45324.041666666657</v>
      </c>
      <c r="AO939">
        <v>1</v>
      </c>
      <c r="AP939" s="13">
        <f t="shared" si="789"/>
        <v>8596800.0000001397</v>
      </c>
      <c r="AQ939">
        <f t="shared" si="790"/>
        <v>96</v>
      </c>
      <c r="AR939" s="13">
        <f t="shared" si="791"/>
        <v>8596800.0000001397</v>
      </c>
      <c r="AS939" s="112">
        <f t="shared" si="792"/>
        <v>96</v>
      </c>
    </row>
    <row r="940" spans="17:45" x14ac:dyDescent="0.25">
      <c r="Q940" s="127">
        <v>45324.145833333343</v>
      </c>
      <c r="R940">
        <v>1</v>
      </c>
      <c r="S940" s="13">
        <f t="shared" si="788"/>
        <v>8605800.0000001397</v>
      </c>
      <c r="T940">
        <f t="shared" si="785"/>
        <v>96</v>
      </c>
      <c r="U940" s="13">
        <f t="shared" si="786"/>
        <v>8605800.0000001397</v>
      </c>
      <c r="V940" s="112">
        <f t="shared" si="787"/>
        <v>96</v>
      </c>
      <c r="AN940" s="127">
        <v>45324.145833333343</v>
      </c>
      <c r="AO940">
        <v>1</v>
      </c>
      <c r="AP940" s="13">
        <f t="shared" si="789"/>
        <v>8605800.0000001397</v>
      </c>
      <c r="AQ940">
        <f t="shared" si="790"/>
        <v>96</v>
      </c>
      <c r="AR940" s="13">
        <f t="shared" si="791"/>
        <v>8605800.0000001397</v>
      </c>
      <c r="AS940" s="112">
        <f t="shared" si="792"/>
        <v>96</v>
      </c>
    </row>
    <row r="941" spans="17:45" x14ac:dyDescent="0.25">
      <c r="Q941" s="127">
        <v>45324.25</v>
      </c>
      <c r="R941">
        <v>2</v>
      </c>
      <c r="S941" s="13">
        <f t="shared" si="788"/>
        <v>8614800.0000001397</v>
      </c>
      <c r="T941">
        <f t="shared" si="785"/>
        <v>192</v>
      </c>
      <c r="U941" s="13">
        <f t="shared" si="786"/>
        <v>8614800.0000001397</v>
      </c>
      <c r="V941" s="112">
        <f t="shared" si="787"/>
        <v>192</v>
      </c>
      <c r="AN941" s="127">
        <v>45324.25</v>
      </c>
      <c r="AO941">
        <v>1</v>
      </c>
      <c r="AP941" s="13">
        <f t="shared" si="789"/>
        <v>8614800.0000001397</v>
      </c>
      <c r="AQ941">
        <f t="shared" si="790"/>
        <v>96</v>
      </c>
      <c r="AR941" s="13">
        <f t="shared" si="791"/>
        <v>8614800.0000001397</v>
      </c>
      <c r="AS941" s="112">
        <f t="shared" si="792"/>
        <v>96</v>
      </c>
    </row>
    <row r="942" spans="17:45" x14ac:dyDescent="0.25">
      <c r="Q942" s="127">
        <v>45324.354166666657</v>
      </c>
      <c r="R942">
        <v>1</v>
      </c>
      <c r="S942" s="13">
        <f t="shared" si="788"/>
        <v>8623800.0000001397</v>
      </c>
      <c r="T942">
        <f t="shared" si="785"/>
        <v>96</v>
      </c>
      <c r="U942" s="13">
        <f t="shared" si="786"/>
        <v>8623800.0000001397</v>
      </c>
      <c r="V942" s="112">
        <f t="shared" si="787"/>
        <v>96</v>
      </c>
      <c r="AN942" s="127">
        <v>45324.354166666657</v>
      </c>
      <c r="AO942">
        <v>1</v>
      </c>
      <c r="AP942" s="13">
        <f t="shared" si="789"/>
        <v>8623800.0000001397</v>
      </c>
      <c r="AQ942">
        <f t="shared" si="790"/>
        <v>96</v>
      </c>
      <c r="AR942" s="13">
        <f t="shared" si="791"/>
        <v>8623800.0000001397</v>
      </c>
      <c r="AS942" s="112">
        <f t="shared" si="792"/>
        <v>96</v>
      </c>
    </row>
    <row r="943" spans="17:45" x14ac:dyDescent="0.25">
      <c r="Q943" s="127">
        <v>45324.458333333343</v>
      </c>
      <c r="R943">
        <v>1</v>
      </c>
      <c r="S943" s="13">
        <f t="shared" si="788"/>
        <v>8632800.0000001397</v>
      </c>
      <c r="T943">
        <f t="shared" si="785"/>
        <v>96</v>
      </c>
      <c r="U943" s="13">
        <f t="shared" si="786"/>
        <v>8632800.0000001397</v>
      </c>
      <c r="V943" s="112">
        <f t="shared" si="787"/>
        <v>96</v>
      </c>
      <c r="AN943" s="127">
        <v>45324.458333333343</v>
      </c>
      <c r="AO943">
        <v>1</v>
      </c>
      <c r="AP943" s="13">
        <f t="shared" si="789"/>
        <v>8632800.0000001397</v>
      </c>
      <c r="AQ943">
        <f t="shared" si="790"/>
        <v>96</v>
      </c>
      <c r="AR943" s="13">
        <f t="shared" si="791"/>
        <v>8632800.0000001397</v>
      </c>
      <c r="AS943" s="112">
        <f t="shared" si="792"/>
        <v>96</v>
      </c>
    </row>
    <row r="944" spans="17:45" x14ac:dyDescent="0.25">
      <c r="Q944" s="127">
        <v>45324.5625</v>
      </c>
      <c r="R944">
        <v>2</v>
      </c>
      <c r="S944" s="13">
        <f t="shared" si="788"/>
        <v>8641800.0000001397</v>
      </c>
      <c r="T944">
        <f t="shared" si="785"/>
        <v>192</v>
      </c>
      <c r="U944" s="13">
        <f t="shared" si="786"/>
        <v>8641800.0000001397</v>
      </c>
      <c r="V944" s="112">
        <f t="shared" si="787"/>
        <v>192</v>
      </c>
      <c r="AN944" s="127">
        <v>45324.5625</v>
      </c>
      <c r="AO944">
        <v>1</v>
      </c>
      <c r="AP944" s="13">
        <f t="shared" si="789"/>
        <v>8641800.0000001397</v>
      </c>
      <c r="AQ944">
        <f t="shared" si="790"/>
        <v>96</v>
      </c>
      <c r="AR944" s="13">
        <f t="shared" si="791"/>
        <v>8641800.0000001397</v>
      </c>
      <c r="AS944" s="112">
        <f t="shared" si="792"/>
        <v>96</v>
      </c>
    </row>
    <row r="945" spans="17:45" x14ac:dyDescent="0.25">
      <c r="Q945" s="127">
        <v>45324.666666666657</v>
      </c>
      <c r="R945">
        <v>3</v>
      </c>
      <c r="S945" s="13">
        <f t="shared" si="788"/>
        <v>8650800.0000001397</v>
      </c>
      <c r="T945">
        <f t="shared" si="785"/>
        <v>288</v>
      </c>
      <c r="U945" s="13">
        <f t="shared" si="786"/>
        <v>8650800.0000001397</v>
      </c>
      <c r="V945" s="112">
        <f t="shared" si="787"/>
        <v>288</v>
      </c>
      <c r="AN945" s="127">
        <v>45324.666666666657</v>
      </c>
      <c r="AO945">
        <v>1</v>
      </c>
      <c r="AP945" s="13">
        <f t="shared" si="789"/>
        <v>8650800.0000001397</v>
      </c>
      <c r="AQ945">
        <f t="shared" si="790"/>
        <v>96</v>
      </c>
      <c r="AR945" s="13">
        <f t="shared" si="791"/>
        <v>8650800.0000001397</v>
      </c>
      <c r="AS945" s="112">
        <f t="shared" si="792"/>
        <v>96</v>
      </c>
    </row>
    <row r="946" spans="17:45" x14ac:dyDescent="0.25">
      <c r="Q946" s="127">
        <v>45324.770833333343</v>
      </c>
      <c r="R946">
        <v>2</v>
      </c>
      <c r="S946" s="13">
        <f t="shared" si="788"/>
        <v>8659800.0000001397</v>
      </c>
      <c r="T946">
        <f t="shared" si="785"/>
        <v>192</v>
      </c>
      <c r="U946" s="13">
        <f t="shared" si="786"/>
        <v>8659800.0000001397</v>
      </c>
      <c r="V946" s="112">
        <f t="shared" si="787"/>
        <v>192</v>
      </c>
      <c r="AN946" s="127">
        <v>45324.770833333343</v>
      </c>
      <c r="AO946">
        <v>1</v>
      </c>
      <c r="AP946" s="13">
        <f t="shared" si="789"/>
        <v>8659800.0000001397</v>
      </c>
      <c r="AQ946">
        <f t="shared" si="790"/>
        <v>96</v>
      </c>
      <c r="AR946" s="13">
        <f t="shared" si="791"/>
        <v>8659800.0000001397</v>
      </c>
      <c r="AS946" s="112">
        <f t="shared" si="792"/>
        <v>96</v>
      </c>
    </row>
    <row r="947" spans="17:45" x14ac:dyDescent="0.25">
      <c r="Q947" s="127">
        <v>45324.875</v>
      </c>
      <c r="R947">
        <v>1</v>
      </c>
      <c r="S947" s="13">
        <f t="shared" si="788"/>
        <v>8668800.0000001397</v>
      </c>
      <c r="T947">
        <f t="shared" si="785"/>
        <v>96</v>
      </c>
      <c r="U947" s="13">
        <f t="shared" si="786"/>
        <v>8668800.0000001397</v>
      </c>
      <c r="V947" s="112">
        <f t="shared" si="787"/>
        <v>96</v>
      </c>
      <c r="AN947" s="127">
        <v>45324.875</v>
      </c>
      <c r="AO947">
        <v>1</v>
      </c>
      <c r="AP947" s="13">
        <f t="shared" si="789"/>
        <v>8668800.0000001397</v>
      </c>
      <c r="AQ947">
        <f t="shared" si="790"/>
        <v>96</v>
      </c>
      <c r="AR947" s="13">
        <f t="shared" si="791"/>
        <v>8668800.0000001397</v>
      </c>
      <c r="AS947" s="112">
        <f t="shared" si="792"/>
        <v>96</v>
      </c>
    </row>
    <row r="948" spans="17:45" x14ac:dyDescent="0.25">
      <c r="Q948" s="127">
        <v>45324.979166666657</v>
      </c>
      <c r="R948">
        <v>0</v>
      </c>
      <c r="S948" s="13">
        <f t="shared" si="788"/>
        <v>8677800.0000001397</v>
      </c>
      <c r="T948">
        <f t="shared" si="785"/>
        <v>0</v>
      </c>
      <c r="U948" s="13">
        <f t="shared" si="786"/>
        <v>8677800.0000001397</v>
      </c>
      <c r="V948" s="112">
        <f t="shared" si="787"/>
        <v>1E-10</v>
      </c>
      <c r="AN948" s="127">
        <v>45324.979166666657</v>
      </c>
      <c r="AO948">
        <v>1</v>
      </c>
      <c r="AP948" s="13">
        <f t="shared" si="789"/>
        <v>8677800.0000001397</v>
      </c>
      <c r="AQ948">
        <f t="shared" si="790"/>
        <v>96</v>
      </c>
      <c r="AR948" s="13">
        <f t="shared" si="791"/>
        <v>8677800.0000001397</v>
      </c>
      <c r="AS948" s="112">
        <f t="shared" si="792"/>
        <v>96</v>
      </c>
    </row>
    <row r="949" spans="17:45" x14ac:dyDescent="0.25">
      <c r="Q949" s="127">
        <v>45325.083333333343</v>
      </c>
      <c r="R949">
        <v>1</v>
      </c>
      <c r="S949" s="13">
        <f t="shared" si="788"/>
        <v>8686800.0000001397</v>
      </c>
      <c r="T949">
        <f t="shared" si="785"/>
        <v>96</v>
      </c>
      <c r="U949" s="13">
        <f t="shared" si="786"/>
        <v>8686800.0000001397</v>
      </c>
      <c r="V949" s="112">
        <f t="shared" si="787"/>
        <v>96</v>
      </c>
      <c r="AN949" s="127">
        <v>45325.083333333343</v>
      </c>
      <c r="AO949">
        <v>1</v>
      </c>
      <c r="AP949" s="13">
        <f t="shared" si="789"/>
        <v>8686800.0000001397</v>
      </c>
      <c r="AQ949">
        <f t="shared" si="790"/>
        <v>96</v>
      </c>
      <c r="AR949" s="13">
        <f t="shared" si="791"/>
        <v>8686800.0000001397</v>
      </c>
      <c r="AS949" s="112">
        <f t="shared" si="792"/>
        <v>96</v>
      </c>
    </row>
    <row r="950" spans="17:45" x14ac:dyDescent="0.25">
      <c r="Q950" s="127">
        <v>45325.1875</v>
      </c>
      <c r="R950">
        <v>1</v>
      </c>
      <c r="S950" s="13">
        <f t="shared" si="788"/>
        <v>8695800.0000001397</v>
      </c>
      <c r="T950">
        <f t="shared" si="785"/>
        <v>96</v>
      </c>
      <c r="U950" s="13">
        <f t="shared" si="786"/>
        <v>8695800.0000001397</v>
      </c>
      <c r="V950" s="112">
        <f t="shared" si="787"/>
        <v>96</v>
      </c>
      <c r="AN950" s="127">
        <v>45325.1875</v>
      </c>
      <c r="AO950">
        <v>1</v>
      </c>
      <c r="AP950" s="13">
        <f t="shared" si="789"/>
        <v>8695800.0000001397</v>
      </c>
      <c r="AQ950">
        <f t="shared" si="790"/>
        <v>96</v>
      </c>
      <c r="AR950" s="13">
        <f t="shared" si="791"/>
        <v>8695800.0000001397</v>
      </c>
      <c r="AS950" s="112">
        <f t="shared" si="792"/>
        <v>96</v>
      </c>
    </row>
    <row r="951" spans="17:45" x14ac:dyDescent="0.25">
      <c r="Q951" s="127">
        <v>45325.291666666657</v>
      </c>
      <c r="R951">
        <v>1</v>
      </c>
      <c r="S951" s="13">
        <f t="shared" si="788"/>
        <v>8704800.0000001397</v>
      </c>
      <c r="T951">
        <f t="shared" si="785"/>
        <v>96</v>
      </c>
      <c r="U951" s="13">
        <f t="shared" si="786"/>
        <v>8704800.0000001397</v>
      </c>
      <c r="V951" s="112">
        <f t="shared" si="787"/>
        <v>96</v>
      </c>
      <c r="AN951" s="127">
        <v>45325.291666666657</v>
      </c>
      <c r="AO951">
        <v>1</v>
      </c>
      <c r="AP951" s="13">
        <f t="shared" si="789"/>
        <v>8704800.0000001397</v>
      </c>
      <c r="AQ951">
        <f t="shared" si="790"/>
        <v>96</v>
      </c>
      <c r="AR951" s="13">
        <f t="shared" si="791"/>
        <v>8704800.0000001397</v>
      </c>
      <c r="AS951" s="112">
        <f t="shared" si="792"/>
        <v>96</v>
      </c>
    </row>
    <row r="952" spans="17:45" x14ac:dyDescent="0.25">
      <c r="Q952" s="127">
        <v>45325.395833333343</v>
      </c>
      <c r="R952">
        <v>1</v>
      </c>
      <c r="S952" s="13">
        <f t="shared" si="788"/>
        <v>8713800.0000001397</v>
      </c>
      <c r="T952">
        <f t="shared" si="785"/>
        <v>96</v>
      </c>
      <c r="U952" s="13">
        <f t="shared" si="786"/>
        <v>8713800.0000001397</v>
      </c>
      <c r="V952" s="112">
        <f t="shared" si="787"/>
        <v>96</v>
      </c>
      <c r="AN952" s="127">
        <v>45325.395833333343</v>
      </c>
      <c r="AO952">
        <v>1</v>
      </c>
      <c r="AP952" s="13">
        <f t="shared" si="789"/>
        <v>8713800.0000001397</v>
      </c>
      <c r="AQ952">
        <f t="shared" si="790"/>
        <v>96</v>
      </c>
      <c r="AR952" s="13">
        <f t="shared" si="791"/>
        <v>8713800.0000001397</v>
      </c>
      <c r="AS952" s="112">
        <f t="shared" si="792"/>
        <v>96</v>
      </c>
    </row>
    <row r="953" spans="17:45" x14ac:dyDescent="0.25">
      <c r="Q953" s="127">
        <v>45325.5</v>
      </c>
      <c r="R953">
        <v>2</v>
      </c>
      <c r="S953" s="13">
        <f t="shared" si="788"/>
        <v>8722800.0000001397</v>
      </c>
      <c r="T953">
        <f t="shared" si="785"/>
        <v>192</v>
      </c>
      <c r="U953" s="13">
        <f t="shared" si="786"/>
        <v>8722800.0000001397</v>
      </c>
      <c r="V953" s="112">
        <f t="shared" si="787"/>
        <v>192</v>
      </c>
      <c r="AN953" s="127">
        <v>45325.5</v>
      </c>
      <c r="AO953">
        <v>1</v>
      </c>
      <c r="AP953" s="13">
        <f t="shared" si="789"/>
        <v>8722800.0000001397</v>
      </c>
      <c r="AQ953">
        <f t="shared" si="790"/>
        <v>96</v>
      </c>
      <c r="AR953" s="13">
        <f t="shared" si="791"/>
        <v>8722800.0000001397</v>
      </c>
      <c r="AS953" s="112">
        <f t="shared" si="792"/>
        <v>96</v>
      </c>
    </row>
    <row r="954" spans="17:45" x14ac:dyDescent="0.25">
      <c r="Q954" s="127">
        <v>45325.604166666657</v>
      </c>
      <c r="R954">
        <v>4</v>
      </c>
      <c r="S954" s="13">
        <f t="shared" si="788"/>
        <v>8731800.0000001397</v>
      </c>
      <c r="T954">
        <f t="shared" si="785"/>
        <v>384</v>
      </c>
      <c r="U954" s="13">
        <f t="shared" si="786"/>
        <v>8731800.0000001397</v>
      </c>
      <c r="V954" s="112">
        <f t="shared" si="787"/>
        <v>384</v>
      </c>
      <c r="AN954" s="127">
        <v>45325.604166666657</v>
      </c>
      <c r="AO954">
        <v>1</v>
      </c>
      <c r="AP954" s="13">
        <f t="shared" si="789"/>
        <v>8731800.0000001397</v>
      </c>
      <c r="AQ954">
        <f t="shared" si="790"/>
        <v>96</v>
      </c>
      <c r="AR954" s="13">
        <f t="shared" si="791"/>
        <v>8731800.0000001397</v>
      </c>
      <c r="AS954" s="112">
        <f t="shared" si="792"/>
        <v>96</v>
      </c>
    </row>
    <row r="955" spans="17:45" x14ac:dyDescent="0.25">
      <c r="Q955" s="127">
        <v>45325.708333333343</v>
      </c>
      <c r="R955">
        <v>3</v>
      </c>
      <c r="S955" s="13">
        <f t="shared" si="788"/>
        <v>8740800.0000001397</v>
      </c>
      <c r="T955">
        <f t="shared" si="785"/>
        <v>288</v>
      </c>
      <c r="U955" s="13">
        <f t="shared" si="786"/>
        <v>8740800.0000001397</v>
      </c>
      <c r="V955" s="112">
        <f t="shared" si="787"/>
        <v>288</v>
      </c>
      <c r="AN955" s="127">
        <v>45325.708333333343</v>
      </c>
      <c r="AO955">
        <v>1</v>
      </c>
      <c r="AP955" s="13">
        <f t="shared" si="789"/>
        <v>8740800.0000001397</v>
      </c>
      <c r="AQ955">
        <f t="shared" si="790"/>
        <v>96</v>
      </c>
      <c r="AR955" s="13">
        <f t="shared" si="791"/>
        <v>8740800.0000001397</v>
      </c>
      <c r="AS955" s="112">
        <f t="shared" si="792"/>
        <v>96</v>
      </c>
    </row>
    <row r="956" spans="17:45" x14ac:dyDescent="0.25">
      <c r="Q956" s="127">
        <v>45325.8125</v>
      </c>
      <c r="R956">
        <v>4</v>
      </c>
      <c r="S956" s="13">
        <f t="shared" si="788"/>
        <v>8749800.0000001397</v>
      </c>
      <c r="T956">
        <f t="shared" si="785"/>
        <v>384</v>
      </c>
      <c r="U956" s="13">
        <f t="shared" si="786"/>
        <v>8749800.0000001397</v>
      </c>
      <c r="V956" s="112">
        <f t="shared" si="787"/>
        <v>384</v>
      </c>
      <c r="AN956" s="127">
        <v>45325.8125</v>
      </c>
      <c r="AO956">
        <v>1</v>
      </c>
      <c r="AP956" s="13">
        <f t="shared" si="789"/>
        <v>8749800.0000001397</v>
      </c>
      <c r="AQ956">
        <f t="shared" si="790"/>
        <v>96</v>
      </c>
      <c r="AR956" s="13">
        <f t="shared" si="791"/>
        <v>8749800.0000001397</v>
      </c>
      <c r="AS956" s="112">
        <f t="shared" si="792"/>
        <v>96</v>
      </c>
    </row>
    <row r="957" spans="17:45" x14ac:dyDescent="0.25">
      <c r="Q957" s="127">
        <v>45325.916666666657</v>
      </c>
      <c r="R957">
        <v>3</v>
      </c>
      <c r="S957" s="13">
        <f t="shared" si="788"/>
        <v>8758800.0000001397</v>
      </c>
      <c r="T957">
        <f t="shared" si="785"/>
        <v>288</v>
      </c>
      <c r="U957" s="13">
        <f t="shared" si="786"/>
        <v>8758800.0000001397</v>
      </c>
      <c r="V957" s="112">
        <f t="shared" si="787"/>
        <v>288</v>
      </c>
      <c r="AN957" s="127">
        <v>45325.916666666657</v>
      </c>
      <c r="AO957">
        <v>1</v>
      </c>
      <c r="AP957" s="13">
        <f t="shared" si="789"/>
        <v>8758800.0000001397</v>
      </c>
      <c r="AQ957">
        <f t="shared" si="790"/>
        <v>96</v>
      </c>
      <c r="AR957" s="13">
        <f t="shared" si="791"/>
        <v>8758800.0000001397</v>
      </c>
      <c r="AS957" s="112">
        <f t="shared" si="792"/>
        <v>96</v>
      </c>
    </row>
    <row r="958" spans="17:45" x14ac:dyDescent="0.25">
      <c r="Q958" s="127">
        <v>45326.020833333343</v>
      </c>
      <c r="R958">
        <v>3</v>
      </c>
      <c r="S958" s="13">
        <f t="shared" si="788"/>
        <v>8767800.0000001397</v>
      </c>
      <c r="T958">
        <f t="shared" si="785"/>
        <v>288</v>
      </c>
      <c r="U958" s="13">
        <f t="shared" si="786"/>
        <v>8767800.0000001397</v>
      </c>
      <c r="V958" s="112">
        <f t="shared" si="787"/>
        <v>288</v>
      </c>
      <c r="AN958" s="127">
        <v>45326.020833333343</v>
      </c>
      <c r="AO958">
        <v>1</v>
      </c>
      <c r="AP958" s="13">
        <f t="shared" si="789"/>
        <v>8767800.0000001397</v>
      </c>
      <c r="AQ958">
        <f t="shared" si="790"/>
        <v>96</v>
      </c>
      <c r="AR958" s="13">
        <f t="shared" si="791"/>
        <v>8767800.0000001397</v>
      </c>
      <c r="AS958" s="112">
        <f t="shared" si="792"/>
        <v>96</v>
      </c>
    </row>
    <row r="959" spans="17:45" x14ac:dyDescent="0.25">
      <c r="Q959" s="127">
        <v>45326.125</v>
      </c>
      <c r="R959">
        <v>3</v>
      </c>
      <c r="S959" s="13">
        <f t="shared" si="788"/>
        <v>8776800.0000001397</v>
      </c>
      <c r="T959">
        <f t="shared" si="785"/>
        <v>288</v>
      </c>
      <c r="U959" s="13">
        <f t="shared" si="786"/>
        <v>8776800.0000001397</v>
      </c>
      <c r="V959" s="112">
        <f t="shared" si="787"/>
        <v>288</v>
      </c>
      <c r="AN959" s="127">
        <v>45326.125</v>
      </c>
      <c r="AO959">
        <v>1</v>
      </c>
      <c r="AP959" s="13">
        <f t="shared" si="789"/>
        <v>8776800.0000001397</v>
      </c>
      <c r="AQ959">
        <f t="shared" si="790"/>
        <v>96</v>
      </c>
      <c r="AR959" s="13">
        <f t="shared" si="791"/>
        <v>8776800.0000001397</v>
      </c>
      <c r="AS959" s="112">
        <f t="shared" si="792"/>
        <v>96</v>
      </c>
    </row>
    <row r="960" spans="17:45" x14ac:dyDescent="0.25">
      <c r="Q960" s="127">
        <v>45326.229166666657</v>
      </c>
      <c r="R960">
        <v>3</v>
      </c>
      <c r="S960" s="13">
        <f t="shared" si="788"/>
        <v>8785800.0000001397</v>
      </c>
      <c r="T960">
        <f t="shared" si="785"/>
        <v>288</v>
      </c>
      <c r="U960" s="13">
        <f t="shared" si="786"/>
        <v>8785800.0000001397</v>
      </c>
      <c r="V960" s="112">
        <f t="shared" si="787"/>
        <v>288</v>
      </c>
      <c r="AN960" s="127">
        <v>45326.229166666657</v>
      </c>
      <c r="AO960">
        <v>1</v>
      </c>
      <c r="AP960" s="13">
        <f t="shared" si="789"/>
        <v>8785800.0000001397</v>
      </c>
      <c r="AQ960">
        <f t="shared" si="790"/>
        <v>96</v>
      </c>
      <c r="AR960" s="13">
        <f t="shared" si="791"/>
        <v>8785800.0000001397</v>
      </c>
      <c r="AS960" s="112">
        <f t="shared" si="792"/>
        <v>96</v>
      </c>
    </row>
    <row r="961" spans="17:45" x14ac:dyDescent="0.25">
      <c r="Q961" s="127">
        <v>45326.333333333343</v>
      </c>
      <c r="R961">
        <v>2</v>
      </c>
      <c r="S961" s="13">
        <f t="shared" si="788"/>
        <v>8794800.0000001397</v>
      </c>
      <c r="T961">
        <f t="shared" si="785"/>
        <v>192</v>
      </c>
      <c r="U961" s="13">
        <f t="shared" si="786"/>
        <v>8794800.0000001397</v>
      </c>
      <c r="V961" s="112">
        <f t="shared" si="787"/>
        <v>192</v>
      </c>
      <c r="AN961" s="127">
        <v>45326.333333333343</v>
      </c>
      <c r="AO961">
        <v>1</v>
      </c>
      <c r="AP961" s="13">
        <f t="shared" si="789"/>
        <v>8794800.0000001397</v>
      </c>
      <c r="AQ961">
        <f t="shared" si="790"/>
        <v>96</v>
      </c>
      <c r="AR961" s="13">
        <f t="shared" si="791"/>
        <v>8794800.0000001397</v>
      </c>
      <c r="AS961" s="112">
        <f t="shared" si="792"/>
        <v>96</v>
      </c>
    </row>
    <row r="962" spans="17:45" x14ac:dyDescent="0.25">
      <c r="Q962" s="127">
        <v>45326.4375</v>
      </c>
      <c r="R962">
        <v>2</v>
      </c>
      <c r="S962" s="13">
        <f t="shared" si="788"/>
        <v>8803800.0000001397</v>
      </c>
      <c r="T962">
        <f t="shared" si="785"/>
        <v>192</v>
      </c>
      <c r="U962" s="13">
        <f t="shared" si="786"/>
        <v>8803800.0000001397</v>
      </c>
      <c r="V962" s="112">
        <f t="shared" si="787"/>
        <v>192</v>
      </c>
      <c r="AN962" s="127">
        <v>45326.4375</v>
      </c>
      <c r="AO962">
        <v>1</v>
      </c>
      <c r="AP962" s="13">
        <f t="shared" si="789"/>
        <v>8803800.0000001397</v>
      </c>
      <c r="AQ962">
        <f t="shared" si="790"/>
        <v>96</v>
      </c>
      <c r="AR962" s="13">
        <f t="shared" si="791"/>
        <v>8803800.0000001397</v>
      </c>
      <c r="AS962" s="112">
        <f t="shared" si="792"/>
        <v>96</v>
      </c>
    </row>
    <row r="963" spans="17:45" x14ac:dyDescent="0.25">
      <c r="Q963" s="127">
        <v>45326.541666666657</v>
      </c>
      <c r="R963">
        <v>2</v>
      </c>
      <c r="S963" s="13">
        <f t="shared" si="788"/>
        <v>8812800.0000001397</v>
      </c>
      <c r="T963">
        <f t="shared" ref="T963:T1026" si="793">R963*96</f>
        <v>192</v>
      </c>
      <c r="U963" s="13">
        <f t="shared" ref="U963:U1026" si="794">S963</f>
        <v>8812800.0000001397</v>
      </c>
      <c r="V963" s="112">
        <f t="shared" ref="V963:V1026" si="795">IF(T963=0,0.0000000001,T963)</f>
        <v>192</v>
      </c>
      <c r="AN963" s="127">
        <v>45326.541666666657</v>
      </c>
      <c r="AO963">
        <v>1</v>
      </c>
      <c r="AP963" s="13">
        <f t="shared" si="789"/>
        <v>8812800.0000001397</v>
      </c>
      <c r="AQ963">
        <f t="shared" si="790"/>
        <v>96</v>
      </c>
      <c r="AR963" s="13">
        <f t="shared" si="791"/>
        <v>8812800.0000001397</v>
      </c>
      <c r="AS963" s="112">
        <f t="shared" si="792"/>
        <v>96</v>
      </c>
    </row>
    <row r="964" spans="17:45" x14ac:dyDescent="0.25">
      <c r="Q964" s="127">
        <v>45326.645833333343</v>
      </c>
      <c r="R964">
        <v>2</v>
      </c>
      <c r="S964" s="13">
        <f t="shared" ref="S964:S1027" si="796">S963+150*60</f>
        <v>8821800.0000001397</v>
      </c>
      <c r="T964">
        <f t="shared" si="793"/>
        <v>192</v>
      </c>
      <c r="U964" s="13">
        <f t="shared" si="794"/>
        <v>8821800.0000001397</v>
      </c>
      <c r="V964" s="112">
        <f t="shared" si="795"/>
        <v>192</v>
      </c>
      <c r="AN964" s="127">
        <v>45326.645833333343</v>
      </c>
      <c r="AO964">
        <v>1</v>
      </c>
      <c r="AP964" s="13">
        <f t="shared" ref="AP964:AP1027" si="797">AP963+150*60</f>
        <v>8821800.0000001397</v>
      </c>
      <c r="AQ964">
        <f t="shared" si="790"/>
        <v>96</v>
      </c>
      <c r="AR964" s="13">
        <f t="shared" si="791"/>
        <v>8821800.0000001397</v>
      </c>
      <c r="AS964" s="112">
        <f t="shared" si="792"/>
        <v>96</v>
      </c>
    </row>
    <row r="965" spans="17:45" x14ac:dyDescent="0.25">
      <c r="Q965" s="127">
        <v>45326.75</v>
      </c>
      <c r="R965">
        <v>3</v>
      </c>
      <c r="S965" s="13">
        <f t="shared" si="796"/>
        <v>8830800.0000001397</v>
      </c>
      <c r="T965">
        <f t="shared" si="793"/>
        <v>288</v>
      </c>
      <c r="U965" s="13">
        <f t="shared" si="794"/>
        <v>8830800.0000001397</v>
      </c>
      <c r="V965" s="112">
        <f t="shared" si="795"/>
        <v>288</v>
      </c>
      <c r="AN965" s="127">
        <v>45326.75</v>
      </c>
      <c r="AO965">
        <v>1</v>
      </c>
      <c r="AP965" s="13">
        <f t="shared" si="797"/>
        <v>8830800.0000001397</v>
      </c>
      <c r="AQ965">
        <f t="shared" si="790"/>
        <v>96</v>
      </c>
      <c r="AR965" s="13">
        <f t="shared" si="791"/>
        <v>8830800.0000001397</v>
      </c>
      <c r="AS965" s="112">
        <f t="shared" si="792"/>
        <v>96</v>
      </c>
    </row>
    <row r="966" spans="17:45" x14ac:dyDescent="0.25">
      <c r="Q966" s="127">
        <v>45326.854166666657</v>
      </c>
      <c r="R966">
        <v>2</v>
      </c>
      <c r="S966" s="13">
        <f t="shared" si="796"/>
        <v>8839800.0000001397</v>
      </c>
      <c r="T966">
        <f t="shared" si="793"/>
        <v>192</v>
      </c>
      <c r="U966" s="13">
        <f t="shared" si="794"/>
        <v>8839800.0000001397</v>
      </c>
      <c r="V966" s="112">
        <f t="shared" si="795"/>
        <v>192</v>
      </c>
      <c r="AN966" s="127">
        <v>45326.854166666657</v>
      </c>
      <c r="AO966">
        <v>1</v>
      </c>
      <c r="AP966" s="13">
        <f t="shared" si="797"/>
        <v>8839800.0000001397</v>
      </c>
      <c r="AQ966">
        <f t="shared" si="790"/>
        <v>96</v>
      </c>
      <c r="AR966" s="13">
        <f t="shared" si="791"/>
        <v>8839800.0000001397</v>
      </c>
      <c r="AS966" s="112">
        <f t="shared" si="792"/>
        <v>96</v>
      </c>
    </row>
    <row r="967" spans="17:45" x14ac:dyDescent="0.25">
      <c r="Q967" s="127">
        <v>45326.958333333343</v>
      </c>
      <c r="R967">
        <v>3</v>
      </c>
      <c r="S967" s="13">
        <f t="shared" si="796"/>
        <v>8848800.0000001397</v>
      </c>
      <c r="T967">
        <f t="shared" si="793"/>
        <v>288</v>
      </c>
      <c r="U967" s="13">
        <f t="shared" si="794"/>
        <v>8848800.0000001397</v>
      </c>
      <c r="V967" s="112">
        <f t="shared" si="795"/>
        <v>288</v>
      </c>
      <c r="AN967" s="127">
        <v>45326.958333333343</v>
      </c>
      <c r="AO967">
        <v>1</v>
      </c>
      <c r="AP967" s="13">
        <f t="shared" si="797"/>
        <v>8848800.0000001397</v>
      </c>
      <c r="AQ967">
        <f t="shared" si="790"/>
        <v>96</v>
      </c>
      <c r="AR967" s="13">
        <f t="shared" si="791"/>
        <v>8848800.0000001397</v>
      </c>
      <c r="AS967" s="112">
        <f t="shared" si="792"/>
        <v>96</v>
      </c>
    </row>
    <row r="968" spans="17:45" x14ac:dyDescent="0.25">
      <c r="Q968" s="127">
        <v>45327.0625</v>
      </c>
      <c r="R968">
        <v>3</v>
      </c>
      <c r="S968" s="13">
        <f t="shared" si="796"/>
        <v>8857800.0000001397</v>
      </c>
      <c r="T968">
        <f t="shared" si="793"/>
        <v>288</v>
      </c>
      <c r="U968" s="13">
        <f t="shared" si="794"/>
        <v>8857800.0000001397</v>
      </c>
      <c r="V968" s="112">
        <f t="shared" si="795"/>
        <v>288</v>
      </c>
      <c r="AN968" s="127">
        <v>45327.0625</v>
      </c>
      <c r="AO968">
        <v>1</v>
      </c>
      <c r="AP968" s="13">
        <f t="shared" si="797"/>
        <v>8857800.0000001397</v>
      </c>
      <c r="AQ968">
        <f t="shared" si="790"/>
        <v>96</v>
      </c>
      <c r="AR968" s="13">
        <f t="shared" si="791"/>
        <v>8857800.0000001397</v>
      </c>
      <c r="AS968" s="112">
        <f t="shared" si="792"/>
        <v>96</v>
      </c>
    </row>
    <row r="969" spans="17:45" x14ac:dyDescent="0.25">
      <c r="Q969" s="127">
        <v>45327.166666666657</v>
      </c>
      <c r="R969">
        <v>2</v>
      </c>
      <c r="S969" s="13">
        <f t="shared" si="796"/>
        <v>8866800.0000001397</v>
      </c>
      <c r="T969">
        <f t="shared" si="793"/>
        <v>192</v>
      </c>
      <c r="U969" s="13">
        <f t="shared" si="794"/>
        <v>8866800.0000001397</v>
      </c>
      <c r="V969" s="112">
        <f t="shared" si="795"/>
        <v>192</v>
      </c>
      <c r="AN969" s="127">
        <v>45327.166666666657</v>
      </c>
      <c r="AO969">
        <v>1</v>
      </c>
      <c r="AP969" s="13">
        <f t="shared" si="797"/>
        <v>8866800.0000001397</v>
      </c>
      <c r="AQ969">
        <f t="shared" si="790"/>
        <v>96</v>
      </c>
      <c r="AR969" s="13">
        <f t="shared" si="791"/>
        <v>8866800.0000001397</v>
      </c>
      <c r="AS969" s="112">
        <f t="shared" si="792"/>
        <v>96</v>
      </c>
    </row>
    <row r="970" spans="17:45" x14ac:dyDescent="0.25">
      <c r="Q970" s="127">
        <v>45327.270833333343</v>
      </c>
      <c r="R970">
        <v>2</v>
      </c>
      <c r="S970" s="13">
        <f t="shared" si="796"/>
        <v>8875800.0000001397</v>
      </c>
      <c r="T970">
        <f t="shared" si="793"/>
        <v>192</v>
      </c>
      <c r="U970" s="13">
        <f t="shared" si="794"/>
        <v>8875800.0000001397</v>
      </c>
      <c r="V970" s="112">
        <f t="shared" si="795"/>
        <v>192</v>
      </c>
      <c r="AN970" s="127">
        <v>45327.270833333343</v>
      </c>
      <c r="AO970">
        <v>1</v>
      </c>
      <c r="AP970" s="13">
        <f t="shared" si="797"/>
        <v>8875800.0000001397</v>
      </c>
      <c r="AQ970">
        <f t="shared" si="790"/>
        <v>96</v>
      </c>
      <c r="AR970" s="13">
        <f t="shared" si="791"/>
        <v>8875800.0000001397</v>
      </c>
      <c r="AS970" s="112">
        <f t="shared" si="792"/>
        <v>96</v>
      </c>
    </row>
    <row r="971" spans="17:45" x14ac:dyDescent="0.25">
      <c r="Q971" s="127">
        <v>45327.375</v>
      </c>
      <c r="R971">
        <v>2</v>
      </c>
      <c r="S971" s="13">
        <f t="shared" si="796"/>
        <v>8884800.0000001397</v>
      </c>
      <c r="T971">
        <f t="shared" si="793"/>
        <v>192</v>
      </c>
      <c r="U971" s="13">
        <f t="shared" si="794"/>
        <v>8884800.0000001397</v>
      </c>
      <c r="V971" s="112">
        <f t="shared" si="795"/>
        <v>192</v>
      </c>
      <c r="AN971" s="127">
        <v>45327.375</v>
      </c>
      <c r="AO971">
        <v>1</v>
      </c>
      <c r="AP971" s="13">
        <f t="shared" si="797"/>
        <v>8884800.0000001397</v>
      </c>
      <c r="AQ971">
        <f t="shared" si="790"/>
        <v>96</v>
      </c>
      <c r="AR971" s="13">
        <f t="shared" si="791"/>
        <v>8884800.0000001397</v>
      </c>
      <c r="AS971" s="112">
        <f t="shared" si="792"/>
        <v>96</v>
      </c>
    </row>
    <row r="972" spans="17:45" x14ac:dyDescent="0.25">
      <c r="Q972" s="127">
        <v>45327.479166666657</v>
      </c>
      <c r="R972">
        <v>3</v>
      </c>
      <c r="S972" s="13">
        <f t="shared" si="796"/>
        <v>8893800.0000001397</v>
      </c>
      <c r="T972">
        <f t="shared" si="793"/>
        <v>288</v>
      </c>
      <c r="U972" s="13">
        <f t="shared" si="794"/>
        <v>8893800.0000001397</v>
      </c>
      <c r="V972" s="112">
        <f t="shared" si="795"/>
        <v>288</v>
      </c>
      <c r="AN972" s="127">
        <v>45327.479166666657</v>
      </c>
      <c r="AO972">
        <v>1</v>
      </c>
      <c r="AP972" s="13">
        <f t="shared" si="797"/>
        <v>8893800.0000001397</v>
      </c>
      <c r="AQ972">
        <f t="shared" si="790"/>
        <v>96</v>
      </c>
      <c r="AR972" s="13">
        <f t="shared" si="791"/>
        <v>8893800.0000001397</v>
      </c>
      <c r="AS972" s="112">
        <f t="shared" si="792"/>
        <v>96</v>
      </c>
    </row>
    <row r="973" spans="17:45" x14ac:dyDescent="0.25">
      <c r="Q973" s="127">
        <v>45327.583333333343</v>
      </c>
      <c r="R973">
        <v>3</v>
      </c>
      <c r="S973" s="13">
        <f t="shared" si="796"/>
        <v>8902800.0000001397</v>
      </c>
      <c r="T973">
        <f t="shared" si="793"/>
        <v>288</v>
      </c>
      <c r="U973" s="13">
        <f t="shared" si="794"/>
        <v>8902800.0000001397</v>
      </c>
      <c r="V973" s="112">
        <f t="shared" si="795"/>
        <v>288</v>
      </c>
      <c r="AN973" s="127">
        <v>45327.583333333343</v>
      </c>
      <c r="AO973">
        <v>1</v>
      </c>
      <c r="AP973" s="13">
        <f t="shared" si="797"/>
        <v>8902800.0000001397</v>
      </c>
      <c r="AQ973">
        <f t="shared" si="790"/>
        <v>96</v>
      </c>
      <c r="AR973" s="13">
        <f t="shared" si="791"/>
        <v>8902800.0000001397</v>
      </c>
      <c r="AS973" s="112">
        <f t="shared" si="792"/>
        <v>96</v>
      </c>
    </row>
    <row r="974" spans="17:45" x14ac:dyDescent="0.25">
      <c r="Q974" s="127">
        <v>45327.6875</v>
      </c>
      <c r="R974">
        <v>3</v>
      </c>
      <c r="S974" s="13">
        <f t="shared" si="796"/>
        <v>8911800.0000001397</v>
      </c>
      <c r="T974">
        <f t="shared" si="793"/>
        <v>288</v>
      </c>
      <c r="U974" s="13">
        <f t="shared" si="794"/>
        <v>8911800.0000001397</v>
      </c>
      <c r="V974" s="112">
        <f t="shared" si="795"/>
        <v>288</v>
      </c>
      <c r="AN974" s="127">
        <v>45327.6875</v>
      </c>
      <c r="AO974">
        <v>1</v>
      </c>
      <c r="AP974" s="13">
        <f t="shared" si="797"/>
        <v>8911800.0000001397</v>
      </c>
      <c r="AQ974">
        <f t="shared" si="790"/>
        <v>96</v>
      </c>
      <c r="AR974" s="13">
        <f t="shared" si="791"/>
        <v>8911800.0000001397</v>
      </c>
      <c r="AS974" s="112">
        <f t="shared" si="792"/>
        <v>96</v>
      </c>
    </row>
    <row r="975" spans="17:45" x14ac:dyDescent="0.25">
      <c r="Q975" s="127">
        <v>45327.791666666657</v>
      </c>
      <c r="R975">
        <v>0</v>
      </c>
      <c r="S975" s="13">
        <f t="shared" si="796"/>
        <v>8920800.0000001397</v>
      </c>
      <c r="T975">
        <f t="shared" si="793"/>
        <v>0</v>
      </c>
      <c r="U975" s="13">
        <f t="shared" si="794"/>
        <v>8920800.0000001397</v>
      </c>
      <c r="V975" s="112">
        <f t="shared" si="795"/>
        <v>1E-10</v>
      </c>
      <c r="AN975" s="127">
        <v>45327.791666666657</v>
      </c>
      <c r="AO975">
        <v>1</v>
      </c>
      <c r="AP975" s="13">
        <f t="shared" si="797"/>
        <v>8920800.0000001397</v>
      </c>
      <c r="AQ975">
        <f t="shared" si="790"/>
        <v>96</v>
      </c>
      <c r="AR975" s="13">
        <f t="shared" si="791"/>
        <v>8920800.0000001397</v>
      </c>
      <c r="AS975" s="112">
        <f t="shared" si="792"/>
        <v>96</v>
      </c>
    </row>
    <row r="976" spans="17:45" x14ac:dyDescent="0.25">
      <c r="Q976" s="127">
        <v>45327.895833333343</v>
      </c>
      <c r="R976">
        <v>0</v>
      </c>
      <c r="S976" s="13">
        <f t="shared" si="796"/>
        <v>8929800.0000001397</v>
      </c>
      <c r="T976">
        <f t="shared" si="793"/>
        <v>0</v>
      </c>
      <c r="U976" s="13">
        <f t="shared" si="794"/>
        <v>8929800.0000001397</v>
      </c>
      <c r="V976" s="112">
        <f t="shared" si="795"/>
        <v>1E-10</v>
      </c>
      <c r="AN976" s="127">
        <v>45327.895833333343</v>
      </c>
      <c r="AO976">
        <v>1</v>
      </c>
      <c r="AP976" s="13">
        <f t="shared" si="797"/>
        <v>8929800.0000001397</v>
      </c>
      <c r="AQ976">
        <f t="shared" si="790"/>
        <v>96</v>
      </c>
      <c r="AR976" s="13">
        <f t="shared" si="791"/>
        <v>8929800.0000001397</v>
      </c>
      <c r="AS976" s="112">
        <f t="shared" si="792"/>
        <v>96</v>
      </c>
    </row>
    <row r="977" spans="17:45" x14ac:dyDescent="0.25">
      <c r="Q977" s="127">
        <v>45328</v>
      </c>
      <c r="R977">
        <v>0</v>
      </c>
      <c r="S977" s="13">
        <f t="shared" si="796"/>
        <v>8938800.0000001397</v>
      </c>
      <c r="T977">
        <f t="shared" si="793"/>
        <v>0</v>
      </c>
      <c r="U977" s="13">
        <f t="shared" si="794"/>
        <v>8938800.0000001397</v>
      </c>
      <c r="V977" s="112">
        <f t="shared" si="795"/>
        <v>1E-10</v>
      </c>
      <c r="AN977" s="127">
        <v>45328</v>
      </c>
      <c r="AO977">
        <v>1</v>
      </c>
      <c r="AP977" s="13">
        <f t="shared" si="797"/>
        <v>8938800.0000001397</v>
      </c>
      <c r="AQ977">
        <f t="shared" si="790"/>
        <v>96</v>
      </c>
      <c r="AR977" s="13">
        <f t="shared" si="791"/>
        <v>8938800.0000001397</v>
      </c>
      <c r="AS977" s="112">
        <f t="shared" si="792"/>
        <v>96</v>
      </c>
    </row>
    <row r="978" spans="17:45" x14ac:dyDescent="0.25">
      <c r="Q978" s="127">
        <v>45328.104166666657</v>
      </c>
      <c r="R978">
        <v>1</v>
      </c>
      <c r="S978" s="13">
        <f t="shared" si="796"/>
        <v>8947800.0000001397</v>
      </c>
      <c r="T978">
        <f t="shared" si="793"/>
        <v>96</v>
      </c>
      <c r="U978" s="13">
        <f t="shared" si="794"/>
        <v>8947800.0000001397</v>
      </c>
      <c r="V978" s="112">
        <f t="shared" si="795"/>
        <v>96</v>
      </c>
      <c r="AN978" s="127">
        <v>45328.104166666657</v>
      </c>
      <c r="AO978">
        <v>1</v>
      </c>
      <c r="AP978" s="13">
        <f t="shared" si="797"/>
        <v>8947800.0000001397</v>
      </c>
      <c r="AQ978">
        <f t="shared" si="790"/>
        <v>96</v>
      </c>
      <c r="AR978" s="13">
        <f t="shared" si="791"/>
        <v>8947800.0000001397</v>
      </c>
      <c r="AS978" s="112">
        <f t="shared" si="792"/>
        <v>96</v>
      </c>
    </row>
    <row r="979" spans="17:45" x14ac:dyDescent="0.25">
      <c r="Q979" s="127">
        <v>45328.208333333343</v>
      </c>
      <c r="R979">
        <v>4</v>
      </c>
      <c r="S979" s="13">
        <f t="shared" si="796"/>
        <v>8956800.0000001397</v>
      </c>
      <c r="T979">
        <f t="shared" si="793"/>
        <v>384</v>
      </c>
      <c r="U979" s="13">
        <f t="shared" si="794"/>
        <v>8956800.0000001397</v>
      </c>
      <c r="V979" s="112">
        <f t="shared" si="795"/>
        <v>384</v>
      </c>
      <c r="AN979" s="127">
        <v>45328.208333333343</v>
      </c>
      <c r="AO979">
        <v>1</v>
      </c>
      <c r="AP979" s="13">
        <f t="shared" si="797"/>
        <v>8956800.0000001397</v>
      </c>
      <c r="AQ979">
        <f t="shared" si="790"/>
        <v>96</v>
      </c>
      <c r="AR979" s="13">
        <f t="shared" si="791"/>
        <v>8956800.0000001397</v>
      </c>
      <c r="AS979" s="112">
        <f t="shared" si="792"/>
        <v>96</v>
      </c>
    </row>
    <row r="980" spans="17:45" x14ac:dyDescent="0.25">
      <c r="Q980" s="127">
        <v>45328.3125</v>
      </c>
      <c r="R980">
        <v>5</v>
      </c>
      <c r="S980" s="13">
        <f t="shared" si="796"/>
        <v>8965800.0000001397</v>
      </c>
      <c r="T980">
        <f t="shared" si="793"/>
        <v>480</v>
      </c>
      <c r="U980" s="13">
        <f t="shared" si="794"/>
        <v>8965800.0000001397</v>
      </c>
      <c r="V980" s="112">
        <f t="shared" si="795"/>
        <v>480</v>
      </c>
      <c r="AN980" s="127">
        <v>45328.3125</v>
      </c>
      <c r="AO980">
        <v>1</v>
      </c>
      <c r="AP980" s="13">
        <f t="shared" si="797"/>
        <v>8965800.0000001397</v>
      </c>
      <c r="AQ980">
        <f t="shared" si="790"/>
        <v>96</v>
      </c>
      <c r="AR980" s="13">
        <f t="shared" si="791"/>
        <v>8965800.0000001397</v>
      </c>
      <c r="AS980" s="112">
        <f t="shared" si="792"/>
        <v>96</v>
      </c>
    </row>
    <row r="981" spans="17:45" x14ac:dyDescent="0.25">
      <c r="Q981" s="127">
        <v>45328.416666666657</v>
      </c>
      <c r="R981">
        <v>5</v>
      </c>
      <c r="S981" s="13">
        <f t="shared" si="796"/>
        <v>8974800.0000001397</v>
      </c>
      <c r="T981">
        <f t="shared" si="793"/>
        <v>480</v>
      </c>
      <c r="U981" s="13">
        <f t="shared" si="794"/>
        <v>8974800.0000001397</v>
      </c>
      <c r="V981" s="112">
        <f t="shared" si="795"/>
        <v>480</v>
      </c>
      <c r="AN981" s="127">
        <v>45328.416666666657</v>
      </c>
      <c r="AO981">
        <v>1</v>
      </c>
      <c r="AP981" s="13">
        <f t="shared" si="797"/>
        <v>8974800.0000001397</v>
      </c>
      <c r="AQ981">
        <f t="shared" si="790"/>
        <v>96</v>
      </c>
      <c r="AR981" s="13">
        <f t="shared" si="791"/>
        <v>8974800.0000001397</v>
      </c>
      <c r="AS981" s="112">
        <f t="shared" si="792"/>
        <v>96</v>
      </c>
    </row>
    <row r="982" spans="17:45" x14ac:dyDescent="0.25">
      <c r="Q982" s="127">
        <v>45328.520833333343</v>
      </c>
      <c r="R982">
        <v>3</v>
      </c>
      <c r="S982" s="13">
        <f t="shared" si="796"/>
        <v>8983800.0000001397</v>
      </c>
      <c r="T982">
        <f t="shared" si="793"/>
        <v>288</v>
      </c>
      <c r="U982" s="13">
        <f t="shared" si="794"/>
        <v>8983800.0000001397</v>
      </c>
      <c r="V982" s="112">
        <f t="shared" si="795"/>
        <v>288</v>
      </c>
      <c r="AN982" s="127">
        <v>45328.520833333343</v>
      </c>
      <c r="AO982">
        <v>1</v>
      </c>
      <c r="AP982" s="13">
        <f t="shared" si="797"/>
        <v>8983800.0000001397</v>
      </c>
      <c r="AQ982">
        <f t="shared" si="790"/>
        <v>96</v>
      </c>
      <c r="AR982" s="13">
        <f t="shared" si="791"/>
        <v>8983800.0000001397</v>
      </c>
      <c r="AS982" s="112">
        <f t="shared" si="792"/>
        <v>96</v>
      </c>
    </row>
    <row r="983" spans="17:45" x14ac:dyDescent="0.25">
      <c r="Q983" s="127">
        <v>45328.625</v>
      </c>
      <c r="R983">
        <v>0</v>
      </c>
      <c r="S983" s="13">
        <f t="shared" si="796"/>
        <v>8992800.0000001397</v>
      </c>
      <c r="T983">
        <f t="shared" si="793"/>
        <v>0</v>
      </c>
      <c r="U983" s="13">
        <f t="shared" si="794"/>
        <v>8992800.0000001397</v>
      </c>
      <c r="V983" s="112">
        <f t="shared" si="795"/>
        <v>1E-10</v>
      </c>
      <c r="AN983" s="127">
        <v>45328.625</v>
      </c>
      <c r="AO983">
        <v>1</v>
      </c>
      <c r="AP983" s="13">
        <f t="shared" si="797"/>
        <v>8992800.0000001397</v>
      </c>
      <c r="AQ983">
        <f t="shared" si="790"/>
        <v>96</v>
      </c>
      <c r="AR983" s="13">
        <f t="shared" si="791"/>
        <v>8992800.0000001397</v>
      </c>
      <c r="AS983" s="112">
        <f t="shared" si="792"/>
        <v>96</v>
      </c>
    </row>
    <row r="984" spans="17:45" x14ac:dyDescent="0.25">
      <c r="Q984" s="127">
        <v>45328.729166666657</v>
      </c>
      <c r="R984">
        <v>0</v>
      </c>
      <c r="S984" s="13">
        <f t="shared" si="796"/>
        <v>9001800.0000001397</v>
      </c>
      <c r="T984">
        <f t="shared" si="793"/>
        <v>0</v>
      </c>
      <c r="U984" s="13">
        <f t="shared" si="794"/>
        <v>9001800.0000001397</v>
      </c>
      <c r="V984" s="112">
        <f t="shared" si="795"/>
        <v>1E-10</v>
      </c>
      <c r="AN984" s="127">
        <v>45328.729166666657</v>
      </c>
      <c r="AO984">
        <v>1</v>
      </c>
      <c r="AP984" s="13">
        <f t="shared" si="797"/>
        <v>9001800.0000001397</v>
      </c>
      <c r="AQ984">
        <f t="shared" si="790"/>
        <v>96</v>
      </c>
      <c r="AR984" s="13">
        <f t="shared" si="791"/>
        <v>9001800.0000001397</v>
      </c>
      <c r="AS984" s="112">
        <f t="shared" si="792"/>
        <v>96</v>
      </c>
    </row>
    <row r="985" spans="17:45" x14ac:dyDescent="0.25">
      <c r="Q985" s="127">
        <v>45328.833333333343</v>
      </c>
      <c r="R985">
        <v>0</v>
      </c>
      <c r="S985" s="13">
        <f t="shared" si="796"/>
        <v>9010800.0000001397</v>
      </c>
      <c r="T985">
        <f t="shared" si="793"/>
        <v>0</v>
      </c>
      <c r="U985" s="13">
        <f t="shared" si="794"/>
        <v>9010800.0000001397</v>
      </c>
      <c r="V985" s="112">
        <f t="shared" si="795"/>
        <v>1E-10</v>
      </c>
      <c r="AN985" s="127">
        <v>45328.833333333343</v>
      </c>
      <c r="AO985">
        <v>0</v>
      </c>
      <c r="AP985" s="13">
        <f t="shared" si="797"/>
        <v>9010800.0000001397</v>
      </c>
      <c r="AQ985">
        <f t="shared" si="790"/>
        <v>0</v>
      </c>
      <c r="AR985" s="13">
        <f t="shared" si="791"/>
        <v>9010800.0000001397</v>
      </c>
      <c r="AS985" s="112">
        <f t="shared" si="792"/>
        <v>1E-10</v>
      </c>
    </row>
    <row r="986" spans="17:45" x14ac:dyDescent="0.25">
      <c r="Q986" s="127">
        <v>45328.9375</v>
      </c>
      <c r="R986">
        <v>0</v>
      </c>
      <c r="S986" s="13">
        <f t="shared" si="796"/>
        <v>9019800.0000001397</v>
      </c>
      <c r="T986">
        <f t="shared" si="793"/>
        <v>0</v>
      </c>
      <c r="U986" s="13">
        <f t="shared" si="794"/>
        <v>9019800.0000001397</v>
      </c>
      <c r="V986" s="112">
        <f t="shared" si="795"/>
        <v>1E-10</v>
      </c>
      <c r="AN986" s="127">
        <v>45328.9375</v>
      </c>
      <c r="AO986">
        <v>1</v>
      </c>
      <c r="AP986" s="13">
        <f t="shared" si="797"/>
        <v>9019800.0000001397</v>
      </c>
      <c r="AQ986">
        <f t="shared" si="790"/>
        <v>96</v>
      </c>
      <c r="AR986" s="13">
        <f t="shared" si="791"/>
        <v>9019800.0000001397</v>
      </c>
      <c r="AS986" s="112">
        <f t="shared" si="792"/>
        <v>96</v>
      </c>
    </row>
    <row r="987" spans="17:45" x14ac:dyDescent="0.25">
      <c r="Q987" s="127">
        <v>45329.041666666657</v>
      </c>
      <c r="R987">
        <v>0</v>
      </c>
      <c r="S987" s="13">
        <f t="shared" si="796"/>
        <v>9028800.0000001397</v>
      </c>
      <c r="T987">
        <f t="shared" si="793"/>
        <v>0</v>
      </c>
      <c r="U987" s="13">
        <f t="shared" si="794"/>
        <v>9028800.0000001397</v>
      </c>
      <c r="V987" s="112">
        <f t="shared" si="795"/>
        <v>1E-10</v>
      </c>
      <c r="AN987" s="127">
        <v>45329.041666666657</v>
      </c>
      <c r="AO987">
        <v>1</v>
      </c>
      <c r="AP987" s="13">
        <f t="shared" si="797"/>
        <v>9028800.0000001397</v>
      </c>
      <c r="AQ987">
        <f t="shared" si="790"/>
        <v>96</v>
      </c>
      <c r="AR987" s="13">
        <f t="shared" si="791"/>
        <v>9028800.0000001397</v>
      </c>
      <c r="AS987" s="112">
        <f t="shared" si="792"/>
        <v>96</v>
      </c>
    </row>
    <row r="988" spans="17:45" x14ac:dyDescent="0.25">
      <c r="Q988" s="127">
        <v>45329.145833333343</v>
      </c>
      <c r="R988">
        <v>0</v>
      </c>
      <c r="S988" s="13">
        <f t="shared" si="796"/>
        <v>9037800.0000001397</v>
      </c>
      <c r="T988">
        <f t="shared" si="793"/>
        <v>0</v>
      </c>
      <c r="U988" s="13">
        <f t="shared" si="794"/>
        <v>9037800.0000001397</v>
      </c>
      <c r="V988" s="112">
        <f t="shared" si="795"/>
        <v>1E-10</v>
      </c>
      <c r="AN988" s="127">
        <v>45329.145833333343</v>
      </c>
      <c r="AO988">
        <v>1</v>
      </c>
      <c r="AP988" s="13">
        <f t="shared" si="797"/>
        <v>9037800.0000001397</v>
      </c>
      <c r="AQ988">
        <f t="shared" si="790"/>
        <v>96</v>
      </c>
      <c r="AR988" s="13">
        <f t="shared" si="791"/>
        <v>9037800.0000001397</v>
      </c>
      <c r="AS988" s="112">
        <f t="shared" si="792"/>
        <v>96</v>
      </c>
    </row>
    <row r="989" spans="17:45" x14ac:dyDescent="0.25">
      <c r="Q989" s="127">
        <v>45329.25</v>
      </c>
      <c r="R989">
        <v>1</v>
      </c>
      <c r="S989" s="13">
        <f t="shared" si="796"/>
        <v>9046800.0000001397</v>
      </c>
      <c r="T989">
        <f t="shared" si="793"/>
        <v>96</v>
      </c>
      <c r="U989" s="13">
        <f t="shared" si="794"/>
        <v>9046800.0000001397</v>
      </c>
      <c r="V989" s="112">
        <f t="shared" si="795"/>
        <v>96</v>
      </c>
      <c r="AN989" s="127">
        <v>45329.25</v>
      </c>
      <c r="AO989">
        <v>1</v>
      </c>
      <c r="AP989" s="13">
        <f t="shared" si="797"/>
        <v>9046800.0000001397</v>
      </c>
      <c r="AQ989">
        <f t="shared" si="790"/>
        <v>96</v>
      </c>
      <c r="AR989" s="13">
        <f t="shared" si="791"/>
        <v>9046800.0000001397</v>
      </c>
      <c r="AS989" s="112">
        <f t="shared" si="792"/>
        <v>96</v>
      </c>
    </row>
    <row r="990" spans="17:45" x14ac:dyDescent="0.25">
      <c r="Q990" s="127">
        <v>45329.354166666657</v>
      </c>
      <c r="R990">
        <v>2</v>
      </c>
      <c r="S990" s="13">
        <f t="shared" si="796"/>
        <v>9055800.0000001397</v>
      </c>
      <c r="T990">
        <f t="shared" si="793"/>
        <v>192</v>
      </c>
      <c r="U990" s="13">
        <f t="shared" si="794"/>
        <v>9055800.0000001397</v>
      </c>
      <c r="V990" s="112">
        <f t="shared" si="795"/>
        <v>192</v>
      </c>
      <c r="AN990" s="127">
        <v>45329.354166666657</v>
      </c>
      <c r="AO990">
        <v>1</v>
      </c>
      <c r="AP990" s="13">
        <f t="shared" si="797"/>
        <v>9055800.0000001397</v>
      </c>
      <c r="AQ990">
        <f t="shared" si="790"/>
        <v>96</v>
      </c>
      <c r="AR990" s="13">
        <f t="shared" si="791"/>
        <v>9055800.0000001397</v>
      </c>
      <c r="AS990" s="112">
        <f t="shared" si="792"/>
        <v>96</v>
      </c>
    </row>
    <row r="991" spans="17:45" x14ac:dyDescent="0.25">
      <c r="Q991" s="127">
        <v>45329.458333333343</v>
      </c>
      <c r="R991">
        <v>2</v>
      </c>
      <c r="S991" s="13">
        <f t="shared" si="796"/>
        <v>9064800.0000001397</v>
      </c>
      <c r="T991">
        <f t="shared" si="793"/>
        <v>192</v>
      </c>
      <c r="U991" s="13">
        <f t="shared" si="794"/>
        <v>9064800.0000001397</v>
      </c>
      <c r="V991" s="112">
        <f t="shared" si="795"/>
        <v>192</v>
      </c>
      <c r="AN991" s="127">
        <v>45329.458333333343</v>
      </c>
      <c r="AO991">
        <v>1</v>
      </c>
      <c r="AP991" s="13">
        <f t="shared" si="797"/>
        <v>9064800.0000001397</v>
      </c>
      <c r="AQ991">
        <f t="shared" si="790"/>
        <v>96</v>
      </c>
      <c r="AR991" s="13">
        <f t="shared" si="791"/>
        <v>9064800.0000001397</v>
      </c>
      <c r="AS991" s="112">
        <f t="shared" si="792"/>
        <v>96</v>
      </c>
    </row>
    <row r="992" spans="17:45" x14ac:dyDescent="0.25">
      <c r="Q992" s="127">
        <v>45329.5625</v>
      </c>
      <c r="R992">
        <v>2</v>
      </c>
      <c r="S992" s="13">
        <f t="shared" si="796"/>
        <v>9073800.0000001397</v>
      </c>
      <c r="T992">
        <f t="shared" si="793"/>
        <v>192</v>
      </c>
      <c r="U992" s="13">
        <f t="shared" si="794"/>
        <v>9073800.0000001397</v>
      </c>
      <c r="V992" s="112">
        <f t="shared" si="795"/>
        <v>192</v>
      </c>
      <c r="AN992" s="127">
        <v>45329.5625</v>
      </c>
      <c r="AO992">
        <v>1</v>
      </c>
      <c r="AP992" s="13">
        <f t="shared" si="797"/>
        <v>9073800.0000001397</v>
      </c>
      <c r="AQ992">
        <f t="shared" si="790"/>
        <v>96</v>
      </c>
      <c r="AR992" s="13">
        <f t="shared" si="791"/>
        <v>9073800.0000001397</v>
      </c>
      <c r="AS992" s="112">
        <f t="shared" si="792"/>
        <v>96</v>
      </c>
    </row>
    <row r="993" spans="17:45" x14ac:dyDescent="0.25">
      <c r="Q993" s="127">
        <v>45329.666666666657</v>
      </c>
      <c r="R993">
        <v>2</v>
      </c>
      <c r="S993" s="13">
        <f t="shared" si="796"/>
        <v>9082800.0000001397</v>
      </c>
      <c r="T993">
        <f t="shared" si="793"/>
        <v>192</v>
      </c>
      <c r="U993" s="13">
        <f t="shared" si="794"/>
        <v>9082800.0000001397</v>
      </c>
      <c r="V993" s="112">
        <f t="shared" si="795"/>
        <v>192</v>
      </c>
      <c r="AN993" s="127">
        <v>45329.666666666657</v>
      </c>
      <c r="AO993">
        <v>1</v>
      </c>
      <c r="AP993" s="13">
        <f t="shared" si="797"/>
        <v>9082800.0000001397</v>
      </c>
      <c r="AQ993">
        <f t="shared" si="790"/>
        <v>96</v>
      </c>
      <c r="AR993" s="13">
        <f t="shared" si="791"/>
        <v>9082800.0000001397</v>
      </c>
      <c r="AS993" s="112">
        <f t="shared" si="792"/>
        <v>96</v>
      </c>
    </row>
    <row r="994" spans="17:45" x14ac:dyDescent="0.25">
      <c r="Q994" s="127">
        <v>45329.770833333343</v>
      </c>
      <c r="R994">
        <v>2</v>
      </c>
      <c r="S994" s="13">
        <f t="shared" si="796"/>
        <v>9091800.0000001397</v>
      </c>
      <c r="T994">
        <f t="shared" si="793"/>
        <v>192</v>
      </c>
      <c r="U994" s="13">
        <f t="shared" si="794"/>
        <v>9091800.0000001397</v>
      </c>
      <c r="V994" s="112">
        <f t="shared" si="795"/>
        <v>192</v>
      </c>
      <c r="AN994" s="127">
        <v>45329.770833333343</v>
      </c>
      <c r="AO994">
        <v>1</v>
      </c>
      <c r="AP994" s="13">
        <f t="shared" si="797"/>
        <v>9091800.0000001397</v>
      </c>
      <c r="AQ994">
        <f t="shared" si="790"/>
        <v>96</v>
      </c>
      <c r="AR994" s="13">
        <f t="shared" si="791"/>
        <v>9091800.0000001397</v>
      </c>
      <c r="AS994" s="112">
        <f t="shared" si="792"/>
        <v>96</v>
      </c>
    </row>
    <row r="995" spans="17:45" x14ac:dyDescent="0.25">
      <c r="Q995" s="127">
        <v>45329.875</v>
      </c>
      <c r="R995">
        <v>2</v>
      </c>
      <c r="S995" s="13">
        <f t="shared" si="796"/>
        <v>9100800.0000001397</v>
      </c>
      <c r="T995">
        <f t="shared" si="793"/>
        <v>192</v>
      </c>
      <c r="U995" s="13">
        <f t="shared" si="794"/>
        <v>9100800.0000001397</v>
      </c>
      <c r="V995" s="112">
        <f t="shared" si="795"/>
        <v>192</v>
      </c>
      <c r="AN995" s="127">
        <v>45329.875</v>
      </c>
      <c r="AO995">
        <v>1</v>
      </c>
      <c r="AP995" s="13">
        <f t="shared" si="797"/>
        <v>9100800.0000001397</v>
      </c>
      <c r="AQ995">
        <f t="shared" ref="AQ995:AQ1058" si="798">AO995*96</f>
        <v>96</v>
      </c>
      <c r="AR995" s="13">
        <f t="shared" ref="AR995:AR1058" si="799">AP995</f>
        <v>9100800.0000001397</v>
      </c>
      <c r="AS995" s="112">
        <f t="shared" ref="AS995:AS1058" si="800">IF(AQ995=0,0.0000000001,AQ995)</f>
        <v>96</v>
      </c>
    </row>
    <row r="996" spans="17:45" x14ac:dyDescent="0.25">
      <c r="Q996" s="127">
        <v>45329.979166666657</v>
      </c>
      <c r="R996">
        <v>2</v>
      </c>
      <c r="S996" s="13">
        <f t="shared" si="796"/>
        <v>9109800.0000001397</v>
      </c>
      <c r="T996">
        <f t="shared" si="793"/>
        <v>192</v>
      </c>
      <c r="U996" s="13">
        <f t="shared" si="794"/>
        <v>9109800.0000001397</v>
      </c>
      <c r="V996" s="112">
        <f t="shared" si="795"/>
        <v>192</v>
      </c>
      <c r="AN996" s="127">
        <v>45329.979166666657</v>
      </c>
      <c r="AO996">
        <v>1</v>
      </c>
      <c r="AP996" s="13">
        <f t="shared" si="797"/>
        <v>9109800.0000001397</v>
      </c>
      <c r="AQ996">
        <f t="shared" si="798"/>
        <v>96</v>
      </c>
      <c r="AR996" s="13">
        <f t="shared" si="799"/>
        <v>9109800.0000001397</v>
      </c>
      <c r="AS996" s="112">
        <f t="shared" si="800"/>
        <v>96</v>
      </c>
    </row>
    <row r="997" spans="17:45" x14ac:dyDescent="0.25">
      <c r="Q997" s="127">
        <v>45330.083333333343</v>
      </c>
      <c r="R997">
        <v>2</v>
      </c>
      <c r="S997" s="13">
        <f t="shared" si="796"/>
        <v>9118800.0000001397</v>
      </c>
      <c r="T997">
        <f t="shared" si="793"/>
        <v>192</v>
      </c>
      <c r="U997" s="13">
        <f t="shared" si="794"/>
        <v>9118800.0000001397</v>
      </c>
      <c r="V997" s="112">
        <f t="shared" si="795"/>
        <v>192</v>
      </c>
      <c r="AN997" s="127">
        <v>45330.083333333343</v>
      </c>
      <c r="AO997">
        <v>1</v>
      </c>
      <c r="AP997" s="13">
        <f t="shared" si="797"/>
        <v>9118800.0000001397</v>
      </c>
      <c r="AQ997">
        <f t="shared" si="798"/>
        <v>96</v>
      </c>
      <c r="AR997" s="13">
        <f t="shared" si="799"/>
        <v>9118800.0000001397</v>
      </c>
      <c r="AS997" s="112">
        <f t="shared" si="800"/>
        <v>96</v>
      </c>
    </row>
    <row r="998" spans="17:45" x14ac:dyDescent="0.25">
      <c r="Q998" s="127">
        <v>45330.1875</v>
      </c>
      <c r="R998">
        <v>2</v>
      </c>
      <c r="S998" s="13">
        <f t="shared" si="796"/>
        <v>9127800.0000001397</v>
      </c>
      <c r="T998">
        <f t="shared" si="793"/>
        <v>192</v>
      </c>
      <c r="U998" s="13">
        <f t="shared" si="794"/>
        <v>9127800.0000001397</v>
      </c>
      <c r="V998" s="112">
        <f t="shared" si="795"/>
        <v>192</v>
      </c>
      <c r="AN998" s="127">
        <v>45330.1875</v>
      </c>
      <c r="AO998">
        <v>1</v>
      </c>
      <c r="AP998" s="13">
        <f t="shared" si="797"/>
        <v>9127800.0000001397</v>
      </c>
      <c r="AQ998">
        <f t="shared" si="798"/>
        <v>96</v>
      </c>
      <c r="AR998" s="13">
        <f t="shared" si="799"/>
        <v>9127800.0000001397</v>
      </c>
      <c r="AS998" s="112">
        <f t="shared" si="800"/>
        <v>96</v>
      </c>
    </row>
    <row r="999" spans="17:45" x14ac:dyDescent="0.25">
      <c r="Q999" s="127">
        <v>45330.291666666657</v>
      </c>
      <c r="R999">
        <v>2</v>
      </c>
      <c r="S999" s="13">
        <f t="shared" si="796"/>
        <v>9136800.0000001397</v>
      </c>
      <c r="T999">
        <f t="shared" si="793"/>
        <v>192</v>
      </c>
      <c r="U999" s="13">
        <f t="shared" si="794"/>
        <v>9136800.0000001397</v>
      </c>
      <c r="V999" s="112">
        <f t="shared" si="795"/>
        <v>192</v>
      </c>
      <c r="AN999" s="127">
        <v>45330.291666666657</v>
      </c>
      <c r="AO999">
        <v>0</v>
      </c>
      <c r="AP999" s="13">
        <f t="shared" si="797"/>
        <v>9136800.0000001397</v>
      </c>
      <c r="AQ999">
        <f t="shared" si="798"/>
        <v>0</v>
      </c>
      <c r="AR999" s="13">
        <f t="shared" si="799"/>
        <v>9136800.0000001397</v>
      </c>
      <c r="AS999" s="112">
        <f t="shared" si="800"/>
        <v>1E-10</v>
      </c>
    </row>
    <row r="1000" spans="17:45" x14ac:dyDescent="0.25">
      <c r="Q1000" s="127">
        <v>45330.395833333343</v>
      </c>
      <c r="R1000">
        <v>0</v>
      </c>
      <c r="S1000" s="13">
        <f t="shared" si="796"/>
        <v>9145800.0000001397</v>
      </c>
      <c r="T1000">
        <f t="shared" si="793"/>
        <v>0</v>
      </c>
      <c r="U1000" s="13">
        <f t="shared" si="794"/>
        <v>9145800.0000001397</v>
      </c>
      <c r="V1000" s="112">
        <f t="shared" si="795"/>
        <v>1E-10</v>
      </c>
      <c r="AN1000" s="127">
        <v>45330.395833333343</v>
      </c>
      <c r="AO1000">
        <v>1</v>
      </c>
      <c r="AP1000" s="13">
        <f t="shared" si="797"/>
        <v>9145800.0000001397</v>
      </c>
      <c r="AQ1000">
        <f t="shared" si="798"/>
        <v>96</v>
      </c>
      <c r="AR1000" s="13">
        <f t="shared" si="799"/>
        <v>9145800.0000001397</v>
      </c>
      <c r="AS1000" s="112">
        <f t="shared" si="800"/>
        <v>96</v>
      </c>
    </row>
    <row r="1001" spans="17:45" x14ac:dyDescent="0.25">
      <c r="Q1001" s="127">
        <v>45330.5</v>
      </c>
      <c r="R1001">
        <v>0</v>
      </c>
      <c r="S1001" s="13">
        <f t="shared" si="796"/>
        <v>9154800.0000001397</v>
      </c>
      <c r="T1001">
        <f t="shared" si="793"/>
        <v>0</v>
      </c>
      <c r="U1001" s="13">
        <f t="shared" si="794"/>
        <v>9154800.0000001397</v>
      </c>
      <c r="V1001" s="112">
        <f t="shared" si="795"/>
        <v>1E-10</v>
      </c>
      <c r="AN1001" s="127">
        <v>45330.5</v>
      </c>
      <c r="AO1001">
        <v>1</v>
      </c>
      <c r="AP1001" s="13">
        <f t="shared" si="797"/>
        <v>9154800.0000001397</v>
      </c>
      <c r="AQ1001">
        <f t="shared" si="798"/>
        <v>96</v>
      </c>
      <c r="AR1001" s="13">
        <f t="shared" si="799"/>
        <v>9154800.0000001397</v>
      </c>
      <c r="AS1001" s="112">
        <f t="shared" si="800"/>
        <v>96</v>
      </c>
    </row>
    <row r="1002" spans="17:45" x14ac:dyDescent="0.25">
      <c r="Q1002" s="127">
        <v>45330.604166666657</v>
      </c>
      <c r="R1002">
        <v>0</v>
      </c>
      <c r="S1002" s="13">
        <f t="shared" si="796"/>
        <v>9163800.0000001397</v>
      </c>
      <c r="T1002">
        <f t="shared" si="793"/>
        <v>0</v>
      </c>
      <c r="U1002" s="13">
        <f t="shared" si="794"/>
        <v>9163800.0000001397</v>
      </c>
      <c r="V1002" s="112">
        <f t="shared" si="795"/>
        <v>1E-10</v>
      </c>
      <c r="AN1002" s="127">
        <v>45330.604166666657</v>
      </c>
      <c r="AO1002">
        <v>1</v>
      </c>
      <c r="AP1002" s="13">
        <f t="shared" si="797"/>
        <v>9163800.0000001397</v>
      </c>
      <c r="AQ1002">
        <f t="shared" si="798"/>
        <v>96</v>
      </c>
      <c r="AR1002" s="13">
        <f t="shared" si="799"/>
        <v>9163800.0000001397</v>
      </c>
      <c r="AS1002" s="112">
        <f t="shared" si="800"/>
        <v>96</v>
      </c>
    </row>
    <row r="1003" spans="17:45" x14ac:dyDescent="0.25">
      <c r="Q1003" s="127">
        <v>45330.708333333343</v>
      </c>
      <c r="R1003">
        <v>0</v>
      </c>
      <c r="S1003" s="13">
        <f t="shared" si="796"/>
        <v>9172800.0000001397</v>
      </c>
      <c r="T1003">
        <f t="shared" si="793"/>
        <v>0</v>
      </c>
      <c r="U1003" s="13">
        <f t="shared" si="794"/>
        <v>9172800.0000001397</v>
      </c>
      <c r="V1003" s="112">
        <f t="shared" si="795"/>
        <v>1E-10</v>
      </c>
      <c r="AN1003" s="127">
        <v>45330.708333333343</v>
      </c>
      <c r="AO1003">
        <v>1</v>
      </c>
      <c r="AP1003" s="13">
        <f t="shared" si="797"/>
        <v>9172800.0000001397</v>
      </c>
      <c r="AQ1003">
        <f t="shared" si="798"/>
        <v>96</v>
      </c>
      <c r="AR1003" s="13">
        <f t="shared" si="799"/>
        <v>9172800.0000001397</v>
      </c>
      <c r="AS1003" s="112">
        <f t="shared" si="800"/>
        <v>96</v>
      </c>
    </row>
    <row r="1004" spans="17:45" x14ac:dyDescent="0.25">
      <c r="Q1004" s="127">
        <v>45330.8125</v>
      </c>
      <c r="R1004">
        <v>0</v>
      </c>
      <c r="S1004" s="13">
        <f t="shared" si="796"/>
        <v>9181800.0000001397</v>
      </c>
      <c r="T1004">
        <f t="shared" si="793"/>
        <v>0</v>
      </c>
      <c r="U1004" s="13">
        <f t="shared" si="794"/>
        <v>9181800.0000001397</v>
      </c>
      <c r="V1004" s="112">
        <f t="shared" si="795"/>
        <v>1E-10</v>
      </c>
      <c r="AN1004" s="127">
        <v>45330.8125</v>
      </c>
      <c r="AO1004">
        <v>1</v>
      </c>
      <c r="AP1004" s="13">
        <f t="shared" si="797"/>
        <v>9181800.0000001397</v>
      </c>
      <c r="AQ1004">
        <f t="shared" si="798"/>
        <v>96</v>
      </c>
      <c r="AR1004" s="13">
        <f t="shared" si="799"/>
        <v>9181800.0000001397</v>
      </c>
      <c r="AS1004" s="112">
        <f t="shared" si="800"/>
        <v>96</v>
      </c>
    </row>
    <row r="1005" spans="17:45" x14ac:dyDescent="0.25">
      <c r="Q1005" s="127">
        <v>45330.916666666657</v>
      </c>
      <c r="R1005">
        <v>1</v>
      </c>
      <c r="S1005" s="13">
        <f t="shared" si="796"/>
        <v>9190800.0000001397</v>
      </c>
      <c r="T1005">
        <f t="shared" si="793"/>
        <v>96</v>
      </c>
      <c r="U1005" s="13">
        <f t="shared" si="794"/>
        <v>9190800.0000001397</v>
      </c>
      <c r="V1005" s="112">
        <f t="shared" si="795"/>
        <v>96</v>
      </c>
      <c r="AN1005" s="127">
        <v>45330.916666666657</v>
      </c>
      <c r="AO1005">
        <v>1</v>
      </c>
      <c r="AP1005" s="13">
        <f t="shared" si="797"/>
        <v>9190800.0000001397</v>
      </c>
      <c r="AQ1005">
        <f t="shared" si="798"/>
        <v>96</v>
      </c>
      <c r="AR1005" s="13">
        <f t="shared" si="799"/>
        <v>9190800.0000001397</v>
      </c>
      <c r="AS1005" s="112">
        <f t="shared" si="800"/>
        <v>96</v>
      </c>
    </row>
    <row r="1006" spans="17:45" x14ac:dyDescent="0.25">
      <c r="Q1006" s="127">
        <v>45331.020833333343</v>
      </c>
      <c r="R1006">
        <v>2</v>
      </c>
      <c r="S1006" s="13">
        <f t="shared" si="796"/>
        <v>9199800.0000001397</v>
      </c>
      <c r="T1006">
        <f t="shared" si="793"/>
        <v>192</v>
      </c>
      <c r="U1006" s="13">
        <f t="shared" si="794"/>
        <v>9199800.0000001397</v>
      </c>
      <c r="V1006" s="112">
        <f t="shared" si="795"/>
        <v>192</v>
      </c>
      <c r="AN1006" s="127">
        <v>45331.020833333343</v>
      </c>
      <c r="AO1006">
        <v>1</v>
      </c>
      <c r="AP1006" s="13">
        <f t="shared" si="797"/>
        <v>9199800.0000001397</v>
      </c>
      <c r="AQ1006">
        <f t="shared" si="798"/>
        <v>96</v>
      </c>
      <c r="AR1006" s="13">
        <f t="shared" si="799"/>
        <v>9199800.0000001397</v>
      </c>
      <c r="AS1006" s="112">
        <f t="shared" si="800"/>
        <v>96</v>
      </c>
    </row>
    <row r="1007" spans="17:45" x14ac:dyDescent="0.25">
      <c r="Q1007" s="127">
        <v>45331.125</v>
      </c>
      <c r="R1007">
        <v>1</v>
      </c>
      <c r="S1007" s="13">
        <f t="shared" si="796"/>
        <v>9208800.0000001397</v>
      </c>
      <c r="T1007">
        <f t="shared" si="793"/>
        <v>96</v>
      </c>
      <c r="U1007" s="13">
        <f t="shared" si="794"/>
        <v>9208800.0000001397</v>
      </c>
      <c r="V1007" s="112">
        <f t="shared" si="795"/>
        <v>96</v>
      </c>
      <c r="AN1007" s="127">
        <v>45331.125</v>
      </c>
      <c r="AO1007">
        <v>1</v>
      </c>
      <c r="AP1007" s="13">
        <f t="shared" si="797"/>
        <v>9208800.0000001397</v>
      </c>
      <c r="AQ1007">
        <f t="shared" si="798"/>
        <v>96</v>
      </c>
      <c r="AR1007" s="13">
        <f t="shared" si="799"/>
        <v>9208800.0000001397</v>
      </c>
      <c r="AS1007" s="112">
        <f t="shared" si="800"/>
        <v>96</v>
      </c>
    </row>
    <row r="1008" spans="17:45" x14ac:dyDescent="0.25">
      <c r="Q1008" s="127">
        <v>45331.229166666657</v>
      </c>
      <c r="R1008">
        <v>1</v>
      </c>
      <c r="S1008" s="13">
        <f t="shared" si="796"/>
        <v>9217800.0000001397</v>
      </c>
      <c r="T1008">
        <f t="shared" si="793"/>
        <v>96</v>
      </c>
      <c r="U1008" s="13">
        <f t="shared" si="794"/>
        <v>9217800.0000001397</v>
      </c>
      <c r="V1008" s="112">
        <f t="shared" si="795"/>
        <v>96</v>
      </c>
      <c r="AN1008" s="127">
        <v>45331.229166666657</v>
      </c>
      <c r="AO1008">
        <v>1</v>
      </c>
      <c r="AP1008" s="13">
        <f t="shared" si="797"/>
        <v>9217800.0000001397</v>
      </c>
      <c r="AQ1008">
        <f t="shared" si="798"/>
        <v>96</v>
      </c>
      <c r="AR1008" s="13">
        <f t="shared" si="799"/>
        <v>9217800.0000001397</v>
      </c>
      <c r="AS1008" s="112">
        <f t="shared" si="800"/>
        <v>96</v>
      </c>
    </row>
    <row r="1009" spans="17:45" x14ac:dyDescent="0.25">
      <c r="Q1009" s="127">
        <v>45331.333333333343</v>
      </c>
      <c r="R1009">
        <v>1</v>
      </c>
      <c r="S1009" s="13">
        <f t="shared" si="796"/>
        <v>9226800.0000001397</v>
      </c>
      <c r="T1009">
        <f t="shared" si="793"/>
        <v>96</v>
      </c>
      <c r="U1009" s="13">
        <f t="shared" si="794"/>
        <v>9226800.0000001397</v>
      </c>
      <c r="V1009" s="112">
        <f t="shared" si="795"/>
        <v>96</v>
      </c>
      <c r="AN1009" s="127">
        <v>45331.333333333343</v>
      </c>
      <c r="AO1009">
        <v>1</v>
      </c>
      <c r="AP1009" s="13">
        <f t="shared" si="797"/>
        <v>9226800.0000001397</v>
      </c>
      <c r="AQ1009">
        <f t="shared" si="798"/>
        <v>96</v>
      </c>
      <c r="AR1009" s="13">
        <f t="shared" si="799"/>
        <v>9226800.0000001397</v>
      </c>
      <c r="AS1009" s="112">
        <f t="shared" si="800"/>
        <v>96</v>
      </c>
    </row>
    <row r="1010" spans="17:45" x14ac:dyDescent="0.25">
      <c r="Q1010" s="127">
        <v>45331.4375</v>
      </c>
      <c r="R1010">
        <v>1</v>
      </c>
      <c r="S1010" s="13">
        <f t="shared" si="796"/>
        <v>9235800.0000001397</v>
      </c>
      <c r="T1010">
        <f t="shared" si="793"/>
        <v>96</v>
      </c>
      <c r="U1010" s="13">
        <f t="shared" si="794"/>
        <v>9235800.0000001397</v>
      </c>
      <c r="V1010" s="112">
        <f t="shared" si="795"/>
        <v>96</v>
      </c>
      <c r="AN1010" s="127">
        <v>45331.4375</v>
      </c>
      <c r="AO1010">
        <v>1</v>
      </c>
      <c r="AP1010" s="13">
        <f t="shared" si="797"/>
        <v>9235800.0000001397</v>
      </c>
      <c r="AQ1010">
        <f t="shared" si="798"/>
        <v>96</v>
      </c>
      <c r="AR1010" s="13">
        <f t="shared" si="799"/>
        <v>9235800.0000001397</v>
      </c>
      <c r="AS1010" s="112">
        <f t="shared" si="800"/>
        <v>96</v>
      </c>
    </row>
    <row r="1011" spans="17:45" x14ac:dyDescent="0.25">
      <c r="Q1011" s="127">
        <v>45331.541666666657</v>
      </c>
      <c r="R1011">
        <v>1</v>
      </c>
      <c r="S1011" s="13">
        <f t="shared" si="796"/>
        <v>9244800.0000001397</v>
      </c>
      <c r="T1011">
        <f t="shared" si="793"/>
        <v>96</v>
      </c>
      <c r="U1011" s="13">
        <f t="shared" si="794"/>
        <v>9244800.0000001397</v>
      </c>
      <c r="V1011" s="112">
        <f t="shared" si="795"/>
        <v>96</v>
      </c>
      <c r="AN1011" s="127">
        <v>45331.541666666657</v>
      </c>
      <c r="AO1011">
        <v>1</v>
      </c>
      <c r="AP1011" s="13">
        <f t="shared" si="797"/>
        <v>9244800.0000001397</v>
      </c>
      <c r="AQ1011">
        <f t="shared" si="798"/>
        <v>96</v>
      </c>
      <c r="AR1011" s="13">
        <f t="shared" si="799"/>
        <v>9244800.0000001397</v>
      </c>
      <c r="AS1011" s="112">
        <f t="shared" si="800"/>
        <v>96</v>
      </c>
    </row>
    <row r="1012" spans="17:45" x14ac:dyDescent="0.25">
      <c r="Q1012" s="127">
        <v>45331.645833333343</v>
      </c>
      <c r="R1012">
        <v>2</v>
      </c>
      <c r="S1012" s="13">
        <f t="shared" si="796"/>
        <v>9253800.0000001397</v>
      </c>
      <c r="T1012">
        <f t="shared" si="793"/>
        <v>192</v>
      </c>
      <c r="U1012" s="13">
        <f t="shared" si="794"/>
        <v>9253800.0000001397</v>
      </c>
      <c r="V1012" s="112">
        <f t="shared" si="795"/>
        <v>192</v>
      </c>
      <c r="AN1012" s="127">
        <v>45331.645833333343</v>
      </c>
      <c r="AO1012">
        <v>1</v>
      </c>
      <c r="AP1012" s="13">
        <f t="shared" si="797"/>
        <v>9253800.0000001397</v>
      </c>
      <c r="AQ1012">
        <f t="shared" si="798"/>
        <v>96</v>
      </c>
      <c r="AR1012" s="13">
        <f t="shared" si="799"/>
        <v>9253800.0000001397</v>
      </c>
      <c r="AS1012" s="112">
        <f t="shared" si="800"/>
        <v>96</v>
      </c>
    </row>
    <row r="1013" spans="17:45" x14ac:dyDescent="0.25">
      <c r="Q1013" s="127">
        <v>45331.75</v>
      </c>
      <c r="R1013">
        <v>0</v>
      </c>
      <c r="S1013" s="13">
        <f t="shared" si="796"/>
        <v>9262800.0000001397</v>
      </c>
      <c r="T1013">
        <f t="shared" si="793"/>
        <v>0</v>
      </c>
      <c r="U1013" s="13">
        <f t="shared" si="794"/>
        <v>9262800.0000001397</v>
      </c>
      <c r="V1013" s="112">
        <f t="shared" si="795"/>
        <v>1E-10</v>
      </c>
      <c r="AN1013" s="127">
        <v>45331.75</v>
      </c>
      <c r="AO1013">
        <v>1</v>
      </c>
      <c r="AP1013" s="13">
        <f t="shared" si="797"/>
        <v>9262800.0000001397</v>
      </c>
      <c r="AQ1013">
        <f t="shared" si="798"/>
        <v>96</v>
      </c>
      <c r="AR1013" s="13">
        <f t="shared" si="799"/>
        <v>9262800.0000001397</v>
      </c>
      <c r="AS1013" s="112">
        <f t="shared" si="800"/>
        <v>96</v>
      </c>
    </row>
    <row r="1014" spans="17:45" x14ac:dyDescent="0.25">
      <c r="Q1014" s="127">
        <v>45331.854166666657</v>
      </c>
      <c r="R1014">
        <v>0</v>
      </c>
      <c r="S1014" s="13">
        <f t="shared" si="796"/>
        <v>9271800.0000001397</v>
      </c>
      <c r="T1014">
        <f t="shared" si="793"/>
        <v>0</v>
      </c>
      <c r="U1014" s="13">
        <f t="shared" si="794"/>
        <v>9271800.0000001397</v>
      </c>
      <c r="V1014" s="112">
        <f t="shared" si="795"/>
        <v>1E-10</v>
      </c>
      <c r="AN1014" s="127">
        <v>45331.854166666657</v>
      </c>
      <c r="AO1014">
        <v>1</v>
      </c>
      <c r="AP1014" s="13">
        <f t="shared" si="797"/>
        <v>9271800.0000001397</v>
      </c>
      <c r="AQ1014">
        <f t="shared" si="798"/>
        <v>96</v>
      </c>
      <c r="AR1014" s="13">
        <f t="shared" si="799"/>
        <v>9271800.0000001397</v>
      </c>
      <c r="AS1014" s="112">
        <f t="shared" si="800"/>
        <v>96</v>
      </c>
    </row>
    <row r="1015" spans="17:45" x14ac:dyDescent="0.25">
      <c r="Q1015" s="127">
        <v>45331.958333333343</v>
      </c>
      <c r="R1015">
        <v>0</v>
      </c>
      <c r="S1015" s="13">
        <f t="shared" si="796"/>
        <v>9280800.0000001397</v>
      </c>
      <c r="T1015">
        <f t="shared" si="793"/>
        <v>0</v>
      </c>
      <c r="U1015" s="13">
        <f t="shared" si="794"/>
        <v>9280800.0000001397</v>
      </c>
      <c r="V1015" s="112">
        <f t="shared" si="795"/>
        <v>1E-10</v>
      </c>
      <c r="AN1015" s="127">
        <v>45331.958333333343</v>
      </c>
      <c r="AO1015">
        <v>1</v>
      </c>
      <c r="AP1015" s="13">
        <f t="shared" si="797"/>
        <v>9280800.0000001397</v>
      </c>
      <c r="AQ1015">
        <f t="shared" si="798"/>
        <v>96</v>
      </c>
      <c r="AR1015" s="13">
        <f t="shared" si="799"/>
        <v>9280800.0000001397</v>
      </c>
      <c r="AS1015" s="112">
        <f t="shared" si="800"/>
        <v>96</v>
      </c>
    </row>
    <row r="1016" spans="17:45" x14ac:dyDescent="0.25">
      <c r="Q1016" s="127">
        <v>45332.0625</v>
      </c>
      <c r="R1016">
        <v>0</v>
      </c>
      <c r="S1016" s="13">
        <f t="shared" si="796"/>
        <v>9289800.0000001397</v>
      </c>
      <c r="T1016">
        <f t="shared" si="793"/>
        <v>0</v>
      </c>
      <c r="U1016" s="13">
        <f t="shared" si="794"/>
        <v>9289800.0000001397</v>
      </c>
      <c r="V1016" s="112">
        <f t="shared" si="795"/>
        <v>1E-10</v>
      </c>
      <c r="AN1016" s="127">
        <v>45332.0625</v>
      </c>
      <c r="AO1016">
        <v>1</v>
      </c>
      <c r="AP1016" s="13">
        <f t="shared" si="797"/>
        <v>9289800.0000001397</v>
      </c>
      <c r="AQ1016">
        <f t="shared" si="798"/>
        <v>96</v>
      </c>
      <c r="AR1016" s="13">
        <f t="shared" si="799"/>
        <v>9289800.0000001397</v>
      </c>
      <c r="AS1016" s="112">
        <f t="shared" si="800"/>
        <v>96</v>
      </c>
    </row>
    <row r="1017" spans="17:45" x14ac:dyDescent="0.25">
      <c r="Q1017" s="127">
        <v>45332.166666666657</v>
      </c>
      <c r="R1017">
        <v>1</v>
      </c>
      <c r="S1017" s="13">
        <f t="shared" si="796"/>
        <v>9298800.0000001397</v>
      </c>
      <c r="T1017">
        <f t="shared" si="793"/>
        <v>96</v>
      </c>
      <c r="U1017" s="13">
        <f t="shared" si="794"/>
        <v>9298800.0000001397</v>
      </c>
      <c r="V1017" s="112">
        <f t="shared" si="795"/>
        <v>96</v>
      </c>
      <c r="AN1017" s="127">
        <v>45332.166666666657</v>
      </c>
      <c r="AO1017">
        <v>1</v>
      </c>
      <c r="AP1017" s="13">
        <f t="shared" si="797"/>
        <v>9298800.0000001397</v>
      </c>
      <c r="AQ1017">
        <f t="shared" si="798"/>
        <v>96</v>
      </c>
      <c r="AR1017" s="13">
        <f t="shared" si="799"/>
        <v>9298800.0000001397</v>
      </c>
      <c r="AS1017" s="112">
        <f t="shared" si="800"/>
        <v>96</v>
      </c>
    </row>
    <row r="1018" spans="17:45" x14ac:dyDescent="0.25">
      <c r="Q1018" s="127">
        <v>45332.270833333343</v>
      </c>
      <c r="R1018">
        <v>0</v>
      </c>
      <c r="S1018" s="13">
        <f t="shared" si="796"/>
        <v>9307800.0000001397</v>
      </c>
      <c r="T1018">
        <f t="shared" si="793"/>
        <v>0</v>
      </c>
      <c r="U1018" s="13">
        <f t="shared" si="794"/>
        <v>9307800.0000001397</v>
      </c>
      <c r="V1018" s="112">
        <f t="shared" si="795"/>
        <v>1E-10</v>
      </c>
      <c r="AN1018" s="127">
        <v>45332.270833333343</v>
      </c>
      <c r="AO1018">
        <v>1</v>
      </c>
      <c r="AP1018" s="13">
        <f t="shared" si="797"/>
        <v>9307800.0000001397</v>
      </c>
      <c r="AQ1018">
        <f t="shared" si="798"/>
        <v>96</v>
      </c>
      <c r="AR1018" s="13">
        <f t="shared" si="799"/>
        <v>9307800.0000001397</v>
      </c>
      <c r="AS1018" s="112">
        <f t="shared" si="800"/>
        <v>96</v>
      </c>
    </row>
    <row r="1019" spans="17:45" x14ac:dyDescent="0.25">
      <c r="Q1019" s="127">
        <v>45332.375</v>
      </c>
      <c r="R1019">
        <v>0</v>
      </c>
      <c r="S1019" s="13">
        <f t="shared" si="796"/>
        <v>9316800.0000001397</v>
      </c>
      <c r="T1019">
        <f t="shared" si="793"/>
        <v>0</v>
      </c>
      <c r="U1019" s="13">
        <f t="shared" si="794"/>
        <v>9316800.0000001397</v>
      </c>
      <c r="V1019" s="112">
        <f t="shared" si="795"/>
        <v>1E-10</v>
      </c>
      <c r="AN1019" s="127">
        <v>45332.375</v>
      </c>
      <c r="AO1019">
        <v>1</v>
      </c>
      <c r="AP1019" s="13">
        <f t="shared" si="797"/>
        <v>9316800.0000001397</v>
      </c>
      <c r="AQ1019">
        <f t="shared" si="798"/>
        <v>96</v>
      </c>
      <c r="AR1019" s="13">
        <f t="shared" si="799"/>
        <v>9316800.0000001397</v>
      </c>
      <c r="AS1019" s="112">
        <f t="shared" si="800"/>
        <v>96</v>
      </c>
    </row>
    <row r="1020" spans="17:45" x14ac:dyDescent="0.25">
      <c r="Q1020" s="127">
        <v>45332.479166666657</v>
      </c>
      <c r="R1020">
        <v>0</v>
      </c>
      <c r="S1020" s="13">
        <f t="shared" si="796"/>
        <v>9325800.0000001397</v>
      </c>
      <c r="T1020">
        <f t="shared" si="793"/>
        <v>0</v>
      </c>
      <c r="U1020" s="13">
        <f t="shared" si="794"/>
        <v>9325800.0000001397</v>
      </c>
      <c r="V1020" s="112">
        <f t="shared" si="795"/>
        <v>1E-10</v>
      </c>
      <c r="AN1020" s="127">
        <v>45332.479166666657</v>
      </c>
      <c r="AO1020">
        <v>1</v>
      </c>
      <c r="AP1020" s="13">
        <f t="shared" si="797"/>
        <v>9325800.0000001397</v>
      </c>
      <c r="AQ1020">
        <f t="shared" si="798"/>
        <v>96</v>
      </c>
      <c r="AR1020" s="13">
        <f t="shared" si="799"/>
        <v>9325800.0000001397</v>
      </c>
      <c r="AS1020" s="112">
        <f t="shared" si="800"/>
        <v>96</v>
      </c>
    </row>
    <row r="1021" spans="17:45" x14ac:dyDescent="0.25">
      <c r="Q1021" s="127">
        <v>45332.583333333343</v>
      </c>
      <c r="R1021">
        <v>0</v>
      </c>
      <c r="S1021" s="13">
        <f t="shared" si="796"/>
        <v>9334800.0000001397</v>
      </c>
      <c r="T1021">
        <f t="shared" si="793"/>
        <v>0</v>
      </c>
      <c r="U1021" s="13">
        <f t="shared" si="794"/>
        <v>9334800.0000001397</v>
      </c>
      <c r="V1021" s="112">
        <f t="shared" si="795"/>
        <v>1E-10</v>
      </c>
      <c r="AN1021" s="127">
        <v>45332.583333333343</v>
      </c>
      <c r="AO1021">
        <v>1</v>
      </c>
      <c r="AP1021" s="13">
        <f t="shared" si="797"/>
        <v>9334800.0000001397</v>
      </c>
      <c r="AQ1021">
        <f t="shared" si="798"/>
        <v>96</v>
      </c>
      <c r="AR1021" s="13">
        <f t="shared" si="799"/>
        <v>9334800.0000001397</v>
      </c>
      <c r="AS1021" s="112">
        <f t="shared" si="800"/>
        <v>96</v>
      </c>
    </row>
    <row r="1022" spans="17:45" x14ac:dyDescent="0.25">
      <c r="Q1022" s="127">
        <v>45332.6875</v>
      </c>
      <c r="R1022">
        <v>0</v>
      </c>
      <c r="S1022" s="13">
        <f t="shared" si="796"/>
        <v>9343800.0000001397</v>
      </c>
      <c r="T1022">
        <f t="shared" si="793"/>
        <v>0</v>
      </c>
      <c r="U1022" s="13">
        <f t="shared" si="794"/>
        <v>9343800.0000001397</v>
      </c>
      <c r="V1022" s="112">
        <f t="shared" si="795"/>
        <v>1E-10</v>
      </c>
      <c r="AN1022" s="127">
        <v>45332.6875</v>
      </c>
      <c r="AO1022">
        <v>1</v>
      </c>
      <c r="AP1022" s="13">
        <f t="shared" si="797"/>
        <v>9343800.0000001397</v>
      </c>
      <c r="AQ1022">
        <f t="shared" si="798"/>
        <v>96</v>
      </c>
      <c r="AR1022" s="13">
        <f t="shared" si="799"/>
        <v>9343800.0000001397</v>
      </c>
      <c r="AS1022" s="112">
        <f t="shared" si="800"/>
        <v>96</v>
      </c>
    </row>
    <row r="1023" spans="17:45" x14ac:dyDescent="0.25">
      <c r="Q1023" s="127">
        <v>45332.791666666657</v>
      </c>
      <c r="R1023">
        <v>2</v>
      </c>
      <c r="S1023" s="13">
        <f t="shared" si="796"/>
        <v>9352800.0000001397</v>
      </c>
      <c r="T1023">
        <f t="shared" si="793"/>
        <v>192</v>
      </c>
      <c r="U1023" s="13">
        <f t="shared" si="794"/>
        <v>9352800.0000001397</v>
      </c>
      <c r="V1023" s="112">
        <f t="shared" si="795"/>
        <v>192</v>
      </c>
      <c r="AN1023" s="127">
        <v>45332.791666666657</v>
      </c>
      <c r="AO1023">
        <v>1</v>
      </c>
      <c r="AP1023" s="13">
        <f t="shared" si="797"/>
        <v>9352800.0000001397</v>
      </c>
      <c r="AQ1023">
        <f t="shared" si="798"/>
        <v>96</v>
      </c>
      <c r="AR1023" s="13">
        <f t="shared" si="799"/>
        <v>9352800.0000001397</v>
      </c>
      <c r="AS1023" s="112">
        <f t="shared" si="800"/>
        <v>96</v>
      </c>
    </row>
    <row r="1024" spans="17:45" x14ac:dyDescent="0.25">
      <c r="Q1024" s="127">
        <v>45332.895833333343</v>
      </c>
      <c r="R1024">
        <v>2</v>
      </c>
      <c r="S1024" s="13">
        <f t="shared" si="796"/>
        <v>9361800.0000001397</v>
      </c>
      <c r="T1024">
        <f t="shared" si="793"/>
        <v>192</v>
      </c>
      <c r="U1024" s="13">
        <f t="shared" si="794"/>
        <v>9361800.0000001397</v>
      </c>
      <c r="V1024" s="112">
        <f t="shared" si="795"/>
        <v>192</v>
      </c>
      <c r="AN1024" s="127">
        <v>45332.895833333343</v>
      </c>
      <c r="AO1024">
        <v>1</v>
      </c>
      <c r="AP1024" s="13">
        <f t="shared" si="797"/>
        <v>9361800.0000001397</v>
      </c>
      <c r="AQ1024">
        <f t="shared" si="798"/>
        <v>96</v>
      </c>
      <c r="AR1024" s="13">
        <f t="shared" si="799"/>
        <v>9361800.0000001397</v>
      </c>
      <c r="AS1024" s="112">
        <f t="shared" si="800"/>
        <v>96</v>
      </c>
    </row>
    <row r="1025" spans="17:45" x14ac:dyDescent="0.25">
      <c r="Q1025" s="127">
        <v>45333</v>
      </c>
      <c r="R1025">
        <v>2</v>
      </c>
      <c r="S1025" s="13">
        <f t="shared" si="796"/>
        <v>9370800.0000001397</v>
      </c>
      <c r="T1025">
        <f t="shared" si="793"/>
        <v>192</v>
      </c>
      <c r="U1025" s="13">
        <f t="shared" si="794"/>
        <v>9370800.0000001397</v>
      </c>
      <c r="V1025" s="112">
        <f t="shared" si="795"/>
        <v>192</v>
      </c>
      <c r="AN1025" s="127">
        <v>45333</v>
      </c>
      <c r="AO1025">
        <v>1</v>
      </c>
      <c r="AP1025" s="13">
        <f t="shared" si="797"/>
        <v>9370800.0000001397</v>
      </c>
      <c r="AQ1025">
        <f t="shared" si="798"/>
        <v>96</v>
      </c>
      <c r="AR1025" s="13">
        <f t="shared" si="799"/>
        <v>9370800.0000001397</v>
      </c>
      <c r="AS1025" s="112">
        <f t="shared" si="800"/>
        <v>96</v>
      </c>
    </row>
    <row r="1026" spans="17:45" x14ac:dyDescent="0.25">
      <c r="Q1026" s="127">
        <v>45333.104166666657</v>
      </c>
      <c r="R1026">
        <v>1</v>
      </c>
      <c r="S1026" s="13">
        <f t="shared" si="796"/>
        <v>9379800.0000001397</v>
      </c>
      <c r="T1026">
        <f t="shared" si="793"/>
        <v>96</v>
      </c>
      <c r="U1026" s="13">
        <f t="shared" si="794"/>
        <v>9379800.0000001397</v>
      </c>
      <c r="V1026" s="112">
        <f t="shared" si="795"/>
        <v>96</v>
      </c>
      <c r="AN1026" s="127">
        <v>45333.104166666657</v>
      </c>
      <c r="AO1026">
        <v>1</v>
      </c>
      <c r="AP1026" s="13">
        <f t="shared" si="797"/>
        <v>9379800.0000001397</v>
      </c>
      <c r="AQ1026">
        <f t="shared" si="798"/>
        <v>96</v>
      </c>
      <c r="AR1026" s="13">
        <f t="shared" si="799"/>
        <v>9379800.0000001397</v>
      </c>
      <c r="AS1026" s="112">
        <f t="shared" si="800"/>
        <v>96</v>
      </c>
    </row>
    <row r="1027" spans="17:45" x14ac:dyDescent="0.25">
      <c r="Q1027" s="127">
        <v>45333.208333333343</v>
      </c>
      <c r="R1027">
        <v>1</v>
      </c>
      <c r="S1027" s="13">
        <f t="shared" si="796"/>
        <v>9388800.0000001397</v>
      </c>
      <c r="T1027">
        <f t="shared" ref="T1027:T1090" si="801">R1027*96</f>
        <v>96</v>
      </c>
      <c r="U1027" s="13">
        <f t="shared" ref="U1027:U1090" si="802">S1027</f>
        <v>9388800.0000001397</v>
      </c>
      <c r="V1027" s="112">
        <f t="shared" ref="V1027:V1090" si="803">IF(T1027=0,0.0000000001,T1027)</f>
        <v>96</v>
      </c>
      <c r="AN1027" s="127">
        <v>45333.208333333343</v>
      </c>
      <c r="AO1027">
        <v>1</v>
      </c>
      <c r="AP1027" s="13">
        <f t="shared" si="797"/>
        <v>9388800.0000001397</v>
      </c>
      <c r="AQ1027">
        <f t="shared" si="798"/>
        <v>96</v>
      </c>
      <c r="AR1027" s="13">
        <f t="shared" si="799"/>
        <v>9388800.0000001397</v>
      </c>
      <c r="AS1027" s="112">
        <f t="shared" si="800"/>
        <v>96</v>
      </c>
    </row>
    <row r="1028" spans="17:45" x14ac:dyDescent="0.25">
      <c r="Q1028" s="127">
        <v>45333.3125</v>
      </c>
      <c r="R1028">
        <v>1</v>
      </c>
      <c r="S1028" s="13">
        <f t="shared" ref="S1028:S1091" si="804">S1027+150*60</f>
        <v>9397800.0000001397</v>
      </c>
      <c r="T1028">
        <f t="shared" si="801"/>
        <v>96</v>
      </c>
      <c r="U1028" s="13">
        <f t="shared" si="802"/>
        <v>9397800.0000001397</v>
      </c>
      <c r="V1028" s="112">
        <f t="shared" si="803"/>
        <v>96</v>
      </c>
      <c r="AN1028" s="127">
        <v>45333.3125</v>
      </c>
      <c r="AO1028">
        <v>1</v>
      </c>
      <c r="AP1028" s="13">
        <f t="shared" ref="AP1028:AP1091" si="805">AP1027+150*60</f>
        <v>9397800.0000001397</v>
      </c>
      <c r="AQ1028">
        <f t="shared" si="798"/>
        <v>96</v>
      </c>
      <c r="AR1028" s="13">
        <f t="shared" si="799"/>
        <v>9397800.0000001397</v>
      </c>
      <c r="AS1028" s="112">
        <f t="shared" si="800"/>
        <v>96</v>
      </c>
    </row>
    <row r="1029" spans="17:45" x14ac:dyDescent="0.25">
      <c r="Q1029" s="127">
        <v>45333.416666666657</v>
      </c>
      <c r="R1029">
        <v>1</v>
      </c>
      <c r="S1029" s="13">
        <f t="shared" si="804"/>
        <v>9406800.0000001397</v>
      </c>
      <c r="T1029">
        <f t="shared" si="801"/>
        <v>96</v>
      </c>
      <c r="U1029" s="13">
        <f t="shared" si="802"/>
        <v>9406800.0000001397</v>
      </c>
      <c r="V1029" s="112">
        <f t="shared" si="803"/>
        <v>96</v>
      </c>
      <c r="AN1029" s="127">
        <v>45333.416666666657</v>
      </c>
      <c r="AO1029">
        <v>1</v>
      </c>
      <c r="AP1029" s="13">
        <f t="shared" si="805"/>
        <v>9406800.0000001397</v>
      </c>
      <c r="AQ1029">
        <f t="shared" si="798"/>
        <v>96</v>
      </c>
      <c r="AR1029" s="13">
        <f t="shared" si="799"/>
        <v>9406800.0000001397</v>
      </c>
      <c r="AS1029" s="112">
        <f t="shared" si="800"/>
        <v>96</v>
      </c>
    </row>
    <row r="1030" spans="17:45" x14ac:dyDescent="0.25">
      <c r="Q1030" s="127">
        <v>45333.520833333343</v>
      </c>
      <c r="R1030">
        <v>1</v>
      </c>
      <c r="S1030" s="13">
        <f t="shared" si="804"/>
        <v>9415800.0000001397</v>
      </c>
      <c r="T1030">
        <f t="shared" si="801"/>
        <v>96</v>
      </c>
      <c r="U1030" s="13">
        <f t="shared" si="802"/>
        <v>9415800.0000001397</v>
      </c>
      <c r="V1030" s="112">
        <f t="shared" si="803"/>
        <v>96</v>
      </c>
      <c r="AN1030" s="127">
        <v>45333.520833333343</v>
      </c>
      <c r="AO1030">
        <v>1</v>
      </c>
      <c r="AP1030" s="13">
        <f t="shared" si="805"/>
        <v>9415800.0000001397</v>
      </c>
      <c r="AQ1030">
        <f t="shared" si="798"/>
        <v>96</v>
      </c>
      <c r="AR1030" s="13">
        <f t="shared" si="799"/>
        <v>9415800.0000001397</v>
      </c>
      <c r="AS1030" s="112">
        <f t="shared" si="800"/>
        <v>96</v>
      </c>
    </row>
    <row r="1031" spans="17:45" x14ac:dyDescent="0.25">
      <c r="Q1031" s="127">
        <v>45333.625</v>
      </c>
      <c r="R1031">
        <v>2</v>
      </c>
      <c r="S1031" s="13">
        <f t="shared" si="804"/>
        <v>9424800.0000001397</v>
      </c>
      <c r="T1031">
        <f t="shared" si="801"/>
        <v>192</v>
      </c>
      <c r="U1031" s="13">
        <f t="shared" si="802"/>
        <v>9424800.0000001397</v>
      </c>
      <c r="V1031" s="112">
        <f t="shared" si="803"/>
        <v>192</v>
      </c>
      <c r="AN1031" s="127">
        <v>45333.625</v>
      </c>
      <c r="AO1031">
        <v>1</v>
      </c>
      <c r="AP1031" s="13">
        <f t="shared" si="805"/>
        <v>9424800.0000001397</v>
      </c>
      <c r="AQ1031">
        <f t="shared" si="798"/>
        <v>96</v>
      </c>
      <c r="AR1031" s="13">
        <f t="shared" si="799"/>
        <v>9424800.0000001397</v>
      </c>
      <c r="AS1031" s="112">
        <f t="shared" si="800"/>
        <v>96</v>
      </c>
    </row>
    <row r="1032" spans="17:45" x14ac:dyDescent="0.25">
      <c r="Q1032" s="127">
        <v>45333.729166666657</v>
      </c>
      <c r="R1032">
        <v>2</v>
      </c>
      <c r="S1032" s="13">
        <f t="shared" si="804"/>
        <v>9433800.0000001397</v>
      </c>
      <c r="T1032">
        <f t="shared" si="801"/>
        <v>192</v>
      </c>
      <c r="U1032" s="13">
        <f t="shared" si="802"/>
        <v>9433800.0000001397</v>
      </c>
      <c r="V1032" s="112">
        <f t="shared" si="803"/>
        <v>192</v>
      </c>
      <c r="AN1032" s="127">
        <v>45333.729166666657</v>
      </c>
      <c r="AO1032">
        <v>1</v>
      </c>
      <c r="AP1032" s="13">
        <f t="shared" si="805"/>
        <v>9433800.0000001397</v>
      </c>
      <c r="AQ1032">
        <f t="shared" si="798"/>
        <v>96</v>
      </c>
      <c r="AR1032" s="13">
        <f t="shared" si="799"/>
        <v>9433800.0000001397</v>
      </c>
      <c r="AS1032" s="112">
        <f t="shared" si="800"/>
        <v>96</v>
      </c>
    </row>
    <row r="1033" spans="17:45" x14ac:dyDescent="0.25">
      <c r="Q1033" s="127">
        <v>45333.833333333343</v>
      </c>
      <c r="R1033">
        <v>2</v>
      </c>
      <c r="S1033" s="13">
        <f t="shared" si="804"/>
        <v>9442800.0000001397</v>
      </c>
      <c r="T1033">
        <f t="shared" si="801"/>
        <v>192</v>
      </c>
      <c r="U1033" s="13">
        <f t="shared" si="802"/>
        <v>9442800.0000001397</v>
      </c>
      <c r="V1033" s="112">
        <f t="shared" si="803"/>
        <v>192</v>
      </c>
      <c r="AN1033" s="127">
        <v>45333.833333333343</v>
      </c>
      <c r="AO1033">
        <v>0</v>
      </c>
      <c r="AP1033" s="13">
        <f t="shared" si="805"/>
        <v>9442800.0000001397</v>
      </c>
      <c r="AQ1033">
        <f t="shared" si="798"/>
        <v>0</v>
      </c>
      <c r="AR1033" s="13">
        <f t="shared" si="799"/>
        <v>9442800.0000001397</v>
      </c>
      <c r="AS1033" s="112">
        <f t="shared" si="800"/>
        <v>1E-10</v>
      </c>
    </row>
    <row r="1034" spans="17:45" x14ac:dyDescent="0.25">
      <c r="Q1034" s="127">
        <v>45333.9375</v>
      </c>
      <c r="R1034">
        <v>1</v>
      </c>
      <c r="S1034" s="13">
        <f t="shared" si="804"/>
        <v>9451800.0000001397</v>
      </c>
      <c r="T1034">
        <f t="shared" si="801"/>
        <v>96</v>
      </c>
      <c r="U1034" s="13">
        <f t="shared" si="802"/>
        <v>9451800.0000001397</v>
      </c>
      <c r="V1034" s="112">
        <f t="shared" si="803"/>
        <v>96</v>
      </c>
      <c r="AN1034" s="127">
        <v>45333.9375</v>
      </c>
      <c r="AO1034">
        <v>1</v>
      </c>
      <c r="AP1034" s="13">
        <f t="shared" si="805"/>
        <v>9451800.0000001397</v>
      </c>
      <c r="AQ1034">
        <f t="shared" si="798"/>
        <v>96</v>
      </c>
      <c r="AR1034" s="13">
        <f t="shared" si="799"/>
        <v>9451800.0000001397</v>
      </c>
      <c r="AS1034" s="112">
        <f t="shared" si="800"/>
        <v>96</v>
      </c>
    </row>
    <row r="1035" spans="17:45" x14ac:dyDescent="0.25">
      <c r="Q1035" s="127">
        <v>45334.041666666657</v>
      </c>
      <c r="R1035">
        <v>3</v>
      </c>
      <c r="S1035" s="13">
        <f t="shared" si="804"/>
        <v>9460800.0000001397</v>
      </c>
      <c r="T1035">
        <f t="shared" si="801"/>
        <v>288</v>
      </c>
      <c r="U1035" s="13">
        <f t="shared" si="802"/>
        <v>9460800.0000001397</v>
      </c>
      <c r="V1035" s="112">
        <f t="shared" si="803"/>
        <v>288</v>
      </c>
      <c r="AN1035" s="127">
        <v>45334.041666666657</v>
      </c>
      <c r="AO1035">
        <v>1</v>
      </c>
      <c r="AP1035" s="13">
        <f t="shared" si="805"/>
        <v>9460800.0000001397</v>
      </c>
      <c r="AQ1035">
        <f t="shared" si="798"/>
        <v>96</v>
      </c>
      <c r="AR1035" s="13">
        <f t="shared" si="799"/>
        <v>9460800.0000001397</v>
      </c>
      <c r="AS1035" s="112">
        <f t="shared" si="800"/>
        <v>96</v>
      </c>
    </row>
    <row r="1036" spans="17:45" x14ac:dyDescent="0.25">
      <c r="Q1036" s="127">
        <v>45334.145833333343</v>
      </c>
      <c r="R1036">
        <v>1</v>
      </c>
      <c r="S1036" s="13">
        <f t="shared" si="804"/>
        <v>9469800.0000001397</v>
      </c>
      <c r="T1036">
        <f t="shared" si="801"/>
        <v>96</v>
      </c>
      <c r="U1036" s="13">
        <f t="shared" si="802"/>
        <v>9469800.0000001397</v>
      </c>
      <c r="V1036" s="112">
        <f t="shared" si="803"/>
        <v>96</v>
      </c>
      <c r="AN1036" s="127">
        <v>45334.145833333343</v>
      </c>
      <c r="AO1036">
        <v>1</v>
      </c>
      <c r="AP1036" s="13">
        <f t="shared" si="805"/>
        <v>9469800.0000001397</v>
      </c>
      <c r="AQ1036">
        <f t="shared" si="798"/>
        <v>96</v>
      </c>
      <c r="AR1036" s="13">
        <f t="shared" si="799"/>
        <v>9469800.0000001397</v>
      </c>
      <c r="AS1036" s="112">
        <f t="shared" si="800"/>
        <v>96</v>
      </c>
    </row>
    <row r="1037" spans="17:45" x14ac:dyDescent="0.25">
      <c r="Q1037" s="127">
        <v>45334.25</v>
      </c>
      <c r="R1037">
        <v>2</v>
      </c>
      <c r="S1037" s="13">
        <f t="shared" si="804"/>
        <v>9478800.0000001397</v>
      </c>
      <c r="T1037">
        <f t="shared" si="801"/>
        <v>192</v>
      </c>
      <c r="U1037" s="13">
        <f t="shared" si="802"/>
        <v>9478800.0000001397</v>
      </c>
      <c r="V1037" s="112">
        <f t="shared" si="803"/>
        <v>192</v>
      </c>
      <c r="AN1037" s="127">
        <v>45334.25</v>
      </c>
      <c r="AO1037">
        <v>1</v>
      </c>
      <c r="AP1037" s="13">
        <f t="shared" si="805"/>
        <v>9478800.0000001397</v>
      </c>
      <c r="AQ1037">
        <f t="shared" si="798"/>
        <v>96</v>
      </c>
      <c r="AR1037" s="13">
        <f t="shared" si="799"/>
        <v>9478800.0000001397</v>
      </c>
      <c r="AS1037" s="112">
        <f t="shared" si="800"/>
        <v>96</v>
      </c>
    </row>
    <row r="1038" spans="17:45" x14ac:dyDescent="0.25">
      <c r="Q1038" s="127">
        <v>45334.354166666657</v>
      </c>
      <c r="R1038">
        <v>2</v>
      </c>
      <c r="S1038" s="13">
        <f t="shared" si="804"/>
        <v>9487800.0000001397</v>
      </c>
      <c r="T1038">
        <f t="shared" si="801"/>
        <v>192</v>
      </c>
      <c r="U1038" s="13">
        <f t="shared" si="802"/>
        <v>9487800.0000001397</v>
      </c>
      <c r="V1038" s="112">
        <f t="shared" si="803"/>
        <v>192</v>
      </c>
      <c r="AN1038" s="127">
        <v>45334.354166666657</v>
      </c>
      <c r="AO1038">
        <v>1</v>
      </c>
      <c r="AP1038" s="13">
        <f t="shared" si="805"/>
        <v>9487800.0000001397</v>
      </c>
      <c r="AQ1038">
        <f t="shared" si="798"/>
        <v>96</v>
      </c>
      <c r="AR1038" s="13">
        <f t="shared" si="799"/>
        <v>9487800.0000001397</v>
      </c>
      <c r="AS1038" s="112">
        <f t="shared" si="800"/>
        <v>96</v>
      </c>
    </row>
    <row r="1039" spans="17:45" x14ac:dyDescent="0.25">
      <c r="Q1039" s="127">
        <v>45334.458333333343</v>
      </c>
      <c r="R1039">
        <v>1</v>
      </c>
      <c r="S1039" s="13">
        <f t="shared" si="804"/>
        <v>9496800.0000001397</v>
      </c>
      <c r="T1039">
        <f t="shared" si="801"/>
        <v>96</v>
      </c>
      <c r="U1039" s="13">
        <f t="shared" si="802"/>
        <v>9496800.0000001397</v>
      </c>
      <c r="V1039" s="112">
        <f t="shared" si="803"/>
        <v>96</v>
      </c>
      <c r="AN1039" s="127">
        <v>45334.458333333343</v>
      </c>
      <c r="AO1039">
        <v>1</v>
      </c>
      <c r="AP1039" s="13">
        <f t="shared" si="805"/>
        <v>9496800.0000001397</v>
      </c>
      <c r="AQ1039">
        <f t="shared" si="798"/>
        <v>96</v>
      </c>
      <c r="AR1039" s="13">
        <f t="shared" si="799"/>
        <v>9496800.0000001397</v>
      </c>
      <c r="AS1039" s="112">
        <f t="shared" si="800"/>
        <v>96</v>
      </c>
    </row>
    <row r="1040" spans="17:45" x14ac:dyDescent="0.25">
      <c r="Q1040" s="127">
        <v>45334.5625</v>
      </c>
      <c r="R1040">
        <v>1</v>
      </c>
      <c r="S1040" s="13">
        <f t="shared" si="804"/>
        <v>9505800.0000001397</v>
      </c>
      <c r="T1040">
        <f t="shared" si="801"/>
        <v>96</v>
      </c>
      <c r="U1040" s="13">
        <f t="shared" si="802"/>
        <v>9505800.0000001397</v>
      </c>
      <c r="V1040" s="112">
        <f t="shared" si="803"/>
        <v>96</v>
      </c>
      <c r="AN1040" s="127">
        <v>45334.5625</v>
      </c>
      <c r="AO1040">
        <v>1</v>
      </c>
      <c r="AP1040" s="13">
        <f t="shared" si="805"/>
        <v>9505800.0000001397</v>
      </c>
      <c r="AQ1040">
        <f t="shared" si="798"/>
        <v>96</v>
      </c>
      <c r="AR1040" s="13">
        <f t="shared" si="799"/>
        <v>9505800.0000001397</v>
      </c>
      <c r="AS1040" s="112">
        <f t="shared" si="800"/>
        <v>96</v>
      </c>
    </row>
    <row r="1041" spans="17:45" x14ac:dyDescent="0.25">
      <c r="Q1041" s="127">
        <v>45334.666666666657</v>
      </c>
      <c r="R1041">
        <v>1</v>
      </c>
      <c r="S1041" s="13">
        <f t="shared" si="804"/>
        <v>9514800.0000001397</v>
      </c>
      <c r="T1041">
        <f t="shared" si="801"/>
        <v>96</v>
      </c>
      <c r="U1041" s="13">
        <f t="shared" si="802"/>
        <v>9514800.0000001397</v>
      </c>
      <c r="V1041" s="112">
        <f t="shared" si="803"/>
        <v>96</v>
      </c>
      <c r="AN1041" s="127">
        <v>45334.666666666657</v>
      </c>
      <c r="AO1041">
        <v>1</v>
      </c>
      <c r="AP1041" s="13">
        <f t="shared" si="805"/>
        <v>9514800.0000001397</v>
      </c>
      <c r="AQ1041">
        <f t="shared" si="798"/>
        <v>96</v>
      </c>
      <c r="AR1041" s="13">
        <f t="shared" si="799"/>
        <v>9514800.0000001397</v>
      </c>
      <c r="AS1041" s="112">
        <f t="shared" si="800"/>
        <v>96</v>
      </c>
    </row>
    <row r="1042" spans="17:45" x14ac:dyDescent="0.25">
      <c r="Q1042" s="127">
        <v>45334.770833333343</v>
      </c>
      <c r="R1042">
        <v>1</v>
      </c>
      <c r="S1042" s="13">
        <f t="shared" si="804"/>
        <v>9523800.0000001397</v>
      </c>
      <c r="T1042">
        <f t="shared" si="801"/>
        <v>96</v>
      </c>
      <c r="U1042" s="13">
        <f t="shared" si="802"/>
        <v>9523800.0000001397</v>
      </c>
      <c r="V1042" s="112">
        <f t="shared" si="803"/>
        <v>96</v>
      </c>
      <c r="AN1042" s="127">
        <v>45334.770833333343</v>
      </c>
      <c r="AO1042">
        <v>1</v>
      </c>
      <c r="AP1042" s="13">
        <f t="shared" si="805"/>
        <v>9523800.0000001397</v>
      </c>
      <c r="AQ1042">
        <f t="shared" si="798"/>
        <v>96</v>
      </c>
      <c r="AR1042" s="13">
        <f t="shared" si="799"/>
        <v>9523800.0000001397</v>
      </c>
      <c r="AS1042" s="112">
        <f t="shared" si="800"/>
        <v>96</v>
      </c>
    </row>
    <row r="1043" spans="17:45" x14ac:dyDescent="0.25">
      <c r="Q1043" s="127">
        <v>45334.875</v>
      </c>
      <c r="R1043">
        <v>3</v>
      </c>
      <c r="S1043" s="13">
        <f t="shared" si="804"/>
        <v>9532800.0000001397</v>
      </c>
      <c r="T1043">
        <f t="shared" si="801"/>
        <v>288</v>
      </c>
      <c r="U1043" s="13">
        <f t="shared" si="802"/>
        <v>9532800.0000001397</v>
      </c>
      <c r="V1043" s="112">
        <f t="shared" si="803"/>
        <v>288</v>
      </c>
      <c r="AN1043" s="127">
        <v>45334.875</v>
      </c>
      <c r="AO1043">
        <v>1</v>
      </c>
      <c r="AP1043" s="13">
        <f t="shared" si="805"/>
        <v>9532800.0000001397</v>
      </c>
      <c r="AQ1043">
        <f t="shared" si="798"/>
        <v>96</v>
      </c>
      <c r="AR1043" s="13">
        <f t="shared" si="799"/>
        <v>9532800.0000001397</v>
      </c>
      <c r="AS1043" s="112">
        <f t="shared" si="800"/>
        <v>96</v>
      </c>
    </row>
    <row r="1044" spans="17:45" x14ac:dyDescent="0.25">
      <c r="Q1044" s="127">
        <v>45334.979166666657</v>
      </c>
      <c r="R1044">
        <v>1</v>
      </c>
      <c r="S1044" s="13">
        <f t="shared" si="804"/>
        <v>9541800.0000001397</v>
      </c>
      <c r="T1044">
        <f t="shared" si="801"/>
        <v>96</v>
      </c>
      <c r="U1044" s="13">
        <f t="shared" si="802"/>
        <v>9541800.0000001397</v>
      </c>
      <c r="V1044" s="112">
        <f t="shared" si="803"/>
        <v>96</v>
      </c>
      <c r="AN1044" s="127">
        <v>45334.979166666657</v>
      </c>
      <c r="AO1044">
        <v>1</v>
      </c>
      <c r="AP1044" s="13">
        <f t="shared" si="805"/>
        <v>9541800.0000001397</v>
      </c>
      <c r="AQ1044">
        <f t="shared" si="798"/>
        <v>96</v>
      </c>
      <c r="AR1044" s="13">
        <f t="shared" si="799"/>
        <v>9541800.0000001397</v>
      </c>
      <c r="AS1044" s="112">
        <f t="shared" si="800"/>
        <v>96</v>
      </c>
    </row>
    <row r="1045" spans="17:45" x14ac:dyDescent="0.25">
      <c r="Q1045" s="127">
        <v>45335.083333333343</v>
      </c>
      <c r="R1045">
        <v>0</v>
      </c>
      <c r="S1045" s="13">
        <f t="shared" si="804"/>
        <v>9550800.0000001397</v>
      </c>
      <c r="T1045">
        <f t="shared" si="801"/>
        <v>0</v>
      </c>
      <c r="U1045" s="13">
        <f t="shared" si="802"/>
        <v>9550800.0000001397</v>
      </c>
      <c r="V1045" s="112">
        <f t="shared" si="803"/>
        <v>1E-10</v>
      </c>
      <c r="AN1045" s="127">
        <v>45335.083333333343</v>
      </c>
      <c r="AO1045">
        <v>1</v>
      </c>
      <c r="AP1045" s="13">
        <f t="shared" si="805"/>
        <v>9550800.0000001397</v>
      </c>
      <c r="AQ1045">
        <f t="shared" si="798"/>
        <v>96</v>
      </c>
      <c r="AR1045" s="13">
        <f t="shared" si="799"/>
        <v>9550800.0000001397</v>
      </c>
      <c r="AS1045" s="112">
        <f t="shared" si="800"/>
        <v>96</v>
      </c>
    </row>
    <row r="1046" spans="17:45" x14ac:dyDescent="0.25">
      <c r="Q1046" s="127">
        <v>45335.1875</v>
      </c>
      <c r="R1046">
        <v>0</v>
      </c>
      <c r="S1046" s="13">
        <f t="shared" si="804"/>
        <v>9559800.0000001397</v>
      </c>
      <c r="T1046">
        <f t="shared" si="801"/>
        <v>0</v>
      </c>
      <c r="U1046" s="13">
        <f t="shared" si="802"/>
        <v>9559800.0000001397</v>
      </c>
      <c r="V1046" s="112">
        <f t="shared" si="803"/>
        <v>1E-10</v>
      </c>
      <c r="AN1046" s="127">
        <v>45335.1875</v>
      </c>
      <c r="AO1046">
        <v>1</v>
      </c>
      <c r="AP1046" s="13">
        <f t="shared" si="805"/>
        <v>9559800.0000001397</v>
      </c>
      <c r="AQ1046">
        <f t="shared" si="798"/>
        <v>96</v>
      </c>
      <c r="AR1046" s="13">
        <f t="shared" si="799"/>
        <v>9559800.0000001397</v>
      </c>
      <c r="AS1046" s="112">
        <f t="shared" si="800"/>
        <v>96</v>
      </c>
    </row>
    <row r="1047" spans="17:45" x14ac:dyDescent="0.25">
      <c r="Q1047" s="127">
        <v>45335.291666666657</v>
      </c>
      <c r="R1047">
        <v>0</v>
      </c>
      <c r="S1047" s="13">
        <f t="shared" si="804"/>
        <v>9568800.0000001397</v>
      </c>
      <c r="T1047">
        <f t="shared" si="801"/>
        <v>0</v>
      </c>
      <c r="U1047" s="13">
        <f t="shared" si="802"/>
        <v>9568800.0000001397</v>
      </c>
      <c r="V1047" s="112">
        <f t="shared" si="803"/>
        <v>1E-10</v>
      </c>
      <c r="AN1047" s="127">
        <v>45335.291666666657</v>
      </c>
      <c r="AO1047">
        <v>1</v>
      </c>
      <c r="AP1047" s="13">
        <f t="shared" si="805"/>
        <v>9568800.0000001397</v>
      </c>
      <c r="AQ1047">
        <f t="shared" si="798"/>
        <v>96</v>
      </c>
      <c r="AR1047" s="13">
        <f t="shared" si="799"/>
        <v>9568800.0000001397</v>
      </c>
      <c r="AS1047" s="112">
        <f t="shared" si="800"/>
        <v>96</v>
      </c>
    </row>
    <row r="1048" spans="17:45" x14ac:dyDescent="0.25">
      <c r="Q1048" s="127">
        <v>45335.395833333343</v>
      </c>
      <c r="R1048">
        <v>0</v>
      </c>
      <c r="S1048" s="13">
        <f t="shared" si="804"/>
        <v>9577800.0000001397</v>
      </c>
      <c r="T1048">
        <f t="shared" si="801"/>
        <v>0</v>
      </c>
      <c r="U1048" s="13">
        <f t="shared" si="802"/>
        <v>9577800.0000001397</v>
      </c>
      <c r="V1048" s="112">
        <f t="shared" si="803"/>
        <v>1E-10</v>
      </c>
      <c r="AN1048" s="127">
        <v>45335.395833333343</v>
      </c>
      <c r="AO1048">
        <v>1</v>
      </c>
      <c r="AP1048" s="13">
        <f t="shared" si="805"/>
        <v>9577800.0000001397</v>
      </c>
      <c r="AQ1048">
        <f t="shared" si="798"/>
        <v>96</v>
      </c>
      <c r="AR1048" s="13">
        <f t="shared" si="799"/>
        <v>9577800.0000001397</v>
      </c>
      <c r="AS1048" s="112">
        <f t="shared" si="800"/>
        <v>96</v>
      </c>
    </row>
    <row r="1049" spans="17:45" x14ac:dyDescent="0.25">
      <c r="Q1049" s="127">
        <v>45335.5</v>
      </c>
      <c r="R1049">
        <v>0</v>
      </c>
      <c r="S1049" s="13">
        <f t="shared" si="804"/>
        <v>9586800.0000001397</v>
      </c>
      <c r="T1049">
        <f t="shared" si="801"/>
        <v>0</v>
      </c>
      <c r="U1049" s="13">
        <f t="shared" si="802"/>
        <v>9586800.0000001397</v>
      </c>
      <c r="V1049" s="112">
        <f t="shared" si="803"/>
        <v>1E-10</v>
      </c>
      <c r="AN1049" s="127">
        <v>45335.5</v>
      </c>
      <c r="AO1049">
        <v>1</v>
      </c>
      <c r="AP1049" s="13">
        <f t="shared" si="805"/>
        <v>9586800.0000001397</v>
      </c>
      <c r="AQ1049">
        <f t="shared" si="798"/>
        <v>96</v>
      </c>
      <c r="AR1049" s="13">
        <f t="shared" si="799"/>
        <v>9586800.0000001397</v>
      </c>
      <c r="AS1049" s="112">
        <f t="shared" si="800"/>
        <v>96</v>
      </c>
    </row>
    <row r="1050" spans="17:45" x14ac:dyDescent="0.25">
      <c r="Q1050" s="127">
        <v>45335.604166666657</v>
      </c>
      <c r="R1050">
        <v>1</v>
      </c>
      <c r="S1050" s="13">
        <f t="shared" si="804"/>
        <v>9595800.0000001397</v>
      </c>
      <c r="T1050">
        <f t="shared" si="801"/>
        <v>96</v>
      </c>
      <c r="U1050" s="13">
        <f t="shared" si="802"/>
        <v>9595800.0000001397</v>
      </c>
      <c r="V1050" s="112">
        <f t="shared" si="803"/>
        <v>96</v>
      </c>
      <c r="AN1050" s="127">
        <v>45335.604166666657</v>
      </c>
      <c r="AO1050">
        <v>1</v>
      </c>
      <c r="AP1050" s="13">
        <f t="shared" si="805"/>
        <v>9595800.0000001397</v>
      </c>
      <c r="AQ1050">
        <f t="shared" si="798"/>
        <v>96</v>
      </c>
      <c r="AR1050" s="13">
        <f t="shared" si="799"/>
        <v>9595800.0000001397</v>
      </c>
      <c r="AS1050" s="112">
        <f t="shared" si="800"/>
        <v>96</v>
      </c>
    </row>
    <row r="1051" spans="17:45" x14ac:dyDescent="0.25">
      <c r="Q1051" s="127">
        <v>45335.708333333343</v>
      </c>
      <c r="R1051">
        <v>0</v>
      </c>
      <c r="S1051" s="13">
        <f t="shared" si="804"/>
        <v>9604800.0000001397</v>
      </c>
      <c r="T1051">
        <f t="shared" si="801"/>
        <v>0</v>
      </c>
      <c r="U1051" s="13">
        <f t="shared" si="802"/>
        <v>9604800.0000001397</v>
      </c>
      <c r="V1051" s="112">
        <f t="shared" si="803"/>
        <v>1E-10</v>
      </c>
      <c r="AN1051" s="127">
        <v>45335.708333333343</v>
      </c>
      <c r="AO1051">
        <v>1</v>
      </c>
      <c r="AP1051" s="13">
        <f t="shared" si="805"/>
        <v>9604800.0000001397</v>
      </c>
      <c r="AQ1051">
        <f t="shared" si="798"/>
        <v>96</v>
      </c>
      <c r="AR1051" s="13">
        <f t="shared" si="799"/>
        <v>9604800.0000001397</v>
      </c>
      <c r="AS1051" s="112">
        <f t="shared" si="800"/>
        <v>96</v>
      </c>
    </row>
    <row r="1052" spans="17:45" x14ac:dyDescent="0.25">
      <c r="Q1052" s="127">
        <v>45335.8125</v>
      </c>
      <c r="R1052">
        <v>1</v>
      </c>
      <c r="S1052" s="13">
        <f t="shared" si="804"/>
        <v>9613800.0000001397</v>
      </c>
      <c r="T1052">
        <f t="shared" si="801"/>
        <v>96</v>
      </c>
      <c r="U1052" s="13">
        <f t="shared" si="802"/>
        <v>9613800.0000001397</v>
      </c>
      <c r="V1052" s="112">
        <f t="shared" si="803"/>
        <v>96</v>
      </c>
      <c r="AN1052" s="127">
        <v>45335.8125</v>
      </c>
      <c r="AO1052">
        <v>1</v>
      </c>
      <c r="AP1052" s="13">
        <f t="shared" si="805"/>
        <v>9613800.0000001397</v>
      </c>
      <c r="AQ1052">
        <f t="shared" si="798"/>
        <v>96</v>
      </c>
      <c r="AR1052" s="13">
        <f t="shared" si="799"/>
        <v>9613800.0000001397</v>
      </c>
      <c r="AS1052" s="112">
        <f t="shared" si="800"/>
        <v>96</v>
      </c>
    </row>
    <row r="1053" spans="17:45" x14ac:dyDescent="0.25">
      <c r="Q1053" s="127">
        <v>45335.916666666657</v>
      </c>
      <c r="R1053">
        <v>2</v>
      </c>
      <c r="S1053" s="13">
        <f t="shared" si="804"/>
        <v>9622800.0000001397</v>
      </c>
      <c r="T1053">
        <f t="shared" si="801"/>
        <v>192</v>
      </c>
      <c r="U1053" s="13">
        <f t="shared" si="802"/>
        <v>9622800.0000001397</v>
      </c>
      <c r="V1053" s="112">
        <f t="shared" si="803"/>
        <v>192</v>
      </c>
      <c r="AN1053" s="127">
        <v>45335.916666666657</v>
      </c>
      <c r="AO1053">
        <v>1</v>
      </c>
      <c r="AP1053" s="13">
        <f t="shared" si="805"/>
        <v>9622800.0000001397</v>
      </c>
      <c r="AQ1053">
        <f t="shared" si="798"/>
        <v>96</v>
      </c>
      <c r="AR1053" s="13">
        <f t="shared" si="799"/>
        <v>9622800.0000001397</v>
      </c>
      <c r="AS1053" s="112">
        <f t="shared" si="800"/>
        <v>96</v>
      </c>
    </row>
    <row r="1054" spans="17:45" x14ac:dyDescent="0.25">
      <c r="Q1054" s="127">
        <v>45336.020833333343</v>
      </c>
      <c r="R1054">
        <v>2</v>
      </c>
      <c r="S1054" s="13">
        <f t="shared" si="804"/>
        <v>9631800.0000001397</v>
      </c>
      <c r="T1054">
        <f t="shared" si="801"/>
        <v>192</v>
      </c>
      <c r="U1054" s="13">
        <f t="shared" si="802"/>
        <v>9631800.0000001397</v>
      </c>
      <c r="V1054" s="112">
        <f t="shared" si="803"/>
        <v>192</v>
      </c>
      <c r="AN1054" s="127">
        <v>45336.020833333343</v>
      </c>
      <c r="AO1054">
        <v>1</v>
      </c>
      <c r="AP1054" s="13">
        <f t="shared" si="805"/>
        <v>9631800.0000001397</v>
      </c>
      <c r="AQ1054">
        <f t="shared" si="798"/>
        <v>96</v>
      </c>
      <c r="AR1054" s="13">
        <f t="shared" si="799"/>
        <v>9631800.0000001397</v>
      </c>
      <c r="AS1054" s="112">
        <f t="shared" si="800"/>
        <v>96</v>
      </c>
    </row>
    <row r="1055" spans="17:45" x14ac:dyDescent="0.25">
      <c r="Q1055" s="127">
        <v>45336.125</v>
      </c>
      <c r="R1055">
        <v>2</v>
      </c>
      <c r="S1055" s="13">
        <f t="shared" si="804"/>
        <v>9640800.0000001397</v>
      </c>
      <c r="T1055">
        <f t="shared" si="801"/>
        <v>192</v>
      </c>
      <c r="U1055" s="13">
        <f t="shared" si="802"/>
        <v>9640800.0000001397</v>
      </c>
      <c r="V1055" s="112">
        <f t="shared" si="803"/>
        <v>192</v>
      </c>
      <c r="AN1055" s="127">
        <v>45336.125</v>
      </c>
      <c r="AO1055">
        <v>1</v>
      </c>
      <c r="AP1055" s="13">
        <f t="shared" si="805"/>
        <v>9640800.0000001397</v>
      </c>
      <c r="AQ1055">
        <f t="shared" si="798"/>
        <v>96</v>
      </c>
      <c r="AR1055" s="13">
        <f t="shared" si="799"/>
        <v>9640800.0000001397</v>
      </c>
      <c r="AS1055" s="112">
        <f t="shared" si="800"/>
        <v>96</v>
      </c>
    </row>
    <row r="1056" spans="17:45" x14ac:dyDescent="0.25">
      <c r="Q1056" s="127">
        <v>45336.229166666657</v>
      </c>
      <c r="R1056">
        <v>2</v>
      </c>
      <c r="S1056" s="13">
        <f t="shared" si="804"/>
        <v>9649800.0000001397</v>
      </c>
      <c r="T1056">
        <f t="shared" si="801"/>
        <v>192</v>
      </c>
      <c r="U1056" s="13">
        <f t="shared" si="802"/>
        <v>9649800.0000001397</v>
      </c>
      <c r="V1056" s="112">
        <f t="shared" si="803"/>
        <v>192</v>
      </c>
      <c r="AN1056" s="127">
        <v>45336.229166666657</v>
      </c>
      <c r="AO1056">
        <v>1</v>
      </c>
      <c r="AP1056" s="13">
        <f t="shared" si="805"/>
        <v>9649800.0000001397</v>
      </c>
      <c r="AQ1056">
        <f t="shared" si="798"/>
        <v>96</v>
      </c>
      <c r="AR1056" s="13">
        <f t="shared" si="799"/>
        <v>9649800.0000001397</v>
      </c>
      <c r="AS1056" s="112">
        <f t="shared" si="800"/>
        <v>96</v>
      </c>
    </row>
    <row r="1057" spans="17:45" x14ac:dyDescent="0.25">
      <c r="Q1057" s="127">
        <v>45336.333333333343</v>
      </c>
      <c r="R1057">
        <v>3</v>
      </c>
      <c r="S1057" s="13">
        <f t="shared" si="804"/>
        <v>9658800.0000001397</v>
      </c>
      <c r="T1057">
        <f t="shared" si="801"/>
        <v>288</v>
      </c>
      <c r="U1057" s="13">
        <f t="shared" si="802"/>
        <v>9658800.0000001397</v>
      </c>
      <c r="V1057" s="112">
        <f t="shared" si="803"/>
        <v>288</v>
      </c>
      <c r="AN1057" s="127">
        <v>45336.333333333343</v>
      </c>
      <c r="AO1057">
        <v>1</v>
      </c>
      <c r="AP1057" s="13">
        <f t="shared" si="805"/>
        <v>9658800.0000001397</v>
      </c>
      <c r="AQ1057">
        <f t="shared" si="798"/>
        <v>96</v>
      </c>
      <c r="AR1057" s="13">
        <f t="shared" si="799"/>
        <v>9658800.0000001397</v>
      </c>
      <c r="AS1057" s="112">
        <f t="shared" si="800"/>
        <v>96</v>
      </c>
    </row>
    <row r="1058" spans="17:45" x14ac:dyDescent="0.25">
      <c r="Q1058" s="127">
        <v>45336.4375</v>
      </c>
      <c r="R1058">
        <v>2</v>
      </c>
      <c r="S1058" s="13">
        <f t="shared" si="804"/>
        <v>9667800.0000001397</v>
      </c>
      <c r="T1058">
        <f t="shared" si="801"/>
        <v>192</v>
      </c>
      <c r="U1058" s="13">
        <f t="shared" si="802"/>
        <v>9667800.0000001397</v>
      </c>
      <c r="V1058" s="112">
        <f t="shared" si="803"/>
        <v>192</v>
      </c>
      <c r="AN1058" s="127">
        <v>45336.4375</v>
      </c>
      <c r="AO1058">
        <v>1</v>
      </c>
      <c r="AP1058" s="13">
        <f t="shared" si="805"/>
        <v>9667800.0000001397</v>
      </c>
      <c r="AQ1058">
        <f t="shared" si="798"/>
        <v>96</v>
      </c>
      <c r="AR1058" s="13">
        <f t="shared" si="799"/>
        <v>9667800.0000001397</v>
      </c>
      <c r="AS1058" s="112">
        <f t="shared" si="800"/>
        <v>96</v>
      </c>
    </row>
    <row r="1059" spans="17:45" x14ac:dyDescent="0.25">
      <c r="Q1059" s="127">
        <v>45336.541666666657</v>
      </c>
      <c r="R1059">
        <v>2</v>
      </c>
      <c r="S1059" s="13">
        <f t="shared" si="804"/>
        <v>9676800.0000001397</v>
      </c>
      <c r="T1059">
        <f t="shared" si="801"/>
        <v>192</v>
      </c>
      <c r="U1059" s="13">
        <f t="shared" si="802"/>
        <v>9676800.0000001397</v>
      </c>
      <c r="V1059" s="112">
        <f t="shared" si="803"/>
        <v>192</v>
      </c>
      <c r="AN1059" s="127">
        <v>45336.541666666657</v>
      </c>
      <c r="AO1059">
        <v>1</v>
      </c>
      <c r="AP1059" s="13">
        <f t="shared" si="805"/>
        <v>9676800.0000001397</v>
      </c>
      <c r="AQ1059">
        <f t="shared" ref="AQ1059:AQ1122" si="806">AO1059*96</f>
        <v>96</v>
      </c>
      <c r="AR1059" s="13">
        <f t="shared" ref="AR1059:AR1122" si="807">AP1059</f>
        <v>9676800.0000001397</v>
      </c>
      <c r="AS1059" s="112">
        <f t="shared" ref="AS1059:AS1122" si="808">IF(AQ1059=0,0.0000000001,AQ1059)</f>
        <v>96</v>
      </c>
    </row>
    <row r="1060" spans="17:45" x14ac:dyDescent="0.25">
      <c r="Q1060" s="127">
        <v>45336.645833333343</v>
      </c>
      <c r="R1060">
        <v>1</v>
      </c>
      <c r="S1060" s="13">
        <f t="shared" si="804"/>
        <v>9685800.0000001397</v>
      </c>
      <c r="T1060">
        <f t="shared" si="801"/>
        <v>96</v>
      </c>
      <c r="U1060" s="13">
        <f t="shared" si="802"/>
        <v>9685800.0000001397</v>
      </c>
      <c r="V1060" s="112">
        <f t="shared" si="803"/>
        <v>96</v>
      </c>
      <c r="AN1060" s="127">
        <v>45336.645833333343</v>
      </c>
      <c r="AO1060">
        <v>1</v>
      </c>
      <c r="AP1060" s="13">
        <f t="shared" si="805"/>
        <v>9685800.0000001397</v>
      </c>
      <c r="AQ1060">
        <f t="shared" si="806"/>
        <v>96</v>
      </c>
      <c r="AR1060" s="13">
        <f t="shared" si="807"/>
        <v>9685800.0000001397</v>
      </c>
      <c r="AS1060" s="112">
        <f t="shared" si="808"/>
        <v>96</v>
      </c>
    </row>
    <row r="1061" spans="17:45" x14ac:dyDescent="0.25">
      <c r="Q1061" s="127">
        <v>45336.75</v>
      </c>
      <c r="R1061">
        <v>1</v>
      </c>
      <c r="S1061" s="13">
        <f t="shared" si="804"/>
        <v>9694800.0000001397</v>
      </c>
      <c r="T1061">
        <f t="shared" si="801"/>
        <v>96</v>
      </c>
      <c r="U1061" s="13">
        <f t="shared" si="802"/>
        <v>9694800.0000001397</v>
      </c>
      <c r="V1061" s="112">
        <f t="shared" si="803"/>
        <v>96</v>
      </c>
      <c r="AN1061" s="127">
        <v>45336.75</v>
      </c>
      <c r="AO1061">
        <v>1</v>
      </c>
      <c r="AP1061" s="13">
        <f t="shared" si="805"/>
        <v>9694800.0000001397</v>
      </c>
      <c r="AQ1061">
        <f t="shared" si="806"/>
        <v>96</v>
      </c>
      <c r="AR1061" s="13">
        <f t="shared" si="807"/>
        <v>9694800.0000001397</v>
      </c>
      <c r="AS1061" s="112">
        <f t="shared" si="808"/>
        <v>96</v>
      </c>
    </row>
    <row r="1062" spans="17:45" x14ac:dyDescent="0.25">
      <c r="Q1062" s="127">
        <v>45336.854166666657</v>
      </c>
      <c r="R1062">
        <v>1</v>
      </c>
      <c r="S1062" s="13">
        <f t="shared" si="804"/>
        <v>9703800.0000001397</v>
      </c>
      <c r="T1062">
        <f t="shared" si="801"/>
        <v>96</v>
      </c>
      <c r="U1062" s="13">
        <f t="shared" si="802"/>
        <v>9703800.0000001397</v>
      </c>
      <c r="V1062" s="112">
        <f t="shared" si="803"/>
        <v>96</v>
      </c>
      <c r="AN1062" s="127">
        <v>45336.854166666657</v>
      </c>
      <c r="AO1062">
        <v>1</v>
      </c>
      <c r="AP1062" s="13">
        <f t="shared" si="805"/>
        <v>9703800.0000001397</v>
      </c>
      <c r="AQ1062">
        <f t="shared" si="806"/>
        <v>96</v>
      </c>
      <c r="AR1062" s="13">
        <f t="shared" si="807"/>
        <v>9703800.0000001397</v>
      </c>
      <c r="AS1062" s="112">
        <f t="shared" si="808"/>
        <v>96</v>
      </c>
    </row>
    <row r="1063" spans="17:45" x14ac:dyDescent="0.25">
      <c r="Q1063" s="127">
        <v>45336.958333333343</v>
      </c>
      <c r="R1063">
        <v>0</v>
      </c>
      <c r="S1063" s="13">
        <f t="shared" si="804"/>
        <v>9712800.0000001397</v>
      </c>
      <c r="T1063">
        <f t="shared" si="801"/>
        <v>0</v>
      </c>
      <c r="U1063" s="13">
        <f t="shared" si="802"/>
        <v>9712800.0000001397</v>
      </c>
      <c r="V1063" s="112">
        <f t="shared" si="803"/>
        <v>1E-10</v>
      </c>
      <c r="AN1063" s="127">
        <v>45336.958333333343</v>
      </c>
      <c r="AO1063">
        <v>1</v>
      </c>
      <c r="AP1063" s="13">
        <f t="shared" si="805"/>
        <v>9712800.0000001397</v>
      </c>
      <c r="AQ1063">
        <f t="shared" si="806"/>
        <v>96</v>
      </c>
      <c r="AR1063" s="13">
        <f t="shared" si="807"/>
        <v>9712800.0000001397</v>
      </c>
      <c r="AS1063" s="112">
        <f t="shared" si="808"/>
        <v>96</v>
      </c>
    </row>
    <row r="1064" spans="17:45" x14ac:dyDescent="0.25">
      <c r="Q1064" s="127">
        <v>45337.0625</v>
      </c>
      <c r="R1064">
        <v>0</v>
      </c>
      <c r="S1064" s="13">
        <f t="shared" si="804"/>
        <v>9721800.0000001397</v>
      </c>
      <c r="T1064">
        <f t="shared" si="801"/>
        <v>0</v>
      </c>
      <c r="U1064" s="13">
        <f t="shared" si="802"/>
        <v>9721800.0000001397</v>
      </c>
      <c r="V1064" s="112">
        <f t="shared" si="803"/>
        <v>1E-10</v>
      </c>
      <c r="AN1064" s="127">
        <v>45337.0625</v>
      </c>
      <c r="AO1064">
        <v>1</v>
      </c>
      <c r="AP1064" s="13">
        <f t="shared" si="805"/>
        <v>9721800.0000001397</v>
      </c>
      <c r="AQ1064">
        <f t="shared" si="806"/>
        <v>96</v>
      </c>
      <c r="AR1064" s="13">
        <f t="shared" si="807"/>
        <v>9721800.0000001397</v>
      </c>
      <c r="AS1064" s="112">
        <f t="shared" si="808"/>
        <v>96</v>
      </c>
    </row>
    <row r="1065" spans="17:45" x14ac:dyDescent="0.25">
      <c r="Q1065" s="127">
        <v>45337.166666666657</v>
      </c>
      <c r="R1065">
        <v>0</v>
      </c>
      <c r="S1065" s="13">
        <f t="shared" si="804"/>
        <v>9730800.0000001397</v>
      </c>
      <c r="T1065">
        <f t="shared" si="801"/>
        <v>0</v>
      </c>
      <c r="U1065" s="13">
        <f t="shared" si="802"/>
        <v>9730800.0000001397</v>
      </c>
      <c r="V1065" s="112">
        <f t="shared" si="803"/>
        <v>1E-10</v>
      </c>
      <c r="AN1065" s="127">
        <v>45337.166666666657</v>
      </c>
      <c r="AO1065">
        <v>1</v>
      </c>
      <c r="AP1065" s="13">
        <f t="shared" si="805"/>
        <v>9730800.0000001397</v>
      </c>
      <c r="AQ1065">
        <f t="shared" si="806"/>
        <v>96</v>
      </c>
      <c r="AR1065" s="13">
        <f t="shared" si="807"/>
        <v>9730800.0000001397</v>
      </c>
      <c r="AS1065" s="112">
        <f t="shared" si="808"/>
        <v>96</v>
      </c>
    </row>
    <row r="1066" spans="17:45" x14ac:dyDescent="0.25">
      <c r="Q1066" s="127">
        <v>45337.270833333343</v>
      </c>
      <c r="R1066">
        <v>0</v>
      </c>
      <c r="S1066" s="13">
        <f t="shared" si="804"/>
        <v>9739800.0000001397</v>
      </c>
      <c r="T1066">
        <f t="shared" si="801"/>
        <v>0</v>
      </c>
      <c r="U1066" s="13">
        <f t="shared" si="802"/>
        <v>9739800.0000001397</v>
      </c>
      <c r="V1066" s="112">
        <f t="shared" si="803"/>
        <v>1E-10</v>
      </c>
      <c r="AN1066" s="127">
        <v>45337.270833333343</v>
      </c>
      <c r="AO1066">
        <v>1</v>
      </c>
      <c r="AP1066" s="13">
        <f t="shared" si="805"/>
        <v>9739800.0000001397</v>
      </c>
      <c r="AQ1066">
        <f t="shared" si="806"/>
        <v>96</v>
      </c>
      <c r="AR1066" s="13">
        <f t="shared" si="807"/>
        <v>9739800.0000001397</v>
      </c>
      <c r="AS1066" s="112">
        <f t="shared" si="808"/>
        <v>96</v>
      </c>
    </row>
    <row r="1067" spans="17:45" x14ac:dyDescent="0.25">
      <c r="Q1067" s="127">
        <v>45337.375</v>
      </c>
      <c r="R1067">
        <v>0</v>
      </c>
      <c r="S1067" s="13">
        <f t="shared" si="804"/>
        <v>9748800.0000001397</v>
      </c>
      <c r="T1067">
        <f t="shared" si="801"/>
        <v>0</v>
      </c>
      <c r="U1067" s="13">
        <f t="shared" si="802"/>
        <v>9748800.0000001397</v>
      </c>
      <c r="V1067" s="112">
        <f t="shared" si="803"/>
        <v>1E-10</v>
      </c>
      <c r="AN1067" s="127">
        <v>45337.375</v>
      </c>
      <c r="AO1067">
        <v>1</v>
      </c>
      <c r="AP1067" s="13">
        <f t="shared" si="805"/>
        <v>9748800.0000001397</v>
      </c>
      <c r="AQ1067">
        <f t="shared" si="806"/>
        <v>96</v>
      </c>
      <c r="AR1067" s="13">
        <f t="shared" si="807"/>
        <v>9748800.0000001397</v>
      </c>
      <c r="AS1067" s="112">
        <f t="shared" si="808"/>
        <v>96</v>
      </c>
    </row>
    <row r="1068" spans="17:45" x14ac:dyDescent="0.25">
      <c r="Q1068" s="127">
        <v>45337.479166666657</v>
      </c>
      <c r="R1068">
        <v>0</v>
      </c>
      <c r="S1068" s="13">
        <f t="shared" si="804"/>
        <v>9757800.0000001397</v>
      </c>
      <c r="T1068">
        <f t="shared" si="801"/>
        <v>0</v>
      </c>
      <c r="U1068" s="13">
        <f t="shared" si="802"/>
        <v>9757800.0000001397</v>
      </c>
      <c r="V1068" s="112">
        <f t="shared" si="803"/>
        <v>1E-10</v>
      </c>
      <c r="AN1068" s="127">
        <v>45337.479166666657</v>
      </c>
      <c r="AO1068">
        <v>1</v>
      </c>
      <c r="AP1068" s="13">
        <f t="shared" si="805"/>
        <v>9757800.0000001397</v>
      </c>
      <c r="AQ1068">
        <f t="shared" si="806"/>
        <v>96</v>
      </c>
      <c r="AR1068" s="13">
        <f t="shared" si="807"/>
        <v>9757800.0000001397</v>
      </c>
      <c r="AS1068" s="112">
        <f t="shared" si="808"/>
        <v>96</v>
      </c>
    </row>
    <row r="1069" spans="17:45" x14ac:dyDescent="0.25">
      <c r="Q1069" s="127">
        <v>45337.583333333343</v>
      </c>
      <c r="R1069">
        <v>2</v>
      </c>
      <c r="S1069" s="13">
        <f t="shared" si="804"/>
        <v>9766800.0000001397</v>
      </c>
      <c r="T1069">
        <f t="shared" si="801"/>
        <v>192</v>
      </c>
      <c r="U1069" s="13">
        <f t="shared" si="802"/>
        <v>9766800.0000001397</v>
      </c>
      <c r="V1069" s="112">
        <f t="shared" si="803"/>
        <v>192</v>
      </c>
      <c r="AN1069" s="127">
        <v>45337.583333333343</v>
      </c>
      <c r="AO1069">
        <v>1</v>
      </c>
      <c r="AP1069" s="13">
        <f t="shared" si="805"/>
        <v>9766800.0000001397</v>
      </c>
      <c r="AQ1069">
        <f t="shared" si="806"/>
        <v>96</v>
      </c>
      <c r="AR1069" s="13">
        <f t="shared" si="807"/>
        <v>9766800.0000001397</v>
      </c>
      <c r="AS1069" s="112">
        <f t="shared" si="808"/>
        <v>96</v>
      </c>
    </row>
    <row r="1070" spans="17:45" x14ac:dyDescent="0.25">
      <c r="Q1070" s="127">
        <v>45337.6875</v>
      </c>
      <c r="R1070">
        <v>1</v>
      </c>
      <c r="S1070" s="13">
        <f t="shared" si="804"/>
        <v>9775800.0000001397</v>
      </c>
      <c r="T1070">
        <f t="shared" si="801"/>
        <v>96</v>
      </c>
      <c r="U1070" s="13">
        <f t="shared" si="802"/>
        <v>9775800.0000001397</v>
      </c>
      <c r="V1070" s="112">
        <f t="shared" si="803"/>
        <v>96</v>
      </c>
      <c r="AN1070" s="127">
        <v>45337.6875</v>
      </c>
      <c r="AO1070">
        <v>1</v>
      </c>
      <c r="AP1070" s="13">
        <f t="shared" si="805"/>
        <v>9775800.0000001397</v>
      </c>
      <c r="AQ1070">
        <f t="shared" si="806"/>
        <v>96</v>
      </c>
      <c r="AR1070" s="13">
        <f t="shared" si="807"/>
        <v>9775800.0000001397</v>
      </c>
      <c r="AS1070" s="112">
        <f t="shared" si="808"/>
        <v>96</v>
      </c>
    </row>
    <row r="1071" spans="17:45" x14ac:dyDescent="0.25">
      <c r="Q1071" s="127">
        <v>45337.791666666657</v>
      </c>
      <c r="R1071">
        <v>2</v>
      </c>
      <c r="S1071" s="13">
        <f t="shared" si="804"/>
        <v>9784800.0000001397</v>
      </c>
      <c r="T1071">
        <f t="shared" si="801"/>
        <v>192</v>
      </c>
      <c r="U1071" s="13">
        <f t="shared" si="802"/>
        <v>9784800.0000001397</v>
      </c>
      <c r="V1071" s="112">
        <f t="shared" si="803"/>
        <v>192</v>
      </c>
      <c r="AN1071" s="127">
        <v>45337.791666666657</v>
      </c>
      <c r="AO1071">
        <v>0</v>
      </c>
      <c r="AP1071" s="13">
        <f t="shared" si="805"/>
        <v>9784800.0000001397</v>
      </c>
      <c r="AQ1071">
        <f t="shared" si="806"/>
        <v>0</v>
      </c>
      <c r="AR1071" s="13">
        <f t="shared" si="807"/>
        <v>9784800.0000001397</v>
      </c>
      <c r="AS1071" s="112">
        <f t="shared" si="808"/>
        <v>1E-10</v>
      </c>
    </row>
    <row r="1072" spans="17:45" x14ac:dyDescent="0.25">
      <c r="Q1072" s="127">
        <v>45337.895833333343</v>
      </c>
      <c r="R1072">
        <v>2</v>
      </c>
      <c r="S1072" s="13">
        <f t="shared" si="804"/>
        <v>9793800.0000001397</v>
      </c>
      <c r="T1072">
        <f t="shared" si="801"/>
        <v>192</v>
      </c>
      <c r="U1072" s="13">
        <f t="shared" si="802"/>
        <v>9793800.0000001397</v>
      </c>
      <c r="V1072" s="112">
        <f t="shared" si="803"/>
        <v>192</v>
      </c>
      <c r="AN1072" s="127">
        <v>45337.895833333343</v>
      </c>
      <c r="AO1072">
        <v>1</v>
      </c>
      <c r="AP1072" s="13">
        <f t="shared" si="805"/>
        <v>9793800.0000001397</v>
      </c>
      <c r="AQ1072">
        <f t="shared" si="806"/>
        <v>96</v>
      </c>
      <c r="AR1072" s="13">
        <f t="shared" si="807"/>
        <v>9793800.0000001397</v>
      </c>
      <c r="AS1072" s="112">
        <f t="shared" si="808"/>
        <v>96</v>
      </c>
    </row>
    <row r="1073" spans="17:45" x14ac:dyDescent="0.25">
      <c r="Q1073" s="127">
        <v>45338</v>
      </c>
      <c r="R1073">
        <v>2</v>
      </c>
      <c r="S1073" s="13">
        <f t="shared" si="804"/>
        <v>9802800.0000001397</v>
      </c>
      <c r="T1073">
        <f t="shared" si="801"/>
        <v>192</v>
      </c>
      <c r="U1073" s="13">
        <f t="shared" si="802"/>
        <v>9802800.0000001397</v>
      </c>
      <c r="V1073" s="112">
        <f t="shared" si="803"/>
        <v>192</v>
      </c>
      <c r="AN1073" s="127">
        <v>45338</v>
      </c>
      <c r="AO1073">
        <v>1</v>
      </c>
      <c r="AP1073" s="13">
        <f t="shared" si="805"/>
        <v>9802800.0000001397</v>
      </c>
      <c r="AQ1073">
        <f t="shared" si="806"/>
        <v>96</v>
      </c>
      <c r="AR1073" s="13">
        <f t="shared" si="807"/>
        <v>9802800.0000001397</v>
      </c>
      <c r="AS1073" s="112">
        <f t="shared" si="808"/>
        <v>96</v>
      </c>
    </row>
    <row r="1074" spans="17:45" x14ac:dyDescent="0.25">
      <c r="Q1074" s="127">
        <v>45338.104166666657</v>
      </c>
      <c r="R1074">
        <v>2</v>
      </c>
      <c r="S1074" s="13">
        <f t="shared" si="804"/>
        <v>9811800.0000001397</v>
      </c>
      <c r="T1074">
        <f t="shared" si="801"/>
        <v>192</v>
      </c>
      <c r="U1074" s="13">
        <f t="shared" si="802"/>
        <v>9811800.0000001397</v>
      </c>
      <c r="V1074" s="112">
        <f t="shared" si="803"/>
        <v>192</v>
      </c>
      <c r="AN1074" s="127">
        <v>45338.104166666657</v>
      </c>
      <c r="AO1074">
        <v>1</v>
      </c>
      <c r="AP1074" s="13">
        <f t="shared" si="805"/>
        <v>9811800.0000001397</v>
      </c>
      <c r="AQ1074">
        <f t="shared" si="806"/>
        <v>96</v>
      </c>
      <c r="AR1074" s="13">
        <f t="shared" si="807"/>
        <v>9811800.0000001397</v>
      </c>
      <c r="AS1074" s="112">
        <f t="shared" si="808"/>
        <v>96</v>
      </c>
    </row>
    <row r="1075" spans="17:45" x14ac:dyDescent="0.25">
      <c r="Q1075" s="127">
        <v>45338.208333333343</v>
      </c>
      <c r="R1075">
        <v>2</v>
      </c>
      <c r="S1075" s="13">
        <f t="shared" si="804"/>
        <v>9820800.0000001397</v>
      </c>
      <c r="T1075">
        <f t="shared" si="801"/>
        <v>192</v>
      </c>
      <c r="U1075" s="13">
        <f t="shared" si="802"/>
        <v>9820800.0000001397</v>
      </c>
      <c r="V1075" s="112">
        <f t="shared" si="803"/>
        <v>192</v>
      </c>
      <c r="AN1075" s="127">
        <v>45338.208333333343</v>
      </c>
      <c r="AO1075">
        <v>1</v>
      </c>
      <c r="AP1075" s="13">
        <f t="shared" si="805"/>
        <v>9820800.0000001397</v>
      </c>
      <c r="AQ1075">
        <f t="shared" si="806"/>
        <v>96</v>
      </c>
      <c r="AR1075" s="13">
        <f t="shared" si="807"/>
        <v>9820800.0000001397</v>
      </c>
      <c r="AS1075" s="112">
        <f t="shared" si="808"/>
        <v>96</v>
      </c>
    </row>
    <row r="1076" spans="17:45" x14ac:dyDescent="0.25">
      <c r="Q1076" s="127">
        <v>45338.3125</v>
      </c>
      <c r="R1076">
        <v>1</v>
      </c>
      <c r="S1076" s="13">
        <f t="shared" si="804"/>
        <v>9829800.0000001397</v>
      </c>
      <c r="T1076">
        <f t="shared" si="801"/>
        <v>96</v>
      </c>
      <c r="U1076" s="13">
        <f t="shared" si="802"/>
        <v>9829800.0000001397</v>
      </c>
      <c r="V1076" s="112">
        <f t="shared" si="803"/>
        <v>96</v>
      </c>
      <c r="AN1076" s="127">
        <v>45338.3125</v>
      </c>
      <c r="AO1076">
        <v>1</v>
      </c>
      <c r="AP1076" s="13">
        <f t="shared" si="805"/>
        <v>9829800.0000001397</v>
      </c>
      <c r="AQ1076">
        <f t="shared" si="806"/>
        <v>96</v>
      </c>
      <c r="AR1076" s="13">
        <f t="shared" si="807"/>
        <v>9829800.0000001397</v>
      </c>
      <c r="AS1076" s="112">
        <f t="shared" si="808"/>
        <v>96</v>
      </c>
    </row>
    <row r="1077" spans="17:45" x14ac:dyDescent="0.25">
      <c r="Q1077" s="127">
        <v>45338.416666666657</v>
      </c>
      <c r="R1077">
        <v>2</v>
      </c>
      <c r="S1077" s="13">
        <f t="shared" si="804"/>
        <v>9838800.0000001397</v>
      </c>
      <c r="T1077">
        <f t="shared" si="801"/>
        <v>192</v>
      </c>
      <c r="U1077" s="13">
        <f t="shared" si="802"/>
        <v>9838800.0000001397</v>
      </c>
      <c r="V1077" s="112">
        <f t="shared" si="803"/>
        <v>192</v>
      </c>
      <c r="AN1077" s="127">
        <v>45338.416666666657</v>
      </c>
      <c r="AO1077">
        <v>1</v>
      </c>
      <c r="AP1077" s="13">
        <f t="shared" si="805"/>
        <v>9838800.0000001397</v>
      </c>
      <c r="AQ1077">
        <f t="shared" si="806"/>
        <v>96</v>
      </c>
      <c r="AR1077" s="13">
        <f t="shared" si="807"/>
        <v>9838800.0000001397</v>
      </c>
      <c r="AS1077" s="112">
        <f t="shared" si="808"/>
        <v>96</v>
      </c>
    </row>
    <row r="1078" spans="17:45" x14ac:dyDescent="0.25">
      <c r="Q1078" s="127">
        <v>45338.520833333343</v>
      </c>
      <c r="R1078">
        <v>2</v>
      </c>
      <c r="S1078" s="13">
        <f t="shared" si="804"/>
        <v>9847800.0000001397</v>
      </c>
      <c r="T1078">
        <f t="shared" si="801"/>
        <v>192</v>
      </c>
      <c r="U1078" s="13">
        <f t="shared" si="802"/>
        <v>9847800.0000001397</v>
      </c>
      <c r="V1078" s="112">
        <f t="shared" si="803"/>
        <v>192</v>
      </c>
      <c r="AN1078" s="127">
        <v>45338.520833333343</v>
      </c>
      <c r="AO1078">
        <v>1</v>
      </c>
      <c r="AP1078" s="13">
        <f t="shared" si="805"/>
        <v>9847800.0000001397</v>
      </c>
      <c r="AQ1078">
        <f t="shared" si="806"/>
        <v>96</v>
      </c>
      <c r="AR1078" s="13">
        <f t="shared" si="807"/>
        <v>9847800.0000001397</v>
      </c>
      <c r="AS1078" s="112">
        <f t="shared" si="808"/>
        <v>96</v>
      </c>
    </row>
    <row r="1079" spans="17:45" x14ac:dyDescent="0.25">
      <c r="Q1079" s="127">
        <v>45338.625</v>
      </c>
      <c r="R1079">
        <v>1</v>
      </c>
      <c r="S1079" s="13">
        <f t="shared" si="804"/>
        <v>9856800.0000001397</v>
      </c>
      <c r="T1079">
        <f t="shared" si="801"/>
        <v>96</v>
      </c>
      <c r="U1079" s="13">
        <f t="shared" si="802"/>
        <v>9856800.0000001397</v>
      </c>
      <c r="V1079" s="112">
        <f t="shared" si="803"/>
        <v>96</v>
      </c>
      <c r="AN1079" s="127">
        <v>45338.625</v>
      </c>
      <c r="AO1079">
        <v>1</v>
      </c>
      <c r="AP1079" s="13">
        <f t="shared" si="805"/>
        <v>9856800.0000001397</v>
      </c>
      <c r="AQ1079">
        <f t="shared" si="806"/>
        <v>96</v>
      </c>
      <c r="AR1079" s="13">
        <f t="shared" si="807"/>
        <v>9856800.0000001397</v>
      </c>
      <c r="AS1079" s="112">
        <f t="shared" si="808"/>
        <v>96</v>
      </c>
    </row>
    <row r="1080" spans="17:45" x14ac:dyDescent="0.25">
      <c r="Q1080" s="127">
        <v>45338.729166666657</v>
      </c>
      <c r="R1080">
        <v>1</v>
      </c>
      <c r="S1080" s="13">
        <f t="shared" si="804"/>
        <v>9865800.0000001397</v>
      </c>
      <c r="T1080">
        <f t="shared" si="801"/>
        <v>96</v>
      </c>
      <c r="U1080" s="13">
        <f t="shared" si="802"/>
        <v>9865800.0000001397</v>
      </c>
      <c r="V1080" s="112">
        <f t="shared" si="803"/>
        <v>96</v>
      </c>
      <c r="AN1080" s="127">
        <v>45338.729166666657</v>
      </c>
      <c r="AO1080">
        <v>1</v>
      </c>
      <c r="AP1080" s="13">
        <f t="shared" si="805"/>
        <v>9865800.0000001397</v>
      </c>
      <c r="AQ1080">
        <f t="shared" si="806"/>
        <v>96</v>
      </c>
      <c r="AR1080" s="13">
        <f t="shared" si="807"/>
        <v>9865800.0000001397</v>
      </c>
      <c r="AS1080" s="112">
        <f t="shared" si="808"/>
        <v>96</v>
      </c>
    </row>
    <row r="1081" spans="17:45" x14ac:dyDescent="0.25">
      <c r="Q1081" s="127">
        <v>45338.833333333343</v>
      </c>
      <c r="R1081">
        <v>1</v>
      </c>
      <c r="S1081" s="13">
        <f t="shared" si="804"/>
        <v>9874800.0000001397</v>
      </c>
      <c r="T1081">
        <f t="shared" si="801"/>
        <v>96</v>
      </c>
      <c r="U1081" s="13">
        <f t="shared" si="802"/>
        <v>9874800.0000001397</v>
      </c>
      <c r="V1081" s="112">
        <f t="shared" si="803"/>
        <v>96</v>
      </c>
      <c r="AN1081" s="127">
        <v>45338.833333333343</v>
      </c>
      <c r="AO1081">
        <v>1</v>
      </c>
      <c r="AP1081" s="13">
        <f t="shared" si="805"/>
        <v>9874800.0000001397</v>
      </c>
      <c r="AQ1081">
        <f t="shared" si="806"/>
        <v>96</v>
      </c>
      <c r="AR1081" s="13">
        <f t="shared" si="807"/>
        <v>9874800.0000001397</v>
      </c>
      <c r="AS1081" s="112">
        <f t="shared" si="808"/>
        <v>96</v>
      </c>
    </row>
    <row r="1082" spans="17:45" x14ac:dyDescent="0.25">
      <c r="Q1082" s="127">
        <v>45338.9375</v>
      </c>
      <c r="R1082">
        <v>0</v>
      </c>
      <c r="S1082" s="13">
        <f t="shared" si="804"/>
        <v>9883800.0000001397</v>
      </c>
      <c r="T1082">
        <f t="shared" si="801"/>
        <v>0</v>
      </c>
      <c r="U1082" s="13">
        <f t="shared" si="802"/>
        <v>9883800.0000001397</v>
      </c>
      <c r="V1082" s="112">
        <f t="shared" si="803"/>
        <v>1E-10</v>
      </c>
      <c r="AN1082" s="127">
        <v>45338.9375</v>
      </c>
      <c r="AO1082">
        <v>1</v>
      </c>
      <c r="AP1082" s="13">
        <f t="shared" si="805"/>
        <v>9883800.0000001397</v>
      </c>
      <c r="AQ1082">
        <f t="shared" si="806"/>
        <v>96</v>
      </c>
      <c r="AR1082" s="13">
        <f t="shared" si="807"/>
        <v>9883800.0000001397</v>
      </c>
      <c r="AS1082" s="112">
        <f t="shared" si="808"/>
        <v>96</v>
      </c>
    </row>
    <row r="1083" spans="17:45" x14ac:dyDescent="0.25">
      <c r="Q1083" s="127">
        <v>45339.041666666657</v>
      </c>
      <c r="R1083">
        <v>0</v>
      </c>
      <c r="S1083" s="13">
        <f t="shared" si="804"/>
        <v>9892800.0000001397</v>
      </c>
      <c r="T1083">
        <f t="shared" si="801"/>
        <v>0</v>
      </c>
      <c r="U1083" s="13">
        <f t="shared" si="802"/>
        <v>9892800.0000001397</v>
      </c>
      <c r="V1083" s="112">
        <f t="shared" si="803"/>
        <v>1E-10</v>
      </c>
      <c r="AN1083" s="127">
        <v>45339.041666666657</v>
      </c>
      <c r="AO1083">
        <v>1</v>
      </c>
      <c r="AP1083" s="13">
        <f t="shared" si="805"/>
        <v>9892800.0000001397</v>
      </c>
      <c r="AQ1083">
        <f t="shared" si="806"/>
        <v>96</v>
      </c>
      <c r="AR1083" s="13">
        <f t="shared" si="807"/>
        <v>9892800.0000001397</v>
      </c>
      <c r="AS1083" s="112">
        <f t="shared" si="808"/>
        <v>96</v>
      </c>
    </row>
    <row r="1084" spans="17:45" x14ac:dyDescent="0.25">
      <c r="Q1084" s="127">
        <v>45339.145833333343</v>
      </c>
      <c r="R1084">
        <v>0</v>
      </c>
      <c r="S1084" s="13">
        <f t="shared" si="804"/>
        <v>9901800.0000001397</v>
      </c>
      <c r="T1084">
        <f t="shared" si="801"/>
        <v>0</v>
      </c>
      <c r="U1084" s="13">
        <f t="shared" si="802"/>
        <v>9901800.0000001397</v>
      </c>
      <c r="V1084" s="112">
        <f t="shared" si="803"/>
        <v>1E-10</v>
      </c>
      <c r="AN1084" s="127">
        <v>45339.145833333343</v>
      </c>
      <c r="AO1084">
        <v>1</v>
      </c>
      <c r="AP1084" s="13">
        <f t="shared" si="805"/>
        <v>9901800.0000001397</v>
      </c>
      <c r="AQ1084">
        <f t="shared" si="806"/>
        <v>96</v>
      </c>
      <c r="AR1084" s="13">
        <f t="shared" si="807"/>
        <v>9901800.0000001397</v>
      </c>
      <c r="AS1084" s="112">
        <f t="shared" si="808"/>
        <v>96</v>
      </c>
    </row>
    <row r="1085" spans="17:45" x14ac:dyDescent="0.25">
      <c r="Q1085" s="127">
        <v>45339.25</v>
      </c>
      <c r="R1085">
        <v>0</v>
      </c>
      <c r="S1085" s="13">
        <f t="shared" si="804"/>
        <v>9910800.0000001397</v>
      </c>
      <c r="T1085">
        <f t="shared" si="801"/>
        <v>0</v>
      </c>
      <c r="U1085" s="13">
        <f t="shared" si="802"/>
        <v>9910800.0000001397</v>
      </c>
      <c r="V1085" s="112">
        <f t="shared" si="803"/>
        <v>1E-10</v>
      </c>
      <c r="AN1085" s="127">
        <v>45339.25</v>
      </c>
      <c r="AO1085">
        <v>1</v>
      </c>
      <c r="AP1085" s="13">
        <f t="shared" si="805"/>
        <v>9910800.0000001397</v>
      </c>
      <c r="AQ1085">
        <f t="shared" si="806"/>
        <v>96</v>
      </c>
      <c r="AR1085" s="13">
        <f t="shared" si="807"/>
        <v>9910800.0000001397</v>
      </c>
      <c r="AS1085" s="112">
        <f t="shared" si="808"/>
        <v>96</v>
      </c>
    </row>
    <row r="1086" spans="17:45" x14ac:dyDescent="0.25">
      <c r="Q1086" s="127">
        <v>45339.354166666657</v>
      </c>
      <c r="R1086">
        <v>0</v>
      </c>
      <c r="S1086" s="13">
        <f t="shared" si="804"/>
        <v>9919800.0000001397</v>
      </c>
      <c r="T1086">
        <f t="shared" si="801"/>
        <v>0</v>
      </c>
      <c r="U1086" s="13">
        <f t="shared" si="802"/>
        <v>9919800.0000001397</v>
      </c>
      <c r="V1086" s="112">
        <f t="shared" si="803"/>
        <v>1E-10</v>
      </c>
      <c r="AN1086" s="127">
        <v>45339.354166666657</v>
      </c>
      <c r="AO1086">
        <v>1</v>
      </c>
      <c r="AP1086" s="13">
        <f t="shared" si="805"/>
        <v>9919800.0000001397</v>
      </c>
      <c r="AQ1086">
        <f t="shared" si="806"/>
        <v>96</v>
      </c>
      <c r="AR1086" s="13">
        <f t="shared" si="807"/>
        <v>9919800.0000001397</v>
      </c>
      <c r="AS1086" s="112">
        <f t="shared" si="808"/>
        <v>96</v>
      </c>
    </row>
    <row r="1087" spans="17:45" x14ac:dyDescent="0.25">
      <c r="Q1087" s="127">
        <v>45339.458333333343</v>
      </c>
      <c r="R1087">
        <v>0</v>
      </c>
      <c r="S1087" s="13">
        <f t="shared" si="804"/>
        <v>9928800.0000001397</v>
      </c>
      <c r="T1087">
        <f t="shared" si="801"/>
        <v>0</v>
      </c>
      <c r="U1087" s="13">
        <f t="shared" si="802"/>
        <v>9928800.0000001397</v>
      </c>
      <c r="V1087" s="112">
        <f t="shared" si="803"/>
        <v>1E-10</v>
      </c>
      <c r="AN1087" s="127">
        <v>45339.458333333343</v>
      </c>
      <c r="AO1087">
        <v>1</v>
      </c>
      <c r="AP1087" s="13">
        <f t="shared" si="805"/>
        <v>9928800.0000001397</v>
      </c>
      <c r="AQ1087">
        <f t="shared" si="806"/>
        <v>96</v>
      </c>
      <c r="AR1087" s="13">
        <f t="shared" si="807"/>
        <v>9928800.0000001397</v>
      </c>
      <c r="AS1087" s="112">
        <f t="shared" si="808"/>
        <v>96</v>
      </c>
    </row>
    <row r="1088" spans="17:45" x14ac:dyDescent="0.25">
      <c r="Q1088" s="127">
        <v>45339.5625</v>
      </c>
      <c r="R1088">
        <v>0</v>
      </c>
      <c r="S1088" s="13">
        <f t="shared" si="804"/>
        <v>9937800.0000001397</v>
      </c>
      <c r="T1088">
        <f t="shared" si="801"/>
        <v>0</v>
      </c>
      <c r="U1088" s="13">
        <f t="shared" si="802"/>
        <v>9937800.0000001397</v>
      </c>
      <c r="V1088" s="112">
        <f t="shared" si="803"/>
        <v>1E-10</v>
      </c>
      <c r="AN1088" s="127">
        <v>45339.5625</v>
      </c>
      <c r="AO1088">
        <v>1</v>
      </c>
      <c r="AP1088" s="13">
        <f t="shared" si="805"/>
        <v>9937800.0000001397</v>
      </c>
      <c r="AQ1088">
        <f t="shared" si="806"/>
        <v>96</v>
      </c>
      <c r="AR1088" s="13">
        <f t="shared" si="807"/>
        <v>9937800.0000001397</v>
      </c>
      <c r="AS1088" s="112">
        <f t="shared" si="808"/>
        <v>96</v>
      </c>
    </row>
    <row r="1089" spans="17:45" x14ac:dyDescent="0.25">
      <c r="Q1089" s="127">
        <v>45339.666666666657</v>
      </c>
      <c r="R1089">
        <v>0</v>
      </c>
      <c r="S1089" s="13">
        <f t="shared" si="804"/>
        <v>9946800.0000001397</v>
      </c>
      <c r="T1089">
        <f t="shared" si="801"/>
        <v>0</v>
      </c>
      <c r="U1089" s="13">
        <f t="shared" si="802"/>
        <v>9946800.0000001397</v>
      </c>
      <c r="V1089" s="112">
        <f t="shared" si="803"/>
        <v>1E-10</v>
      </c>
      <c r="AN1089" s="127">
        <v>45339.666666666657</v>
      </c>
      <c r="AO1089">
        <v>0</v>
      </c>
      <c r="AP1089" s="13">
        <f t="shared" si="805"/>
        <v>9946800.0000001397</v>
      </c>
      <c r="AQ1089">
        <f t="shared" si="806"/>
        <v>0</v>
      </c>
      <c r="AR1089" s="13">
        <f t="shared" si="807"/>
        <v>9946800.0000001397</v>
      </c>
      <c r="AS1089" s="112">
        <f t="shared" si="808"/>
        <v>1E-10</v>
      </c>
    </row>
    <row r="1090" spans="17:45" x14ac:dyDescent="0.25">
      <c r="Q1090" s="127">
        <v>45339.770833333343</v>
      </c>
      <c r="R1090">
        <v>0</v>
      </c>
      <c r="S1090" s="13">
        <f t="shared" si="804"/>
        <v>9955800.0000001397</v>
      </c>
      <c r="T1090">
        <f t="shared" si="801"/>
        <v>0</v>
      </c>
      <c r="U1090" s="13">
        <f t="shared" si="802"/>
        <v>9955800.0000001397</v>
      </c>
      <c r="V1090" s="112">
        <f t="shared" si="803"/>
        <v>1E-10</v>
      </c>
      <c r="AN1090" s="127">
        <v>45339.770833333343</v>
      </c>
      <c r="AO1090">
        <v>1</v>
      </c>
      <c r="AP1090" s="13">
        <f t="shared" si="805"/>
        <v>9955800.0000001397</v>
      </c>
      <c r="AQ1090">
        <f t="shared" si="806"/>
        <v>96</v>
      </c>
      <c r="AR1090" s="13">
        <f t="shared" si="807"/>
        <v>9955800.0000001397</v>
      </c>
      <c r="AS1090" s="112">
        <f t="shared" si="808"/>
        <v>96</v>
      </c>
    </row>
    <row r="1091" spans="17:45" x14ac:dyDescent="0.25">
      <c r="Q1091" s="127">
        <v>45339.875</v>
      </c>
      <c r="R1091">
        <v>0</v>
      </c>
      <c r="S1091" s="13">
        <f t="shared" si="804"/>
        <v>9964800.0000001397</v>
      </c>
      <c r="T1091">
        <f t="shared" ref="T1091:T1154" si="809">R1091*96</f>
        <v>0</v>
      </c>
      <c r="U1091" s="13">
        <f t="shared" ref="U1091:U1154" si="810">S1091</f>
        <v>9964800.0000001397</v>
      </c>
      <c r="V1091" s="112">
        <f t="shared" ref="V1091:V1154" si="811">IF(T1091=0,0.0000000001,T1091)</f>
        <v>1E-10</v>
      </c>
      <c r="AN1091" s="127">
        <v>45339.875</v>
      </c>
      <c r="AO1091">
        <v>1</v>
      </c>
      <c r="AP1091" s="13">
        <f t="shared" si="805"/>
        <v>9964800.0000001397</v>
      </c>
      <c r="AQ1091">
        <f t="shared" si="806"/>
        <v>96</v>
      </c>
      <c r="AR1091" s="13">
        <f t="shared" si="807"/>
        <v>9964800.0000001397</v>
      </c>
      <c r="AS1091" s="112">
        <f t="shared" si="808"/>
        <v>96</v>
      </c>
    </row>
    <row r="1092" spans="17:45" x14ac:dyDescent="0.25">
      <c r="Q1092" s="127">
        <v>45339.979166666657</v>
      </c>
      <c r="R1092">
        <v>0</v>
      </c>
      <c r="S1092" s="13">
        <f t="shared" ref="S1092:S1155" si="812">S1091+150*60</f>
        <v>9973800.0000001397</v>
      </c>
      <c r="T1092">
        <f t="shared" si="809"/>
        <v>0</v>
      </c>
      <c r="U1092" s="13">
        <f t="shared" si="810"/>
        <v>9973800.0000001397</v>
      </c>
      <c r="V1092" s="112">
        <f t="shared" si="811"/>
        <v>1E-10</v>
      </c>
      <c r="AN1092" s="127">
        <v>45339.979166666657</v>
      </c>
      <c r="AO1092">
        <v>1</v>
      </c>
      <c r="AP1092" s="13">
        <f t="shared" ref="AP1092:AP1155" si="813">AP1091+150*60</f>
        <v>9973800.0000001397</v>
      </c>
      <c r="AQ1092">
        <f t="shared" si="806"/>
        <v>96</v>
      </c>
      <c r="AR1092" s="13">
        <f t="shared" si="807"/>
        <v>9973800.0000001397</v>
      </c>
      <c r="AS1092" s="112">
        <f t="shared" si="808"/>
        <v>96</v>
      </c>
    </row>
    <row r="1093" spans="17:45" x14ac:dyDescent="0.25">
      <c r="Q1093" s="127">
        <v>45340.083333333343</v>
      </c>
      <c r="R1093">
        <v>0</v>
      </c>
      <c r="S1093" s="13">
        <f t="shared" si="812"/>
        <v>9982800.0000001397</v>
      </c>
      <c r="T1093">
        <f t="shared" si="809"/>
        <v>0</v>
      </c>
      <c r="U1093" s="13">
        <f t="shared" si="810"/>
        <v>9982800.0000001397</v>
      </c>
      <c r="V1093" s="112">
        <f t="shared" si="811"/>
        <v>1E-10</v>
      </c>
      <c r="AN1093" s="127">
        <v>45340.083333333343</v>
      </c>
      <c r="AO1093">
        <v>1</v>
      </c>
      <c r="AP1093" s="13">
        <f t="shared" si="813"/>
        <v>9982800.0000001397</v>
      </c>
      <c r="AQ1093">
        <f t="shared" si="806"/>
        <v>96</v>
      </c>
      <c r="AR1093" s="13">
        <f t="shared" si="807"/>
        <v>9982800.0000001397</v>
      </c>
      <c r="AS1093" s="112">
        <f t="shared" si="808"/>
        <v>96</v>
      </c>
    </row>
    <row r="1094" spans="17:45" x14ac:dyDescent="0.25">
      <c r="Q1094" s="127">
        <v>45340.1875</v>
      </c>
      <c r="R1094">
        <v>0</v>
      </c>
      <c r="S1094" s="13">
        <f t="shared" si="812"/>
        <v>9991800.0000001397</v>
      </c>
      <c r="T1094">
        <f t="shared" si="809"/>
        <v>0</v>
      </c>
      <c r="U1094" s="13">
        <f t="shared" si="810"/>
        <v>9991800.0000001397</v>
      </c>
      <c r="V1094" s="112">
        <f t="shared" si="811"/>
        <v>1E-10</v>
      </c>
      <c r="AN1094" s="127">
        <v>45340.1875</v>
      </c>
      <c r="AO1094">
        <v>1</v>
      </c>
      <c r="AP1094" s="13">
        <f t="shared" si="813"/>
        <v>9991800.0000001397</v>
      </c>
      <c r="AQ1094">
        <f t="shared" si="806"/>
        <v>96</v>
      </c>
      <c r="AR1094" s="13">
        <f t="shared" si="807"/>
        <v>9991800.0000001397</v>
      </c>
      <c r="AS1094" s="112">
        <f t="shared" si="808"/>
        <v>96</v>
      </c>
    </row>
    <row r="1095" spans="17:45" x14ac:dyDescent="0.25">
      <c r="Q1095" s="127">
        <v>45340.291666666657</v>
      </c>
      <c r="R1095">
        <v>0</v>
      </c>
      <c r="S1095" s="13">
        <f t="shared" si="812"/>
        <v>10000800.00000014</v>
      </c>
      <c r="T1095">
        <f t="shared" si="809"/>
        <v>0</v>
      </c>
      <c r="U1095" s="13">
        <f t="shared" si="810"/>
        <v>10000800.00000014</v>
      </c>
      <c r="V1095" s="112">
        <f t="shared" si="811"/>
        <v>1E-10</v>
      </c>
      <c r="AN1095" s="127">
        <v>45340.291666666657</v>
      </c>
      <c r="AO1095">
        <v>1</v>
      </c>
      <c r="AP1095" s="13">
        <f t="shared" si="813"/>
        <v>10000800.00000014</v>
      </c>
      <c r="AQ1095">
        <f t="shared" si="806"/>
        <v>96</v>
      </c>
      <c r="AR1095" s="13">
        <f t="shared" si="807"/>
        <v>10000800.00000014</v>
      </c>
      <c r="AS1095" s="112">
        <f t="shared" si="808"/>
        <v>96</v>
      </c>
    </row>
    <row r="1096" spans="17:45" x14ac:dyDescent="0.25">
      <c r="Q1096" s="127">
        <v>45340.395833333343</v>
      </c>
      <c r="R1096">
        <v>0</v>
      </c>
      <c r="S1096" s="13">
        <f t="shared" si="812"/>
        <v>10009800.00000014</v>
      </c>
      <c r="T1096">
        <f t="shared" si="809"/>
        <v>0</v>
      </c>
      <c r="U1096" s="13">
        <f t="shared" si="810"/>
        <v>10009800.00000014</v>
      </c>
      <c r="V1096" s="112">
        <f t="shared" si="811"/>
        <v>1E-10</v>
      </c>
      <c r="AN1096" s="127">
        <v>45340.395833333343</v>
      </c>
      <c r="AO1096">
        <v>0</v>
      </c>
      <c r="AP1096" s="13">
        <f t="shared" si="813"/>
        <v>10009800.00000014</v>
      </c>
      <c r="AQ1096">
        <f t="shared" si="806"/>
        <v>0</v>
      </c>
      <c r="AR1096" s="13">
        <f t="shared" si="807"/>
        <v>10009800.00000014</v>
      </c>
      <c r="AS1096" s="112">
        <f t="shared" si="808"/>
        <v>1E-10</v>
      </c>
    </row>
    <row r="1097" spans="17:45" x14ac:dyDescent="0.25">
      <c r="Q1097" s="127">
        <v>45340.5</v>
      </c>
      <c r="R1097">
        <v>0</v>
      </c>
      <c r="S1097" s="13">
        <f t="shared" si="812"/>
        <v>10018800.00000014</v>
      </c>
      <c r="T1097">
        <f t="shared" si="809"/>
        <v>0</v>
      </c>
      <c r="U1097" s="13">
        <f t="shared" si="810"/>
        <v>10018800.00000014</v>
      </c>
      <c r="V1097" s="112">
        <f t="shared" si="811"/>
        <v>1E-10</v>
      </c>
      <c r="AN1097" s="127">
        <v>45340.5</v>
      </c>
      <c r="AO1097">
        <v>1</v>
      </c>
      <c r="AP1097" s="13">
        <f t="shared" si="813"/>
        <v>10018800.00000014</v>
      </c>
      <c r="AQ1097">
        <f t="shared" si="806"/>
        <v>96</v>
      </c>
      <c r="AR1097" s="13">
        <f t="shared" si="807"/>
        <v>10018800.00000014</v>
      </c>
      <c r="AS1097" s="112">
        <f t="shared" si="808"/>
        <v>96</v>
      </c>
    </row>
    <row r="1098" spans="17:45" x14ac:dyDescent="0.25">
      <c r="Q1098" s="127">
        <v>45340.604166666657</v>
      </c>
      <c r="R1098">
        <v>0</v>
      </c>
      <c r="S1098" s="13">
        <f t="shared" si="812"/>
        <v>10027800.00000014</v>
      </c>
      <c r="T1098">
        <f t="shared" si="809"/>
        <v>0</v>
      </c>
      <c r="U1098" s="13">
        <f t="shared" si="810"/>
        <v>10027800.00000014</v>
      </c>
      <c r="V1098" s="112">
        <f t="shared" si="811"/>
        <v>1E-10</v>
      </c>
      <c r="AN1098" s="127">
        <v>45340.604166666657</v>
      </c>
      <c r="AO1098">
        <v>1</v>
      </c>
      <c r="AP1098" s="13">
        <f t="shared" si="813"/>
        <v>10027800.00000014</v>
      </c>
      <c r="AQ1098">
        <f t="shared" si="806"/>
        <v>96</v>
      </c>
      <c r="AR1098" s="13">
        <f t="shared" si="807"/>
        <v>10027800.00000014</v>
      </c>
      <c r="AS1098" s="112">
        <f t="shared" si="808"/>
        <v>96</v>
      </c>
    </row>
    <row r="1099" spans="17:45" x14ac:dyDescent="0.25">
      <c r="Q1099" s="127">
        <v>45340.708333333343</v>
      </c>
      <c r="R1099">
        <v>0</v>
      </c>
      <c r="S1099" s="13">
        <f t="shared" si="812"/>
        <v>10036800.00000014</v>
      </c>
      <c r="T1099">
        <f t="shared" si="809"/>
        <v>0</v>
      </c>
      <c r="U1099" s="13">
        <f t="shared" si="810"/>
        <v>10036800.00000014</v>
      </c>
      <c r="V1099" s="112">
        <f t="shared" si="811"/>
        <v>1E-10</v>
      </c>
      <c r="AN1099" s="127">
        <v>45340.708333333343</v>
      </c>
      <c r="AO1099">
        <v>1</v>
      </c>
      <c r="AP1099" s="13">
        <f t="shared" si="813"/>
        <v>10036800.00000014</v>
      </c>
      <c r="AQ1099">
        <f t="shared" si="806"/>
        <v>96</v>
      </c>
      <c r="AR1099" s="13">
        <f t="shared" si="807"/>
        <v>10036800.00000014</v>
      </c>
      <c r="AS1099" s="112">
        <f t="shared" si="808"/>
        <v>96</v>
      </c>
    </row>
    <row r="1100" spans="17:45" x14ac:dyDescent="0.25">
      <c r="Q1100" s="127">
        <v>45340.8125</v>
      </c>
      <c r="R1100">
        <v>0</v>
      </c>
      <c r="S1100" s="13">
        <f t="shared" si="812"/>
        <v>10045800.00000014</v>
      </c>
      <c r="T1100">
        <f t="shared" si="809"/>
        <v>0</v>
      </c>
      <c r="U1100" s="13">
        <f t="shared" si="810"/>
        <v>10045800.00000014</v>
      </c>
      <c r="V1100" s="112">
        <f t="shared" si="811"/>
        <v>1E-10</v>
      </c>
      <c r="AN1100" s="127">
        <v>45340.8125</v>
      </c>
      <c r="AO1100">
        <v>1</v>
      </c>
      <c r="AP1100" s="13">
        <f t="shared" si="813"/>
        <v>10045800.00000014</v>
      </c>
      <c r="AQ1100">
        <f t="shared" si="806"/>
        <v>96</v>
      </c>
      <c r="AR1100" s="13">
        <f t="shared" si="807"/>
        <v>10045800.00000014</v>
      </c>
      <c r="AS1100" s="112">
        <f t="shared" si="808"/>
        <v>96</v>
      </c>
    </row>
    <row r="1101" spans="17:45" x14ac:dyDescent="0.25">
      <c r="Q1101" s="127">
        <v>45340.916666666657</v>
      </c>
      <c r="R1101">
        <v>0</v>
      </c>
      <c r="S1101" s="13">
        <f t="shared" si="812"/>
        <v>10054800.00000014</v>
      </c>
      <c r="T1101">
        <f t="shared" si="809"/>
        <v>0</v>
      </c>
      <c r="U1101" s="13">
        <f t="shared" si="810"/>
        <v>10054800.00000014</v>
      </c>
      <c r="V1101" s="112">
        <f t="shared" si="811"/>
        <v>1E-10</v>
      </c>
      <c r="AN1101" s="127">
        <v>45340.916666666657</v>
      </c>
      <c r="AO1101">
        <v>1</v>
      </c>
      <c r="AP1101" s="13">
        <f t="shared" si="813"/>
        <v>10054800.00000014</v>
      </c>
      <c r="AQ1101">
        <f t="shared" si="806"/>
        <v>96</v>
      </c>
      <c r="AR1101" s="13">
        <f t="shared" si="807"/>
        <v>10054800.00000014</v>
      </c>
      <c r="AS1101" s="112">
        <f t="shared" si="808"/>
        <v>96</v>
      </c>
    </row>
    <row r="1102" spans="17:45" x14ac:dyDescent="0.25">
      <c r="Q1102" s="127">
        <v>45341.020833333343</v>
      </c>
      <c r="R1102">
        <v>0</v>
      </c>
      <c r="S1102" s="13">
        <f t="shared" si="812"/>
        <v>10063800.00000014</v>
      </c>
      <c r="T1102">
        <f t="shared" si="809"/>
        <v>0</v>
      </c>
      <c r="U1102" s="13">
        <f t="shared" si="810"/>
        <v>10063800.00000014</v>
      </c>
      <c r="V1102" s="112">
        <f t="shared" si="811"/>
        <v>1E-10</v>
      </c>
      <c r="AN1102" s="127">
        <v>45341.020833333343</v>
      </c>
      <c r="AO1102">
        <v>1</v>
      </c>
      <c r="AP1102" s="13">
        <f t="shared" si="813"/>
        <v>10063800.00000014</v>
      </c>
      <c r="AQ1102">
        <f t="shared" si="806"/>
        <v>96</v>
      </c>
      <c r="AR1102" s="13">
        <f t="shared" si="807"/>
        <v>10063800.00000014</v>
      </c>
      <c r="AS1102" s="112">
        <f t="shared" si="808"/>
        <v>96</v>
      </c>
    </row>
    <row r="1103" spans="17:45" x14ac:dyDescent="0.25">
      <c r="Q1103" s="127">
        <v>45341.125</v>
      </c>
      <c r="R1103">
        <v>0</v>
      </c>
      <c r="S1103" s="13">
        <f t="shared" si="812"/>
        <v>10072800.00000014</v>
      </c>
      <c r="T1103">
        <f t="shared" si="809"/>
        <v>0</v>
      </c>
      <c r="U1103" s="13">
        <f t="shared" si="810"/>
        <v>10072800.00000014</v>
      </c>
      <c r="V1103" s="112">
        <f t="shared" si="811"/>
        <v>1E-10</v>
      </c>
      <c r="AN1103" s="127">
        <v>45341.125</v>
      </c>
      <c r="AO1103">
        <v>0</v>
      </c>
      <c r="AP1103" s="13">
        <f t="shared" si="813"/>
        <v>10072800.00000014</v>
      </c>
      <c r="AQ1103">
        <f t="shared" si="806"/>
        <v>0</v>
      </c>
      <c r="AR1103" s="13">
        <f t="shared" si="807"/>
        <v>10072800.00000014</v>
      </c>
      <c r="AS1103" s="112">
        <f t="shared" si="808"/>
        <v>1E-10</v>
      </c>
    </row>
    <row r="1104" spans="17:45" x14ac:dyDescent="0.25">
      <c r="Q1104" s="127">
        <v>45341.229166666657</v>
      </c>
      <c r="R1104">
        <v>0</v>
      </c>
      <c r="S1104" s="13">
        <f t="shared" si="812"/>
        <v>10081800.00000014</v>
      </c>
      <c r="T1104">
        <f t="shared" si="809"/>
        <v>0</v>
      </c>
      <c r="U1104" s="13">
        <f t="shared" si="810"/>
        <v>10081800.00000014</v>
      </c>
      <c r="V1104" s="112">
        <f t="shared" si="811"/>
        <v>1E-10</v>
      </c>
      <c r="AN1104" s="127">
        <v>45341.229166666657</v>
      </c>
      <c r="AO1104">
        <v>1</v>
      </c>
      <c r="AP1104" s="13">
        <f t="shared" si="813"/>
        <v>10081800.00000014</v>
      </c>
      <c r="AQ1104">
        <f t="shared" si="806"/>
        <v>96</v>
      </c>
      <c r="AR1104" s="13">
        <f t="shared" si="807"/>
        <v>10081800.00000014</v>
      </c>
      <c r="AS1104" s="112">
        <f t="shared" si="808"/>
        <v>96</v>
      </c>
    </row>
    <row r="1105" spans="17:45" x14ac:dyDescent="0.25">
      <c r="Q1105" s="127">
        <v>45341.333333333343</v>
      </c>
      <c r="R1105">
        <v>2</v>
      </c>
      <c r="S1105" s="13">
        <f t="shared" si="812"/>
        <v>10090800.00000014</v>
      </c>
      <c r="T1105">
        <f t="shared" si="809"/>
        <v>192</v>
      </c>
      <c r="U1105" s="13">
        <f t="shared" si="810"/>
        <v>10090800.00000014</v>
      </c>
      <c r="V1105" s="112">
        <f t="shared" si="811"/>
        <v>192</v>
      </c>
      <c r="AN1105" s="127">
        <v>45341.333333333343</v>
      </c>
      <c r="AO1105">
        <v>1</v>
      </c>
      <c r="AP1105" s="13">
        <f t="shared" si="813"/>
        <v>10090800.00000014</v>
      </c>
      <c r="AQ1105">
        <f t="shared" si="806"/>
        <v>96</v>
      </c>
      <c r="AR1105" s="13">
        <f t="shared" si="807"/>
        <v>10090800.00000014</v>
      </c>
      <c r="AS1105" s="112">
        <f t="shared" si="808"/>
        <v>96</v>
      </c>
    </row>
    <row r="1106" spans="17:45" x14ac:dyDescent="0.25">
      <c r="Q1106" s="127">
        <v>45341.4375</v>
      </c>
      <c r="R1106">
        <v>3</v>
      </c>
      <c r="S1106" s="13">
        <f t="shared" si="812"/>
        <v>10099800.00000014</v>
      </c>
      <c r="T1106">
        <f t="shared" si="809"/>
        <v>288</v>
      </c>
      <c r="U1106" s="13">
        <f t="shared" si="810"/>
        <v>10099800.00000014</v>
      </c>
      <c r="V1106" s="112">
        <f t="shared" si="811"/>
        <v>288</v>
      </c>
      <c r="AN1106" s="127">
        <v>45341.4375</v>
      </c>
      <c r="AO1106">
        <v>1</v>
      </c>
      <c r="AP1106" s="13">
        <f t="shared" si="813"/>
        <v>10099800.00000014</v>
      </c>
      <c r="AQ1106">
        <f t="shared" si="806"/>
        <v>96</v>
      </c>
      <c r="AR1106" s="13">
        <f t="shared" si="807"/>
        <v>10099800.00000014</v>
      </c>
      <c r="AS1106" s="112">
        <f t="shared" si="808"/>
        <v>96</v>
      </c>
    </row>
    <row r="1107" spans="17:45" x14ac:dyDescent="0.25">
      <c r="Q1107" s="127">
        <v>45341.541666666657</v>
      </c>
      <c r="R1107">
        <v>3</v>
      </c>
      <c r="S1107" s="13">
        <f t="shared" si="812"/>
        <v>10108800.00000014</v>
      </c>
      <c r="T1107">
        <f t="shared" si="809"/>
        <v>288</v>
      </c>
      <c r="U1107" s="13">
        <f t="shared" si="810"/>
        <v>10108800.00000014</v>
      </c>
      <c r="V1107" s="112">
        <f t="shared" si="811"/>
        <v>288</v>
      </c>
      <c r="AN1107" s="127">
        <v>45341.541666666657</v>
      </c>
      <c r="AO1107">
        <v>1</v>
      </c>
      <c r="AP1107" s="13">
        <f t="shared" si="813"/>
        <v>10108800.00000014</v>
      </c>
      <c r="AQ1107">
        <f t="shared" si="806"/>
        <v>96</v>
      </c>
      <c r="AR1107" s="13">
        <f t="shared" si="807"/>
        <v>10108800.00000014</v>
      </c>
      <c r="AS1107" s="112">
        <f t="shared" si="808"/>
        <v>96</v>
      </c>
    </row>
    <row r="1108" spans="17:45" x14ac:dyDescent="0.25">
      <c r="Q1108" s="127">
        <v>45341.645833333343</v>
      </c>
      <c r="R1108">
        <v>4</v>
      </c>
      <c r="S1108" s="13">
        <f t="shared" si="812"/>
        <v>10117800.00000014</v>
      </c>
      <c r="T1108">
        <f t="shared" si="809"/>
        <v>384</v>
      </c>
      <c r="U1108" s="13">
        <f t="shared" si="810"/>
        <v>10117800.00000014</v>
      </c>
      <c r="V1108" s="112">
        <f t="shared" si="811"/>
        <v>384</v>
      </c>
      <c r="AN1108" s="127">
        <v>45341.645833333343</v>
      </c>
      <c r="AO1108">
        <v>1</v>
      </c>
      <c r="AP1108" s="13">
        <f t="shared" si="813"/>
        <v>10117800.00000014</v>
      </c>
      <c r="AQ1108">
        <f t="shared" si="806"/>
        <v>96</v>
      </c>
      <c r="AR1108" s="13">
        <f t="shared" si="807"/>
        <v>10117800.00000014</v>
      </c>
      <c r="AS1108" s="112">
        <f t="shared" si="808"/>
        <v>96</v>
      </c>
    </row>
    <row r="1109" spans="17:45" x14ac:dyDescent="0.25">
      <c r="Q1109" s="127">
        <v>45341.75</v>
      </c>
      <c r="R1109">
        <v>2</v>
      </c>
      <c r="S1109" s="13">
        <f t="shared" si="812"/>
        <v>10126800.00000014</v>
      </c>
      <c r="T1109">
        <f t="shared" si="809"/>
        <v>192</v>
      </c>
      <c r="U1109" s="13">
        <f t="shared" si="810"/>
        <v>10126800.00000014</v>
      </c>
      <c r="V1109" s="112">
        <f t="shared" si="811"/>
        <v>192</v>
      </c>
      <c r="AN1109" s="127">
        <v>45341.75</v>
      </c>
      <c r="AO1109">
        <v>1</v>
      </c>
      <c r="AP1109" s="13">
        <f t="shared" si="813"/>
        <v>10126800.00000014</v>
      </c>
      <c r="AQ1109">
        <f t="shared" si="806"/>
        <v>96</v>
      </c>
      <c r="AR1109" s="13">
        <f t="shared" si="807"/>
        <v>10126800.00000014</v>
      </c>
      <c r="AS1109" s="112">
        <f t="shared" si="808"/>
        <v>96</v>
      </c>
    </row>
    <row r="1110" spans="17:45" x14ac:dyDescent="0.25">
      <c r="Q1110" s="127">
        <v>45341.854166666657</v>
      </c>
      <c r="R1110">
        <v>3</v>
      </c>
      <c r="S1110" s="13">
        <f t="shared" si="812"/>
        <v>10135800.00000014</v>
      </c>
      <c r="T1110">
        <f t="shared" si="809"/>
        <v>288</v>
      </c>
      <c r="U1110" s="13">
        <f t="shared" si="810"/>
        <v>10135800.00000014</v>
      </c>
      <c r="V1110" s="112">
        <f t="shared" si="811"/>
        <v>288</v>
      </c>
      <c r="AN1110" s="127">
        <v>45341.854166666657</v>
      </c>
      <c r="AO1110">
        <v>1</v>
      </c>
      <c r="AP1110" s="13">
        <f t="shared" si="813"/>
        <v>10135800.00000014</v>
      </c>
      <c r="AQ1110">
        <f t="shared" si="806"/>
        <v>96</v>
      </c>
      <c r="AR1110" s="13">
        <f t="shared" si="807"/>
        <v>10135800.00000014</v>
      </c>
      <c r="AS1110" s="112">
        <f t="shared" si="808"/>
        <v>96</v>
      </c>
    </row>
    <row r="1111" spans="17:45" x14ac:dyDescent="0.25">
      <c r="Q1111" s="127">
        <v>45341.958333333343</v>
      </c>
      <c r="R1111">
        <v>2</v>
      </c>
      <c r="S1111" s="13">
        <f t="shared" si="812"/>
        <v>10144800.00000014</v>
      </c>
      <c r="T1111">
        <f t="shared" si="809"/>
        <v>192</v>
      </c>
      <c r="U1111" s="13">
        <f t="shared" si="810"/>
        <v>10144800.00000014</v>
      </c>
      <c r="V1111" s="112">
        <f t="shared" si="811"/>
        <v>192</v>
      </c>
      <c r="AN1111" s="127">
        <v>45341.958333333343</v>
      </c>
      <c r="AO1111">
        <v>1</v>
      </c>
      <c r="AP1111" s="13">
        <f t="shared" si="813"/>
        <v>10144800.00000014</v>
      </c>
      <c r="AQ1111">
        <f t="shared" si="806"/>
        <v>96</v>
      </c>
      <c r="AR1111" s="13">
        <f t="shared" si="807"/>
        <v>10144800.00000014</v>
      </c>
      <c r="AS1111" s="112">
        <f t="shared" si="808"/>
        <v>96</v>
      </c>
    </row>
    <row r="1112" spans="17:45" x14ac:dyDescent="0.25">
      <c r="Q1112" s="127">
        <v>45342.0625</v>
      </c>
      <c r="R1112">
        <v>2</v>
      </c>
      <c r="S1112" s="13">
        <f t="shared" si="812"/>
        <v>10153800.00000014</v>
      </c>
      <c r="T1112">
        <f t="shared" si="809"/>
        <v>192</v>
      </c>
      <c r="U1112" s="13">
        <f t="shared" si="810"/>
        <v>10153800.00000014</v>
      </c>
      <c r="V1112" s="112">
        <f t="shared" si="811"/>
        <v>192</v>
      </c>
      <c r="AN1112" s="127">
        <v>45342.0625</v>
      </c>
      <c r="AO1112">
        <v>1</v>
      </c>
      <c r="AP1112" s="13">
        <f t="shared" si="813"/>
        <v>10153800.00000014</v>
      </c>
      <c r="AQ1112">
        <f t="shared" si="806"/>
        <v>96</v>
      </c>
      <c r="AR1112" s="13">
        <f t="shared" si="807"/>
        <v>10153800.00000014</v>
      </c>
      <c r="AS1112" s="112">
        <f t="shared" si="808"/>
        <v>96</v>
      </c>
    </row>
    <row r="1113" spans="17:45" x14ac:dyDescent="0.25">
      <c r="Q1113" s="127">
        <v>45342.166666666657</v>
      </c>
      <c r="R1113">
        <v>2</v>
      </c>
      <c r="S1113" s="13">
        <f t="shared" si="812"/>
        <v>10162800.00000014</v>
      </c>
      <c r="T1113">
        <f t="shared" si="809"/>
        <v>192</v>
      </c>
      <c r="U1113" s="13">
        <f t="shared" si="810"/>
        <v>10162800.00000014</v>
      </c>
      <c r="V1113" s="112">
        <f t="shared" si="811"/>
        <v>192</v>
      </c>
      <c r="AN1113" s="127">
        <v>45342.166666666657</v>
      </c>
      <c r="AO1113">
        <v>1</v>
      </c>
      <c r="AP1113" s="13">
        <f t="shared" si="813"/>
        <v>10162800.00000014</v>
      </c>
      <c r="AQ1113">
        <f t="shared" si="806"/>
        <v>96</v>
      </c>
      <c r="AR1113" s="13">
        <f t="shared" si="807"/>
        <v>10162800.00000014</v>
      </c>
      <c r="AS1113" s="112">
        <f t="shared" si="808"/>
        <v>96</v>
      </c>
    </row>
    <row r="1114" spans="17:45" x14ac:dyDescent="0.25">
      <c r="Q1114" s="127">
        <v>45342.270833333343</v>
      </c>
      <c r="R1114">
        <v>0</v>
      </c>
      <c r="S1114" s="13">
        <f t="shared" si="812"/>
        <v>10171800.00000014</v>
      </c>
      <c r="T1114">
        <f t="shared" si="809"/>
        <v>0</v>
      </c>
      <c r="U1114" s="13">
        <f t="shared" si="810"/>
        <v>10171800.00000014</v>
      </c>
      <c r="V1114" s="112">
        <f t="shared" si="811"/>
        <v>1E-10</v>
      </c>
      <c r="AN1114" s="127">
        <v>45342.270833333343</v>
      </c>
      <c r="AO1114">
        <v>1</v>
      </c>
      <c r="AP1114" s="13">
        <f t="shared" si="813"/>
        <v>10171800.00000014</v>
      </c>
      <c r="AQ1114">
        <f t="shared" si="806"/>
        <v>96</v>
      </c>
      <c r="AR1114" s="13">
        <f t="shared" si="807"/>
        <v>10171800.00000014</v>
      </c>
      <c r="AS1114" s="112">
        <f t="shared" si="808"/>
        <v>96</v>
      </c>
    </row>
    <row r="1115" spans="17:45" x14ac:dyDescent="0.25">
      <c r="Q1115" s="127">
        <v>45342.375</v>
      </c>
      <c r="R1115">
        <v>0</v>
      </c>
      <c r="S1115" s="13">
        <f t="shared" si="812"/>
        <v>10180800.00000014</v>
      </c>
      <c r="T1115">
        <f t="shared" si="809"/>
        <v>0</v>
      </c>
      <c r="U1115" s="13">
        <f t="shared" si="810"/>
        <v>10180800.00000014</v>
      </c>
      <c r="V1115" s="112">
        <f t="shared" si="811"/>
        <v>1E-10</v>
      </c>
      <c r="AN1115" s="127">
        <v>45342.375</v>
      </c>
      <c r="AO1115">
        <v>1</v>
      </c>
      <c r="AP1115" s="13">
        <f t="shared" si="813"/>
        <v>10180800.00000014</v>
      </c>
      <c r="AQ1115">
        <f t="shared" si="806"/>
        <v>96</v>
      </c>
      <c r="AR1115" s="13">
        <f t="shared" si="807"/>
        <v>10180800.00000014</v>
      </c>
      <c r="AS1115" s="112">
        <f t="shared" si="808"/>
        <v>96</v>
      </c>
    </row>
    <row r="1116" spans="17:45" x14ac:dyDescent="0.25">
      <c r="Q1116" s="127">
        <v>45342.479166666657</v>
      </c>
      <c r="R1116">
        <v>0</v>
      </c>
      <c r="S1116" s="13">
        <f t="shared" si="812"/>
        <v>10189800.00000014</v>
      </c>
      <c r="T1116">
        <f t="shared" si="809"/>
        <v>0</v>
      </c>
      <c r="U1116" s="13">
        <f t="shared" si="810"/>
        <v>10189800.00000014</v>
      </c>
      <c r="V1116" s="112">
        <f t="shared" si="811"/>
        <v>1E-10</v>
      </c>
      <c r="AN1116" s="127">
        <v>45342.479166666657</v>
      </c>
      <c r="AO1116">
        <v>1</v>
      </c>
      <c r="AP1116" s="13">
        <f t="shared" si="813"/>
        <v>10189800.00000014</v>
      </c>
      <c r="AQ1116">
        <f t="shared" si="806"/>
        <v>96</v>
      </c>
      <c r="AR1116" s="13">
        <f t="shared" si="807"/>
        <v>10189800.00000014</v>
      </c>
      <c r="AS1116" s="112">
        <f t="shared" si="808"/>
        <v>96</v>
      </c>
    </row>
    <row r="1117" spans="17:45" x14ac:dyDescent="0.25">
      <c r="Q1117" s="127">
        <v>45342.583333333343</v>
      </c>
      <c r="R1117">
        <v>0</v>
      </c>
      <c r="S1117" s="13">
        <f t="shared" si="812"/>
        <v>10198800.00000014</v>
      </c>
      <c r="T1117">
        <f t="shared" si="809"/>
        <v>0</v>
      </c>
      <c r="U1117" s="13">
        <f t="shared" si="810"/>
        <v>10198800.00000014</v>
      </c>
      <c r="V1117" s="112">
        <f t="shared" si="811"/>
        <v>1E-10</v>
      </c>
      <c r="AN1117" s="127">
        <v>45342.583333333343</v>
      </c>
      <c r="AO1117">
        <v>1</v>
      </c>
      <c r="AP1117" s="13">
        <f t="shared" si="813"/>
        <v>10198800.00000014</v>
      </c>
      <c r="AQ1117">
        <f t="shared" si="806"/>
        <v>96</v>
      </c>
      <c r="AR1117" s="13">
        <f t="shared" si="807"/>
        <v>10198800.00000014</v>
      </c>
      <c r="AS1117" s="112">
        <f t="shared" si="808"/>
        <v>96</v>
      </c>
    </row>
    <row r="1118" spans="17:45" x14ac:dyDescent="0.25">
      <c r="Q1118" s="127">
        <v>45342.6875</v>
      </c>
      <c r="R1118">
        <v>0</v>
      </c>
      <c r="S1118" s="13">
        <f t="shared" si="812"/>
        <v>10207800.00000014</v>
      </c>
      <c r="T1118">
        <f t="shared" si="809"/>
        <v>0</v>
      </c>
      <c r="U1118" s="13">
        <f t="shared" si="810"/>
        <v>10207800.00000014</v>
      </c>
      <c r="V1118" s="112">
        <f t="shared" si="811"/>
        <v>1E-10</v>
      </c>
      <c r="AN1118" s="127">
        <v>45342.6875</v>
      </c>
      <c r="AO1118">
        <v>1</v>
      </c>
      <c r="AP1118" s="13">
        <f t="shared" si="813"/>
        <v>10207800.00000014</v>
      </c>
      <c r="AQ1118">
        <f t="shared" si="806"/>
        <v>96</v>
      </c>
      <c r="AR1118" s="13">
        <f t="shared" si="807"/>
        <v>10207800.00000014</v>
      </c>
      <c r="AS1118" s="112">
        <f t="shared" si="808"/>
        <v>96</v>
      </c>
    </row>
    <row r="1119" spans="17:45" x14ac:dyDescent="0.25">
      <c r="Q1119" s="127">
        <v>45342.791666666657</v>
      </c>
      <c r="R1119">
        <v>0</v>
      </c>
      <c r="S1119" s="13">
        <f t="shared" si="812"/>
        <v>10216800.00000014</v>
      </c>
      <c r="T1119">
        <f t="shared" si="809"/>
        <v>0</v>
      </c>
      <c r="U1119" s="13">
        <f t="shared" si="810"/>
        <v>10216800.00000014</v>
      </c>
      <c r="V1119" s="112">
        <f t="shared" si="811"/>
        <v>1E-10</v>
      </c>
      <c r="AN1119" s="127">
        <v>45342.791666666657</v>
      </c>
      <c r="AO1119">
        <v>1</v>
      </c>
      <c r="AP1119" s="13">
        <f t="shared" si="813"/>
        <v>10216800.00000014</v>
      </c>
      <c r="AQ1119">
        <f t="shared" si="806"/>
        <v>96</v>
      </c>
      <c r="AR1119" s="13">
        <f t="shared" si="807"/>
        <v>10216800.00000014</v>
      </c>
      <c r="AS1119" s="112">
        <f t="shared" si="808"/>
        <v>96</v>
      </c>
    </row>
    <row r="1120" spans="17:45" x14ac:dyDescent="0.25">
      <c r="Q1120" s="127">
        <v>45342.895833333343</v>
      </c>
      <c r="R1120">
        <v>0</v>
      </c>
      <c r="S1120" s="13">
        <f t="shared" si="812"/>
        <v>10225800.00000014</v>
      </c>
      <c r="T1120">
        <f t="shared" si="809"/>
        <v>0</v>
      </c>
      <c r="U1120" s="13">
        <f t="shared" si="810"/>
        <v>10225800.00000014</v>
      </c>
      <c r="V1120" s="112">
        <f t="shared" si="811"/>
        <v>1E-10</v>
      </c>
      <c r="AN1120" s="127">
        <v>45342.895833333343</v>
      </c>
      <c r="AO1120">
        <v>1</v>
      </c>
      <c r="AP1120" s="13">
        <f t="shared" si="813"/>
        <v>10225800.00000014</v>
      </c>
      <c r="AQ1120">
        <f t="shared" si="806"/>
        <v>96</v>
      </c>
      <c r="AR1120" s="13">
        <f t="shared" si="807"/>
        <v>10225800.00000014</v>
      </c>
      <c r="AS1120" s="112">
        <f t="shared" si="808"/>
        <v>96</v>
      </c>
    </row>
    <row r="1121" spans="17:45" x14ac:dyDescent="0.25">
      <c r="Q1121" s="127">
        <v>45343</v>
      </c>
      <c r="R1121">
        <v>0</v>
      </c>
      <c r="S1121" s="13">
        <f t="shared" si="812"/>
        <v>10234800.00000014</v>
      </c>
      <c r="T1121">
        <f t="shared" si="809"/>
        <v>0</v>
      </c>
      <c r="U1121" s="13">
        <f t="shared" si="810"/>
        <v>10234800.00000014</v>
      </c>
      <c r="V1121" s="112">
        <f t="shared" si="811"/>
        <v>1E-10</v>
      </c>
      <c r="AN1121" s="127">
        <v>45343</v>
      </c>
      <c r="AO1121">
        <v>1</v>
      </c>
      <c r="AP1121" s="13">
        <f t="shared" si="813"/>
        <v>10234800.00000014</v>
      </c>
      <c r="AQ1121">
        <f t="shared" si="806"/>
        <v>96</v>
      </c>
      <c r="AR1121" s="13">
        <f t="shared" si="807"/>
        <v>10234800.00000014</v>
      </c>
      <c r="AS1121" s="112">
        <f t="shared" si="808"/>
        <v>96</v>
      </c>
    </row>
    <row r="1122" spans="17:45" x14ac:dyDescent="0.25">
      <c r="Q1122" s="127">
        <v>45343.104166666657</v>
      </c>
      <c r="R1122">
        <v>3</v>
      </c>
      <c r="S1122" s="13">
        <f t="shared" si="812"/>
        <v>10243800.00000014</v>
      </c>
      <c r="T1122">
        <f t="shared" si="809"/>
        <v>288</v>
      </c>
      <c r="U1122" s="13">
        <f t="shared" si="810"/>
        <v>10243800.00000014</v>
      </c>
      <c r="V1122" s="112">
        <f t="shared" si="811"/>
        <v>288</v>
      </c>
      <c r="AN1122" s="127">
        <v>45343.104166666657</v>
      </c>
      <c r="AO1122">
        <v>1</v>
      </c>
      <c r="AP1122" s="13">
        <f t="shared" si="813"/>
        <v>10243800.00000014</v>
      </c>
      <c r="AQ1122">
        <f t="shared" si="806"/>
        <v>96</v>
      </c>
      <c r="AR1122" s="13">
        <f t="shared" si="807"/>
        <v>10243800.00000014</v>
      </c>
      <c r="AS1122" s="112">
        <f t="shared" si="808"/>
        <v>96</v>
      </c>
    </row>
    <row r="1123" spans="17:45" x14ac:dyDescent="0.25">
      <c r="Q1123" s="127">
        <v>45343.208333333343</v>
      </c>
      <c r="R1123">
        <v>3</v>
      </c>
      <c r="S1123" s="13">
        <f t="shared" si="812"/>
        <v>10252800.00000014</v>
      </c>
      <c r="T1123">
        <f t="shared" si="809"/>
        <v>288</v>
      </c>
      <c r="U1123" s="13">
        <f t="shared" si="810"/>
        <v>10252800.00000014</v>
      </c>
      <c r="V1123" s="112">
        <f t="shared" si="811"/>
        <v>288</v>
      </c>
      <c r="AN1123" s="127">
        <v>45343.208333333343</v>
      </c>
      <c r="AO1123">
        <v>1</v>
      </c>
      <c r="AP1123" s="13">
        <f t="shared" si="813"/>
        <v>10252800.00000014</v>
      </c>
      <c r="AQ1123">
        <f t="shared" ref="AQ1123:AQ1186" si="814">AO1123*96</f>
        <v>96</v>
      </c>
      <c r="AR1123" s="13">
        <f t="shared" ref="AR1123:AR1186" si="815">AP1123</f>
        <v>10252800.00000014</v>
      </c>
      <c r="AS1123" s="112">
        <f t="shared" ref="AS1123:AS1186" si="816">IF(AQ1123=0,0.0000000001,AQ1123)</f>
        <v>96</v>
      </c>
    </row>
    <row r="1124" spans="17:45" x14ac:dyDescent="0.25">
      <c r="Q1124" s="127">
        <v>45343.3125</v>
      </c>
      <c r="R1124">
        <v>3</v>
      </c>
      <c r="S1124" s="13">
        <f t="shared" si="812"/>
        <v>10261800.00000014</v>
      </c>
      <c r="T1124">
        <f t="shared" si="809"/>
        <v>288</v>
      </c>
      <c r="U1124" s="13">
        <f t="shared" si="810"/>
        <v>10261800.00000014</v>
      </c>
      <c r="V1124" s="112">
        <f t="shared" si="811"/>
        <v>288</v>
      </c>
      <c r="AN1124" s="127">
        <v>45343.3125</v>
      </c>
      <c r="AO1124">
        <v>1</v>
      </c>
      <c r="AP1124" s="13">
        <f t="shared" si="813"/>
        <v>10261800.00000014</v>
      </c>
      <c r="AQ1124">
        <f t="shared" si="814"/>
        <v>96</v>
      </c>
      <c r="AR1124" s="13">
        <f t="shared" si="815"/>
        <v>10261800.00000014</v>
      </c>
      <c r="AS1124" s="112">
        <f t="shared" si="816"/>
        <v>96</v>
      </c>
    </row>
    <row r="1125" spans="17:45" x14ac:dyDescent="0.25">
      <c r="Q1125" s="127">
        <v>45343.416666666657</v>
      </c>
      <c r="R1125">
        <v>2</v>
      </c>
      <c r="S1125" s="13">
        <f t="shared" si="812"/>
        <v>10270800.00000014</v>
      </c>
      <c r="T1125">
        <f t="shared" si="809"/>
        <v>192</v>
      </c>
      <c r="U1125" s="13">
        <f t="shared" si="810"/>
        <v>10270800.00000014</v>
      </c>
      <c r="V1125" s="112">
        <f t="shared" si="811"/>
        <v>192</v>
      </c>
      <c r="AN1125" s="127">
        <v>45343.416666666657</v>
      </c>
      <c r="AO1125">
        <v>1</v>
      </c>
      <c r="AP1125" s="13">
        <f t="shared" si="813"/>
        <v>10270800.00000014</v>
      </c>
      <c r="AQ1125">
        <f t="shared" si="814"/>
        <v>96</v>
      </c>
      <c r="AR1125" s="13">
        <f t="shared" si="815"/>
        <v>10270800.00000014</v>
      </c>
      <c r="AS1125" s="112">
        <f t="shared" si="816"/>
        <v>96</v>
      </c>
    </row>
    <row r="1126" spans="17:45" x14ac:dyDescent="0.25">
      <c r="Q1126" s="127">
        <v>45343.520833333343</v>
      </c>
      <c r="R1126">
        <v>1</v>
      </c>
      <c r="S1126" s="13">
        <f t="shared" si="812"/>
        <v>10279800.00000014</v>
      </c>
      <c r="T1126">
        <f t="shared" si="809"/>
        <v>96</v>
      </c>
      <c r="U1126" s="13">
        <f t="shared" si="810"/>
        <v>10279800.00000014</v>
      </c>
      <c r="V1126" s="112">
        <f t="shared" si="811"/>
        <v>96</v>
      </c>
      <c r="AN1126" s="127">
        <v>45343.520833333343</v>
      </c>
      <c r="AO1126">
        <v>1</v>
      </c>
      <c r="AP1126" s="13">
        <f t="shared" si="813"/>
        <v>10279800.00000014</v>
      </c>
      <c r="AQ1126">
        <f t="shared" si="814"/>
        <v>96</v>
      </c>
      <c r="AR1126" s="13">
        <f t="shared" si="815"/>
        <v>10279800.00000014</v>
      </c>
      <c r="AS1126" s="112">
        <f t="shared" si="816"/>
        <v>96</v>
      </c>
    </row>
    <row r="1127" spans="17:45" x14ac:dyDescent="0.25">
      <c r="Q1127" s="127">
        <v>45343.625</v>
      </c>
      <c r="R1127">
        <v>2</v>
      </c>
      <c r="S1127" s="13">
        <f t="shared" si="812"/>
        <v>10288800.00000014</v>
      </c>
      <c r="T1127">
        <f t="shared" si="809"/>
        <v>192</v>
      </c>
      <c r="U1127" s="13">
        <f t="shared" si="810"/>
        <v>10288800.00000014</v>
      </c>
      <c r="V1127" s="112">
        <f t="shared" si="811"/>
        <v>192</v>
      </c>
      <c r="AN1127" s="127">
        <v>45343.625</v>
      </c>
      <c r="AO1127">
        <v>1</v>
      </c>
      <c r="AP1127" s="13">
        <f t="shared" si="813"/>
        <v>10288800.00000014</v>
      </c>
      <c r="AQ1127">
        <f t="shared" si="814"/>
        <v>96</v>
      </c>
      <c r="AR1127" s="13">
        <f t="shared" si="815"/>
        <v>10288800.00000014</v>
      </c>
      <c r="AS1127" s="112">
        <f t="shared" si="816"/>
        <v>96</v>
      </c>
    </row>
    <row r="1128" spans="17:45" x14ac:dyDescent="0.25">
      <c r="Q1128" s="127">
        <v>45343.729166666657</v>
      </c>
      <c r="R1128">
        <v>3</v>
      </c>
      <c r="S1128" s="13">
        <f t="shared" si="812"/>
        <v>10297800.00000014</v>
      </c>
      <c r="T1128">
        <f t="shared" si="809"/>
        <v>288</v>
      </c>
      <c r="U1128" s="13">
        <f t="shared" si="810"/>
        <v>10297800.00000014</v>
      </c>
      <c r="V1128" s="112">
        <f t="shared" si="811"/>
        <v>288</v>
      </c>
      <c r="AN1128" s="127">
        <v>45343.729166666657</v>
      </c>
      <c r="AO1128">
        <v>1</v>
      </c>
      <c r="AP1128" s="13">
        <f t="shared" si="813"/>
        <v>10297800.00000014</v>
      </c>
      <c r="AQ1128">
        <f t="shared" si="814"/>
        <v>96</v>
      </c>
      <c r="AR1128" s="13">
        <f t="shared" si="815"/>
        <v>10297800.00000014</v>
      </c>
      <c r="AS1128" s="112">
        <f t="shared" si="816"/>
        <v>96</v>
      </c>
    </row>
    <row r="1129" spans="17:45" x14ac:dyDescent="0.25">
      <c r="Q1129" s="127">
        <v>45343.833333333343</v>
      </c>
      <c r="R1129">
        <v>2</v>
      </c>
      <c r="S1129" s="13">
        <f t="shared" si="812"/>
        <v>10306800.00000014</v>
      </c>
      <c r="T1129">
        <f t="shared" si="809"/>
        <v>192</v>
      </c>
      <c r="U1129" s="13">
        <f t="shared" si="810"/>
        <v>10306800.00000014</v>
      </c>
      <c r="V1129" s="112">
        <f t="shared" si="811"/>
        <v>192</v>
      </c>
      <c r="AN1129" s="127">
        <v>45343.833333333343</v>
      </c>
      <c r="AO1129">
        <v>1</v>
      </c>
      <c r="AP1129" s="13">
        <f t="shared" si="813"/>
        <v>10306800.00000014</v>
      </c>
      <c r="AQ1129">
        <f t="shared" si="814"/>
        <v>96</v>
      </c>
      <c r="AR1129" s="13">
        <f t="shared" si="815"/>
        <v>10306800.00000014</v>
      </c>
      <c r="AS1129" s="112">
        <f t="shared" si="816"/>
        <v>96</v>
      </c>
    </row>
    <row r="1130" spans="17:45" x14ac:dyDescent="0.25">
      <c r="Q1130" s="127">
        <v>45343.9375</v>
      </c>
      <c r="R1130">
        <v>0</v>
      </c>
      <c r="S1130" s="13">
        <f t="shared" si="812"/>
        <v>10315800.00000014</v>
      </c>
      <c r="T1130">
        <f t="shared" si="809"/>
        <v>0</v>
      </c>
      <c r="U1130" s="13">
        <f t="shared" si="810"/>
        <v>10315800.00000014</v>
      </c>
      <c r="V1130" s="112">
        <f t="shared" si="811"/>
        <v>1E-10</v>
      </c>
      <c r="AN1130" s="127">
        <v>45343.9375</v>
      </c>
      <c r="AO1130">
        <v>1</v>
      </c>
      <c r="AP1130" s="13">
        <f t="shared" si="813"/>
        <v>10315800.00000014</v>
      </c>
      <c r="AQ1130">
        <f t="shared" si="814"/>
        <v>96</v>
      </c>
      <c r="AR1130" s="13">
        <f t="shared" si="815"/>
        <v>10315800.00000014</v>
      </c>
      <c r="AS1130" s="112">
        <f t="shared" si="816"/>
        <v>96</v>
      </c>
    </row>
    <row r="1131" spans="17:45" x14ac:dyDescent="0.25">
      <c r="Q1131" s="127">
        <v>45344.041666666657</v>
      </c>
      <c r="R1131">
        <v>0</v>
      </c>
      <c r="S1131" s="13">
        <f t="shared" si="812"/>
        <v>10324800.00000014</v>
      </c>
      <c r="T1131">
        <f t="shared" si="809"/>
        <v>0</v>
      </c>
      <c r="U1131" s="13">
        <f t="shared" si="810"/>
        <v>10324800.00000014</v>
      </c>
      <c r="V1131" s="112">
        <f t="shared" si="811"/>
        <v>1E-10</v>
      </c>
      <c r="AN1131" s="127">
        <v>45344.041666666657</v>
      </c>
      <c r="AO1131">
        <v>1</v>
      </c>
      <c r="AP1131" s="13">
        <f t="shared" si="813"/>
        <v>10324800.00000014</v>
      </c>
      <c r="AQ1131">
        <f t="shared" si="814"/>
        <v>96</v>
      </c>
      <c r="AR1131" s="13">
        <f t="shared" si="815"/>
        <v>10324800.00000014</v>
      </c>
      <c r="AS1131" s="112">
        <f t="shared" si="816"/>
        <v>96</v>
      </c>
    </row>
    <row r="1132" spans="17:45" x14ac:dyDescent="0.25">
      <c r="Q1132" s="127">
        <v>45344.145833333343</v>
      </c>
      <c r="R1132">
        <v>0</v>
      </c>
      <c r="S1132" s="13">
        <f t="shared" si="812"/>
        <v>10333800.00000014</v>
      </c>
      <c r="T1132">
        <f t="shared" si="809"/>
        <v>0</v>
      </c>
      <c r="U1132" s="13">
        <f t="shared" si="810"/>
        <v>10333800.00000014</v>
      </c>
      <c r="V1132" s="112">
        <f t="shared" si="811"/>
        <v>1E-10</v>
      </c>
      <c r="AN1132" s="127">
        <v>45344.145833333343</v>
      </c>
      <c r="AO1132">
        <v>1</v>
      </c>
      <c r="AP1132" s="13">
        <f t="shared" si="813"/>
        <v>10333800.00000014</v>
      </c>
      <c r="AQ1132">
        <f t="shared" si="814"/>
        <v>96</v>
      </c>
      <c r="AR1132" s="13">
        <f t="shared" si="815"/>
        <v>10333800.00000014</v>
      </c>
      <c r="AS1132" s="112">
        <f t="shared" si="816"/>
        <v>96</v>
      </c>
    </row>
    <row r="1133" spans="17:45" x14ac:dyDescent="0.25">
      <c r="Q1133" s="127">
        <v>45344.25</v>
      </c>
      <c r="R1133">
        <v>0</v>
      </c>
      <c r="S1133" s="13">
        <f t="shared" si="812"/>
        <v>10342800.00000014</v>
      </c>
      <c r="T1133">
        <f t="shared" si="809"/>
        <v>0</v>
      </c>
      <c r="U1133" s="13">
        <f t="shared" si="810"/>
        <v>10342800.00000014</v>
      </c>
      <c r="V1133" s="112">
        <f t="shared" si="811"/>
        <v>1E-10</v>
      </c>
      <c r="AN1133" s="127">
        <v>45344.25</v>
      </c>
      <c r="AO1133">
        <v>1</v>
      </c>
      <c r="AP1133" s="13">
        <f t="shared" si="813"/>
        <v>10342800.00000014</v>
      </c>
      <c r="AQ1133">
        <f t="shared" si="814"/>
        <v>96</v>
      </c>
      <c r="AR1133" s="13">
        <f t="shared" si="815"/>
        <v>10342800.00000014</v>
      </c>
      <c r="AS1133" s="112">
        <f t="shared" si="816"/>
        <v>96</v>
      </c>
    </row>
    <row r="1134" spans="17:45" x14ac:dyDescent="0.25">
      <c r="Q1134" s="127">
        <v>45344.354166666657</v>
      </c>
      <c r="R1134">
        <v>0</v>
      </c>
      <c r="S1134" s="13">
        <f t="shared" si="812"/>
        <v>10351800.00000014</v>
      </c>
      <c r="T1134">
        <f t="shared" si="809"/>
        <v>0</v>
      </c>
      <c r="U1134" s="13">
        <f t="shared" si="810"/>
        <v>10351800.00000014</v>
      </c>
      <c r="V1134" s="112">
        <f t="shared" si="811"/>
        <v>1E-10</v>
      </c>
      <c r="AN1134" s="127">
        <v>45344.354166666657</v>
      </c>
      <c r="AO1134">
        <v>1</v>
      </c>
      <c r="AP1134" s="13">
        <f t="shared" si="813"/>
        <v>10351800.00000014</v>
      </c>
      <c r="AQ1134">
        <f t="shared" si="814"/>
        <v>96</v>
      </c>
      <c r="AR1134" s="13">
        <f t="shared" si="815"/>
        <v>10351800.00000014</v>
      </c>
      <c r="AS1134" s="112">
        <f t="shared" si="816"/>
        <v>96</v>
      </c>
    </row>
    <row r="1135" spans="17:45" x14ac:dyDescent="0.25">
      <c r="Q1135" s="127">
        <v>45344.458333333343</v>
      </c>
      <c r="R1135">
        <v>0</v>
      </c>
      <c r="S1135" s="13">
        <f t="shared" si="812"/>
        <v>10360800.00000014</v>
      </c>
      <c r="T1135">
        <f t="shared" si="809"/>
        <v>0</v>
      </c>
      <c r="U1135" s="13">
        <f t="shared" si="810"/>
        <v>10360800.00000014</v>
      </c>
      <c r="V1135" s="112">
        <f t="shared" si="811"/>
        <v>1E-10</v>
      </c>
      <c r="AN1135" s="127">
        <v>45344.458333333343</v>
      </c>
      <c r="AO1135">
        <v>1</v>
      </c>
      <c r="AP1135" s="13">
        <f t="shared" si="813"/>
        <v>10360800.00000014</v>
      </c>
      <c r="AQ1135">
        <f t="shared" si="814"/>
        <v>96</v>
      </c>
      <c r="AR1135" s="13">
        <f t="shared" si="815"/>
        <v>10360800.00000014</v>
      </c>
      <c r="AS1135" s="112">
        <f t="shared" si="816"/>
        <v>96</v>
      </c>
    </row>
    <row r="1136" spans="17:45" x14ac:dyDescent="0.25">
      <c r="Q1136" s="127">
        <v>45344.5625</v>
      </c>
      <c r="R1136">
        <v>0</v>
      </c>
      <c r="S1136" s="13">
        <f t="shared" si="812"/>
        <v>10369800.00000014</v>
      </c>
      <c r="T1136">
        <f t="shared" si="809"/>
        <v>0</v>
      </c>
      <c r="U1136" s="13">
        <f t="shared" si="810"/>
        <v>10369800.00000014</v>
      </c>
      <c r="V1136" s="112">
        <f t="shared" si="811"/>
        <v>1E-10</v>
      </c>
      <c r="AN1136" s="127">
        <v>45344.5625</v>
      </c>
      <c r="AO1136">
        <v>1</v>
      </c>
      <c r="AP1136" s="13">
        <f t="shared" si="813"/>
        <v>10369800.00000014</v>
      </c>
      <c r="AQ1136">
        <f t="shared" si="814"/>
        <v>96</v>
      </c>
      <c r="AR1136" s="13">
        <f t="shared" si="815"/>
        <v>10369800.00000014</v>
      </c>
      <c r="AS1136" s="112">
        <f t="shared" si="816"/>
        <v>96</v>
      </c>
    </row>
    <row r="1137" spans="17:45" x14ac:dyDescent="0.25">
      <c r="Q1137" s="127">
        <v>45344.666666666657</v>
      </c>
      <c r="R1137">
        <v>0</v>
      </c>
      <c r="S1137" s="13">
        <f t="shared" si="812"/>
        <v>10378800.00000014</v>
      </c>
      <c r="T1137">
        <f t="shared" si="809"/>
        <v>0</v>
      </c>
      <c r="U1137" s="13">
        <f t="shared" si="810"/>
        <v>10378800.00000014</v>
      </c>
      <c r="V1137" s="112">
        <f t="shared" si="811"/>
        <v>1E-10</v>
      </c>
      <c r="AN1137" s="127">
        <v>45344.666666666657</v>
      </c>
      <c r="AO1137">
        <v>1</v>
      </c>
      <c r="AP1137" s="13">
        <f t="shared" si="813"/>
        <v>10378800.00000014</v>
      </c>
      <c r="AQ1137">
        <f t="shared" si="814"/>
        <v>96</v>
      </c>
      <c r="AR1137" s="13">
        <f t="shared" si="815"/>
        <v>10378800.00000014</v>
      </c>
      <c r="AS1137" s="112">
        <f t="shared" si="816"/>
        <v>96</v>
      </c>
    </row>
    <row r="1138" spans="17:45" x14ac:dyDescent="0.25">
      <c r="Q1138" s="127">
        <v>45344.770833333343</v>
      </c>
      <c r="R1138">
        <v>1</v>
      </c>
      <c r="S1138" s="13">
        <f t="shared" si="812"/>
        <v>10387800.00000014</v>
      </c>
      <c r="T1138">
        <f t="shared" si="809"/>
        <v>96</v>
      </c>
      <c r="U1138" s="13">
        <f t="shared" si="810"/>
        <v>10387800.00000014</v>
      </c>
      <c r="V1138" s="112">
        <f t="shared" si="811"/>
        <v>96</v>
      </c>
      <c r="AN1138" s="127">
        <v>45344.770833333343</v>
      </c>
      <c r="AO1138">
        <v>1</v>
      </c>
      <c r="AP1138" s="13">
        <f t="shared" si="813"/>
        <v>10387800.00000014</v>
      </c>
      <c r="AQ1138">
        <f t="shared" si="814"/>
        <v>96</v>
      </c>
      <c r="AR1138" s="13">
        <f t="shared" si="815"/>
        <v>10387800.00000014</v>
      </c>
      <c r="AS1138" s="112">
        <f t="shared" si="816"/>
        <v>96</v>
      </c>
    </row>
    <row r="1139" spans="17:45" x14ac:dyDescent="0.25">
      <c r="Q1139" s="127">
        <v>45344.875</v>
      </c>
      <c r="R1139">
        <v>1</v>
      </c>
      <c r="S1139" s="13">
        <f t="shared" si="812"/>
        <v>10396800.00000014</v>
      </c>
      <c r="T1139">
        <f t="shared" si="809"/>
        <v>96</v>
      </c>
      <c r="U1139" s="13">
        <f t="shared" si="810"/>
        <v>10396800.00000014</v>
      </c>
      <c r="V1139" s="112">
        <f t="shared" si="811"/>
        <v>96</v>
      </c>
      <c r="AN1139" s="127">
        <v>45344.875</v>
      </c>
      <c r="AO1139">
        <v>1</v>
      </c>
      <c r="AP1139" s="13">
        <f t="shared" si="813"/>
        <v>10396800.00000014</v>
      </c>
      <c r="AQ1139">
        <f t="shared" si="814"/>
        <v>96</v>
      </c>
      <c r="AR1139" s="13">
        <f t="shared" si="815"/>
        <v>10396800.00000014</v>
      </c>
      <c r="AS1139" s="112">
        <f t="shared" si="816"/>
        <v>96</v>
      </c>
    </row>
    <row r="1140" spans="17:45" x14ac:dyDescent="0.25">
      <c r="Q1140" s="127">
        <v>45344.979166666657</v>
      </c>
      <c r="R1140">
        <v>1</v>
      </c>
      <c r="S1140" s="13">
        <f t="shared" si="812"/>
        <v>10405800.00000014</v>
      </c>
      <c r="T1140">
        <f t="shared" si="809"/>
        <v>96</v>
      </c>
      <c r="U1140" s="13">
        <f t="shared" si="810"/>
        <v>10405800.00000014</v>
      </c>
      <c r="V1140" s="112">
        <f t="shared" si="811"/>
        <v>96</v>
      </c>
      <c r="AN1140" s="127">
        <v>45344.979166666657</v>
      </c>
      <c r="AO1140">
        <v>1</v>
      </c>
      <c r="AP1140" s="13">
        <f t="shared" si="813"/>
        <v>10405800.00000014</v>
      </c>
      <c r="AQ1140">
        <f t="shared" si="814"/>
        <v>96</v>
      </c>
      <c r="AR1140" s="13">
        <f t="shared" si="815"/>
        <v>10405800.00000014</v>
      </c>
      <c r="AS1140" s="112">
        <f t="shared" si="816"/>
        <v>96</v>
      </c>
    </row>
    <row r="1141" spans="17:45" x14ac:dyDescent="0.25">
      <c r="Q1141" s="127">
        <v>45345.083333333343</v>
      </c>
      <c r="R1141">
        <v>1</v>
      </c>
      <c r="S1141" s="13">
        <f t="shared" si="812"/>
        <v>10414800.00000014</v>
      </c>
      <c r="T1141">
        <f t="shared" si="809"/>
        <v>96</v>
      </c>
      <c r="U1141" s="13">
        <f t="shared" si="810"/>
        <v>10414800.00000014</v>
      </c>
      <c r="V1141" s="112">
        <f t="shared" si="811"/>
        <v>96</v>
      </c>
      <c r="AN1141" s="127">
        <v>45345.083333333343</v>
      </c>
      <c r="AO1141">
        <v>1</v>
      </c>
      <c r="AP1141" s="13">
        <f t="shared" si="813"/>
        <v>10414800.00000014</v>
      </c>
      <c r="AQ1141">
        <f t="shared" si="814"/>
        <v>96</v>
      </c>
      <c r="AR1141" s="13">
        <f t="shared" si="815"/>
        <v>10414800.00000014</v>
      </c>
      <c r="AS1141" s="112">
        <f t="shared" si="816"/>
        <v>96</v>
      </c>
    </row>
    <row r="1142" spans="17:45" x14ac:dyDescent="0.25">
      <c r="Q1142" s="127">
        <v>45345.1875</v>
      </c>
      <c r="R1142">
        <v>1</v>
      </c>
      <c r="S1142" s="13">
        <f t="shared" si="812"/>
        <v>10423800.00000014</v>
      </c>
      <c r="T1142">
        <f t="shared" si="809"/>
        <v>96</v>
      </c>
      <c r="U1142" s="13">
        <f t="shared" si="810"/>
        <v>10423800.00000014</v>
      </c>
      <c r="V1142" s="112">
        <f t="shared" si="811"/>
        <v>96</v>
      </c>
      <c r="AN1142" s="127">
        <v>45345.1875</v>
      </c>
      <c r="AO1142">
        <v>1</v>
      </c>
      <c r="AP1142" s="13">
        <f t="shared" si="813"/>
        <v>10423800.00000014</v>
      </c>
      <c r="AQ1142">
        <f t="shared" si="814"/>
        <v>96</v>
      </c>
      <c r="AR1142" s="13">
        <f t="shared" si="815"/>
        <v>10423800.00000014</v>
      </c>
      <c r="AS1142" s="112">
        <f t="shared" si="816"/>
        <v>96</v>
      </c>
    </row>
    <row r="1143" spans="17:45" x14ac:dyDescent="0.25">
      <c r="Q1143" s="127">
        <v>45345.291666666657</v>
      </c>
      <c r="R1143">
        <v>1</v>
      </c>
      <c r="S1143" s="13">
        <f t="shared" si="812"/>
        <v>10432800.00000014</v>
      </c>
      <c r="T1143">
        <f t="shared" si="809"/>
        <v>96</v>
      </c>
      <c r="U1143" s="13">
        <f t="shared" si="810"/>
        <v>10432800.00000014</v>
      </c>
      <c r="V1143" s="112">
        <f t="shared" si="811"/>
        <v>96</v>
      </c>
      <c r="AN1143" s="127">
        <v>45345.291666666657</v>
      </c>
      <c r="AO1143">
        <v>1</v>
      </c>
      <c r="AP1143" s="13">
        <f t="shared" si="813"/>
        <v>10432800.00000014</v>
      </c>
      <c r="AQ1143">
        <f t="shared" si="814"/>
        <v>96</v>
      </c>
      <c r="AR1143" s="13">
        <f t="shared" si="815"/>
        <v>10432800.00000014</v>
      </c>
      <c r="AS1143" s="112">
        <f t="shared" si="816"/>
        <v>96</v>
      </c>
    </row>
    <row r="1144" spans="17:45" x14ac:dyDescent="0.25">
      <c r="Q1144" s="127">
        <v>45345.395833333343</v>
      </c>
      <c r="R1144">
        <v>3</v>
      </c>
      <c r="S1144" s="13">
        <f t="shared" si="812"/>
        <v>10441800.00000014</v>
      </c>
      <c r="T1144">
        <f t="shared" si="809"/>
        <v>288</v>
      </c>
      <c r="U1144" s="13">
        <f t="shared" si="810"/>
        <v>10441800.00000014</v>
      </c>
      <c r="V1144" s="112">
        <f t="shared" si="811"/>
        <v>288</v>
      </c>
      <c r="AN1144" s="127">
        <v>45345.395833333343</v>
      </c>
      <c r="AO1144">
        <v>1</v>
      </c>
      <c r="AP1144" s="13">
        <f t="shared" si="813"/>
        <v>10441800.00000014</v>
      </c>
      <c r="AQ1144">
        <f t="shared" si="814"/>
        <v>96</v>
      </c>
      <c r="AR1144" s="13">
        <f t="shared" si="815"/>
        <v>10441800.00000014</v>
      </c>
      <c r="AS1144" s="112">
        <f t="shared" si="816"/>
        <v>96</v>
      </c>
    </row>
    <row r="1145" spans="17:45" x14ac:dyDescent="0.25">
      <c r="Q1145" s="127">
        <v>45345.5</v>
      </c>
      <c r="R1145">
        <v>3</v>
      </c>
      <c r="S1145" s="13">
        <f t="shared" si="812"/>
        <v>10450800.00000014</v>
      </c>
      <c r="T1145">
        <f t="shared" si="809"/>
        <v>288</v>
      </c>
      <c r="U1145" s="13">
        <f t="shared" si="810"/>
        <v>10450800.00000014</v>
      </c>
      <c r="V1145" s="112">
        <f t="shared" si="811"/>
        <v>288</v>
      </c>
      <c r="AN1145" s="127">
        <v>45345.5</v>
      </c>
      <c r="AO1145">
        <v>1</v>
      </c>
      <c r="AP1145" s="13">
        <f t="shared" si="813"/>
        <v>10450800.00000014</v>
      </c>
      <c r="AQ1145">
        <f t="shared" si="814"/>
        <v>96</v>
      </c>
      <c r="AR1145" s="13">
        <f t="shared" si="815"/>
        <v>10450800.00000014</v>
      </c>
      <c r="AS1145" s="112">
        <f t="shared" si="816"/>
        <v>96</v>
      </c>
    </row>
    <row r="1146" spans="17:45" x14ac:dyDescent="0.25">
      <c r="Q1146" s="127">
        <v>45345.604166666657</v>
      </c>
      <c r="R1146">
        <v>1</v>
      </c>
      <c r="S1146" s="13">
        <f t="shared" si="812"/>
        <v>10459800.00000014</v>
      </c>
      <c r="T1146">
        <f t="shared" si="809"/>
        <v>96</v>
      </c>
      <c r="U1146" s="13">
        <f t="shared" si="810"/>
        <v>10459800.00000014</v>
      </c>
      <c r="V1146" s="112">
        <f t="shared" si="811"/>
        <v>96</v>
      </c>
      <c r="AN1146" s="127">
        <v>45345.604166666657</v>
      </c>
      <c r="AO1146">
        <v>1</v>
      </c>
      <c r="AP1146" s="13">
        <f t="shared" si="813"/>
        <v>10459800.00000014</v>
      </c>
      <c r="AQ1146">
        <f t="shared" si="814"/>
        <v>96</v>
      </c>
      <c r="AR1146" s="13">
        <f t="shared" si="815"/>
        <v>10459800.00000014</v>
      </c>
      <c r="AS1146" s="112">
        <f t="shared" si="816"/>
        <v>96</v>
      </c>
    </row>
    <row r="1147" spans="17:45" x14ac:dyDescent="0.25">
      <c r="Q1147" s="127">
        <v>45345.708333333343</v>
      </c>
      <c r="R1147">
        <v>1</v>
      </c>
      <c r="S1147" s="13">
        <f t="shared" si="812"/>
        <v>10468800.00000014</v>
      </c>
      <c r="T1147">
        <f t="shared" si="809"/>
        <v>96</v>
      </c>
      <c r="U1147" s="13">
        <f t="shared" si="810"/>
        <v>10468800.00000014</v>
      </c>
      <c r="V1147" s="112">
        <f t="shared" si="811"/>
        <v>96</v>
      </c>
      <c r="AN1147" s="127">
        <v>45345.708333333343</v>
      </c>
      <c r="AO1147">
        <v>1</v>
      </c>
      <c r="AP1147" s="13">
        <f t="shared" si="813"/>
        <v>10468800.00000014</v>
      </c>
      <c r="AQ1147">
        <f t="shared" si="814"/>
        <v>96</v>
      </c>
      <c r="AR1147" s="13">
        <f t="shared" si="815"/>
        <v>10468800.00000014</v>
      </c>
      <c r="AS1147" s="112">
        <f t="shared" si="816"/>
        <v>96</v>
      </c>
    </row>
    <row r="1148" spans="17:45" x14ac:dyDescent="0.25">
      <c r="Q1148" s="127">
        <v>45345.8125</v>
      </c>
      <c r="R1148">
        <v>1</v>
      </c>
      <c r="S1148" s="13">
        <f t="shared" si="812"/>
        <v>10477800.00000014</v>
      </c>
      <c r="T1148">
        <f t="shared" si="809"/>
        <v>96</v>
      </c>
      <c r="U1148" s="13">
        <f t="shared" si="810"/>
        <v>10477800.00000014</v>
      </c>
      <c r="V1148" s="112">
        <f t="shared" si="811"/>
        <v>96</v>
      </c>
      <c r="AN1148" s="127">
        <v>45345.8125</v>
      </c>
      <c r="AO1148">
        <v>1</v>
      </c>
      <c r="AP1148" s="13">
        <f t="shared" si="813"/>
        <v>10477800.00000014</v>
      </c>
      <c r="AQ1148">
        <f t="shared" si="814"/>
        <v>96</v>
      </c>
      <c r="AR1148" s="13">
        <f t="shared" si="815"/>
        <v>10477800.00000014</v>
      </c>
      <c r="AS1148" s="112">
        <f t="shared" si="816"/>
        <v>96</v>
      </c>
    </row>
    <row r="1149" spans="17:45" x14ac:dyDescent="0.25">
      <c r="Q1149" s="127">
        <v>45345.916666666657</v>
      </c>
      <c r="R1149">
        <v>0</v>
      </c>
      <c r="S1149" s="13">
        <f t="shared" si="812"/>
        <v>10486800.00000014</v>
      </c>
      <c r="T1149">
        <f t="shared" si="809"/>
        <v>0</v>
      </c>
      <c r="U1149" s="13">
        <f t="shared" si="810"/>
        <v>10486800.00000014</v>
      </c>
      <c r="V1149" s="112">
        <f t="shared" si="811"/>
        <v>1E-10</v>
      </c>
      <c r="AN1149" s="127">
        <v>45345.916666666657</v>
      </c>
      <c r="AO1149">
        <v>1</v>
      </c>
      <c r="AP1149" s="13">
        <f t="shared" si="813"/>
        <v>10486800.00000014</v>
      </c>
      <c r="AQ1149">
        <f t="shared" si="814"/>
        <v>96</v>
      </c>
      <c r="AR1149" s="13">
        <f t="shared" si="815"/>
        <v>10486800.00000014</v>
      </c>
      <c r="AS1149" s="112">
        <f t="shared" si="816"/>
        <v>96</v>
      </c>
    </row>
    <row r="1150" spans="17:45" x14ac:dyDescent="0.25">
      <c r="Q1150" s="127">
        <v>45346.020833333343</v>
      </c>
      <c r="R1150">
        <v>0</v>
      </c>
      <c r="S1150" s="13">
        <f t="shared" si="812"/>
        <v>10495800.00000014</v>
      </c>
      <c r="T1150">
        <f t="shared" si="809"/>
        <v>0</v>
      </c>
      <c r="U1150" s="13">
        <f t="shared" si="810"/>
        <v>10495800.00000014</v>
      </c>
      <c r="V1150" s="112">
        <f t="shared" si="811"/>
        <v>1E-10</v>
      </c>
      <c r="AN1150" s="127">
        <v>45346.020833333343</v>
      </c>
      <c r="AO1150">
        <v>1</v>
      </c>
      <c r="AP1150" s="13">
        <f t="shared" si="813"/>
        <v>10495800.00000014</v>
      </c>
      <c r="AQ1150">
        <f t="shared" si="814"/>
        <v>96</v>
      </c>
      <c r="AR1150" s="13">
        <f t="shared" si="815"/>
        <v>10495800.00000014</v>
      </c>
      <c r="AS1150" s="112">
        <f t="shared" si="816"/>
        <v>96</v>
      </c>
    </row>
    <row r="1151" spans="17:45" x14ac:dyDescent="0.25">
      <c r="Q1151" s="127">
        <v>45346.125</v>
      </c>
      <c r="R1151">
        <v>0</v>
      </c>
      <c r="S1151" s="13">
        <f t="shared" si="812"/>
        <v>10504800.00000014</v>
      </c>
      <c r="T1151">
        <f t="shared" si="809"/>
        <v>0</v>
      </c>
      <c r="U1151" s="13">
        <f t="shared" si="810"/>
        <v>10504800.00000014</v>
      </c>
      <c r="V1151" s="112">
        <f t="shared" si="811"/>
        <v>1E-10</v>
      </c>
      <c r="AN1151" s="127">
        <v>45346.125</v>
      </c>
      <c r="AO1151">
        <v>1</v>
      </c>
      <c r="AP1151" s="13">
        <f t="shared" si="813"/>
        <v>10504800.00000014</v>
      </c>
      <c r="AQ1151">
        <f t="shared" si="814"/>
        <v>96</v>
      </c>
      <c r="AR1151" s="13">
        <f t="shared" si="815"/>
        <v>10504800.00000014</v>
      </c>
      <c r="AS1151" s="112">
        <f t="shared" si="816"/>
        <v>96</v>
      </c>
    </row>
    <row r="1152" spans="17:45" x14ac:dyDescent="0.25">
      <c r="Q1152" s="127">
        <v>45346.229166666657</v>
      </c>
      <c r="R1152">
        <v>0</v>
      </c>
      <c r="S1152" s="13">
        <f t="shared" si="812"/>
        <v>10513800.00000014</v>
      </c>
      <c r="T1152">
        <f t="shared" si="809"/>
        <v>0</v>
      </c>
      <c r="U1152" s="13">
        <f t="shared" si="810"/>
        <v>10513800.00000014</v>
      </c>
      <c r="V1152" s="112">
        <f t="shared" si="811"/>
        <v>1E-10</v>
      </c>
      <c r="AN1152" s="127">
        <v>45346.229166666657</v>
      </c>
      <c r="AO1152">
        <v>1</v>
      </c>
      <c r="AP1152" s="13">
        <f t="shared" si="813"/>
        <v>10513800.00000014</v>
      </c>
      <c r="AQ1152">
        <f t="shared" si="814"/>
        <v>96</v>
      </c>
      <c r="AR1152" s="13">
        <f t="shared" si="815"/>
        <v>10513800.00000014</v>
      </c>
      <c r="AS1152" s="112">
        <f t="shared" si="816"/>
        <v>96</v>
      </c>
    </row>
    <row r="1153" spans="17:45" x14ac:dyDescent="0.25">
      <c r="Q1153" s="127">
        <v>45346.333333333343</v>
      </c>
      <c r="R1153">
        <v>0</v>
      </c>
      <c r="S1153" s="13">
        <f t="shared" si="812"/>
        <v>10522800.00000014</v>
      </c>
      <c r="T1153">
        <f t="shared" si="809"/>
        <v>0</v>
      </c>
      <c r="U1153" s="13">
        <f t="shared" si="810"/>
        <v>10522800.00000014</v>
      </c>
      <c r="V1153" s="112">
        <f t="shared" si="811"/>
        <v>1E-10</v>
      </c>
      <c r="AN1153" s="127">
        <v>45346.333333333343</v>
      </c>
      <c r="AO1153">
        <v>1</v>
      </c>
      <c r="AP1153" s="13">
        <f t="shared" si="813"/>
        <v>10522800.00000014</v>
      </c>
      <c r="AQ1153">
        <f t="shared" si="814"/>
        <v>96</v>
      </c>
      <c r="AR1153" s="13">
        <f t="shared" si="815"/>
        <v>10522800.00000014</v>
      </c>
      <c r="AS1153" s="112">
        <f t="shared" si="816"/>
        <v>96</v>
      </c>
    </row>
    <row r="1154" spans="17:45" x14ac:dyDescent="0.25">
      <c r="Q1154" s="127">
        <v>45346.4375</v>
      </c>
      <c r="R1154">
        <v>0</v>
      </c>
      <c r="S1154" s="13">
        <f t="shared" si="812"/>
        <v>10531800.00000014</v>
      </c>
      <c r="T1154">
        <f t="shared" si="809"/>
        <v>0</v>
      </c>
      <c r="U1154" s="13">
        <f t="shared" si="810"/>
        <v>10531800.00000014</v>
      </c>
      <c r="V1154" s="112">
        <f t="shared" si="811"/>
        <v>1E-10</v>
      </c>
      <c r="AN1154" s="127">
        <v>45346.4375</v>
      </c>
      <c r="AO1154">
        <v>1</v>
      </c>
      <c r="AP1154" s="13">
        <f t="shared" si="813"/>
        <v>10531800.00000014</v>
      </c>
      <c r="AQ1154">
        <f t="shared" si="814"/>
        <v>96</v>
      </c>
      <c r="AR1154" s="13">
        <f t="shared" si="815"/>
        <v>10531800.00000014</v>
      </c>
      <c r="AS1154" s="112">
        <f t="shared" si="816"/>
        <v>96</v>
      </c>
    </row>
    <row r="1155" spans="17:45" x14ac:dyDescent="0.25">
      <c r="Q1155" s="127">
        <v>45346.541666666657</v>
      </c>
      <c r="R1155">
        <v>0</v>
      </c>
      <c r="S1155" s="13">
        <f t="shared" si="812"/>
        <v>10540800.00000014</v>
      </c>
      <c r="T1155">
        <f t="shared" ref="T1155:T1218" si="817">R1155*96</f>
        <v>0</v>
      </c>
      <c r="U1155" s="13">
        <f t="shared" ref="U1155:U1218" si="818">S1155</f>
        <v>10540800.00000014</v>
      </c>
      <c r="V1155" s="112">
        <f t="shared" ref="V1155:V1218" si="819">IF(T1155=0,0.0000000001,T1155)</f>
        <v>1E-10</v>
      </c>
      <c r="AN1155" s="127">
        <v>45346.541666666657</v>
      </c>
      <c r="AO1155">
        <v>1</v>
      </c>
      <c r="AP1155" s="13">
        <f t="shared" si="813"/>
        <v>10540800.00000014</v>
      </c>
      <c r="AQ1155">
        <f t="shared" si="814"/>
        <v>96</v>
      </c>
      <c r="AR1155" s="13">
        <f t="shared" si="815"/>
        <v>10540800.00000014</v>
      </c>
      <c r="AS1155" s="112">
        <f t="shared" si="816"/>
        <v>96</v>
      </c>
    </row>
    <row r="1156" spans="17:45" x14ac:dyDescent="0.25">
      <c r="Q1156" s="127">
        <v>45346.645833333343</v>
      </c>
      <c r="R1156">
        <v>1</v>
      </c>
      <c r="S1156" s="13">
        <f t="shared" ref="S1156:S1219" si="820">S1155+150*60</f>
        <v>10549800.00000014</v>
      </c>
      <c r="T1156">
        <f t="shared" si="817"/>
        <v>96</v>
      </c>
      <c r="U1156" s="13">
        <f t="shared" si="818"/>
        <v>10549800.00000014</v>
      </c>
      <c r="V1156" s="112">
        <f t="shared" si="819"/>
        <v>96</v>
      </c>
      <c r="AN1156" s="127">
        <v>45346.645833333343</v>
      </c>
      <c r="AO1156">
        <v>1</v>
      </c>
      <c r="AP1156" s="13">
        <f t="shared" ref="AP1156:AP1219" si="821">AP1155+150*60</f>
        <v>10549800.00000014</v>
      </c>
      <c r="AQ1156">
        <f t="shared" si="814"/>
        <v>96</v>
      </c>
      <c r="AR1156" s="13">
        <f t="shared" si="815"/>
        <v>10549800.00000014</v>
      </c>
      <c r="AS1156" s="112">
        <f t="shared" si="816"/>
        <v>96</v>
      </c>
    </row>
    <row r="1157" spans="17:45" x14ac:dyDescent="0.25">
      <c r="Q1157" s="127">
        <v>45346.75</v>
      </c>
      <c r="R1157">
        <v>1</v>
      </c>
      <c r="S1157" s="13">
        <f t="shared" si="820"/>
        <v>10558800.00000014</v>
      </c>
      <c r="T1157">
        <f t="shared" si="817"/>
        <v>96</v>
      </c>
      <c r="U1157" s="13">
        <f t="shared" si="818"/>
        <v>10558800.00000014</v>
      </c>
      <c r="V1157" s="112">
        <f t="shared" si="819"/>
        <v>96</v>
      </c>
      <c r="AN1157" s="127">
        <v>45346.75</v>
      </c>
      <c r="AO1157">
        <v>1</v>
      </c>
      <c r="AP1157" s="13">
        <f t="shared" si="821"/>
        <v>10558800.00000014</v>
      </c>
      <c r="AQ1157">
        <f t="shared" si="814"/>
        <v>96</v>
      </c>
      <c r="AR1157" s="13">
        <f t="shared" si="815"/>
        <v>10558800.00000014</v>
      </c>
      <c r="AS1157" s="112">
        <f t="shared" si="816"/>
        <v>96</v>
      </c>
    </row>
    <row r="1158" spans="17:45" x14ac:dyDescent="0.25">
      <c r="Q1158" s="127">
        <v>45346.854166666657</v>
      </c>
      <c r="R1158">
        <v>1</v>
      </c>
      <c r="S1158" s="13">
        <f t="shared" si="820"/>
        <v>10567800.00000014</v>
      </c>
      <c r="T1158">
        <f t="shared" si="817"/>
        <v>96</v>
      </c>
      <c r="U1158" s="13">
        <f t="shared" si="818"/>
        <v>10567800.00000014</v>
      </c>
      <c r="V1158" s="112">
        <f t="shared" si="819"/>
        <v>96</v>
      </c>
      <c r="AN1158" s="127">
        <v>45346.854166666657</v>
      </c>
      <c r="AO1158">
        <v>1</v>
      </c>
      <c r="AP1158" s="13">
        <f t="shared" si="821"/>
        <v>10567800.00000014</v>
      </c>
      <c r="AQ1158">
        <f t="shared" si="814"/>
        <v>96</v>
      </c>
      <c r="AR1158" s="13">
        <f t="shared" si="815"/>
        <v>10567800.00000014</v>
      </c>
      <c r="AS1158" s="112">
        <f t="shared" si="816"/>
        <v>96</v>
      </c>
    </row>
    <row r="1159" spans="17:45" x14ac:dyDescent="0.25">
      <c r="Q1159" s="127">
        <v>45346.958333333343</v>
      </c>
      <c r="R1159">
        <v>3</v>
      </c>
      <c r="S1159" s="13">
        <f t="shared" si="820"/>
        <v>10576800.00000014</v>
      </c>
      <c r="T1159">
        <f t="shared" si="817"/>
        <v>288</v>
      </c>
      <c r="U1159" s="13">
        <f t="shared" si="818"/>
        <v>10576800.00000014</v>
      </c>
      <c r="V1159" s="112">
        <f t="shared" si="819"/>
        <v>288</v>
      </c>
      <c r="AN1159" s="127">
        <v>45346.958333333343</v>
      </c>
      <c r="AO1159">
        <v>1</v>
      </c>
      <c r="AP1159" s="13">
        <f t="shared" si="821"/>
        <v>10576800.00000014</v>
      </c>
      <c r="AQ1159">
        <f t="shared" si="814"/>
        <v>96</v>
      </c>
      <c r="AR1159" s="13">
        <f t="shared" si="815"/>
        <v>10576800.00000014</v>
      </c>
      <c r="AS1159" s="112">
        <f t="shared" si="816"/>
        <v>96</v>
      </c>
    </row>
    <row r="1160" spans="17:45" x14ac:dyDescent="0.25">
      <c r="Q1160" s="127">
        <v>45347.0625</v>
      </c>
      <c r="R1160">
        <v>2</v>
      </c>
      <c r="S1160" s="13">
        <f t="shared" si="820"/>
        <v>10585800.00000014</v>
      </c>
      <c r="T1160">
        <f t="shared" si="817"/>
        <v>192</v>
      </c>
      <c r="U1160" s="13">
        <f t="shared" si="818"/>
        <v>10585800.00000014</v>
      </c>
      <c r="V1160" s="112">
        <f t="shared" si="819"/>
        <v>192</v>
      </c>
      <c r="AN1160" s="127">
        <v>45347.0625</v>
      </c>
      <c r="AO1160">
        <v>1</v>
      </c>
      <c r="AP1160" s="13">
        <f t="shared" si="821"/>
        <v>10585800.00000014</v>
      </c>
      <c r="AQ1160">
        <f t="shared" si="814"/>
        <v>96</v>
      </c>
      <c r="AR1160" s="13">
        <f t="shared" si="815"/>
        <v>10585800.00000014</v>
      </c>
      <c r="AS1160" s="112">
        <f t="shared" si="816"/>
        <v>96</v>
      </c>
    </row>
    <row r="1161" spans="17:45" x14ac:dyDescent="0.25">
      <c r="Q1161" s="127">
        <v>45347.166666666657</v>
      </c>
      <c r="R1161">
        <v>2</v>
      </c>
      <c r="S1161" s="13">
        <f t="shared" si="820"/>
        <v>10594800.00000014</v>
      </c>
      <c r="T1161">
        <f t="shared" si="817"/>
        <v>192</v>
      </c>
      <c r="U1161" s="13">
        <f t="shared" si="818"/>
        <v>10594800.00000014</v>
      </c>
      <c r="V1161" s="112">
        <f t="shared" si="819"/>
        <v>192</v>
      </c>
      <c r="AN1161" s="127">
        <v>45347.166666666657</v>
      </c>
      <c r="AO1161">
        <v>1</v>
      </c>
      <c r="AP1161" s="13">
        <f t="shared" si="821"/>
        <v>10594800.00000014</v>
      </c>
      <c r="AQ1161">
        <f t="shared" si="814"/>
        <v>96</v>
      </c>
      <c r="AR1161" s="13">
        <f t="shared" si="815"/>
        <v>10594800.00000014</v>
      </c>
      <c r="AS1161" s="112">
        <f t="shared" si="816"/>
        <v>96</v>
      </c>
    </row>
    <row r="1162" spans="17:45" x14ac:dyDescent="0.25">
      <c r="Q1162" s="127">
        <v>45347.270833333343</v>
      </c>
      <c r="R1162">
        <v>2</v>
      </c>
      <c r="S1162" s="13">
        <f t="shared" si="820"/>
        <v>10603800.00000014</v>
      </c>
      <c r="T1162">
        <f t="shared" si="817"/>
        <v>192</v>
      </c>
      <c r="U1162" s="13">
        <f t="shared" si="818"/>
        <v>10603800.00000014</v>
      </c>
      <c r="V1162" s="112">
        <f t="shared" si="819"/>
        <v>192</v>
      </c>
      <c r="AN1162" s="127">
        <v>45347.270833333343</v>
      </c>
      <c r="AO1162">
        <v>1</v>
      </c>
      <c r="AP1162" s="13">
        <f t="shared" si="821"/>
        <v>10603800.00000014</v>
      </c>
      <c r="AQ1162">
        <f t="shared" si="814"/>
        <v>96</v>
      </c>
      <c r="AR1162" s="13">
        <f t="shared" si="815"/>
        <v>10603800.00000014</v>
      </c>
      <c r="AS1162" s="112">
        <f t="shared" si="816"/>
        <v>96</v>
      </c>
    </row>
    <row r="1163" spans="17:45" x14ac:dyDescent="0.25">
      <c r="Q1163" s="127">
        <v>45347.375</v>
      </c>
      <c r="R1163">
        <v>3</v>
      </c>
      <c r="S1163" s="13">
        <f t="shared" si="820"/>
        <v>10612800.00000014</v>
      </c>
      <c r="T1163">
        <f t="shared" si="817"/>
        <v>288</v>
      </c>
      <c r="U1163" s="13">
        <f t="shared" si="818"/>
        <v>10612800.00000014</v>
      </c>
      <c r="V1163" s="112">
        <f t="shared" si="819"/>
        <v>288</v>
      </c>
      <c r="AN1163" s="127">
        <v>45347.375</v>
      </c>
      <c r="AO1163">
        <v>1</v>
      </c>
      <c r="AP1163" s="13">
        <f t="shared" si="821"/>
        <v>10612800.00000014</v>
      </c>
      <c r="AQ1163">
        <f t="shared" si="814"/>
        <v>96</v>
      </c>
      <c r="AR1163" s="13">
        <f t="shared" si="815"/>
        <v>10612800.00000014</v>
      </c>
      <c r="AS1163" s="112">
        <f t="shared" si="816"/>
        <v>96</v>
      </c>
    </row>
    <row r="1164" spans="17:45" x14ac:dyDescent="0.25">
      <c r="Q1164" s="127">
        <v>45347.479166666657</v>
      </c>
      <c r="R1164">
        <v>2</v>
      </c>
      <c r="S1164" s="13">
        <f t="shared" si="820"/>
        <v>10621800.00000014</v>
      </c>
      <c r="T1164">
        <f t="shared" si="817"/>
        <v>192</v>
      </c>
      <c r="U1164" s="13">
        <f t="shared" si="818"/>
        <v>10621800.00000014</v>
      </c>
      <c r="V1164" s="112">
        <f t="shared" si="819"/>
        <v>192</v>
      </c>
      <c r="AN1164" s="127">
        <v>45347.479166666657</v>
      </c>
      <c r="AO1164">
        <v>1</v>
      </c>
      <c r="AP1164" s="13">
        <f t="shared" si="821"/>
        <v>10621800.00000014</v>
      </c>
      <c r="AQ1164">
        <f t="shared" si="814"/>
        <v>96</v>
      </c>
      <c r="AR1164" s="13">
        <f t="shared" si="815"/>
        <v>10621800.00000014</v>
      </c>
      <c r="AS1164" s="112">
        <f t="shared" si="816"/>
        <v>96</v>
      </c>
    </row>
    <row r="1165" spans="17:45" x14ac:dyDescent="0.25">
      <c r="Q1165" s="127">
        <v>45347.583333333343</v>
      </c>
      <c r="R1165">
        <v>2</v>
      </c>
      <c r="S1165" s="13">
        <f t="shared" si="820"/>
        <v>10630800.00000014</v>
      </c>
      <c r="T1165">
        <f t="shared" si="817"/>
        <v>192</v>
      </c>
      <c r="U1165" s="13">
        <f t="shared" si="818"/>
        <v>10630800.00000014</v>
      </c>
      <c r="V1165" s="112">
        <f t="shared" si="819"/>
        <v>192</v>
      </c>
      <c r="AN1165" s="127">
        <v>45347.583333333343</v>
      </c>
      <c r="AO1165">
        <v>1</v>
      </c>
      <c r="AP1165" s="13">
        <f t="shared" si="821"/>
        <v>10630800.00000014</v>
      </c>
      <c r="AQ1165">
        <f t="shared" si="814"/>
        <v>96</v>
      </c>
      <c r="AR1165" s="13">
        <f t="shared" si="815"/>
        <v>10630800.00000014</v>
      </c>
      <c r="AS1165" s="112">
        <f t="shared" si="816"/>
        <v>96</v>
      </c>
    </row>
    <row r="1166" spans="17:45" x14ac:dyDescent="0.25">
      <c r="Q1166" s="127">
        <v>45347.6875</v>
      </c>
      <c r="R1166">
        <v>2</v>
      </c>
      <c r="S1166" s="13">
        <f t="shared" si="820"/>
        <v>10639800.00000014</v>
      </c>
      <c r="T1166">
        <f t="shared" si="817"/>
        <v>192</v>
      </c>
      <c r="U1166" s="13">
        <f t="shared" si="818"/>
        <v>10639800.00000014</v>
      </c>
      <c r="V1166" s="112">
        <f t="shared" si="819"/>
        <v>192</v>
      </c>
      <c r="AN1166" s="127">
        <v>45347.6875</v>
      </c>
      <c r="AO1166">
        <v>0</v>
      </c>
      <c r="AP1166" s="13">
        <f t="shared" si="821"/>
        <v>10639800.00000014</v>
      </c>
      <c r="AQ1166">
        <f t="shared" si="814"/>
        <v>0</v>
      </c>
      <c r="AR1166" s="13">
        <f t="shared" si="815"/>
        <v>10639800.00000014</v>
      </c>
      <c r="AS1166" s="112">
        <f t="shared" si="816"/>
        <v>1E-10</v>
      </c>
    </row>
    <row r="1167" spans="17:45" x14ac:dyDescent="0.25">
      <c r="Q1167" s="127">
        <v>45347.791666666657</v>
      </c>
      <c r="R1167">
        <v>2</v>
      </c>
      <c r="S1167" s="13">
        <f t="shared" si="820"/>
        <v>10648800.00000014</v>
      </c>
      <c r="T1167">
        <f t="shared" si="817"/>
        <v>192</v>
      </c>
      <c r="U1167" s="13">
        <f t="shared" si="818"/>
        <v>10648800.00000014</v>
      </c>
      <c r="V1167" s="112">
        <f t="shared" si="819"/>
        <v>192</v>
      </c>
      <c r="AN1167" s="127">
        <v>45347.791666666657</v>
      </c>
      <c r="AO1167">
        <v>1</v>
      </c>
      <c r="AP1167" s="13">
        <f t="shared" si="821"/>
        <v>10648800.00000014</v>
      </c>
      <c r="AQ1167">
        <f t="shared" si="814"/>
        <v>96</v>
      </c>
      <c r="AR1167" s="13">
        <f t="shared" si="815"/>
        <v>10648800.00000014</v>
      </c>
      <c r="AS1167" s="112">
        <f t="shared" si="816"/>
        <v>96</v>
      </c>
    </row>
    <row r="1168" spans="17:45" x14ac:dyDescent="0.25">
      <c r="Q1168" s="127">
        <v>45347.895833333343</v>
      </c>
      <c r="R1168">
        <v>2</v>
      </c>
      <c r="S1168" s="13">
        <f t="shared" si="820"/>
        <v>10657800.00000014</v>
      </c>
      <c r="T1168">
        <f t="shared" si="817"/>
        <v>192</v>
      </c>
      <c r="U1168" s="13">
        <f t="shared" si="818"/>
        <v>10657800.00000014</v>
      </c>
      <c r="V1168" s="112">
        <f t="shared" si="819"/>
        <v>192</v>
      </c>
      <c r="AN1168" s="127">
        <v>45347.895833333343</v>
      </c>
      <c r="AO1168">
        <v>1</v>
      </c>
      <c r="AP1168" s="13">
        <f t="shared" si="821"/>
        <v>10657800.00000014</v>
      </c>
      <c r="AQ1168">
        <f t="shared" si="814"/>
        <v>96</v>
      </c>
      <c r="AR1168" s="13">
        <f t="shared" si="815"/>
        <v>10657800.00000014</v>
      </c>
      <c r="AS1168" s="112">
        <f t="shared" si="816"/>
        <v>96</v>
      </c>
    </row>
    <row r="1169" spans="17:45" x14ac:dyDescent="0.25">
      <c r="Q1169" s="127">
        <v>45348</v>
      </c>
      <c r="R1169">
        <v>2</v>
      </c>
      <c r="S1169" s="13">
        <f t="shared" si="820"/>
        <v>10666800.00000014</v>
      </c>
      <c r="T1169">
        <f t="shared" si="817"/>
        <v>192</v>
      </c>
      <c r="U1169" s="13">
        <f t="shared" si="818"/>
        <v>10666800.00000014</v>
      </c>
      <c r="V1169" s="112">
        <f t="shared" si="819"/>
        <v>192</v>
      </c>
      <c r="AN1169" s="127">
        <v>45348</v>
      </c>
      <c r="AO1169">
        <v>1</v>
      </c>
      <c r="AP1169" s="13">
        <f t="shared" si="821"/>
        <v>10666800.00000014</v>
      </c>
      <c r="AQ1169">
        <f t="shared" si="814"/>
        <v>96</v>
      </c>
      <c r="AR1169" s="13">
        <f t="shared" si="815"/>
        <v>10666800.00000014</v>
      </c>
      <c r="AS1169" s="112">
        <f t="shared" si="816"/>
        <v>96</v>
      </c>
    </row>
    <row r="1170" spans="17:45" x14ac:dyDescent="0.25">
      <c r="Q1170" s="127">
        <v>45348.104166666657</v>
      </c>
      <c r="R1170">
        <v>2</v>
      </c>
      <c r="S1170" s="13">
        <f t="shared" si="820"/>
        <v>10675800.00000014</v>
      </c>
      <c r="T1170">
        <f t="shared" si="817"/>
        <v>192</v>
      </c>
      <c r="U1170" s="13">
        <f t="shared" si="818"/>
        <v>10675800.00000014</v>
      </c>
      <c r="V1170" s="112">
        <f t="shared" si="819"/>
        <v>192</v>
      </c>
      <c r="AN1170" s="127">
        <v>45348.104166666657</v>
      </c>
      <c r="AO1170">
        <v>1</v>
      </c>
      <c r="AP1170" s="13">
        <f t="shared" si="821"/>
        <v>10675800.00000014</v>
      </c>
      <c r="AQ1170">
        <f t="shared" si="814"/>
        <v>96</v>
      </c>
      <c r="AR1170" s="13">
        <f t="shared" si="815"/>
        <v>10675800.00000014</v>
      </c>
      <c r="AS1170" s="112">
        <f t="shared" si="816"/>
        <v>96</v>
      </c>
    </row>
    <row r="1171" spans="17:45" x14ac:dyDescent="0.25">
      <c r="Q1171" s="127">
        <v>45348.208333333343</v>
      </c>
      <c r="R1171">
        <v>2</v>
      </c>
      <c r="S1171" s="13">
        <f t="shared" si="820"/>
        <v>10684800.00000014</v>
      </c>
      <c r="T1171">
        <f t="shared" si="817"/>
        <v>192</v>
      </c>
      <c r="U1171" s="13">
        <f t="shared" si="818"/>
        <v>10684800.00000014</v>
      </c>
      <c r="V1171" s="112">
        <f t="shared" si="819"/>
        <v>192</v>
      </c>
      <c r="AN1171" s="127">
        <v>45348.208333333343</v>
      </c>
      <c r="AO1171">
        <v>1</v>
      </c>
      <c r="AP1171" s="13">
        <f t="shared" si="821"/>
        <v>10684800.00000014</v>
      </c>
      <c r="AQ1171">
        <f t="shared" si="814"/>
        <v>96</v>
      </c>
      <c r="AR1171" s="13">
        <f t="shared" si="815"/>
        <v>10684800.00000014</v>
      </c>
      <c r="AS1171" s="112">
        <f t="shared" si="816"/>
        <v>96</v>
      </c>
    </row>
    <row r="1172" spans="17:45" x14ac:dyDescent="0.25">
      <c r="Q1172" s="127">
        <v>45348.3125</v>
      </c>
      <c r="R1172">
        <v>2</v>
      </c>
      <c r="S1172" s="13">
        <f t="shared" si="820"/>
        <v>10693800.00000014</v>
      </c>
      <c r="T1172">
        <f t="shared" si="817"/>
        <v>192</v>
      </c>
      <c r="U1172" s="13">
        <f t="shared" si="818"/>
        <v>10693800.00000014</v>
      </c>
      <c r="V1172" s="112">
        <f t="shared" si="819"/>
        <v>192</v>
      </c>
      <c r="AN1172" s="127">
        <v>45348.3125</v>
      </c>
      <c r="AO1172">
        <v>1</v>
      </c>
      <c r="AP1172" s="13">
        <f t="shared" si="821"/>
        <v>10693800.00000014</v>
      </c>
      <c r="AQ1172">
        <f t="shared" si="814"/>
        <v>96</v>
      </c>
      <c r="AR1172" s="13">
        <f t="shared" si="815"/>
        <v>10693800.00000014</v>
      </c>
      <c r="AS1172" s="112">
        <f t="shared" si="816"/>
        <v>96</v>
      </c>
    </row>
    <row r="1173" spans="17:45" x14ac:dyDescent="0.25">
      <c r="Q1173" s="127">
        <v>45348.416666666657</v>
      </c>
      <c r="R1173">
        <v>7</v>
      </c>
      <c r="S1173" s="13">
        <f t="shared" si="820"/>
        <v>10702800.00000014</v>
      </c>
      <c r="T1173">
        <f t="shared" si="817"/>
        <v>672</v>
      </c>
      <c r="U1173" s="13">
        <f t="shared" si="818"/>
        <v>10702800.00000014</v>
      </c>
      <c r="V1173" s="112">
        <f t="shared" si="819"/>
        <v>672</v>
      </c>
      <c r="AN1173" s="127">
        <v>45348.416666666657</v>
      </c>
      <c r="AO1173">
        <v>2</v>
      </c>
      <c r="AP1173" s="13">
        <f t="shared" si="821"/>
        <v>10702800.00000014</v>
      </c>
      <c r="AQ1173">
        <f t="shared" si="814"/>
        <v>192</v>
      </c>
      <c r="AR1173" s="13">
        <f t="shared" si="815"/>
        <v>10702800.00000014</v>
      </c>
      <c r="AS1173" s="112">
        <f t="shared" si="816"/>
        <v>192</v>
      </c>
    </row>
    <row r="1174" spans="17:45" x14ac:dyDescent="0.25">
      <c r="Q1174" s="127">
        <v>45348.520833333343</v>
      </c>
      <c r="R1174">
        <v>3</v>
      </c>
      <c r="S1174" s="13">
        <f t="shared" si="820"/>
        <v>10711800.00000014</v>
      </c>
      <c r="T1174">
        <f t="shared" si="817"/>
        <v>288</v>
      </c>
      <c r="U1174" s="13">
        <f t="shared" si="818"/>
        <v>10711800.00000014</v>
      </c>
      <c r="V1174" s="112">
        <f t="shared" si="819"/>
        <v>288</v>
      </c>
      <c r="AN1174" s="127">
        <v>45348.520833333343</v>
      </c>
      <c r="AO1174">
        <v>1</v>
      </c>
      <c r="AP1174" s="13">
        <f t="shared" si="821"/>
        <v>10711800.00000014</v>
      </c>
      <c r="AQ1174">
        <f t="shared" si="814"/>
        <v>96</v>
      </c>
      <c r="AR1174" s="13">
        <f t="shared" si="815"/>
        <v>10711800.00000014</v>
      </c>
      <c r="AS1174" s="112">
        <f t="shared" si="816"/>
        <v>96</v>
      </c>
    </row>
    <row r="1175" spans="17:45" x14ac:dyDescent="0.25">
      <c r="Q1175" s="127">
        <v>45348.625</v>
      </c>
      <c r="R1175">
        <v>2</v>
      </c>
      <c r="S1175" s="13">
        <f t="shared" si="820"/>
        <v>10720800.00000014</v>
      </c>
      <c r="T1175">
        <f t="shared" si="817"/>
        <v>192</v>
      </c>
      <c r="U1175" s="13">
        <f t="shared" si="818"/>
        <v>10720800.00000014</v>
      </c>
      <c r="V1175" s="112">
        <f t="shared" si="819"/>
        <v>192</v>
      </c>
      <c r="AN1175" s="127">
        <v>45348.625</v>
      </c>
      <c r="AO1175">
        <v>0</v>
      </c>
      <c r="AP1175" s="13">
        <f t="shared" si="821"/>
        <v>10720800.00000014</v>
      </c>
      <c r="AQ1175">
        <f t="shared" si="814"/>
        <v>0</v>
      </c>
      <c r="AR1175" s="13">
        <f t="shared" si="815"/>
        <v>10720800.00000014</v>
      </c>
      <c r="AS1175" s="112">
        <f t="shared" si="816"/>
        <v>1E-10</v>
      </c>
    </row>
    <row r="1176" spans="17:45" x14ac:dyDescent="0.25">
      <c r="Q1176" s="127">
        <v>45348.729166666657</v>
      </c>
      <c r="R1176">
        <v>1</v>
      </c>
      <c r="S1176" s="13">
        <f t="shared" si="820"/>
        <v>10729800.00000014</v>
      </c>
      <c r="T1176">
        <f t="shared" si="817"/>
        <v>96</v>
      </c>
      <c r="U1176" s="13">
        <f t="shared" si="818"/>
        <v>10729800.00000014</v>
      </c>
      <c r="V1176" s="112">
        <f t="shared" si="819"/>
        <v>96</v>
      </c>
      <c r="AN1176" s="127">
        <v>45348.729166666657</v>
      </c>
      <c r="AO1176">
        <v>1</v>
      </c>
      <c r="AP1176" s="13">
        <f t="shared" si="821"/>
        <v>10729800.00000014</v>
      </c>
      <c r="AQ1176">
        <f t="shared" si="814"/>
        <v>96</v>
      </c>
      <c r="AR1176" s="13">
        <f t="shared" si="815"/>
        <v>10729800.00000014</v>
      </c>
      <c r="AS1176" s="112">
        <f t="shared" si="816"/>
        <v>96</v>
      </c>
    </row>
    <row r="1177" spans="17:45" x14ac:dyDescent="0.25">
      <c r="Q1177" s="127">
        <v>45348.833333333343</v>
      </c>
      <c r="R1177">
        <v>2</v>
      </c>
      <c r="S1177" s="13">
        <f t="shared" si="820"/>
        <v>10738800.00000014</v>
      </c>
      <c r="T1177">
        <f t="shared" si="817"/>
        <v>192</v>
      </c>
      <c r="U1177" s="13">
        <f t="shared" si="818"/>
        <v>10738800.00000014</v>
      </c>
      <c r="V1177" s="112">
        <f t="shared" si="819"/>
        <v>192</v>
      </c>
      <c r="AN1177" s="127">
        <v>45348.833333333343</v>
      </c>
      <c r="AO1177">
        <v>1</v>
      </c>
      <c r="AP1177" s="13">
        <f t="shared" si="821"/>
        <v>10738800.00000014</v>
      </c>
      <c r="AQ1177">
        <f t="shared" si="814"/>
        <v>96</v>
      </c>
      <c r="AR1177" s="13">
        <f t="shared" si="815"/>
        <v>10738800.00000014</v>
      </c>
      <c r="AS1177" s="112">
        <f t="shared" si="816"/>
        <v>96</v>
      </c>
    </row>
    <row r="1178" spans="17:45" x14ac:dyDescent="0.25">
      <c r="Q1178" s="127">
        <v>45348.9375</v>
      </c>
      <c r="R1178">
        <v>1</v>
      </c>
      <c r="S1178" s="13">
        <f t="shared" si="820"/>
        <v>10747800.00000014</v>
      </c>
      <c r="T1178">
        <f t="shared" si="817"/>
        <v>96</v>
      </c>
      <c r="U1178" s="13">
        <f t="shared" si="818"/>
        <v>10747800.00000014</v>
      </c>
      <c r="V1178" s="112">
        <f t="shared" si="819"/>
        <v>96</v>
      </c>
      <c r="AN1178" s="127">
        <v>45348.9375</v>
      </c>
      <c r="AO1178">
        <v>1</v>
      </c>
      <c r="AP1178" s="13">
        <f t="shared" si="821"/>
        <v>10747800.00000014</v>
      </c>
      <c r="AQ1178">
        <f t="shared" si="814"/>
        <v>96</v>
      </c>
      <c r="AR1178" s="13">
        <f t="shared" si="815"/>
        <v>10747800.00000014</v>
      </c>
      <c r="AS1178" s="112">
        <f t="shared" si="816"/>
        <v>96</v>
      </c>
    </row>
    <row r="1179" spans="17:45" x14ac:dyDescent="0.25">
      <c r="Q1179" s="127">
        <v>45349.041666666657</v>
      </c>
      <c r="R1179">
        <v>1</v>
      </c>
      <c r="S1179" s="13">
        <f t="shared" si="820"/>
        <v>10756800.00000014</v>
      </c>
      <c r="T1179">
        <f t="shared" si="817"/>
        <v>96</v>
      </c>
      <c r="U1179" s="13">
        <f t="shared" si="818"/>
        <v>10756800.00000014</v>
      </c>
      <c r="V1179" s="112">
        <f t="shared" si="819"/>
        <v>96</v>
      </c>
      <c r="AN1179" s="127">
        <v>45349.041666666657</v>
      </c>
      <c r="AO1179">
        <v>1</v>
      </c>
      <c r="AP1179" s="13">
        <f t="shared" si="821"/>
        <v>10756800.00000014</v>
      </c>
      <c r="AQ1179">
        <f t="shared" si="814"/>
        <v>96</v>
      </c>
      <c r="AR1179" s="13">
        <f t="shared" si="815"/>
        <v>10756800.00000014</v>
      </c>
      <c r="AS1179" s="112">
        <f t="shared" si="816"/>
        <v>96</v>
      </c>
    </row>
    <row r="1180" spans="17:45" x14ac:dyDescent="0.25">
      <c r="Q1180" s="127">
        <v>45349.145833333343</v>
      </c>
      <c r="R1180">
        <v>1</v>
      </c>
      <c r="S1180" s="13">
        <f t="shared" si="820"/>
        <v>10765800.00000014</v>
      </c>
      <c r="T1180">
        <f t="shared" si="817"/>
        <v>96</v>
      </c>
      <c r="U1180" s="13">
        <f t="shared" si="818"/>
        <v>10765800.00000014</v>
      </c>
      <c r="V1180" s="112">
        <f t="shared" si="819"/>
        <v>96</v>
      </c>
      <c r="AN1180" s="127">
        <v>45349.145833333343</v>
      </c>
      <c r="AO1180">
        <v>1</v>
      </c>
      <c r="AP1180" s="13">
        <f t="shared" si="821"/>
        <v>10765800.00000014</v>
      </c>
      <c r="AQ1180">
        <f t="shared" si="814"/>
        <v>96</v>
      </c>
      <c r="AR1180" s="13">
        <f t="shared" si="815"/>
        <v>10765800.00000014</v>
      </c>
      <c r="AS1180" s="112">
        <f t="shared" si="816"/>
        <v>96</v>
      </c>
    </row>
    <row r="1181" spans="17:45" x14ac:dyDescent="0.25">
      <c r="Q1181" s="127">
        <v>45349.25</v>
      </c>
      <c r="R1181">
        <v>1</v>
      </c>
      <c r="S1181" s="13">
        <f t="shared" si="820"/>
        <v>10774800.00000014</v>
      </c>
      <c r="T1181">
        <f t="shared" si="817"/>
        <v>96</v>
      </c>
      <c r="U1181" s="13">
        <f t="shared" si="818"/>
        <v>10774800.00000014</v>
      </c>
      <c r="V1181" s="112">
        <f t="shared" si="819"/>
        <v>96</v>
      </c>
      <c r="AN1181" s="127">
        <v>45349.25</v>
      </c>
      <c r="AO1181">
        <v>1</v>
      </c>
      <c r="AP1181" s="13">
        <f t="shared" si="821"/>
        <v>10774800.00000014</v>
      </c>
      <c r="AQ1181">
        <f t="shared" si="814"/>
        <v>96</v>
      </c>
      <c r="AR1181" s="13">
        <f t="shared" si="815"/>
        <v>10774800.00000014</v>
      </c>
      <c r="AS1181" s="112">
        <f t="shared" si="816"/>
        <v>96</v>
      </c>
    </row>
    <row r="1182" spans="17:45" x14ac:dyDescent="0.25">
      <c r="Q1182" s="127">
        <v>45349.354166666657</v>
      </c>
      <c r="R1182">
        <v>1</v>
      </c>
      <c r="S1182" s="13">
        <f t="shared" si="820"/>
        <v>10783800.00000014</v>
      </c>
      <c r="T1182">
        <f t="shared" si="817"/>
        <v>96</v>
      </c>
      <c r="U1182" s="13">
        <f t="shared" si="818"/>
        <v>10783800.00000014</v>
      </c>
      <c r="V1182" s="112">
        <f t="shared" si="819"/>
        <v>96</v>
      </c>
      <c r="AN1182" s="127">
        <v>45349.354166666657</v>
      </c>
      <c r="AO1182">
        <v>1</v>
      </c>
      <c r="AP1182" s="13">
        <f t="shared" si="821"/>
        <v>10783800.00000014</v>
      </c>
      <c r="AQ1182">
        <f t="shared" si="814"/>
        <v>96</v>
      </c>
      <c r="AR1182" s="13">
        <f t="shared" si="815"/>
        <v>10783800.00000014</v>
      </c>
      <c r="AS1182" s="112">
        <f t="shared" si="816"/>
        <v>96</v>
      </c>
    </row>
    <row r="1183" spans="17:45" x14ac:dyDescent="0.25">
      <c r="Q1183" s="127">
        <v>45349.458333333343</v>
      </c>
      <c r="R1183">
        <v>0</v>
      </c>
      <c r="S1183" s="13">
        <f t="shared" si="820"/>
        <v>10792800.00000014</v>
      </c>
      <c r="T1183">
        <f t="shared" si="817"/>
        <v>0</v>
      </c>
      <c r="U1183" s="13">
        <f t="shared" si="818"/>
        <v>10792800.00000014</v>
      </c>
      <c r="V1183" s="112">
        <f t="shared" si="819"/>
        <v>1E-10</v>
      </c>
      <c r="AN1183" s="127">
        <v>45349.458333333343</v>
      </c>
      <c r="AO1183">
        <v>1</v>
      </c>
      <c r="AP1183" s="13">
        <f t="shared" si="821"/>
        <v>10792800.00000014</v>
      </c>
      <c r="AQ1183">
        <f t="shared" si="814"/>
        <v>96</v>
      </c>
      <c r="AR1183" s="13">
        <f t="shared" si="815"/>
        <v>10792800.00000014</v>
      </c>
      <c r="AS1183" s="112">
        <f t="shared" si="816"/>
        <v>96</v>
      </c>
    </row>
    <row r="1184" spans="17:45" x14ac:dyDescent="0.25">
      <c r="Q1184" s="127">
        <v>45349.5625</v>
      </c>
      <c r="R1184">
        <v>0</v>
      </c>
      <c r="S1184" s="13">
        <f t="shared" si="820"/>
        <v>10801800.00000014</v>
      </c>
      <c r="T1184">
        <f t="shared" si="817"/>
        <v>0</v>
      </c>
      <c r="U1184" s="13">
        <f t="shared" si="818"/>
        <v>10801800.00000014</v>
      </c>
      <c r="V1184" s="112">
        <f t="shared" si="819"/>
        <v>1E-10</v>
      </c>
      <c r="AN1184" s="127">
        <v>45349.5625</v>
      </c>
      <c r="AO1184">
        <v>1</v>
      </c>
      <c r="AP1184" s="13">
        <f t="shared" si="821"/>
        <v>10801800.00000014</v>
      </c>
      <c r="AQ1184">
        <f t="shared" si="814"/>
        <v>96</v>
      </c>
      <c r="AR1184" s="13">
        <f t="shared" si="815"/>
        <v>10801800.00000014</v>
      </c>
      <c r="AS1184" s="112">
        <f t="shared" si="816"/>
        <v>96</v>
      </c>
    </row>
    <row r="1185" spans="17:45" x14ac:dyDescent="0.25">
      <c r="Q1185" s="127">
        <v>45349.666666666657</v>
      </c>
      <c r="R1185">
        <v>1</v>
      </c>
      <c r="S1185" s="13">
        <f t="shared" si="820"/>
        <v>10810800.00000014</v>
      </c>
      <c r="T1185">
        <f t="shared" si="817"/>
        <v>96</v>
      </c>
      <c r="U1185" s="13">
        <f t="shared" si="818"/>
        <v>10810800.00000014</v>
      </c>
      <c r="V1185" s="112">
        <f t="shared" si="819"/>
        <v>96</v>
      </c>
      <c r="AN1185" s="127">
        <v>45349.666666666657</v>
      </c>
      <c r="AO1185">
        <v>1</v>
      </c>
      <c r="AP1185" s="13">
        <f t="shared" si="821"/>
        <v>10810800.00000014</v>
      </c>
      <c r="AQ1185">
        <f t="shared" si="814"/>
        <v>96</v>
      </c>
      <c r="AR1185" s="13">
        <f t="shared" si="815"/>
        <v>10810800.00000014</v>
      </c>
      <c r="AS1185" s="112">
        <f t="shared" si="816"/>
        <v>96</v>
      </c>
    </row>
    <row r="1186" spans="17:45" x14ac:dyDescent="0.25">
      <c r="Q1186" s="127">
        <v>45349.770833333343</v>
      </c>
      <c r="R1186">
        <v>1</v>
      </c>
      <c r="S1186" s="13">
        <f t="shared" si="820"/>
        <v>10819800.00000014</v>
      </c>
      <c r="T1186">
        <f t="shared" si="817"/>
        <v>96</v>
      </c>
      <c r="U1186" s="13">
        <f t="shared" si="818"/>
        <v>10819800.00000014</v>
      </c>
      <c r="V1186" s="112">
        <f t="shared" si="819"/>
        <v>96</v>
      </c>
      <c r="AN1186" s="127">
        <v>45349.770833333343</v>
      </c>
      <c r="AO1186">
        <v>1</v>
      </c>
      <c r="AP1186" s="13">
        <f t="shared" si="821"/>
        <v>10819800.00000014</v>
      </c>
      <c r="AQ1186">
        <f t="shared" si="814"/>
        <v>96</v>
      </c>
      <c r="AR1186" s="13">
        <f t="shared" si="815"/>
        <v>10819800.00000014</v>
      </c>
      <c r="AS1186" s="112">
        <f t="shared" si="816"/>
        <v>96</v>
      </c>
    </row>
    <row r="1187" spans="17:45" x14ac:dyDescent="0.25">
      <c r="Q1187" s="127">
        <v>45349.875</v>
      </c>
      <c r="R1187">
        <v>1</v>
      </c>
      <c r="S1187" s="13">
        <f t="shared" si="820"/>
        <v>10828800.00000014</v>
      </c>
      <c r="T1187">
        <f t="shared" si="817"/>
        <v>96</v>
      </c>
      <c r="U1187" s="13">
        <f t="shared" si="818"/>
        <v>10828800.00000014</v>
      </c>
      <c r="V1187" s="112">
        <f t="shared" si="819"/>
        <v>96</v>
      </c>
      <c r="AN1187" s="127">
        <v>45349.875</v>
      </c>
      <c r="AO1187">
        <v>1</v>
      </c>
      <c r="AP1187" s="13">
        <f t="shared" si="821"/>
        <v>10828800.00000014</v>
      </c>
      <c r="AQ1187">
        <f t="shared" ref="AQ1187:AQ1250" si="822">AO1187*96</f>
        <v>96</v>
      </c>
      <c r="AR1187" s="13">
        <f t="shared" ref="AR1187:AR1250" si="823">AP1187</f>
        <v>10828800.00000014</v>
      </c>
      <c r="AS1187" s="112">
        <f t="shared" ref="AS1187:AS1250" si="824">IF(AQ1187=0,0.0000000001,AQ1187)</f>
        <v>96</v>
      </c>
    </row>
    <row r="1188" spans="17:45" x14ac:dyDescent="0.25">
      <c r="Q1188" s="127">
        <v>45349.979166666657</v>
      </c>
      <c r="R1188">
        <v>3</v>
      </c>
      <c r="S1188" s="13">
        <f t="shared" si="820"/>
        <v>10837800.00000014</v>
      </c>
      <c r="T1188">
        <f t="shared" si="817"/>
        <v>288</v>
      </c>
      <c r="U1188" s="13">
        <f t="shared" si="818"/>
        <v>10837800.00000014</v>
      </c>
      <c r="V1188" s="112">
        <f t="shared" si="819"/>
        <v>288</v>
      </c>
      <c r="AN1188" s="127">
        <v>45349.979166666657</v>
      </c>
      <c r="AO1188">
        <v>1</v>
      </c>
      <c r="AP1188" s="13">
        <f t="shared" si="821"/>
        <v>10837800.00000014</v>
      </c>
      <c r="AQ1188">
        <f t="shared" si="822"/>
        <v>96</v>
      </c>
      <c r="AR1188" s="13">
        <f t="shared" si="823"/>
        <v>10837800.00000014</v>
      </c>
      <c r="AS1188" s="112">
        <f t="shared" si="824"/>
        <v>96</v>
      </c>
    </row>
    <row r="1189" spans="17:45" x14ac:dyDescent="0.25">
      <c r="Q1189" s="127">
        <v>45350.083333333343</v>
      </c>
      <c r="R1189">
        <v>2</v>
      </c>
      <c r="S1189" s="13">
        <f t="shared" si="820"/>
        <v>10846800.00000014</v>
      </c>
      <c r="T1189">
        <f t="shared" si="817"/>
        <v>192</v>
      </c>
      <c r="U1189" s="13">
        <f t="shared" si="818"/>
        <v>10846800.00000014</v>
      </c>
      <c r="V1189" s="112">
        <f t="shared" si="819"/>
        <v>192</v>
      </c>
      <c r="AN1189" s="127">
        <v>45350.083333333343</v>
      </c>
      <c r="AO1189">
        <v>1</v>
      </c>
      <c r="AP1189" s="13">
        <f t="shared" si="821"/>
        <v>10846800.00000014</v>
      </c>
      <c r="AQ1189">
        <f t="shared" si="822"/>
        <v>96</v>
      </c>
      <c r="AR1189" s="13">
        <f t="shared" si="823"/>
        <v>10846800.00000014</v>
      </c>
      <c r="AS1189" s="112">
        <f t="shared" si="824"/>
        <v>96</v>
      </c>
    </row>
    <row r="1190" spans="17:45" x14ac:dyDescent="0.25">
      <c r="Q1190" s="127">
        <v>45350.1875</v>
      </c>
      <c r="R1190">
        <v>2</v>
      </c>
      <c r="S1190" s="13">
        <f t="shared" si="820"/>
        <v>10855800.00000014</v>
      </c>
      <c r="T1190">
        <f t="shared" si="817"/>
        <v>192</v>
      </c>
      <c r="U1190" s="13">
        <f t="shared" si="818"/>
        <v>10855800.00000014</v>
      </c>
      <c r="V1190" s="112">
        <f t="shared" si="819"/>
        <v>192</v>
      </c>
      <c r="AN1190" s="127">
        <v>45350.1875</v>
      </c>
      <c r="AO1190">
        <v>1</v>
      </c>
      <c r="AP1190" s="13">
        <f t="shared" si="821"/>
        <v>10855800.00000014</v>
      </c>
      <c r="AQ1190">
        <f t="shared" si="822"/>
        <v>96</v>
      </c>
      <c r="AR1190" s="13">
        <f t="shared" si="823"/>
        <v>10855800.00000014</v>
      </c>
      <c r="AS1190" s="112">
        <f t="shared" si="824"/>
        <v>96</v>
      </c>
    </row>
    <row r="1191" spans="17:45" x14ac:dyDescent="0.25">
      <c r="Q1191" s="127">
        <v>45350.291666666657</v>
      </c>
      <c r="R1191">
        <v>2</v>
      </c>
      <c r="S1191" s="13">
        <f t="shared" si="820"/>
        <v>10864800.00000014</v>
      </c>
      <c r="T1191">
        <f t="shared" si="817"/>
        <v>192</v>
      </c>
      <c r="U1191" s="13">
        <f t="shared" si="818"/>
        <v>10864800.00000014</v>
      </c>
      <c r="V1191" s="112">
        <f t="shared" si="819"/>
        <v>192</v>
      </c>
      <c r="AN1191" s="127">
        <v>45350.291666666657</v>
      </c>
      <c r="AO1191">
        <v>1</v>
      </c>
      <c r="AP1191" s="13">
        <f t="shared" si="821"/>
        <v>10864800.00000014</v>
      </c>
      <c r="AQ1191">
        <f t="shared" si="822"/>
        <v>96</v>
      </c>
      <c r="AR1191" s="13">
        <f t="shared" si="823"/>
        <v>10864800.00000014</v>
      </c>
      <c r="AS1191" s="112">
        <f t="shared" si="824"/>
        <v>96</v>
      </c>
    </row>
    <row r="1192" spans="17:45" x14ac:dyDescent="0.25">
      <c r="Q1192" s="127">
        <v>45350.395833333343</v>
      </c>
      <c r="R1192">
        <v>2</v>
      </c>
      <c r="S1192" s="13">
        <f t="shared" si="820"/>
        <v>10873800.00000014</v>
      </c>
      <c r="T1192">
        <f t="shared" si="817"/>
        <v>192</v>
      </c>
      <c r="U1192" s="13">
        <f t="shared" si="818"/>
        <v>10873800.00000014</v>
      </c>
      <c r="V1192" s="112">
        <f t="shared" si="819"/>
        <v>192</v>
      </c>
      <c r="AN1192" s="127">
        <v>45350.395833333343</v>
      </c>
      <c r="AO1192">
        <v>1</v>
      </c>
      <c r="AP1192" s="13">
        <f t="shared" si="821"/>
        <v>10873800.00000014</v>
      </c>
      <c r="AQ1192">
        <f t="shared" si="822"/>
        <v>96</v>
      </c>
      <c r="AR1192" s="13">
        <f t="shared" si="823"/>
        <v>10873800.00000014</v>
      </c>
      <c r="AS1192" s="112">
        <f t="shared" si="824"/>
        <v>96</v>
      </c>
    </row>
    <row r="1193" spans="17:45" x14ac:dyDescent="0.25">
      <c r="Q1193" s="127">
        <v>45350.5</v>
      </c>
      <c r="R1193">
        <v>2</v>
      </c>
      <c r="S1193" s="13">
        <f t="shared" si="820"/>
        <v>10882800.00000014</v>
      </c>
      <c r="T1193">
        <f t="shared" si="817"/>
        <v>192</v>
      </c>
      <c r="U1193" s="13">
        <f t="shared" si="818"/>
        <v>10882800.00000014</v>
      </c>
      <c r="V1193" s="112">
        <f t="shared" si="819"/>
        <v>192</v>
      </c>
      <c r="AN1193" s="127">
        <v>45350.5</v>
      </c>
      <c r="AO1193">
        <v>1</v>
      </c>
      <c r="AP1193" s="13">
        <f t="shared" si="821"/>
        <v>10882800.00000014</v>
      </c>
      <c r="AQ1193">
        <f t="shared" si="822"/>
        <v>96</v>
      </c>
      <c r="AR1193" s="13">
        <f t="shared" si="823"/>
        <v>10882800.00000014</v>
      </c>
      <c r="AS1193" s="112">
        <f t="shared" si="824"/>
        <v>96</v>
      </c>
    </row>
    <row r="1194" spans="17:45" x14ac:dyDescent="0.25">
      <c r="Q1194" s="127">
        <v>45350.604166666657</v>
      </c>
      <c r="R1194">
        <v>2</v>
      </c>
      <c r="S1194" s="13">
        <f t="shared" si="820"/>
        <v>10891800.00000014</v>
      </c>
      <c r="T1194">
        <f t="shared" si="817"/>
        <v>192</v>
      </c>
      <c r="U1194" s="13">
        <f t="shared" si="818"/>
        <v>10891800.00000014</v>
      </c>
      <c r="V1194" s="112">
        <f t="shared" si="819"/>
        <v>192</v>
      </c>
      <c r="AN1194" s="127">
        <v>45350.604166666657</v>
      </c>
      <c r="AO1194">
        <v>1</v>
      </c>
      <c r="AP1194" s="13">
        <f t="shared" si="821"/>
        <v>10891800.00000014</v>
      </c>
      <c r="AQ1194">
        <f t="shared" si="822"/>
        <v>96</v>
      </c>
      <c r="AR1194" s="13">
        <f t="shared" si="823"/>
        <v>10891800.00000014</v>
      </c>
      <c r="AS1194" s="112">
        <f t="shared" si="824"/>
        <v>96</v>
      </c>
    </row>
    <row r="1195" spans="17:45" x14ac:dyDescent="0.25">
      <c r="Q1195" s="127">
        <v>45350.708333333343</v>
      </c>
      <c r="R1195">
        <v>1</v>
      </c>
      <c r="S1195" s="13">
        <f t="shared" si="820"/>
        <v>10900800.00000014</v>
      </c>
      <c r="T1195">
        <f t="shared" si="817"/>
        <v>96</v>
      </c>
      <c r="U1195" s="13">
        <f t="shared" si="818"/>
        <v>10900800.00000014</v>
      </c>
      <c r="V1195" s="112">
        <f t="shared" si="819"/>
        <v>96</v>
      </c>
      <c r="AN1195" s="127">
        <v>45350.708333333343</v>
      </c>
      <c r="AO1195">
        <v>1</v>
      </c>
      <c r="AP1195" s="13">
        <f t="shared" si="821"/>
        <v>10900800.00000014</v>
      </c>
      <c r="AQ1195">
        <f t="shared" si="822"/>
        <v>96</v>
      </c>
      <c r="AR1195" s="13">
        <f t="shared" si="823"/>
        <v>10900800.00000014</v>
      </c>
      <c r="AS1195" s="112">
        <f t="shared" si="824"/>
        <v>96</v>
      </c>
    </row>
    <row r="1196" spans="17:45" x14ac:dyDescent="0.25">
      <c r="Q1196" s="127">
        <v>45350.8125</v>
      </c>
      <c r="R1196">
        <v>2</v>
      </c>
      <c r="S1196" s="13">
        <f t="shared" si="820"/>
        <v>10909800.00000014</v>
      </c>
      <c r="T1196">
        <f t="shared" si="817"/>
        <v>192</v>
      </c>
      <c r="U1196" s="13">
        <f t="shared" si="818"/>
        <v>10909800.00000014</v>
      </c>
      <c r="V1196" s="112">
        <f t="shared" si="819"/>
        <v>192</v>
      </c>
      <c r="AN1196" s="127">
        <v>45350.8125</v>
      </c>
      <c r="AO1196">
        <v>1</v>
      </c>
      <c r="AP1196" s="13">
        <f t="shared" si="821"/>
        <v>10909800.00000014</v>
      </c>
      <c r="AQ1196">
        <f t="shared" si="822"/>
        <v>96</v>
      </c>
      <c r="AR1196" s="13">
        <f t="shared" si="823"/>
        <v>10909800.00000014</v>
      </c>
      <c r="AS1196" s="112">
        <f t="shared" si="824"/>
        <v>96</v>
      </c>
    </row>
    <row r="1197" spans="17:45" x14ac:dyDescent="0.25">
      <c r="Q1197" s="127">
        <v>45350.916666666657</v>
      </c>
      <c r="R1197">
        <v>1</v>
      </c>
      <c r="S1197" s="13">
        <f t="shared" si="820"/>
        <v>10918800.00000014</v>
      </c>
      <c r="T1197">
        <f t="shared" si="817"/>
        <v>96</v>
      </c>
      <c r="U1197" s="13">
        <f t="shared" si="818"/>
        <v>10918800.00000014</v>
      </c>
      <c r="V1197" s="112">
        <f t="shared" si="819"/>
        <v>96</v>
      </c>
      <c r="AN1197" s="127">
        <v>45350.916666666657</v>
      </c>
      <c r="AO1197">
        <v>1</v>
      </c>
      <c r="AP1197" s="13">
        <f t="shared" si="821"/>
        <v>10918800.00000014</v>
      </c>
      <c r="AQ1197">
        <f t="shared" si="822"/>
        <v>96</v>
      </c>
      <c r="AR1197" s="13">
        <f t="shared" si="823"/>
        <v>10918800.00000014</v>
      </c>
      <c r="AS1197" s="112">
        <f t="shared" si="824"/>
        <v>96</v>
      </c>
    </row>
    <row r="1198" spans="17:45" x14ac:dyDescent="0.25">
      <c r="Q1198" s="127">
        <v>45351.020833333343</v>
      </c>
      <c r="R1198">
        <v>0</v>
      </c>
      <c r="S1198" s="13">
        <f t="shared" si="820"/>
        <v>10927800.00000014</v>
      </c>
      <c r="T1198">
        <f t="shared" si="817"/>
        <v>0</v>
      </c>
      <c r="U1198" s="13">
        <f t="shared" si="818"/>
        <v>10927800.00000014</v>
      </c>
      <c r="V1198" s="112">
        <f t="shared" si="819"/>
        <v>1E-10</v>
      </c>
      <c r="AN1198" s="127">
        <v>45351.020833333343</v>
      </c>
      <c r="AO1198">
        <v>1</v>
      </c>
      <c r="AP1198" s="13">
        <f t="shared" si="821"/>
        <v>10927800.00000014</v>
      </c>
      <c r="AQ1198">
        <f t="shared" si="822"/>
        <v>96</v>
      </c>
      <c r="AR1198" s="13">
        <f t="shared" si="823"/>
        <v>10927800.00000014</v>
      </c>
      <c r="AS1198" s="112">
        <f t="shared" si="824"/>
        <v>96</v>
      </c>
    </row>
    <row r="1199" spans="17:45" x14ac:dyDescent="0.25">
      <c r="Q1199" s="127">
        <v>45351.125</v>
      </c>
      <c r="R1199">
        <v>0</v>
      </c>
      <c r="S1199" s="13">
        <f t="shared" si="820"/>
        <v>10936800.00000014</v>
      </c>
      <c r="T1199">
        <f t="shared" si="817"/>
        <v>0</v>
      </c>
      <c r="U1199" s="13">
        <f t="shared" si="818"/>
        <v>10936800.00000014</v>
      </c>
      <c r="V1199" s="112">
        <f t="shared" si="819"/>
        <v>1E-10</v>
      </c>
      <c r="AN1199" s="127">
        <v>45351.125</v>
      </c>
      <c r="AO1199">
        <v>1</v>
      </c>
      <c r="AP1199" s="13">
        <f t="shared" si="821"/>
        <v>10936800.00000014</v>
      </c>
      <c r="AQ1199">
        <f t="shared" si="822"/>
        <v>96</v>
      </c>
      <c r="AR1199" s="13">
        <f t="shared" si="823"/>
        <v>10936800.00000014</v>
      </c>
      <c r="AS1199" s="112">
        <f t="shared" si="824"/>
        <v>96</v>
      </c>
    </row>
    <row r="1200" spans="17:45" x14ac:dyDescent="0.25">
      <c r="Q1200" s="127">
        <v>45351.229166666657</v>
      </c>
      <c r="R1200">
        <v>0</v>
      </c>
      <c r="S1200" s="13">
        <f t="shared" si="820"/>
        <v>10945800.00000014</v>
      </c>
      <c r="T1200">
        <f t="shared" si="817"/>
        <v>0</v>
      </c>
      <c r="U1200" s="13">
        <f t="shared" si="818"/>
        <v>10945800.00000014</v>
      </c>
      <c r="V1200" s="112">
        <f t="shared" si="819"/>
        <v>1E-10</v>
      </c>
      <c r="AN1200" s="127">
        <v>45351.229166666657</v>
      </c>
      <c r="AO1200">
        <v>1</v>
      </c>
      <c r="AP1200" s="13">
        <f t="shared" si="821"/>
        <v>10945800.00000014</v>
      </c>
      <c r="AQ1200">
        <f t="shared" si="822"/>
        <v>96</v>
      </c>
      <c r="AR1200" s="13">
        <f t="shared" si="823"/>
        <v>10945800.00000014</v>
      </c>
      <c r="AS1200" s="112">
        <f t="shared" si="824"/>
        <v>96</v>
      </c>
    </row>
    <row r="1201" spans="17:45" x14ac:dyDescent="0.25">
      <c r="Q1201" s="127">
        <v>45351.333333333343</v>
      </c>
      <c r="R1201">
        <v>1</v>
      </c>
      <c r="S1201" s="13">
        <f t="shared" si="820"/>
        <v>10954800.00000014</v>
      </c>
      <c r="T1201">
        <f t="shared" si="817"/>
        <v>96</v>
      </c>
      <c r="U1201" s="13">
        <f t="shared" si="818"/>
        <v>10954800.00000014</v>
      </c>
      <c r="V1201" s="112">
        <f t="shared" si="819"/>
        <v>96</v>
      </c>
      <c r="AN1201" s="127">
        <v>45351.333333333343</v>
      </c>
      <c r="AO1201">
        <v>1</v>
      </c>
      <c r="AP1201" s="13">
        <f t="shared" si="821"/>
        <v>10954800.00000014</v>
      </c>
      <c r="AQ1201">
        <f t="shared" si="822"/>
        <v>96</v>
      </c>
      <c r="AR1201" s="13">
        <f t="shared" si="823"/>
        <v>10954800.00000014</v>
      </c>
      <c r="AS1201" s="112">
        <f t="shared" si="824"/>
        <v>96</v>
      </c>
    </row>
    <row r="1202" spans="17:45" x14ac:dyDescent="0.25">
      <c r="Q1202" s="127">
        <v>45351.4375</v>
      </c>
      <c r="R1202">
        <v>1</v>
      </c>
      <c r="S1202" s="13">
        <f t="shared" si="820"/>
        <v>10963800.00000014</v>
      </c>
      <c r="T1202">
        <f t="shared" si="817"/>
        <v>96</v>
      </c>
      <c r="U1202" s="13">
        <f t="shared" si="818"/>
        <v>10963800.00000014</v>
      </c>
      <c r="V1202" s="112">
        <f t="shared" si="819"/>
        <v>96</v>
      </c>
      <c r="AN1202" s="127">
        <v>45351.4375</v>
      </c>
      <c r="AO1202">
        <v>1</v>
      </c>
      <c r="AP1202" s="13">
        <f t="shared" si="821"/>
        <v>10963800.00000014</v>
      </c>
      <c r="AQ1202">
        <f t="shared" si="822"/>
        <v>96</v>
      </c>
      <c r="AR1202" s="13">
        <f t="shared" si="823"/>
        <v>10963800.00000014</v>
      </c>
      <c r="AS1202" s="112">
        <f t="shared" si="824"/>
        <v>96</v>
      </c>
    </row>
    <row r="1203" spans="17:45" x14ac:dyDescent="0.25">
      <c r="Q1203" s="127">
        <v>45351.541666666657</v>
      </c>
      <c r="R1203">
        <v>1</v>
      </c>
      <c r="S1203" s="13">
        <f t="shared" si="820"/>
        <v>10972800.00000014</v>
      </c>
      <c r="T1203">
        <f t="shared" si="817"/>
        <v>96</v>
      </c>
      <c r="U1203" s="13">
        <f t="shared" si="818"/>
        <v>10972800.00000014</v>
      </c>
      <c r="V1203" s="112">
        <f t="shared" si="819"/>
        <v>96</v>
      </c>
      <c r="AN1203" s="127">
        <v>45351.541666666657</v>
      </c>
      <c r="AO1203">
        <v>1</v>
      </c>
      <c r="AP1203" s="13">
        <f t="shared" si="821"/>
        <v>10972800.00000014</v>
      </c>
      <c r="AQ1203">
        <f t="shared" si="822"/>
        <v>96</v>
      </c>
      <c r="AR1203" s="13">
        <f t="shared" si="823"/>
        <v>10972800.00000014</v>
      </c>
      <c r="AS1203" s="112">
        <f t="shared" si="824"/>
        <v>96</v>
      </c>
    </row>
    <row r="1204" spans="17:45" x14ac:dyDescent="0.25">
      <c r="Q1204" s="127">
        <v>45351.645833333343</v>
      </c>
      <c r="R1204">
        <v>2</v>
      </c>
      <c r="S1204" s="13">
        <f t="shared" si="820"/>
        <v>10981800.00000014</v>
      </c>
      <c r="T1204">
        <f t="shared" si="817"/>
        <v>192</v>
      </c>
      <c r="U1204" s="13">
        <f t="shared" si="818"/>
        <v>10981800.00000014</v>
      </c>
      <c r="V1204" s="112">
        <f t="shared" si="819"/>
        <v>192</v>
      </c>
      <c r="AN1204" s="127">
        <v>45351.645833333343</v>
      </c>
      <c r="AO1204">
        <v>1</v>
      </c>
      <c r="AP1204" s="13">
        <f t="shared" si="821"/>
        <v>10981800.00000014</v>
      </c>
      <c r="AQ1204">
        <f t="shared" si="822"/>
        <v>96</v>
      </c>
      <c r="AR1204" s="13">
        <f t="shared" si="823"/>
        <v>10981800.00000014</v>
      </c>
      <c r="AS1204" s="112">
        <f t="shared" si="824"/>
        <v>96</v>
      </c>
    </row>
    <row r="1205" spans="17:45" x14ac:dyDescent="0.25">
      <c r="Q1205" s="127">
        <v>45351.75</v>
      </c>
      <c r="R1205">
        <v>2</v>
      </c>
      <c r="S1205" s="13">
        <f t="shared" si="820"/>
        <v>10990800.00000014</v>
      </c>
      <c r="T1205">
        <f t="shared" si="817"/>
        <v>192</v>
      </c>
      <c r="U1205" s="13">
        <f t="shared" si="818"/>
        <v>10990800.00000014</v>
      </c>
      <c r="V1205" s="112">
        <f t="shared" si="819"/>
        <v>192</v>
      </c>
      <c r="AN1205" s="127">
        <v>45351.75</v>
      </c>
      <c r="AO1205">
        <v>1</v>
      </c>
      <c r="AP1205" s="13">
        <f t="shared" si="821"/>
        <v>10990800.00000014</v>
      </c>
      <c r="AQ1205">
        <f t="shared" si="822"/>
        <v>96</v>
      </c>
      <c r="AR1205" s="13">
        <f t="shared" si="823"/>
        <v>10990800.00000014</v>
      </c>
      <c r="AS1205" s="112">
        <f t="shared" si="824"/>
        <v>96</v>
      </c>
    </row>
    <row r="1206" spans="17:45" x14ac:dyDescent="0.25">
      <c r="Q1206" s="127">
        <v>45351.854166666657</v>
      </c>
      <c r="R1206">
        <v>2</v>
      </c>
      <c r="S1206" s="13">
        <f t="shared" si="820"/>
        <v>10999800.00000014</v>
      </c>
      <c r="T1206">
        <f t="shared" si="817"/>
        <v>192</v>
      </c>
      <c r="U1206" s="13">
        <f t="shared" si="818"/>
        <v>10999800.00000014</v>
      </c>
      <c r="V1206" s="112">
        <f t="shared" si="819"/>
        <v>192</v>
      </c>
      <c r="AN1206" s="127">
        <v>45351.854166666657</v>
      </c>
      <c r="AO1206">
        <v>1</v>
      </c>
      <c r="AP1206" s="13">
        <f t="shared" si="821"/>
        <v>10999800.00000014</v>
      </c>
      <c r="AQ1206">
        <f t="shared" si="822"/>
        <v>96</v>
      </c>
      <c r="AR1206" s="13">
        <f t="shared" si="823"/>
        <v>10999800.00000014</v>
      </c>
      <c r="AS1206" s="112">
        <f t="shared" si="824"/>
        <v>96</v>
      </c>
    </row>
    <row r="1207" spans="17:45" x14ac:dyDescent="0.25">
      <c r="Q1207" s="127">
        <v>45351.958333333343</v>
      </c>
      <c r="R1207">
        <v>2</v>
      </c>
      <c r="S1207" s="13">
        <f t="shared" si="820"/>
        <v>11008800.00000014</v>
      </c>
      <c r="T1207">
        <f t="shared" si="817"/>
        <v>192</v>
      </c>
      <c r="U1207" s="13">
        <f t="shared" si="818"/>
        <v>11008800.00000014</v>
      </c>
      <c r="V1207" s="112">
        <f t="shared" si="819"/>
        <v>192</v>
      </c>
      <c r="AN1207" s="127">
        <v>45351.958333333343</v>
      </c>
      <c r="AO1207">
        <v>1</v>
      </c>
      <c r="AP1207" s="13">
        <f t="shared" si="821"/>
        <v>11008800.00000014</v>
      </c>
      <c r="AQ1207">
        <f t="shared" si="822"/>
        <v>96</v>
      </c>
      <c r="AR1207" s="13">
        <f t="shared" si="823"/>
        <v>11008800.00000014</v>
      </c>
      <c r="AS1207" s="112">
        <f t="shared" si="824"/>
        <v>96</v>
      </c>
    </row>
    <row r="1208" spans="17:45" x14ac:dyDescent="0.25">
      <c r="Q1208" s="127">
        <v>45352.0625</v>
      </c>
      <c r="R1208">
        <v>2</v>
      </c>
      <c r="S1208" s="13">
        <f t="shared" si="820"/>
        <v>11017800.00000014</v>
      </c>
      <c r="T1208">
        <f t="shared" si="817"/>
        <v>192</v>
      </c>
      <c r="U1208" s="13">
        <f t="shared" si="818"/>
        <v>11017800.00000014</v>
      </c>
      <c r="V1208" s="112">
        <f t="shared" si="819"/>
        <v>192</v>
      </c>
      <c r="AN1208" s="127">
        <v>45352.0625</v>
      </c>
      <c r="AO1208">
        <v>1</v>
      </c>
      <c r="AP1208" s="13">
        <f t="shared" si="821"/>
        <v>11017800.00000014</v>
      </c>
      <c r="AQ1208">
        <f t="shared" si="822"/>
        <v>96</v>
      </c>
      <c r="AR1208" s="13">
        <f t="shared" si="823"/>
        <v>11017800.00000014</v>
      </c>
      <c r="AS1208" s="112">
        <f t="shared" si="824"/>
        <v>96</v>
      </c>
    </row>
    <row r="1209" spans="17:45" x14ac:dyDescent="0.25">
      <c r="Q1209" s="127">
        <v>45352.166666666657</v>
      </c>
      <c r="R1209">
        <v>2</v>
      </c>
      <c r="S1209" s="13">
        <f t="shared" si="820"/>
        <v>11026800.00000014</v>
      </c>
      <c r="T1209">
        <f t="shared" si="817"/>
        <v>192</v>
      </c>
      <c r="U1209" s="13">
        <f t="shared" si="818"/>
        <v>11026800.00000014</v>
      </c>
      <c r="V1209" s="112">
        <f t="shared" si="819"/>
        <v>192</v>
      </c>
      <c r="AN1209" s="127">
        <v>45352.166666666657</v>
      </c>
      <c r="AO1209">
        <v>1</v>
      </c>
      <c r="AP1209" s="13">
        <f t="shared" si="821"/>
        <v>11026800.00000014</v>
      </c>
      <c r="AQ1209">
        <f t="shared" si="822"/>
        <v>96</v>
      </c>
      <c r="AR1209" s="13">
        <f t="shared" si="823"/>
        <v>11026800.00000014</v>
      </c>
      <c r="AS1209" s="112">
        <f t="shared" si="824"/>
        <v>96</v>
      </c>
    </row>
    <row r="1210" spans="17:45" x14ac:dyDescent="0.25">
      <c r="Q1210" s="127">
        <v>45352.270833333343</v>
      </c>
      <c r="R1210">
        <v>2</v>
      </c>
      <c r="S1210" s="13">
        <f t="shared" si="820"/>
        <v>11035800.00000014</v>
      </c>
      <c r="T1210">
        <f t="shared" si="817"/>
        <v>192</v>
      </c>
      <c r="U1210" s="13">
        <f t="shared" si="818"/>
        <v>11035800.00000014</v>
      </c>
      <c r="V1210" s="112">
        <f t="shared" si="819"/>
        <v>192</v>
      </c>
      <c r="AN1210" s="127">
        <v>45352.270833333343</v>
      </c>
      <c r="AO1210">
        <v>1</v>
      </c>
      <c r="AP1210" s="13">
        <f t="shared" si="821"/>
        <v>11035800.00000014</v>
      </c>
      <c r="AQ1210">
        <f t="shared" si="822"/>
        <v>96</v>
      </c>
      <c r="AR1210" s="13">
        <f t="shared" si="823"/>
        <v>11035800.00000014</v>
      </c>
      <c r="AS1210" s="112">
        <f t="shared" si="824"/>
        <v>96</v>
      </c>
    </row>
    <row r="1211" spans="17:45" x14ac:dyDescent="0.25">
      <c r="Q1211" s="127">
        <v>45352.375</v>
      </c>
      <c r="R1211">
        <v>2</v>
      </c>
      <c r="S1211" s="13">
        <f t="shared" si="820"/>
        <v>11044800.00000014</v>
      </c>
      <c r="T1211">
        <f t="shared" si="817"/>
        <v>192</v>
      </c>
      <c r="U1211" s="13">
        <f t="shared" si="818"/>
        <v>11044800.00000014</v>
      </c>
      <c r="V1211" s="112">
        <f t="shared" si="819"/>
        <v>192</v>
      </c>
      <c r="AN1211" s="127">
        <v>45352.375</v>
      </c>
      <c r="AO1211">
        <v>1</v>
      </c>
      <c r="AP1211" s="13">
        <f t="shared" si="821"/>
        <v>11044800.00000014</v>
      </c>
      <c r="AQ1211">
        <f t="shared" si="822"/>
        <v>96</v>
      </c>
      <c r="AR1211" s="13">
        <f t="shared" si="823"/>
        <v>11044800.00000014</v>
      </c>
      <c r="AS1211" s="112">
        <f t="shared" si="824"/>
        <v>96</v>
      </c>
    </row>
    <row r="1212" spans="17:45" x14ac:dyDescent="0.25">
      <c r="Q1212" s="127">
        <v>45352.479166666657</v>
      </c>
      <c r="R1212">
        <v>2</v>
      </c>
      <c r="S1212" s="13">
        <f t="shared" si="820"/>
        <v>11053800.00000014</v>
      </c>
      <c r="T1212">
        <f t="shared" si="817"/>
        <v>192</v>
      </c>
      <c r="U1212" s="13">
        <f t="shared" si="818"/>
        <v>11053800.00000014</v>
      </c>
      <c r="V1212" s="112">
        <f t="shared" si="819"/>
        <v>192</v>
      </c>
      <c r="AN1212" s="127">
        <v>45352.479166666657</v>
      </c>
      <c r="AO1212">
        <v>1</v>
      </c>
      <c r="AP1212" s="13">
        <f t="shared" si="821"/>
        <v>11053800.00000014</v>
      </c>
      <c r="AQ1212">
        <f t="shared" si="822"/>
        <v>96</v>
      </c>
      <c r="AR1212" s="13">
        <f t="shared" si="823"/>
        <v>11053800.00000014</v>
      </c>
      <c r="AS1212" s="112">
        <f t="shared" si="824"/>
        <v>96</v>
      </c>
    </row>
    <row r="1213" spans="17:45" x14ac:dyDescent="0.25">
      <c r="Q1213" s="127">
        <v>45352.583333333343</v>
      </c>
      <c r="R1213">
        <v>3</v>
      </c>
      <c r="S1213" s="13">
        <f t="shared" si="820"/>
        <v>11062800.00000014</v>
      </c>
      <c r="T1213">
        <f t="shared" si="817"/>
        <v>288</v>
      </c>
      <c r="U1213" s="13">
        <f t="shared" si="818"/>
        <v>11062800.00000014</v>
      </c>
      <c r="V1213" s="112">
        <f t="shared" si="819"/>
        <v>288</v>
      </c>
      <c r="AN1213" s="127">
        <v>45352.583333333343</v>
      </c>
      <c r="AO1213">
        <v>2</v>
      </c>
      <c r="AP1213" s="13">
        <f t="shared" si="821"/>
        <v>11062800.00000014</v>
      </c>
      <c r="AQ1213">
        <f t="shared" si="822"/>
        <v>192</v>
      </c>
      <c r="AR1213" s="13">
        <f t="shared" si="823"/>
        <v>11062800.00000014</v>
      </c>
      <c r="AS1213" s="112">
        <f t="shared" si="824"/>
        <v>192</v>
      </c>
    </row>
    <row r="1214" spans="17:45" x14ac:dyDescent="0.25">
      <c r="Q1214" s="127">
        <v>45352.6875</v>
      </c>
      <c r="R1214">
        <v>1</v>
      </c>
      <c r="S1214" s="13">
        <f t="shared" si="820"/>
        <v>11071800.00000014</v>
      </c>
      <c r="T1214">
        <f t="shared" si="817"/>
        <v>96</v>
      </c>
      <c r="U1214" s="13">
        <f t="shared" si="818"/>
        <v>11071800.00000014</v>
      </c>
      <c r="V1214" s="112">
        <f t="shared" si="819"/>
        <v>96</v>
      </c>
      <c r="AN1214" s="127">
        <v>45352.6875</v>
      </c>
      <c r="AO1214">
        <v>1</v>
      </c>
      <c r="AP1214" s="13">
        <f t="shared" si="821"/>
        <v>11071800.00000014</v>
      </c>
      <c r="AQ1214">
        <f t="shared" si="822"/>
        <v>96</v>
      </c>
      <c r="AR1214" s="13">
        <f t="shared" si="823"/>
        <v>11071800.00000014</v>
      </c>
      <c r="AS1214" s="112">
        <f t="shared" si="824"/>
        <v>96</v>
      </c>
    </row>
    <row r="1215" spans="17:45" x14ac:dyDescent="0.25">
      <c r="Q1215" s="127">
        <v>45352.791666666657</v>
      </c>
      <c r="R1215">
        <v>1</v>
      </c>
      <c r="S1215" s="13">
        <f t="shared" si="820"/>
        <v>11080800.00000014</v>
      </c>
      <c r="T1215">
        <f t="shared" si="817"/>
        <v>96</v>
      </c>
      <c r="U1215" s="13">
        <f t="shared" si="818"/>
        <v>11080800.00000014</v>
      </c>
      <c r="V1215" s="112">
        <f t="shared" si="819"/>
        <v>96</v>
      </c>
      <c r="AN1215" s="127">
        <v>45352.791666666657</v>
      </c>
      <c r="AO1215">
        <v>1</v>
      </c>
      <c r="AP1215" s="13">
        <f t="shared" si="821"/>
        <v>11080800.00000014</v>
      </c>
      <c r="AQ1215">
        <f t="shared" si="822"/>
        <v>96</v>
      </c>
      <c r="AR1215" s="13">
        <f t="shared" si="823"/>
        <v>11080800.00000014</v>
      </c>
      <c r="AS1215" s="112">
        <f t="shared" si="824"/>
        <v>96</v>
      </c>
    </row>
    <row r="1216" spans="17:45" x14ac:dyDescent="0.25">
      <c r="Q1216" s="127">
        <v>45352.895833333343</v>
      </c>
      <c r="R1216">
        <v>0</v>
      </c>
      <c r="S1216" s="13">
        <f t="shared" si="820"/>
        <v>11089800.00000014</v>
      </c>
      <c r="T1216">
        <f t="shared" si="817"/>
        <v>0</v>
      </c>
      <c r="U1216" s="13">
        <f t="shared" si="818"/>
        <v>11089800.00000014</v>
      </c>
      <c r="V1216" s="112">
        <f t="shared" si="819"/>
        <v>1E-10</v>
      </c>
      <c r="AN1216" s="127">
        <v>45352.895833333343</v>
      </c>
      <c r="AO1216">
        <v>1</v>
      </c>
      <c r="AP1216" s="13">
        <f t="shared" si="821"/>
        <v>11089800.00000014</v>
      </c>
      <c r="AQ1216">
        <f t="shared" si="822"/>
        <v>96</v>
      </c>
      <c r="AR1216" s="13">
        <f t="shared" si="823"/>
        <v>11089800.00000014</v>
      </c>
      <c r="AS1216" s="112">
        <f t="shared" si="824"/>
        <v>96</v>
      </c>
    </row>
    <row r="1217" spans="17:45" x14ac:dyDescent="0.25">
      <c r="Q1217" s="127">
        <v>45353</v>
      </c>
      <c r="R1217">
        <v>0</v>
      </c>
      <c r="S1217" s="13">
        <f t="shared" si="820"/>
        <v>11098800.00000014</v>
      </c>
      <c r="T1217">
        <f t="shared" si="817"/>
        <v>0</v>
      </c>
      <c r="U1217" s="13">
        <f t="shared" si="818"/>
        <v>11098800.00000014</v>
      </c>
      <c r="V1217" s="112">
        <f t="shared" si="819"/>
        <v>1E-10</v>
      </c>
      <c r="AN1217" s="127">
        <v>45353</v>
      </c>
      <c r="AO1217">
        <v>1</v>
      </c>
      <c r="AP1217" s="13">
        <f t="shared" si="821"/>
        <v>11098800.00000014</v>
      </c>
      <c r="AQ1217">
        <f t="shared" si="822"/>
        <v>96</v>
      </c>
      <c r="AR1217" s="13">
        <f t="shared" si="823"/>
        <v>11098800.00000014</v>
      </c>
      <c r="AS1217" s="112">
        <f t="shared" si="824"/>
        <v>96</v>
      </c>
    </row>
    <row r="1218" spans="17:45" x14ac:dyDescent="0.25">
      <c r="Q1218" s="127">
        <v>45353.104166666657</v>
      </c>
      <c r="R1218">
        <v>0</v>
      </c>
      <c r="S1218" s="13">
        <f t="shared" si="820"/>
        <v>11107800.00000014</v>
      </c>
      <c r="T1218">
        <f t="shared" si="817"/>
        <v>0</v>
      </c>
      <c r="U1218" s="13">
        <f t="shared" si="818"/>
        <v>11107800.00000014</v>
      </c>
      <c r="V1218" s="112">
        <f t="shared" si="819"/>
        <v>1E-10</v>
      </c>
      <c r="AN1218" s="127">
        <v>45353.104166666657</v>
      </c>
      <c r="AO1218">
        <v>1</v>
      </c>
      <c r="AP1218" s="13">
        <f t="shared" si="821"/>
        <v>11107800.00000014</v>
      </c>
      <c r="AQ1218">
        <f t="shared" si="822"/>
        <v>96</v>
      </c>
      <c r="AR1218" s="13">
        <f t="shared" si="823"/>
        <v>11107800.00000014</v>
      </c>
      <c r="AS1218" s="112">
        <f t="shared" si="824"/>
        <v>96</v>
      </c>
    </row>
    <row r="1219" spans="17:45" x14ac:dyDescent="0.25">
      <c r="Q1219" s="127">
        <v>45353.208333333343</v>
      </c>
      <c r="R1219">
        <v>0</v>
      </c>
      <c r="S1219" s="13">
        <f t="shared" si="820"/>
        <v>11116800.00000014</v>
      </c>
      <c r="T1219">
        <f t="shared" ref="T1219:T1282" si="825">R1219*96</f>
        <v>0</v>
      </c>
      <c r="U1219" s="13">
        <f t="shared" ref="U1219:U1282" si="826">S1219</f>
        <v>11116800.00000014</v>
      </c>
      <c r="V1219" s="112">
        <f t="shared" ref="V1219:V1282" si="827">IF(T1219=0,0.0000000001,T1219)</f>
        <v>1E-10</v>
      </c>
      <c r="AN1219" s="127">
        <v>45353.208333333343</v>
      </c>
      <c r="AO1219">
        <v>1</v>
      </c>
      <c r="AP1219" s="13">
        <f t="shared" si="821"/>
        <v>11116800.00000014</v>
      </c>
      <c r="AQ1219">
        <f t="shared" si="822"/>
        <v>96</v>
      </c>
      <c r="AR1219" s="13">
        <f t="shared" si="823"/>
        <v>11116800.00000014</v>
      </c>
      <c r="AS1219" s="112">
        <f t="shared" si="824"/>
        <v>96</v>
      </c>
    </row>
    <row r="1220" spans="17:45" x14ac:dyDescent="0.25">
      <c r="Q1220" s="127">
        <v>45353.3125</v>
      </c>
      <c r="R1220">
        <v>0</v>
      </c>
      <c r="S1220" s="13">
        <f t="shared" ref="S1220:S1283" si="828">S1219+150*60</f>
        <v>11125800.00000014</v>
      </c>
      <c r="T1220">
        <f t="shared" si="825"/>
        <v>0</v>
      </c>
      <c r="U1220" s="13">
        <f t="shared" si="826"/>
        <v>11125800.00000014</v>
      </c>
      <c r="V1220" s="112">
        <f t="shared" si="827"/>
        <v>1E-10</v>
      </c>
      <c r="AN1220" s="127">
        <v>45353.3125</v>
      </c>
      <c r="AO1220">
        <v>1</v>
      </c>
      <c r="AP1220" s="13">
        <f t="shared" ref="AP1220:AP1283" si="829">AP1219+150*60</f>
        <v>11125800.00000014</v>
      </c>
      <c r="AQ1220">
        <f t="shared" si="822"/>
        <v>96</v>
      </c>
      <c r="AR1220" s="13">
        <f t="shared" si="823"/>
        <v>11125800.00000014</v>
      </c>
      <c r="AS1220" s="112">
        <f t="shared" si="824"/>
        <v>96</v>
      </c>
    </row>
    <row r="1221" spans="17:45" x14ac:dyDescent="0.25">
      <c r="Q1221" s="127">
        <v>45353.416666666657</v>
      </c>
      <c r="R1221">
        <v>0</v>
      </c>
      <c r="S1221" s="13">
        <f t="shared" si="828"/>
        <v>11134800.00000014</v>
      </c>
      <c r="T1221">
        <f t="shared" si="825"/>
        <v>0</v>
      </c>
      <c r="U1221" s="13">
        <f t="shared" si="826"/>
        <v>11134800.00000014</v>
      </c>
      <c r="V1221" s="112">
        <f t="shared" si="827"/>
        <v>1E-10</v>
      </c>
      <c r="AN1221" s="127">
        <v>45353.416666666657</v>
      </c>
      <c r="AO1221">
        <v>1</v>
      </c>
      <c r="AP1221" s="13">
        <f t="shared" si="829"/>
        <v>11134800.00000014</v>
      </c>
      <c r="AQ1221">
        <f t="shared" si="822"/>
        <v>96</v>
      </c>
      <c r="AR1221" s="13">
        <f t="shared" si="823"/>
        <v>11134800.00000014</v>
      </c>
      <c r="AS1221" s="112">
        <f t="shared" si="824"/>
        <v>96</v>
      </c>
    </row>
    <row r="1222" spans="17:45" x14ac:dyDescent="0.25">
      <c r="Q1222" s="127">
        <v>45353.520833333343</v>
      </c>
      <c r="R1222">
        <v>1</v>
      </c>
      <c r="S1222" s="13">
        <f t="shared" si="828"/>
        <v>11143800.00000014</v>
      </c>
      <c r="T1222">
        <f t="shared" si="825"/>
        <v>96</v>
      </c>
      <c r="U1222" s="13">
        <f t="shared" si="826"/>
        <v>11143800.00000014</v>
      </c>
      <c r="V1222" s="112">
        <f t="shared" si="827"/>
        <v>96</v>
      </c>
      <c r="AN1222" s="127">
        <v>45353.520833333343</v>
      </c>
      <c r="AO1222">
        <v>1</v>
      </c>
      <c r="AP1222" s="13">
        <f t="shared" si="829"/>
        <v>11143800.00000014</v>
      </c>
      <c r="AQ1222">
        <f t="shared" si="822"/>
        <v>96</v>
      </c>
      <c r="AR1222" s="13">
        <f t="shared" si="823"/>
        <v>11143800.00000014</v>
      </c>
      <c r="AS1222" s="112">
        <f t="shared" si="824"/>
        <v>96</v>
      </c>
    </row>
    <row r="1223" spans="17:45" x14ac:dyDescent="0.25">
      <c r="Q1223" s="127">
        <v>45353.625</v>
      </c>
      <c r="R1223">
        <v>1</v>
      </c>
      <c r="S1223" s="13">
        <f t="shared" si="828"/>
        <v>11152800.00000014</v>
      </c>
      <c r="T1223">
        <f t="shared" si="825"/>
        <v>96</v>
      </c>
      <c r="U1223" s="13">
        <f t="shared" si="826"/>
        <v>11152800.00000014</v>
      </c>
      <c r="V1223" s="112">
        <f t="shared" si="827"/>
        <v>96</v>
      </c>
      <c r="AN1223" s="127">
        <v>45353.625</v>
      </c>
      <c r="AO1223">
        <v>1</v>
      </c>
      <c r="AP1223" s="13">
        <f t="shared" si="829"/>
        <v>11152800.00000014</v>
      </c>
      <c r="AQ1223">
        <f t="shared" si="822"/>
        <v>96</v>
      </c>
      <c r="AR1223" s="13">
        <f t="shared" si="823"/>
        <v>11152800.00000014</v>
      </c>
      <c r="AS1223" s="112">
        <f t="shared" si="824"/>
        <v>96</v>
      </c>
    </row>
    <row r="1224" spans="17:45" x14ac:dyDescent="0.25">
      <c r="Q1224" s="127">
        <v>45353.729166666657</v>
      </c>
      <c r="R1224">
        <v>2</v>
      </c>
      <c r="S1224" s="13">
        <f t="shared" si="828"/>
        <v>11161800.00000014</v>
      </c>
      <c r="T1224">
        <f t="shared" si="825"/>
        <v>192</v>
      </c>
      <c r="U1224" s="13">
        <f t="shared" si="826"/>
        <v>11161800.00000014</v>
      </c>
      <c r="V1224" s="112">
        <f t="shared" si="827"/>
        <v>192</v>
      </c>
      <c r="AN1224" s="127">
        <v>45353.729166666657</v>
      </c>
      <c r="AO1224">
        <v>1</v>
      </c>
      <c r="AP1224" s="13">
        <f t="shared" si="829"/>
        <v>11161800.00000014</v>
      </c>
      <c r="AQ1224">
        <f t="shared" si="822"/>
        <v>96</v>
      </c>
      <c r="AR1224" s="13">
        <f t="shared" si="823"/>
        <v>11161800.00000014</v>
      </c>
      <c r="AS1224" s="112">
        <f t="shared" si="824"/>
        <v>96</v>
      </c>
    </row>
    <row r="1225" spans="17:45" x14ac:dyDescent="0.25">
      <c r="Q1225" s="127">
        <v>45353.833333333343</v>
      </c>
      <c r="R1225">
        <v>1</v>
      </c>
      <c r="S1225" s="13">
        <f t="shared" si="828"/>
        <v>11170800.00000014</v>
      </c>
      <c r="T1225">
        <f t="shared" si="825"/>
        <v>96</v>
      </c>
      <c r="U1225" s="13">
        <f t="shared" si="826"/>
        <v>11170800.00000014</v>
      </c>
      <c r="V1225" s="112">
        <f t="shared" si="827"/>
        <v>96</v>
      </c>
      <c r="AN1225" s="127">
        <v>45353.833333333343</v>
      </c>
      <c r="AO1225">
        <v>1</v>
      </c>
      <c r="AP1225" s="13">
        <f t="shared" si="829"/>
        <v>11170800.00000014</v>
      </c>
      <c r="AQ1225">
        <f t="shared" si="822"/>
        <v>96</v>
      </c>
      <c r="AR1225" s="13">
        <f t="shared" si="823"/>
        <v>11170800.00000014</v>
      </c>
      <c r="AS1225" s="112">
        <f t="shared" si="824"/>
        <v>96</v>
      </c>
    </row>
    <row r="1226" spans="17:45" x14ac:dyDescent="0.25">
      <c r="Q1226" s="127">
        <v>45353.9375</v>
      </c>
      <c r="R1226">
        <v>2</v>
      </c>
      <c r="S1226" s="13">
        <f t="shared" si="828"/>
        <v>11179800.00000014</v>
      </c>
      <c r="T1226">
        <f t="shared" si="825"/>
        <v>192</v>
      </c>
      <c r="U1226" s="13">
        <f t="shared" si="826"/>
        <v>11179800.00000014</v>
      </c>
      <c r="V1226" s="112">
        <f t="shared" si="827"/>
        <v>192</v>
      </c>
      <c r="AN1226" s="127">
        <v>45353.9375</v>
      </c>
      <c r="AO1226">
        <v>1</v>
      </c>
      <c r="AP1226" s="13">
        <f t="shared" si="829"/>
        <v>11179800.00000014</v>
      </c>
      <c r="AQ1226">
        <f t="shared" si="822"/>
        <v>96</v>
      </c>
      <c r="AR1226" s="13">
        <f t="shared" si="823"/>
        <v>11179800.00000014</v>
      </c>
      <c r="AS1226" s="112">
        <f t="shared" si="824"/>
        <v>96</v>
      </c>
    </row>
    <row r="1227" spans="17:45" x14ac:dyDescent="0.25">
      <c r="Q1227" s="127">
        <v>45354.041666666657</v>
      </c>
      <c r="R1227">
        <v>1</v>
      </c>
      <c r="S1227" s="13">
        <f t="shared" si="828"/>
        <v>11188800.00000014</v>
      </c>
      <c r="T1227">
        <f t="shared" si="825"/>
        <v>96</v>
      </c>
      <c r="U1227" s="13">
        <f t="shared" si="826"/>
        <v>11188800.00000014</v>
      </c>
      <c r="V1227" s="112">
        <f t="shared" si="827"/>
        <v>96</v>
      </c>
      <c r="AN1227" s="127">
        <v>45354.041666666657</v>
      </c>
      <c r="AO1227">
        <v>1</v>
      </c>
      <c r="AP1227" s="13">
        <f t="shared" si="829"/>
        <v>11188800.00000014</v>
      </c>
      <c r="AQ1227">
        <f t="shared" si="822"/>
        <v>96</v>
      </c>
      <c r="AR1227" s="13">
        <f t="shared" si="823"/>
        <v>11188800.00000014</v>
      </c>
      <c r="AS1227" s="112">
        <f t="shared" si="824"/>
        <v>96</v>
      </c>
    </row>
    <row r="1228" spans="17:45" x14ac:dyDescent="0.25">
      <c r="Q1228" s="127">
        <v>45354.145833333343</v>
      </c>
      <c r="R1228">
        <v>2</v>
      </c>
      <c r="S1228" s="13">
        <f t="shared" si="828"/>
        <v>11197800.00000014</v>
      </c>
      <c r="T1228">
        <f t="shared" si="825"/>
        <v>192</v>
      </c>
      <c r="U1228" s="13">
        <f t="shared" si="826"/>
        <v>11197800.00000014</v>
      </c>
      <c r="V1228" s="112">
        <f t="shared" si="827"/>
        <v>192</v>
      </c>
      <c r="AN1228" s="127">
        <v>45354.145833333343</v>
      </c>
      <c r="AO1228">
        <v>1</v>
      </c>
      <c r="AP1228" s="13">
        <f t="shared" si="829"/>
        <v>11197800.00000014</v>
      </c>
      <c r="AQ1228">
        <f t="shared" si="822"/>
        <v>96</v>
      </c>
      <c r="AR1228" s="13">
        <f t="shared" si="823"/>
        <v>11197800.00000014</v>
      </c>
      <c r="AS1228" s="112">
        <f t="shared" si="824"/>
        <v>96</v>
      </c>
    </row>
    <row r="1229" spans="17:45" x14ac:dyDescent="0.25">
      <c r="Q1229" s="127">
        <v>45354.25</v>
      </c>
      <c r="R1229">
        <v>2</v>
      </c>
      <c r="S1229" s="13">
        <f t="shared" si="828"/>
        <v>11206800.00000014</v>
      </c>
      <c r="T1229">
        <f t="shared" si="825"/>
        <v>192</v>
      </c>
      <c r="U1229" s="13">
        <f t="shared" si="826"/>
        <v>11206800.00000014</v>
      </c>
      <c r="V1229" s="112">
        <f t="shared" si="827"/>
        <v>192</v>
      </c>
      <c r="AN1229" s="127">
        <v>45354.25</v>
      </c>
      <c r="AO1229">
        <v>1</v>
      </c>
      <c r="AP1229" s="13">
        <f t="shared" si="829"/>
        <v>11206800.00000014</v>
      </c>
      <c r="AQ1229">
        <f t="shared" si="822"/>
        <v>96</v>
      </c>
      <c r="AR1229" s="13">
        <f t="shared" si="823"/>
        <v>11206800.00000014</v>
      </c>
      <c r="AS1229" s="112">
        <f t="shared" si="824"/>
        <v>96</v>
      </c>
    </row>
    <row r="1230" spans="17:45" x14ac:dyDescent="0.25">
      <c r="Q1230" s="127">
        <v>45354.354166666657</v>
      </c>
      <c r="R1230">
        <v>2</v>
      </c>
      <c r="S1230" s="13">
        <f t="shared" si="828"/>
        <v>11215800.00000014</v>
      </c>
      <c r="T1230">
        <f t="shared" si="825"/>
        <v>192</v>
      </c>
      <c r="U1230" s="13">
        <f t="shared" si="826"/>
        <v>11215800.00000014</v>
      </c>
      <c r="V1230" s="112">
        <f t="shared" si="827"/>
        <v>192</v>
      </c>
      <c r="AN1230" s="127">
        <v>45354.354166666657</v>
      </c>
      <c r="AO1230">
        <v>1</v>
      </c>
      <c r="AP1230" s="13">
        <f t="shared" si="829"/>
        <v>11215800.00000014</v>
      </c>
      <c r="AQ1230">
        <f t="shared" si="822"/>
        <v>96</v>
      </c>
      <c r="AR1230" s="13">
        <f t="shared" si="823"/>
        <v>11215800.00000014</v>
      </c>
      <c r="AS1230" s="112">
        <f t="shared" si="824"/>
        <v>96</v>
      </c>
    </row>
    <row r="1231" spans="17:45" x14ac:dyDescent="0.25">
      <c r="Q1231" s="127">
        <v>45354.458333333343</v>
      </c>
      <c r="R1231">
        <v>1</v>
      </c>
      <c r="S1231" s="13">
        <f t="shared" si="828"/>
        <v>11224800.00000014</v>
      </c>
      <c r="T1231">
        <f t="shared" si="825"/>
        <v>96</v>
      </c>
      <c r="U1231" s="13">
        <f t="shared" si="826"/>
        <v>11224800.00000014</v>
      </c>
      <c r="V1231" s="112">
        <f t="shared" si="827"/>
        <v>96</v>
      </c>
      <c r="AN1231" s="127">
        <v>45354.458333333343</v>
      </c>
      <c r="AO1231">
        <v>1</v>
      </c>
      <c r="AP1231" s="13">
        <f t="shared" si="829"/>
        <v>11224800.00000014</v>
      </c>
      <c r="AQ1231">
        <f t="shared" si="822"/>
        <v>96</v>
      </c>
      <c r="AR1231" s="13">
        <f t="shared" si="823"/>
        <v>11224800.00000014</v>
      </c>
      <c r="AS1231" s="112">
        <f t="shared" si="824"/>
        <v>96</v>
      </c>
    </row>
    <row r="1232" spans="17:45" x14ac:dyDescent="0.25">
      <c r="Q1232" s="127">
        <v>45354.5625</v>
      </c>
      <c r="R1232">
        <v>2</v>
      </c>
      <c r="S1232" s="13">
        <f t="shared" si="828"/>
        <v>11233800.00000014</v>
      </c>
      <c r="T1232">
        <f t="shared" si="825"/>
        <v>192</v>
      </c>
      <c r="U1232" s="13">
        <f t="shared" si="826"/>
        <v>11233800.00000014</v>
      </c>
      <c r="V1232" s="112">
        <f t="shared" si="827"/>
        <v>192</v>
      </c>
      <c r="AN1232" s="127">
        <v>45354.5625</v>
      </c>
      <c r="AO1232">
        <v>1</v>
      </c>
      <c r="AP1232" s="13">
        <f t="shared" si="829"/>
        <v>11233800.00000014</v>
      </c>
      <c r="AQ1232">
        <f t="shared" si="822"/>
        <v>96</v>
      </c>
      <c r="AR1232" s="13">
        <f t="shared" si="823"/>
        <v>11233800.00000014</v>
      </c>
      <c r="AS1232" s="112">
        <f t="shared" si="824"/>
        <v>96</v>
      </c>
    </row>
    <row r="1233" spans="17:45" x14ac:dyDescent="0.25">
      <c r="Q1233" s="127">
        <v>45354.666666666657</v>
      </c>
      <c r="R1233">
        <v>2</v>
      </c>
      <c r="S1233" s="13">
        <f t="shared" si="828"/>
        <v>11242800.00000014</v>
      </c>
      <c r="T1233">
        <f t="shared" si="825"/>
        <v>192</v>
      </c>
      <c r="U1233" s="13">
        <f t="shared" si="826"/>
        <v>11242800.00000014</v>
      </c>
      <c r="V1233" s="112">
        <f t="shared" si="827"/>
        <v>192</v>
      </c>
      <c r="AN1233" s="127">
        <v>45354.666666666657</v>
      </c>
      <c r="AO1233">
        <v>1</v>
      </c>
      <c r="AP1233" s="13">
        <f t="shared" si="829"/>
        <v>11242800.00000014</v>
      </c>
      <c r="AQ1233">
        <f t="shared" si="822"/>
        <v>96</v>
      </c>
      <c r="AR1233" s="13">
        <f t="shared" si="823"/>
        <v>11242800.00000014</v>
      </c>
      <c r="AS1233" s="112">
        <f t="shared" si="824"/>
        <v>96</v>
      </c>
    </row>
    <row r="1234" spans="17:45" x14ac:dyDescent="0.25">
      <c r="Q1234" s="127">
        <v>45354.770833333343</v>
      </c>
      <c r="R1234">
        <v>2</v>
      </c>
      <c r="S1234" s="13">
        <f t="shared" si="828"/>
        <v>11251800.00000014</v>
      </c>
      <c r="T1234">
        <f t="shared" si="825"/>
        <v>192</v>
      </c>
      <c r="U1234" s="13">
        <f t="shared" si="826"/>
        <v>11251800.00000014</v>
      </c>
      <c r="V1234" s="112">
        <f t="shared" si="827"/>
        <v>192</v>
      </c>
      <c r="AN1234" s="127">
        <v>45354.770833333343</v>
      </c>
      <c r="AO1234">
        <v>1</v>
      </c>
      <c r="AP1234" s="13">
        <f t="shared" si="829"/>
        <v>11251800.00000014</v>
      </c>
      <c r="AQ1234">
        <f t="shared" si="822"/>
        <v>96</v>
      </c>
      <c r="AR1234" s="13">
        <f t="shared" si="823"/>
        <v>11251800.00000014</v>
      </c>
      <c r="AS1234" s="112">
        <f t="shared" si="824"/>
        <v>96</v>
      </c>
    </row>
    <row r="1235" spans="17:45" x14ac:dyDescent="0.25">
      <c r="Q1235" s="127">
        <v>45354.875</v>
      </c>
      <c r="R1235">
        <v>2</v>
      </c>
      <c r="S1235" s="13">
        <f t="shared" si="828"/>
        <v>11260800.00000014</v>
      </c>
      <c r="T1235">
        <f t="shared" si="825"/>
        <v>192</v>
      </c>
      <c r="U1235" s="13">
        <f t="shared" si="826"/>
        <v>11260800.00000014</v>
      </c>
      <c r="V1235" s="112">
        <f t="shared" si="827"/>
        <v>192</v>
      </c>
      <c r="AN1235" s="127">
        <v>45354.875</v>
      </c>
      <c r="AO1235">
        <v>1</v>
      </c>
      <c r="AP1235" s="13">
        <f t="shared" si="829"/>
        <v>11260800.00000014</v>
      </c>
      <c r="AQ1235">
        <f t="shared" si="822"/>
        <v>96</v>
      </c>
      <c r="AR1235" s="13">
        <f t="shared" si="823"/>
        <v>11260800.00000014</v>
      </c>
      <c r="AS1235" s="112">
        <f t="shared" si="824"/>
        <v>96</v>
      </c>
    </row>
    <row r="1236" spans="17:45" x14ac:dyDescent="0.25">
      <c r="Q1236" s="127">
        <v>45354.979166666657</v>
      </c>
      <c r="R1236">
        <v>2</v>
      </c>
      <c r="S1236" s="13">
        <f t="shared" si="828"/>
        <v>11269800.00000014</v>
      </c>
      <c r="T1236">
        <f t="shared" si="825"/>
        <v>192</v>
      </c>
      <c r="U1236" s="13">
        <f t="shared" si="826"/>
        <v>11269800.00000014</v>
      </c>
      <c r="V1236" s="112">
        <f t="shared" si="827"/>
        <v>192</v>
      </c>
      <c r="AN1236" s="127">
        <v>45354.979166666657</v>
      </c>
      <c r="AO1236">
        <v>1</v>
      </c>
      <c r="AP1236" s="13">
        <f t="shared" si="829"/>
        <v>11269800.00000014</v>
      </c>
      <c r="AQ1236">
        <f t="shared" si="822"/>
        <v>96</v>
      </c>
      <c r="AR1236" s="13">
        <f t="shared" si="823"/>
        <v>11269800.00000014</v>
      </c>
      <c r="AS1236" s="112">
        <f t="shared" si="824"/>
        <v>96</v>
      </c>
    </row>
    <row r="1237" spans="17:45" x14ac:dyDescent="0.25">
      <c r="Q1237" s="127">
        <v>45355.083333333343</v>
      </c>
      <c r="R1237">
        <v>2</v>
      </c>
      <c r="S1237" s="13">
        <f t="shared" si="828"/>
        <v>11278800.00000014</v>
      </c>
      <c r="T1237">
        <f t="shared" si="825"/>
        <v>192</v>
      </c>
      <c r="U1237" s="13">
        <f t="shared" si="826"/>
        <v>11278800.00000014</v>
      </c>
      <c r="V1237" s="112">
        <f t="shared" si="827"/>
        <v>192</v>
      </c>
      <c r="AN1237" s="127">
        <v>45355.083333333343</v>
      </c>
      <c r="AO1237">
        <v>1</v>
      </c>
      <c r="AP1237" s="13">
        <f t="shared" si="829"/>
        <v>11278800.00000014</v>
      </c>
      <c r="AQ1237">
        <f t="shared" si="822"/>
        <v>96</v>
      </c>
      <c r="AR1237" s="13">
        <f t="shared" si="823"/>
        <v>11278800.00000014</v>
      </c>
      <c r="AS1237" s="112">
        <f t="shared" si="824"/>
        <v>96</v>
      </c>
    </row>
    <row r="1238" spans="17:45" x14ac:dyDescent="0.25">
      <c r="Q1238" s="127">
        <v>45355.1875</v>
      </c>
      <c r="R1238">
        <v>2</v>
      </c>
      <c r="S1238" s="13">
        <f t="shared" si="828"/>
        <v>11287800.00000014</v>
      </c>
      <c r="T1238">
        <f t="shared" si="825"/>
        <v>192</v>
      </c>
      <c r="U1238" s="13">
        <f t="shared" si="826"/>
        <v>11287800.00000014</v>
      </c>
      <c r="V1238" s="112">
        <f t="shared" si="827"/>
        <v>192</v>
      </c>
      <c r="AN1238" s="127">
        <v>45355.1875</v>
      </c>
      <c r="AO1238">
        <v>1</v>
      </c>
      <c r="AP1238" s="13">
        <f t="shared" si="829"/>
        <v>11287800.00000014</v>
      </c>
      <c r="AQ1238">
        <f t="shared" si="822"/>
        <v>96</v>
      </c>
      <c r="AR1238" s="13">
        <f t="shared" si="823"/>
        <v>11287800.00000014</v>
      </c>
      <c r="AS1238" s="112">
        <f t="shared" si="824"/>
        <v>96</v>
      </c>
    </row>
    <row r="1239" spans="17:45" x14ac:dyDescent="0.25">
      <c r="Q1239" s="127">
        <v>45355.291666666657</v>
      </c>
      <c r="R1239">
        <v>2</v>
      </c>
      <c r="S1239" s="13">
        <f t="shared" si="828"/>
        <v>11296800.00000014</v>
      </c>
      <c r="T1239">
        <f t="shared" si="825"/>
        <v>192</v>
      </c>
      <c r="U1239" s="13">
        <f t="shared" si="826"/>
        <v>11296800.00000014</v>
      </c>
      <c r="V1239" s="112">
        <f t="shared" si="827"/>
        <v>192</v>
      </c>
      <c r="AN1239" s="127">
        <v>45355.291666666657</v>
      </c>
      <c r="AO1239">
        <v>1</v>
      </c>
      <c r="AP1239" s="13">
        <f t="shared" si="829"/>
        <v>11296800.00000014</v>
      </c>
      <c r="AQ1239">
        <f t="shared" si="822"/>
        <v>96</v>
      </c>
      <c r="AR1239" s="13">
        <f t="shared" si="823"/>
        <v>11296800.00000014</v>
      </c>
      <c r="AS1239" s="112">
        <f t="shared" si="824"/>
        <v>96</v>
      </c>
    </row>
    <row r="1240" spans="17:45" x14ac:dyDescent="0.25">
      <c r="Q1240" s="127">
        <v>45355.395833333343</v>
      </c>
      <c r="R1240">
        <v>1</v>
      </c>
      <c r="S1240" s="13">
        <f t="shared" si="828"/>
        <v>11305800.00000014</v>
      </c>
      <c r="T1240">
        <f t="shared" si="825"/>
        <v>96</v>
      </c>
      <c r="U1240" s="13">
        <f t="shared" si="826"/>
        <v>11305800.00000014</v>
      </c>
      <c r="V1240" s="112">
        <f t="shared" si="827"/>
        <v>96</v>
      </c>
      <c r="AN1240" s="127">
        <v>45355.395833333343</v>
      </c>
      <c r="AO1240">
        <v>1</v>
      </c>
      <c r="AP1240" s="13">
        <f t="shared" si="829"/>
        <v>11305800.00000014</v>
      </c>
      <c r="AQ1240">
        <f t="shared" si="822"/>
        <v>96</v>
      </c>
      <c r="AR1240" s="13">
        <f t="shared" si="823"/>
        <v>11305800.00000014</v>
      </c>
      <c r="AS1240" s="112">
        <f t="shared" si="824"/>
        <v>96</v>
      </c>
    </row>
    <row r="1241" spans="17:45" x14ac:dyDescent="0.25">
      <c r="Q1241" s="127">
        <v>45355.5</v>
      </c>
      <c r="R1241">
        <v>1</v>
      </c>
      <c r="S1241" s="13">
        <f t="shared" si="828"/>
        <v>11314800.00000014</v>
      </c>
      <c r="T1241">
        <f t="shared" si="825"/>
        <v>96</v>
      </c>
      <c r="U1241" s="13">
        <f t="shared" si="826"/>
        <v>11314800.00000014</v>
      </c>
      <c r="V1241" s="112">
        <f t="shared" si="827"/>
        <v>96</v>
      </c>
      <c r="AN1241" s="127">
        <v>45355.5</v>
      </c>
      <c r="AO1241">
        <v>1</v>
      </c>
      <c r="AP1241" s="13">
        <f t="shared" si="829"/>
        <v>11314800.00000014</v>
      </c>
      <c r="AQ1241">
        <f t="shared" si="822"/>
        <v>96</v>
      </c>
      <c r="AR1241" s="13">
        <f t="shared" si="823"/>
        <v>11314800.00000014</v>
      </c>
      <c r="AS1241" s="112">
        <f t="shared" si="824"/>
        <v>96</v>
      </c>
    </row>
    <row r="1242" spans="17:45" x14ac:dyDescent="0.25">
      <c r="Q1242" s="127">
        <v>45355.604166666657</v>
      </c>
      <c r="R1242">
        <v>1</v>
      </c>
      <c r="S1242" s="13">
        <f t="shared" si="828"/>
        <v>11323800.00000014</v>
      </c>
      <c r="T1242">
        <f t="shared" si="825"/>
        <v>96</v>
      </c>
      <c r="U1242" s="13">
        <f t="shared" si="826"/>
        <v>11323800.00000014</v>
      </c>
      <c r="V1242" s="112">
        <f t="shared" si="827"/>
        <v>96</v>
      </c>
      <c r="AN1242" s="127">
        <v>45355.604166666657</v>
      </c>
      <c r="AO1242">
        <v>1</v>
      </c>
      <c r="AP1242" s="13">
        <f t="shared" si="829"/>
        <v>11323800.00000014</v>
      </c>
      <c r="AQ1242">
        <f t="shared" si="822"/>
        <v>96</v>
      </c>
      <c r="AR1242" s="13">
        <f t="shared" si="823"/>
        <v>11323800.00000014</v>
      </c>
      <c r="AS1242" s="112">
        <f t="shared" si="824"/>
        <v>96</v>
      </c>
    </row>
    <row r="1243" spans="17:45" x14ac:dyDescent="0.25">
      <c r="Q1243" s="127">
        <v>45355.708333333343</v>
      </c>
      <c r="R1243">
        <v>2</v>
      </c>
      <c r="S1243" s="13">
        <f t="shared" si="828"/>
        <v>11332800.00000014</v>
      </c>
      <c r="T1243">
        <f t="shared" si="825"/>
        <v>192</v>
      </c>
      <c r="U1243" s="13">
        <f t="shared" si="826"/>
        <v>11332800.00000014</v>
      </c>
      <c r="V1243" s="112">
        <f t="shared" si="827"/>
        <v>192</v>
      </c>
      <c r="AN1243" s="127">
        <v>45355.708333333343</v>
      </c>
      <c r="AO1243">
        <v>1</v>
      </c>
      <c r="AP1243" s="13">
        <f t="shared" si="829"/>
        <v>11332800.00000014</v>
      </c>
      <c r="AQ1243">
        <f t="shared" si="822"/>
        <v>96</v>
      </c>
      <c r="AR1243" s="13">
        <f t="shared" si="823"/>
        <v>11332800.00000014</v>
      </c>
      <c r="AS1243" s="112">
        <f t="shared" si="824"/>
        <v>96</v>
      </c>
    </row>
    <row r="1244" spans="17:45" x14ac:dyDescent="0.25">
      <c r="Q1244" s="127">
        <v>45355.8125</v>
      </c>
      <c r="R1244">
        <v>2</v>
      </c>
      <c r="S1244" s="13">
        <f t="shared" si="828"/>
        <v>11341800.00000014</v>
      </c>
      <c r="T1244">
        <f t="shared" si="825"/>
        <v>192</v>
      </c>
      <c r="U1244" s="13">
        <f t="shared" si="826"/>
        <v>11341800.00000014</v>
      </c>
      <c r="V1244" s="112">
        <f t="shared" si="827"/>
        <v>192</v>
      </c>
      <c r="AN1244" s="127">
        <v>45355.8125</v>
      </c>
      <c r="AO1244">
        <v>1</v>
      </c>
      <c r="AP1244" s="13">
        <f t="shared" si="829"/>
        <v>11341800.00000014</v>
      </c>
      <c r="AQ1244">
        <f t="shared" si="822"/>
        <v>96</v>
      </c>
      <c r="AR1244" s="13">
        <f t="shared" si="823"/>
        <v>11341800.00000014</v>
      </c>
      <c r="AS1244" s="112">
        <f t="shared" si="824"/>
        <v>96</v>
      </c>
    </row>
    <row r="1245" spans="17:45" x14ac:dyDescent="0.25">
      <c r="Q1245" s="127">
        <v>45355.916666666657</v>
      </c>
      <c r="R1245">
        <v>1</v>
      </c>
      <c r="S1245" s="13">
        <f t="shared" si="828"/>
        <v>11350800.00000014</v>
      </c>
      <c r="T1245">
        <f t="shared" si="825"/>
        <v>96</v>
      </c>
      <c r="U1245" s="13">
        <f t="shared" si="826"/>
        <v>11350800.00000014</v>
      </c>
      <c r="V1245" s="112">
        <f t="shared" si="827"/>
        <v>96</v>
      </c>
      <c r="AN1245" s="127">
        <v>45355.916666666657</v>
      </c>
      <c r="AO1245">
        <v>1</v>
      </c>
      <c r="AP1245" s="13">
        <f t="shared" si="829"/>
        <v>11350800.00000014</v>
      </c>
      <c r="AQ1245">
        <f t="shared" si="822"/>
        <v>96</v>
      </c>
      <c r="AR1245" s="13">
        <f t="shared" si="823"/>
        <v>11350800.00000014</v>
      </c>
      <c r="AS1245" s="112">
        <f t="shared" si="824"/>
        <v>96</v>
      </c>
    </row>
    <row r="1246" spans="17:45" x14ac:dyDescent="0.25">
      <c r="Q1246" s="127">
        <v>45356.020833333343</v>
      </c>
      <c r="R1246">
        <v>1</v>
      </c>
      <c r="S1246" s="13">
        <f t="shared" si="828"/>
        <v>11359800.00000014</v>
      </c>
      <c r="T1246">
        <f t="shared" si="825"/>
        <v>96</v>
      </c>
      <c r="U1246" s="13">
        <f t="shared" si="826"/>
        <v>11359800.00000014</v>
      </c>
      <c r="V1246" s="112">
        <f t="shared" si="827"/>
        <v>96</v>
      </c>
      <c r="AN1246" s="127">
        <v>45356.020833333343</v>
      </c>
      <c r="AO1246">
        <v>1</v>
      </c>
      <c r="AP1246" s="13">
        <f t="shared" si="829"/>
        <v>11359800.00000014</v>
      </c>
      <c r="AQ1246">
        <f t="shared" si="822"/>
        <v>96</v>
      </c>
      <c r="AR1246" s="13">
        <f t="shared" si="823"/>
        <v>11359800.00000014</v>
      </c>
      <c r="AS1246" s="112">
        <f t="shared" si="824"/>
        <v>96</v>
      </c>
    </row>
    <row r="1247" spans="17:45" x14ac:dyDescent="0.25">
      <c r="Q1247" s="127">
        <v>45356.125</v>
      </c>
      <c r="R1247">
        <v>2</v>
      </c>
      <c r="S1247" s="13">
        <f t="shared" si="828"/>
        <v>11368800.00000014</v>
      </c>
      <c r="T1247">
        <f t="shared" si="825"/>
        <v>192</v>
      </c>
      <c r="U1247" s="13">
        <f t="shared" si="826"/>
        <v>11368800.00000014</v>
      </c>
      <c r="V1247" s="112">
        <f t="shared" si="827"/>
        <v>192</v>
      </c>
      <c r="AN1247" s="127">
        <v>45356.125</v>
      </c>
      <c r="AO1247">
        <v>1</v>
      </c>
      <c r="AP1247" s="13">
        <f t="shared" si="829"/>
        <v>11368800.00000014</v>
      </c>
      <c r="AQ1247">
        <f t="shared" si="822"/>
        <v>96</v>
      </c>
      <c r="AR1247" s="13">
        <f t="shared" si="823"/>
        <v>11368800.00000014</v>
      </c>
      <c r="AS1247" s="112">
        <f t="shared" si="824"/>
        <v>96</v>
      </c>
    </row>
    <row r="1248" spans="17:45" x14ac:dyDescent="0.25">
      <c r="Q1248" s="127">
        <v>45356.229166666657</v>
      </c>
      <c r="R1248">
        <v>2</v>
      </c>
      <c r="S1248" s="13">
        <f t="shared" si="828"/>
        <v>11377800.00000014</v>
      </c>
      <c r="T1248">
        <f t="shared" si="825"/>
        <v>192</v>
      </c>
      <c r="U1248" s="13">
        <f t="shared" si="826"/>
        <v>11377800.00000014</v>
      </c>
      <c r="V1248" s="112">
        <f t="shared" si="827"/>
        <v>192</v>
      </c>
      <c r="AN1248" s="127">
        <v>45356.229166666657</v>
      </c>
      <c r="AO1248">
        <v>1</v>
      </c>
      <c r="AP1248" s="13">
        <f t="shared" si="829"/>
        <v>11377800.00000014</v>
      </c>
      <c r="AQ1248">
        <f t="shared" si="822"/>
        <v>96</v>
      </c>
      <c r="AR1248" s="13">
        <f t="shared" si="823"/>
        <v>11377800.00000014</v>
      </c>
      <c r="AS1248" s="112">
        <f t="shared" si="824"/>
        <v>96</v>
      </c>
    </row>
    <row r="1249" spans="17:45" x14ac:dyDescent="0.25">
      <c r="Q1249" s="127">
        <v>45356.333333333343</v>
      </c>
      <c r="R1249">
        <v>2</v>
      </c>
      <c r="S1249" s="13">
        <f t="shared" si="828"/>
        <v>11386800.00000014</v>
      </c>
      <c r="T1249">
        <f t="shared" si="825"/>
        <v>192</v>
      </c>
      <c r="U1249" s="13">
        <f t="shared" si="826"/>
        <v>11386800.00000014</v>
      </c>
      <c r="V1249" s="112">
        <f t="shared" si="827"/>
        <v>192</v>
      </c>
      <c r="AN1249" s="127">
        <v>45356.333333333343</v>
      </c>
      <c r="AO1249">
        <v>1</v>
      </c>
      <c r="AP1249" s="13">
        <f t="shared" si="829"/>
        <v>11386800.00000014</v>
      </c>
      <c r="AQ1249">
        <f t="shared" si="822"/>
        <v>96</v>
      </c>
      <c r="AR1249" s="13">
        <f t="shared" si="823"/>
        <v>11386800.00000014</v>
      </c>
      <c r="AS1249" s="112">
        <f t="shared" si="824"/>
        <v>96</v>
      </c>
    </row>
    <row r="1250" spans="17:45" x14ac:dyDescent="0.25">
      <c r="Q1250" s="127">
        <v>45356.4375</v>
      </c>
      <c r="R1250">
        <v>2</v>
      </c>
      <c r="S1250" s="13">
        <f t="shared" si="828"/>
        <v>11395800.00000014</v>
      </c>
      <c r="T1250">
        <f t="shared" si="825"/>
        <v>192</v>
      </c>
      <c r="U1250" s="13">
        <f t="shared" si="826"/>
        <v>11395800.00000014</v>
      </c>
      <c r="V1250" s="112">
        <f t="shared" si="827"/>
        <v>192</v>
      </c>
      <c r="AN1250" s="127">
        <v>45356.4375</v>
      </c>
      <c r="AO1250">
        <v>1</v>
      </c>
      <c r="AP1250" s="13">
        <f t="shared" si="829"/>
        <v>11395800.00000014</v>
      </c>
      <c r="AQ1250">
        <f t="shared" si="822"/>
        <v>96</v>
      </c>
      <c r="AR1250" s="13">
        <f t="shared" si="823"/>
        <v>11395800.00000014</v>
      </c>
      <c r="AS1250" s="112">
        <f t="shared" si="824"/>
        <v>96</v>
      </c>
    </row>
    <row r="1251" spans="17:45" x14ac:dyDescent="0.25">
      <c r="Q1251" s="127">
        <v>45356.541666666657</v>
      </c>
      <c r="R1251">
        <v>2</v>
      </c>
      <c r="S1251" s="13">
        <f t="shared" si="828"/>
        <v>11404800.00000014</v>
      </c>
      <c r="T1251">
        <f t="shared" si="825"/>
        <v>192</v>
      </c>
      <c r="U1251" s="13">
        <f t="shared" si="826"/>
        <v>11404800.00000014</v>
      </c>
      <c r="V1251" s="112">
        <f t="shared" si="827"/>
        <v>192</v>
      </c>
      <c r="AN1251" s="127">
        <v>45356.541666666657</v>
      </c>
      <c r="AO1251">
        <v>0</v>
      </c>
      <c r="AP1251" s="13">
        <f t="shared" si="829"/>
        <v>11404800.00000014</v>
      </c>
      <c r="AQ1251">
        <f t="shared" ref="AQ1251:AQ1314" si="830">AO1251*96</f>
        <v>0</v>
      </c>
      <c r="AR1251" s="13">
        <f t="shared" ref="AR1251:AR1314" si="831">AP1251</f>
        <v>11404800.00000014</v>
      </c>
      <c r="AS1251" s="112">
        <f t="shared" ref="AS1251:AS1314" si="832">IF(AQ1251=0,0.0000000001,AQ1251)</f>
        <v>1E-10</v>
      </c>
    </row>
    <row r="1252" spans="17:45" x14ac:dyDescent="0.25">
      <c r="Q1252" s="127">
        <v>45356.645833333343</v>
      </c>
      <c r="R1252">
        <v>2</v>
      </c>
      <c r="S1252" s="13">
        <f t="shared" si="828"/>
        <v>11413800.00000014</v>
      </c>
      <c r="T1252">
        <f t="shared" si="825"/>
        <v>192</v>
      </c>
      <c r="U1252" s="13">
        <f t="shared" si="826"/>
        <v>11413800.00000014</v>
      </c>
      <c r="V1252" s="112">
        <f t="shared" si="827"/>
        <v>192</v>
      </c>
      <c r="AN1252" s="127">
        <v>45356.645833333343</v>
      </c>
      <c r="AO1252">
        <v>1</v>
      </c>
      <c r="AP1252" s="13">
        <f t="shared" si="829"/>
        <v>11413800.00000014</v>
      </c>
      <c r="AQ1252">
        <f t="shared" si="830"/>
        <v>96</v>
      </c>
      <c r="AR1252" s="13">
        <f t="shared" si="831"/>
        <v>11413800.00000014</v>
      </c>
      <c r="AS1252" s="112">
        <f t="shared" si="832"/>
        <v>96</v>
      </c>
    </row>
    <row r="1253" spans="17:45" x14ac:dyDescent="0.25">
      <c r="Q1253" s="127">
        <v>45356.75</v>
      </c>
      <c r="R1253">
        <v>2</v>
      </c>
      <c r="S1253" s="13">
        <f t="shared" si="828"/>
        <v>11422800.00000014</v>
      </c>
      <c r="T1253">
        <f t="shared" si="825"/>
        <v>192</v>
      </c>
      <c r="U1253" s="13">
        <f t="shared" si="826"/>
        <v>11422800.00000014</v>
      </c>
      <c r="V1253" s="112">
        <f t="shared" si="827"/>
        <v>192</v>
      </c>
      <c r="AN1253" s="127">
        <v>45356.75</v>
      </c>
      <c r="AO1253">
        <v>1</v>
      </c>
      <c r="AP1253" s="13">
        <f t="shared" si="829"/>
        <v>11422800.00000014</v>
      </c>
      <c r="AQ1253">
        <f t="shared" si="830"/>
        <v>96</v>
      </c>
      <c r="AR1253" s="13">
        <f t="shared" si="831"/>
        <v>11422800.00000014</v>
      </c>
      <c r="AS1253" s="112">
        <f t="shared" si="832"/>
        <v>96</v>
      </c>
    </row>
    <row r="1254" spans="17:45" x14ac:dyDescent="0.25">
      <c r="Q1254" s="127">
        <v>45356.854166666657</v>
      </c>
      <c r="R1254">
        <v>2</v>
      </c>
      <c r="S1254" s="13">
        <f t="shared" si="828"/>
        <v>11431800.00000014</v>
      </c>
      <c r="T1254">
        <f t="shared" si="825"/>
        <v>192</v>
      </c>
      <c r="U1254" s="13">
        <f t="shared" si="826"/>
        <v>11431800.00000014</v>
      </c>
      <c r="V1254" s="112">
        <f t="shared" si="827"/>
        <v>192</v>
      </c>
      <c r="AN1254" s="127">
        <v>45356.854166666657</v>
      </c>
      <c r="AO1254">
        <v>1</v>
      </c>
      <c r="AP1254" s="13">
        <f t="shared" si="829"/>
        <v>11431800.00000014</v>
      </c>
      <c r="AQ1254">
        <f t="shared" si="830"/>
        <v>96</v>
      </c>
      <c r="AR1254" s="13">
        <f t="shared" si="831"/>
        <v>11431800.00000014</v>
      </c>
      <c r="AS1254" s="112">
        <f t="shared" si="832"/>
        <v>96</v>
      </c>
    </row>
    <row r="1255" spans="17:45" x14ac:dyDescent="0.25">
      <c r="Q1255" s="127">
        <v>45356.958333333343</v>
      </c>
      <c r="R1255">
        <v>2</v>
      </c>
      <c r="S1255" s="13">
        <f t="shared" si="828"/>
        <v>11440800.00000014</v>
      </c>
      <c r="T1255">
        <f t="shared" si="825"/>
        <v>192</v>
      </c>
      <c r="U1255" s="13">
        <f t="shared" si="826"/>
        <v>11440800.00000014</v>
      </c>
      <c r="V1255" s="112">
        <f t="shared" si="827"/>
        <v>192</v>
      </c>
      <c r="AN1255" s="127">
        <v>45356.958333333343</v>
      </c>
      <c r="AO1255">
        <v>1</v>
      </c>
      <c r="AP1255" s="13">
        <f t="shared" si="829"/>
        <v>11440800.00000014</v>
      </c>
      <c r="AQ1255">
        <f t="shared" si="830"/>
        <v>96</v>
      </c>
      <c r="AR1255" s="13">
        <f t="shared" si="831"/>
        <v>11440800.00000014</v>
      </c>
      <c r="AS1255" s="112">
        <f t="shared" si="832"/>
        <v>96</v>
      </c>
    </row>
    <row r="1256" spans="17:45" x14ac:dyDescent="0.25">
      <c r="Q1256" s="127">
        <v>45357.0625</v>
      </c>
      <c r="R1256">
        <v>2</v>
      </c>
      <c r="S1256" s="13">
        <f t="shared" si="828"/>
        <v>11449800.00000014</v>
      </c>
      <c r="T1256">
        <f t="shared" si="825"/>
        <v>192</v>
      </c>
      <c r="U1256" s="13">
        <f t="shared" si="826"/>
        <v>11449800.00000014</v>
      </c>
      <c r="V1256" s="112">
        <f t="shared" si="827"/>
        <v>192</v>
      </c>
      <c r="AN1256" s="127">
        <v>45357.0625</v>
      </c>
      <c r="AO1256">
        <v>1</v>
      </c>
      <c r="AP1256" s="13">
        <f t="shared" si="829"/>
        <v>11449800.00000014</v>
      </c>
      <c r="AQ1256">
        <f t="shared" si="830"/>
        <v>96</v>
      </c>
      <c r="AR1256" s="13">
        <f t="shared" si="831"/>
        <v>11449800.00000014</v>
      </c>
      <c r="AS1256" s="112">
        <f t="shared" si="832"/>
        <v>96</v>
      </c>
    </row>
    <row r="1257" spans="17:45" x14ac:dyDescent="0.25">
      <c r="Q1257" s="127">
        <v>45357.166666666657</v>
      </c>
      <c r="R1257">
        <v>2</v>
      </c>
      <c r="S1257" s="13">
        <f t="shared" si="828"/>
        <v>11458800.00000014</v>
      </c>
      <c r="T1257">
        <f t="shared" si="825"/>
        <v>192</v>
      </c>
      <c r="U1257" s="13">
        <f t="shared" si="826"/>
        <v>11458800.00000014</v>
      </c>
      <c r="V1257" s="112">
        <f t="shared" si="827"/>
        <v>192</v>
      </c>
      <c r="AN1257" s="127">
        <v>45357.166666666657</v>
      </c>
      <c r="AO1257">
        <v>1</v>
      </c>
      <c r="AP1257" s="13">
        <f t="shared" si="829"/>
        <v>11458800.00000014</v>
      </c>
      <c r="AQ1257">
        <f t="shared" si="830"/>
        <v>96</v>
      </c>
      <c r="AR1257" s="13">
        <f t="shared" si="831"/>
        <v>11458800.00000014</v>
      </c>
      <c r="AS1257" s="112">
        <f t="shared" si="832"/>
        <v>96</v>
      </c>
    </row>
    <row r="1258" spans="17:45" x14ac:dyDescent="0.25">
      <c r="Q1258" s="127">
        <v>45357.270833333343</v>
      </c>
      <c r="R1258">
        <v>2</v>
      </c>
      <c r="S1258" s="13">
        <f t="shared" si="828"/>
        <v>11467800.00000014</v>
      </c>
      <c r="T1258">
        <f t="shared" si="825"/>
        <v>192</v>
      </c>
      <c r="U1258" s="13">
        <f t="shared" si="826"/>
        <v>11467800.00000014</v>
      </c>
      <c r="V1258" s="112">
        <f t="shared" si="827"/>
        <v>192</v>
      </c>
      <c r="AN1258" s="127">
        <v>45357.270833333343</v>
      </c>
      <c r="AO1258">
        <v>1</v>
      </c>
      <c r="AP1258" s="13">
        <f t="shared" si="829"/>
        <v>11467800.00000014</v>
      </c>
      <c r="AQ1258">
        <f t="shared" si="830"/>
        <v>96</v>
      </c>
      <c r="AR1258" s="13">
        <f t="shared" si="831"/>
        <v>11467800.00000014</v>
      </c>
      <c r="AS1258" s="112">
        <f t="shared" si="832"/>
        <v>96</v>
      </c>
    </row>
    <row r="1259" spans="17:45" x14ac:dyDescent="0.25">
      <c r="Q1259" s="127">
        <v>45357.375</v>
      </c>
      <c r="R1259">
        <v>2</v>
      </c>
      <c r="S1259" s="13">
        <f t="shared" si="828"/>
        <v>11476800.00000014</v>
      </c>
      <c r="T1259">
        <f t="shared" si="825"/>
        <v>192</v>
      </c>
      <c r="U1259" s="13">
        <f t="shared" si="826"/>
        <v>11476800.00000014</v>
      </c>
      <c r="V1259" s="112">
        <f t="shared" si="827"/>
        <v>192</v>
      </c>
      <c r="AN1259" s="127">
        <v>45357.375</v>
      </c>
      <c r="AO1259">
        <v>1</v>
      </c>
      <c r="AP1259" s="13">
        <f t="shared" si="829"/>
        <v>11476800.00000014</v>
      </c>
      <c r="AQ1259">
        <f t="shared" si="830"/>
        <v>96</v>
      </c>
      <c r="AR1259" s="13">
        <f t="shared" si="831"/>
        <v>11476800.00000014</v>
      </c>
      <c r="AS1259" s="112">
        <f t="shared" si="832"/>
        <v>96</v>
      </c>
    </row>
    <row r="1260" spans="17:45" x14ac:dyDescent="0.25">
      <c r="Q1260" s="127">
        <v>45357.479166666657</v>
      </c>
      <c r="R1260">
        <v>2</v>
      </c>
      <c r="S1260" s="13">
        <f t="shared" si="828"/>
        <v>11485800.00000014</v>
      </c>
      <c r="T1260">
        <f t="shared" si="825"/>
        <v>192</v>
      </c>
      <c r="U1260" s="13">
        <f t="shared" si="826"/>
        <v>11485800.00000014</v>
      </c>
      <c r="V1260" s="112">
        <f t="shared" si="827"/>
        <v>192</v>
      </c>
      <c r="AN1260" s="127">
        <v>45357.479166666657</v>
      </c>
      <c r="AO1260">
        <v>1</v>
      </c>
      <c r="AP1260" s="13">
        <f t="shared" si="829"/>
        <v>11485800.00000014</v>
      </c>
      <c r="AQ1260">
        <f t="shared" si="830"/>
        <v>96</v>
      </c>
      <c r="AR1260" s="13">
        <f t="shared" si="831"/>
        <v>11485800.00000014</v>
      </c>
      <c r="AS1260" s="112">
        <f t="shared" si="832"/>
        <v>96</v>
      </c>
    </row>
    <row r="1261" spans="17:45" x14ac:dyDescent="0.25">
      <c r="Q1261" s="127">
        <v>45357.583333333343</v>
      </c>
      <c r="R1261">
        <v>2</v>
      </c>
      <c r="S1261" s="13">
        <f t="shared" si="828"/>
        <v>11494800.00000014</v>
      </c>
      <c r="T1261">
        <f t="shared" si="825"/>
        <v>192</v>
      </c>
      <c r="U1261" s="13">
        <f t="shared" si="826"/>
        <v>11494800.00000014</v>
      </c>
      <c r="V1261" s="112">
        <f t="shared" si="827"/>
        <v>192</v>
      </c>
      <c r="AN1261" s="127">
        <v>45357.583333333343</v>
      </c>
      <c r="AO1261">
        <v>1</v>
      </c>
      <c r="AP1261" s="13">
        <f t="shared" si="829"/>
        <v>11494800.00000014</v>
      </c>
      <c r="AQ1261">
        <f t="shared" si="830"/>
        <v>96</v>
      </c>
      <c r="AR1261" s="13">
        <f t="shared" si="831"/>
        <v>11494800.00000014</v>
      </c>
      <c r="AS1261" s="112">
        <f t="shared" si="832"/>
        <v>96</v>
      </c>
    </row>
    <row r="1262" spans="17:45" x14ac:dyDescent="0.25">
      <c r="Q1262" s="127">
        <v>45357.6875</v>
      </c>
      <c r="R1262">
        <v>1</v>
      </c>
      <c r="S1262" s="13">
        <f t="shared" si="828"/>
        <v>11503800.00000014</v>
      </c>
      <c r="T1262">
        <f t="shared" si="825"/>
        <v>96</v>
      </c>
      <c r="U1262" s="13">
        <f t="shared" si="826"/>
        <v>11503800.00000014</v>
      </c>
      <c r="V1262" s="112">
        <f t="shared" si="827"/>
        <v>96</v>
      </c>
      <c r="AN1262" s="127">
        <v>45357.6875</v>
      </c>
      <c r="AO1262">
        <v>1</v>
      </c>
      <c r="AP1262" s="13">
        <f t="shared" si="829"/>
        <v>11503800.00000014</v>
      </c>
      <c r="AQ1262">
        <f t="shared" si="830"/>
        <v>96</v>
      </c>
      <c r="AR1262" s="13">
        <f t="shared" si="831"/>
        <v>11503800.00000014</v>
      </c>
      <c r="AS1262" s="112">
        <f t="shared" si="832"/>
        <v>96</v>
      </c>
    </row>
    <row r="1263" spans="17:45" x14ac:dyDescent="0.25">
      <c r="Q1263" s="127">
        <v>45357.791666666657</v>
      </c>
      <c r="R1263">
        <v>1</v>
      </c>
      <c r="S1263" s="13">
        <f t="shared" si="828"/>
        <v>11512800.00000014</v>
      </c>
      <c r="T1263">
        <f t="shared" si="825"/>
        <v>96</v>
      </c>
      <c r="U1263" s="13">
        <f t="shared" si="826"/>
        <v>11512800.00000014</v>
      </c>
      <c r="V1263" s="112">
        <f t="shared" si="827"/>
        <v>96</v>
      </c>
      <c r="AN1263" s="127">
        <v>45357.791666666657</v>
      </c>
      <c r="AO1263">
        <v>1</v>
      </c>
      <c r="AP1263" s="13">
        <f t="shared" si="829"/>
        <v>11512800.00000014</v>
      </c>
      <c r="AQ1263">
        <f t="shared" si="830"/>
        <v>96</v>
      </c>
      <c r="AR1263" s="13">
        <f t="shared" si="831"/>
        <v>11512800.00000014</v>
      </c>
      <c r="AS1263" s="112">
        <f t="shared" si="832"/>
        <v>96</v>
      </c>
    </row>
    <row r="1264" spans="17:45" x14ac:dyDescent="0.25">
      <c r="Q1264" s="127">
        <v>45357.895833333343</v>
      </c>
      <c r="R1264">
        <v>1</v>
      </c>
      <c r="S1264" s="13">
        <f t="shared" si="828"/>
        <v>11521800.00000014</v>
      </c>
      <c r="T1264">
        <f t="shared" si="825"/>
        <v>96</v>
      </c>
      <c r="U1264" s="13">
        <f t="shared" si="826"/>
        <v>11521800.00000014</v>
      </c>
      <c r="V1264" s="112">
        <f t="shared" si="827"/>
        <v>96</v>
      </c>
      <c r="AN1264" s="127">
        <v>45357.895833333343</v>
      </c>
      <c r="AO1264">
        <v>1</v>
      </c>
      <c r="AP1264" s="13">
        <f t="shared" si="829"/>
        <v>11521800.00000014</v>
      </c>
      <c r="AQ1264">
        <f t="shared" si="830"/>
        <v>96</v>
      </c>
      <c r="AR1264" s="13">
        <f t="shared" si="831"/>
        <v>11521800.00000014</v>
      </c>
      <c r="AS1264" s="112">
        <f t="shared" si="832"/>
        <v>96</v>
      </c>
    </row>
    <row r="1265" spans="17:45" x14ac:dyDescent="0.25">
      <c r="Q1265" s="127">
        <v>45358</v>
      </c>
      <c r="R1265">
        <v>2</v>
      </c>
      <c r="S1265" s="13">
        <f t="shared" si="828"/>
        <v>11530800.00000014</v>
      </c>
      <c r="T1265">
        <f t="shared" si="825"/>
        <v>192</v>
      </c>
      <c r="U1265" s="13">
        <f t="shared" si="826"/>
        <v>11530800.00000014</v>
      </c>
      <c r="V1265" s="112">
        <f t="shared" si="827"/>
        <v>192</v>
      </c>
      <c r="AN1265" s="127">
        <v>45358</v>
      </c>
      <c r="AO1265">
        <v>1</v>
      </c>
      <c r="AP1265" s="13">
        <f t="shared" si="829"/>
        <v>11530800.00000014</v>
      </c>
      <c r="AQ1265">
        <f t="shared" si="830"/>
        <v>96</v>
      </c>
      <c r="AR1265" s="13">
        <f t="shared" si="831"/>
        <v>11530800.00000014</v>
      </c>
      <c r="AS1265" s="112">
        <f t="shared" si="832"/>
        <v>96</v>
      </c>
    </row>
    <row r="1266" spans="17:45" x14ac:dyDescent="0.25">
      <c r="Q1266" s="127">
        <v>45358.104166666657</v>
      </c>
      <c r="R1266">
        <v>1</v>
      </c>
      <c r="S1266" s="13">
        <f t="shared" si="828"/>
        <v>11539800.00000014</v>
      </c>
      <c r="T1266">
        <f t="shared" si="825"/>
        <v>96</v>
      </c>
      <c r="U1266" s="13">
        <f t="shared" si="826"/>
        <v>11539800.00000014</v>
      </c>
      <c r="V1266" s="112">
        <f t="shared" si="827"/>
        <v>96</v>
      </c>
      <c r="AN1266" s="127">
        <v>45358.104166666657</v>
      </c>
      <c r="AO1266">
        <v>1</v>
      </c>
      <c r="AP1266" s="13">
        <f t="shared" si="829"/>
        <v>11539800.00000014</v>
      </c>
      <c r="AQ1266">
        <f t="shared" si="830"/>
        <v>96</v>
      </c>
      <c r="AR1266" s="13">
        <f t="shared" si="831"/>
        <v>11539800.00000014</v>
      </c>
      <c r="AS1266" s="112">
        <f t="shared" si="832"/>
        <v>96</v>
      </c>
    </row>
    <row r="1267" spans="17:45" x14ac:dyDescent="0.25">
      <c r="Q1267" s="127">
        <v>45358.208333333343</v>
      </c>
      <c r="R1267">
        <v>2</v>
      </c>
      <c r="S1267" s="13">
        <f t="shared" si="828"/>
        <v>11548800.00000014</v>
      </c>
      <c r="T1267">
        <f t="shared" si="825"/>
        <v>192</v>
      </c>
      <c r="U1267" s="13">
        <f t="shared" si="826"/>
        <v>11548800.00000014</v>
      </c>
      <c r="V1267" s="112">
        <f t="shared" si="827"/>
        <v>192</v>
      </c>
      <c r="AN1267" s="127">
        <v>45358.208333333343</v>
      </c>
      <c r="AO1267">
        <v>1</v>
      </c>
      <c r="AP1267" s="13">
        <f t="shared" si="829"/>
        <v>11548800.00000014</v>
      </c>
      <c r="AQ1267">
        <f t="shared" si="830"/>
        <v>96</v>
      </c>
      <c r="AR1267" s="13">
        <f t="shared" si="831"/>
        <v>11548800.00000014</v>
      </c>
      <c r="AS1267" s="112">
        <f t="shared" si="832"/>
        <v>96</v>
      </c>
    </row>
    <row r="1268" spans="17:45" x14ac:dyDescent="0.25">
      <c r="Q1268" s="127">
        <v>45358.3125</v>
      </c>
      <c r="R1268">
        <v>2</v>
      </c>
      <c r="S1268" s="13">
        <f t="shared" si="828"/>
        <v>11557800.00000014</v>
      </c>
      <c r="T1268">
        <f t="shared" si="825"/>
        <v>192</v>
      </c>
      <c r="U1268" s="13">
        <f t="shared" si="826"/>
        <v>11557800.00000014</v>
      </c>
      <c r="V1268" s="112">
        <f t="shared" si="827"/>
        <v>192</v>
      </c>
      <c r="AN1268" s="127">
        <v>45358.3125</v>
      </c>
      <c r="AO1268">
        <v>1</v>
      </c>
      <c r="AP1268" s="13">
        <f t="shared" si="829"/>
        <v>11557800.00000014</v>
      </c>
      <c r="AQ1268">
        <f t="shared" si="830"/>
        <v>96</v>
      </c>
      <c r="AR1268" s="13">
        <f t="shared" si="831"/>
        <v>11557800.00000014</v>
      </c>
      <c r="AS1268" s="112">
        <f t="shared" si="832"/>
        <v>96</v>
      </c>
    </row>
    <row r="1269" spans="17:45" x14ac:dyDescent="0.25">
      <c r="Q1269" s="127">
        <v>45358.416666666657</v>
      </c>
      <c r="R1269">
        <v>2</v>
      </c>
      <c r="S1269" s="13">
        <f t="shared" si="828"/>
        <v>11566800.00000014</v>
      </c>
      <c r="T1269">
        <f t="shared" si="825"/>
        <v>192</v>
      </c>
      <c r="U1269" s="13">
        <f t="shared" si="826"/>
        <v>11566800.00000014</v>
      </c>
      <c r="V1269" s="112">
        <f t="shared" si="827"/>
        <v>192</v>
      </c>
      <c r="AN1269" s="127">
        <v>45358.416666666657</v>
      </c>
      <c r="AO1269">
        <v>1</v>
      </c>
      <c r="AP1269" s="13">
        <f t="shared" si="829"/>
        <v>11566800.00000014</v>
      </c>
      <c r="AQ1269">
        <f t="shared" si="830"/>
        <v>96</v>
      </c>
      <c r="AR1269" s="13">
        <f t="shared" si="831"/>
        <v>11566800.00000014</v>
      </c>
      <c r="AS1269" s="112">
        <f t="shared" si="832"/>
        <v>96</v>
      </c>
    </row>
    <row r="1270" spans="17:45" x14ac:dyDescent="0.25">
      <c r="Q1270" s="127">
        <v>45358.520833333343</v>
      </c>
      <c r="R1270">
        <v>2</v>
      </c>
      <c r="S1270" s="13">
        <f t="shared" si="828"/>
        <v>11575800.00000014</v>
      </c>
      <c r="T1270">
        <f t="shared" si="825"/>
        <v>192</v>
      </c>
      <c r="U1270" s="13">
        <f t="shared" si="826"/>
        <v>11575800.00000014</v>
      </c>
      <c r="V1270" s="112">
        <f t="shared" si="827"/>
        <v>192</v>
      </c>
      <c r="AN1270" s="127">
        <v>45358.520833333343</v>
      </c>
      <c r="AO1270">
        <v>1</v>
      </c>
      <c r="AP1270" s="13">
        <f t="shared" si="829"/>
        <v>11575800.00000014</v>
      </c>
      <c r="AQ1270">
        <f t="shared" si="830"/>
        <v>96</v>
      </c>
      <c r="AR1270" s="13">
        <f t="shared" si="831"/>
        <v>11575800.00000014</v>
      </c>
      <c r="AS1270" s="112">
        <f t="shared" si="832"/>
        <v>96</v>
      </c>
    </row>
    <row r="1271" spans="17:45" x14ac:dyDescent="0.25">
      <c r="Q1271" s="127">
        <v>45358.625</v>
      </c>
      <c r="R1271">
        <v>1</v>
      </c>
      <c r="S1271" s="13">
        <f t="shared" si="828"/>
        <v>11584800.00000014</v>
      </c>
      <c r="T1271">
        <f t="shared" si="825"/>
        <v>96</v>
      </c>
      <c r="U1271" s="13">
        <f t="shared" si="826"/>
        <v>11584800.00000014</v>
      </c>
      <c r="V1271" s="112">
        <f t="shared" si="827"/>
        <v>96</v>
      </c>
      <c r="AN1271" s="127">
        <v>45358.625</v>
      </c>
      <c r="AO1271">
        <v>1</v>
      </c>
      <c r="AP1271" s="13">
        <f t="shared" si="829"/>
        <v>11584800.00000014</v>
      </c>
      <c r="AQ1271">
        <f t="shared" si="830"/>
        <v>96</v>
      </c>
      <c r="AR1271" s="13">
        <f t="shared" si="831"/>
        <v>11584800.00000014</v>
      </c>
      <c r="AS1271" s="112">
        <f t="shared" si="832"/>
        <v>96</v>
      </c>
    </row>
    <row r="1272" spans="17:45" x14ac:dyDescent="0.25">
      <c r="Q1272" s="127">
        <v>45358.729166666657</v>
      </c>
      <c r="R1272">
        <v>2</v>
      </c>
      <c r="S1272" s="13">
        <f t="shared" si="828"/>
        <v>11593800.00000014</v>
      </c>
      <c r="T1272">
        <f t="shared" si="825"/>
        <v>192</v>
      </c>
      <c r="U1272" s="13">
        <f t="shared" si="826"/>
        <v>11593800.00000014</v>
      </c>
      <c r="V1272" s="112">
        <f t="shared" si="827"/>
        <v>192</v>
      </c>
      <c r="AN1272" s="127">
        <v>45358.729166666657</v>
      </c>
      <c r="AO1272">
        <v>1</v>
      </c>
      <c r="AP1272" s="13">
        <f t="shared" si="829"/>
        <v>11593800.00000014</v>
      </c>
      <c r="AQ1272">
        <f t="shared" si="830"/>
        <v>96</v>
      </c>
      <c r="AR1272" s="13">
        <f t="shared" si="831"/>
        <v>11593800.00000014</v>
      </c>
      <c r="AS1272" s="112">
        <f t="shared" si="832"/>
        <v>96</v>
      </c>
    </row>
    <row r="1273" spans="17:45" x14ac:dyDescent="0.25">
      <c r="Q1273" s="127">
        <v>45358.833333333343</v>
      </c>
      <c r="R1273">
        <v>2</v>
      </c>
      <c r="S1273" s="13">
        <f t="shared" si="828"/>
        <v>11602800.00000014</v>
      </c>
      <c r="T1273">
        <f t="shared" si="825"/>
        <v>192</v>
      </c>
      <c r="U1273" s="13">
        <f t="shared" si="826"/>
        <v>11602800.00000014</v>
      </c>
      <c r="V1273" s="112">
        <f t="shared" si="827"/>
        <v>192</v>
      </c>
      <c r="AN1273" s="127">
        <v>45358.833333333343</v>
      </c>
      <c r="AO1273">
        <v>1</v>
      </c>
      <c r="AP1273" s="13">
        <f t="shared" si="829"/>
        <v>11602800.00000014</v>
      </c>
      <c r="AQ1273">
        <f t="shared" si="830"/>
        <v>96</v>
      </c>
      <c r="AR1273" s="13">
        <f t="shared" si="831"/>
        <v>11602800.00000014</v>
      </c>
      <c r="AS1273" s="112">
        <f t="shared" si="832"/>
        <v>96</v>
      </c>
    </row>
    <row r="1274" spans="17:45" x14ac:dyDescent="0.25">
      <c r="Q1274" s="127">
        <v>45358.9375</v>
      </c>
      <c r="R1274">
        <v>2</v>
      </c>
      <c r="S1274" s="13">
        <f t="shared" si="828"/>
        <v>11611800.00000014</v>
      </c>
      <c r="T1274">
        <f t="shared" si="825"/>
        <v>192</v>
      </c>
      <c r="U1274" s="13">
        <f t="shared" si="826"/>
        <v>11611800.00000014</v>
      </c>
      <c r="V1274" s="112">
        <f t="shared" si="827"/>
        <v>192</v>
      </c>
      <c r="AN1274" s="127">
        <v>45358.9375</v>
      </c>
      <c r="AO1274">
        <v>1</v>
      </c>
      <c r="AP1274" s="13">
        <f t="shared" si="829"/>
        <v>11611800.00000014</v>
      </c>
      <c r="AQ1274">
        <f t="shared" si="830"/>
        <v>96</v>
      </c>
      <c r="AR1274" s="13">
        <f t="shared" si="831"/>
        <v>11611800.00000014</v>
      </c>
      <c r="AS1274" s="112">
        <f t="shared" si="832"/>
        <v>96</v>
      </c>
    </row>
    <row r="1275" spans="17:45" x14ac:dyDescent="0.25">
      <c r="Q1275" s="127">
        <v>45359.041666666657</v>
      </c>
      <c r="R1275">
        <v>2</v>
      </c>
      <c r="S1275" s="13">
        <f t="shared" si="828"/>
        <v>11620800.00000014</v>
      </c>
      <c r="T1275">
        <f t="shared" si="825"/>
        <v>192</v>
      </c>
      <c r="U1275" s="13">
        <f t="shared" si="826"/>
        <v>11620800.00000014</v>
      </c>
      <c r="V1275" s="112">
        <f t="shared" si="827"/>
        <v>192</v>
      </c>
      <c r="AN1275" s="127">
        <v>45359.041666666657</v>
      </c>
      <c r="AO1275">
        <v>1</v>
      </c>
      <c r="AP1275" s="13">
        <f t="shared" si="829"/>
        <v>11620800.00000014</v>
      </c>
      <c r="AQ1275">
        <f t="shared" si="830"/>
        <v>96</v>
      </c>
      <c r="AR1275" s="13">
        <f t="shared" si="831"/>
        <v>11620800.00000014</v>
      </c>
      <c r="AS1275" s="112">
        <f t="shared" si="832"/>
        <v>96</v>
      </c>
    </row>
    <row r="1276" spans="17:45" x14ac:dyDescent="0.25">
      <c r="Q1276" s="127">
        <v>45359.145833333343</v>
      </c>
      <c r="R1276">
        <v>2</v>
      </c>
      <c r="S1276" s="13">
        <f t="shared" si="828"/>
        <v>11629800.00000014</v>
      </c>
      <c r="T1276">
        <f t="shared" si="825"/>
        <v>192</v>
      </c>
      <c r="U1276" s="13">
        <f t="shared" si="826"/>
        <v>11629800.00000014</v>
      </c>
      <c r="V1276" s="112">
        <f t="shared" si="827"/>
        <v>192</v>
      </c>
      <c r="AN1276" s="127">
        <v>45359.145833333343</v>
      </c>
      <c r="AO1276">
        <v>1</v>
      </c>
      <c r="AP1276" s="13">
        <f t="shared" si="829"/>
        <v>11629800.00000014</v>
      </c>
      <c r="AQ1276">
        <f t="shared" si="830"/>
        <v>96</v>
      </c>
      <c r="AR1276" s="13">
        <f t="shared" si="831"/>
        <v>11629800.00000014</v>
      </c>
      <c r="AS1276" s="112">
        <f t="shared" si="832"/>
        <v>96</v>
      </c>
    </row>
    <row r="1277" spans="17:45" x14ac:dyDescent="0.25">
      <c r="Q1277" s="127">
        <v>45359.25</v>
      </c>
      <c r="R1277">
        <v>2</v>
      </c>
      <c r="S1277" s="13">
        <f t="shared" si="828"/>
        <v>11638800.00000014</v>
      </c>
      <c r="T1277">
        <f t="shared" si="825"/>
        <v>192</v>
      </c>
      <c r="U1277" s="13">
        <f t="shared" si="826"/>
        <v>11638800.00000014</v>
      </c>
      <c r="V1277" s="112">
        <f t="shared" si="827"/>
        <v>192</v>
      </c>
      <c r="AN1277" s="127">
        <v>45359.25</v>
      </c>
      <c r="AO1277">
        <v>1</v>
      </c>
      <c r="AP1277" s="13">
        <f t="shared" si="829"/>
        <v>11638800.00000014</v>
      </c>
      <c r="AQ1277">
        <f t="shared" si="830"/>
        <v>96</v>
      </c>
      <c r="AR1277" s="13">
        <f t="shared" si="831"/>
        <v>11638800.00000014</v>
      </c>
      <c r="AS1277" s="112">
        <f t="shared" si="832"/>
        <v>96</v>
      </c>
    </row>
    <row r="1278" spans="17:45" x14ac:dyDescent="0.25">
      <c r="Q1278" s="127">
        <v>45359.354166666657</v>
      </c>
      <c r="R1278">
        <v>2</v>
      </c>
      <c r="S1278" s="13">
        <f t="shared" si="828"/>
        <v>11647800.00000014</v>
      </c>
      <c r="T1278">
        <f t="shared" si="825"/>
        <v>192</v>
      </c>
      <c r="U1278" s="13">
        <f t="shared" si="826"/>
        <v>11647800.00000014</v>
      </c>
      <c r="V1278" s="112">
        <f t="shared" si="827"/>
        <v>192</v>
      </c>
      <c r="AN1278" s="127">
        <v>45359.354166666657</v>
      </c>
      <c r="AO1278">
        <v>1</v>
      </c>
      <c r="AP1278" s="13">
        <f t="shared" si="829"/>
        <v>11647800.00000014</v>
      </c>
      <c r="AQ1278">
        <f t="shared" si="830"/>
        <v>96</v>
      </c>
      <c r="AR1278" s="13">
        <f t="shared" si="831"/>
        <v>11647800.00000014</v>
      </c>
      <c r="AS1278" s="112">
        <f t="shared" si="832"/>
        <v>96</v>
      </c>
    </row>
    <row r="1279" spans="17:45" x14ac:dyDescent="0.25">
      <c r="Q1279" s="127">
        <v>45359.458333333343</v>
      </c>
      <c r="R1279">
        <v>2</v>
      </c>
      <c r="S1279" s="13">
        <f t="shared" si="828"/>
        <v>11656800.00000014</v>
      </c>
      <c r="T1279">
        <f t="shared" si="825"/>
        <v>192</v>
      </c>
      <c r="U1279" s="13">
        <f t="shared" si="826"/>
        <v>11656800.00000014</v>
      </c>
      <c r="V1279" s="112">
        <f t="shared" si="827"/>
        <v>192</v>
      </c>
      <c r="AN1279" s="127">
        <v>45359.458333333343</v>
      </c>
      <c r="AO1279">
        <v>1</v>
      </c>
      <c r="AP1279" s="13">
        <f t="shared" si="829"/>
        <v>11656800.00000014</v>
      </c>
      <c r="AQ1279">
        <f t="shared" si="830"/>
        <v>96</v>
      </c>
      <c r="AR1279" s="13">
        <f t="shared" si="831"/>
        <v>11656800.00000014</v>
      </c>
      <c r="AS1279" s="112">
        <f t="shared" si="832"/>
        <v>96</v>
      </c>
    </row>
    <row r="1280" spans="17:45" x14ac:dyDescent="0.25">
      <c r="Q1280" s="127">
        <v>45359.5625</v>
      </c>
      <c r="R1280">
        <v>2</v>
      </c>
      <c r="S1280" s="13">
        <f t="shared" si="828"/>
        <v>11665800.00000014</v>
      </c>
      <c r="T1280">
        <f t="shared" si="825"/>
        <v>192</v>
      </c>
      <c r="U1280" s="13">
        <f t="shared" si="826"/>
        <v>11665800.00000014</v>
      </c>
      <c r="V1280" s="112">
        <f t="shared" si="827"/>
        <v>192</v>
      </c>
      <c r="AN1280" s="127">
        <v>45359.5625</v>
      </c>
      <c r="AO1280">
        <v>1</v>
      </c>
      <c r="AP1280" s="13">
        <f t="shared" si="829"/>
        <v>11665800.00000014</v>
      </c>
      <c r="AQ1280">
        <f t="shared" si="830"/>
        <v>96</v>
      </c>
      <c r="AR1280" s="13">
        <f t="shared" si="831"/>
        <v>11665800.00000014</v>
      </c>
      <c r="AS1280" s="112">
        <f t="shared" si="832"/>
        <v>96</v>
      </c>
    </row>
    <row r="1281" spans="17:45" x14ac:dyDescent="0.25">
      <c r="Q1281" s="127">
        <v>45359.666666666657</v>
      </c>
      <c r="R1281">
        <v>2</v>
      </c>
      <c r="S1281" s="13">
        <f t="shared" si="828"/>
        <v>11674800.00000014</v>
      </c>
      <c r="T1281">
        <f t="shared" si="825"/>
        <v>192</v>
      </c>
      <c r="U1281" s="13">
        <f t="shared" si="826"/>
        <v>11674800.00000014</v>
      </c>
      <c r="V1281" s="112">
        <f t="shared" si="827"/>
        <v>192</v>
      </c>
      <c r="AN1281" s="127">
        <v>45359.666666666657</v>
      </c>
      <c r="AO1281">
        <v>1</v>
      </c>
      <c r="AP1281" s="13">
        <f t="shared" si="829"/>
        <v>11674800.00000014</v>
      </c>
      <c r="AQ1281">
        <f t="shared" si="830"/>
        <v>96</v>
      </c>
      <c r="AR1281" s="13">
        <f t="shared" si="831"/>
        <v>11674800.00000014</v>
      </c>
      <c r="AS1281" s="112">
        <f t="shared" si="832"/>
        <v>96</v>
      </c>
    </row>
    <row r="1282" spans="17:45" x14ac:dyDescent="0.25">
      <c r="Q1282" s="127">
        <v>45359.770833333343</v>
      </c>
      <c r="R1282">
        <v>2</v>
      </c>
      <c r="S1282" s="13">
        <f t="shared" si="828"/>
        <v>11683800.00000014</v>
      </c>
      <c r="T1282">
        <f t="shared" si="825"/>
        <v>192</v>
      </c>
      <c r="U1282" s="13">
        <f t="shared" si="826"/>
        <v>11683800.00000014</v>
      </c>
      <c r="V1282" s="112">
        <f t="shared" si="827"/>
        <v>192</v>
      </c>
      <c r="AN1282" s="127">
        <v>45359.770833333343</v>
      </c>
      <c r="AO1282">
        <v>1</v>
      </c>
      <c r="AP1282" s="13">
        <f t="shared" si="829"/>
        <v>11683800.00000014</v>
      </c>
      <c r="AQ1282">
        <f t="shared" si="830"/>
        <v>96</v>
      </c>
      <c r="AR1282" s="13">
        <f t="shared" si="831"/>
        <v>11683800.00000014</v>
      </c>
      <c r="AS1282" s="112">
        <f t="shared" si="832"/>
        <v>96</v>
      </c>
    </row>
    <row r="1283" spans="17:45" x14ac:dyDescent="0.25">
      <c r="Q1283" s="127">
        <v>45359.875</v>
      </c>
      <c r="R1283">
        <v>0</v>
      </c>
      <c r="S1283" s="13">
        <f t="shared" si="828"/>
        <v>11692800.00000014</v>
      </c>
      <c r="T1283">
        <f t="shared" ref="T1283:T1316" si="833">R1283*96</f>
        <v>0</v>
      </c>
      <c r="U1283" s="13">
        <f t="shared" ref="U1283:U1316" si="834">S1283</f>
        <v>11692800.00000014</v>
      </c>
      <c r="V1283" s="112">
        <f t="shared" ref="V1283:V1316" si="835">IF(T1283=0,0.0000000001,T1283)</f>
        <v>1E-10</v>
      </c>
      <c r="AN1283" s="127">
        <v>45359.875</v>
      </c>
      <c r="AO1283">
        <v>1</v>
      </c>
      <c r="AP1283" s="13">
        <f t="shared" si="829"/>
        <v>11692800.00000014</v>
      </c>
      <c r="AQ1283">
        <f t="shared" si="830"/>
        <v>96</v>
      </c>
      <c r="AR1283" s="13">
        <f t="shared" si="831"/>
        <v>11692800.00000014</v>
      </c>
      <c r="AS1283" s="112">
        <f t="shared" si="832"/>
        <v>96</v>
      </c>
    </row>
    <row r="1284" spans="17:45" x14ac:dyDescent="0.25">
      <c r="Q1284" s="127">
        <v>45359.979166666657</v>
      </c>
      <c r="R1284">
        <v>0</v>
      </c>
      <c r="S1284" s="13">
        <f t="shared" ref="S1284:S1347" si="836">S1283+150*60</f>
        <v>11701800.00000014</v>
      </c>
      <c r="T1284">
        <f t="shared" si="833"/>
        <v>0</v>
      </c>
      <c r="U1284" s="13">
        <f t="shared" si="834"/>
        <v>11701800.00000014</v>
      </c>
      <c r="V1284" s="112">
        <f t="shared" si="835"/>
        <v>1E-10</v>
      </c>
      <c r="AN1284" s="127">
        <v>45359.979166666657</v>
      </c>
      <c r="AO1284">
        <v>1</v>
      </c>
      <c r="AP1284" s="13">
        <f t="shared" ref="AP1284:AP1347" si="837">AP1283+150*60</f>
        <v>11701800.00000014</v>
      </c>
      <c r="AQ1284">
        <f t="shared" si="830"/>
        <v>96</v>
      </c>
      <c r="AR1284" s="13">
        <f t="shared" si="831"/>
        <v>11701800.00000014</v>
      </c>
      <c r="AS1284" s="112">
        <f t="shared" si="832"/>
        <v>96</v>
      </c>
    </row>
    <row r="1285" spans="17:45" x14ac:dyDescent="0.25">
      <c r="Q1285" s="127">
        <v>45360.083333333343</v>
      </c>
      <c r="R1285">
        <v>0</v>
      </c>
      <c r="S1285" s="13">
        <f t="shared" si="836"/>
        <v>11710800.00000014</v>
      </c>
      <c r="T1285">
        <f t="shared" si="833"/>
        <v>0</v>
      </c>
      <c r="U1285" s="13">
        <f t="shared" si="834"/>
        <v>11710800.00000014</v>
      </c>
      <c r="V1285" s="112">
        <f t="shared" si="835"/>
        <v>1E-10</v>
      </c>
      <c r="AN1285" s="127">
        <v>45360.083333333343</v>
      </c>
      <c r="AO1285">
        <v>1</v>
      </c>
      <c r="AP1285" s="13">
        <f t="shared" si="837"/>
        <v>11710800.00000014</v>
      </c>
      <c r="AQ1285">
        <f t="shared" si="830"/>
        <v>96</v>
      </c>
      <c r="AR1285" s="13">
        <f t="shared" si="831"/>
        <v>11710800.00000014</v>
      </c>
      <c r="AS1285" s="112">
        <f t="shared" si="832"/>
        <v>96</v>
      </c>
    </row>
    <row r="1286" spans="17:45" x14ac:dyDescent="0.25">
      <c r="Q1286" s="127">
        <v>45360.1875</v>
      </c>
      <c r="R1286">
        <v>0</v>
      </c>
      <c r="S1286" s="13">
        <f t="shared" si="836"/>
        <v>11719800.00000014</v>
      </c>
      <c r="T1286">
        <f t="shared" si="833"/>
        <v>0</v>
      </c>
      <c r="U1286" s="13">
        <f t="shared" si="834"/>
        <v>11719800.00000014</v>
      </c>
      <c r="V1286" s="112">
        <f t="shared" si="835"/>
        <v>1E-10</v>
      </c>
      <c r="AN1286" s="127">
        <v>45360.1875</v>
      </c>
      <c r="AO1286">
        <v>1</v>
      </c>
      <c r="AP1286" s="13">
        <f t="shared" si="837"/>
        <v>11719800.00000014</v>
      </c>
      <c r="AQ1286">
        <f t="shared" si="830"/>
        <v>96</v>
      </c>
      <c r="AR1286" s="13">
        <f t="shared" si="831"/>
        <v>11719800.00000014</v>
      </c>
      <c r="AS1286" s="112">
        <f t="shared" si="832"/>
        <v>96</v>
      </c>
    </row>
    <row r="1287" spans="17:45" x14ac:dyDescent="0.25">
      <c r="Q1287" s="127">
        <v>45360.291666666657</v>
      </c>
      <c r="R1287">
        <v>0</v>
      </c>
      <c r="S1287" s="13">
        <f t="shared" si="836"/>
        <v>11728800.00000014</v>
      </c>
      <c r="T1287">
        <f t="shared" si="833"/>
        <v>0</v>
      </c>
      <c r="U1287" s="13">
        <f t="shared" si="834"/>
        <v>11728800.00000014</v>
      </c>
      <c r="V1287" s="112">
        <f t="shared" si="835"/>
        <v>1E-10</v>
      </c>
      <c r="AN1287" s="127">
        <v>45360.291666666657</v>
      </c>
      <c r="AO1287">
        <v>1</v>
      </c>
      <c r="AP1287" s="13">
        <f t="shared" si="837"/>
        <v>11728800.00000014</v>
      </c>
      <c r="AQ1287">
        <f t="shared" si="830"/>
        <v>96</v>
      </c>
      <c r="AR1287" s="13">
        <f t="shared" si="831"/>
        <v>11728800.00000014</v>
      </c>
      <c r="AS1287" s="112">
        <f t="shared" si="832"/>
        <v>96</v>
      </c>
    </row>
    <row r="1288" spans="17:45" x14ac:dyDescent="0.25">
      <c r="Q1288" s="127">
        <v>45360.395833333343</v>
      </c>
      <c r="R1288">
        <v>0</v>
      </c>
      <c r="S1288" s="13">
        <f t="shared" si="836"/>
        <v>11737800.00000014</v>
      </c>
      <c r="T1288">
        <f t="shared" si="833"/>
        <v>0</v>
      </c>
      <c r="U1288" s="13">
        <f t="shared" si="834"/>
        <v>11737800.00000014</v>
      </c>
      <c r="V1288" s="112">
        <f t="shared" si="835"/>
        <v>1E-10</v>
      </c>
      <c r="AN1288" s="127">
        <v>45360.395833333343</v>
      </c>
      <c r="AO1288">
        <v>1</v>
      </c>
      <c r="AP1288" s="13">
        <f t="shared" si="837"/>
        <v>11737800.00000014</v>
      </c>
      <c r="AQ1288">
        <f t="shared" si="830"/>
        <v>96</v>
      </c>
      <c r="AR1288" s="13">
        <f t="shared" si="831"/>
        <v>11737800.00000014</v>
      </c>
      <c r="AS1288" s="112">
        <f t="shared" si="832"/>
        <v>96</v>
      </c>
    </row>
    <row r="1289" spans="17:45" x14ac:dyDescent="0.25">
      <c r="Q1289" s="127">
        <v>45360.5</v>
      </c>
      <c r="R1289">
        <v>0</v>
      </c>
      <c r="S1289" s="13">
        <f t="shared" si="836"/>
        <v>11746800.00000014</v>
      </c>
      <c r="T1289">
        <f t="shared" si="833"/>
        <v>0</v>
      </c>
      <c r="U1289" s="13">
        <f t="shared" si="834"/>
        <v>11746800.00000014</v>
      </c>
      <c r="V1289" s="112">
        <f t="shared" si="835"/>
        <v>1E-10</v>
      </c>
      <c r="AN1289" s="127">
        <v>45360.5</v>
      </c>
      <c r="AO1289">
        <v>1</v>
      </c>
      <c r="AP1289" s="13">
        <f t="shared" si="837"/>
        <v>11746800.00000014</v>
      </c>
      <c r="AQ1289">
        <f t="shared" si="830"/>
        <v>96</v>
      </c>
      <c r="AR1289" s="13">
        <f t="shared" si="831"/>
        <v>11746800.00000014</v>
      </c>
      <c r="AS1289" s="112">
        <f t="shared" si="832"/>
        <v>96</v>
      </c>
    </row>
    <row r="1290" spans="17:45" x14ac:dyDescent="0.25">
      <c r="Q1290" s="127">
        <v>45360.604166666657</v>
      </c>
      <c r="R1290">
        <v>0</v>
      </c>
      <c r="S1290" s="13">
        <f t="shared" si="836"/>
        <v>11755800.00000014</v>
      </c>
      <c r="T1290">
        <f t="shared" si="833"/>
        <v>0</v>
      </c>
      <c r="U1290" s="13">
        <f t="shared" si="834"/>
        <v>11755800.00000014</v>
      </c>
      <c r="V1290" s="112">
        <f t="shared" si="835"/>
        <v>1E-10</v>
      </c>
      <c r="AN1290" s="127">
        <v>45360.604166666657</v>
      </c>
      <c r="AO1290">
        <v>1</v>
      </c>
      <c r="AP1290" s="13">
        <f t="shared" si="837"/>
        <v>11755800.00000014</v>
      </c>
      <c r="AQ1290">
        <f t="shared" si="830"/>
        <v>96</v>
      </c>
      <c r="AR1290" s="13">
        <f t="shared" si="831"/>
        <v>11755800.00000014</v>
      </c>
      <c r="AS1290" s="112">
        <f t="shared" si="832"/>
        <v>96</v>
      </c>
    </row>
    <row r="1291" spans="17:45" x14ac:dyDescent="0.25">
      <c r="Q1291" s="127">
        <v>45360.708333333343</v>
      </c>
      <c r="R1291">
        <v>2</v>
      </c>
      <c r="S1291" s="13">
        <f t="shared" si="836"/>
        <v>11764800.00000014</v>
      </c>
      <c r="T1291">
        <f t="shared" si="833"/>
        <v>192</v>
      </c>
      <c r="U1291" s="13">
        <f t="shared" si="834"/>
        <v>11764800.00000014</v>
      </c>
      <c r="V1291" s="112">
        <f t="shared" si="835"/>
        <v>192</v>
      </c>
      <c r="AN1291" s="127">
        <v>45360.708333333343</v>
      </c>
      <c r="AO1291">
        <v>1</v>
      </c>
      <c r="AP1291" s="13">
        <f t="shared" si="837"/>
        <v>11764800.00000014</v>
      </c>
      <c r="AQ1291">
        <f t="shared" si="830"/>
        <v>96</v>
      </c>
      <c r="AR1291" s="13">
        <f t="shared" si="831"/>
        <v>11764800.00000014</v>
      </c>
      <c r="AS1291" s="112">
        <f t="shared" si="832"/>
        <v>96</v>
      </c>
    </row>
    <row r="1292" spans="17:45" x14ac:dyDescent="0.25">
      <c r="Q1292" s="127">
        <v>45360.8125</v>
      </c>
      <c r="R1292">
        <v>1</v>
      </c>
      <c r="S1292" s="13">
        <f t="shared" si="836"/>
        <v>11773800.00000014</v>
      </c>
      <c r="T1292">
        <f t="shared" si="833"/>
        <v>96</v>
      </c>
      <c r="U1292" s="13">
        <f t="shared" si="834"/>
        <v>11773800.00000014</v>
      </c>
      <c r="V1292" s="112">
        <f t="shared" si="835"/>
        <v>96</v>
      </c>
      <c r="AN1292" s="127">
        <v>45360.8125</v>
      </c>
      <c r="AO1292">
        <v>1</v>
      </c>
      <c r="AP1292" s="13">
        <f t="shared" si="837"/>
        <v>11773800.00000014</v>
      </c>
      <c r="AQ1292">
        <f t="shared" si="830"/>
        <v>96</v>
      </c>
      <c r="AR1292" s="13">
        <f t="shared" si="831"/>
        <v>11773800.00000014</v>
      </c>
      <c r="AS1292" s="112">
        <f t="shared" si="832"/>
        <v>96</v>
      </c>
    </row>
    <row r="1293" spans="17:45" x14ac:dyDescent="0.25">
      <c r="Q1293" s="127">
        <v>45360.916666666657</v>
      </c>
      <c r="R1293">
        <v>2</v>
      </c>
      <c r="S1293" s="13">
        <f t="shared" si="836"/>
        <v>11782800.00000014</v>
      </c>
      <c r="T1293">
        <f t="shared" si="833"/>
        <v>192</v>
      </c>
      <c r="U1293" s="13">
        <f t="shared" si="834"/>
        <v>11782800.00000014</v>
      </c>
      <c r="V1293" s="112">
        <f t="shared" si="835"/>
        <v>192</v>
      </c>
      <c r="AN1293" s="127">
        <v>45360.916666666657</v>
      </c>
      <c r="AO1293">
        <v>0</v>
      </c>
      <c r="AP1293" s="13">
        <f t="shared" si="837"/>
        <v>11782800.00000014</v>
      </c>
      <c r="AQ1293">
        <f t="shared" si="830"/>
        <v>0</v>
      </c>
      <c r="AR1293" s="13">
        <f t="shared" si="831"/>
        <v>11782800.00000014</v>
      </c>
      <c r="AS1293" s="112">
        <f t="shared" si="832"/>
        <v>1E-10</v>
      </c>
    </row>
    <row r="1294" spans="17:45" x14ac:dyDescent="0.25">
      <c r="Q1294" s="127">
        <v>45361.020833333343</v>
      </c>
      <c r="R1294">
        <v>1</v>
      </c>
      <c r="S1294" s="13">
        <f t="shared" si="836"/>
        <v>11791800.00000014</v>
      </c>
      <c r="T1294">
        <f t="shared" si="833"/>
        <v>96</v>
      </c>
      <c r="U1294" s="13">
        <f t="shared" si="834"/>
        <v>11791800.00000014</v>
      </c>
      <c r="V1294" s="112">
        <f t="shared" si="835"/>
        <v>96</v>
      </c>
      <c r="AN1294" s="127">
        <v>45361.020833333343</v>
      </c>
      <c r="AO1294">
        <v>1</v>
      </c>
      <c r="AP1294" s="13">
        <f t="shared" si="837"/>
        <v>11791800.00000014</v>
      </c>
      <c r="AQ1294">
        <f t="shared" si="830"/>
        <v>96</v>
      </c>
      <c r="AR1294" s="13">
        <f t="shared" si="831"/>
        <v>11791800.00000014</v>
      </c>
      <c r="AS1294" s="112">
        <f t="shared" si="832"/>
        <v>96</v>
      </c>
    </row>
    <row r="1295" spans="17:45" x14ac:dyDescent="0.25">
      <c r="Q1295" s="127">
        <v>45361.125</v>
      </c>
      <c r="R1295">
        <v>2</v>
      </c>
      <c r="S1295" s="13">
        <f t="shared" si="836"/>
        <v>11800800.00000014</v>
      </c>
      <c r="T1295">
        <f t="shared" si="833"/>
        <v>192</v>
      </c>
      <c r="U1295" s="13">
        <f t="shared" si="834"/>
        <v>11800800.00000014</v>
      </c>
      <c r="V1295" s="112">
        <f t="shared" si="835"/>
        <v>192</v>
      </c>
      <c r="AN1295" s="127">
        <v>45361.125</v>
      </c>
      <c r="AO1295">
        <v>1</v>
      </c>
      <c r="AP1295" s="13">
        <f t="shared" si="837"/>
        <v>11800800.00000014</v>
      </c>
      <c r="AQ1295">
        <f t="shared" si="830"/>
        <v>96</v>
      </c>
      <c r="AR1295" s="13">
        <f t="shared" si="831"/>
        <v>11800800.00000014</v>
      </c>
      <c r="AS1295" s="112">
        <f t="shared" si="832"/>
        <v>96</v>
      </c>
    </row>
    <row r="1296" spans="17:45" x14ac:dyDescent="0.25">
      <c r="Q1296" s="127">
        <v>45361.229166666657</v>
      </c>
      <c r="R1296">
        <v>1</v>
      </c>
      <c r="S1296" s="13">
        <f t="shared" si="836"/>
        <v>11809800.00000014</v>
      </c>
      <c r="T1296">
        <f t="shared" si="833"/>
        <v>96</v>
      </c>
      <c r="U1296" s="13">
        <f t="shared" si="834"/>
        <v>11809800.00000014</v>
      </c>
      <c r="V1296" s="112">
        <f t="shared" si="835"/>
        <v>96</v>
      </c>
      <c r="AN1296" s="127">
        <v>45361.229166666657</v>
      </c>
      <c r="AO1296">
        <v>1</v>
      </c>
      <c r="AP1296" s="13">
        <f t="shared" si="837"/>
        <v>11809800.00000014</v>
      </c>
      <c r="AQ1296">
        <f t="shared" si="830"/>
        <v>96</v>
      </c>
      <c r="AR1296" s="13">
        <f t="shared" si="831"/>
        <v>11809800.00000014</v>
      </c>
      <c r="AS1296" s="112">
        <f t="shared" si="832"/>
        <v>96</v>
      </c>
    </row>
    <row r="1297" spans="17:45" x14ac:dyDescent="0.25">
      <c r="Q1297" s="127">
        <v>45361.333333333343</v>
      </c>
      <c r="R1297">
        <v>2</v>
      </c>
      <c r="S1297" s="13">
        <f t="shared" si="836"/>
        <v>11818800.00000014</v>
      </c>
      <c r="T1297">
        <f t="shared" si="833"/>
        <v>192</v>
      </c>
      <c r="U1297" s="13">
        <f t="shared" si="834"/>
        <v>11818800.00000014</v>
      </c>
      <c r="V1297" s="112">
        <f t="shared" si="835"/>
        <v>192</v>
      </c>
      <c r="AN1297" s="127">
        <v>45361.333333333343</v>
      </c>
      <c r="AO1297">
        <v>1</v>
      </c>
      <c r="AP1297" s="13">
        <f t="shared" si="837"/>
        <v>11818800.00000014</v>
      </c>
      <c r="AQ1297">
        <f t="shared" si="830"/>
        <v>96</v>
      </c>
      <c r="AR1297" s="13">
        <f t="shared" si="831"/>
        <v>11818800.00000014</v>
      </c>
      <c r="AS1297" s="112">
        <f t="shared" si="832"/>
        <v>96</v>
      </c>
    </row>
    <row r="1298" spans="17:45" x14ac:dyDescent="0.25">
      <c r="Q1298" s="127">
        <v>45361.4375</v>
      </c>
      <c r="R1298">
        <v>1</v>
      </c>
      <c r="S1298" s="13">
        <f t="shared" si="836"/>
        <v>11827800.00000014</v>
      </c>
      <c r="T1298">
        <f t="shared" si="833"/>
        <v>96</v>
      </c>
      <c r="U1298" s="13">
        <f t="shared" si="834"/>
        <v>11827800.00000014</v>
      </c>
      <c r="V1298" s="112">
        <f t="shared" si="835"/>
        <v>96</v>
      </c>
      <c r="AN1298" s="127">
        <v>45361.4375</v>
      </c>
      <c r="AO1298">
        <v>1</v>
      </c>
      <c r="AP1298" s="13">
        <f t="shared" si="837"/>
        <v>11827800.00000014</v>
      </c>
      <c r="AQ1298">
        <f t="shared" si="830"/>
        <v>96</v>
      </c>
      <c r="AR1298" s="13">
        <f t="shared" si="831"/>
        <v>11827800.00000014</v>
      </c>
      <c r="AS1298" s="112">
        <f t="shared" si="832"/>
        <v>96</v>
      </c>
    </row>
    <row r="1299" spans="17:45" x14ac:dyDescent="0.25">
      <c r="Q1299" s="127">
        <v>45361.541666666657</v>
      </c>
      <c r="R1299">
        <v>2</v>
      </c>
      <c r="S1299" s="13">
        <f t="shared" si="836"/>
        <v>11836800.00000014</v>
      </c>
      <c r="T1299">
        <f t="shared" si="833"/>
        <v>192</v>
      </c>
      <c r="U1299" s="13">
        <f t="shared" si="834"/>
        <v>11836800.00000014</v>
      </c>
      <c r="V1299" s="112">
        <f t="shared" si="835"/>
        <v>192</v>
      </c>
      <c r="AN1299" s="127">
        <v>45361.541666666657</v>
      </c>
      <c r="AO1299">
        <v>1</v>
      </c>
      <c r="AP1299" s="13">
        <f t="shared" si="837"/>
        <v>11836800.00000014</v>
      </c>
      <c r="AQ1299">
        <f t="shared" si="830"/>
        <v>96</v>
      </c>
      <c r="AR1299" s="13">
        <f t="shared" si="831"/>
        <v>11836800.00000014</v>
      </c>
      <c r="AS1299" s="112">
        <f t="shared" si="832"/>
        <v>96</v>
      </c>
    </row>
    <row r="1300" spans="17:45" x14ac:dyDescent="0.25">
      <c r="Q1300" s="127">
        <v>45361.645833333343</v>
      </c>
      <c r="R1300">
        <v>2</v>
      </c>
      <c r="S1300" s="13">
        <f t="shared" si="836"/>
        <v>11845800.00000014</v>
      </c>
      <c r="T1300">
        <f t="shared" si="833"/>
        <v>192</v>
      </c>
      <c r="U1300" s="13">
        <f t="shared" si="834"/>
        <v>11845800.00000014</v>
      </c>
      <c r="V1300" s="112">
        <f t="shared" si="835"/>
        <v>192</v>
      </c>
      <c r="AN1300" s="127">
        <v>45361.645833333343</v>
      </c>
      <c r="AO1300">
        <v>1</v>
      </c>
      <c r="AP1300" s="13">
        <f t="shared" si="837"/>
        <v>11845800.00000014</v>
      </c>
      <c r="AQ1300">
        <f t="shared" si="830"/>
        <v>96</v>
      </c>
      <c r="AR1300" s="13">
        <f t="shared" si="831"/>
        <v>11845800.00000014</v>
      </c>
      <c r="AS1300" s="112">
        <f t="shared" si="832"/>
        <v>96</v>
      </c>
    </row>
    <row r="1301" spans="17:45" x14ac:dyDescent="0.25">
      <c r="Q1301" s="127">
        <v>45361.75</v>
      </c>
      <c r="R1301">
        <v>2</v>
      </c>
      <c r="S1301" s="13">
        <f t="shared" si="836"/>
        <v>11854800.00000014</v>
      </c>
      <c r="T1301">
        <f t="shared" si="833"/>
        <v>192</v>
      </c>
      <c r="U1301" s="13">
        <f t="shared" si="834"/>
        <v>11854800.00000014</v>
      </c>
      <c r="V1301" s="112">
        <f t="shared" si="835"/>
        <v>192</v>
      </c>
      <c r="AN1301" s="127">
        <v>45361.75</v>
      </c>
      <c r="AO1301">
        <v>1</v>
      </c>
      <c r="AP1301" s="13">
        <f t="shared" si="837"/>
        <v>11854800.00000014</v>
      </c>
      <c r="AQ1301">
        <f t="shared" si="830"/>
        <v>96</v>
      </c>
      <c r="AR1301" s="13">
        <f t="shared" si="831"/>
        <v>11854800.00000014</v>
      </c>
      <c r="AS1301" s="112">
        <f t="shared" si="832"/>
        <v>96</v>
      </c>
    </row>
    <row r="1302" spans="17:45" x14ac:dyDescent="0.25">
      <c r="Q1302" s="127">
        <v>45361.854166666657</v>
      </c>
      <c r="R1302">
        <v>2</v>
      </c>
      <c r="S1302" s="13">
        <f t="shared" si="836"/>
        <v>11863800.00000014</v>
      </c>
      <c r="T1302">
        <f t="shared" si="833"/>
        <v>192</v>
      </c>
      <c r="U1302" s="13">
        <f t="shared" si="834"/>
        <v>11863800.00000014</v>
      </c>
      <c r="V1302" s="112">
        <f t="shared" si="835"/>
        <v>192</v>
      </c>
      <c r="AN1302" s="127">
        <v>45361.854166666657</v>
      </c>
      <c r="AO1302">
        <v>1</v>
      </c>
      <c r="AP1302" s="13">
        <f t="shared" si="837"/>
        <v>11863800.00000014</v>
      </c>
      <c r="AQ1302">
        <f t="shared" si="830"/>
        <v>96</v>
      </c>
      <c r="AR1302" s="13">
        <f t="shared" si="831"/>
        <v>11863800.00000014</v>
      </c>
      <c r="AS1302" s="112">
        <f t="shared" si="832"/>
        <v>96</v>
      </c>
    </row>
    <row r="1303" spans="17:45" x14ac:dyDescent="0.25">
      <c r="Q1303" s="127">
        <v>45361.958333333343</v>
      </c>
      <c r="R1303">
        <v>2</v>
      </c>
      <c r="S1303" s="13">
        <f t="shared" si="836"/>
        <v>11872800.00000014</v>
      </c>
      <c r="T1303">
        <f t="shared" si="833"/>
        <v>192</v>
      </c>
      <c r="U1303" s="13">
        <f t="shared" si="834"/>
        <v>11872800.00000014</v>
      </c>
      <c r="V1303" s="112">
        <f t="shared" si="835"/>
        <v>192</v>
      </c>
      <c r="AN1303" s="127">
        <v>45361.958333333343</v>
      </c>
      <c r="AO1303">
        <v>1</v>
      </c>
      <c r="AP1303" s="13">
        <f t="shared" si="837"/>
        <v>11872800.00000014</v>
      </c>
      <c r="AQ1303">
        <f t="shared" si="830"/>
        <v>96</v>
      </c>
      <c r="AR1303" s="13">
        <f t="shared" si="831"/>
        <v>11872800.00000014</v>
      </c>
      <c r="AS1303" s="112">
        <f t="shared" si="832"/>
        <v>96</v>
      </c>
    </row>
    <row r="1304" spans="17:45" x14ac:dyDescent="0.25">
      <c r="Q1304" s="127">
        <v>45362.0625</v>
      </c>
      <c r="R1304">
        <v>2</v>
      </c>
      <c r="S1304" s="13">
        <f t="shared" si="836"/>
        <v>11881800.00000014</v>
      </c>
      <c r="T1304">
        <f t="shared" si="833"/>
        <v>192</v>
      </c>
      <c r="U1304" s="13">
        <f t="shared" si="834"/>
        <v>11881800.00000014</v>
      </c>
      <c r="V1304" s="112">
        <f t="shared" si="835"/>
        <v>192</v>
      </c>
      <c r="AN1304" s="127">
        <v>45362.0625</v>
      </c>
      <c r="AO1304">
        <v>1</v>
      </c>
      <c r="AP1304" s="13">
        <f t="shared" si="837"/>
        <v>11881800.00000014</v>
      </c>
      <c r="AQ1304">
        <f t="shared" si="830"/>
        <v>96</v>
      </c>
      <c r="AR1304" s="13">
        <f t="shared" si="831"/>
        <v>11881800.00000014</v>
      </c>
      <c r="AS1304" s="112">
        <f t="shared" si="832"/>
        <v>96</v>
      </c>
    </row>
    <row r="1305" spans="17:45" x14ac:dyDescent="0.25">
      <c r="Q1305" s="127">
        <v>45362.166666666657</v>
      </c>
      <c r="R1305">
        <v>2</v>
      </c>
      <c r="S1305" s="13">
        <f t="shared" si="836"/>
        <v>11890800.00000014</v>
      </c>
      <c r="T1305">
        <f t="shared" si="833"/>
        <v>192</v>
      </c>
      <c r="U1305" s="13">
        <f t="shared" si="834"/>
        <v>11890800.00000014</v>
      </c>
      <c r="V1305" s="112">
        <f t="shared" si="835"/>
        <v>192</v>
      </c>
      <c r="AN1305" s="127">
        <v>45362.166666666657</v>
      </c>
      <c r="AO1305">
        <v>1</v>
      </c>
      <c r="AP1305" s="13">
        <f t="shared" si="837"/>
        <v>11890800.00000014</v>
      </c>
      <c r="AQ1305">
        <f t="shared" si="830"/>
        <v>96</v>
      </c>
      <c r="AR1305" s="13">
        <f t="shared" si="831"/>
        <v>11890800.00000014</v>
      </c>
      <c r="AS1305" s="112">
        <f t="shared" si="832"/>
        <v>96</v>
      </c>
    </row>
    <row r="1306" spans="17:45" x14ac:dyDescent="0.25">
      <c r="Q1306" s="127">
        <v>45362.270833333343</v>
      </c>
      <c r="R1306">
        <v>2</v>
      </c>
      <c r="S1306" s="13">
        <f t="shared" si="836"/>
        <v>11899800.00000014</v>
      </c>
      <c r="T1306">
        <f t="shared" si="833"/>
        <v>192</v>
      </c>
      <c r="U1306" s="13">
        <f t="shared" si="834"/>
        <v>11899800.00000014</v>
      </c>
      <c r="V1306" s="112">
        <f t="shared" si="835"/>
        <v>192</v>
      </c>
      <c r="AN1306" s="127">
        <v>45362.270833333343</v>
      </c>
      <c r="AO1306">
        <v>1</v>
      </c>
      <c r="AP1306" s="13">
        <f t="shared" si="837"/>
        <v>11899800.00000014</v>
      </c>
      <c r="AQ1306">
        <f t="shared" si="830"/>
        <v>96</v>
      </c>
      <c r="AR1306" s="13">
        <f t="shared" si="831"/>
        <v>11899800.00000014</v>
      </c>
      <c r="AS1306" s="112">
        <f t="shared" si="832"/>
        <v>96</v>
      </c>
    </row>
    <row r="1307" spans="17:45" x14ac:dyDescent="0.25">
      <c r="Q1307" s="127">
        <v>45362.375</v>
      </c>
      <c r="R1307">
        <v>2</v>
      </c>
      <c r="S1307" s="13">
        <f t="shared" si="836"/>
        <v>11908800.00000014</v>
      </c>
      <c r="T1307">
        <f t="shared" si="833"/>
        <v>192</v>
      </c>
      <c r="U1307" s="13">
        <f t="shared" si="834"/>
        <v>11908800.00000014</v>
      </c>
      <c r="V1307" s="112">
        <f t="shared" si="835"/>
        <v>192</v>
      </c>
      <c r="AN1307" s="127">
        <v>45362.375</v>
      </c>
      <c r="AO1307">
        <v>1</v>
      </c>
      <c r="AP1307" s="13">
        <f t="shared" si="837"/>
        <v>11908800.00000014</v>
      </c>
      <c r="AQ1307">
        <f t="shared" si="830"/>
        <v>96</v>
      </c>
      <c r="AR1307" s="13">
        <f t="shared" si="831"/>
        <v>11908800.00000014</v>
      </c>
      <c r="AS1307" s="112">
        <f t="shared" si="832"/>
        <v>96</v>
      </c>
    </row>
    <row r="1308" spans="17:45" x14ac:dyDescent="0.25">
      <c r="Q1308" s="127">
        <v>45362.479166666657</v>
      </c>
      <c r="R1308">
        <v>0</v>
      </c>
      <c r="S1308" s="13">
        <f t="shared" si="836"/>
        <v>11917800.00000014</v>
      </c>
      <c r="T1308">
        <f t="shared" si="833"/>
        <v>0</v>
      </c>
      <c r="U1308" s="13">
        <f t="shared" si="834"/>
        <v>11917800.00000014</v>
      </c>
      <c r="V1308" s="112">
        <f t="shared" si="835"/>
        <v>1E-10</v>
      </c>
      <c r="AN1308" s="127">
        <v>45362.479166666657</v>
      </c>
      <c r="AO1308">
        <v>1</v>
      </c>
      <c r="AP1308" s="13">
        <f t="shared" si="837"/>
        <v>11917800.00000014</v>
      </c>
      <c r="AQ1308">
        <f t="shared" si="830"/>
        <v>96</v>
      </c>
      <c r="AR1308" s="13">
        <f t="shared" si="831"/>
        <v>11917800.00000014</v>
      </c>
      <c r="AS1308" s="112">
        <f t="shared" si="832"/>
        <v>96</v>
      </c>
    </row>
    <row r="1309" spans="17:45" x14ac:dyDescent="0.25">
      <c r="Q1309" s="127">
        <v>45362.583333333343</v>
      </c>
      <c r="R1309">
        <v>1</v>
      </c>
      <c r="S1309" s="13">
        <f t="shared" si="836"/>
        <v>11926800.00000014</v>
      </c>
      <c r="T1309">
        <f t="shared" si="833"/>
        <v>96</v>
      </c>
      <c r="U1309" s="13">
        <f t="shared" si="834"/>
        <v>11926800.00000014</v>
      </c>
      <c r="V1309" s="112">
        <f t="shared" si="835"/>
        <v>96</v>
      </c>
      <c r="AN1309" s="127">
        <v>45362.583333333343</v>
      </c>
      <c r="AO1309">
        <v>1</v>
      </c>
      <c r="AP1309" s="13">
        <f t="shared" si="837"/>
        <v>11926800.00000014</v>
      </c>
      <c r="AQ1309">
        <f t="shared" si="830"/>
        <v>96</v>
      </c>
      <c r="AR1309" s="13">
        <f t="shared" si="831"/>
        <v>11926800.00000014</v>
      </c>
      <c r="AS1309" s="112">
        <f t="shared" si="832"/>
        <v>96</v>
      </c>
    </row>
    <row r="1310" spans="17:45" x14ac:dyDescent="0.25">
      <c r="Q1310" s="127">
        <v>45362.6875</v>
      </c>
      <c r="R1310">
        <v>1</v>
      </c>
      <c r="S1310" s="13">
        <f t="shared" si="836"/>
        <v>11935800.00000014</v>
      </c>
      <c r="T1310">
        <f t="shared" si="833"/>
        <v>96</v>
      </c>
      <c r="U1310" s="13">
        <f t="shared" si="834"/>
        <v>11935800.00000014</v>
      </c>
      <c r="V1310" s="112">
        <f t="shared" si="835"/>
        <v>96</v>
      </c>
      <c r="AN1310" s="127">
        <v>45362.6875</v>
      </c>
      <c r="AO1310">
        <v>1</v>
      </c>
      <c r="AP1310" s="13">
        <f t="shared" si="837"/>
        <v>11935800.00000014</v>
      </c>
      <c r="AQ1310">
        <f t="shared" si="830"/>
        <v>96</v>
      </c>
      <c r="AR1310" s="13">
        <f t="shared" si="831"/>
        <v>11935800.00000014</v>
      </c>
      <c r="AS1310" s="112">
        <f t="shared" si="832"/>
        <v>96</v>
      </c>
    </row>
    <row r="1311" spans="17:45" x14ac:dyDescent="0.25">
      <c r="Q1311" s="127">
        <v>45362.791666666657</v>
      </c>
      <c r="R1311">
        <v>1</v>
      </c>
      <c r="S1311" s="13">
        <f t="shared" si="836"/>
        <v>11944800.00000014</v>
      </c>
      <c r="T1311">
        <f t="shared" si="833"/>
        <v>96</v>
      </c>
      <c r="U1311" s="13">
        <f t="shared" si="834"/>
        <v>11944800.00000014</v>
      </c>
      <c r="V1311" s="112">
        <f t="shared" si="835"/>
        <v>96</v>
      </c>
      <c r="AN1311" s="127">
        <v>45362.791666666657</v>
      </c>
      <c r="AO1311">
        <v>1</v>
      </c>
      <c r="AP1311" s="13">
        <f t="shared" si="837"/>
        <v>11944800.00000014</v>
      </c>
      <c r="AQ1311">
        <f t="shared" si="830"/>
        <v>96</v>
      </c>
      <c r="AR1311" s="13">
        <f t="shared" si="831"/>
        <v>11944800.00000014</v>
      </c>
      <c r="AS1311" s="112">
        <f t="shared" si="832"/>
        <v>96</v>
      </c>
    </row>
    <row r="1312" spans="17:45" x14ac:dyDescent="0.25">
      <c r="Q1312" s="127">
        <v>45362.895833333343</v>
      </c>
      <c r="R1312">
        <v>1</v>
      </c>
      <c r="S1312" s="13">
        <f t="shared" si="836"/>
        <v>11953800.00000014</v>
      </c>
      <c r="T1312">
        <f t="shared" si="833"/>
        <v>96</v>
      </c>
      <c r="U1312" s="13">
        <f t="shared" si="834"/>
        <v>11953800.00000014</v>
      </c>
      <c r="V1312" s="112">
        <f t="shared" si="835"/>
        <v>96</v>
      </c>
      <c r="AN1312" s="127">
        <v>45362.895833333343</v>
      </c>
      <c r="AO1312">
        <v>1</v>
      </c>
      <c r="AP1312" s="13">
        <f t="shared" si="837"/>
        <v>11953800.00000014</v>
      </c>
      <c r="AQ1312">
        <f t="shared" si="830"/>
        <v>96</v>
      </c>
      <c r="AR1312" s="13">
        <f t="shared" si="831"/>
        <v>11953800.00000014</v>
      </c>
      <c r="AS1312" s="112">
        <f t="shared" si="832"/>
        <v>96</v>
      </c>
    </row>
    <row r="1313" spans="17:45" x14ac:dyDescent="0.25">
      <c r="Q1313" s="127">
        <v>45363</v>
      </c>
      <c r="R1313">
        <v>0</v>
      </c>
      <c r="S1313" s="13">
        <f t="shared" si="836"/>
        <v>11962800.00000014</v>
      </c>
      <c r="T1313">
        <f t="shared" si="833"/>
        <v>0</v>
      </c>
      <c r="U1313" s="13">
        <f t="shared" si="834"/>
        <v>11962800.00000014</v>
      </c>
      <c r="V1313" s="112">
        <f t="shared" si="835"/>
        <v>1E-10</v>
      </c>
      <c r="AN1313" s="127">
        <v>45363</v>
      </c>
      <c r="AO1313">
        <v>1</v>
      </c>
      <c r="AP1313" s="13">
        <f t="shared" si="837"/>
        <v>11962800.00000014</v>
      </c>
      <c r="AQ1313">
        <f t="shared" si="830"/>
        <v>96</v>
      </c>
      <c r="AR1313" s="13">
        <f t="shared" si="831"/>
        <v>11962800.00000014</v>
      </c>
      <c r="AS1313" s="112">
        <f t="shared" si="832"/>
        <v>96</v>
      </c>
    </row>
    <row r="1314" spans="17:45" x14ac:dyDescent="0.25">
      <c r="Q1314" s="127">
        <v>45363.104166666657</v>
      </c>
      <c r="R1314">
        <v>1</v>
      </c>
      <c r="S1314" s="13">
        <f t="shared" si="836"/>
        <v>11971800.00000014</v>
      </c>
      <c r="T1314">
        <f t="shared" si="833"/>
        <v>96</v>
      </c>
      <c r="U1314" s="13">
        <f t="shared" si="834"/>
        <v>11971800.00000014</v>
      </c>
      <c r="V1314" s="112">
        <f t="shared" si="835"/>
        <v>96</v>
      </c>
      <c r="AN1314" s="127">
        <v>45363.104166666657</v>
      </c>
      <c r="AO1314">
        <v>0</v>
      </c>
      <c r="AP1314" s="13">
        <f t="shared" si="837"/>
        <v>11971800.00000014</v>
      </c>
      <c r="AQ1314">
        <f t="shared" si="830"/>
        <v>0</v>
      </c>
      <c r="AR1314" s="13">
        <f t="shared" si="831"/>
        <v>11971800.00000014</v>
      </c>
      <c r="AS1314" s="112">
        <f t="shared" si="832"/>
        <v>1E-10</v>
      </c>
    </row>
    <row r="1315" spans="17:45" x14ac:dyDescent="0.25">
      <c r="Q1315" s="127">
        <v>45363.208333333343</v>
      </c>
      <c r="R1315">
        <v>1</v>
      </c>
      <c r="S1315" s="13">
        <f t="shared" si="836"/>
        <v>11980800.00000014</v>
      </c>
      <c r="T1315">
        <f t="shared" si="833"/>
        <v>96</v>
      </c>
      <c r="U1315" s="13">
        <f t="shared" si="834"/>
        <v>11980800.00000014</v>
      </c>
      <c r="V1315" s="112">
        <f t="shared" si="835"/>
        <v>96</v>
      </c>
      <c r="AN1315" s="127">
        <v>45363.208333333343</v>
      </c>
      <c r="AO1315">
        <v>1</v>
      </c>
      <c r="AP1315" s="13">
        <f t="shared" si="837"/>
        <v>11980800.00000014</v>
      </c>
      <c r="AQ1315">
        <f t="shared" ref="AQ1315:AQ1316" si="838">AO1315*96</f>
        <v>96</v>
      </c>
      <c r="AR1315" s="13">
        <f t="shared" ref="AR1315:AR1316" si="839">AP1315</f>
        <v>11980800.00000014</v>
      </c>
      <c r="AS1315" s="112">
        <f t="shared" ref="AS1315:AS1316" si="840">IF(AQ1315=0,0.0000000001,AQ1315)</f>
        <v>96</v>
      </c>
    </row>
    <row r="1316" spans="17:45" x14ac:dyDescent="0.25">
      <c r="Q1316" s="127">
        <v>45363.3125</v>
      </c>
      <c r="R1316">
        <v>0</v>
      </c>
      <c r="S1316" s="13">
        <f t="shared" si="836"/>
        <v>11989800.00000014</v>
      </c>
      <c r="T1316">
        <f t="shared" si="833"/>
        <v>0</v>
      </c>
      <c r="U1316" s="13">
        <f t="shared" si="834"/>
        <v>11989800.00000014</v>
      </c>
      <c r="V1316" s="112">
        <f t="shared" si="835"/>
        <v>1E-10</v>
      </c>
      <c r="AN1316" s="127">
        <v>45363.3125</v>
      </c>
      <c r="AO1316">
        <v>0</v>
      </c>
      <c r="AP1316" s="13">
        <f t="shared" si="837"/>
        <v>11989800.00000014</v>
      </c>
      <c r="AQ1316">
        <f t="shared" si="838"/>
        <v>0</v>
      </c>
      <c r="AR1316" s="13">
        <f t="shared" si="839"/>
        <v>11989800.00000014</v>
      </c>
      <c r="AS1316" s="112">
        <f t="shared" si="840"/>
        <v>1E-10</v>
      </c>
    </row>
    <row r="1317" spans="17:45" x14ac:dyDescent="0.25">
      <c r="Q1317" s="127">
        <v>45363.333333333343</v>
      </c>
      <c r="R1317">
        <v>1</v>
      </c>
      <c r="S1317" s="13">
        <f t="shared" si="836"/>
        <v>11998800.00000014</v>
      </c>
      <c r="T1317">
        <f t="shared" ref="T1317:T1380" si="841">R1317*96</f>
        <v>96</v>
      </c>
      <c r="U1317" s="13">
        <f t="shared" ref="U1317:U1380" si="842">S1317</f>
        <v>11998800.00000014</v>
      </c>
      <c r="V1317" s="112">
        <f t="shared" ref="V1317:V1380" si="843">IF(T1317=0,0.0000000001,T1317)</f>
        <v>96</v>
      </c>
      <c r="AN1317" s="127">
        <v>45363.333333333343</v>
      </c>
      <c r="AO1317">
        <v>1</v>
      </c>
      <c r="AP1317" s="13">
        <f t="shared" si="837"/>
        <v>11998800.00000014</v>
      </c>
      <c r="AQ1317">
        <f t="shared" ref="AQ1317:AQ1330" si="844">AO1317*96</f>
        <v>96</v>
      </c>
      <c r="AR1317" s="13">
        <f t="shared" ref="AR1317:AR1330" si="845">AP1317</f>
        <v>11998800.00000014</v>
      </c>
      <c r="AS1317" s="112">
        <f t="shared" ref="AS1317:AS1330" si="846">IF(AQ1317=0,0.0000000001,AQ1317)</f>
        <v>96</v>
      </c>
    </row>
    <row r="1318" spans="17:45" x14ac:dyDescent="0.25">
      <c r="Q1318" s="127">
        <v>45363.4375</v>
      </c>
      <c r="R1318">
        <v>1</v>
      </c>
      <c r="S1318" s="13">
        <f t="shared" si="836"/>
        <v>12007800.00000014</v>
      </c>
      <c r="T1318">
        <f t="shared" si="841"/>
        <v>96</v>
      </c>
      <c r="U1318" s="13">
        <f t="shared" si="842"/>
        <v>12007800.00000014</v>
      </c>
      <c r="V1318" s="112">
        <f t="shared" si="843"/>
        <v>96</v>
      </c>
      <c r="AN1318" s="127">
        <v>45363.4375</v>
      </c>
      <c r="AO1318">
        <v>1</v>
      </c>
      <c r="AP1318" s="13">
        <f t="shared" si="837"/>
        <v>12007800.00000014</v>
      </c>
      <c r="AQ1318">
        <f t="shared" si="844"/>
        <v>96</v>
      </c>
      <c r="AR1318" s="13">
        <f t="shared" si="845"/>
        <v>12007800.00000014</v>
      </c>
      <c r="AS1318" s="112">
        <f t="shared" si="846"/>
        <v>96</v>
      </c>
    </row>
    <row r="1319" spans="17:45" x14ac:dyDescent="0.25">
      <c r="Q1319" s="127">
        <v>45363.541666666657</v>
      </c>
      <c r="R1319">
        <v>3</v>
      </c>
      <c r="S1319" s="13">
        <f t="shared" si="836"/>
        <v>12016800.00000014</v>
      </c>
      <c r="T1319">
        <f t="shared" si="841"/>
        <v>288</v>
      </c>
      <c r="U1319" s="13">
        <f t="shared" si="842"/>
        <v>12016800.00000014</v>
      </c>
      <c r="V1319" s="112">
        <f t="shared" si="843"/>
        <v>288</v>
      </c>
      <c r="AN1319" s="127">
        <v>45363.541666666657</v>
      </c>
      <c r="AO1319">
        <v>1</v>
      </c>
      <c r="AP1319" s="13">
        <f t="shared" si="837"/>
        <v>12016800.00000014</v>
      </c>
      <c r="AQ1319">
        <f t="shared" si="844"/>
        <v>96</v>
      </c>
      <c r="AR1319" s="13">
        <f t="shared" si="845"/>
        <v>12016800.00000014</v>
      </c>
      <c r="AS1319" s="112">
        <f t="shared" si="846"/>
        <v>96</v>
      </c>
    </row>
    <row r="1320" spans="17:45" x14ac:dyDescent="0.25">
      <c r="Q1320" s="127">
        <v>45363.645833333343</v>
      </c>
      <c r="R1320">
        <v>2</v>
      </c>
      <c r="S1320" s="13">
        <f t="shared" si="836"/>
        <v>12025800.00000014</v>
      </c>
      <c r="T1320">
        <f t="shared" si="841"/>
        <v>192</v>
      </c>
      <c r="U1320" s="13">
        <f t="shared" si="842"/>
        <v>12025800.00000014</v>
      </c>
      <c r="V1320" s="112">
        <f t="shared" si="843"/>
        <v>192</v>
      </c>
      <c r="AN1320" s="127">
        <v>45363.645833333343</v>
      </c>
      <c r="AO1320">
        <v>1</v>
      </c>
      <c r="AP1320" s="13">
        <f t="shared" si="837"/>
        <v>12025800.00000014</v>
      </c>
      <c r="AQ1320">
        <f t="shared" si="844"/>
        <v>96</v>
      </c>
      <c r="AR1320" s="13">
        <f t="shared" si="845"/>
        <v>12025800.00000014</v>
      </c>
      <c r="AS1320" s="112">
        <f t="shared" si="846"/>
        <v>96</v>
      </c>
    </row>
    <row r="1321" spans="17:45" x14ac:dyDescent="0.25">
      <c r="Q1321" s="127">
        <v>45363.75</v>
      </c>
      <c r="R1321">
        <v>2</v>
      </c>
      <c r="S1321" s="13">
        <f t="shared" si="836"/>
        <v>12034800.00000014</v>
      </c>
      <c r="T1321">
        <f t="shared" si="841"/>
        <v>192</v>
      </c>
      <c r="U1321" s="13">
        <f t="shared" si="842"/>
        <v>12034800.00000014</v>
      </c>
      <c r="V1321" s="112">
        <f t="shared" si="843"/>
        <v>192</v>
      </c>
      <c r="AN1321" s="127">
        <v>45363.75</v>
      </c>
      <c r="AO1321">
        <v>1</v>
      </c>
      <c r="AP1321" s="13">
        <f t="shared" si="837"/>
        <v>12034800.00000014</v>
      </c>
      <c r="AQ1321">
        <f t="shared" si="844"/>
        <v>96</v>
      </c>
      <c r="AR1321" s="13">
        <f t="shared" si="845"/>
        <v>12034800.00000014</v>
      </c>
      <c r="AS1321" s="112">
        <f t="shared" si="846"/>
        <v>96</v>
      </c>
    </row>
    <row r="1322" spans="17:45" x14ac:dyDescent="0.25">
      <c r="Q1322" s="127">
        <v>45363.854166666657</v>
      </c>
      <c r="R1322">
        <v>2</v>
      </c>
      <c r="S1322" s="13">
        <f t="shared" si="836"/>
        <v>12043800.00000014</v>
      </c>
      <c r="T1322">
        <f t="shared" si="841"/>
        <v>192</v>
      </c>
      <c r="U1322" s="13">
        <f t="shared" si="842"/>
        <v>12043800.00000014</v>
      </c>
      <c r="V1322" s="112">
        <f t="shared" si="843"/>
        <v>192</v>
      </c>
      <c r="AN1322" s="127">
        <v>45363.854166666657</v>
      </c>
      <c r="AO1322">
        <v>1</v>
      </c>
      <c r="AP1322" s="13">
        <f t="shared" si="837"/>
        <v>12043800.00000014</v>
      </c>
      <c r="AQ1322">
        <f t="shared" si="844"/>
        <v>96</v>
      </c>
      <c r="AR1322" s="13">
        <f t="shared" si="845"/>
        <v>12043800.00000014</v>
      </c>
      <c r="AS1322" s="112">
        <f t="shared" si="846"/>
        <v>96</v>
      </c>
    </row>
    <row r="1323" spans="17:45" x14ac:dyDescent="0.25">
      <c r="Q1323" s="127">
        <v>45363.958333333343</v>
      </c>
      <c r="R1323">
        <v>2</v>
      </c>
      <c r="S1323" s="13">
        <f t="shared" si="836"/>
        <v>12052800.00000014</v>
      </c>
      <c r="T1323">
        <f t="shared" si="841"/>
        <v>192</v>
      </c>
      <c r="U1323" s="13">
        <f t="shared" si="842"/>
        <v>12052800.00000014</v>
      </c>
      <c r="V1323" s="112">
        <f t="shared" si="843"/>
        <v>192</v>
      </c>
      <c r="AN1323" s="127">
        <v>45363.958333333343</v>
      </c>
      <c r="AO1323">
        <v>1</v>
      </c>
      <c r="AP1323" s="13">
        <f t="shared" si="837"/>
        <v>12052800.00000014</v>
      </c>
      <c r="AQ1323">
        <f t="shared" si="844"/>
        <v>96</v>
      </c>
      <c r="AR1323" s="13">
        <f t="shared" si="845"/>
        <v>12052800.00000014</v>
      </c>
      <c r="AS1323" s="112">
        <f t="shared" si="846"/>
        <v>96</v>
      </c>
    </row>
    <row r="1324" spans="17:45" x14ac:dyDescent="0.25">
      <c r="Q1324" s="127">
        <v>45364.0625</v>
      </c>
      <c r="R1324">
        <v>2</v>
      </c>
      <c r="S1324" s="13">
        <f t="shared" si="836"/>
        <v>12061800.00000014</v>
      </c>
      <c r="T1324">
        <f t="shared" si="841"/>
        <v>192</v>
      </c>
      <c r="U1324" s="13">
        <f t="shared" si="842"/>
        <v>12061800.00000014</v>
      </c>
      <c r="V1324" s="112">
        <f t="shared" si="843"/>
        <v>192</v>
      </c>
      <c r="AN1324" s="127">
        <v>45364.0625</v>
      </c>
      <c r="AO1324">
        <v>1</v>
      </c>
      <c r="AP1324" s="13">
        <f t="shared" si="837"/>
        <v>12061800.00000014</v>
      </c>
      <c r="AQ1324">
        <f t="shared" si="844"/>
        <v>96</v>
      </c>
      <c r="AR1324" s="13">
        <f t="shared" si="845"/>
        <v>12061800.00000014</v>
      </c>
      <c r="AS1324" s="112">
        <f t="shared" si="846"/>
        <v>96</v>
      </c>
    </row>
    <row r="1325" spans="17:45" x14ac:dyDescent="0.25">
      <c r="Q1325" s="127">
        <v>45364.166666666657</v>
      </c>
      <c r="R1325">
        <v>2</v>
      </c>
      <c r="S1325" s="13">
        <f t="shared" si="836"/>
        <v>12070800.00000014</v>
      </c>
      <c r="T1325">
        <f t="shared" si="841"/>
        <v>192</v>
      </c>
      <c r="U1325" s="13">
        <f t="shared" si="842"/>
        <v>12070800.00000014</v>
      </c>
      <c r="V1325" s="112">
        <f t="shared" si="843"/>
        <v>192</v>
      </c>
      <c r="AN1325" s="127">
        <v>45364.166666666657</v>
      </c>
      <c r="AO1325">
        <v>1</v>
      </c>
      <c r="AP1325" s="13">
        <f t="shared" si="837"/>
        <v>12070800.00000014</v>
      </c>
      <c r="AQ1325">
        <f t="shared" si="844"/>
        <v>96</v>
      </c>
      <c r="AR1325" s="13">
        <f t="shared" si="845"/>
        <v>12070800.00000014</v>
      </c>
      <c r="AS1325" s="112">
        <f t="shared" si="846"/>
        <v>96</v>
      </c>
    </row>
    <row r="1326" spans="17:45" x14ac:dyDescent="0.25">
      <c r="Q1326" s="127">
        <v>45364.270833333343</v>
      </c>
      <c r="R1326">
        <v>2</v>
      </c>
      <c r="S1326" s="13">
        <f t="shared" si="836"/>
        <v>12079800.00000014</v>
      </c>
      <c r="T1326">
        <f t="shared" si="841"/>
        <v>192</v>
      </c>
      <c r="U1326" s="13">
        <f t="shared" si="842"/>
        <v>12079800.00000014</v>
      </c>
      <c r="V1326" s="112">
        <f t="shared" si="843"/>
        <v>192</v>
      </c>
      <c r="AN1326" s="127">
        <v>45364.270833333343</v>
      </c>
      <c r="AO1326">
        <v>1</v>
      </c>
      <c r="AP1326" s="13">
        <f t="shared" si="837"/>
        <v>12079800.00000014</v>
      </c>
      <c r="AQ1326">
        <f t="shared" si="844"/>
        <v>96</v>
      </c>
      <c r="AR1326" s="13">
        <f t="shared" si="845"/>
        <v>12079800.00000014</v>
      </c>
      <c r="AS1326" s="112">
        <f t="shared" si="846"/>
        <v>96</v>
      </c>
    </row>
    <row r="1327" spans="17:45" x14ac:dyDescent="0.25">
      <c r="Q1327" s="127">
        <v>45364.375</v>
      </c>
      <c r="R1327">
        <v>2</v>
      </c>
      <c r="S1327" s="13">
        <f t="shared" si="836"/>
        <v>12088800.00000014</v>
      </c>
      <c r="T1327">
        <f t="shared" si="841"/>
        <v>192</v>
      </c>
      <c r="U1327" s="13">
        <f t="shared" si="842"/>
        <v>12088800.00000014</v>
      </c>
      <c r="V1327" s="112">
        <f t="shared" si="843"/>
        <v>192</v>
      </c>
      <c r="AN1327" s="127">
        <v>45364.375</v>
      </c>
      <c r="AO1327">
        <v>1</v>
      </c>
      <c r="AP1327" s="13">
        <f t="shared" si="837"/>
        <v>12088800.00000014</v>
      </c>
      <c r="AQ1327">
        <f t="shared" si="844"/>
        <v>96</v>
      </c>
      <c r="AR1327" s="13">
        <f t="shared" si="845"/>
        <v>12088800.00000014</v>
      </c>
      <c r="AS1327" s="112">
        <f t="shared" si="846"/>
        <v>96</v>
      </c>
    </row>
    <row r="1328" spans="17:45" x14ac:dyDescent="0.25">
      <c r="Q1328" s="127">
        <v>45364.479166666657</v>
      </c>
      <c r="R1328">
        <v>1</v>
      </c>
      <c r="S1328" s="13">
        <f t="shared" si="836"/>
        <v>12097800.00000014</v>
      </c>
      <c r="T1328">
        <f t="shared" si="841"/>
        <v>96</v>
      </c>
      <c r="U1328" s="13">
        <f t="shared" si="842"/>
        <v>12097800.00000014</v>
      </c>
      <c r="V1328" s="112">
        <f t="shared" si="843"/>
        <v>96</v>
      </c>
      <c r="AN1328" s="127">
        <v>45364.479166666657</v>
      </c>
      <c r="AO1328">
        <v>1</v>
      </c>
      <c r="AP1328" s="13">
        <f t="shared" si="837"/>
        <v>12097800.00000014</v>
      </c>
      <c r="AQ1328">
        <f t="shared" si="844"/>
        <v>96</v>
      </c>
      <c r="AR1328" s="13">
        <f t="shared" si="845"/>
        <v>12097800.00000014</v>
      </c>
      <c r="AS1328" s="112">
        <f t="shared" si="846"/>
        <v>96</v>
      </c>
    </row>
    <row r="1329" spans="17:45" x14ac:dyDescent="0.25">
      <c r="Q1329" s="127">
        <v>45364.583333333343</v>
      </c>
      <c r="R1329">
        <v>1</v>
      </c>
      <c r="S1329" s="13">
        <f t="shared" si="836"/>
        <v>12106800.00000014</v>
      </c>
      <c r="T1329">
        <f t="shared" si="841"/>
        <v>96</v>
      </c>
      <c r="U1329" s="13">
        <f t="shared" si="842"/>
        <v>12106800.00000014</v>
      </c>
      <c r="V1329" s="112">
        <f t="shared" si="843"/>
        <v>96</v>
      </c>
      <c r="AN1329" s="127">
        <v>45364.583333333343</v>
      </c>
      <c r="AO1329">
        <v>1</v>
      </c>
      <c r="AP1329" s="13">
        <f t="shared" si="837"/>
        <v>12106800.00000014</v>
      </c>
      <c r="AQ1329">
        <f t="shared" si="844"/>
        <v>96</v>
      </c>
      <c r="AR1329" s="13">
        <f t="shared" si="845"/>
        <v>12106800.00000014</v>
      </c>
      <c r="AS1329" s="112">
        <f t="shared" si="846"/>
        <v>96</v>
      </c>
    </row>
    <row r="1330" spans="17:45" x14ac:dyDescent="0.25">
      <c r="Q1330" s="127">
        <v>45364.6875</v>
      </c>
      <c r="R1330">
        <v>1</v>
      </c>
      <c r="S1330" s="13">
        <f t="shared" si="836"/>
        <v>12115800.00000014</v>
      </c>
      <c r="T1330">
        <f t="shared" si="841"/>
        <v>96</v>
      </c>
      <c r="U1330" s="13">
        <f t="shared" si="842"/>
        <v>12115800.00000014</v>
      </c>
      <c r="V1330" s="112">
        <f t="shared" si="843"/>
        <v>96</v>
      </c>
      <c r="AN1330" s="127">
        <v>45364.6875</v>
      </c>
      <c r="AO1330">
        <v>1</v>
      </c>
      <c r="AP1330" s="13">
        <f t="shared" si="837"/>
        <v>12115800.00000014</v>
      </c>
      <c r="AQ1330">
        <f t="shared" si="844"/>
        <v>96</v>
      </c>
      <c r="AR1330" s="13">
        <f t="shared" si="845"/>
        <v>12115800.00000014</v>
      </c>
      <c r="AS1330" s="112">
        <f t="shared" si="846"/>
        <v>96</v>
      </c>
    </row>
    <row r="1331" spans="17:45" x14ac:dyDescent="0.25">
      <c r="Q1331" s="127">
        <v>45364.791666666657</v>
      </c>
      <c r="R1331">
        <v>1</v>
      </c>
      <c r="S1331" s="13">
        <f t="shared" si="836"/>
        <v>12124800.00000014</v>
      </c>
      <c r="T1331">
        <f t="shared" si="841"/>
        <v>96</v>
      </c>
      <c r="U1331" s="13">
        <f t="shared" si="842"/>
        <v>12124800.00000014</v>
      </c>
      <c r="V1331" s="112">
        <f t="shared" si="843"/>
        <v>96</v>
      </c>
      <c r="AN1331" s="127">
        <v>45364.791666666657</v>
      </c>
      <c r="AO1331">
        <v>1</v>
      </c>
      <c r="AP1331" s="13">
        <f t="shared" si="837"/>
        <v>12124800.00000014</v>
      </c>
      <c r="AQ1331">
        <f t="shared" ref="AQ1331:AQ1357" si="847">AO1331*96</f>
        <v>96</v>
      </c>
      <c r="AR1331" s="13">
        <f t="shared" ref="AR1331:AR1357" si="848">AP1331</f>
        <v>12124800.00000014</v>
      </c>
      <c r="AS1331" s="112">
        <f t="shared" ref="AS1331:AS1357" si="849">IF(AQ1331=0,0.0000000001,AQ1331)</f>
        <v>96</v>
      </c>
    </row>
    <row r="1332" spans="17:45" x14ac:dyDescent="0.25">
      <c r="Q1332" s="127">
        <v>45364.895833333343</v>
      </c>
      <c r="R1332">
        <v>0</v>
      </c>
      <c r="S1332" s="13">
        <f t="shared" si="836"/>
        <v>12133800.00000014</v>
      </c>
      <c r="T1332">
        <f t="shared" si="841"/>
        <v>0</v>
      </c>
      <c r="U1332" s="13">
        <f t="shared" si="842"/>
        <v>12133800.00000014</v>
      </c>
      <c r="V1332" s="112">
        <f t="shared" si="843"/>
        <v>1E-10</v>
      </c>
      <c r="AN1332" s="127">
        <v>45364.895833333343</v>
      </c>
      <c r="AO1332">
        <v>1</v>
      </c>
      <c r="AP1332" s="13">
        <f t="shared" si="837"/>
        <v>12133800.00000014</v>
      </c>
      <c r="AQ1332">
        <f t="shared" si="847"/>
        <v>96</v>
      </c>
      <c r="AR1332" s="13">
        <f t="shared" si="848"/>
        <v>12133800.00000014</v>
      </c>
      <c r="AS1332" s="112">
        <f t="shared" si="849"/>
        <v>96</v>
      </c>
    </row>
    <row r="1333" spans="17:45" x14ac:dyDescent="0.25">
      <c r="Q1333" s="127">
        <v>45365</v>
      </c>
      <c r="R1333">
        <v>0</v>
      </c>
      <c r="S1333" s="13">
        <f t="shared" si="836"/>
        <v>12142800.00000014</v>
      </c>
      <c r="T1333">
        <f t="shared" si="841"/>
        <v>0</v>
      </c>
      <c r="U1333" s="13">
        <f t="shared" si="842"/>
        <v>12142800.00000014</v>
      </c>
      <c r="V1333" s="112">
        <f t="shared" si="843"/>
        <v>1E-10</v>
      </c>
      <c r="AN1333" s="127">
        <v>45365</v>
      </c>
      <c r="AO1333">
        <v>1</v>
      </c>
      <c r="AP1333" s="13">
        <f t="shared" si="837"/>
        <v>12142800.00000014</v>
      </c>
      <c r="AQ1333">
        <f t="shared" si="847"/>
        <v>96</v>
      </c>
      <c r="AR1333" s="13">
        <f t="shared" si="848"/>
        <v>12142800.00000014</v>
      </c>
      <c r="AS1333" s="112">
        <f t="shared" si="849"/>
        <v>96</v>
      </c>
    </row>
    <row r="1334" spans="17:45" x14ac:dyDescent="0.25">
      <c r="Q1334" s="127">
        <v>45365.104166666657</v>
      </c>
      <c r="R1334">
        <v>0</v>
      </c>
      <c r="S1334" s="13">
        <f t="shared" si="836"/>
        <v>12151800.00000014</v>
      </c>
      <c r="T1334">
        <f t="shared" si="841"/>
        <v>0</v>
      </c>
      <c r="U1334" s="13">
        <f t="shared" si="842"/>
        <v>12151800.00000014</v>
      </c>
      <c r="V1334" s="112">
        <f t="shared" si="843"/>
        <v>1E-10</v>
      </c>
      <c r="AN1334" s="127">
        <v>45365.104166666657</v>
      </c>
      <c r="AO1334">
        <v>1</v>
      </c>
      <c r="AP1334" s="13">
        <f t="shared" si="837"/>
        <v>12151800.00000014</v>
      </c>
      <c r="AQ1334">
        <f t="shared" si="847"/>
        <v>96</v>
      </c>
      <c r="AR1334" s="13">
        <f t="shared" si="848"/>
        <v>12151800.00000014</v>
      </c>
      <c r="AS1334" s="112">
        <f t="shared" si="849"/>
        <v>96</v>
      </c>
    </row>
    <row r="1335" spans="17:45" x14ac:dyDescent="0.25">
      <c r="Q1335" s="127">
        <v>45365.208333333343</v>
      </c>
      <c r="R1335">
        <v>1</v>
      </c>
      <c r="S1335" s="13">
        <f t="shared" si="836"/>
        <v>12160800.00000014</v>
      </c>
      <c r="T1335">
        <f t="shared" si="841"/>
        <v>96</v>
      </c>
      <c r="U1335" s="13">
        <f t="shared" si="842"/>
        <v>12160800.00000014</v>
      </c>
      <c r="V1335" s="112">
        <f t="shared" si="843"/>
        <v>96</v>
      </c>
      <c r="AN1335" s="127">
        <v>45365.208333333343</v>
      </c>
      <c r="AO1335">
        <v>1</v>
      </c>
      <c r="AP1335" s="13">
        <f t="shared" si="837"/>
        <v>12160800.00000014</v>
      </c>
      <c r="AQ1335">
        <f t="shared" si="847"/>
        <v>96</v>
      </c>
      <c r="AR1335" s="13">
        <f t="shared" si="848"/>
        <v>12160800.00000014</v>
      </c>
      <c r="AS1335" s="112">
        <f t="shared" si="849"/>
        <v>96</v>
      </c>
    </row>
    <row r="1336" spans="17:45" x14ac:dyDescent="0.25">
      <c r="Q1336" s="127">
        <v>45365.3125</v>
      </c>
      <c r="R1336">
        <v>1</v>
      </c>
      <c r="S1336" s="13">
        <f t="shared" si="836"/>
        <v>12169800.00000014</v>
      </c>
      <c r="T1336">
        <f t="shared" si="841"/>
        <v>96</v>
      </c>
      <c r="U1336" s="13">
        <f t="shared" si="842"/>
        <v>12169800.00000014</v>
      </c>
      <c r="V1336" s="112">
        <f t="shared" si="843"/>
        <v>96</v>
      </c>
      <c r="AN1336" s="127">
        <v>45365.3125</v>
      </c>
      <c r="AO1336">
        <v>1</v>
      </c>
      <c r="AP1336" s="13">
        <f t="shared" si="837"/>
        <v>12169800.00000014</v>
      </c>
      <c r="AQ1336">
        <f t="shared" si="847"/>
        <v>96</v>
      </c>
      <c r="AR1336" s="13">
        <f t="shared" si="848"/>
        <v>12169800.00000014</v>
      </c>
      <c r="AS1336" s="112">
        <f t="shared" si="849"/>
        <v>96</v>
      </c>
    </row>
    <row r="1337" spans="17:45" x14ac:dyDescent="0.25">
      <c r="Q1337" s="127">
        <v>45365.416666666657</v>
      </c>
      <c r="R1337">
        <v>2</v>
      </c>
      <c r="S1337" s="13">
        <f t="shared" si="836"/>
        <v>12178800.00000014</v>
      </c>
      <c r="T1337">
        <f t="shared" si="841"/>
        <v>192</v>
      </c>
      <c r="U1337" s="13">
        <f t="shared" si="842"/>
        <v>12178800.00000014</v>
      </c>
      <c r="V1337" s="112">
        <f t="shared" si="843"/>
        <v>192</v>
      </c>
      <c r="AN1337" s="127">
        <v>45365.416666666657</v>
      </c>
      <c r="AO1337">
        <v>1</v>
      </c>
      <c r="AP1337" s="13">
        <f t="shared" si="837"/>
        <v>12178800.00000014</v>
      </c>
      <c r="AQ1337">
        <f t="shared" si="847"/>
        <v>96</v>
      </c>
      <c r="AR1337" s="13">
        <f t="shared" si="848"/>
        <v>12178800.00000014</v>
      </c>
      <c r="AS1337" s="112">
        <f t="shared" si="849"/>
        <v>96</v>
      </c>
    </row>
    <row r="1338" spans="17:45" x14ac:dyDescent="0.25">
      <c r="Q1338" s="127">
        <v>45365.520833333343</v>
      </c>
      <c r="R1338">
        <v>2</v>
      </c>
      <c r="S1338" s="13">
        <f t="shared" si="836"/>
        <v>12187800.00000014</v>
      </c>
      <c r="T1338">
        <f t="shared" si="841"/>
        <v>192</v>
      </c>
      <c r="U1338" s="13">
        <f t="shared" si="842"/>
        <v>12187800.00000014</v>
      </c>
      <c r="V1338" s="112">
        <f t="shared" si="843"/>
        <v>192</v>
      </c>
      <c r="AN1338" s="127">
        <v>45365.520833333343</v>
      </c>
      <c r="AO1338">
        <v>1</v>
      </c>
      <c r="AP1338" s="13">
        <f t="shared" si="837"/>
        <v>12187800.00000014</v>
      </c>
      <c r="AQ1338">
        <f t="shared" si="847"/>
        <v>96</v>
      </c>
      <c r="AR1338" s="13">
        <f t="shared" si="848"/>
        <v>12187800.00000014</v>
      </c>
      <c r="AS1338" s="112">
        <f t="shared" si="849"/>
        <v>96</v>
      </c>
    </row>
    <row r="1339" spans="17:45" x14ac:dyDescent="0.25">
      <c r="Q1339" s="127">
        <v>45365.625</v>
      </c>
      <c r="R1339">
        <v>3</v>
      </c>
      <c r="S1339" s="13">
        <f t="shared" si="836"/>
        <v>12196800.00000014</v>
      </c>
      <c r="T1339">
        <f t="shared" si="841"/>
        <v>288</v>
      </c>
      <c r="U1339" s="13">
        <f t="shared" si="842"/>
        <v>12196800.00000014</v>
      </c>
      <c r="V1339" s="112">
        <f t="shared" si="843"/>
        <v>288</v>
      </c>
      <c r="AN1339" s="127">
        <v>45365.625</v>
      </c>
      <c r="AO1339">
        <v>1</v>
      </c>
      <c r="AP1339" s="13">
        <f t="shared" si="837"/>
        <v>12196800.00000014</v>
      </c>
      <c r="AQ1339">
        <f t="shared" si="847"/>
        <v>96</v>
      </c>
      <c r="AR1339" s="13">
        <f t="shared" si="848"/>
        <v>12196800.00000014</v>
      </c>
      <c r="AS1339" s="112">
        <f t="shared" si="849"/>
        <v>96</v>
      </c>
    </row>
    <row r="1340" spans="17:45" x14ac:dyDescent="0.25">
      <c r="Q1340" s="127">
        <v>45365.729166666657</v>
      </c>
      <c r="R1340">
        <v>1</v>
      </c>
      <c r="S1340" s="13">
        <f t="shared" si="836"/>
        <v>12205800.00000014</v>
      </c>
      <c r="T1340">
        <f t="shared" si="841"/>
        <v>96</v>
      </c>
      <c r="U1340" s="13">
        <f t="shared" si="842"/>
        <v>12205800.00000014</v>
      </c>
      <c r="V1340" s="112">
        <f t="shared" si="843"/>
        <v>96</v>
      </c>
      <c r="AN1340" s="127">
        <v>45365.729166666657</v>
      </c>
      <c r="AO1340">
        <v>1</v>
      </c>
      <c r="AP1340" s="13">
        <f t="shared" si="837"/>
        <v>12205800.00000014</v>
      </c>
      <c r="AQ1340">
        <f t="shared" si="847"/>
        <v>96</v>
      </c>
      <c r="AR1340" s="13">
        <f t="shared" si="848"/>
        <v>12205800.00000014</v>
      </c>
      <c r="AS1340" s="112">
        <f t="shared" si="849"/>
        <v>96</v>
      </c>
    </row>
    <row r="1341" spans="17:45" x14ac:dyDescent="0.25">
      <c r="Q1341" s="127">
        <v>45365.833333333343</v>
      </c>
      <c r="R1341">
        <v>2</v>
      </c>
      <c r="S1341" s="13">
        <f t="shared" si="836"/>
        <v>12214800.00000014</v>
      </c>
      <c r="T1341">
        <f t="shared" si="841"/>
        <v>192</v>
      </c>
      <c r="U1341" s="13">
        <f t="shared" si="842"/>
        <v>12214800.00000014</v>
      </c>
      <c r="V1341" s="112">
        <f t="shared" si="843"/>
        <v>192</v>
      </c>
      <c r="AN1341" s="127">
        <v>45365.833333333343</v>
      </c>
      <c r="AO1341">
        <v>1</v>
      </c>
      <c r="AP1341" s="13">
        <f t="shared" si="837"/>
        <v>12214800.00000014</v>
      </c>
      <c r="AQ1341">
        <f t="shared" si="847"/>
        <v>96</v>
      </c>
      <c r="AR1341" s="13">
        <f t="shared" si="848"/>
        <v>12214800.00000014</v>
      </c>
      <c r="AS1341" s="112">
        <f t="shared" si="849"/>
        <v>96</v>
      </c>
    </row>
    <row r="1342" spans="17:45" x14ac:dyDescent="0.25">
      <c r="Q1342" s="127">
        <v>45365.9375</v>
      </c>
      <c r="R1342">
        <v>2</v>
      </c>
      <c r="S1342" s="13">
        <f t="shared" si="836"/>
        <v>12223800.00000014</v>
      </c>
      <c r="T1342">
        <f t="shared" si="841"/>
        <v>192</v>
      </c>
      <c r="U1342" s="13">
        <f t="shared" si="842"/>
        <v>12223800.00000014</v>
      </c>
      <c r="V1342" s="112">
        <f t="shared" si="843"/>
        <v>192</v>
      </c>
      <c r="AN1342" s="127">
        <v>45365.9375</v>
      </c>
      <c r="AO1342">
        <v>1</v>
      </c>
      <c r="AP1342" s="13">
        <f t="shared" si="837"/>
        <v>12223800.00000014</v>
      </c>
      <c r="AQ1342">
        <f t="shared" si="847"/>
        <v>96</v>
      </c>
      <c r="AR1342" s="13">
        <f t="shared" si="848"/>
        <v>12223800.00000014</v>
      </c>
      <c r="AS1342" s="112">
        <f t="shared" si="849"/>
        <v>96</v>
      </c>
    </row>
    <row r="1343" spans="17:45" x14ac:dyDescent="0.25">
      <c r="Q1343" s="127">
        <v>45366.041666666657</v>
      </c>
      <c r="R1343">
        <v>2</v>
      </c>
      <c r="S1343" s="13">
        <f t="shared" si="836"/>
        <v>12232800.00000014</v>
      </c>
      <c r="T1343">
        <f t="shared" si="841"/>
        <v>192</v>
      </c>
      <c r="U1343" s="13">
        <f t="shared" si="842"/>
        <v>12232800.00000014</v>
      </c>
      <c r="V1343" s="112">
        <f t="shared" si="843"/>
        <v>192</v>
      </c>
      <c r="AN1343" s="127">
        <v>45366.041666666657</v>
      </c>
      <c r="AO1343">
        <v>1</v>
      </c>
      <c r="AP1343" s="13">
        <f t="shared" si="837"/>
        <v>12232800.00000014</v>
      </c>
      <c r="AQ1343">
        <f t="shared" si="847"/>
        <v>96</v>
      </c>
      <c r="AR1343" s="13">
        <f t="shared" si="848"/>
        <v>12232800.00000014</v>
      </c>
      <c r="AS1343" s="112">
        <f t="shared" si="849"/>
        <v>96</v>
      </c>
    </row>
    <row r="1344" spans="17:45" x14ac:dyDescent="0.25">
      <c r="Q1344" s="127">
        <v>45366.145833333343</v>
      </c>
      <c r="R1344">
        <v>2</v>
      </c>
      <c r="S1344" s="13">
        <f t="shared" si="836"/>
        <v>12241800.00000014</v>
      </c>
      <c r="T1344">
        <f t="shared" si="841"/>
        <v>192</v>
      </c>
      <c r="U1344" s="13">
        <f t="shared" si="842"/>
        <v>12241800.00000014</v>
      </c>
      <c r="V1344" s="112">
        <f t="shared" si="843"/>
        <v>192</v>
      </c>
      <c r="AN1344" s="127">
        <v>45366.145833333343</v>
      </c>
      <c r="AO1344">
        <v>1</v>
      </c>
      <c r="AP1344" s="13">
        <f t="shared" si="837"/>
        <v>12241800.00000014</v>
      </c>
      <c r="AQ1344">
        <f t="shared" si="847"/>
        <v>96</v>
      </c>
      <c r="AR1344" s="13">
        <f t="shared" si="848"/>
        <v>12241800.00000014</v>
      </c>
      <c r="AS1344" s="112">
        <f t="shared" si="849"/>
        <v>96</v>
      </c>
    </row>
    <row r="1345" spans="17:45" x14ac:dyDescent="0.25">
      <c r="Q1345" s="127">
        <v>45366.25</v>
      </c>
      <c r="R1345">
        <v>2</v>
      </c>
      <c r="S1345" s="13">
        <f t="shared" si="836"/>
        <v>12250800.00000014</v>
      </c>
      <c r="T1345">
        <f t="shared" si="841"/>
        <v>192</v>
      </c>
      <c r="U1345" s="13">
        <f t="shared" si="842"/>
        <v>12250800.00000014</v>
      </c>
      <c r="V1345" s="112">
        <f t="shared" si="843"/>
        <v>192</v>
      </c>
      <c r="AN1345" s="127">
        <v>45366.25</v>
      </c>
      <c r="AO1345">
        <v>1</v>
      </c>
      <c r="AP1345" s="13">
        <f t="shared" si="837"/>
        <v>12250800.00000014</v>
      </c>
      <c r="AQ1345">
        <f t="shared" si="847"/>
        <v>96</v>
      </c>
      <c r="AR1345" s="13">
        <f t="shared" si="848"/>
        <v>12250800.00000014</v>
      </c>
      <c r="AS1345" s="112">
        <f t="shared" si="849"/>
        <v>96</v>
      </c>
    </row>
    <row r="1346" spans="17:45" x14ac:dyDescent="0.25">
      <c r="Q1346" s="127">
        <v>45366.354166666657</v>
      </c>
      <c r="R1346">
        <v>2</v>
      </c>
      <c r="S1346" s="13">
        <f t="shared" si="836"/>
        <v>12259800.00000014</v>
      </c>
      <c r="T1346">
        <f t="shared" si="841"/>
        <v>192</v>
      </c>
      <c r="U1346" s="13">
        <f t="shared" si="842"/>
        <v>12259800.00000014</v>
      </c>
      <c r="V1346" s="112">
        <f t="shared" si="843"/>
        <v>192</v>
      </c>
      <c r="AN1346" s="127">
        <v>45366.354166666657</v>
      </c>
      <c r="AO1346">
        <v>1</v>
      </c>
      <c r="AP1346" s="13">
        <f t="shared" si="837"/>
        <v>12259800.00000014</v>
      </c>
      <c r="AQ1346">
        <f t="shared" si="847"/>
        <v>96</v>
      </c>
      <c r="AR1346" s="13">
        <f t="shared" si="848"/>
        <v>12259800.00000014</v>
      </c>
      <c r="AS1346" s="112">
        <f t="shared" si="849"/>
        <v>96</v>
      </c>
    </row>
    <row r="1347" spans="17:45" x14ac:dyDescent="0.25">
      <c r="Q1347" s="127">
        <v>45366.458333333343</v>
      </c>
      <c r="R1347">
        <v>3</v>
      </c>
      <c r="S1347" s="13">
        <f t="shared" si="836"/>
        <v>12268800.00000014</v>
      </c>
      <c r="T1347">
        <f t="shared" si="841"/>
        <v>288</v>
      </c>
      <c r="U1347" s="13">
        <f t="shared" si="842"/>
        <v>12268800.00000014</v>
      </c>
      <c r="V1347" s="112">
        <f t="shared" si="843"/>
        <v>288</v>
      </c>
      <c r="AN1347" s="127">
        <v>45366.458333333343</v>
      </c>
      <c r="AO1347">
        <v>1</v>
      </c>
      <c r="AP1347" s="13">
        <f t="shared" si="837"/>
        <v>12268800.00000014</v>
      </c>
      <c r="AQ1347">
        <f t="shared" si="847"/>
        <v>96</v>
      </c>
      <c r="AR1347" s="13">
        <f t="shared" si="848"/>
        <v>12268800.00000014</v>
      </c>
      <c r="AS1347" s="112">
        <f t="shared" si="849"/>
        <v>96</v>
      </c>
    </row>
    <row r="1348" spans="17:45" x14ac:dyDescent="0.25">
      <c r="Q1348" s="127">
        <v>45366.5625</v>
      </c>
      <c r="R1348">
        <v>1</v>
      </c>
      <c r="S1348" s="13">
        <f t="shared" ref="S1348:S1380" si="850">S1347+150*60</f>
        <v>12277800.00000014</v>
      </c>
      <c r="T1348">
        <f t="shared" si="841"/>
        <v>96</v>
      </c>
      <c r="U1348" s="13">
        <f t="shared" si="842"/>
        <v>12277800.00000014</v>
      </c>
      <c r="V1348" s="112">
        <f t="shared" si="843"/>
        <v>96</v>
      </c>
      <c r="AN1348" s="127">
        <v>45366.5625</v>
      </c>
      <c r="AO1348">
        <v>1</v>
      </c>
      <c r="AP1348" s="13">
        <f t="shared" ref="AP1348:AP1380" si="851">AP1347+150*60</f>
        <v>12277800.00000014</v>
      </c>
      <c r="AQ1348">
        <f t="shared" si="847"/>
        <v>96</v>
      </c>
      <c r="AR1348" s="13">
        <f t="shared" si="848"/>
        <v>12277800.00000014</v>
      </c>
      <c r="AS1348" s="112">
        <f t="shared" si="849"/>
        <v>96</v>
      </c>
    </row>
    <row r="1349" spans="17:45" x14ac:dyDescent="0.25">
      <c r="Q1349" s="127">
        <v>45366.666666666657</v>
      </c>
      <c r="R1349">
        <v>0</v>
      </c>
      <c r="S1349" s="13">
        <f t="shared" si="850"/>
        <v>12286800.00000014</v>
      </c>
      <c r="T1349">
        <f t="shared" si="841"/>
        <v>0</v>
      </c>
      <c r="U1349" s="13">
        <f t="shared" si="842"/>
        <v>12286800.00000014</v>
      </c>
      <c r="V1349" s="112">
        <f t="shared" si="843"/>
        <v>1E-10</v>
      </c>
      <c r="AN1349" s="127">
        <v>45366.666666666657</v>
      </c>
      <c r="AO1349">
        <v>1</v>
      </c>
      <c r="AP1349" s="13">
        <f t="shared" si="851"/>
        <v>12286800.00000014</v>
      </c>
      <c r="AQ1349">
        <f t="shared" si="847"/>
        <v>96</v>
      </c>
      <c r="AR1349" s="13">
        <f t="shared" si="848"/>
        <v>12286800.00000014</v>
      </c>
      <c r="AS1349" s="112">
        <f t="shared" si="849"/>
        <v>96</v>
      </c>
    </row>
    <row r="1350" spans="17:45" x14ac:dyDescent="0.25">
      <c r="Q1350" s="127">
        <v>45366.770833333343</v>
      </c>
      <c r="R1350">
        <v>0</v>
      </c>
      <c r="S1350" s="13">
        <f t="shared" si="850"/>
        <v>12295800.00000014</v>
      </c>
      <c r="T1350">
        <f t="shared" si="841"/>
        <v>0</v>
      </c>
      <c r="U1350" s="13">
        <f t="shared" si="842"/>
        <v>12295800.00000014</v>
      </c>
      <c r="V1350" s="112">
        <f t="shared" si="843"/>
        <v>1E-10</v>
      </c>
      <c r="AN1350" s="127">
        <v>45366.770833333343</v>
      </c>
      <c r="AO1350">
        <v>1</v>
      </c>
      <c r="AP1350" s="13">
        <f t="shared" si="851"/>
        <v>12295800.00000014</v>
      </c>
      <c r="AQ1350">
        <f t="shared" si="847"/>
        <v>96</v>
      </c>
      <c r="AR1350" s="13">
        <f t="shared" si="848"/>
        <v>12295800.00000014</v>
      </c>
      <c r="AS1350" s="112">
        <f t="shared" si="849"/>
        <v>96</v>
      </c>
    </row>
    <row r="1351" spans="17:45" x14ac:dyDescent="0.25">
      <c r="Q1351" s="127">
        <v>45366.875</v>
      </c>
      <c r="R1351">
        <v>0</v>
      </c>
      <c r="S1351" s="13">
        <f t="shared" si="850"/>
        <v>12304800.00000014</v>
      </c>
      <c r="T1351">
        <f t="shared" si="841"/>
        <v>0</v>
      </c>
      <c r="U1351" s="13">
        <f t="shared" si="842"/>
        <v>12304800.00000014</v>
      </c>
      <c r="V1351" s="112">
        <f t="shared" si="843"/>
        <v>1E-10</v>
      </c>
      <c r="AN1351" s="127">
        <v>45366.875</v>
      </c>
      <c r="AO1351">
        <v>1</v>
      </c>
      <c r="AP1351" s="13">
        <f t="shared" si="851"/>
        <v>12304800.00000014</v>
      </c>
      <c r="AQ1351">
        <f t="shared" si="847"/>
        <v>96</v>
      </c>
      <c r="AR1351" s="13">
        <f t="shared" si="848"/>
        <v>12304800.00000014</v>
      </c>
      <c r="AS1351" s="112">
        <f t="shared" si="849"/>
        <v>96</v>
      </c>
    </row>
    <row r="1352" spans="17:45" x14ac:dyDescent="0.25">
      <c r="Q1352" s="127">
        <v>45366.979166666657</v>
      </c>
      <c r="R1352">
        <v>0</v>
      </c>
      <c r="S1352" s="13">
        <f t="shared" si="850"/>
        <v>12313800.00000014</v>
      </c>
      <c r="T1352">
        <f t="shared" si="841"/>
        <v>0</v>
      </c>
      <c r="U1352" s="13">
        <f t="shared" si="842"/>
        <v>12313800.00000014</v>
      </c>
      <c r="V1352" s="112">
        <f t="shared" si="843"/>
        <v>1E-10</v>
      </c>
      <c r="AN1352" s="127">
        <v>45366.979166666657</v>
      </c>
      <c r="AO1352">
        <v>1</v>
      </c>
      <c r="AP1352" s="13">
        <f t="shared" si="851"/>
        <v>12313800.00000014</v>
      </c>
      <c r="AQ1352">
        <f t="shared" si="847"/>
        <v>96</v>
      </c>
      <c r="AR1352" s="13">
        <f t="shared" si="848"/>
        <v>12313800.00000014</v>
      </c>
      <c r="AS1352" s="112">
        <f t="shared" si="849"/>
        <v>96</v>
      </c>
    </row>
    <row r="1353" spans="17:45" x14ac:dyDescent="0.25">
      <c r="Q1353" s="127">
        <v>45367.083333333343</v>
      </c>
      <c r="R1353">
        <v>0</v>
      </c>
      <c r="S1353" s="13">
        <f t="shared" si="850"/>
        <v>12322800.00000014</v>
      </c>
      <c r="T1353">
        <f t="shared" si="841"/>
        <v>0</v>
      </c>
      <c r="U1353" s="13">
        <f t="shared" si="842"/>
        <v>12322800.00000014</v>
      </c>
      <c r="V1353" s="112">
        <f t="shared" si="843"/>
        <v>1E-10</v>
      </c>
      <c r="AN1353" s="127">
        <v>45367.083333333343</v>
      </c>
      <c r="AO1353">
        <v>1</v>
      </c>
      <c r="AP1353" s="13">
        <f t="shared" si="851"/>
        <v>12322800.00000014</v>
      </c>
      <c r="AQ1353">
        <f t="shared" si="847"/>
        <v>96</v>
      </c>
      <c r="AR1353" s="13">
        <f t="shared" si="848"/>
        <v>12322800.00000014</v>
      </c>
      <c r="AS1353" s="112">
        <f t="shared" si="849"/>
        <v>96</v>
      </c>
    </row>
    <row r="1354" spans="17:45" x14ac:dyDescent="0.25">
      <c r="Q1354" s="127">
        <v>45367.1875</v>
      </c>
      <c r="R1354">
        <v>0</v>
      </c>
      <c r="S1354" s="13">
        <f t="shared" si="850"/>
        <v>12331800.00000014</v>
      </c>
      <c r="T1354">
        <f t="shared" si="841"/>
        <v>0</v>
      </c>
      <c r="U1354" s="13">
        <f t="shared" si="842"/>
        <v>12331800.00000014</v>
      </c>
      <c r="V1354" s="112">
        <f t="shared" si="843"/>
        <v>1E-10</v>
      </c>
      <c r="AN1354" s="127">
        <v>45367.1875</v>
      </c>
      <c r="AO1354">
        <v>1</v>
      </c>
      <c r="AP1354" s="13">
        <f t="shared" si="851"/>
        <v>12331800.00000014</v>
      </c>
      <c r="AQ1354">
        <f t="shared" si="847"/>
        <v>96</v>
      </c>
      <c r="AR1354" s="13">
        <f t="shared" si="848"/>
        <v>12331800.00000014</v>
      </c>
      <c r="AS1354" s="112">
        <f t="shared" si="849"/>
        <v>96</v>
      </c>
    </row>
    <row r="1355" spans="17:45" x14ac:dyDescent="0.25">
      <c r="Q1355" s="127">
        <v>45367.291666666657</v>
      </c>
      <c r="R1355">
        <v>0</v>
      </c>
      <c r="S1355" s="13">
        <f t="shared" si="850"/>
        <v>12340800.00000014</v>
      </c>
      <c r="T1355">
        <f t="shared" si="841"/>
        <v>0</v>
      </c>
      <c r="U1355" s="13">
        <f t="shared" si="842"/>
        <v>12340800.00000014</v>
      </c>
      <c r="V1355" s="112">
        <f t="shared" si="843"/>
        <v>1E-10</v>
      </c>
      <c r="AN1355" s="127">
        <v>45367.291666666657</v>
      </c>
      <c r="AO1355">
        <v>1</v>
      </c>
      <c r="AP1355" s="13">
        <f t="shared" si="851"/>
        <v>12340800.00000014</v>
      </c>
      <c r="AQ1355">
        <f t="shared" si="847"/>
        <v>96</v>
      </c>
      <c r="AR1355" s="13">
        <f t="shared" si="848"/>
        <v>12340800.00000014</v>
      </c>
      <c r="AS1355" s="112">
        <f t="shared" si="849"/>
        <v>96</v>
      </c>
    </row>
    <row r="1356" spans="17:45" x14ac:dyDescent="0.25">
      <c r="Q1356" s="127">
        <v>45367.395833333343</v>
      </c>
      <c r="R1356">
        <v>1</v>
      </c>
      <c r="S1356" s="13">
        <f t="shared" si="850"/>
        <v>12349800.00000014</v>
      </c>
      <c r="T1356">
        <f t="shared" si="841"/>
        <v>96</v>
      </c>
      <c r="U1356" s="13">
        <f t="shared" si="842"/>
        <v>12349800.00000014</v>
      </c>
      <c r="V1356" s="112">
        <f t="shared" si="843"/>
        <v>96</v>
      </c>
      <c r="AN1356" s="127">
        <v>45367.395833333343</v>
      </c>
      <c r="AO1356">
        <v>1</v>
      </c>
      <c r="AP1356" s="13">
        <f t="shared" si="851"/>
        <v>12349800.00000014</v>
      </c>
      <c r="AQ1356">
        <f t="shared" si="847"/>
        <v>96</v>
      </c>
      <c r="AR1356" s="13">
        <f t="shared" si="848"/>
        <v>12349800.00000014</v>
      </c>
      <c r="AS1356" s="112">
        <f t="shared" si="849"/>
        <v>96</v>
      </c>
    </row>
    <row r="1357" spans="17:45" x14ac:dyDescent="0.25">
      <c r="Q1357" s="127">
        <v>45367.5</v>
      </c>
      <c r="R1357">
        <v>2</v>
      </c>
      <c r="S1357" s="13">
        <f t="shared" si="850"/>
        <v>12358800.00000014</v>
      </c>
      <c r="T1357">
        <f t="shared" si="841"/>
        <v>192</v>
      </c>
      <c r="U1357" s="13">
        <f t="shared" si="842"/>
        <v>12358800.00000014</v>
      </c>
      <c r="V1357" s="112">
        <f t="shared" si="843"/>
        <v>192</v>
      </c>
      <c r="AN1357" s="127">
        <v>45367.5</v>
      </c>
      <c r="AO1357">
        <v>1</v>
      </c>
      <c r="AP1357" s="13">
        <f t="shared" si="851"/>
        <v>12358800.00000014</v>
      </c>
      <c r="AQ1357">
        <f t="shared" si="847"/>
        <v>96</v>
      </c>
      <c r="AR1357" s="13">
        <f t="shared" si="848"/>
        <v>12358800.00000014</v>
      </c>
      <c r="AS1357" s="112">
        <f t="shared" si="849"/>
        <v>96</v>
      </c>
    </row>
    <row r="1358" spans="17:45" x14ac:dyDescent="0.25">
      <c r="Q1358" s="127">
        <v>45367.604166666657</v>
      </c>
      <c r="R1358">
        <v>2</v>
      </c>
      <c r="S1358" s="13">
        <f t="shared" si="850"/>
        <v>12367800.00000014</v>
      </c>
      <c r="T1358">
        <f t="shared" si="841"/>
        <v>192</v>
      </c>
      <c r="U1358" s="13">
        <f t="shared" si="842"/>
        <v>12367800.00000014</v>
      </c>
      <c r="V1358" s="112">
        <f t="shared" si="843"/>
        <v>192</v>
      </c>
      <c r="AN1358" s="127">
        <v>45367.604166666657</v>
      </c>
      <c r="AO1358">
        <v>1</v>
      </c>
      <c r="AP1358" s="13">
        <f t="shared" si="851"/>
        <v>12367800.00000014</v>
      </c>
      <c r="AQ1358">
        <f t="shared" ref="AQ1358:AQ1380" si="852">AO1358*96</f>
        <v>96</v>
      </c>
      <c r="AR1358" s="13">
        <f t="shared" ref="AR1358:AR1380" si="853">AP1358</f>
        <v>12367800.00000014</v>
      </c>
      <c r="AS1358" s="112">
        <f t="shared" ref="AS1358:AS1380" si="854">IF(AQ1358=0,0.0000000001,AQ1358)</f>
        <v>96</v>
      </c>
    </row>
    <row r="1359" spans="17:45" x14ac:dyDescent="0.25">
      <c r="Q1359" s="127">
        <v>45367.708333333343</v>
      </c>
      <c r="R1359">
        <v>2</v>
      </c>
      <c r="S1359" s="13">
        <f t="shared" si="850"/>
        <v>12376800.00000014</v>
      </c>
      <c r="T1359">
        <f t="shared" si="841"/>
        <v>192</v>
      </c>
      <c r="U1359" s="13">
        <f t="shared" si="842"/>
        <v>12376800.00000014</v>
      </c>
      <c r="V1359" s="112">
        <f t="shared" si="843"/>
        <v>192</v>
      </c>
      <c r="AN1359" s="127">
        <v>45367.708333333343</v>
      </c>
      <c r="AO1359">
        <v>1</v>
      </c>
      <c r="AP1359" s="13">
        <f t="shared" si="851"/>
        <v>12376800.00000014</v>
      </c>
      <c r="AQ1359">
        <f t="shared" si="852"/>
        <v>96</v>
      </c>
      <c r="AR1359" s="13">
        <f t="shared" si="853"/>
        <v>12376800.00000014</v>
      </c>
      <c r="AS1359" s="112">
        <f t="shared" si="854"/>
        <v>96</v>
      </c>
    </row>
    <row r="1360" spans="17:45" x14ac:dyDescent="0.25">
      <c r="Q1360" s="127">
        <v>45367.8125</v>
      </c>
      <c r="R1360">
        <v>1</v>
      </c>
      <c r="S1360" s="13">
        <f t="shared" si="850"/>
        <v>12385800.00000014</v>
      </c>
      <c r="T1360">
        <f t="shared" si="841"/>
        <v>96</v>
      </c>
      <c r="U1360" s="13">
        <f t="shared" si="842"/>
        <v>12385800.00000014</v>
      </c>
      <c r="V1360" s="112">
        <f t="shared" si="843"/>
        <v>96</v>
      </c>
      <c r="AN1360" s="127">
        <v>45367.8125</v>
      </c>
      <c r="AO1360">
        <v>1</v>
      </c>
      <c r="AP1360" s="13">
        <f t="shared" si="851"/>
        <v>12385800.00000014</v>
      </c>
      <c r="AQ1360">
        <f t="shared" si="852"/>
        <v>96</v>
      </c>
      <c r="AR1360" s="13">
        <f t="shared" si="853"/>
        <v>12385800.00000014</v>
      </c>
      <c r="AS1360" s="112">
        <f t="shared" si="854"/>
        <v>96</v>
      </c>
    </row>
    <row r="1361" spans="17:45" x14ac:dyDescent="0.25">
      <c r="Q1361" s="127">
        <v>45367.916666666657</v>
      </c>
      <c r="R1361">
        <v>2</v>
      </c>
      <c r="S1361" s="13">
        <f t="shared" si="850"/>
        <v>12394800.00000014</v>
      </c>
      <c r="T1361">
        <f t="shared" si="841"/>
        <v>192</v>
      </c>
      <c r="U1361" s="13">
        <f t="shared" si="842"/>
        <v>12394800.00000014</v>
      </c>
      <c r="V1361" s="112">
        <f t="shared" si="843"/>
        <v>192</v>
      </c>
      <c r="AN1361" s="127">
        <v>45367.916666666657</v>
      </c>
      <c r="AO1361">
        <v>1</v>
      </c>
      <c r="AP1361" s="13">
        <f t="shared" si="851"/>
        <v>12394800.00000014</v>
      </c>
      <c r="AQ1361">
        <f t="shared" si="852"/>
        <v>96</v>
      </c>
      <c r="AR1361" s="13">
        <f t="shared" si="853"/>
        <v>12394800.00000014</v>
      </c>
      <c r="AS1361" s="112">
        <f t="shared" si="854"/>
        <v>96</v>
      </c>
    </row>
    <row r="1362" spans="17:45" x14ac:dyDescent="0.25">
      <c r="Q1362" s="127">
        <v>45368.020833333343</v>
      </c>
      <c r="R1362">
        <v>1</v>
      </c>
      <c r="S1362" s="13">
        <f t="shared" si="850"/>
        <v>12403800.00000014</v>
      </c>
      <c r="T1362">
        <f t="shared" si="841"/>
        <v>96</v>
      </c>
      <c r="U1362" s="13">
        <f t="shared" si="842"/>
        <v>12403800.00000014</v>
      </c>
      <c r="V1362" s="112">
        <f t="shared" si="843"/>
        <v>96</v>
      </c>
      <c r="AN1362" s="127">
        <v>45368.020833333343</v>
      </c>
      <c r="AO1362">
        <v>1</v>
      </c>
      <c r="AP1362" s="13">
        <f t="shared" si="851"/>
        <v>12403800.00000014</v>
      </c>
      <c r="AQ1362">
        <f t="shared" si="852"/>
        <v>96</v>
      </c>
      <c r="AR1362" s="13">
        <f t="shared" si="853"/>
        <v>12403800.00000014</v>
      </c>
      <c r="AS1362" s="112">
        <f t="shared" si="854"/>
        <v>96</v>
      </c>
    </row>
    <row r="1363" spans="17:45" x14ac:dyDescent="0.25">
      <c r="Q1363" s="127">
        <v>45368.125</v>
      </c>
      <c r="R1363">
        <v>2</v>
      </c>
      <c r="S1363" s="13">
        <f t="shared" si="850"/>
        <v>12412800.00000014</v>
      </c>
      <c r="T1363">
        <f t="shared" si="841"/>
        <v>192</v>
      </c>
      <c r="U1363" s="13">
        <f t="shared" si="842"/>
        <v>12412800.00000014</v>
      </c>
      <c r="V1363" s="112">
        <f t="shared" si="843"/>
        <v>192</v>
      </c>
      <c r="AN1363" s="127">
        <v>45368.125</v>
      </c>
      <c r="AO1363">
        <v>1</v>
      </c>
      <c r="AP1363" s="13">
        <f t="shared" si="851"/>
        <v>12412800.00000014</v>
      </c>
      <c r="AQ1363">
        <f t="shared" si="852"/>
        <v>96</v>
      </c>
      <c r="AR1363" s="13">
        <f t="shared" si="853"/>
        <v>12412800.00000014</v>
      </c>
      <c r="AS1363" s="112">
        <f t="shared" si="854"/>
        <v>96</v>
      </c>
    </row>
    <row r="1364" spans="17:45" x14ac:dyDescent="0.25">
      <c r="Q1364" s="127">
        <v>45368.229166666657</v>
      </c>
      <c r="R1364">
        <v>2</v>
      </c>
      <c r="S1364" s="13">
        <f t="shared" si="850"/>
        <v>12421800.00000014</v>
      </c>
      <c r="T1364">
        <f t="shared" si="841"/>
        <v>192</v>
      </c>
      <c r="U1364" s="13">
        <f t="shared" si="842"/>
        <v>12421800.00000014</v>
      </c>
      <c r="V1364" s="112">
        <f t="shared" si="843"/>
        <v>192</v>
      </c>
      <c r="AN1364" s="127">
        <v>45368.229166666657</v>
      </c>
      <c r="AO1364">
        <v>1</v>
      </c>
      <c r="AP1364" s="13">
        <f t="shared" si="851"/>
        <v>12421800.00000014</v>
      </c>
      <c r="AQ1364">
        <f t="shared" si="852"/>
        <v>96</v>
      </c>
      <c r="AR1364" s="13">
        <f t="shared" si="853"/>
        <v>12421800.00000014</v>
      </c>
      <c r="AS1364" s="112">
        <f t="shared" si="854"/>
        <v>96</v>
      </c>
    </row>
    <row r="1365" spans="17:45" x14ac:dyDescent="0.25">
      <c r="Q1365" s="127">
        <v>45368.333333333343</v>
      </c>
      <c r="R1365">
        <v>2</v>
      </c>
      <c r="S1365" s="13">
        <f t="shared" si="850"/>
        <v>12430800.00000014</v>
      </c>
      <c r="T1365">
        <f t="shared" si="841"/>
        <v>192</v>
      </c>
      <c r="U1365" s="13">
        <f t="shared" si="842"/>
        <v>12430800.00000014</v>
      </c>
      <c r="V1365" s="112">
        <f t="shared" si="843"/>
        <v>192</v>
      </c>
      <c r="AN1365" s="127">
        <v>45368.333333333343</v>
      </c>
      <c r="AO1365">
        <v>1</v>
      </c>
      <c r="AP1365" s="13">
        <f t="shared" si="851"/>
        <v>12430800.00000014</v>
      </c>
      <c r="AQ1365">
        <f t="shared" si="852"/>
        <v>96</v>
      </c>
      <c r="AR1365" s="13">
        <f t="shared" si="853"/>
        <v>12430800.00000014</v>
      </c>
      <c r="AS1365" s="112">
        <f t="shared" si="854"/>
        <v>96</v>
      </c>
    </row>
    <row r="1366" spans="17:45" x14ac:dyDescent="0.25">
      <c r="Q1366" s="127">
        <v>45368.4375</v>
      </c>
      <c r="R1366">
        <v>2</v>
      </c>
      <c r="S1366" s="13">
        <f t="shared" si="850"/>
        <v>12439800.00000014</v>
      </c>
      <c r="T1366">
        <f t="shared" si="841"/>
        <v>192</v>
      </c>
      <c r="U1366" s="13">
        <f t="shared" si="842"/>
        <v>12439800.00000014</v>
      </c>
      <c r="V1366" s="112">
        <f t="shared" si="843"/>
        <v>192</v>
      </c>
      <c r="AN1366" s="127">
        <v>45368.4375</v>
      </c>
      <c r="AO1366">
        <v>1</v>
      </c>
      <c r="AP1366" s="13">
        <f t="shared" si="851"/>
        <v>12439800.00000014</v>
      </c>
      <c r="AQ1366">
        <f t="shared" si="852"/>
        <v>96</v>
      </c>
      <c r="AR1366" s="13">
        <f t="shared" si="853"/>
        <v>12439800.00000014</v>
      </c>
      <c r="AS1366" s="112">
        <f t="shared" si="854"/>
        <v>96</v>
      </c>
    </row>
    <row r="1367" spans="17:45" x14ac:dyDescent="0.25">
      <c r="Q1367" s="127">
        <v>45368.541666666657</v>
      </c>
      <c r="R1367">
        <v>2</v>
      </c>
      <c r="S1367" s="13">
        <f t="shared" si="850"/>
        <v>12448800.00000014</v>
      </c>
      <c r="T1367">
        <f t="shared" si="841"/>
        <v>192</v>
      </c>
      <c r="U1367" s="13">
        <f t="shared" si="842"/>
        <v>12448800.00000014</v>
      </c>
      <c r="V1367" s="112">
        <f t="shared" si="843"/>
        <v>192</v>
      </c>
      <c r="AN1367" s="127">
        <v>45368.541666666657</v>
      </c>
      <c r="AO1367">
        <v>1</v>
      </c>
      <c r="AP1367" s="13">
        <f t="shared" si="851"/>
        <v>12448800.00000014</v>
      </c>
      <c r="AQ1367">
        <f t="shared" si="852"/>
        <v>96</v>
      </c>
      <c r="AR1367" s="13">
        <f t="shared" si="853"/>
        <v>12448800.00000014</v>
      </c>
      <c r="AS1367" s="112">
        <f t="shared" si="854"/>
        <v>96</v>
      </c>
    </row>
    <row r="1368" spans="17:45" x14ac:dyDescent="0.25">
      <c r="Q1368" s="127">
        <v>45368.645833333343</v>
      </c>
      <c r="R1368">
        <v>2</v>
      </c>
      <c r="S1368" s="13">
        <f t="shared" si="850"/>
        <v>12457800.00000014</v>
      </c>
      <c r="T1368">
        <f t="shared" si="841"/>
        <v>192</v>
      </c>
      <c r="U1368" s="13">
        <f t="shared" si="842"/>
        <v>12457800.00000014</v>
      </c>
      <c r="V1368" s="112">
        <f t="shared" si="843"/>
        <v>192</v>
      </c>
      <c r="AN1368" s="127">
        <v>45368.645833333343</v>
      </c>
      <c r="AO1368">
        <v>1</v>
      </c>
      <c r="AP1368" s="13">
        <f t="shared" si="851"/>
        <v>12457800.00000014</v>
      </c>
      <c r="AQ1368">
        <f t="shared" si="852"/>
        <v>96</v>
      </c>
      <c r="AR1368" s="13">
        <f t="shared" si="853"/>
        <v>12457800.00000014</v>
      </c>
      <c r="AS1368" s="112">
        <f t="shared" si="854"/>
        <v>96</v>
      </c>
    </row>
    <row r="1369" spans="17:45" x14ac:dyDescent="0.25">
      <c r="Q1369" s="127">
        <v>45368.75</v>
      </c>
      <c r="R1369">
        <v>2</v>
      </c>
      <c r="S1369" s="13">
        <f t="shared" si="850"/>
        <v>12466800.00000014</v>
      </c>
      <c r="T1369">
        <f t="shared" si="841"/>
        <v>192</v>
      </c>
      <c r="U1369" s="13">
        <f t="shared" si="842"/>
        <v>12466800.00000014</v>
      </c>
      <c r="V1369" s="112">
        <f t="shared" si="843"/>
        <v>192</v>
      </c>
      <c r="AN1369" s="127">
        <v>45368.75</v>
      </c>
      <c r="AO1369">
        <v>1</v>
      </c>
      <c r="AP1369" s="13">
        <f t="shared" si="851"/>
        <v>12466800.00000014</v>
      </c>
      <c r="AQ1369">
        <f t="shared" si="852"/>
        <v>96</v>
      </c>
      <c r="AR1369" s="13">
        <f t="shared" si="853"/>
        <v>12466800.00000014</v>
      </c>
      <c r="AS1369" s="112">
        <f t="shared" si="854"/>
        <v>96</v>
      </c>
    </row>
    <row r="1370" spans="17:45" x14ac:dyDescent="0.25">
      <c r="Q1370" s="127">
        <v>45368.854166666657</v>
      </c>
      <c r="R1370">
        <v>2</v>
      </c>
      <c r="S1370" s="13">
        <f t="shared" si="850"/>
        <v>12475800.00000014</v>
      </c>
      <c r="T1370">
        <f t="shared" si="841"/>
        <v>192</v>
      </c>
      <c r="U1370" s="13">
        <f t="shared" si="842"/>
        <v>12475800.00000014</v>
      </c>
      <c r="V1370" s="112">
        <f t="shared" si="843"/>
        <v>192</v>
      </c>
      <c r="AN1370" s="127">
        <v>45368.854166666657</v>
      </c>
      <c r="AO1370">
        <v>1</v>
      </c>
      <c r="AP1370" s="13">
        <f t="shared" si="851"/>
        <v>12475800.00000014</v>
      </c>
      <c r="AQ1370">
        <f t="shared" si="852"/>
        <v>96</v>
      </c>
      <c r="AR1370" s="13">
        <f t="shared" si="853"/>
        <v>12475800.00000014</v>
      </c>
      <c r="AS1370" s="112">
        <f t="shared" si="854"/>
        <v>96</v>
      </c>
    </row>
    <row r="1371" spans="17:45" x14ac:dyDescent="0.25">
      <c r="Q1371" s="127">
        <v>45368.958333333343</v>
      </c>
      <c r="R1371">
        <v>2</v>
      </c>
      <c r="S1371" s="13">
        <f t="shared" si="850"/>
        <v>12484800.00000014</v>
      </c>
      <c r="T1371">
        <f t="shared" si="841"/>
        <v>192</v>
      </c>
      <c r="U1371" s="13">
        <f t="shared" si="842"/>
        <v>12484800.00000014</v>
      </c>
      <c r="V1371" s="112">
        <f t="shared" si="843"/>
        <v>192</v>
      </c>
      <c r="AN1371" s="127">
        <v>45368.958333333343</v>
      </c>
      <c r="AO1371">
        <v>1</v>
      </c>
      <c r="AP1371" s="13">
        <f t="shared" si="851"/>
        <v>12484800.00000014</v>
      </c>
      <c r="AQ1371">
        <f t="shared" si="852"/>
        <v>96</v>
      </c>
      <c r="AR1371" s="13">
        <f t="shared" si="853"/>
        <v>12484800.00000014</v>
      </c>
      <c r="AS1371" s="112">
        <f t="shared" si="854"/>
        <v>96</v>
      </c>
    </row>
    <row r="1372" spans="17:45" x14ac:dyDescent="0.25">
      <c r="Q1372" s="127">
        <v>45369.0625</v>
      </c>
      <c r="R1372">
        <v>2</v>
      </c>
      <c r="S1372" s="13">
        <f t="shared" si="850"/>
        <v>12493800.00000014</v>
      </c>
      <c r="T1372">
        <f t="shared" si="841"/>
        <v>192</v>
      </c>
      <c r="U1372" s="13">
        <f t="shared" si="842"/>
        <v>12493800.00000014</v>
      </c>
      <c r="V1372" s="112">
        <f t="shared" si="843"/>
        <v>192</v>
      </c>
      <c r="AN1372" s="127">
        <v>45369.0625</v>
      </c>
      <c r="AO1372">
        <v>1</v>
      </c>
      <c r="AP1372" s="13">
        <f t="shared" si="851"/>
        <v>12493800.00000014</v>
      </c>
      <c r="AQ1372">
        <f t="shared" si="852"/>
        <v>96</v>
      </c>
      <c r="AR1372" s="13">
        <f t="shared" si="853"/>
        <v>12493800.00000014</v>
      </c>
      <c r="AS1372" s="112">
        <f t="shared" si="854"/>
        <v>96</v>
      </c>
    </row>
    <row r="1373" spans="17:45" x14ac:dyDescent="0.25">
      <c r="Q1373" s="127">
        <v>45369.166666666657</v>
      </c>
      <c r="R1373">
        <v>2</v>
      </c>
      <c r="S1373" s="13">
        <f t="shared" si="850"/>
        <v>12502800.00000014</v>
      </c>
      <c r="T1373">
        <f t="shared" si="841"/>
        <v>192</v>
      </c>
      <c r="U1373" s="13">
        <f t="shared" si="842"/>
        <v>12502800.00000014</v>
      </c>
      <c r="V1373" s="112">
        <f t="shared" si="843"/>
        <v>192</v>
      </c>
      <c r="AN1373" s="127">
        <v>45369.166666666657</v>
      </c>
      <c r="AO1373">
        <v>1</v>
      </c>
      <c r="AP1373" s="13">
        <f t="shared" si="851"/>
        <v>12502800.00000014</v>
      </c>
      <c r="AQ1373">
        <f t="shared" si="852"/>
        <v>96</v>
      </c>
      <c r="AR1373" s="13">
        <f t="shared" si="853"/>
        <v>12502800.00000014</v>
      </c>
      <c r="AS1373" s="112">
        <f t="shared" si="854"/>
        <v>96</v>
      </c>
    </row>
    <row r="1374" spans="17:45" x14ac:dyDescent="0.25">
      <c r="Q1374" s="127">
        <v>45369.270833333343</v>
      </c>
      <c r="R1374">
        <v>2</v>
      </c>
      <c r="S1374" s="13">
        <f t="shared" si="850"/>
        <v>12511800.00000014</v>
      </c>
      <c r="T1374">
        <f t="shared" si="841"/>
        <v>192</v>
      </c>
      <c r="U1374" s="13">
        <f t="shared" si="842"/>
        <v>12511800.00000014</v>
      </c>
      <c r="V1374" s="112">
        <f t="shared" si="843"/>
        <v>192</v>
      </c>
      <c r="AN1374" s="127">
        <v>45369.270833333343</v>
      </c>
      <c r="AO1374">
        <v>1</v>
      </c>
      <c r="AP1374" s="13">
        <f t="shared" si="851"/>
        <v>12511800.00000014</v>
      </c>
      <c r="AQ1374">
        <f t="shared" si="852"/>
        <v>96</v>
      </c>
      <c r="AR1374" s="13">
        <f t="shared" si="853"/>
        <v>12511800.00000014</v>
      </c>
      <c r="AS1374" s="112">
        <f t="shared" si="854"/>
        <v>96</v>
      </c>
    </row>
    <row r="1375" spans="17:45" x14ac:dyDescent="0.25">
      <c r="Q1375" s="127">
        <v>45369.375</v>
      </c>
      <c r="R1375">
        <v>3</v>
      </c>
      <c r="S1375" s="13">
        <f t="shared" si="850"/>
        <v>12520800.00000014</v>
      </c>
      <c r="T1375">
        <f t="shared" si="841"/>
        <v>288</v>
      </c>
      <c r="U1375" s="13">
        <f t="shared" si="842"/>
        <v>12520800.00000014</v>
      </c>
      <c r="V1375" s="112">
        <f t="shared" si="843"/>
        <v>288</v>
      </c>
      <c r="AN1375" s="127">
        <v>45369.375</v>
      </c>
      <c r="AO1375">
        <v>1</v>
      </c>
      <c r="AP1375" s="13">
        <f t="shared" si="851"/>
        <v>12520800.00000014</v>
      </c>
      <c r="AQ1375">
        <f t="shared" si="852"/>
        <v>96</v>
      </c>
      <c r="AR1375" s="13">
        <f t="shared" si="853"/>
        <v>12520800.00000014</v>
      </c>
      <c r="AS1375" s="112">
        <f t="shared" si="854"/>
        <v>96</v>
      </c>
    </row>
    <row r="1376" spans="17:45" x14ac:dyDescent="0.25">
      <c r="Q1376" s="127">
        <v>45369.479166666657</v>
      </c>
      <c r="R1376">
        <v>1</v>
      </c>
      <c r="S1376" s="13">
        <f t="shared" si="850"/>
        <v>12529800.00000014</v>
      </c>
      <c r="T1376">
        <f t="shared" si="841"/>
        <v>96</v>
      </c>
      <c r="U1376" s="13">
        <f t="shared" si="842"/>
        <v>12529800.00000014</v>
      </c>
      <c r="V1376" s="112">
        <f t="shared" si="843"/>
        <v>96</v>
      </c>
      <c r="AN1376" s="127">
        <v>45369.479166666657</v>
      </c>
      <c r="AO1376">
        <v>1</v>
      </c>
      <c r="AP1376" s="13">
        <f t="shared" si="851"/>
        <v>12529800.00000014</v>
      </c>
      <c r="AQ1376">
        <f t="shared" si="852"/>
        <v>96</v>
      </c>
      <c r="AR1376" s="13">
        <f t="shared" si="853"/>
        <v>12529800.00000014</v>
      </c>
      <c r="AS1376" s="112">
        <f t="shared" si="854"/>
        <v>96</v>
      </c>
    </row>
    <row r="1377" spans="17:45" x14ac:dyDescent="0.25">
      <c r="Q1377" s="127">
        <v>45369.583333333343</v>
      </c>
      <c r="R1377">
        <v>2</v>
      </c>
      <c r="S1377" s="13">
        <f t="shared" si="850"/>
        <v>12538800.00000014</v>
      </c>
      <c r="T1377">
        <f t="shared" si="841"/>
        <v>192</v>
      </c>
      <c r="U1377" s="13">
        <f t="shared" si="842"/>
        <v>12538800.00000014</v>
      </c>
      <c r="V1377" s="112">
        <f t="shared" si="843"/>
        <v>192</v>
      </c>
      <c r="AN1377" s="127">
        <v>45369.583333333343</v>
      </c>
      <c r="AO1377">
        <v>6</v>
      </c>
      <c r="AP1377" s="13">
        <f t="shared" si="851"/>
        <v>12538800.00000014</v>
      </c>
      <c r="AQ1377">
        <f t="shared" si="852"/>
        <v>576</v>
      </c>
      <c r="AR1377" s="13">
        <f t="shared" si="853"/>
        <v>12538800.00000014</v>
      </c>
      <c r="AS1377" s="112">
        <f t="shared" si="854"/>
        <v>576</v>
      </c>
    </row>
    <row r="1378" spans="17:45" x14ac:dyDescent="0.25">
      <c r="Q1378" s="127">
        <v>45369.6875</v>
      </c>
      <c r="R1378">
        <v>0</v>
      </c>
      <c r="S1378" s="13">
        <f t="shared" si="850"/>
        <v>12547800.00000014</v>
      </c>
      <c r="T1378">
        <f t="shared" si="841"/>
        <v>0</v>
      </c>
      <c r="U1378" s="13">
        <f t="shared" si="842"/>
        <v>12547800.00000014</v>
      </c>
      <c r="V1378" s="112">
        <f t="shared" si="843"/>
        <v>1E-10</v>
      </c>
      <c r="AN1378" s="127">
        <v>45369.6875</v>
      </c>
      <c r="AO1378">
        <v>2</v>
      </c>
      <c r="AP1378" s="13">
        <f t="shared" si="851"/>
        <v>12547800.00000014</v>
      </c>
      <c r="AQ1378">
        <f t="shared" si="852"/>
        <v>192</v>
      </c>
      <c r="AR1378" s="13">
        <f t="shared" si="853"/>
        <v>12547800.00000014</v>
      </c>
      <c r="AS1378" s="112">
        <f t="shared" si="854"/>
        <v>192</v>
      </c>
    </row>
    <row r="1379" spans="17:45" x14ac:dyDescent="0.25">
      <c r="Q1379" s="127">
        <v>45369.791666666657</v>
      </c>
      <c r="R1379">
        <v>0</v>
      </c>
      <c r="S1379" s="13">
        <f t="shared" si="850"/>
        <v>12556800.00000014</v>
      </c>
      <c r="T1379">
        <f t="shared" si="841"/>
        <v>0</v>
      </c>
      <c r="U1379" s="13">
        <f t="shared" si="842"/>
        <v>12556800.00000014</v>
      </c>
      <c r="V1379" s="112">
        <f t="shared" si="843"/>
        <v>1E-10</v>
      </c>
      <c r="AN1379" s="127">
        <v>45369.791666666657</v>
      </c>
      <c r="AO1379">
        <v>1</v>
      </c>
      <c r="AP1379" s="13">
        <f t="shared" si="851"/>
        <v>12556800.00000014</v>
      </c>
      <c r="AQ1379">
        <f t="shared" si="852"/>
        <v>96</v>
      </c>
      <c r="AR1379" s="13">
        <f t="shared" si="853"/>
        <v>12556800.00000014</v>
      </c>
      <c r="AS1379" s="112">
        <f t="shared" si="854"/>
        <v>96</v>
      </c>
    </row>
    <row r="1380" spans="17:45" x14ac:dyDescent="0.25">
      <c r="Q1380" s="127">
        <v>45369.895833333343</v>
      </c>
      <c r="R1380">
        <v>1</v>
      </c>
      <c r="S1380" s="13">
        <f t="shared" si="850"/>
        <v>12565800.00000014</v>
      </c>
      <c r="T1380">
        <f t="shared" si="841"/>
        <v>96</v>
      </c>
      <c r="U1380" s="13">
        <f t="shared" si="842"/>
        <v>12565800.00000014</v>
      </c>
      <c r="V1380" s="112">
        <f t="shared" si="843"/>
        <v>96</v>
      </c>
      <c r="AN1380" s="127">
        <v>45369.895833333343</v>
      </c>
      <c r="AO1380">
        <v>1</v>
      </c>
      <c r="AP1380" s="13">
        <f t="shared" si="851"/>
        <v>12565800.00000014</v>
      </c>
      <c r="AQ1380">
        <f t="shared" si="852"/>
        <v>96</v>
      </c>
      <c r="AR1380" s="13">
        <f t="shared" si="853"/>
        <v>12565800.00000014</v>
      </c>
      <c r="AS1380" s="112">
        <f t="shared" si="854"/>
        <v>96</v>
      </c>
    </row>
    <row r="1381" spans="17:45" x14ac:dyDescent="0.25">
      <c r="Q1381" s="127">
        <v>45369.9375</v>
      </c>
      <c r="R1381">
        <v>2</v>
      </c>
      <c r="S1381" s="13">
        <f>S1380+60*60</f>
        <v>12569400.00000014</v>
      </c>
      <c r="T1381">
        <f t="shared" ref="T1381:T1398" si="855">R1381*96</f>
        <v>192</v>
      </c>
      <c r="U1381" s="13">
        <f t="shared" ref="U1381:U1398" si="856">S1381</f>
        <v>12569400.00000014</v>
      </c>
      <c r="V1381" s="112">
        <f t="shared" ref="V1381:V1398" si="857">IF(T1381=0,0.0000000001,T1381)</f>
        <v>192</v>
      </c>
      <c r="AN1381" s="127">
        <v>45369.9375</v>
      </c>
      <c r="AO1381">
        <v>1</v>
      </c>
      <c r="AP1381" s="13">
        <f>AP1380+60*60</f>
        <v>12569400.00000014</v>
      </c>
      <c r="AQ1381">
        <f t="shared" ref="AQ1381:AQ1398" si="858">AO1381*96</f>
        <v>96</v>
      </c>
      <c r="AR1381" s="13">
        <f t="shared" ref="AR1381:AR1398" si="859">AP1381</f>
        <v>12569400.00000014</v>
      </c>
      <c r="AS1381" s="112">
        <f t="shared" ref="AS1381:AS1398" si="860">IF(AQ1381=0,0.0000000001,AQ1381)</f>
        <v>96</v>
      </c>
    </row>
    <row r="1382" spans="17:45" x14ac:dyDescent="0.25">
      <c r="Q1382" s="127">
        <v>45370.041666666657</v>
      </c>
      <c r="R1382">
        <v>3</v>
      </c>
      <c r="S1382" s="13">
        <f t="shared" ref="S1382:S1398" si="861">S1381+150*60</f>
        <v>12578400.00000014</v>
      </c>
      <c r="T1382">
        <f t="shared" si="855"/>
        <v>288</v>
      </c>
      <c r="U1382" s="13">
        <f t="shared" si="856"/>
        <v>12578400.00000014</v>
      </c>
      <c r="V1382" s="112">
        <f t="shared" si="857"/>
        <v>288</v>
      </c>
      <c r="AN1382" s="127">
        <v>45370.041666666657</v>
      </c>
      <c r="AO1382">
        <v>1</v>
      </c>
      <c r="AP1382" s="13">
        <f t="shared" ref="AP1382:AP1398" si="862">AP1381+150*60</f>
        <v>12578400.00000014</v>
      </c>
      <c r="AQ1382">
        <f t="shared" si="858"/>
        <v>96</v>
      </c>
      <c r="AR1382" s="13">
        <f t="shared" si="859"/>
        <v>12578400.00000014</v>
      </c>
      <c r="AS1382" s="112">
        <f t="shared" si="860"/>
        <v>96</v>
      </c>
    </row>
    <row r="1383" spans="17:45" x14ac:dyDescent="0.25">
      <c r="Q1383" s="127">
        <v>45370.145833333343</v>
      </c>
      <c r="R1383">
        <v>1</v>
      </c>
      <c r="S1383" s="13">
        <f t="shared" si="861"/>
        <v>12587400.00000014</v>
      </c>
      <c r="T1383">
        <f t="shared" si="855"/>
        <v>96</v>
      </c>
      <c r="U1383" s="13">
        <f t="shared" si="856"/>
        <v>12587400.00000014</v>
      </c>
      <c r="V1383" s="112">
        <f t="shared" si="857"/>
        <v>96</v>
      </c>
      <c r="AN1383" s="127">
        <v>45370.145833333343</v>
      </c>
      <c r="AO1383">
        <v>1</v>
      </c>
      <c r="AP1383" s="13">
        <f t="shared" si="862"/>
        <v>12587400.00000014</v>
      </c>
      <c r="AQ1383">
        <f t="shared" si="858"/>
        <v>96</v>
      </c>
      <c r="AR1383" s="13">
        <f t="shared" si="859"/>
        <v>12587400.00000014</v>
      </c>
      <c r="AS1383" s="112">
        <f t="shared" si="860"/>
        <v>96</v>
      </c>
    </row>
    <row r="1384" spans="17:45" x14ac:dyDescent="0.25">
      <c r="Q1384" s="127">
        <v>45370.25</v>
      </c>
      <c r="R1384">
        <v>2</v>
      </c>
      <c r="S1384" s="13">
        <f t="shared" si="861"/>
        <v>12596400.00000014</v>
      </c>
      <c r="T1384">
        <f t="shared" si="855"/>
        <v>192</v>
      </c>
      <c r="U1384" s="13">
        <f t="shared" si="856"/>
        <v>12596400.00000014</v>
      </c>
      <c r="V1384" s="112">
        <f t="shared" si="857"/>
        <v>192</v>
      </c>
      <c r="AN1384" s="127">
        <v>45370.25</v>
      </c>
      <c r="AO1384">
        <v>1</v>
      </c>
      <c r="AP1384" s="13">
        <f t="shared" si="862"/>
        <v>12596400.00000014</v>
      </c>
      <c r="AQ1384">
        <f t="shared" si="858"/>
        <v>96</v>
      </c>
      <c r="AR1384" s="13">
        <f t="shared" si="859"/>
        <v>12596400.00000014</v>
      </c>
      <c r="AS1384" s="112">
        <f t="shared" si="860"/>
        <v>96</v>
      </c>
    </row>
    <row r="1385" spans="17:45" x14ac:dyDescent="0.25">
      <c r="Q1385" s="127">
        <v>45370.354166666657</v>
      </c>
      <c r="R1385">
        <v>2</v>
      </c>
      <c r="S1385" s="13">
        <f t="shared" si="861"/>
        <v>12605400.00000014</v>
      </c>
      <c r="T1385">
        <f t="shared" si="855"/>
        <v>192</v>
      </c>
      <c r="U1385" s="13">
        <f t="shared" si="856"/>
        <v>12605400.00000014</v>
      </c>
      <c r="V1385" s="112">
        <f t="shared" si="857"/>
        <v>192</v>
      </c>
      <c r="AN1385" s="127">
        <v>45370.354166666657</v>
      </c>
      <c r="AO1385">
        <v>1</v>
      </c>
      <c r="AP1385" s="13">
        <f t="shared" si="862"/>
        <v>12605400.00000014</v>
      </c>
      <c r="AQ1385">
        <f t="shared" si="858"/>
        <v>96</v>
      </c>
      <c r="AR1385" s="13">
        <f t="shared" si="859"/>
        <v>12605400.00000014</v>
      </c>
      <c r="AS1385" s="112">
        <f t="shared" si="860"/>
        <v>96</v>
      </c>
    </row>
    <row r="1386" spans="17:45" x14ac:dyDescent="0.25">
      <c r="Q1386" s="127">
        <v>45370.458333333343</v>
      </c>
      <c r="R1386">
        <v>2</v>
      </c>
      <c r="S1386" s="13">
        <f t="shared" si="861"/>
        <v>12614400.00000014</v>
      </c>
      <c r="T1386">
        <f t="shared" si="855"/>
        <v>192</v>
      </c>
      <c r="U1386" s="13">
        <f t="shared" si="856"/>
        <v>12614400.00000014</v>
      </c>
      <c r="V1386" s="112">
        <f t="shared" si="857"/>
        <v>192</v>
      </c>
      <c r="AN1386" s="127">
        <v>45370.458333333343</v>
      </c>
      <c r="AO1386">
        <v>1</v>
      </c>
      <c r="AP1386" s="13">
        <f t="shared" si="862"/>
        <v>12614400.00000014</v>
      </c>
      <c r="AQ1386">
        <f t="shared" si="858"/>
        <v>96</v>
      </c>
      <c r="AR1386" s="13">
        <f t="shared" si="859"/>
        <v>12614400.00000014</v>
      </c>
      <c r="AS1386" s="112">
        <f t="shared" si="860"/>
        <v>96</v>
      </c>
    </row>
    <row r="1387" spans="17:45" x14ac:dyDescent="0.25">
      <c r="Q1387" s="127">
        <v>45370.5625</v>
      </c>
      <c r="R1387">
        <v>2</v>
      </c>
      <c r="S1387" s="13">
        <f t="shared" si="861"/>
        <v>12623400.00000014</v>
      </c>
      <c r="T1387">
        <f t="shared" si="855"/>
        <v>192</v>
      </c>
      <c r="U1387" s="13">
        <f t="shared" si="856"/>
        <v>12623400.00000014</v>
      </c>
      <c r="V1387" s="112">
        <f t="shared" si="857"/>
        <v>192</v>
      </c>
      <c r="AN1387" s="127">
        <v>45370.5625</v>
      </c>
      <c r="AO1387">
        <v>1</v>
      </c>
      <c r="AP1387" s="13">
        <f t="shared" si="862"/>
        <v>12623400.00000014</v>
      </c>
      <c r="AQ1387">
        <f t="shared" si="858"/>
        <v>96</v>
      </c>
      <c r="AR1387" s="13">
        <f t="shared" si="859"/>
        <v>12623400.00000014</v>
      </c>
      <c r="AS1387" s="112">
        <f t="shared" si="860"/>
        <v>96</v>
      </c>
    </row>
    <row r="1388" spans="17:45" x14ac:dyDescent="0.25">
      <c r="Q1388" s="127">
        <v>45370.666666666657</v>
      </c>
      <c r="R1388">
        <v>2</v>
      </c>
      <c r="S1388" s="13">
        <f t="shared" si="861"/>
        <v>12632400.00000014</v>
      </c>
      <c r="T1388">
        <f t="shared" si="855"/>
        <v>192</v>
      </c>
      <c r="U1388" s="13">
        <f t="shared" si="856"/>
        <v>12632400.00000014</v>
      </c>
      <c r="V1388" s="112">
        <f t="shared" si="857"/>
        <v>192</v>
      </c>
      <c r="AN1388" s="127">
        <v>45370.666666666657</v>
      </c>
      <c r="AO1388">
        <v>1</v>
      </c>
      <c r="AP1388" s="13">
        <f t="shared" si="862"/>
        <v>12632400.00000014</v>
      </c>
      <c r="AQ1388">
        <f t="shared" si="858"/>
        <v>96</v>
      </c>
      <c r="AR1388" s="13">
        <f t="shared" si="859"/>
        <v>12632400.00000014</v>
      </c>
      <c r="AS1388" s="112">
        <f t="shared" si="860"/>
        <v>96</v>
      </c>
    </row>
    <row r="1389" spans="17:45" x14ac:dyDescent="0.25">
      <c r="Q1389" s="127">
        <v>45370.770833333343</v>
      </c>
      <c r="R1389">
        <v>2</v>
      </c>
      <c r="S1389" s="13">
        <f t="shared" si="861"/>
        <v>12641400.00000014</v>
      </c>
      <c r="T1389">
        <f t="shared" si="855"/>
        <v>192</v>
      </c>
      <c r="U1389" s="13">
        <f t="shared" si="856"/>
        <v>12641400.00000014</v>
      </c>
      <c r="V1389" s="112">
        <f t="shared" si="857"/>
        <v>192</v>
      </c>
      <c r="AN1389" s="127">
        <v>45370.770833333343</v>
      </c>
      <c r="AO1389">
        <v>1</v>
      </c>
      <c r="AP1389" s="13">
        <f t="shared" si="862"/>
        <v>12641400.00000014</v>
      </c>
      <c r="AQ1389">
        <f t="shared" si="858"/>
        <v>96</v>
      </c>
      <c r="AR1389" s="13">
        <f t="shared" si="859"/>
        <v>12641400.00000014</v>
      </c>
      <c r="AS1389" s="112">
        <f t="shared" si="860"/>
        <v>96</v>
      </c>
    </row>
    <row r="1390" spans="17:45" x14ac:dyDescent="0.25">
      <c r="Q1390" s="127">
        <v>45370.875</v>
      </c>
      <c r="R1390">
        <v>3</v>
      </c>
      <c r="S1390" s="13">
        <f t="shared" si="861"/>
        <v>12650400.00000014</v>
      </c>
      <c r="T1390">
        <f t="shared" si="855"/>
        <v>288</v>
      </c>
      <c r="U1390" s="13">
        <f t="shared" si="856"/>
        <v>12650400.00000014</v>
      </c>
      <c r="V1390" s="112">
        <f t="shared" si="857"/>
        <v>288</v>
      </c>
      <c r="AN1390" s="127">
        <v>45370.875</v>
      </c>
      <c r="AO1390">
        <v>1</v>
      </c>
      <c r="AP1390" s="13">
        <f t="shared" si="862"/>
        <v>12650400.00000014</v>
      </c>
      <c r="AQ1390">
        <f t="shared" si="858"/>
        <v>96</v>
      </c>
      <c r="AR1390" s="13">
        <f t="shared" si="859"/>
        <v>12650400.00000014</v>
      </c>
      <c r="AS1390" s="112">
        <f t="shared" si="860"/>
        <v>96</v>
      </c>
    </row>
    <row r="1391" spans="17:45" x14ac:dyDescent="0.25">
      <c r="Q1391" s="127">
        <v>45370.979166666657</v>
      </c>
      <c r="R1391">
        <v>2</v>
      </c>
      <c r="S1391" s="13">
        <f t="shared" si="861"/>
        <v>12659400.00000014</v>
      </c>
      <c r="T1391">
        <f t="shared" si="855"/>
        <v>192</v>
      </c>
      <c r="U1391" s="13">
        <f t="shared" si="856"/>
        <v>12659400.00000014</v>
      </c>
      <c r="V1391" s="112">
        <f t="shared" si="857"/>
        <v>192</v>
      </c>
      <c r="AN1391" s="127">
        <v>45370.979166666657</v>
      </c>
      <c r="AO1391">
        <v>1</v>
      </c>
      <c r="AP1391" s="13">
        <f t="shared" si="862"/>
        <v>12659400.00000014</v>
      </c>
      <c r="AQ1391">
        <f t="shared" si="858"/>
        <v>96</v>
      </c>
      <c r="AR1391" s="13">
        <f t="shared" si="859"/>
        <v>12659400.00000014</v>
      </c>
      <c r="AS1391" s="112">
        <f t="shared" si="860"/>
        <v>96</v>
      </c>
    </row>
    <row r="1392" spans="17:45" x14ac:dyDescent="0.25">
      <c r="Q1392" s="127">
        <v>45371.083333333343</v>
      </c>
      <c r="R1392">
        <v>2</v>
      </c>
      <c r="S1392" s="13">
        <f t="shared" si="861"/>
        <v>12668400.00000014</v>
      </c>
      <c r="T1392">
        <f t="shared" si="855"/>
        <v>192</v>
      </c>
      <c r="U1392" s="13">
        <f t="shared" si="856"/>
        <v>12668400.00000014</v>
      </c>
      <c r="V1392" s="112">
        <f t="shared" si="857"/>
        <v>192</v>
      </c>
      <c r="AN1392" s="127">
        <v>45371.083333333343</v>
      </c>
      <c r="AO1392">
        <v>1</v>
      </c>
      <c r="AP1392" s="13">
        <f t="shared" si="862"/>
        <v>12668400.00000014</v>
      </c>
      <c r="AQ1392">
        <f t="shared" si="858"/>
        <v>96</v>
      </c>
      <c r="AR1392" s="13">
        <f t="shared" si="859"/>
        <v>12668400.00000014</v>
      </c>
      <c r="AS1392" s="112">
        <f t="shared" si="860"/>
        <v>96</v>
      </c>
    </row>
    <row r="1393" spans="17:45" x14ac:dyDescent="0.25">
      <c r="Q1393" s="127">
        <v>45371.1875</v>
      </c>
      <c r="R1393">
        <v>3</v>
      </c>
      <c r="S1393" s="13">
        <f t="shared" si="861"/>
        <v>12677400.00000014</v>
      </c>
      <c r="T1393">
        <f t="shared" si="855"/>
        <v>288</v>
      </c>
      <c r="U1393" s="13">
        <f t="shared" si="856"/>
        <v>12677400.00000014</v>
      </c>
      <c r="V1393" s="112">
        <f t="shared" si="857"/>
        <v>288</v>
      </c>
      <c r="AN1393" s="127">
        <v>45371.1875</v>
      </c>
      <c r="AO1393">
        <v>1</v>
      </c>
      <c r="AP1393" s="13">
        <f t="shared" si="862"/>
        <v>12677400.00000014</v>
      </c>
      <c r="AQ1393">
        <f t="shared" si="858"/>
        <v>96</v>
      </c>
      <c r="AR1393" s="13">
        <f t="shared" si="859"/>
        <v>12677400.00000014</v>
      </c>
      <c r="AS1393" s="112">
        <f t="shared" si="860"/>
        <v>96</v>
      </c>
    </row>
    <row r="1394" spans="17:45" x14ac:dyDescent="0.25">
      <c r="Q1394" s="127">
        <v>45371.291666666657</v>
      </c>
      <c r="R1394">
        <v>3</v>
      </c>
      <c r="S1394" s="13">
        <f t="shared" si="861"/>
        <v>12686400.00000014</v>
      </c>
      <c r="T1394">
        <f t="shared" si="855"/>
        <v>288</v>
      </c>
      <c r="U1394" s="13">
        <f t="shared" si="856"/>
        <v>12686400.00000014</v>
      </c>
      <c r="V1394" s="112">
        <f t="shared" si="857"/>
        <v>288</v>
      </c>
      <c r="AN1394" s="127">
        <v>45371.291666666657</v>
      </c>
      <c r="AO1394">
        <v>1</v>
      </c>
      <c r="AP1394" s="13">
        <f t="shared" si="862"/>
        <v>12686400.00000014</v>
      </c>
      <c r="AQ1394">
        <f t="shared" si="858"/>
        <v>96</v>
      </c>
      <c r="AR1394" s="13">
        <f t="shared" si="859"/>
        <v>12686400.00000014</v>
      </c>
      <c r="AS1394" s="112">
        <f t="shared" si="860"/>
        <v>96</v>
      </c>
    </row>
    <row r="1395" spans="17:45" x14ac:dyDescent="0.25">
      <c r="Q1395" s="127">
        <v>45371.395833333343</v>
      </c>
      <c r="R1395">
        <v>3</v>
      </c>
      <c r="S1395" s="13">
        <f t="shared" si="861"/>
        <v>12695400.00000014</v>
      </c>
      <c r="T1395">
        <f t="shared" si="855"/>
        <v>288</v>
      </c>
      <c r="U1395" s="13">
        <f t="shared" si="856"/>
        <v>12695400.00000014</v>
      </c>
      <c r="V1395" s="112">
        <f t="shared" si="857"/>
        <v>288</v>
      </c>
      <c r="AN1395" s="127">
        <v>45371.395833333343</v>
      </c>
      <c r="AO1395">
        <v>1</v>
      </c>
      <c r="AP1395" s="13">
        <f t="shared" si="862"/>
        <v>12695400.00000014</v>
      </c>
      <c r="AQ1395">
        <f t="shared" si="858"/>
        <v>96</v>
      </c>
      <c r="AR1395" s="13">
        <f t="shared" si="859"/>
        <v>12695400.00000014</v>
      </c>
      <c r="AS1395" s="112">
        <f t="shared" si="860"/>
        <v>96</v>
      </c>
    </row>
    <row r="1396" spans="17:45" x14ac:dyDescent="0.25">
      <c r="Q1396" s="127">
        <v>45371.5</v>
      </c>
      <c r="R1396">
        <v>3</v>
      </c>
      <c r="S1396" s="13">
        <f t="shared" si="861"/>
        <v>12704400.00000014</v>
      </c>
      <c r="T1396">
        <f t="shared" si="855"/>
        <v>288</v>
      </c>
      <c r="U1396" s="13">
        <f t="shared" si="856"/>
        <v>12704400.00000014</v>
      </c>
      <c r="V1396" s="112">
        <f t="shared" si="857"/>
        <v>288</v>
      </c>
      <c r="AN1396" s="127">
        <v>45371.5</v>
      </c>
      <c r="AO1396">
        <v>1</v>
      </c>
      <c r="AP1396" s="13">
        <f t="shared" si="862"/>
        <v>12704400.00000014</v>
      </c>
      <c r="AQ1396">
        <f t="shared" si="858"/>
        <v>96</v>
      </c>
      <c r="AR1396" s="13">
        <f t="shared" si="859"/>
        <v>12704400.00000014</v>
      </c>
      <c r="AS1396" s="112">
        <f t="shared" si="860"/>
        <v>96</v>
      </c>
    </row>
    <row r="1397" spans="17:45" x14ac:dyDescent="0.25">
      <c r="Q1397" s="127">
        <v>45371.604166666657</v>
      </c>
      <c r="R1397">
        <v>1</v>
      </c>
      <c r="S1397" s="13">
        <f t="shared" si="861"/>
        <v>12713400.00000014</v>
      </c>
      <c r="T1397">
        <f t="shared" si="855"/>
        <v>96</v>
      </c>
      <c r="U1397" s="13">
        <f t="shared" si="856"/>
        <v>12713400.00000014</v>
      </c>
      <c r="V1397" s="112">
        <f t="shared" si="857"/>
        <v>96</v>
      </c>
      <c r="AN1397" s="127">
        <v>45371.604166666657</v>
      </c>
      <c r="AO1397">
        <v>0</v>
      </c>
      <c r="AP1397" s="13">
        <f t="shared" si="862"/>
        <v>12713400.00000014</v>
      </c>
      <c r="AQ1397">
        <f t="shared" si="858"/>
        <v>0</v>
      </c>
      <c r="AR1397" s="13">
        <f t="shared" si="859"/>
        <v>12713400.00000014</v>
      </c>
      <c r="AS1397" s="112">
        <f t="shared" si="860"/>
        <v>1E-10</v>
      </c>
    </row>
    <row r="1398" spans="17:45" x14ac:dyDescent="0.25">
      <c r="Q1398" s="127">
        <v>45371.708333333343</v>
      </c>
      <c r="R1398">
        <v>0</v>
      </c>
      <c r="S1398" s="13">
        <f t="shared" si="861"/>
        <v>12722400.00000014</v>
      </c>
      <c r="T1398">
        <f t="shared" si="855"/>
        <v>0</v>
      </c>
      <c r="U1398" s="13">
        <f t="shared" si="856"/>
        <v>12722400.00000014</v>
      </c>
      <c r="V1398" s="112">
        <f t="shared" si="857"/>
        <v>1E-10</v>
      </c>
      <c r="AN1398" s="127">
        <v>45371.708333333343</v>
      </c>
      <c r="AO1398">
        <v>0</v>
      </c>
      <c r="AP1398" s="13">
        <f t="shared" si="862"/>
        <v>12722400.00000014</v>
      </c>
      <c r="AQ1398">
        <f t="shared" si="858"/>
        <v>0</v>
      </c>
      <c r="AR1398" s="13">
        <f t="shared" si="859"/>
        <v>12722400.00000014</v>
      </c>
      <c r="AS1398" s="112">
        <f t="shared" si="860"/>
        <v>1E-10</v>
      </c>
    </row>
  </sheetData>
  <mergeCells count="4">
    <mergeCell ref="Q1:V1"/>
    <mergeCell ref="A1:I1"/>
    <mergeCell ref="X1:AF1"/>
    <mergeCell ref="AN1:AS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A2A94D-BE8F-414A-A0D0-3A1BE41ED25E}">
  <dimension ref="A1:A30"/>
  <sheetViews>
    <sheetView topLeftCell="A7" workbookViewId="0">
      <selection activeCell="A30" sqref="A30"/>
    </sheetView>
  </sheetViews>
  <sheetFormatPr defaultRowHeight="15" x14ac:dyDescent="0.25"/>
  <sheetData>
    <row r="1" spans="1:1" x14ac:dyDescent="0.25">
      <c r="A1" t="s">
        <v>303</v>
      </c>
    </row>
    <row r="2" spans="1:1" x14ac:dyDescent="0.25">
      <c r="A2" t="s">
        <v>304</v>
      </c>
    </row>
    <row r="5" spans="1:1" ht="14.25" customHeight="1" x14ac:dyDescent="0.25">
      <c r="A5" t="s">
        <v>305</v>
      </c>
    </row>
    <row r="6" spans="1:1" x14ac:dyDescent="0.25">
      <c r="A6" t="s">
        <v>306</v>
      </c>
    </row>
    <row r="7" spans="1:1" x14ac:dyDescent="0.25">
      <c r="A7" t="s">
        <v>307</v>
      </c>
    </row>
    <row r="8" spans="1:1" x14ac:dyDescent="0.25">
      <c r="A8" t="s">
        <v>308</v>
      </c>
    </row>
    <row r="9" spans="1:1" x14ac:dyDescent="0.25">
      <c r="A9" t="s">
        <v>309</v>
      </c>
    </row>
    <row r="10" spans="1:1" x14ac:dyDescent="0.25">
      <c r="A10" t="s">
        <v>310</v>
      </c>
    </row>
    <row r="11" spans="1:1" x14ac:dyDescent="0.25">
      <c r="A11" t="s">
        <v>311</v>
      </c>
    </row>
    <row r="12" spans="1:1" x14ac:dyDescent="0.25">
      <c r="A12" t="s">
        <v>312</v>
      </c>
    </row>
    <row r="13" spans="1:1" x14ac:dyDescent="0.25">
      <c r="A13" t="s">
        <v>313</v>
      </c>
    </row>
    <row r="14" spans="1:1" x14ac:dyDescent="0.25">
      <c r="A14" t="s">
        <v>314</v>
      </c>
    </row>
    <row r="15" spans="1:1" x14ac:dyDescent="0.25">
      <c r="A15" t="s">
        <v>315</v>
      </c>
    </row>
    <row r="16" spans="1:1" x14ac:dyDescent="0.25">
      <c r="A16" t="s">
        <v>316</v>
      </c>
    </row>
    <row r="17" spans="1:1" x14ac:dyDescent="0.25">
      <c r="A17" t="s">
        <v>317</v>
      </c>
    </row>
    <row r="18" spans="1:1" x14ac:dyDescent="0.25">
      <c r="A18" t="s">
        <v>318</v>
      </c>
    </row>
    <row r="19" spans="1:1" x14ac:dyDescent="0.25">
      <c r="A19" t="s">
        <v>319</v>
      </c>
    </row>
    <row r="20" spans="1:1" x14ac:dyDescent="0.25">
      <c r="A20" t="s">
        <v>320</v>
      </c>
    </row>
    <row r="21" spans="1:1" x14ac:dyDescent="0.25">
      <c r="A21" t="s">
        <v>321</v>
      </c>
    </row>
    <row r="22" spans="1:1" x14ac:dyDescent="0.25">
      <c r="A22" t="s">
        <v>322</v>
      </c>
    </row>
    <row r="23" spans="1:1" x14ac:dyDescent="0.25">
      <c r="A23" t="s">
        <v>323</v>
      </c>
    </row>
    <row r="24" spans="1:1" x14ac:dyDescent="0.25">
      <c r="A24" t="s">
        <v>324</v>
      </c>
    </row>
    <row r="25" spans="1:1" x14ac:dyDescent="0.25">
      <c r="A25" t="s">
        <v>325</v>
      </c>
    </row>
    <row r="27" spans="1:1" x14ac:dyDescent="0.25">
      <c r="A27" t="s">
        <v>326</v>
      </c>
    </row>
    <row r="28" spans="1:1" x14ac:dyDescent="0.25">
      <c r="A28" t="s">
        <v>327</v>
      </c>
    </row>
    <row r="29" spans="1:1" x14ac:dyDescent="0.25">
      <c r="A29" t="s">
        <v>328</v>
      </c>
    </row>
    <row r="30" spans="1:1" x14ac:dyDescent="0.25">
      <c r="A30" t="s">
        <v>329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466DB1-AC39-485E-851E-DED05A40EB6E}">
  <dimension ref="A1:AS148"/>
  <sheetViews>
    <sheetView zoomScale="70" zoomScaleNormal="70" workbookViewId="0">
      <pane xSplit="2" ySplit="2" topLeftCell="C114" activePane="bottomRight" state="frozen"/>
      <selection pane="topRight" activeCell="C1" sqref="C1"/>
      <selection pane="bottomLeft" activeCell="A2" sqref="A2"/>
      <selection pane="bottomRight" activeCell="C16" sqref="C16"/>
    </sheetView>
  </sheetViews>
  <sheetFormatPr defaultRowHeight="15" customHeight="1" x14ac:dyDescent="0.25"/>
  <cols>
    <col min="1" max="1" width="11.5703125" bestFit="1" customWidth="1"/>
    <col min="2" max="2" width="15.28515625" customWidth="1"/>
    <col min="3" max="3" width="20" customWidth="1"/>
    <col min="4" max="4" width="18.42578125" style="13" customWidth="1"/>
    <col min="5" max="5" width="18.5703125" customWidth="1"/>
    <col min="6" max="6" width="9.28515625" customWidth="1"/>
    <col min="7" max="7" width="8.85546875" customWidth="1"/>
    <col min="8" max="8" width="10.28515625" customWidth="1"/>
    <col min="9" max="9" width="13.28515625" customWidth="1"/>
    <col min="10" max="10" width="13.5703125" customWidth="1"/>
    <col min="11" max="11" width="15.85546875" customWidth="1"/>
    <col min="12" max="12" width="16" customWidth="1"/>
    <col min="13" max="13" width="11.140625" customWidth="1"/>
    <col min="14" max="14" width="12.5703125" customWidth="1"/>
    <col min="15" max="15" width="14.28515625" customWidth="1"/>
    <col min="16" max="16" width="12.7109375" customWidth="1"/>
    <col min="17" max="17" width="9.42578125" bestFit="1" customWidth="1"/>
    <col min="41" max="42" width="12" bestFit="1" customWidth="1"/>
    <col min="43" max="43" width="11" bestFit="1" customWidth="1"/>
  </cols>
  <sheetData>
    <row r="1" spans="1:44" ht="63.75" x14ac:dyDescent="0.25">
      <c r="A1" t="s">
        <v>117</v>
      </c>
      <c r="B1" t="s">
        <v>118</v>
      </c>
      <c r="C1" t="s">
        <v>119</v>
      </c>
      <c r="D1" s="13" t="s">
        <v>330</v>
      </c>
      <c r="E1" t="s">
        <v>279</v>
      </c>
      <c r="F1" s="55" t="s">
        <v>331</v>
      </c>
      <c r="G1" s="55" t="s">
        <v>332</v>
      </c>
      <c r="H1" s="55" t="s">
        <v>333</v>
      </c>
      <c r="I1" s="55" t="s">
        <v>334</v>
      </c>
      <c r="J1" s="56" t="s">
        <v>335</v>
      </c>
      <c r="K1" s="56" t="s">
        <v>336</v>
      </c>
      <c r="L1" s="57" t="s">
        <v>337</v>
      </c>
      <c r="M1" s="56" t="s">
        <v>338</v>
      </c>
      <c r="N1" s="57" t="s">
        <v>339</v>
      </c>
      <c r="O1" s="56" t="s">
        <v>340</v>
      </c>
      <c r="P1" s="57" t="s">
        <v>341</v>
      </c>
      <c r="Q1" s="63" t="s">
        <v>5</v>
      </c>
      <c r="R1" s="55" t="s">
        <v>124</v>
      </c>
      <c r="S1" s="55" t="s">
        <v>342</v>
      </c>
      <c r="T1" s="55" t="s">
        <v>343</v>
      </c>
      <c r="U1" s="55" t="s">
        <v>344</v>
      </c>
      <c r="V1" s="55" t="s">
        <v>345</v>
      </c>
      <c r="W1" s="55" t="s">
        <v>346</v>
      </c>
      <c r="X1" s="55" t="s">
        <v>47</v>
      </c>
      <c r="Y1" s="55" t="s">
        <v>347</v>
      </c>
      <c r="Z1" s="55" t="s">
        <v>348</v>
      </c>
      <c r="AA1" s="55" t="s">
        <v>349</v>
      </c>
      <c r="AB1" s="55" t="s">
        <v>350</v>
      </c>
      <c r="AC1" s="70" t="s">
        <v>50</v>
      </c>
      <c r="AD1" s="70" t="s">
        <v>351</v>
      </c>
      <c r="AE1" s="70" t="s">
        <v>52</v>
      </c>
      <c r="AF1" s="70" t="s">
        <v>53</v>
      </c>
      <c r="AG1" s="70" t="s">
        <v>352</v>
      </c>
      <c r="AH1" s="63" t="s">
        <v>353</v>
      </c>
      <c r="AI1" s="63" t="s">
        <v>354</v>
      </c>
      <c r="AJ1" s="63" t="s">
        <v>14</v>
      </c>
      <c r="AK1" s="63" t="s">
        <v>355</v>
      </c>
      <c r="AL1" s="63" t="s">
        <v>356</v>
      </c>
      <c r="AM1" s="63" t="s">
        <v>357</v>
      </c>
      <c r="AN1" s="60" t="s">
        <v>123</v>
      </c>
      <c r="AO1" s="68" t="s">
        <v>358</v>
      </c>
      <c r="AP1" s="99" t="s">
        <v>359</v>
      </c>
      <c r="AQ1" s="99" t="s">
        <v>360</v>
      </c>
      <c r="AR1" s="99" t="s">
        <v>361</v>
      </c>
    </row>
    <row r="2" spans="1:44" x14ac:dyDescent="0.25">
      <c r="E2" t="s">
        <v>362</v>
      </c>
      <c r="F2" s="58" t="s">
        <v>134</v>
      </c>
      <c r="G2" s="58" t="s">
        <v>134</v>
      </c>
      <c r="H2" s="58" t="s">
        <v>134</v>
      </c>
      <c r="I2" s="58" t="s">
        <v>134</v>
      </c>
      <c r="J2" s="59" t="s">
        <v>363</v>
      </c>
      <c r="K2" s="59" t="s">
        <v>364</v>
      </c>
      <c r="L2" s="59" t="s">
        <v>365</v>
      </c>
      <c r="M2" s="59" t="s">
        <v>366</v>
      </c>
      <c r="N2" s="59" t="s">
        <v>367</v>
      </c>
      <c r="O2" s="59" t="s">
        <v>368</v>
      </c>
      <c r="P2" s="59" t="s">
        <v>369</v>
      </c>
      <c r="Q2" s="66" t="s">
        <v>370</v>
      </c>
      <c r="R2" s="58" t="s">
        <v>371</v>
      </c>
      <c r="S2" s="58" t="s">
        <v>372</v>
      </c>
      <c r="T2" s="58"/>
      <c r="U2" s="58" t="s">
        <v>373</v>
      </c>
      <c r="V2" s="58" t="s">
        <v>374</v>
      </c>
      <c r="W2" s="58" t="s">
        <v>375</v>
      </c>
      <c r="X2" s="58" t="s">
        <v>376</v>
      </c>
      <c r="Y2" s="58" t="s">
        <v>377</v>
      </c>
      <c r="Z2" s="58" t="s">
        <v>378</v>
      </c>
      <c r="AA2" s="58" t="s">
        <v>379</v>
      </c>
      <c r="AB2" s="58" t="s">
        <v>380</v>
      </c>
      <c r="AC2" s="59" t="s">
        <v>381</v>
      </c>
      <c r="AD2" s="59" t="s">
        <v>381</v>
      </c>
      <c r="AE2" s="59" t="s">
        <v>381</v>
      </c>
      <c r="AF2" s="59" t="s">
        <v>381</v>
      </c>
      <c r="AG2" s="76" t="s">
        <v>381</v>
      </c>
      <c r="AH2" s="69" t="s">
        <v>381</v>
      </c>
      <c r="AI2" s="62" t="s">
        <v>382</v>
      </c>
      <c r="AJ2" s="62" t="s">
        <v>382</v>
      </c>
      <c r="AK2" s="62" t="s">
        <v>383</v>
      </c>
      <c r="AL2" s="66"/>
      <c r="AM2" s="66"/>
      <c r="AO2" s="54"/>
    </row>
    <row r="3" spans="1:44" x14ac:dyDescent="0.25">
      <c r="A3" t="s">
        <v>384</v>
      </c>
      <c r="B3" s="74" t="s">
        <v>185</v>
      </c>
      <c r="C3" s="72" t="str">
        <f t="shared" ref="C3:C66" si="0">TEXT(DATEVALUE(A3) + TIMEVALUE(B3), "gg-mm-aaaa hh:mm")</f>
        <v>20-10-2023 10:30</v>
      </c>
      <c r="E3" s="71">
        <v>650</v>
      </c>
      <c r="F3" s="71">
        <v>4.3882000000000003</v>
      </c>
      <c r="G3" s="71">
        <v>30.037500000000001</v>
      </c>
      <c r="H3" s="71">
        <v>5.7892999999999999</v>
      </c>
      <c r="I3" s="71">
        <v>4.9028999999999998</v>
      </c>
      <c r="J3" s="71">
        <f>G3-F3</f>
        <v>25.6493</v>
      </c>
      <c r="K3" s="71">
        <f>H3-F3</f>
        <v>1.4010999999999996</v>
      </c>
      <c r="L3" s="71">
        <f>1000*K3/J3</f>
        <v>54.625272424588566</v>
      </c>
      <c r="M3" s="71">
        <f>I3-F3</f>
        <v>0.51469999999999949</v>
      </c>
      <c r="N3" s="71">
        <f>1000*M3/J3</f>
        <v>20.066824435754562</v>
      </c>
      <c r="O3" s="71">
        <f>K3-M3</f>
        <v>0.88640000000000008</v>
      </c>
      <c r="P3" s="71">
        <f>1000*O3/J3</f>
        <v>34.558447988834004</v>
      </c>
      <c r="Q3" s="71">
        <f>100*P3/L3</f>
        <v>63.26457783170369</v>
      </c>
      <c r="R3" s="71">
        <v>8.01</v>
      </c>
      <c r="S3" s="71">
        <v>22124</v>
      </c>
      <c r="T3" s="71"/>
      <c r="U3" s="71"/>
      <c r="V3" s="71">
        <v>2280</v>
      </c>
      <c r="W3" s="71">
        <v>140</v>
      </c>
      <c r="X3" s="71"/>
      <c r="Y3" s="71">
        <v>545.90499999999997</v>
      </c>
      <c r="Z3" s="71">
        <v>0</v>
      </c>
      <c r="AA3" s="71">
        <v>15.760999999999999</v>
      </c>
      <c r="AB3" s="71">
        <v>17.698999999999998</v>
      </c>
      <c r="AC3" s="71">
        <f>IF(Y3="&lt; 10 ppm",5*64/60,Y3*64/60)</f>
        <v>582.29866666666669</v>
      </c>
      <c r="AD3" s="71">
        <f>IF(Z3="&lt; 10 ppm",5*112/74,Z3*112/74)</f>
        <v>0</v>
      </c>
      <c r="AE3" s="71">
        <f>IF(AA3="&lt; 10 ppm",5*160/88,AA3*160/88)</f>
        <v>28.656363636363633</v>
      </c>
      <c r="AF3" s="71">
        <f>IF(AB3="&lt; 10 ppm",5*208/102,AB3*208/102)</f>
        <v>36.092078431372549</v>
      </c>
      <c r="AG3" s="71">
        <f>SUM(AC3:AF3)</f>
        <v>647.04710873440285</v>
      </c>
      <c r="AH3" s="71"/>
      <c r="AI3" s="71"/>
      <c r="AJ3" s="71"/>
      <c r="AK3" s="71"/>
      <c r="AL3" s="71"/>
      <c r="AM3" s="75"/>
      <c r="AN3" t="s">
        <v>385</v>
      </c>
      <c r="AO3" s="71">
        <f t="shared" ref="AO3:AO4" si="1">W3/J3/1000</f>
        <v>5.4582386263952627E-3</v>
      </c>
      <c r="AP3">
        <f>E3*L3/1000</f>
        <v>35.506427075982565</v>
      </c>
      <c r="AQ3">
        <f>AP3*L3/100</f>
        <v>19.395482518493353</v>
      </c>
      <c r="AR3">
        <f>AH3*E3/1000000</f>
        <v>0</v>
      </c>
    </row>
    <row r="4" spans="1:44" x14ac:dyDescent="0.25">
      <c r="A4" t="s">
        <v>384</v>
      </c>
      <c r="B4" s="74" t="s">
        <v>287</v>
      </c>
      <c r="C4" s="72" t="str">
        <f t="shared" si="0"/>
        <v>20-10-2023 10:40</v>
      </c>
      <c r="D4" s="13">
        <f t="shared" ref="D4:D35" si="2">A4-$A$3+(B4-B3)</f>
        <v>6.9444444444444198E-3</v>
      </c>
      <c r="E4" s="71"/>
      <c r="F4" s="71">
        <v>4.4688999999999997</v>
      </c>
      <c r="G4" s="71">
        <v>31.944900000000001</v>
      </c>
      <c r="H4" s="71">
        <v>5.9623999999999997</v>
      </c>
      <c r="I4" s="71">
        <v>5.0052000000000003</v>
      </c>
      <c r="J4" s="71">
        <f>G4-F4</f>
        <v>27.475999999999999</v>
      </c>
      <c r="K4" s="71">
        <f>H4-F4</f>
        <v>1.4935</v>
      </c>
      <c r="L4" s="71">
        <f>1000*K4/J4</f>
        <v>54.356529334692098</v>
      </c>
      <c r="M4" s="71">
        <f>I4-F4</f>
        <v>0.53630000000000067</v>
      </c>
      <c r="N4" s="71">
        <f>1000*M4/J4</f>
        <v>19.518852817003953</v>
      </c>
      <c r="O4" s="71">
        <f>K4-M4</f>
        <v>0.95719999999999938</v>
      </c>
      <c r="P4" s="71">
        <f>1000*O4/J4</f>
        <v>34.837676517688145</v>
      </c>
      <c r="Q4" s="71">
        <f>100*P4/L4</f>
        <v>64.091061265483731</v>
      </c>
      <c r="R4" s="71"/>
      <c r="S4" s="71"/>
      <c r="T4" s="71"/>
      <c r="U4" s="71"/>
      <c r="V4" s="71"/>
      <c r="W4" s="71"/>
      <c r="X4" s="71"/>
      <c r="Y4" s="71"/>
      <c r="Z4" s="71"/>
      <c r="AA4" s="71"/>
      <c r="AB4" s="71"/>
      <c r="AC4" s="71"/>
      <c r="AD4" s="71"/>
      <c r="AE4" s="71"/>
      <c r="AF4" s="71"/>
      <c r="AG4" s="71">
        <f t="shared" ref="AG4:AG51" si="3">SUM(AC4:AF4)</f>
        <v>0</v>
      </c>
      <c r="AH4" s="71"/>
      <c r="AI4" s="71"/>
      <c r="AJ4" s="71"/>
      <c r="AK4" s="71"/>
      <c r="AL4" s="71"/>
      <c r="AM4" s="75"/>
      <c r="AO4" s="71">
        <f t="shared" si="1"/>
        <v>0</v>
      </c>
      <c r="AP4">
        <f t="shared" ref="AP4:AP67" si="4">E4*L4/1000</f>
        <v>0</v>
      </c>
      <c r="AQ4">
        <f t="shared" ref="AQ4:AQ67" si="5">AP4*L4/100</f>
        <v>0</v>
      </c>
      <c r="AR4">
        <f t="shared" ref="AR4:AR67" si="6">AH4*E4/1000000</f>
        <v>0</v>
      </c>
    </row>
    <row r="5" spans="1:44" x14ac:dyDescent="0.25">
      <c r="A5" t="s">
        <v>136</v>
      </c>
      <c r="B5" s="73" t="s">
        <v>233</v>
      </c>
      <c r="C5" s="72" t="str">
        <f t="shared" si="0"/>
        <v>23-10-2023 15:30</v>
      </c>
      <c r="D5" s="13">
        <f t="shared" si="2"/>
        <v>3.2013888888888888</v>
      </c>
      <c r="E5" s="71">
        <v>800</v>
      </c>
      <c r="F5" s="71" t="s">
        <v>73</v>
      </c>
      <c r="G5" s="71" t="s">
        <v>73</v>
      </c>
      <c r="H5" s="71" t="s">
        <v>73</v>
      </c>
      <c r="I5" s="71" t="s">
        <v>73</v>
      </c>
      <c r="J5" s="71" t="e">
        <f>G5-F5</f>
        <v>#VALUE!</v>
      </c>
      <c r="K5" s="71" t="e">
        <f>H5-F5</f>
        <v>#VALUE!</v>
      </c>
      <c r="L5" s="71" t="e">
        <f>1000*K5/J5</f>
        <v>#VALUE!</v>
      </c>
      <c r="M5" s="71" t="e">
        <f>I5-F5</f>
        <v>#VALUE!</v>
      </c>
      <c r="N5" s="71" t="e">
        <f>1000*M5/J5</f>
        <v>#VALUE!</v>
      </c>
      <c r="O5" s="71" t="e">
        <f>K5-M5</f>
        <v>#VALUE!</v>
      </c>
      <c r="P5" s="71" t="e">
        <f>1000*O5/J5</f>
        <v>#VALUE!</v>
      </c>
      <c r="Q5" s="71" t="e">
        <f>100*P5/L5</f>
        <v>#VALUE!</v>
      </c>
      <c r="R5" s="71">
        <v>7.84</v>
      </c>
      <c r="S5" s="71"/>
      <c r="T5" s="71">
        <v>0.23899999999999999</v>
      </c>
      <c r="U5" s="71">
        <v>4179</v>
      </c>
      <c r="V5" s="71"/>
      <c r="W5" s="71"/>
      <c r="X5" s="71"/>
      <c r="Y5" s="71"/>
      <c r="Z5" s="71"/>
      <c r="AA5" s="71"/>
      <c r="AB5" s="71"/>
      <c r="AC5" s="71"/>
      <c r="AD5" s="71"/>
      <c r="AE5" s="71"/>
      <c r="AF5" s="71"/>
      <c r="AG5" s="71">
        <f t="shared" si="3"/>
        <v>0</v>
      </c>
      <c r="AH5" s="71"/>
      <c r="AI5" s="71"/>
      <c r="AJ5" s="71"/>
      <c r="AK5" s="71"/>
      <c r="AL5" s="71"/>
      <c r="AM5" s="75"/>
      <c r="AN5" t="s">
        <v>386</v>
      </c>
      <c r="AO5" s="71" t="e">
        <f t="shared" ref="AO5:AO39" si="7">AH5/P5/1000</f>
        <v>#VALUE!</v>
      </c>
      <c r="AP5" t="e">
        <f t="shared" si="4"/>
        <v>#VALUE!</v>
      </c>
      <c r="AQ5" t="e">
        <f t="shared" si="5"/>
        <v>#VALUE!</v>
      </c>
      <c r="AR5">
        <f t="shared" si="6"/>
        <v>0</v>
      </c>
    </row>
    <row r="6" spans="1:44" x14ac:dyDescent="0.25">
      <c r="A6" t="s">
        <v>138</v>
      </c>
      <c r="B6" s="73" t="s">
        <v>179</v>
      </c>
      <c r="C6" s="72" t="str">
        <f t="shared" si="0"/>
        <v>25-10-2023 10:20</v>
      </c>
      <c r="D6" s="13">
        <f t="shared" si="2"/>
        <v>4.7847222222222223</v>
      </c>
      <c r="E6" s="71">
        <v>600</v>
      </c>
      <c r="F6" s="71" t="s">
        <v>73</v>
      </c>
      <c r="G6" s="71" t="s">
        <v>73</v>
      </c>
      <c r="H6" s="71" t="s">
        <v>73</v>
      </c>
      <c r="I6" s="71" t="s">
        <v>73</v>
      </c>
      <c r="J6" s="71" t="e">
        <f t="shared" ref="J6" si="8">G6-F6</f>
        <v>#VALUE!</v>
      </c>
      <c r="K6" s="71" t="e">
        <f t="shared" ref="K6" si="9">H6-F6</f>
        <v>#VALUE!</v>
      </c>
      <c r="L6" s="71" t="e">
        <f t="shared" ref="L6" si="10">1000*K6/J6</f>
        <v>#VALUE!</v>
      </c>
      <c r="M6" s="71" t="e">
        <f t="shared" ref="M6" si="11">I6-F6</f>
        <v>#VALUE!</v>
      </c>
      <c r="N6" s="71" t="e">
        <f t="shared" ref="N6" si="12">1000*M6/J6</f>
        <v>#VALUE!</v>
      </c>
      <c r="O6" s="71" t="e">
        <f t="shared" ref="O6" si="13">K6-M6</f>
        <v>#VALUE!</v>
      </c>
      <c r="P6" s="71" t="e">
        <f t="shared" ref="P6" si="14">1000*O6/J6</f>
        <v>#VALUE!</v>
      </c>
      <c r="Q6" s="71" t="e">
        <f t="shared" ref="Q6" si="15">100*P6/L6</f>
        <v>#VALUE!</v>
      </c>
      <c r="R6" s="71">
        <v>7.74</v>
      </c>
      <c r="S6" s="71">
        <v>19949</v>
      </c>
      <c r="T6" s="71">
        <v>0.19900000000000001</v>
      </c>
      <c r="U6" s="71">
        <v>3967</v>
      </c>
      <c r="V6" s="71"/>
      <c r="W6" s="71"/>
      <c r="X6" s="71"/>
      <c r="Y6" s="71"/>
      <c r="Z6" s="71"/>
      <c r="AA6" s="71"/>
      <c r="AB6" s="71"/>
      <c r="AC6" s="71"/>
      <c r="AD6" s="71"/>
      <c r="AE6" s="71"/>
      <c r="AF6" s="71"/>
      <c r="AG6" s="71">
        <f t="shared" si="3"/>
        <v>0</v>
      </c>
      <c r="AH6" s="71"/>
      <c r="AI6" s="71"/>
      <c r="AJ6" s="71"/>
      <c r="AK6" s="71"/>
      <c r="AL6" s="71"/>
      <c r="AM6" s="75"/>
      <c r="AN6" t="s">
        <v>387</v>
      </c>
      <c r="AO6" s="71" t="e">
        <f t="shared" si="7"/>
        <v>#VALUE!</v>
      </c>
      <c r="AP6" t="e">
        <f t="shared" si="4"/>
        <v>#VALUE!</v>
      </c>
      <c r="AQ6" t="e">
        <f t="shared" si="5"/>
        <v>#VALUE!</v>
      </c>
      <c r="AR6">
        <f t="shared" si="6"/>
        <v>0</v>
      </c>
    </row>
    <row r="7" spans="1:44" x14ac:dyDescent="0.25">
      <c r="A7" t="s">
        <v>145</v>
      </c>
      <c r="B7" s="73" t="s">
        <v>388</v>
      </c>
      <c r="C7" s="72" t="str">
        <f t="shared" si="0"/>
        <v>27-10-2023 10:51</v>
      </c>
      <c r="D7" s="13">
        <f t="shared" si="2"/>
        <v>7.021527777777778</v>
      </c>
      <c r="E7" s="71">
        <v>1200</v>
      </c>
      <c r="F7" s="71">
        <v>4.4032999999999998</v>
      </c>
      <c r="G7" s="71">
        <v>39.382800000000003</v>
      </c>
      <c r="H7" s="71">
        <v>6.3064999999999998</v>
      </c>
      <c r="I7" s="71">
        <v>5.0762999999999998</v>
      </c>
      <c r="J7" s="71">
        <f t="shared" ref="J7:J8" si="16">G7-F7</f>
        <v>34.979500000000002</v>
      </c>
      <c r="K7" s="71">
        <f t="shared" ref="K7:K8" si="17">H7-F7</f>
        <v>1.9032</v>
      </c>
      <c r="L7" s="71">
        <f t="shared" ref="L7:L8" si="18">1000*K7/J7</f>
        <v>54.409010992152545</v>
      </c>
      <c r="M7" s="71">
        <f t="shared" ref="M7:M8" si="19">I7-F7</f>
        <v>0.67300000000000004</v>
      </c>
      <c r="N7" s="71">
        <f t="shared" ref="N7:N8" si="20">1000*M7/J7</f>
        <v>19.239840477994253</v>
      </c>
      <c r="O7" s="71">
        <f t="shared" ref="O7:O8" si="21">K7-M7</f>
        <v>1.2302</v>
      </c>
      <c r="P7" s="71">
        <f t="shared" ref="P7:P8" si="22">1000*O7/J7</f>
        <v>35.169170514158296</v>
      </c>
      <c r="Q7" s="71">
        <f t="shared" ref="Q7:Q8" si="23">100*P7/L7</f>
        <v>64.638503572929807</v>
      </c>
      <c r="R7" s="71">
        <v>7.78</v>
      </c>
      <c r="S7" s="71">
        <v>19424</v>
      </c>
      <c r="T7" s="71"/>
      <c r="U7" s="71"/>
      <c r="V7" s="71">
        <v>1890</v>
      </c>
      <c r="W7" s="71"/>
      <c r="X7" s="71"/>
      <c r="Y7" s="71">
        <v>409.8</v>
      </c>
      <c r="Z7" s="71">
        <v>19.346</v>
      </c>
      <c r="AA7" s="71">
        <v>26.483000000000001</v>
      </c>
      <c r="AB7" s="71">
        <v>0</v>
      </c>
      <c r="AC7" s="71">
        <f>IF(Y7="&lt; 10 ppm",5*64/60,Y7*64/60)</f>
        <v>437.12</v>
      </c>
      <c r="AD7" s="71">
        <f>IF(Z7="&lt; 10 ppm",5*112/74,Z7*112/74)</f>
        <v>29.280432432432431</v>
      </c>
      <c r="AE7" s="71">
        <f>IF(AA7="&lt; 10 ppm",5*160/88,AA7*160/88)</f>
        <v>48.150909090909089</v>
      </c>
      <c r="AF7" s="71">
        <f>IF(AB7="&lt; 10 ppm",5*208/102,AB7*208/102)</f>
        <v>0</v>
      </c>
      <c r="AG7" s="71">
        <f t="shared" si="3"/>
        <v>514.55134152334153</v>
      </c>
      <c r="AH7" s="71">
        <f>(1050*50)</f>
        <v>52500</v>
      </c>
      <c r="AI7" s="71"/>
      <c r="AJ7" s="71">
        <f>(82*50)</f>
        <v>4100</v>
      </c>
      <c r="AK7" s="71"/>
      <c r="AL7" s="71"/>
      <c r="AM7" s="75"/>
      <c r="AN7" t="s">
        <v>389</v>
      </c>
      <c r="AO7" s="71">
        <f t="shared" si="7"/>
        <v>1.492784709803284</v>
      </c>
      <c r="AP7">
        <f t="shared" si="4"/>
        <v>65.290813190583052</v>
      </c>
      <c r="AQ7">
        <f t="shared" si="5"/>
        <v>35.524085725730117</v>
      </c>
      <c r="AR7">
        <f t="shared" si="6"/>
        <v>63</v>
      </c>
    </row>
    <row r="8" spans="1:44" ht="15" customHeight="1" x14ac:dyDescent="0.25">
      <c r="A8" t="s">
        <v>145</v>
      </c>
      <c r="B8" s="73" t="s">
        <v>388</v>
      </c>
      <c r="C8" s="72" t="str">
        <f t="shared" si="0"/>
        <v>27-10-2023 10:51</v>
      </c>
      <c r="D8" s="13">
        <f t="shared" si="2"/>
        <v>7</v>
      </c>
      <c r="E8" s="71"/>
      <c r="F8" s="71">
        <v>4.4314</v>
      </c>
      <c r="G8" s="71">
        <v>42.297499999999999</v>
      </c>
      <c r="H8" s="71">
        <v>6.5232999999999999</v>
      </c>
      <c r="I8" s="71">
        <v>5.1422999999999996</v>
      </c>
      <c r="J8" s="71">
        <f t="shared" si="16"/>
        <v>37.866100000000003</v>
      </c>
      <c r="K8" s="71">
        <f t="shared" si="17"/>
        <v>2.0918999999999999</v>
      </c>
      <c r="L8" s="71">
        <f t="shared" si="18"/>
        <v>55.244664752905628</v>
      </c>
      <c r="M8" s="71">
        <f t="shared" si="19"/>
        <v>0.71089999999999964</v>
      </c>
      <c r="N8" s="71">
        <f t="shared" si="20"/>
        <v>18.774048555304073</v>
      </c>
      <c r="O8" s="71">
        <f t="shared" si="21"/>
        <v>1.3810000000000002</v>
      </c>
      <c r="P8" s="71">
        <f t="shared" si="22"/>
        <v>36.470616197601551</v>
      </c>
      <c r="Q8" s="71">
        <f t="shared" si="23"/>
        <v>66.016539987571122</v>
      </c>
      <c r="R8" s="71"/>
      <c r="S8" s="71"/>
      <c r="T8" s="71"/>
      <c r="U8" s="71"/>
      <c r="V8" s="71"/>
      <c r="W8" s="71"/>
      <c r="X8" s="71"/>
      <c r="Y8" s="71"/>
      <c r="Z8" s="71"/>
      <c r="AA8" s="71"/>
      <c r="AB8" s="71"/>
      <c r="AC8" s="71"/>
      <c r="AD8" s="71"/>
      <c r="AE8" s="71"/>
      <c r="AF8" s="71"/>
      <c r="AG8" s="71">
        <f t="shared" si="3"/>
        <v>0</v>
      </c>
      <c r="AH8" s="71"/>
      <c r="AI8" s="71"/>
      <c r="AJ8" s="71"/>
      <c r="AK8" s="71"/>
      <c r="AL8" s="71"/>
      <c r="AM8" s="75"/>
      <c r="AO8" s="71">
        <f t="shared" si="7"/>
        <v>0</v>
      </c>
      <c r="AP8">
        <f t="shared" si="4"/>
        <v>0</v>
      </c>
      <c r="AQ8">
        <f t="shared" si="5"/>
        <v>0</v>
      </c>
      <c r="AR8">
        <f t="shared" si="6"/>
        <v>0</v>
      </c>
    </row>
    <row r="9" spans="1:44" ht="15" customHeight="1" x14ac:dyDescent="0.25">
      <c r="A9" t="s">
        <v>148</v>
      </c>
      <c r="B9" s="73" t="s">
        <v>390</v>
      </c>
      <c r="C9" s="72" t="str">
        <f t="shared" si="0"/>
        <v>30-10-2023 11:10</v>
      </c>
      <c r="D9" s="13">
        <f t="shared" si="2"/>
        <v>10.013194444444444</v>
      </c>
      <c r="E9" s="71">
        <v>500</v>
      </c>
      <c r="F9" s="71">
        <v>4.4391999999999996</v>
      </c>
      <c r="G9" s="71">
        <v>23.720500000000001</v>
      </c>
      <c r="H9" s="71">
        <v>5.4931000000000001</v>
      </c>
      <c r="I9" s="71">
        <v>4.7998000000000003</v>
      </c>
      <c r="J9" s="71">
        <f>G9-F9</f>
        <v>19.281300000000002</v>
      </c>
      <c r="K9" s="71">
        <f>H9-F9</f>
        <v>1.0539000000000005</v>
      </c>
      <c r="L9" s="71">
        <f>1000*K9/J9</f>
        <v>54.659177545082564</v>
      </c>
      <c r="M9" s="71">
        <f>I9-F9</f>
        <v>0.3606000000000007</v>
      </c>
      <c r="N9" s="71">
        <f>1000*M9/J9</f>
        <v>18.702058471161212</v>
      </c>
      <c r="O9" s="71">
        <f>K9-M9</f>
        <v>0.69329999999999981</v>
      </c>
      <c r="P9" s="71">
        <f>1000*O9/J9</f>
        <v>35.957119073921355</v>
      </c>
      <c r="Q9" s="71">
        <f>100*P9/L9</f>
        <v>65.784230002846527</v>
      </c>
      <c r="R9" s="71">
        <v>7.72</v>
      </c>
      <c r="S9" s="71">
        <f>9471*2</f>
        <v>18942</v>
      </c>
      <c r="T9" s="71">
        <v>0.23400000000000001</v>
      </c>
      <c r="U9" s="71">
        <v>4152</v>
      </c>
      <c r="V9" s="71">
        <f>21.8*100</f>
        <v>2180</v>
      </c>
      <c r="W9" s="71">
        <f>4.39*40</f>
        <v>175.6</v>
      </c>
      <c r="X9" s="71">
        <f>152*100</f>
        <v>15200</v>
      </c>
      <c r="Y9" s="71">
        <v>298.58100000000002</v>
      </c>
      <c r="Z9" s="71">
        <v>31.707000000000001</v>
      </c>
      <c r="AA9" s="71">
        <v>24.206</v>
      </c>
      <c r="AB9" s="71">
        <v>5</v>
      </c>
      <c r="AC9" s="71">
        <f>IF(Y9="&lt; 10 ppm",5*64/60,Y9*64/60)</f>
        <v>318.4864</v>
      </c>
      <c r="AD9" s="71">
        <f>IF(Z9="&lt; 10 ppm",5*112/74,Z9*112/74)</f>
        <v>47.988972972972974</v>
      </c>
      <c r="AE9" s="71">
        <f>IF(AA9="&lt; 10 ppm",5*160/88,AA9*160/88)</f>
        <v>44.010909090909088</v>
      </c>
      <c r="AF9" s="71">
        <f>IF(AB9="&lt; 10 ppm",5*208/102,AB9*208/102)</f>
        <v>10.196078431372548</v>
      </c>
      <c r="AG9" s="71">
        <f t="shared" si="3"/>
        <v>420.68236049525461</v>
      </c>
      <c r="AH9" s="71">
        <f>555*100</f>
        <v>55500</v>
      </c>
      <c r="AI9" s="71">
        <v>4081.1</v>
      </c>
      <c r="AJ9" s="71">
        <f>44.3*100</f>
        <v>4430</v>
      </c>
      <c r="AK9" s="71"/>
      <c r="AL9" s="71">
        <f>10*(0.1135-0.0915)/0.006</f>
        <v>36.666666666666679</v>
      </c>
      <c r="AM9" s="75">
        <f>(AL9-10*(0.0938-0.0915)/0.006)/AL9*100</f>
        <v>89.545454545454561</v>
      </c>
      <c r="AN9" t="s">
        <v>391</v>
      </c>
      <c r="AO9" s="71">
        <f>AH9/P9/1000</f>
        <v>1.5435051925573349</v>
      </c>
      <c r="AP9">
        <f t="shared" si="4"/>
        <v>27.329588772541282</v>
      </c>
      <c r="AQ9">
        <f t="shared" si="5"/>
        <v>14.938128449524291</v>
      </c>
      <c r="AR9">
        <f t="shared" si="6"/>
        <v>27.75</v>
      </c>
    </row>
    <row r="10" spans="1:44" ht="15" customHeight="1" x14ac:dyDescent="0.25">
      <c r="A10" t="s">
        <v>148</v>
      </c>
      <c r="B10" s="73" t="s">
        <v>390</v>
      </c>
      <c r="C10" s="72" t="str">
        <f t="shared" si="0"/>
        <v>30-10-2023 11:10</v>
      </c>
      <c r="D10" s="13">
        <f t="shared" si="2"/>
        <v>10</v>
      </c>
      <c r="E10" s="71"/>
      <c r="F10" s="71">
        <v>4.4622000000000002</v>
      </c>
      <c r="G10" s="71">
        <v>26.273299999999999</v>
      </c>
      <c r="H10" s="71">
        <v>5.6642000000000001</v>
      </c>
      <c r="I10" s="71">
        <v>4.8678999999999997</v>
      </c>
      <c r="J10" s="71">
        <f>G10-F10</f>
        <v>21.8111</v>
      </c>
      <c r="K10" s="71">
        <f>H10-F10</f>
        <v>1.202</v>
      </c>
      <c r="L10" s="71">
        <f>1000*K10/J10</f>
        <v>55.109554309502961</v>
      </c>
      <c r="M10" s="71">
        <f>I10-F10</f>
        <v>0.40569999999999951</v>
      </c>
      <c r="N10" s="71">
        <f>1000*M10/J10</f>
        <v>18.600620784829719</v>
      </c>
      <c r="O10" s="71">
        <f>K10-M10</f>
        <v>0.79630000000000045</v>
      </c>
      <c r="P10" s="71">
        <f>1000*O10/J10</f>
        <v>36.508933524673239</v>
      </c>
      <c r="Q10" s="71">
        <f>100*P10/L10</f>
        <v>66.247920133111521</v>
      </c>
      <c r="R10" s="71"/>
      <c r="S10" s="71"/>
      <c r="T10" s="71"/>
      <c r="U10" s="71"/>
      <c r="V10" s="71"/>
      <c r="W10" s="71"/>
      <c r="X10" s="71"/>
      <c r="Y10" s="71"/>
      <c r="Z10" s="71"/>
      <c r="AA10" s="71"/>
      <c r="AB10" s="71"/>
      <c r="AC10" s="71"/>
      <c r="AD10" s="71"/>
      <c r="AE10" s="71"/>
      <c r="AF10" s="71"/>
      <c r="AG10" s="71">
        <f t="shared" si="3"/>
        <v>0</v>
      </c>
      <c r="AH10" s="71"/>
      <c r="AI10" s="71"/>
      <c r="AJ10" s="71"/>
      <c r="AK10" s="71"/>
      <c r="AL10" s="71"/>
      <c r="AM10" s="75"/>
      <c r="AO10" s="71">
        <f t="shared" si="7"/>
        <v>0</v>
      </c>
      <c r="AP10">
        <f t="shared" si="4"/>
        <v>0</v>
      </c>
      <c r="AQ10">
        <f t="shared" si="5"/>
        <v>0</v>
      </c>
      <c r="AR10">
        <f t="shared" si="6"/>
        <v>0</v>
      </c>
    </row>
    <row r="11" spans="1:44" ht="15" customHeight="1" x14ac:dyDescent="0.25">
      <c r="A11" t="s">
        <v>392</v>
      </c>
      <c r="B11" s="73" t="s">
        <v>185</v>
      </c>
      <c r="C11" s="72" t="str">
        <f t="shared" si="0"/>
        <v>03-11-2023 10:30</v>
      </c>
      <c r="D11" s="13">
        <f t="shared" si="2"/>
        <v>13.972222222222221</v>
      </c>
      <c r="E11" s="71">
        <v>1200</v>
      </c>
      <c r="F11" s="71">
        <v>4.2858999999999998</v>
      </c>
      <c r="G11" s="71">
        <v>39.266300000000001</v>
      </c>
      <c r="H11" s="71">
        <v>6.0938999999999997</v>
      </c>
      <c r="I11" s="71">
        <v>4.9645999999999999</v>
      </c>
      <c r="J11" s="71">
        <f>G11-F11</f>
        <v>34.980400000000003</v>
      </c>
      <c r="K11" s="71">
        <f>H11-F11</f>
        <v>1.8079999999999998</v>
      </c>
      <c r="L11" s="71">
        <f>1000*K11/J11</f>
        <v>51.686087065899748</v>
      </c>
      <c r="M11" s="71">
        <f>I11-F11</f>
        <v>0.67870000000000008</v>
      </c>
      <c r="N11" s="71">
        <f>1000*M11/J11</f>
        <v>19.402293855987924</v>
      </c>
      <c r="O11" s="71">
        <f>K11-M11</f>
        <v>1.1292999999999997</v>
      </c>
      <c r="P11" s="71">
        <f>1000*O11/J11</f>
        <v>32.283793209911828</v>
      </c>
      <c r="Q11" s="71">
        <f>100*P11/L11</f>
        <v>62.461283185840706</v>
      </c>
      <c r="R11" s="71">
        <v>7.78</v>
      </c>
      <c r="S11" s="71">
        <f>(9896.9*2)</f>
        <v>19793.8</v>
      </c>
      <c r="T11" s="71"/>
      <c r="U11" s="71"/>
      <c r="V11" s="71">
        <f>(18.6*100)</f>
        <v>1860.0000000000002</v>
      </c>
      <c r="W11" s="71"/>
      <c r="X11" s="71">
        <f>(437*50)</f>
        <v>21850</v>
      </c>
      <c r="Y11" s="71">
        <v>133.15799999999999</v>
      </c>
      <c r="Z11" s="71" t="s">
        <v>393</v>
      </c>
      <c r="AA11" s="71">
        <v>11.041</v>
      </c>
      <c r="AB11" s="71">
        <v>0</v>
      </c>
      <c r="AC11" s="71">
        <f>IF(Y11="&lt; 10 ppm",5*64/60,Y11*64/60)</f>
        <v>142.03519999999997</v>
      </c>
      <c r="AD11" s="71">
        <f>IF(Z11="&lt; 10 ppm",5*112/74,Z11*112/74)</f>
        <v>7.5675675675675675</v>
      </c>
      <c r="AE11" s="71">
        <f>IF(AA11="&lt; 10 ppm",5*160/88,AA11*160/88)</f>
        <v>20.074545454545454</v>
      </c>
      <c r="AF11" s="71">
        <f>IF(AB11="&lt; 10 ppm",5*208/102,AB11*208/102)</f>
        <v>0</v>
      </c>
      <c r="AG11" s="71">
        <f t="shared" si="3"/>
        <v>169.677313022113</v>
      </c>
      <c r="AH11" s="71">
        <f>(1125*50)</f>
        <v>56250</v>
      </c>
      <c r="AI11" s="71"/>
      <c r="AJ11" s="71">
        <f>(96.2*50)</f>
        <v>4810</v>
      </c>
      <c r="AK11" s="71"/>
      <c r="AL11" s="71"/>
      <c r="AM11" s="75"/>
      <c r="AN11" s="64" t="s">
        <v>394</v>
      </c>
      <c r="AO11" s="71">
        <f t="shared" si="7"/>
        <v>1.7423603116975122</v>
      </c>
      <c r="AP11">
        <f t="shared" si="4"/>
        <v>62.023304479079698</v>
      </c>
      <c r="AQ11">
        <f t="shared" si="5"/>
        <v>32.057419154205235</v>
      </c>
      <c r="AR11">
        <f t="shared" si="6"/>
        <v>67.5</v>
      </c>
    </row>
    <row r="12" spans="1:44" ht="15" customHeight="1" x14ac:dyDescent="0.25">
      <c r="A12" t="s">
        <v>392</v>
      </c>
      <c r="B12" s="73" t="s">
        <v>185</v>
      </c>
      <c r="C12" s="72" t="str">
        <f t="shared" si="0"/>
        <v>03-11-2023 10:30</v>
      </c>
      <c r="D12" s="13">
        <f t="shared" si="2"/>
        <v>14</v>
      </c>
      <c r="E12" s="71"/>
      <c r="F12" s="71">
        <v>4.4405000000000001</v>
      </c>
      <c r="G12" s="71">
        <v>42.749299999999998</v>
      </c>
      <c r="H12" s="71">
        <v>6.4763000000000002</v>
      </c>
      <c r="I12" s="71">
        <v>5.2233000000000001</v>
      </c>
      <c r="J12" s="71">
        <f>G12-F12</f>
        <v>38.308799999999998</v>
      </c>
      <c r="K12" s="71">
        <f>H12-F12</f>
        <v>2.0358000000000001</v>
      </c>
      <c r="L12" s="71">
        <f>1000*K12/J12</f>
        <v>53.141836862548551</v>
      </c>
      <c r="M12" s="71">
        <f>I12-F12</f>
        <v>0.78279999999999994</v>
      </c>
      <c r="N12" s="71">
        <f>1000*M12/J12</f>
        <v>20.433947291483943</v>
      </c>
      <c r="O12" s="71">
        <f>K12-M12</f>
        <v>1.2530000000000001</v>
      </c>
      <c r="P12" s="71">
        <f>1000*O12/J12</f>
        <v>32.707889571064612</v>
      </c>
      <c r="Q12" s="71">
        <f>100*P12/L12</f>
        <v>61.548285686216722</v>
      </c>
      <c r="R12" s="71"/>
      <c r="S12" s="71"/>
      <c r="T12" s="71"/>
      <c r="U12" s="71"/>
      <c r="V12" s="71"/>
      <c r="W12" s="71"/>
      <c r="X12" s="71"/>
      <c r="Y12" s="71"/>
      <c r="Z12" s="71"/>
      <c r="AA12" s="71"/>
      <c r="AB12" s="71"/>
      <c r="AC12" s="71"/>
      <c r="AD12" s="71"/>
      <c r="AE12" s="71"/>
      <c r="AF12" s="71"/>
      <c r="AG12" s="71">
        <f t="shared" si="3"/>
        <v>0</v>
      </c>
      <c r="AH12" s="71"/>
      <c r="AI12" s="71"/>
      <c r="AJ12" s="71"/>
      <c r="AK12" s="71"/>
      <c r="AL12" s="71"/>
      <c r="AM12" s="75"/>
      <c r="AN12" s="64"/>
      <c r="AO12" s="71">
        <f t="shared" si="7"/>
        <v>0</v>
      </c>
      <c r="AP12">
        <f t="shared" si="4"/>
        <v>0</v>
      </c>
      <c r="AQ12">
        <f t="shared" si="5"/>
        <v>0</v>
      </c>
      <c r="AR12">
        <f t="shared" si="6"/>
        <v>0</v>
      </c>
    </row>
    <row r="13" spans="1:44" ht="15" customHeight="1" x14ac:dyDescent="0.25">
      <c r="A13" t="s">
        <v>155</v>
      </c>
      <c r="B13" s="73" t="s">
        <v>167</v>
      </c>
      <c r="C13" s="72" t="str">
        <f t="shared" si="0"/>
        <v>06-11-2023 11:00</v>
      </c>
      <c r="D13" s="13">
        <f t="shared" si="2"/>
        <v>17.020833333333332</v>
      </c>
      <c r="E13" s="71">
        <v>400</v>
      </c>
      <c r="F13" s="71">
        <v>4.5663999999999998</v>
      </c>
      <c r="G13" s="71">
        <v>22.5487</v>
      </c>
      <c r="H13" s="71">
        <v>5.5556000000000001</v>
      </c>
      <c r="I13" s="71">
        <v>4.9057000000000004</v>
      </c>
      <c r="J13" s="71">
        <f t="shared" ref="J13" si="24">G13-F13</f>
        <v>17.982300000000002</v>
      </c>
      <c r="K13" s="71">
        <f t="shared" ref="K13" si="25">H13-F13</f>
        <v>0.9892000000000003</v>
      </c>
      <c r="L13" s="71">
        <f t="shared" ref="L13" si="26">1000*K13/J13</f>
        <v>55.009648376459083</v>
      </c>
      <c r="M13" s="71">
        <f t="shared" ref="M13" si="27">I13-F13</f>
        <v>0.3393000000000006</v>
      </c>
      <c r="N13" s="71">
        <f t="shared" ref="N13" si="28">1000*M13/J13</f>
        <v>18.868554078176903</v>
      </c>
      <c r="O13" s="71">
        <f t="shared" ref="O13" si="29">K13-M13</f>
        <v>0.6498999999999997</v>
      </c>
      <c r="P13" s="71">
        <f t="shared" ref="P13" si="30">1000*O13/J13</f>
        <v>36.141094298282184</v>
      </c>
      <c r="Q13" s="71">
        <f t="shared" ref="Q13" si="31">100*P13/L13</f>
        <v>65.699555196118027</v>
      </c>
      <c r="R13" s="71">
        <v>7.76</v>
      </c>
      <c r="S13" s="71">
        <f>8955*2</f>
        <v>17910</v>
      </c>
      <c r="T13" s="71">
        <f>0.233</f>
        <v>0.23300000000000001</v>
      </c>
      <c r="U13" s="71">
        <v>4170</v>
      </c>
      <c r="V13" s="71">
        <f>19.9*100</f>
        <v>1989.9999999999998</v>
      </c>
      <c r="W13" s="71">
        <f>4.69*40</f>
        <v>187.60000000000002</v>
      </c>
      <c r="X13" s="71">
        <f>125*100</f>
        <v>12500</v>
      </c>
      <c r="Y13" s="71">
        <v>149.654</v>
      </c>
      <c r="Z13" s="71">
        <v>12.518000000000001</v>
      </c>
      <c r="AA13" s="71">
        <v>10</v>
      </c>
      <c r="AB13" s="71">
        <v>0</v>
      </c>
      <c r="AC13" s="71">
        <f>IF(Y13="&lt; 10 ppm",5*64/60,Y13*64/60)</f>
        <v>159.63093333333333</v>
      </c>
      <c r="AD13" s="71">
        <f>IF(Z13="&lt; 10 ppm",5*112/74,Z13*112/74)</f>
        <v>18.946162162162164</v>
      </c>
      <c r="AE13" s="71">
        <f>IF(AA13="&lt; 10 ppm",5*160/88,AA13*160/88)</f>
        <v>18.181818181818183</v>
      </c>
      <c r="AF13" s="71">
        <f>IF(AB13="&lt; 10 ppm",5*208/102,AB13*208/102)</f>
        <v>0</v>
      </c>
      <c r="AG13" s="71">
        <f t="shared" si="3"/>
        <v>196.75891367731367</v>
      </c>
      <c r="AH13" s="71">
        <f>461*100</f>
        <v>46100</v>
      </c>
      <c r="AI13" s="71">
        <v>3894.4</v>
      </c>
      <c r="AJ13" s="71">
        <f>42.8*100</f>
        <v>4280</v>
      </c>
      <c r="AK13" s="71"/>
      <c r="AL13" s="71"/>
      <c r="AM13" s="75"/>
      <c r="AN13" t="s">
        <v>395</v>
      </c>
      <c r="AO13" s="71">
        <f t="shared" si="7"/>
        <v>1.2755562855823979</v>
      </c>
      <c r="AP13">
        <f t="shared" si="4"/>
        <v>22.003859350583632</v>
      </c>
      <c r="AQ13">
        <f t="shared" si="5"/>
        <v>12.104245658006668</v>
      </c>
      <c r="AR13">
        <f t="shared" si="6"/>
        <v>18.440000000000001</v>
      </c>
    </row>
    <row r="14" spans="1:44" ht="15" customHeight="1" x14ac:dyDescent="0.25">
      <c r="A14" t="s">
        <v>159</v>
      </c>
      <c r="B14" s="73" t="s">
        <v>156</v>
      </c>
      <c r="C14" s="72" t="str">
        <f t="shared" si="0"/>
        <v>08-11-2023 10:00</v>
      </c>
      <c r="D14" s="13">
        <f t="shared" si="2"/>
        <v>18.958333333333332</v>
      </c>
      <c r="E14" s="71">
        <v>400</v>
      </c>
      <c r="F14" s="71">
        <v>4.4623999999999997</v>
      </c>
      <c r="G14" s="71">
        <v>23.817</v>
      </c>
      <c r="H14" s="71">
        <v>5.484</v>
      </c>
      <c r="I14" s="71">
        <v>4.8360000000000003</v>
      </c>
      <c r="J14" s="71">
        <f t="shared" ref="J14:J15" si="32">G14-F14</f>
        <v>19.354600000000001</v>
      </c>
      <c r="K14" s="71">
        <f t="shared" ref="K14:K15" si="33">H14-F14</f>
        <v>1.0216000000000003</v>
      </c>
      <c r="L14" s="71">
        <f t="shared" ref="L14:L15" si="34">1000*K14/J14</f>
        <v>52.783317660917824</v>
      </c>
      <c r="M14" s="71">
        <f t="shared" ref="M14:M15" si="35">I14-F14</f>
        <v>0.3736000000000006</v>
      </c>
      <c r="N14" s="71">
        <f t="shared" ref="N14:N15" si="36">1000*M14/J14</f>
        <v>19.302904735825106</v>
      </c>
      <c r="O14" s="71">
        <f t="shared" ref="O14:O15" si="37">K14-M14</f>
        <v>0.64799999999999969</v>
      </c>
      <c r="P14" s="71">
        <f t="shared" ref="P14:P15" si="38">1000*O14/J14</f>
        <v>33.480412925092722</v>
      </c>
      <c r="Q14" s="71">
        <f t="shared" ref="Q14:Q15" si="39">100*P14/L14</f>
        <v>63.42991386061076</v>
      </c>
      <c r="R14" s="71">
        <v>7.78</v>
      </c>
      <c r="S14" s="71">
        <f>8620*2</f>
        <v>17240</v>
      </c>
      <c r="T14" s="71">
        <v>0.23499999999999999</v>
      </c>
      <c r="U14" s="71">
        <v>3476</v>
      </c>
      <c r="V14" s="71">
        <f>19.1*100</f>
        <v>1910.0000000000002</v>
      </c>
      <c r="W14" s="71">
        <f>5.62*40</f>
        <v>224.8</v>
      </c>
      <c r="X14" s="71">
        <f>144*100</f>
        <v>14400</v>
      </c>
      <c r="Y14" s="71">
        <v>237.524</v>
      </c>
      <c r="Z14" s="71">
        <v>10.211</v>
      </c>
      <c r="AA14" s="71">
        <v>5</v>
      </c>
      <c r="AB14" s="71">
        <v>0</v>
      </c>
      <c r="AC14" s="71">
        <f>IF(Y14="&lt; 10 ppm",5*64/60,Y14*64/60)</f>
        <v>253.35893333333334</v>
      </c>
      <c r="AD14" s="71">
        <f>IF(Z14="&lt; 10 ppm",5*112/74,Z14*112/74)</f>
        <v>15.454486486486488</v>
      </c>
      <c r="AE14" s="71">
        <f>IF(AA14="&lt; 10 ppm",5*160/88,AA14*160/88)</f>
        <v>9.0909090909090917</v>
      </c>
      <c r="AF14" s="71">
        <f>IF(AB14="&lt; 10 ppm",5*208/102,AB14*208/102)</f>
        <v>0</v>
      </c>
      <c r="AG14" s="71">
        <f t="shared" si="3"/>
        <v>277.90432891072891</v>
      </c>
      <c r="AH14" s="71">
        <f>436*100</f>
        <v>43600</v>
      </c>
      <c r="AI14" s="71"/>
      <c r="AJ14" s="71">
        <f>39.3*100</f>
        <v>3929.9999999999995</v>
      </c>
      <c r="AK14" s="71"/>
      <c r="AL14" s="71"/>
      <c r="AM14" s="75"/>
      <c r="AN14" t="s">
        <v>395</v>
      </c>
      <c r="AO14" s="71">
        <f t="shared" si="7"/>
        <v>1.3022539506172848</v>
      </c>
      <c r="AP14">
        <f t="shared" si="4"/>
        <v>21.11332706436713</v>
      </c>
      <c r="AQ14">
        <f t="shared" si="5"/>
        <v>11.144314493173438</v>
      </c>
      <c r="AR14">
        <f t="shared" si="6"/>
        <v>17.440000000000001</v>
      </c>
    </row>
    <row r="15" spans="1:44" ht="15" customHeight="1" x14ac:dyDescent="0.25">
      <c r="A15" t="s">
        <v>159</v>
      </c>
      <c r="B15" s="73" t="s">
        <v>156</v>
      </c>
      <c r="C15" s="72" t="str">
        <f t="shared" si="0"/>
        <v>08-11-2023 10:00</v>
      </c>
      <c r="D15" s="13">
        <f t="shared" si="2"/>
        <v>19</v>
      </c>
      <c r="E15" s="71"/>
      <c r="F15" s="71">
        <v>4.4538000000000002</v>
      </c>
      <c r="G15" s="71">
        <v>17.316700000000001</v>
      </c>
      <c r="H15" s="71">
        <v>5.1463999999999999</v>
      </c>
      <c r="I15" s="71">
        <v>4.6993</v>
      </c>
      <c r="J15" s="71">
        <f t="shared" si="32"/>
        <v>12.8629</v>
      </c>
      <c r="K15" s="71">
        <f t="shared" si="33"/>
        <v>0.69259999999999966</v>
      </c>
      <c r="L15" s="71">
        <f t="shared" si="34"/>
        <v>53.844778393674808</v>
      </c>
      <c r="M15" s="71">
        <f t="shared" si="35"/>
        <v>0.24549999999999983</v>
      </c>
      <c r="N15" s="71">
        <f t="shared" si="36"/>
        <v>19.085898203360038</v>
      </c>
      <c r="O15" s="71">
        <f t="shared" si="37"/>
        <v>0.44709999999999983</v>
      </c>
      <c r="P15" s="71">
        <f t="shared" si="38"/>
        <v>34.75888019031477</v>
      </c>
      <c r="Q15" s="71">
        <f t="shared" si="39"/>
        <v>64.553855038983556</v>
      </c>
      <c r="R15" s="71"/>
      <c r="S15" s="71"/>
      <c r="T15" s="71"/>
      <c r="U15" s="71"/>
      <c r="V15" s="71"/>
      <c r="W15" s="71"/>
      <c r="X15" s="71"/>
      <c r="Y15" s="71"/>
      <c r="Z15" s="71"/>
      <c r="AA15" s="71"/>
      <c r="AB15" s="71"/>
      <c r="AC15" s="71"/>
      <c r="AD15" s="71"/>
      <c r="AE15" s="71"/>
      <c r="AF15" s="71"/>
      <c r="AG15" s="71">
        <f t="shared" si="3"/>
        <v>0</v>
      </c>
      <c r="AH15" s="71"/>
      <c r="AI15" s="71"/>
      <c r="AJ15" s="71"/>
      <c r="AK15" s="71"/>
      <c r="AL15" s="71"/>
      <c r="AM15" s="75"/>
      <c r="AO15" s="71">
        <f t="shared" si="7"/>
        <v>0</v>
      </c>
      <c r="AP15">
        <f t="shared" si="4"/>
        <v>0</v>
      </c>
      <c r="AQ15">
        <f t="shared" si="5"/>
        <v>0</v>
      </c>
      <c r="AR15">
        <f t="shared" si="6"/>
        <v>0</v>
      </c>
    </row>
    <row r="16" spans="1:44" ht="15" customHeight="1" x14ac:dyDescent="0.25">
      <c r="A16" t="s">
        <v>164</v>
      </c>
      <c r="B16" s="73" t="s">
        <v>396</v>
      </c>
      <c r="C16" s="72" t="str">
        <f t="shared" si="0"/>
        <v>10-11-2023 09:42</v>
      </c>
      <c r="D16" s="13">
        <f t="shared" si="2"/>
        <v>20.987500000000001</v>
      </c>
      <c r="E16" s="71">
        <v>800</v>
      </c>
      <c r="F16" s="71">
        <v>4.3346999999999998</v>
      </c>
      <c r="G16" s="71">
        <v>40.5505</v>
      </c>
      <c r="H16" s="71">
        <v>6.1424000000000003</v>
      </c>
      <c r="I16" s="71">
        <v>5.0095000000000001</v>
      </c>
      <c r="J16" s="71">
        <f t="shared" ref="J16" si="40">G16-F16</f>
        <v>36.215800000000002</v>
      </c>
      <c r="K16" s="71">
        <f t="shared" ref="K16" si="41">H16-F16</f>
        <v>1.8077000000000005</v>
      </c>
      <c r="L16" s="71">
        <f t="shared" ref="L16" si="42">1000*K16/J16</f>
        <v>49.914678123912779</v>
      </c>
      <c r="M16" s="71">
        <f t="shared" ref="M16" si="43">I16-F16</f>
        <v>0.67480000000000029</v>
      </c>
      <c r="N16" s="71">
        <f t="shared" ref="N16" si="44">1000*M16/J16</f>
        <v>18.632751451024145</v>
      </c>
      <c r="O16" s="71">
        <f t="shared" ref="O16" si="45">K16-M16</f>
        <v>1.1329000000000002</v>
      </c>
      <c r="P16" s="71">
        <f t="shared" ref="P16" si="46">1000*O16/J16</f>
        <v>31.281926672888638</v>
      </c>
      <c r="Q16" s="71">
        <f t="shared" ref="Q16" si="47">100*P16/L16</f>
        <v>62.670797145544071</v>
      </c>
      <c r="R16" s="71">
        <v>7.71</v>
      </c>
      <c r="S16" s="71">
        <f>((166.3+9149)*2)</f>
        <v>18630.599999999999</v>
      </c>
      <c r="T16" s="71"/>
      <c r="U16" s="71"/>
      <c r="V16" s="71">
        <f>(16.8*100)</f>
        <v>1680</v>
      </c>
      <c r="W16" s="71"/>
      <c r="X16" s="71"/>
      <c r="Y16" s="71">
        <v>373.036</v>
      </c>
      <c r="Z16" s="71">
        <v>15.46</v>
      </c>
      <c r="AA16" s="71">
        <v>12.368</v>
      </c>
      <c r="AB16" s="71">
        <v>0</v>
      </c>
      <c r="AC16" s="71">
        <f t="shared" ref="AC16:AC37" si="48">IF(Y16="&lt; 10 ppm",5*64/60,Y16*64/60)</f>
        <v>397.90506666666664</v>
      </c>
      <c r="AD16" s="71">
        <f t="shared" ref="AD16:AD37" si="49">IF(Z16="&lt; 10 ppm",5*112/74,Z16*112/74)</f>
        <v>23.39891891891892</v>
      </c>
      <c r="AE16" s="71">
        <f t="shared" ref="AE16:AE37" si="50">IF(AA16="&lt; 10 ppm",5*160/88,AA16*160/88)</f>
        <v>22.487272727272728</v>
      </c>
      <c r="AF16" s="71">
        <f t="shared" ref="AF16:AF37" si="51">IF(AB16="&lt; 10 ppm",5*208/102,AB16*208/102)</f>
        <v>0</v>
      </c>
      <c r="AG16" s="71">
        <f t="shared" si="3"/>
        <v>443.7912583128583</v>
      </c>
      <c r="AH16" s="71">
        <f>(517*100)</f>
        <v>51700</v>
      </c>
      <c r="AI16" s="71">
        <v>3637.5</v>
      </c>
      <c r="AJ16" s="71">
        <f>(35*100)</f>
        <v>3500</v>
      </c>
      <c r="AK16" s="71"/>
      <c r="AL16" s="71"/>
      <c r="AM16" s="75"/>
      <c r="AN16" s="64" t="s">
        <v>397</v>
      </c>
      <c r="AO16" s="71">
        <f t="shared" si="7"/>
        <v>1.6527115014564389</v>
      </c>
      <c r="AP16">
        <f t="shared" si="4"/>
        <v>39.931742499130223</v>
      </c>
      <c r="AQ16">
        <f t="shared" si="5"/>
        <v>19.931800737710535</v>
      </c>
      <c r="AR16">
        <f t="shared" si="6"/>
        <v>41.36</v>
      </c>
    </row>
    <row r="17" spans="1:44" ht="15" customHeight="1" x14ac:dyDescent="0.25">
      <c r="A17" t="s">
        <v>164</v>
      </c>
      <c r="B17" s="73" t="s">
        <v>396</v>
      </c>
      <c r="C17" s="72" t="str">
        <f t="shared" si="0"/>
        <v>10-11-2023 09:42</v>
      </c>
      <c r="D17" s="13">
        <f t="shared" si="2"/>
        <v>21</v>
      </c>
      <c r="E17" s="71"/>
      <c r="F17" s="71">
        <v>4.3726000000000003</v>
      </c>
      <c r="G17" s="71">
        <v>45.353000000000002</v>
      </c>
      <c r="H17" s="71">
        <v>6.4466000000000001</v>
      </c>
      <c r="I17" s="71">
        <v>5.0926999999999998</v>
      </c>
      <c r="J17" s="71">
        <f t="shared" ref="J17" si="52">G17-F17</f>
        <v>40.980400000000003</v>
      </c>
      <c r="K17" s="71">
        <f t="shared" ref="K17" si="53">H17-F17</f>
        <v>2.0739999999999998</v>
      </c>
      <c r="L17" s="71">
        <f t="shared" ref="L17" si="54">1000*K17/J17</f>
        <v>50.609559691950295</v>
      </c>
      <c r="M17" s="71">
        <f t="shared" ref="M17" si="55">I17-F17</f>
        <v>0.72009999999999952</v>
      </c>
      <c r="N17" s="71">
        <f t="shared" ref="N17" si="56">1000*M17/J17</f>
        <v>17.57181481879141</v>
      </c>
      <c r="O17" s="71">
        <f t="shared" ref="O17" si="57">K17-M17</f>
        <v>1.3539000000000003</v>
      </c>
      <c r="P17" s="71">
        <f t="shared" ref="P17" si="58">1000*O17/J17</f>
        <v>33.037744873158879</v>
      </c>
      <c r="Q17" s="71">
        <f t="shared" ref="Q17" si="59">100*P17/L17</f>
        <v>65.279652844744462</v>
      </c>
      <c r="R17" s="71"/>
      <c r="S17" s="71"/>
      <c r="T17" s="71"/>
      <c r="U17" s="71"/>
      <c r="V17" s="71"/>
      <c r="W17" s="71"/>
      <c r="X17" s="71"/>
      <c r="Y17" s="71"/>
      <c r="Z17" s="71"/>
      <c r="AA17" s="71"/>
      <c r="AB17" s="71"/>
      <c r="AC17" s="71"/>
      <c r="AD17" s="71"/>
      <c r="AE17" s="71"/>
      <c r="AF17" s="71"/>
      <c r="AG17" s="71">
        <f t="shared" si="3"/>
        <v>0</v>
      </c>
      <c r="AH17" s="71"/>
      <c r="AI17" s="71"/>
      <c r="AJ17" s="71"/>
      <c r="AK17" s="71"/>
      <c r="AL17" s="71"/>
      <c r="AM17" s="75"/>
      <c r="AO17" s="71">
        <f t="shared" si="7"/>
        <v>0</v>
      </c>
      <c r="AP17">
        <f t="shared" si="4"/>
        <v>0</v>
      </c>
      <c r="AQ17">
        <f t="shared" si="5"/>
        <v>0</v>
      </c>
      <c r="AR17">
        <f t="shared" si="6"/>
        <v>0</v>
      </c>
    </row>
    <row r="18" spans="1:44" ht="15" customHeight="1" x14ac:dyDescent="0.25">
      <c r="A18" t="s">
        <v>169</v>
      </c>
      <c r="B18" s="73" t="s">
        <v>185</v>
      </c>
      <c r="C18" s="72" t="str">
        <f t="shared" si="0"/>
        <v>13-11-2023 10:30</v>
      </c>
      <c r="D18" s="13">
        <f t="shared" si="2"/>
        <v>24.033333333333335</v>
      </c>
      <c r="E18" s="71">
        <v>800</v>
      </c>
      <c r="F18" s="71">
        <v>4.4269999999999996</v>
      </c>
      <c r="G18" s="71">
        <v>25.1511</v>
      </c>
      <c r="H18" s="71">
        <v>5.5033000000000003</v>
      </c>
      <c r="I18" s="71">
        <v>4.7870999999999997</v>
      </c>
      <c r="J18" s="71">
        <f t="shared" ref="J18:J21" si="60">G18-F18</f>
        <v>20.7241</v>
      </c>
      <c r="K18" s="71">
        <f t="shared" ref="K18:K21" si="61">H18-F18</f>
        <v>1.0763000000000007</v>
      </c>
      <c r="L18" s="71">
        <f t="shared" ref="L18:L21" si="62">1000*K18/J18</f>
        <v>51.934704040223728</v>
      </c>
      <c r="M18" s="71">
        <f t="shared" ref="M18:M21" si="63">I18-F18</f>
        <v>0.36010000000000009</v>
      </c>
      <c r="N18" s="71">
        <f t="shared" ref="N18:N21" si="64">1000*M18/J18</f>
        <v>17.375905346914948</v>
      </c>
      <c r="O18" s="71">
        <f t="shared" ref="O18:O21" si="65">K18-M18</f>
        <v>0.71620000000000061</v>
      </c>
      <c r="P18" s="71">
        <f t="shared" ref="P18:P21" si="66">1000*O18/J18</f>
        <v>34.558798693308788</v>
      </c>
      <c r="Q18" s="71">
        <f t="shared" ref="Q18:Q21" si="67">100*P18/L18</f>
        <v>66.542785468735502</v>
      </c>
      <c r="R18" s="71">
        <v>7.71</v>
      </c>
      <c r="S18" s="71">
        <f>((279.1+8351)*2)</f>
        <v>17260.2</v>
      </c>
      <c r="T18" s="71">
        <v>0.23699999999999999</v>
      </c>
      <c r="U18" s="71">
        <v>3361</v>
      </c>
      <c r="V18" s="71">
        <f>(17.4*100)</f>
        <v>1739.9999999999998</v>
      </c>
      <c r="W18" s="71">
        <f>(4.56*40)</f>
        <v>182.39999999999998</v>
      </c>
      <c r="X18" s="71"/>
      <c r="Y18" s="71">
        <v>259.80700000000002</v>
      </c>
      <c r="Z18" s="71" t="s">
        <v>393</v>
      </c>
      <c r="AA18" s="71">
        <v>10.984999999999999</v>
      </c>
      <c r="AB18" s="71">
        <v>0</v>
      </c>
      <c r="AC18" s="71">
        <f t="shared" si="48"/>
        <v>277.12746666666669</v>
      </c>
      <c r="AD18" s="71">
        <f t="shared" si="49"/>
        <v>7.5675675675675675</v>
      </c>
      <c r="AE18" s="71">
        <f t="shared" si="50"/>
        <v>19.972727272727273</v>
      </c>
      <c r="AF18" s="71">
        <f t="shared" si="51"/>
        <v>0</v>
      </c>
      <c r="AG18" s="71">
        <f t="shared" si="3"/>
        <v>304.66776150696154</v>
      </c>
      <c r="AH18" s="71">
        <f>(428*100)</f>
        <v>42800</v>
      </c>
      <c r="AI18" s="71"/>
      <c r="AJ18" s="71">
        <f>(35.8*100)</f>
        <v>3579.9999999999995</v>
      </c>
      <c r="AK18" s="71"/>
      <c r="AL18" s="71"/>
      <c r="AM18" s="75"/>
      <c r="AN18" s="64" t="s">
        <v>398</v>
      </c>
      <c r="AO18" s="71">
        <f t="shared" si="7"/>
        <v>1.238468975146606</v>
      </c>
      <c r="AP18">
        <f t="shared" si="4"/>
        <v>41.547763232178987</v>
      </c>
      <c r="AQ18">
        <f t="shared" si="5"/>
        <v>21.577707869965046</v>
      </c>
      <c r="AR18">
        <f t="shared" si="6"/>
        <v>34.24</v>
      </c>
    </row>
    <row r="19" spans="1:44" ht="15" customHeight="1" x14ac:dyDescent="0.25">
      <c r="A19" t="s">
        <v>169</v>
      </c>
      <c r="B19" s="73" t="s">
        <v>185</v>
      </c>
      <c r="C19" s="72" t="str">
        <f t="shared" si="0"/>
        <v>13-11-2023 10:30</v>
      </c>
      <c r="D19" s="13">
        <f t="shared" si="2"/>
        <v>24</v>
      </c>
      <c r="E19" s="71"/>
      <c r="F19" s="71">
        <v>4.5218999999999996</v>
      </c>
      <c r="G19" s="71">
        <v>31.106400000000001</v>
      </c>
      <c r="H19" s="71">
        <v>5.8986000000000001</v>
      </c>
      <c r="I19" s="71">
        <v>4.9930000000000003</v>
      </c>
      <c r="J19" s="71">
        <f t="shared" si="60"/>
        <v>26.584500000000002</v>
      </c>
      <c r="K19" s="71">
        <f t="shared" si="61"/>
        <v>1.3767000000000005</v>
      </c>
      <c r="L19" s="71">
        <f t="shared" si="62"/>
        <v>51.785815042600028</v>
      </c>
      <c r="M19" s="71">
        <f t="shared" si="63"/>
        <v>0.47110000000000074</v>
      </c>
      <c r="N19" s="71">
        <f t="shared" si="64"/>
        <v>17.720852376384762</v>
      </c>
      <c r="O19" s="71">
        <f t="shared" si="65"/>
        <v>0.90559999999999974</v>
      </c>
      <c r="P19" s="71">
        <f t="shared" si="66"/>
        <v>34.064962666215258</v>
      </c>
      <c r="Q19" s="71">
        <f t="shared" si="67"/>
        <v>65.780489576523522</v>
      </c>
      <c r="R19" s="71"/>
      <c r="S19" s="71"/>
      <c r="T19" s="71"/>
      <c r="U19" s="71"/>
      <c r="V19" s="71"/>
      <c r="W19" s="71"/>
      <c r="X19" s="71"/>
      <c r="Y19" s="71"/>
      <c r="Z19" s="71"/>
      <c r="AA19" s="71"/>
      <c r="AB19" s="71"/>
      <c r="AC19" s="71"/>
      <c r="AD19" s="71"/>
      <c r="AE19" s="71"/>
      <c r="AF19" s="71"/>
      <c r="AG19" s="71">
        <f t="shared" si="3"/>
        <v>0</v>
      </c>
      <c r="AH19" s="71"/>
      <c r="AI19" s="71"/>
      <c r="AJ19" s="71"/>
      <c r="AK19" s="71"/>
      <c r="AL19" s="71"/>
      <c r="AM19" s="75"/>
      <c r="AN19" s="64"/>
      <c r="AO19" s="71">
        <f t="shared" si="7"/>
        <v>0</v>
      </c>
      <c r="AP19">
        <f t="shared" si="4"/>
        <v>0</v>
      </c>
      <c r="AQ19">
        <f t="shared" si="5"/>
        <v>0</v>
      </c>
      <c r="AR19">
        <f t="shared" si="6"/>
        <v>0</v>
      </c>
    </row>
    <row r="20" spans="1:44" ht="15" customHeight="1" x14ac:dyDescent="0.25">
      <c r="A20" t="s">
        <v>172</v>
      </c>
      <c r="B20" s="73" t="s">
        <v>156</v>
      </c>
      <c r="C20" s="72" t="str">
        <f t="shared" si="0"/>
        <v>15-11-2023 10:00</v>
      </c>
      <c r="D20" s="13">
        <f t="shared" si="2"/>
        <v>25.979166666666668</v>
      </c>
      <c r="E20" s="71">
        <v>800</v>
      </c>
      <c r="F20" s="71">
        <v>4.3986999999999998</v>
      </c>
      <c r="G20" s="71">
        <v>29.864000000000001</v>
      </c>
      <c r="H20" s="71">
        <v>5.7813999999999997</v>
      </c>
      <c r="I20" s="71">
        <v>4.8964999999999996</v>
      </c>
      <c r="J20" s="71">
        <f t="shared" si="60"/>
        <v>25.465299999999999</v>
      </c>
      <c r="K20" s="71">
        <f t="shared" si="61"/>
        <v>1.3826999999999998</v>
      </c>
      <c r="L20" s="71">
        <f t="shared" si="62"/>
        <v>54.297416484392478</v>
      </c>
      <c r="M20" s="71">
        <f t="shared" si="63"/>
        <v>0.4977999999999998</v>
      </c>
      <c r="N20" s="71">
        <f t="shared" si="64"/>
        <v>19.548169469827563</v>
      </c>
      <c r="O20" s="71">
        <f t="shared" si="65"/>
        <v>0.88490000000000002</v>
      </c>
      <c r="P20" s="71">
        <f t="shared" si="66"/>
        <v>34.749247014564915</v>
      </c>
      <c r="Q20" s="71">
        <f t="shared" si="67"/>
        <v>63.997974976495271</v>
      </c>
      <c r="R20" s="71">
        <v>7.68</v>
      </c>
      <c r="S20" s="71">
        <f>8316*2</f>
        <v>16632</v>
      </c>
      <c r="T20" s="71">
        <v>0.26600000000000001</v>
      </c>
      <c r="U20" s="71">
        <v>3691</v>
      </c>
      <c r="V20" s="71">
        <f>37.6*50</f>
        <v>1880</v>
      </c>
      <c r="W20" s="71">
        <f>4.29*40</f>
        <v>171.6</v>
      </c>
      <c r="X20" s="71">
        <f>526*50</f>
        <v>26300</v>
      </c>
      <c r="Y20">
        <v>540.59500000000003</v>
      </c>
      <c r="Z20" s="71" t="s">
        <v>393</v>
      </c>
      <c r="AA20">
        <v>17.882999999999999</v>
      </c>
      <c r="AB20" s="71">
        <v>0</v>
      </c>
      <c r="AC20" s="71">
        <f t="shared" ref="AC20" si="68">IF(Y20="&lt; 10 ppm",5*64/60,Y20*64/60)</f>
        <v>576.6346666666667</v>
      </c>
      <c r="AD20" s="71">
        <f t="shared" ref="AD20" si="69">IF(Z20="&lt; 10 ppm",5*112/74,Z20*112/74)</f>
        <v>7.5675675675675675</v>
      </c>
      <c r="AE20" s="71">
        <f t="shared" ref="AE20" si="70">IF(AA20="&lt; 10 ppm",5*160/88,AA20*160/88)</f>
        <v>32.514545454545448</v>
      </c>
      <c r="AF20" s="71">
        <f t="shared" ref="AF20" si="71">IF(AB20="&lt; 10 ppm",5*208/102,AB20*208/102)</f>
        <v>0</v>
      </c>
      <c r="AG20" s="71">
        <f t="shared" si="3"/>
        <v>616.71677968877975</v>
      </c>
      <c r="AH20" s="71">
        <f>1606*50</f>
        <v>80300</v>
      </c>
      <c r="AI20" s="71"/>
      <c r="AJ20" s="71">
        <f>70.3*50</f>
        <v>3515</v>
      </c>
      <c r="AK20" s="71"/>
      <c r="AL20" s="71"/>
      <c r="AM20" s="75"/>
      <c r="AN20" s="64" t="s">
        <v>398</v>
      </c>
      <c r="AO20" s="71">
        <f t="shared" si="7"/>
        <v>2.310841439710702</v>
      </c>
      <c r="AP20">
        <f t="shared" si="4"/>
        <v>43.437933187513984</v>
      </c>
      <c r="AQ20">
        <f t="shared" si="5"/>
        <v>23.585675495036607</v>
      </c>
      <c r="AR20">
        <f t="shared" si="6"/>
        <v>64.239999999999995</v>
      </c>
    </row>
    <row r="21" spans="1:44" ht="15" customHeight="1" x14ac:dyDescent="0.25">
      <c r="A21" t="s">
        <v>172</v>
      </c>
      <c r="B21" s="73" t="s">
        <v>156</v>
      </c>
      <c r="C21" s="72" t="str">
        <f t="shared" si="0"/>
        <v>15-11-2023 10:00</v>
      </c>
      <c r="D21" s="13">
        <f t="shared" si="2"/>
        <v>26</v>
      </c>
      <c r="E21" s="71"/>
      <c r="F21" s="71">
        <v>4.4311999999999996</v>
      </c>
      <c r="G21" s="71">
        <v>24.075399999999998</v>
      </c>
      <c r="H21" s="71">
        <v>5.4253</v>
      </c>
      <c r="I21" s="71">
        <v>4.7865000000000002</v>
      </c>
      <c r="J21" s="71">
        <f t="shared" si="60"/>
        <v>19.644199999999998</v>
      </c>
      <c r="K21" s="71">
        <f t="shared" si="61"/>
        <v>0.99410000000000043</v>
      </c>
      <c r="L21" s="71">
        <f t="shared" si="62"/>
        <v>50.605267712607315</v>
      </c>
      <c r="M21" s="71">
        <f t="shared" si="63"/>
        <v>0.35530000000000062</v>
      </c>
      <c r="N21" s="71">
        <f t="shared" si="64"/>
        <v>18.086763523075547</v>
      </c>
      <c r="O21" s="71">
        <f t="shared" si="65"/>
        <v>0.63879999999999981</v>
      </c>
      <c r="P21" s="71">
        <f t="shared" si="66"/>
        <v>32.518504189531768</v>
      </c>
      <c r="Q21" s="71">
        <f t="shared" si="67"/>
        <v>64.259128860275581</v>
      </c>
      <c r="R21" s="71"/>
      <c r="S21" s="71"/>
      <c r="T21" s="71"/>
      <c r="U21" s="71"/>
      <c r="V21" s="71"/>
      <c r="W21" s="71"/>
      <c r="X21" s="71"/>
      <c r="Y21" s="71"/>
      <c r="Z21" s="71"/>
      <c r="AA21" s="71"/>
      <c r="AB21" s="71"/>
      <c r="AC21" s="71"/>
      <c r="AD21" s="71"/>
      <c r="AE21" s="71"/>
      <c r="AF21" s="71"/>
      <c r="AG21" s="71">
        <f t="shared" si="3"/>
        <v>0</v>
      </c>
      <c r="AH21" s="71"/>
      <c r="AI21" s="71"/>
      <c r="AJ21" s="71"/>
      <c r="AK21" s="71"/>
      <c r="AL21" s="71"/>
      <c r="AM21" s="75"/>
      <c r="AN21" s="64"/>
      <c r="AO21" s="71">
        <f t="shared" si="7"/>
        <v>0</v>
      </c>
      <c r="AP21">
        <f t="shared" si="4"/>
        <v>0</v>
      </c>
      <c r="AQ21">
        <f t="shared" si="5"/>
        <v>0</v>
      </c>
      <c r="AR21">
        <f t="shared" si="6"/>
        <v>0</v>
      </c>
    </row>
    <row r="22" spans="1:44" ht="15" customHeight="1" x14ac:dyDescent="0.25">
      <c r="A22" t="s">
        <v>175</v>
      </c>
      <c r="B22" s="73" t="s">
        <v>399</v>
      </c>
      <c r="C22" s="72" t="str">
        <f t="shared" si="0"/>
        <v>17-11-2023 09:10</v>
      </c>
      <c r="D22" s="13">
        <f t="shared" si="2"/>
        <v>27.965277777777779</v>
      </c>
      <c r="E22" s="71">
        <v>1200</v>
      </c>
      <c r="F22" s="71">
        <v>4.4596999999999998</v>
      </c>
      <c r="G22" s="71">
        <v>41.172899999999998</v>
      </c>
      <c r="H22" s="71">
        <v>6.3362999999999996</v>
      </c>
      <c r="I22" s="71">
        <v>5.0791000000000004</v>
      </c>
      <c r="J22" s="71">
        <f t="shared" ref="J22:J29" si="72">G22-F22</f>
        <v>36.713200000000001</v>
      </c>
      <c r="K22" s="71">
        <f t="shared" ref="K22:K29" si="73">H22-F22</f>
        <v>1.8765999999999998</v>
      </c>
      <c r="L22" s="71">
        <f t="shared" ref="L22:L29" si="74">1000*K22/J22</f>
        <v>51.115130252879069</v>
      </c>
      <c r="M22" s="71">
        <f t="shared" ref="M22:M29" si="75">I22-F22</f>
        <v>0.61940000000000062</v>
      </c>
      <c r="N22" s="71">
        <f t="shared" ref="N22:N29" si="76">1000*M22/J22</f>
        <v>16.8713160389179</v>
      </c>
      <c r="O22" s="71">
        <f t="shared" ref="O22:O29" si="77">K22-M22</f>
        <v>1.2571999999999992</v>
      </c>
      <c r="P22" s="71">
        <f t="shared" ref="P22:P29" si="78">1000*O22/J22</f>
        <v>34.243814213961166</v>
      </c>
      <c r="Q22" s="71">
        <f t="shared" ref="Q22:Q29" si="79">100*P22/L22</f>
        <v>66.993498880954874</v>
      </c>
      <c r="R22" s="71">
        <v>7.66</v>
      </c>
      <c r="S22" s="71">
        <f>(270.2+8438.5)*2</f>
        <v>17417.400000000001</v>
      </c>
      <c r="T22" s="71"/>
      <c r="U22" s="71"/>
      <c r="V22" s="71">
        <f>(20*100)</f>
        <v>2000</v>
      </c>
      <c r="W22" s="71"/>
      <c r="X22" s="71"/>
      <c r="Y22" s="71">
        <v>1120.0920000000001</v>
      </c>
      <c r="Z22" s="71">
        <v>14.215</v>
      </c>
      <c r="AA22" s="71">
        <v>17.263000000000002</v>
      </c>
      <c r="AB22" s="71">
        <v>0</v>
      </c>
      <c r="AC22" s="71">
        <f t="shared" si="48"/>
        <v>1194.7648000000002</v>
      </c>
      <c r="AD22" s="71">
        <f t="shared" si="49"/>
        <v>21.514594594594595</v>
      </c>
      <c r="AE22" s="71">
        <f t="shared" si="50"/>
        <v>31.38727272727273</v>
      </c>
      <c r="AF22" s="71">
        <f t="shared" si="51"/>
        <v>0</v>
      </c>
      <c r="AG22" s="71">
        <f t="shared" si="3"/>
        <v>1247.6666673218676</v>
      </c>
      <c r="AH22" s="71">
        <f>(544*100)</f>
        <v>54400</v>
      </c>
      <c r="AI22" s="71">
        <v>3500</v>
      </c>
      <c r="AJ22" s="71">
        <f>(37.2*100)</f>
        <v>3720.0000000000005</v>
      </c>
      <c r="AK22" s="71"/>
      <c r="AL22" s="71"/>
      <c r="AM22" s="75"/>
      <c r="AN22" t="s">
        <v>400</v>
      </c>
      <c r="AO22" s="71">
        <f t="shared" si="7"/>
        <v>1.5886080814508443</v>
      </c>
      <c r="AP22">
        <f t="shared" si="4"/>
        <v>61.33815630345488</v>
      </c>
      <c r="AQ22">
        <f t="shared" si="5"/>
        <v>31.353078489225513</v>
      </c>
      <c r="AR22">
        <f t="shared" si="6"/>
        <v>65.28</v>
      </c>
    </row>
    <row r="23" spans="1:44" ht="15" customHeight="1" x14ac:dyDescent="0.25">
      <c r="A23" t="s">
        <v>175</v>
      </c>
      <c r="B23" s="73" t="s">
        <v>399</v>
      </c>
      <c r="C23" s="72" t="str">
        <f t="shared" si="0"/>
        <v>17-11-2023 09:10</v>
      </c>
      <c r="D23" s="13">
        <f t="shared" si="2"/>
        <v>28</v>
      </c>
      <c r="E23" s="71"/>
      <c r="F23" s="71">
        <v>4.4027000000000003</v>
      </c>
      <c r="G23" s="71">
        <v>39.673499999999997</v>
      </c>
      <c r="H23" s="71">
        <v>6.1985000000000001</v>
      </c>
      <c r="I23" s="71">
        <v>4.9996999999999998</v>
      </c>
      <c r="J23" s="71">
        <f t="shared" si="72"/>
        <v>35.270799999999994</v>
      </c>
      <c r="K23" s="71">
        <f t="shared" si="73"/>
        <v>1.7957999999999998</v>
      </c>
      <c r="L23" s="71">
        <f t="shared" si="74"/>
        <v>50.914637603910315</v>
      </c>
      <c r="M23" s="71">
        <f t="shared" si="75"/>
        <v>0.59699999999999953</v>
      </c>
      <c r="N23" s="71">
        <f t="shared" si="76"/>
        <v>16.926182564614344</v>
      </c>
      <c r="O23" s="71">
        <f t="shared" si="77"/>
        <v>1.1988000000000003</v>
      </c>
      <c r="P23" s="71">
        <f t="shared" si="78"/>
        <v>33.988455039295978</v>
      </c>
      <c r="Q23" s="71">
        <f t="shared" si="79"/>
        <v>66.755763448045471</v>
      </c>
      <c r="R23" s="71"/>
      <c r="S23" s="71"/>
      <c r="T23" s="71"/>
      <c r="U23" s="71"/>
      <c r="V23" s="71"/>
      <c r="W23" s="71"/>
      <c r="X23" s="71"/>
      <c r="Y23" s="71"/>
      <c r="Z23" s="71"/>
      <c r="AA23" s="71"/>
      <c r="AB23" s="71"/>
      <c r="AC23" s="71"/>
      <c r="AD23" s="71"/>
      <c r="AE23" s="71"/>
      <c r="AF23" s="71"/>
      <c r="AG23" s="71">
        <f t="shared" si="3"/>
        <v>0</v>
      </c>
      <c r="AH23" s="71"/>
      <c r="AI23" s="71"/>
      <c r="AJ23" s="71"/>
      <c r="AK23" s="71"/>
      <c r="AL23" s="71"/>
      <c r="AM23" s="75"/>
      <c r="AO23" s="71">
        <f t="shared" si="7"/>
        <v>0</v>
      </c>
      <c r="AP23">
        <f t="shared" si="4"/>
        <v>0</v>
      </c>
      <c r="AQ23">
        <f t="shared" si="5"/>
        <v>0</v>
      </c>
      <c r="AR23">
        <f t="shared" si="6"/>
        <v>0</v>
      </c>
    </row>
    <row r="24" spans="1:44" ht="15" customHeight="1" x14ac:dyDescent="0.25">
      <c r="A24" t="s">
        <v>178</v>
      </c>
      <c r="B24" s="73" t="s">
        <v>185</v>
      </c>
      <c r="C24" s="72" t="str">
        <f t="shared" si="0"/>
        <v>20-11-2023 10:30</v>
      </c>
      <c r="D24" s="13">
        <f t="shared" si="2"/>
        <v>31.055555555555557</v>
      </c>
      <c r="E24" s="71">
        <v>800</v>
      </c>
      <c r="F24" s="71">
        <v>4.3726000000000003</v>
      </c>
      <c r="G24" s="71">
        <v>28.4056</v>
      </c>
      <c r="H24" s="71">
        <v>5.6105</v>
      </c>
      <c r="I24" s="71">
        <v>4.7653999999999996</v>
      </c>
      <c r="J24" s="71">
        <f t="shared" si="72"/>
        <v>24.033000000000001</v>
      </c>
      <c r="K24" s="71">
        <f t="shared" si="73"/>
        <v>1.2378999999999998</v>
      </c>
      <c r="L24" s="71">
        <f t="shared" si="74"/>
        <v>51.508342695460399</v>
      </c>
      <c r="M24" s="71">
        <f t="shared" si="75"/>
        <v>0.39279999999999937</v>
      </c>
      <c r="N24" s="71">
        <f t="shared" si="76"/>
        <v>16.344193400740622</v>
      </c>
      <c r="O24" s="71">
        <f t="shared" si="77"/>
        <v>0.84510000000000041</v>
      </c>
      <c r="P24" s="71">
        <f t="shared" si="78"/>
        <v>35.16414929471977</v>
      </c>
      <c r="Q24" s="71">
        <f t="shared" si="79"/>
        <v>68.2688423943776</v>
      </c>
      <c r="R24" s="71">
        <v>7.69</v>
      </c>
      <c r="S24" s="71">
        <f>8037*2</f>
        <v>16074</v>
      </c>
      <c r="T24" s="71">
        <v>0.29199999999999998</v>
      </c>
      <c r="U24" s="71">
        <v>4193</v>
      </c>
      <c r="V24" s="71">
        <f>34.5*50</f>
        <v>1725</v>
      </c>
      <c r="W24" s="71">
        <f>5.34*40</f>
        <v>213.6</v>
      </c>
      <c r="X24" s="71">
        <f>469*50</f>
        <v>23450</v>
      </c>
      <c r="Y24" s="71">
        <v>1484.5360000000001</v>
      </c>
      <c r="Z24" s="71">
        <v>0</v>
      </c>
      <c r="AA24" s="71">
        <v>35.837000000000003</v>
      </c>
      <c r="AB24" s="71">
        <v>0</v>
      </c>
      <c r="AC24" s="71">
        <f t="shared" si="48"/>
        <v>1583.5050666666668</v>
      </c>
      <c r="AD24" s="71">
        <f t="shared" si="49"/>
        <v>0</v>
      </c>
      <c r="AE24" s="71">
        <f t="shared" si="50"/>
        <v>65.158181818181816</v>
      </c>
      <c r="AF24" s="71">
        <f t="shared" si="51"/>
        <v>0</v>
      </c>
      <c r="AG24" s="71">
        <f t="shared" si="3"/>
        <v>1648.6632484848487</v>
      </c>
      <c r="AH24" s="71">
        <f>1086*50</f>
        <v>54300</v>
      </c>
      <c r="AI24" s="71"/>
      <c r="AJ24" s="71">
        <f>73.5*50</f>
        <v>3675</v>
      </c>
      <c r="AK24" s="71"/>
      <c r="AL24" s="71"/>
      <c r="AM24" s="75"/>
      <c r="AN24" s="64" t="s">
        <v>398</v>
      </c>
      <c r="AO24" s="71">
        <f t="shared" si="7"/>
        <v>1.5441863684771029</v>
      </c>
      <c r="AP24">
        <f t="shared" si="4"/>
        <v>41.206674156368315</v>
      </c>
      <c r="AQ24">
        <f t="shared" si="5"/>
        <v>21.224874937863905</v>
      </c>
      <c r="AR24">
        <f t="shared" si="6"/>
        <v>43.44</v>
      </c>
    </row>
    <row r="25" spans="1:44" ht="15" customHeight="1" x14ac:dyDescent="0.25">
      <c r="A25" t="s">
        <v>178</v>
      </c>
      <c r="B25" s="73" t="s">
        <v>185</v>
      </c>
      <c r="C25" s="72" t="str">
        <f t="shared" si="0"/>
        <v>20-11-2023 10:30</v>
      </c>
      <c r="D25" s="13">
        <f t="shared" si="2"/>
        <v>31</v>
      </c>
      <c r="E25" s="71"/>
      <c r="F25" s="71">
        <v>4.3928000000000003</v>
      </c>
      <c r="G25" s="71">
        <v>32.066099999999999</v>
      </c>
      <c r="H25" s="71">
        <v>5.7648999999999999</v>
      </c>
      <c r="I25" s="71">
        <v>4.8487999999999998</v>
      </c>
      <c r="J25" s="71">
        <f t="shared" si="72"/>
        <v>27.673299999999998</v>
      </c>
      <c r="K25" s="71">
        <f t="shared" si="73"/>
        <v>1.3720999999999997</v>
      </c>
      <c r="L25" s="71">
        <f t="shared" si="74"/>
        <v>49.582088149949584</v>
      </c>
      <c r="M25" s="71">
        <f t="shared" si="75"/>
        <v>0.45599999999999952</v>
      </c>
      <c r="N25" s="71">
        <f t="shared" si="76"/>
        <v>16.477976966968146</v>
      </c>
      <c r="O25" s="71">
        <f t="shared" si="77"/>
        <v>0.91610000000000014</v>
      </c>
      <c r="P25" s="71">
        <f t="shared" si="78"/>
        <v>33.104111182981434</v>
      </c>
      <c r="Q25" s="71">
        <f t="shared" si="79"/>
        <v>66.766270679979613</v>
      </c>
      <c r="R25" s="71"/>
      <c r="S25" s="71"/>
      <c r="T25" s="71"/>
      <c r="U25" s="71"/>
      <c r="V25" s="71"/>
      <c r="W25" s="71"/>
      <c r="X25" s="71"/>
      <c r="Y25" s="71"/>
      <c r="Z25" s="71"/>
      <c r="AA25" s="71"/>
      <c r="AB25" s="71"/>
      <c r="AC25" s="71"/>
      <c r="AD25" s="71"/>
      <c r="AE25" s="71"/>
      <c r="AF25" s="71"/>
      <c r="AG25" s="71">
        <f t="shared" si="3"/>
        <v>0</v>
      </c>
      <c r="AH25" s="71"/>
      <c r="AI25" s="71"/>
      <c r="AJ25" s="71"/>
      <c r="AK25" s="71"/>
      <c r="AL25" s="71"/>
      <c r="AM25" s="75"/>
      <c r="AN25" s="64"/>
      <c r="AO25" s="71">
        <f t="shared" si="7"/>
        <v>0</v>
      </c>
      <c r="AP25">
        <f t="shared" si="4"/>
        <v>0</v>
      </c>
      <c r="AQ25">
        <f t="shared" si="5"/>
        <v>0</v>
      </c>
      <c r="AR25">
        <f t="shared" si="6"/>
        <v>0</v>
      </c>
    </row>
    <row r="26" spans="1:44" ht="15" customHeight="1" x14ac:dyDescent="0.25">
      <c r="A26" t="s">
        <v>181</v>
      </c>
      <c r="B26" s="73" t="s">
        <v>156</v>
      </c>
      <c r="C26" s="72" t="str">
        <f t="shared" si="0"/>
        <v>22-11-2023 10:00</v>
      </c>
      <c r="D26" s="13">
        <f t="shared" si="2"/>
        <v>32.979166666666664</v>
      </c>
      <c r="E26" s="71">
        <v>800</v>
      </c>
      <c r="F26" s="71">
        <v>4.4680999999999997</v>
      </c>
      <c r="G26" s="71">
        <v>32.499400000000001</v>
      </c>
      <c r="H26" s="71">
        <v>5.8689</v>
      </c>
      <c r="I26" s="71">
        <v>4.9419000000000004</v>
      </c>
      <c r="J26" s="71">
        <f t="shared" si="72"/>
        <v>28.031300000000002</v>
      </c>
      <c r="K26" s="71">
        <f t="shared" si="73"/>
        <v>1.4008000000000003</v>
      </c>
      <c r="L26" s="71">
        <f t="shared" si="74"/>
        <v>49.972709078779793</v>
      </c>
      <c r="M26" s="71">
        <f t="shared" si="75"/>
        <v>0.47380000000000067</v>
      </c>
      <c r="N26" s="71">
        <f t="shared" si="76"/>
        <v>16.902533953116716</v>
      </c>
      <c r="O26" s="71">
        <f t="shared" si="77"/>
        <v>0.9269999999999996</v>
      </c>
      <c r="P26" s="71">
        <f t="shared" si="78"/>
        <v>33.070175125663077</v>
      </c>
      <c r="Q26" s="71">
        <f t="shared" si="79"/>
        <v>66.176470588235247</v>
      </c>
      <c r="R26" s="71">
        <v>7.61</v>
      </c>
      <c r="S26" s="71">
        <f>7413*2</f>
        <v>14826</v>
      </c>
      <c r="T26" s="71">
        <f>0.273</f>
        <v>0.27300000000000002</v>
      </c>
      <c r="U26" s="71">
        <v>3568</v>
      </c>
      <c r="V26" s="71">
        <f>33.6*50</f>
        <v>1680</v>
      </c>
      <c r="W26" s="71">
        <f>4.81*40</f>
        <v>192.39999999999998</v>
      </c>
      <c r="X26" s="71">
        <f>299*50</f>
        <v>14950</v>
      </c>
      <c r="Y26" s="71">
        <v>2063.2750000000001</v>
      </c>
      <c r="Z26" s="71">
        <v>39.78</v>
      </c>
      <c r="AA26" s="71">
        <v>25.164000000000001</v>
      </c>
      <c r="AB26" s="71">
        <v>0</v>
      </c>
      <c r="AC26" s="71">
        <f t="shared" si="48"/>
        <v>2200.8266666666668</v>
      </c>
      <c r="AD26" s="71">
        <f t="shared" si="49"/>
        <v>60.207567567567573</v>
      </c>
      <c r="AE26" s="71">
        <f t="shared" si="50"/>
        <v>45.752727272727277</v>
      </c>
      <c r="AF26" s="71">
        <f t="shared" si="51"/>
        <v>0</v>
      </c>
      <c r="AG26" s="71">
        <f t="shared" si="3"/>
        <v>2306.7869615069617</v>
      </c>
      <c r="AH26" s="71">
        <f>935*50</f>
        <v>46750</v>
      </c>
      <c r="AI26" s="71"/>
      <c r="AJ26" s="71">
        <f>80.9*50</f>
        <v>4045.0000000000005</v>
      </c>
      <c r="AK26" s="71">
        <f>22.2*40</f>
        <v>888</v>
      </c>
      <c r="AL26" s="71"/>
      <c r="AM26" s="75"/>
      <c r="AN26" s="64" t="s">
        <v>401</v>
      </c>
      <c r="AO26" s="71">
        <f t="shared" si="7"/>
        <v>1.4136604908306374</v>
      </c>
      <c r="AP26">
        <f t="shared" si="4"/>
        <v>39.978167263023835</v>
      </c>
      <c r="AQ26">
        <f t="shared" si="5"/>
        <v>19.978173221378885</v>
      </c>
      <c r="AR26">
        <f t="shared" si="6"/>
        <v>37.4</v>
      </c>
    </row>
    <row r="27" spans="1:44" ht="15" customHeight="1" x14ac:dyDescent="0.25">
      <c r="A27" t="s">
        <v>181</v>
      </c>
      <c r="B27" s="73" t="s">
        <v>156</v>
      </c>
      <c r="C27" s="72" t="str">
        <f t="shared" si="0"/>
        <v>22-11-2023 10:00</v>
      </c>
      <c r="D27" s="13">
        <f t="shared" si="2"/>
        <v>33</v>
      </c>
      <c r="E27" s="71"/>
      <c r="F27" s="71">
        <v>4.3913000000000002</v>
      </c>
      <c r="G27" s="71">
        <v>25.462199999999999</v>
      </c>
      <c r="H27" s="71">
        <v>5.4016999999999999</v>
      </c>
      <c r="I27" s="71">
        <v>4.7538</v>
      </c>
      <c r="J27" s="71">
        <f t="shared" si="72"/>
        <v>21.070899999999998</v>
      </c>
      <c r="K27" s="71">
        <f t="shared" si="73"/>
        <v>1.0103999999999997</v>
      </c>
      <c r="L27" s="71">
        <f t="shared" si="74"/>
        <v>47.952389314172621</v>
      </c>
      <c r="M27" s="71">
        <f t="shared" si="75"/>
        <v>0.36249999999999982</v>
      </c>
      <c r="N27" s="71">
        <f t="shared" si="76"/>
        <v>17.203821383994033</v>
      </c>
      <c r="O27" s="71">
        <f t="shared" si="77"/>
        <v>0.64789999999999992</v>
      </c>
      <c r="P27" s="71">
        <f t="shared" si="78"/>
        <v>30.748567930178584</v>
      </c>
      <c r="Q27" s="71">
        <f t="shared" si="79"/>
        <v>64.123119556611243</v>
      </c>
      <c r="R27" s="71"/>
      <c r="S27" s="71"/>
      <c r="T27" s="71"/>
      <c r="U27" s="71"/>
      <c r="V27" s="71"/>
      <c r="W27" s="71"/>
      <c r="X27" s="71"/>
      <c r="Y27" s="71"/>
      <c r="Z27" s="71"/>
      <c r="AA27" s="71"/>
      <c r="AB27" s="71"/>
      <c r="AC27" s="71"/>
      <c r="AD27" s="71"/>
      <c r="AE27" s="71"/>
      <c r="AF27" s="71"/>
      <c r="AG27" s="71">
        <f t="shared" si="3"/>
        <v>0</v>
      </c>
      <c r="AH27" s="71"/>
      <c r="AI27" s="71"/>
      <c r="AJ27" s="71"/>
      <c r="AK27" s="71"/>
      <c r="AL27" s="71"/>
      <c r="AM27" s="75"/>
      <c r="AN27" s="64"/>
      <c r="AO27" s="71">
        <f t="shared" si="7"/>
        <v>0</v>
      </c>
      <c r="AP27">
        <f t="shared" si="4"/>
        <v>0</v>
      </c>
      <c r="AQ27">
        <f t="shared" si="5"/>
        <v>0</v>
      </c>
      <c r="AR27">
        <f t="shared" si="6"/>
        <v>0</v>
      </c>
    </row>
    <row r="28" spans="1:44" ht="15" customHeight="1" x14ac:dyDescent="0.25">
      <c r="A28" t="s">
        <v>182</v>
      </c>
      <c r="B28" s="73" t="s">
        <v>165</v>
      </c>
      <c r="C28" s="72" t="str">
        <f t="shared" si="0"/>
        <v>24-11-2023 09:30</v>
      </c>
      <c r="D28" s="13">
        <f t="shared" si="2"/>
        <v>34.979166666666664</v>
      </c>
      <c r="E28" s="71">
        <v>1200</v>
      </c>
      <c r="F28" s="71">
        <v>4.3948999999999998</v>
      </c>
      <c r="G28" s="71">
        <v>37.792999999999999</v>
      </c>
      <c r="H28" s="71">
        <v>6.0540000000000003</v>
      </c>
      <c r="I28" s="71">
        <v>4.9450000000000003</v>
      </c>
      <c r="J28" s="71">
        <f t="shared" si="72"/>
        <v>33.398099999999999</v>
      </c>
      <c r="K28" s="71">
        <f t="shared" si="73"/>
        <v>1.6591000000000005</v>
      </c>
      <c r="L28" s="71">
        <f t="shared" si="74"/>
        <v>49.67647860207618</v>
      </c>
      <c r="M28" s="71">
        <f t="shared" si="75"/>
        <v>0.55010000000000048</v>
      </c>
      <c r="N28" s="71">
        <f t="shared" si="76"/>
        <v>16.470996853114414</v>
      </c>
      <c r="O28" s="71">
        <f t="shared" si="77"/>
        <v>1.109</v>
      </c>
      <c r="P28" s="71">
        <f t="shared" si="78"/>
        <v>33.205481748961766</v>
      </c>
      <c r="Q28" s="71">
        <f t="shared" si="79"/>
        <v>66.843469350852843</v>
      </c>
      <c r="R28" s="71">
        <v>7.56</v>
      </c>
      <c r="S28" s="71">
        <f>((0+7209)*2)</f>
        <v>14418</v>
      </c>
      <c r="T28" s="71"/>
      <c r="U28" s="71"/>
      <c r="V28" s="71">
        <f>(15.1*100)</f>
        <v>1510</v>
      </c>
      <c r="W28" s="71"/>
      <c r="X28" s="71"/>
      <c r="Y28" s="71">
        <v>782.87900000000002</v>
      </c>
      <c r="Z28" s="71" t="s">
        <v>393</v>
      </c>
      <c r="AA28" s="71">
        <v>12.715</v>
      </c>
      <c r="AB28" s="71">
        <v>0</v>
      </c>
      <c r="AC28" s="71">
        <f t="shared" si="48"/>
        <v>835.0709333333333</v>
      </c>
      <c r="AD28" s="71">
        <f t="shared" si="49"/>
        <v>7.5675675675675675</v>
      </c>
      <c r="AE28" s="71">
        <f t="shared" si="50"/>
        <v>23.118181818181821</v>
      </c>
      <c r="AF28" s="71">
        <f t="shared" si="51"/>
        <v>0</v>
      </c>
      <c r="AG28" s="71">
        <f t="shared" si="3"/>
        <v>865.75668271908273</v>
      </c>
      <c r="AH28" s="71">
        <f>(482*100)</f>
        <v>48200</v>
      </c>
      <c r="AI28" s="71"/>
      <c r="AJ28" s="71">
        <f>(41.6*100)</f>
        <v>4160</v>
      </c>
      <c r="AK28" s="71"/>
      <c r="AL28" s="71"/>
      <c r="AM28" s="75"/>
      <c r="AN28" t="s">
        <v>402</v>
      </c>
      <c r="AO28" s="71">
        <f t="shared" si="7"/>
        <v>1.4515675563570785</v>
      </c>
      <c r="AP28">
        <f t="shared" si="4"/>
        <v>59.611774322491414</v>
      </c>
      <c r="AQ28">
        <f t="shared" si="5"/>
        <v>29.61303031563039</v>
      </c>
      <c r="AR28">
        <f t="shared" si="6"/>
        <v>57.84</v>
      </c>
    </row>
    <row r="29" spans="1:44" ht="15" customHeight="1" x14ac:dyDescent="0.25">
      <c r="A29" t="s">
        <v>182</v>
      </c>
      <c r="B29" s="73" t="s">
        <v>165</v>
      </c>
      <c r="C29" s="72" t="str">
        <f t="shared" si="0"/>
        <v>24-11-2023 09:30</v>
      </c>
      <c r="D29" s="13">
        <f t="shared" si="2"/>
        <v>35</v>
      </c>
      <c r="E29" s="71"/>
      <c r="F29" s="71">
        <v>4.5039999999999996</v>
      </c>
      <c r="G29" s="71">
        <v>49.186</v>
      </c>
      <c r="H29" s="71">
        <v>6.7633000000000001</v>
      </c>
      <c r="I29" s="71">
        <v>5.2348999999999997</v>
      </c>
      <c r="J29" s="71">
        <f t="shared" si="72"/>
        <v>44.682000000000002</v>
      </c>
      <c r="K29" s="71">
        <f t="shared" si="73"/>
        <v>2.2593000000000005</v>
      </c>
      <c r="L29" s="71">
        <f t="shared" si="74"/>
        <v>50.563985497515787</v>
      </c>
      <c r="M29" s="71">
        <f t="shared" si="75"/>
        <v>0.73090000000000011</v>
      </c>
      <c r="N29" s="71">
        <f t="shared" si="76"/>
        <v>16.357817465646121</v>
      </c>
      <c r="O29" s="71">
        <f t="shared" si="77"/>
        <v>1.5284000000000004</v>
      </c>
      <c r="P29" s="71">
        <f t="shared" si="78"/>
        <v>34.206168031869659</v>
      </c>
      <c r="Q29" s="71">
        <f t="shared" si="79"/>
        <v>67.649271898375602</v>
      </c>
      <c r="R29" s="71"/>
      <c r="S29" s="71"/>
      <c r="T29" s="71"/>
      <c r="U29" s="71"/>
      <c r="V29" s="71"/>
      <c r="W29" s="71"/>
      <c r="X29" s="71"/>
      <c r="Y29" s="71"/>
      <c r="Z29" s="71"/>
      <c r="AA29" s="71"/>
      <c r="AB29" s="71"/>
      <c r="AC29" s="71"/>
      <c r="AD29" s="71"/>
      <c r="AE29" s="71"/>
      <c r="AF29" s="71"/>
      <c r="AG29" s="71">
        <f t="shared" si="3"/>
        <v>0</v>
      </c>
      <c r="AH29" s="71"/>
      <c r="AI29" s="71"/>
      <c r="AJ29" s="71"/>
      <c r="AK29" s="71"/>
      <c r="AL29" s="71"/>
      <c r="AM29" s="71"/>
      <c r="AO29" s="71">
        <f t="shared" si="7"/>
        <v>0</v>
      </c>
      <c r="AP29">
        <f t="shared" si="4"/>
        <v>0</v>
      </c>
      <c r="AQ29">
        <f t="shared" si="5"/>
        <v>0</v>
      </c>
      <c r="AR29">
        <f t="shared" si="6"/>
        <v>0</v>
      </c>
    </row>
    <row r="30" spans="1:44" ht="15" customHeight="1" x14ac:dyDescent="0.25">
      <c r="A30" t="s">
        <v>188</v>
      </c>
      <c r="B30" s="73" t="s">
        <v>156</v>
      </c>
      <c r="C30" s="72" t="str">
        <f t="shared" si="0"/>
        <v>27-11-2023 10:00</v>
      </c>
      <c r="D30" s="13">
        <f t="shared" si="2"/>
        <v>38.020833333333336</v>
      </c>
      <c r="E30" s="71">
        <v>800</v>
      </c>
      <c r="F30" s="71">
        <v>4.335</v>
      </c>
      <c r="G30" s="71">
        <v>22.3353</v>
      </c>
      <c r="H30" s="71">
        <v>5.2889999999999997</v>
      </c>
      <c r="I30" s="71">
        <v>4.6170999999999998</v>
      </c>
      <c r="J30" s="71">
        <f t="shared" ref="J30" si="80">G30-F30</f>
        <v>18.000299999999999</v>
      </c>
      <c r="K30" s="71">
        <f t="shared" ref="K30" si="81">H30-F30</f>
        <v>0.95399999999999974</v>
      </c>
      <c r="L30" s="71">
        <f t="shared" ref="L30" si="82">1000*K30/J30</f>
        <v>52.999116681388635</v>
      </c>
      <c r="M30" s="71">
        <f t="shared" ref="M30" si="83">I30-F30</f>
        <v>0.2820999999999998</v>
      </c>
      <c r="N30" s="71">
        <f t="shared" ref="N30" si="84">1000*M30/J30</f>
        <v>15.67196102287183</v>
      </c>
      <c r="O30" s="71">
        <f t="shared" ref="O30" si="85">K30-M30</f>
        <v>0.67189999999999994</v>
      </c>
      <c r="P30" s="71">
        <f t="shared" ref="P30" si="86">1000*O30/J30</f>
        <v>37.327155658516801</v>
      </c>
      <c r="Q30" s="71">
        <f t="shared" ref="Q30" si="87">100*P30/L30</f>
        <v>70.429769392033563</v>
      </c>
      <c r="R30" s="71">
        <f>7.4</f>
        <v>7.4</v>
      </c>
      <c r="S30" s="71">
        <f>6825*2</f>
        <v>13650</v>
      </c>
      <c r="T30" s="71">
        <v>0.46100000000000002</v>
      </c>
      <c r="U30" s="71">
        <v>5571</v>
      </c>
      <c r="V30" s="71">
        <f>28.5*50</f>
        <v>1425</v>
      </c>
      <c r="W30" s="71">
        <f>4.47*40</f>
        <v>178.79999999999998</v>
      </c>
      <c r="X30" s="71">
        <f>325*50</f>
        <v>16250</v>
      </c>
      <c r="Y30" s="71">
        <v>2047.2929999999999</v>
      </c>
      <c r="Z30" s="71">
        <v>106.492</v>
      </c>
      <c r="AA30" s="71">
        <v>5</v>
      </c>
      <c r="AB30" s="71">
        <v>25.084</v>
      </c>
      <c r="AC30" s="71">
        <f t="shared" si="48"/>
        <v>2183.7791999999999</v>
      </c>
      <c r="AD30" s="71">
        <f t="shared" si="49"/>
        <v>161.1770810810811</v>
      </c>
      <c r="AE30" s="71">
        <f t="shared" si="50"/>
        <v>9.0909090909090917</v>
      </c>
      <c r="AF30" s="71">
        <f t="shared" si="51"/>
        <v>51.1516862745098</v>
      </c>
      <c r="AG30" s="71">
        <f t="shared" si="3"/>
        <v>2405.1988764465</v>
      </c>
      <c r="AH30" s="71">
        <v>49160</v>
      </c>
      <c r="AI30" s="71"/>
      <c r="AJ30" s="71">
        <f>(70.9*50)</f>
        <v>3545.0000000000005</v>
      </c>
      <c r="AK30" s="71"/>
      <c r="AL30" s="71"/>
      <c r="AM30" s="75"/>
      <c r="AN30" t="s">
        <v>403</v>
      </c>
      <c r="AO30" s="71">
        <f t="shared" si="7"/>
        <v>1.3170036433993155</v>
      </c>
      <c r="AP30">
        <f t="shared" si="4"/>
        <v>42.399293345110905</v>
      </c>
      <c r="AQ30">
        <f t="shared" si="5"/>
        <v>22.471250952059577</v>
      </c>
      <c r="AR30">
        <f t="shared" si="6"/>
        <v>39.328000000000003</v>
      </c>
    </row>
    <row r="31" spans="1:44" ht="15" customHeight="1" x14ac:dyDescent="0.25">
      <c r="A31" t="s">
        <v>188</v>
      </c>
      <c r="B31" s="73" t="s">
        <v>156</v>
      </c>
      <c r="C31" s="72" t="str">
        <f t="shared" si="0"/>
        <v>27-11-2023 10:00</v>
      </c>
      <c r="D31" s="13">
        <f t="shared" si="2"/>
        <v>38</v>
      </c>
      <c r="E31" s="71"/>
      <c r="F31" s="71">
        <v>4.4326999999999996</v>
      </c>
      <c r="G31" s="71">
        <v>28.212499999999999</v>
      </c>
      <c r="H31" s="71">
        <v>5.6353999999999997</v>
      </c>
      <c r="I31" s="71">
        <v>4.8044000000000002</v>
      </c>
      <c r="J31" s="71">
        <f t="shared" ref="J31" si="88">G31-F31</f>
        <v>23.779799999999998</v>
      </c>
      <c r="K31" s="71">
        <f t="shared" ref="K31" si="89">H31-F31</f>
        <v>1.2027000000000001</v>
      </c>
      <c r="L31" s="71">
        <f t="shared" ref="L31" si="90">1000*K31/J31</f>
        <v>50.576539752226687</v>
      </c>
      <c r="M31" s="71">
        <f t="shared" ref="M31" si="91">I31-F31</f>
        <v>0.37170000000000059</v>
      </c>
      <c r="N31" s="71">
        <f t="shared" ref="N31" si="92">1000*M31/J31</f>
        <v>15.630913632578938</v>
      </c>
      <c r="O31" s="71">
        <f t="shared" ref="O31" si="93">K31-M31</f>
        <v>0.83099999999999952</v>
      </c>
      <c r="P31" s="71">
        <f t="shared" ref="P31" si="94">1000*O31/J31</f>
        <v>34.945626119647756</v>
      </c>
      <c r="Q31" s="71">
        <f t="shared" ref="Q31" si="95">100*P31/L31</f>
        <v>69.094537291094994</v>
      </c>
      <c r="R31" s="71"/>
      <c r="S31" s="71"/>
      <c r="T31" s="71"/>
      <c r="U31" s="71"/>
      <c r="V31" s="71"/>
      <c r="W31" s="71"/>
      <c r="X31" s="71"/>
      <c r="Y31" s="71"/>
      <c r="Z31" s="71"/>
      <c r="AA31" s="71"/>
      <c r="AB31" s="71"/>
      <c r="AC31" s="71"/>
      <c r="AD31" s="71"/>
      <c r="AE31" s="71"/>
      <c r="AF31" s="71"/>
      <c r="AG31" s="71">
        <f t="shared" si="3"/>
        <v>0</v>
      </c>
      <c r="AH31" s="71"/>
      <c r="AI31" s="71"/>
      <c r="AJ31" s="71"/>
      <c r="AK31" s="71"/>
      <c r="AL31" s="71"/>
      <c r="AM31" s="75"/>
      <c r="AO31" s="71">
        <f t="shared" si="7"/>
        <v>0</v>
      </c>
      <c r="AP31">
        <f t="shared" si="4"/>
        <v>0</v>
      </c>
      <c r="AQ31">
        <f t="shared" si="5"/>
        <v>0</v>
      </c>
      <c r="AR31">
        <f t="shared" si="6"/>
        <v>0</v>
      </c>
    </row>
    <row r="32" spans="1:44" ht="15" customHeight="1" x14ac:dyDescent="0.25">
      <c r="A32" t="s">
        <v>189</v>
      </c>
      <c r="B32" s="73" t="s">
        <v>185</v>
      </c>
      <c r="C32" s="72" t="str">
        <f t="shared" si="0"/>
        <v>29-11-2023 10:30</v>
      </c>
      <c r="D32" s="13">
        <f t="shared" si="2"/>
        <v>40.020833333333336</v>
      </c>
      <c r="E32" s="71">
        <v>800</v>
      </c>
      <c r="F32" s="71">
        <v>4.4593999999999996</v>
      </c>
      <c r="G32" s="71">
        <v>29.921759999999999</v>
      </c>
      <c r="H32" s="71">
        <v>5.7183000000000002</v>
      </c>
      <c r="I32" s="71">
        <v>4.8398000000000003</v>
      </c>
      <c r="J32" s="71">
        <f t="shared" ref="J32" si="96">G32-F32</f>
        <v>25.46236</v>
      </c>
      <c r="K32" s="71">
        <f t="shared" ref="K32" si="97">H32-F32</f>
        <v>1.2589000000000006</v>
      </c>
      <c r="L32" s="71">
        <f t="shared" ref="L32" si="98">1000*K32/J32</f>
        <v>49.441607140893481</v>
      </c>
      <c r="M32" s="71">
        <f t="shared" ref="M32" si="99">I32-F32</f>
        <v>0.38040000000000074</v>
      </c>
      <c r="N32" s="71">
        <f t="shared" ref="N32" si="100">1000*M32/J32</f>
        <v>14.939699226623169</v>
      </c>
      <c r="O32" s="71">
        <f t="shared" ref="O32" si="101">K32-M32</f>
        <v>0.87849999999999984</v>
      </c>
      <c r="P32" s="71">
        <f t="shared" ref="P32" si="102">1000*O32/J32</f>
        <v>34.501907914270312</v>
      </c>
      <c r="Q32" s="71">
        <f t="shared" ref="Q32:Q39" si="103">100*P32/L32</f>
        <v>69.7831440146159</v>
      </c>
      <c r="R32" s="71">
        <f>7.38</f>
        <v>7.38</v>
      </c>
      <c r="S32" s="71">
        <f>2*(6773+98.3)</f>
        <v>13742.6</v>
      </c>
      <c r="T32" s="71">
        <v>0.52</v>
      </c>
      <c r="U32" s="71">
        <v>5596</v>
      </c>
      <c r="V32" s="71">
        <f>30.5*50</f>
        <v>1525</v>
      </c>
      <c r="W32" s="71">
        <f>4.53*40</f>
        <v>181.20000000000002</v>
      </c>
      <c r="X32" s="71">
        <f>354*50</f>
        <v>17700</v>
      </c>
      <c r="Y32" s="71">
        <v>3088.3530000000001</v>
      </c>
      <c r="Z32" s="71">
        <v>146.50800000000001</v>
      </c>
      <c r="AA32" s="71">
        <v>56.696000000000005</v>
      </c>
      <c r="AB32" s="71">
        <v>54.954999999999998</v>
      </c>
      <c r="AC32" s="71">
        <f t="shared" si="48"/>
        <v>3294.2431999999999</v>
      </c>
      <c r="AD32" s="71">
        <f t="shared" si="49"/>
        <v>221.74183783783783</v>
      </c>
      <c r="AE32" s="71">
        <f t="shared" si="50"/>
        <v>103.08363636363637</v>
      </c>
      <c r="AF32" s="71">
        <f t="shared" si="51"/>
        <v>112.06509803921568</v>
      </c>
      <c r="AG32" s="71">
        <f t="shared" si="3"/>
        <v>3731.1337722406897</v>
      </c>
      <c r="AH32" s="71">
        <f>997*50</f>
        <v>49850</v>
      </c>
      <c r="AI32" s="71"/>
      <c r="AJ32" s="71">
        <f>30.5*100</f>
        <v>3050</v>
      </c>
      <c r="AK32" s="71"/>
      <c r="AL32" s="71"/>
      <c r="AM32" s="75"/>
      <c r="AN32" t="s">
        <v>398</v>
      </c>
      <c r="AO32" s="71">
        <f t="shared" si="7"/>
        <v>1.4448476334661358</v>
      </c>
      <c r="AP32">
        <f t="shared" si="4"/>
        <v>39.553285712714789</v>
      </c>
      <c r="AQ32">
        <f t="shared" si="5"/>
        <v>19.555780133395597</v>
      </c>
      <c r="AR32">
        <f t="shared" si="6"/>
        <v>39.880000000000003</v>
      </c>
    </row>
    <row r="33" spans="1:44" ht="15" customHeight="1" x14ac:dyDescent="0.25">
      <c r="A33" t="s">
        <v>189</v>
      </c>
      <c r="B33" s="73" t="s">
        <v>185</v>
      </c>
      <c r="C33" s="72" t="str">
        <f t="shared" si="0"/>
        <v>29-11-2023 10:30</v>
      </c>
      <c r="D33" s="13">
        <f t="shared" si="2"/>
        <v>40</v>
      </c>
      <c r="E33" s="71"/>
      <c r="F33" s="71">
        <v>4.4846000000000004</v>
      </c>
      <c r="G33" s="71">
        <v>32.8384</v>
      </c>
      <c r="H33" s="71">
        <v>5.9130000000000003</v>
      </c>
      <c r="I33" s="71">
        <v>4.9165999999999999</v>
      </c>
      <c r="J33" s="71">
        <f t="shared" ref="J33:J37" si="104">G33-F33</f>
        <v>28.3538</v>
      </c>
      <c r="K33" s="71">
        <f t="shared" ref="K33:K37" si="105">H33-F33</f>
        <v>1.4283999999999999</v>
      </c>
      <c r="L33" s="71">
        <f t="shared" ref="L33:L37" si="106">1000*K33/J33</f>
        <v>50.377727147683906</v>
      </c>
      <c r="M33" s="71">
        <f t="shared" ref="M33:M37" si="107">I33-F33</f>
        <v>0.4319999999999995</v>
      </c>
      <c r="N33" s="71">
        <f t="shared" ref="N33:N37" si="108">1000*M33/J33</f>
        <v>15.236053015821495</v>
      </c>
      <c r="O33" s="71">
        <f t="shared" ref="O33:O37" si="109">K33-M33</f>
        <v>0.9964000000000004</v>
      </c>
      <c r="P33" s="71">
        <f t="shared" ref="P33:P37" si="110">1000*O33/J33</f>
        <v>35.141674131862409</v>
      </c>
      <c r="Q33" s="71">
        <f t="shared" si="103"/>
        <v>69.756370764491777</v>
      </c>
      <c r="R33" s="71"/>
      <c r="S33" s="71"/>
      <c r="T33" s="71"/>
      <c r="U33" s="71"/>
      <c r="V33" s="71"/>
      <c r="W33" s="71"/>
      <c r="X33" s="71"/>
      <c r="Y33" s="71"/>
      <c r="Z33" s="71"/>
      <c r="AA33" s="71"/>
      <c r="AB33" s="71"/>
      <c r="AC33" s="71"/>
      <c r="AD33" s="71"/>
      <c r="AE33" s="71"/>
      <c r="AF33" s="71"/>
      <c r="AG33" s="71">
        <f t="shared" si="3"/>
        <v>0</v>
      </c>
      <c r="AH33" s="71"/>
      <c r="AI33" s="71"/>
      <c r="AJ33" s="71"/>
      <c r="AK33" s="71"/>
      <c r="AL33" s="71"/>
      <c r="AM33" s="71"/>
      <c r="AN33" s="64"/>
      <c r="AO33" s="71">
        <f t="shared" si="7"/>
        <v>0</v>
      </c>
      <c r="AP33">
        <f t="shared" si="4"/>
        <v>0</v>
      </c>
      <c r="AQ33">
        <f t="shared" si="5"/>
        <v>0</v>
      </c>
      <c r="AR33">
        <f t="shared" si="6"/>
        <v>0</v>
      </c>
    </row>
    <row r="34" spans="1:44" ht="15" customHeight="1" x14ac:dyDescent="0.25">
      <c r="A34" t="s">
        <v>190</v>
      </c>
      <c r="B34" s="73" t="s">
        <v>170</v>
      </c>
      <c r="C34" s="72" t="str">
        <f t="shared" si="0"/>
        <v>01-12-2023 10:15</v>
      </c>
      <c r="D34" s="13">
        <f t="shared" si="2"/>
        <v>41.989583333333336</v>
      </c>
      <c r="E34" s="71">
        <v>600</v>
      </c>
      <c r="F34" s="71">
        <v>4.3372999999999999</v>
      </c>
      <c r="G34" s="71">
        <v>46.110300000000002</v>
      </c>
      <c r="H34" s="71">
        <v>6.4344000000000001</v>
      </c>
      <c r="I34" s="71">
        <v>4.9873000000000003</v>
      </c>
      <c r="J34" s="71">
        <f t="shared" si="104"/>
        <v>41.773000000000003</v>
      </c>
      <c r="K34" s="71">
        <f t="shared" si="105"/>
        <v>2.0971000000000002</v>
      </c>
      <c r="L34" s="71">
        <f t="shared" si="106"/>
        <v>50.202283771814336</v>
      </c>
      <c r="M34" s="71">
        <f t="shared" si="107"/>
        <v>0.65000000000000036</v>
      </c>
      <c r="N34" s="71">
        <f t="shared" si="108"/>
        <v>15.56029013956384</v>
      </c>
      <c r="O34" s="71">
        <f t="shared" si="109"/>
        <v>1.4470999999999998</v>
      </c>
      <c r="P34" s="71">
        <f t="shared" si="110"/>
        <v>34.64199363225049</v>
      </c>
      <c r="Q34" s="71">
        <f t="shared" si="103"/>
        <v>69.004816174717433</v>
      </c>
      <c r="R34" s="71">
        <v>7.59</v>
      </c>
      <c r="S34" s="71">
        <f>((187.7+5853)*2)</f>
        <v>12081.4</v>
      </c>
      <c r="T34" s="71"/>
      <c r="U34" s="71"/>
      <c r="V34" s="71">
        <f>(14*100)</f>
        <v>1400</v>
      </c>
      <c r="W34" s="71"/>
      <c r="X34" s="71"/>
      <c r="Y34" s="71">
        <v>2652.0120000000002</v>
      </c>
      <c r="Z34" s="71"/>
      <c r="AA34" s="71"/>
      <c r="AB34" s="71"/>
      <c r="AC34" s="71">
        <f t="shared" si="48"/>
        <v>2828.8128000000002</v>
      </c>
      <c r="AD34" s="71">
        <f t="shared" si="49"/>
        <v>0</v>
      </c>
      <c r="AE34" s="71">
        <f t="shared" si="50"/>
        <v>0</v>
      </c>
      <c r="AF34" s="71">
        <f t="shared" si="51"/>
        <v>0</v>
      </c>
      <c r="AG34" s="71">
        <f t="shared" si="3"/>
        <v>2828.8128000000002</v>
      </c>
      <c r="AH34" s="71">
        <f>(601*100)</f>
        <v>60100</v>
      </c>
      <c r="AI34" s="71"/>
      <c r="AJ34" s="71">
        <f>(42.4*100)</f>
        <v>4240</v>
      </c>
      <c r="AK34" s="71"/>
      <c r="AL34" s="71"/>
      <c r="AM34" s="71"/>
      <c r="AN34" t="s">
        <v>404</v>
      </c>
      <c r="AO34" s="71">
        <f t="shared" si="7"/>
        <v>1.7348886047957988</v>
      </c>
      <c r="AP34">
        <f t="shared" si="4"/>
        <v>30.121370263088604</v>
      </c>
      <c r="AQ34">
        <f t="shared" si="5"/>
        <v>15.121615775434639</v>
      </c>
      <c r="AR34">
        <f t="shared" si="6"/>
        <v>36.06</v>
      </c>
    </row>
    <row r="35" spans="1:44" ht="15" customHeight="1" x14ac:dyDescent="0.25">
      <c r="A35" t="s">
        <v>190</v>
      </c>
      <c r="B35" s="73" t="s">
        <v>170</v>
      </c>
      <c r="C35" s="72" t="str">
        <f t="shared" si="0"/>
        <v>01-12-2023 10:15</v>
      </c>
      <c r="D35" s="13">
        <f t="shared" si="2"/>
        <v>42</v>
      </c>
      <c r="E35" s="71"/>
      <c r="F35" s="71">
        <v>4.2827000000000002</v>
      </c>
      <c r="G35" s="71">
        <v>48.467700000000001</v>
      </c>
      <c r="H35" s="71">
        <v>6.5136000000000003</v>
      </c>
      <c r="I35" s="71">
        <v>4.9321999999999999</v>
      </c>
      <c r="J35" s="71">
        <f t="shared" si="104"/>
        <v>44.185000000000002</v>
      </c>
      <c r="K35" s="71">
        <f t="shared" si="105"/>
        <v>2.2309000000000001</v>
      </c>
      <c r="L35" s="71">
        <f t="shared" si="106"/>
        <v>50.489985289125265</v>
      </c>
      <c r="M35" s="71">
        <f t="shared" si="107"/>
        <v>0.64949999999999974</v>
      </c>
      <c r="N35" s="71">
        <f t="shared" si="108"/>
        <v>14.699558673758057</v>
      </c>
      <c r="O35" s="71">
        <f t="shared" si="109"/>
        <v>1.5814000000000004</v>
      </c>
      <c r="P35" s="71">
        <f t="shared" si="110"/>
        <v>35.79042661536721</v>
      </c>
      <c r="Q35" s="71">
        <f t="shared" si="103"/>
        <v>70.886189430274783</v>
      </c>
      <c r="R35" s="71"/>
      <c r="S35" s="71"/>
      <c r="T35" s="71"/>
      <c r="U35" s="71"/>
      <c r="V35" s="71"/>
      <c r="W35" s="71"/>
      <c r="X35" s="71"/>
      <c r="Y35" s="71"/>
      <c r="Z35" s="71"/>
      <c r="AA35" s="71"/>
      <c r="AB35" s="71"/>
      <c r="AC35" s="71">
        <f t="shared" si="48"/>
        <v>0</v>
      </c>
      <c r="AD35" s="71">
        <f t="shared" si="49"/>
        <v>0</v>
      </c>
      <c r="AE35" s="71">
        <f t="shared" si="50"/>
        <v>0</v>
      </c>
      <c r="AF35" s="71">
        <f t="shared" si="51"/>
        <v>0</v>
      </c>
      <c r="AG35" s="71">
        <f t="shared" si="3"/>
        <v>0</v>
      </c>
      <c r="AH35" s="71"/>
      <c r="AI35" s="71"/>
      <c r="AJ35" s="71"/>
      <c r="AK35" s="71"/>
      <c r="AL35" s="71"/>
      <c r="AM35" s="71"/>
      <c r="AO35" s="71">
        <f t="shared" si="7"/>
        <v>0</v>
      </c>
      <c r="AP35">
        <f t="shared" si="4"/>
        <v>0</v>
      </c>
      <c r="AQ35">
        <f t="shared" si="5"/>
        <v>0</v>
      </c>
      <c r="AR35">
        <f t="shared" si="6"/>
        <v>0</v>
      </c>
    </row>
    <row r="36" spans="1:44" ht="15" customHeight="1" x14ac:dyDescent="0.25">
      <c r="A36" t="s">
        <v>195</v>
      </c>
      <c r="B36" s="73" t="s">
        <v>167</v>
      </c>
      <c r="C36" s="72" t="str">
        <f t="shared" si="0"/>
        <v>04-12-2023 11:00</v>
      </c>
      <c r="D36" s="13">
        <f t="shared" ref="D36:D66" si="111">A36-$A$3+(B36-B35)</f>
        <v>45.03125</v>
      </c>
      <c r="E36" s="71">
        <v>400</v>
      </c>
      <c r="F36" s="71">
        <v>20.4528</v>
      </c>
      <c r="G36" s="71">
        <v>35.528500000000001</v>
      </c>
      <c r="H36" s="71">
        <v>21.172799999999999</v>
      </c>
      <c r="I36" s="71">
        <v>20.674900000000001</v>
      </c>
      <c r="J36" s="71">
        <f t="shared" si="104"/>
        <v>15.075700000000001</v>
      </c>
      <c r="K36" s="71">
        <f t="shared" si="105"/>
        <v>0.71999999999999886</v>
      </c>
      <c r="L36" s="71">
        <f t="shared" si="106"/>
        <v>47.758976365939809</v>
      </c>
      <c r="M36" s="71">
        <f t="shared" si="107"/>
        <v>0.22210000000000107</v>
      </c>
      <c r="N36" s="71">
        <f t="shared" si="108"/>
        <v>14.73231757066014</v>
      </c>
      <c r="O36" s="71">
        <f t="shared" si="109"/>
        <v>0.49789999999999779</v>
      </c>
      <c r="P36" s="71">
        <f t="shared" si="110"/>
        <v>33.026658795279673</v>
      </c>
      <c r="Q36" s="71">
        <f t="shared" si="103"/>
        <v>69.152777777777587</v>
      </c>
      <c r="R36" s="71">
        <v>7.81</v>
      </c>
      <c r="S36" s="71">
        <f>6450*2</f>
        <v>12900</v>
      </c>
      <c r="T36" s="71">
        <v>0.41799999999999998</v>
      </c>
      <c r="U36" s="71">
        <v>4725</v>
      </c>
      <c r="V36" s="71">
        <f>31.8*50</f>
        <v>1590</v>
      </c>
      <c r="W36" s="71">
        <f>3.79*40</f>
        <v>151.6</v>
      </c>
      <c r="X36" s="71">
        <f>229*50</f>
        <v>11450</v>
      </c>
      <c r="Y36" s="71">
        <v>1462.9110000000001</v>
      </c>
      <c r="Z36" s="71"/>
      <c r="AA36" s="71"/>
      <c r="AB36" s="71"/>
      <c r="AC36" s="71">
        <f t="shared" si="48"/>
        <v>1560.4384</v>
      </c>
      <c r="AD36" s="71">
        <f t="shared" si="49"/>
        <v>0</v>
      </c>
      <c r="AE36" s="71">
        <f t="shared" si="50"/>
        <v>0</v>
      </c>
      <c r="AF36" s="71">
        <f t="shared" si="51"/>
        <v>0</v>
      </c>
      <c r="AG36" s="71">
        <f t="shared" si="3"/>
        <v>1560.4384</v>
      </c>
      <c r="AH36" s="71">
        <f>978*50</f>
        <v>48900</v>
      </c>
      <c r="AI36" s="71"/>
      <c r="AJ36" s="71">
        <f>76.9*50</f>
        <v>3845.0000000000005</v>
      </c>
      <c r="AK36" s="71"/>
      <c r="AL36" s="71"/>
      <c r="AM36" s="71"/>
      <c r="AN36" s="64" t="s">
        <v>405</v>
      </c>
      <c r="AO36" s="71">
        <f t="shared" si="7"/>
        <v>1.4806220727053692</v>
      </c>
      <c r="AP36">
        <f t="shared" si="4"/>
        <v>19.103590546375923</v>
      </c>
      <c r="AQ36">
        <f t="shared" si="5"/>
        <v>9.1236792940895892</v>
      </c>
      <c r="AR36">
        <f t="shared" si="6"/>
        <v>19.559999999999999</v>
      </c>
    </row>
    <row r="37" spans="1:44" ht="15" customHeight="1" x14ac:dyDescent="0.25">
      <c r="A37" t="s">
        <v>195</v>
      </c>
      <c r="B37" s="73" t="s">
        <v>167</v>
      </c>
      <c r="C37" s="72" t="str">
        <f t="shared" si="0"/>
        <v>04-12-2023 11:00</v>
      </c>
      <c r="D37" s="13">
        <f t="shared" si="111"/>
        <v>45</v>
      </c>
      <c r="E37" s="71"/>
      <c r="F37" s="71">
        <v>20.2193</v>
      </c>
      <c r="G37" s="71">
        <v>34.003399999999999</v>
      </c>
      <c r="H37" s="71">
        <v>20.875</v>
      </c>
      <c r="I37" s="71">
        <v>20.412299999999998</v>
      </c>
      <c r="J37" s="71">
        <f t="shared" si="104"/>
        <v>13.784099999999999</v>
      </c>
      <c r="K37" s="71">
        <f t="shared" si="105"/>
        <v>0.65569999999999951</v>
      </c>
      <c r="L37" s="71">
        <f t="shared" si="106"/>
        <v>47.569300861137073</v>
      </c>
      <c r="M37" s="71">
        <f t="shared" si="107"/>
        <v>0.19299999999999784</v>
      </c>
      <c r="N37" s="71">
        <f t="shared" si="108"/>
        <v>14.001639570229312</v>
      </c>
      <c r="O37" s="71">
        <f t="shared" si="109"/>
        <v>0.46270000000000167</v>
      </c>
      <c r="P37" s="71">
        <f t="shared" si="110"/>
        <v>33.567661290907765</v>
      </c>
      <c r="Q37" s="71">
        <f t="shared" si="103"/>
        <v>70.565807533933508</v>
      </c>
      <c r="R37" s="71"/>
      <c r="S37" s="71"/>
      <c r="T37" s="71"/>
      <c r="U37" s="71"/>
      <c r="V37" s="71"/>
      <c r="W37" s="71"/>
      <c r="X37" s="71"/>
      <c r="Y37" s="71"/>
      <c r="Z37" s="71"/>
      <c r="AA37" s="71"/>
      <c r="AB37" s="71"/>
      <c r="AC37" s="71">
        <f t="shared" si="48"/>
        <v>0</v>
      </c>
      <c r="AD37" s="71">
        <f t="shared" si="49"/>
        <v>0</v>
      </c>
      <c r="AE37" s="71">
        <f t="shared" si="50"/>
        <v>0</v>
      </c>
      <c r="AF37" s="71">
        <f t="shared" si="51"/>
        <v>0</v>
      </c>
      <c r="AG37" s="71">
        <f t="shared" si="3"/>
        <v>0</v>
      </c>
      <c r="AH37" s="71"/>
      <c r="AI37" s="71"/>
      <c r="AJ37" s="71"/>
      <c r="AK37" s="71"/>
      <c r="AL37" s="71"/>
      <c r="AM37" s="71"/>
      <c r="AO37" s="71">
        <f t="shared" si="7"/>
        <v>0</v>
      </c>
      <c r="AP37">
        <f t="shared" si="4"/>
        <v>0</v>
      </c>
      <c r="AQ37">
        <f t="shared" si="5"/>
        <v>0</v>
      </c>
      <c r="AR37">
        <f t="shared" si="6"/>
        <v>0</v>
      </c>
    </row>
    <row r="38" spans="1:44" ht="15" customHeight="1" x14ac:dyDescent="0.25">
      <c r="A38" t="s">
        <v>197</v>
      </c>
      <c r="B38" s="73" t="s">
        <v>185</v>
      </c>
      <c r="C38" s="72" t="str">
        <f t="shared" si="0"/>
        <v>06-12-2023 10:30</v>
      </c>
      <c r="D38" s="13">
        <f t="shared" si="111"/>
        <v>46.979166666666664</v>
      </c>
      <c r="E38" s="71">
        <v>600</v>
      </c>
      <c r="F38" s="71">
        <v>44.976999999999997</v>
      </c>
      <c r="G38" s="71">
        <v>67.903499999999994</v>
      </c>
      <c r="H38" s="71">
        <v>46.064799999999998</v>
      </c>
      <c r="I38" s="71">
        <v>45.305999999999997</v>
      </c>
      <c r="J38" s="71">
        <f t="shared" ref="J38:J39" si="112">G38-F38</f>
        <v>22.926499999999997</v>
      </c>
      <c r="K38" s="71">
        <f t="shared" ref="K38:K39" si="113">H38-F38</f>
        <v>1.0878000000000014</v>
      </c>
      <c r="L38" s="71">
        <f t="shared" ref="L38:L39" si="114">1000*K38/J38</f>
        <v>47.447277168342382</v>
      </c>
      <c r="M38" s="71">
        <f t="shared" ref="M38:M39" si="115">I38-F38</f>
        <v>0.32900000000000063</v>
      </c>
      <c r="N38" s="71">
        <f t="shared" ref="N38:N39" si="116">1000*M38/J38</f>
        <v>14.350206093385413</v>
      </c>
      <c r="O38" s="71">
        <f t="shared" ref="O38:O39" si="117">K38-M38</f>
        <v>0.75880000000000081</v>
      </c>
      <c r="P38" s="71">
        <f t="shared" ref="P38:P39" si="118">1000*O38/J38</f>
        <v>33.097071074956972</v>
      </c>
      <c r="Q38" s="71">
        <f t="shared" si="103"/>
        <v>69.755469755469747</v>
      </c>
      <c r="R38" s="71">
        <v>7.74</v>
      </c>
      <c r="S38" s="71">
        <f>6710*2</f>
        <v>13420</v>
      </c>
      <c r="T38" s="71">
        <v>0.309</v>
      </c>
      <c r="U38" s="71">
        <v>3722</v>
      </c>
      <c r="V38" s="71">
        <f>7.83*200</f>
        <v>1566</v>
      </c>
      <c r="W38" s="71">
        <f>3.38*40</f>
        <v>135.19999999999999</v>
      </c>
      <c r="X38" s="71">
        <f>209*50</f>
        <v>10450</v>
      </c>
      <c r="Y38" s="71">
        <v>592</v>
      </c>
      <c r="Z38" s="71" t="s">
        <v>393</v>
      </c>
      <c r="AA38" s="71">
        <v>10.984</v>
      </c>
      <c r="AB38" s="71">
        <v>121.03400000000001</v>
      </c>
      <c r="AC38" s="71">
        <f t="shared" ref="AC38:AC39" si="119">IF(Y38="&lt; 10 ppm",5*64/60,Y38*64/60)</f>
        <v>631.4666666666667</v>
      </c>
      <c r="AD38" s="71">
        <f t="shared" ref="AD38:AD39" si="120">IF(Z38="&lt; 10 ppm",5*112/74,Z38*112/74)</f>
        <v>7.5675675675675675</v>
      </c>
      <c r="AE38" s="71">
        <f t="shared" ref="AE38:AE39" si="121">IF(AA38="&lt; 10 ppm",5*160/88,AA38*160/88)</f>
        <v>19.970909090909092</v>
      </c>
      <c r="AF38" s="71">
        <f t="shared" ref="AF38:AF39" si="122">IF(AB38="&lt; 10 ppm",5*208/102,AB38*208/102)</f>
        <v>246.81443137254902</v>
      </c>
      <c r="AG38" s="71">
        <f t="shared" si="3"/>
        <v>905.81957469769247</v>
      </c>
      <c r="AH38" s="71">
        <f>892*50</f>
        <v>44600</v>
      </c>
      <c r="AI38" s="71"/>
      <c r="AJ38" s="71">
        <f>64.4*50</f>
        <v>3220.0000000000005</v>
      </c>
      <c r="AK38" s="71"/>
      <c r="AL38" s="71"/>
      <c r="AM38" s="71"/>
      <c r="AN38" t="s">
        <v>406</v>
      </c>
      <c r="AO38" s="71">
        <f t="shared" si="7"/>
        <v>1.3475512651555068</v>
      </c>
      <c r="AP38">
        <f t="shared" si="4"/>
        <v>28.468366301005428</v>
      </c>
      <c r="AQ38">
        <f t="shared" si="5"/>
        <v>13.507464664137025</v>
      </c>
      <c r="AR38">
        <f t="shared" si="6"/>
        <v>26.76</v>
      </c>
    </row>
    <row r="39" spans="1:44" ht="15" customHeight="1" x14ac:dyDescent="0.25">
      <c r="A39" t="s">
        <v>197</v>
      </c>
      <c r="B39" s="73" t="s">
        <v>185</v>
      </c>
      <c r="C39" s="72" t="str">
        <f t="shared" si="0"/>
        <v>06-12-2023 10:30</v>
      </c>
      <c r="D39" s="13">
        <f t="shared" si="111"/>
        <v>47</v>
      </c>
      <c r="E39" s="71"/>
      <c r="F39" s="71">
        <v>45.851100000000002</v>
      </c>
      <c r="G39" s="71">
        <v>72.453400000000002</v>
      </c>
      <c r="H39" s="71">
        <v>47.118899999999996</v>
      </c>
      <c r="I39" s="71">
        <v>46.239600000000003</v>
      </c>
      <c r="J39" s="71">
        <f t="shared" si="112"/>
        <v>26.6023</v>
      </c>
      <c r="K39" s="71">
        <f t="shared" si="113"/>
        <v>1.267799999999994</v>
      </c>
      <c r="L39" s="71">
        <f t="shared" si="114"/>
        <v>47.657533371174452</v>
      </c>
      <c r="M39" s="71">
        <f t="shared" si="115"/>
        <v>0.38850000000000051</v>
      </c>
      <c r="N39" s="71">
        <f t="shared" si="116"/>
        <v>14.604000405979953</v>
      </c>
      <c r="O39" s="71">
        <f t="shared" si="117"/>
        <v>0.87929999999999353</v>
      </c>
      <c r="P39" s="71">
        <f t="shared" si="118"/>
        <v>33.053532965194499</v>
      </c>
      <c r="Q39" s="71">
        <f t="shared" si="103"/>
        <v>69.356365357311702</v>
      </c>
      <c r="R39" s="71"/>
      <c r="S39" s="71"/>
      <c r="T39" s="71"/>
      <c r="U39" s="71"/>
      <c r="V39" s="71"/>
      <c r="W39" s="71"/>
      <c r="X39" s="71"/>
      <c r="Y39" s="71"/>
      <c r="Z39" s="71"/>
      <c r="AA39" s="71"/>
      <c r="AB39" s="71"/>
      <c r="AC39" s="71">
        <f t="shared" si="119"/>
        <v>0</v>
      </c>
      <c r="AD39" s="71">
        <f t="shared" si="120"/>
        <v>0</v>
      </c>
      <c r="AE39" s="71">
        <f t="shared" si="121"/>
        <v>0</v>
      </c>
      <c r="AF39" s="71">
        <f t="shared" si="122"/>
        <v>0</v>
      </c>
      <c r="AG39" s="71">
        <f t="shared" si="3"/>
        <v>0</v>
      </c>
      <c r="AH39" s="71"/>
      <c r="AI39" s="71"/>
      <c r="AJ39" s="71"/>
      <c r="AK39" s="71"/>
      <c r="AL39" s="71"/>
      <c r="AM39" s="71"/>
      <c r="AN39" s="64"/>
      <c r="AO39" s="71">
        <f t="shared" si="7"/>
        <v>0</v>
      </c>
      <c r="AP39">
        <f t="shared" si="4"/>
        <v>0</v>
      </c>
      <c r="AQ39">
        <f t="shared" si="5"/>
        <v>0</v>
      </c>
      <c r="AR39">
        <f t="shared" si="6"/>
        <v>0</v>
      </c>
    </row>
    <row r="40" spans="1:44" ht="15" customHeight="1" x14ac:dyDescent="0.25">
      <c r="A40" t="s">
        <v>198</v>
      </c>
      <c r="B40" t="s">
        <v>185</v>
      </c>
      <c r="C40" s="72" t="str">
        <f t="shared" si="0"/>
        <v>11-12-2023 10:30</v>
      </c>
      <c r="D40" s="13">
        <f t="shared" si="111"/>
        <v>52</v>
      </c>
      <c r="E40" s="71">
        <v>800</v>
      </c>
      <c r="F40" s="71">
        <v>4.4463999999999997</v>
      </c>
      <c r="G40" s="71">
        <v>35.481900000000003</v>
      </c>
      <c r="H40" s="71">
        <v>5.8868</v>
      </c>
      <c r="I40" s="71">
        <v>4.8954000000000004</v>
      </c>
      <c r="J40" s="71">
        <f t="shared" ref="J40:J50" si="123">G40-F40</f>
        <v>31.035500000000003</v>
      </c>
      <c r="K40" s="71">
        <f t="shared" ref="K40:K50" si="124">H40-F40</f>
        <v>1.4404000000000003</v>
      </c>
      <c r="L40" s="71">
        <f t="shared" ref="L40:L50" si="125">1000*K40/J40</f>
        <v>46.411367627394441</v>
      </c>
      <c r="M40" s="71">
        <f t="shared" ref="M40:M50" si="126">I40-F40</f>
        <v>0.44900000000000073</v>
      </c>
      <c r="N40" s="71">
        <f t="shared" ref="N40:N50" si="127">1000*M40/J40</f>
        <v>14.467303571716283</v>
      </c>
      <c r="O40" s="71">
        <f t="shared" ref="O40:O50" si="128">K40-M40</f>
        <v>0.99139999999999961</v>
      </c>
      <c r="P40" s="71">
        <f t="shared" ref="P40:P50" si="129">1000*O40/J40</f>
        <v>31.944064055678162</v>
      </c>
      <c r="Q40" s="71">
        <f t="shared" ref="Q40:Q55" si="130">100*P40/L40</f>
        <v>68.828103304637565</v>
      </c>
      <c r="R40" s="71">
        <v>7.7</v>
      </c>
      <c r="S40" s="71">
        <f>5790*2</f>
        <v>11580</v>
      </c>
      <c r="T40" s="71">
        <v>0.28899999999999998</v>
      </c>
      <c r="U40" s="71">
        <v>3475</v>
      </c>
      <c r="V40" s="71">
        <f>7.6*200</f>
        <v>1520</v>
      </c>
      <c r="W40" s="71">
        <f>4.13*40</f>
        <v>165.2</v>
      </c>
      <c r="X40" s="71">
        <f>184*50</f>
        <v>9200</v>
      </c>
      <c r="Y40" s="71">
        <v>197.29400000000001</v>
      </c>
      <c r="Z40" s="71" t="s">
        <v>393</v>
      </c>
      <c r="AA40" s="71" t="s">
        <v>393</v>
      </c>
      <c r="AB40" s="71">
        <v>18.393999999999998</v>
      </c>
      <c r="AC40" s="71">
        <f t="shared" ref="AC40:AC50" si="131">IF(Y40="&lt; 10 ppm",5*64/60,Y40*64/60)</f>
        <v>210.44693333333333</v>
      </c>
      <c r="AD40" s="71">
        <f t="shared" ref="AD40:AD50" si="132">IF(Z40="&lt; 10 ppm",5*112/74,Z40*112/74)</f>
        <v>7.5675675675675675</v>
      </c>
      <c r="AE40" s="71">
        <f t="shared" ref="AE40:AE50" si="133">IF(AA40="&lt; 10 ppm",5*160/88,AA40*160/88)</f>
        <v>9.0909090909090917</v>
      </c>
      <c r="AF40" s="71">
        <f t="shared" ref="AF40:AF50" si="134">IF(AB40="&lt; 10 ppm",5*208/102,AB40*208/102)</f>
        <v>37.509333333333331</v>
      </c>
      <c r="AG40" s="71">
        <f t="shared" si="3"/>
        <v>264.61474332514331</v>
      </c>
      <c r="AH40" s="71">
        <f>871*50</f>
        <v>43550</v>
      </c>
      <c r="AI40" s="71"/>
      <c r="AJ40" s="71">
        <f>67.4*50</f>
        <v>3370.0000000000005</v>
      </c>
      <c r="AK40" s="71"/>
      <c r="AL40" s="71"/>
      <c r="AM40" s="71"/>
      <c r="AN40" t="s">
        <v>407</v>
      </c>
      <c r="AO40" s="71">
        <f t="shared" ref="AO40:AO51" si="135">AH40/P40/1000</f>
        <v>1.3633205820052456</v>
      </c>
      <c r="AP40">
        <f t="shared" si="4"/>
        <v>37.129094101915548</v>
      </c>
      <c r="AQ40">
        <f t="shared" si="5"/>
        <v>17.23212036036125</v>
      </c>
      <c r="AR40">
        <f t="shared" si="6"/>
        <v>34.840000000000003</v>
      </c>
    </row>
    <row r="41" spans="1:44" ht="15" customHeight="1" x14ac:dyDescent="0.25">
      <c r="A41" t="s">
        <v>198</v>
      </c>
      <c r="B41" s="74" t="s">
        <v>185</v>
      </c>
      <c r="C41" s="72" t="str">
        <f t="shared" si="0"/>
        <v>11-12-2023 10:30</v>
      </c>
      <c r="D41" s="13">
        <f t="shared" si="111"/>
        <v>52</v>
      </c>
      <c r="E41" s="71"/>
      <c r="F41" s="71">
        <v>4.4127000000000001</v>
      </c>
      <c r="G41" s="71">
        <v>27.4436</v>
      </c>
      <c r="H41" s="71">
        <v>5.4874000000000001</v>
      </c>
      <c r="I41" s="71">
        <v>4.7422000000000004</v>
      </c>
      <c r="J41" s="71">
        <f t="shared" si="123"/>
        <v>23.030899999999999</v>
      </c>
      <c r="K41" s="71">
        <f t="shared" si="124"/>
        <v>1.0747</v>
      </c>
      <c r="L41" s="71">
        <f t="shared" si="125"/>
        <v>46.663395698822022</v>
      </c>
      <c r="M41" s="71">
        <f t="shared" si="126"/>
        <v>0.32950000000000035</v>
      </c>
      <c r="N41" s="71">
        <f t="shared" si="127"/>
        <v>14.30686599307888</v>
      </c>
      <c r="O41" s="71">
        <f t="shared" si="128"/>
        <v>0.74519999999999964</v>
      </c>
      <c r="P41" s="71">
        <f t="shared" si="129"/>
        <v>32.356529705743135</v>
      </c>
      <c r="Q41" s="71">
        <f t="shared" si="130"/>
        <v>69.340281008653534</v>
      </c>
      <c r="R41" s="71"/>
      <c r="S41" s="71"/>
      <c r="T41" s="71"/>
      <c r="U41" s="71"/>
      <c r="V41" s="71"/>
      <c r="W41" s="71"/>
      <c r="X41" s="71"/>
      <c r="Y41" s="71"/>
      <c r="Z41" s="71"/>
      <c r="AA41" s="71"/>
      <c r="AB41" s="71"/>
      <c r="AC41" s="71"/>
      <c r="AD41" s="71"/>
      <c r="AE41" s="71"/>
      <c r="AF41" s="71"/>
      <c r="AG41" s="71">
        <f t="shared" si="3"/>
        <v>0</v>
      </c>
      <c r="AH41" s="71"/>
      <c r="AI41" s="71"/>
      <c r="AJ41" s="71"/>
      <c r="AK41" s="71"/>
      <c r="AL41" s="71"/>
      <c r="AM41" s="71"/>
      <c r="AO41" s="71">
        <f t="shared" si="135"/>
        <v>0</v>
      </c>
      <c r="AP41">
        <f t="shared" si="4"/>
        <v>0</v>
      </c>
      <c r="AQ41">
        <f t="shared" si="5"/>
        <v>0</v>
      </c>
      <c r="AR41">
        <f t="shared" si="6"/>
        <v>0</v>
      </c>
    </row>
    <row r="42" spans="1:44" ht="15" customHeight="1" x14ac:dyDescent="0.25">
      <c r="A42" t="s">
        <v>198</v>
      </c>
      <c r="B42" s="74" t="s">
        <v>180</v>
      </c>
      <c r="C42" s="72" t="str">
        <f t="shared" si="0"/>
        <v>11-12-2023 12:00</v>
      </c>
      <c r="D42" s="13">
        <f t="shared" si="111"/>
        <v>52.0625</v>
      </c>
      <c r="E42" s="71"/>
      <c r="F42" s="71"/>
      <c r="G42" s="71"/>
      <c r="H42" s="71"/>
      <c r="I42" s="71"/>
      <c r="J42" s="71"/>
      <c r="K42" s="71"/>
      <c r="L42" s="71"/>
      <c r="M42" s="71"/>
      <c r="N42" s="71"/>
      <c r="O42" s="71"/>
      <c r="P42" s="71"/>
      <c r="Q42" s="71" t="e">
        <f t="shared" si="130"/>
        <v>#DIV/0!</v>
      </c>
      <c r="R42" s="71">
        <v>7.83</v>
      </c>
      <c r="S42" s="71"/>
      <c r="T42" s="71"/>
      <c r="U42" s="71"/>
      <c r="V42" s="71"/>
      <c r="W42" s="71"/>
      <c r="X42" s="71"/>
      <c r="Y42" s="71">
        <v>252.15600000000001</v>
      </c>
      <c r="Z42" s="71" t="s">
        <v>393</v>
      </c>
      <c r="AA42">
        <v>14.098000000000001</v>
      </c>
      <c r="AB42" s="71">
        <v>0</v>
      </c>
      <c r="AC42" s="71">
        <f t="shared" ref="AC42" si="136">IF(Y42="&lt; 10 ppm",5*64/60,Y42*64/60)</f>
        <v>268.96640000000002</v>
      </c>
      <c r="AD42" s="71">
        <f t="shared" ref="AD42" si="137">IF(Z42="&lt; 10 ppm",5*112/74,Z42*112/74)</f>
        <v>7.5675675675675675</v>
      </c>
      <c r="AE42" s="71">
        <f t="shared" ref="AE42" si="138">IF(AA42="&lt; 10 ppm",5*160/88,AA42*160/88)</f>
        <v>25.632727272727276</v>
      </c>
      <c r="AF42" s="71">
        <f t="shared" ref="AF42" si="139">IF(AB42="&lt; 10 ppm",5*208/102,AB42*208/102)</f>
        <v>0</v>
      </c>
      <c r="AG42" s="71">
        <f t="shared" si="3"/>
        <v>302.16669484029484</v>
      </c>
      <c r="AH42" s="71"/>
      <c r="AI42" s="71"/>
      <c r="AJ42" s="71"/>
      <c r="AK42" s="71"/>
      <c r="AL42" s="71"/>
      <c r="AM42" s="71"/>
      <c r="AN42" s="71"/>
      <c r="AO42" s="71" t="e">
        <f t="shared" si="135"/>
        <v>#DIV/0!</v>
      </c>
      <c r="AP42">
        <f t="shared" si="4"/>
        <v>0</v>
      </c>
      <c r="AQ42">
        <f t="shared" si="5"/>
        <v>0</v>
      </c>
      <c r="AR42">
        <f t="shared" si="6"/>
        <v>0</v>
      </c>
    </row>
    <row r="43" spans="1:44" ht="15" customHeight="1" x14ac:dyDescent="0.25">
      <c r="A43" t="s">
        <v>198</v>
      </c>
      <c r="B43" s="74" t="s">
        <v>202</v>
      </c>
      <c r="C43" s="72" t="str">
        <f t="shared" si="0"/>
        <v>11-12-2023 14:30</v>
      </c>
      <c r="D43" s="13">
        <f t="shared" si="111"/>
        <v>52.104166666666664</v>
      </c>
      <c r="E43" s="71"/>
      <c r="F43" s="71"/>
      <c r="G43" s="71"/>
      <c r="H43" s="71"/>
      <c r="I43" s="71"/>
      <c r="J43" s="71"/>
      <c r="K43" s="71"/>
      <c r="L43" s="71"/>
      <c r="M43" s="71"/>
      <c r="N43" s="71"/>
      <c r="O43" s="71"/>
      <c r="P43" s="71"/>
      <c r="Q43" s="71" t="e">
        <f t="shared" si="130"/>
        <v>#DIV/0!</v>
      </c>
      <c r="R43" s="71">
        <v>7.86</v>
      </c>
      <c r="S43" s="71"/>
      <c r="T43" s="71"/>
      <c r="U43" s="71"/>
      <c r="V43" s="71"/>
      <c r="W43" s="71"/>
      <c r="X43" s="71"/>
      <c r="Y43" s="71">
        <v>383.678</v>
      </c>
      <c r="Z43">
        <v>24.204999999999998</v>
      </c>
      <c r="AA43">
        <v>16.616</v>
      </c>
      <c r="AB43" s="71" t="s">
        <v>393</v>
      </c>
      <c r="AC43" s="71">
        <f t="shared" ref="AC43:AC48" si="140">IF(Y43="&lt; 10 ppm",5*64/60,Y43*64/60)</f>
        <v>409.25653333333332</v>
      </c>
      <c r="AD43" s="71">
        <f t="shared" ref="AD43:AD48" si="141">IF(Z43="&lt; 10 ppm",5*112/74,Z43*112/74)</f>
        <v>36.634594594594596</v>
      </c>
      <c r="AE43" s="71">
        <f t="shared" ref="AE43:AE48" si="142">IF(AA43="&lt; 10 ppm",5*160/88,AA43*160/88)</f>
        <v>30.210909090909091</v>
      </c>
      <c r="AF43" s="71">
        <f t="shared" ref="AF43:AF48" si="143">IF(AB43="&lt; 10 ppm",5*208/102,AB43*208/102)</f>
        <v>10.196078431372548</v>
      </c>
      <c r="AG43" s="71">
        <f t="shared" si="3"/>
        <v>486.29811545020954</v>
      </c>
      <c r="AH43" s="71"/>
      <c r="AI43" s="71"/>
      <c r="AJ43" s="71"/>
      <c r="AK43" s="71"/>
      <c r="AL43" s="71"/>
      <c r="AM43" s="71"/>
      <c r="AN43" s="71"/>
      <c r="AO43" s="71" t="e">
        <f t="shared" si="135"/>
        <v>#DIV/0!</v>
      </c>
      <c r="AP43">
        <f t="shared" si="4"/>
        <v>0</v>
      </c>
      <c r="AQ43">
        <f t="shared" si="5"/>
        <v>0</v>
      </c>
      <c r="AR43">
        <f t="shared" si="6"/>
        <v>0</v>
      </c>
    </row>
    <row r="44" spans="1:44" ht="15" customHeight="1" x14ac:dyDescent="0.25">
      <c r="A44" t="s">
        <v>198</v>
      </c>
      <c r="B44" s="74" t="s">
        <v>207</v>
      </c>
      <c r="C44" s="72" t="str">
        <f t="shared" si="0"/>
        <v>11-12-2023 16:30</v>
      </c>
      <c r="D44" s="13">
        <f t="shared" si="111"/>
        <v>52.083333333333336</v>
      </c>
      <c r="E44" s="71"/>
      <c r="F44" s="71"/>
      <c r="G44" s="71"/>
      <c r="H44" s="71"/>
      <c r="I44" s="71"/>
      <c r="J44" s="71"/>
      <c r="K44" s="71"/>
      <c r="L44" s="71"/>
      <c r="M44" s="71"/>
      <c r="N44" s="71"/>
      <c r="O44" s="71"/>
      <c r="P44" s="71"/>
      <c r="Q44" s="71" t="e">
        <f t="shared" si="130"/>
        <v>#DIV/0!</v>
      </c>
      <c r="R44" s="71">
        <v>7.76</v>
      </c>
      <c r="S44" s="71"/>
      <c r="T44" s="71"/>
      <c r="U44" s="71"/>
      <c r="V44" s="71"/>
      <c r="W44" s="71"/>
      <c r="X44" s="71">
        <f>215*50</f>
        <v>10750</v>
      </c>
      <c r="Y44" s="71">
        <v>613.59500000000003</v>
      </c>
      <c r="Z44">
        <v>21.896999999999998</v>
      </c>
      <c r="AA44">
        <v>17.861000000000001</v>
      </c>
      <c r="AB44" s="71">
        <v>0</v>
      </c>
      <c r="AC44" s="71">
        <f t="shared" si="140"/>
        <v>654.50133333333338</v>
      </c>
      <c r="AD44" s="71">
        <f t="shared" si="141"/>
        <v>33.141405405405408</v>
      </c>
      <c r="AE44" s="71">
        <f t="shared" si="142"/>
        <v>32.474545454545456</v>
      </c>
      <c r="AF44" s="71">
        <f t="shared" si="143"/>
        <v>0</v>
      </c>
      <c r="AG44" s="71">
        <f t="shared" si="3"/>
        <v>720.11728419328426</v>
      </c>
      <c r="AH44" s="71">
        <f>4.39*10*1000</f>
        <v>43900</v>
      </c>
      <c r="AI44" s="71"/>
      <c r="AJ44" s="71"/>
      <c r="AK44" s="71"/>
      <c r="AL44" s="71"/>
      <c r="AM44" s="71"/>
      <c r="AN44" s="71"/>
      <c r="AO44" s="71" t="e">
        <f t="shared" si="135"/>
        <v>#DIV/0!</v>
      </c>
      <c r="AP44">
        <f t="shared" si="4"/>
        <v>0</v>
      </c>
      <c r="AQ44">
        <f t="shared" si="5"/>
        <v>0</v>
      </c>
      <c r="AR44">
        <f t="shared" si="6"/>
        <v>0</v>
      </c>
    </row>
    <row r="45" spans="1:44" ht="15" customHeight="1" x14ac:dyDescent="0.25">
      <c r="A45" s="74" t="s">
        <v>408</v>
      </c>
      <c r="B45" s="74" t="s">
        <v>167</v>
      </c>
      <c r="C45" s="72" t="str">
        <f t="shared" si="0"/>
        <v>12-12-2023 11:00</v>
      </c>
      <c r="D45" s="13">
        <f t="shared" si="111"/>
        <v>52.770833333333336</v>
      </c>
      <c r="E45" s="71"/>
      <c r="F45" s="71"/>
      <c r="G45" s="71"/>
      <c r="H45" s="71"/>
      <c r="I45" s="71"/>
      <c r="J45" s="71"/>
      <c r="K45" s="71"/>
      <c r="L45" s="71"/>
      <c r="M45" s="71"/>
      <c r="N45" s="71"/>
      <c r="O45" s="71"/>
      <c r="P45" s="71"/>
      <c r="Q45" s="71" t="e">
        <f t="shared" si="130"/>
        <v>#DIV/0!</v>
      </c>
      <c r="R45" s="71">
        <v>7.77</v>
      </c>
      <c r="S45" s="71"/>
      <c r="T45" s="71"/>
      <c r="U45" s="71"/>
      <c r="V45" s="71"/>
      <c r="W45" s="71"/>
      <c r="X45" s="71"/>
      <c r="Y45" s="71">
        <v>603.31299999999999</v>
      </c>
      <c r="Z45" s="71" t="s">
        <v>393</v>
      </c>
      <c r="AA45">
        <v>15.185</v>
      </c>
      <c r="AB45" s="71">
        <v>0</v>
      </c>
      <c r="AC45" s="71">
        <f t="shared" si="140"/>
        <v>643.53386666666665</v>
      </c>
      <c r="AD45" s="71">
        <f t="shared" si="141"/>
        <v>7.5675675675675675</v>
      </c>
      <c r="AE45" s="71">
        <f t="shared" si="142"/>
        <v>27.609090909090909</v>
      </c>
      <c r="AF45" s="71">
        <f t="shared" si="143"/>
        <v>0</v>
      </c>
      <c r="AG45" s="71">
        <f t="shared" si="3"/>
        <v>678.71052514332519</v>
      </c>
      <c r="AH45" s="71"/>
      <c r="AI45" s="71"/>
      <c r="AJ45" s="71"/>
      <c r="AK45" s="71"/>
      <c r="AL45" s="71"/>
      <c r="AM45" s="71"/>
      <c r="AN45" s="71"/>
      <c r="AO45" s="71" t="e">
        <f t="shared" si="135"/>
        <v>#DIV/0!</v>
      </c>
      <c r="AP45">
        <f t="shared" si="4"/>
        <v>0</v>
      </c>
      <c r="AQ45">
        <f t="shared" si="5"/>
        <v>0</v>
      </c>
      <c r="AR45">
        <f t="shared" si="6"/>
        <v>0</v>
      </c>
    </row>
    <row r="46" spans="1:44" ht="15" customHeight="1" x14ac:dyDescent="0.25">
      <c r="A46" s="74" t="s">
        <v>408</v>
      </c>
      <c r="B46" s="74" t="s">
        <v>292</v>
      </c>
      <c r="C46" s="72" t="str">
        <f t="shared" si="0"/>
        <v>12-12-2023 14:00</v>
      </c>
      <c r="D46" s="13">
        <f t="shared" si="111"/>
        <v>53.125</v>
      </c>
      <c r="E46" s="71"/>
      <c r="F46" s="71"/>
      <c r="G46" s="71"/>
      <c r="H46" s="71"/>
      <c r="I46" s="71"/>
      <c r="J46" s="71"/>
      <c r="K46" s="71"/>
      <c r="L46" s="71"/>
      <c r="M46" s="71"/>
      <c r="N46" s="71"/>
      <c r="O46" s="71"/>
      <c r="P46" s="71"/>
      <c r="Q46" s="71" t="e">
        <f t="shared" si="130"/>
        <v>#DIV/0!</v>
      </c>
      <c r="R46" s="71">
        <v>7.79</v>
      </c>
      <c r="S46" s="71"/>
      <c r="T46" s="71"/>
      <c r="U46" s="71"/>
      <c r="V46" s="71"/>
      <c r="W46" s="71"/>
      <c r="X46" s="71"/>
      <c r="Y46" s="71">
        <v>611.00400000000002</v>
      </c>
      <c r="Z46" s="71" t="s">
        <v>393</v>
      </c>
      <c r="AA46">
        <v>15.379</v>
      </c>
      <c r="AB46" s="71">
        <v>0</v>
      </c>
      <c r="AC46" s="71">
        <f t="shared" si="140"/>
        <v>651.73760000000004</v>
      </c>
      <c r="AD46" s="71">
        <f t="shared" si="141"/>
        <v>7.5675675675675675</v>
      </c>
      <c r="AE46" s="71">
        <f t="shared" si="142"/>
        <v>27.961818181818181</v>
      </c>
      <c r="AF46" s="71">
        <f t="shared" si="143"/>
        <v>0</v>
      </c>
      <c r="AG46" s="71">
        <f t="shared" si="3"/>
        <v>687.26698574938587</v>
      </c>
      <c r="AH46" s="71"/>
      <c r="AI46" s="71"/>
      <c r="AJ46" s="71"/>
      <c r="AK46" s="71"/>
      <c r="AL46" s="71"/>
      <c r="AM46" s="71"/>
      <c r="AN46" s="71"/>
      <c r="AO46" s="71" t="e">
        <f t="shared" si="135"/>
        <v>#DIV/0!</v>
      </c>
      <c r="AP46">
        <f t="shared" si="4"/>
        <v>0</v>
      </c>
      <c r="AQ46">
        <f t="shared" si="5"/>
        <v>0</v>
      </c>
      <c r="AR46">
        <f t="shared" si="6"/>
        <v>0</v>
      </c>
    </row>
    <row r="47" spans="1:44" ht="15" customHeight="1" x14ac:dyDescent="0.25">
      <c r="A47" s="74" t="s">
        <v>408</v>
      </c>
      <c r="B47" s="74" t="s">
        <v>207</v>
      </c>
      <c r="C47" s="72" t="str">
        <f t="shared" si="0"/>
        <v>12-12-2023 16:30</v>
      </c>
      <c r="D47" s="13">
        <f t="shared" si="111"/>
        <v>53.104166666666664</v>
      </c>
      <c r="E47" s="71"/>
      <c r="F47" s="71"/>
      <c r="G47" s="71"/>
      <c r="H47" s="71"/>
      <c r="I47" s="71"/>
      <c r="J47" s="71"/>
      <c r="K47" s="71"/>
      <c r="L47" s="71"/>
      <c r="M47" s="71"/>
      <c r="N47" s="71"/>
      <c r="O47" s="71"/>
      <c r="P47" s="71"/>
      <c r="Q47" s="71" t="e">
        <f t="shared" si="130"/>
        <v>#DIV/0!</v>
      </c>
      <c r="R47" s="71">
        <v>7.84</v>
      </c>
      <c r="S47" s="71"/>
      <c r="T47" s="71"/>
      <c r="U47" s="71"/>
      <c r="V47" s="71"/>
      <c r="W47" s="71"/>
      <c r="X47" s="71">
        <f>217*50</f>
        <v>10850</v>
      </c>
      <c r="Y47" s="71">
        <v>599.03300000000002</v>
      </c>
      <c r="Z47" s="71" t="s">
        <v>393</v>
      </c>
      <c r="AA47">
        <v>15.912000000000001</v>
      </c>
      <c r="AB47" s="71">
        <v>0</v>
      </c>
      <c r="AC47" s="71">
        <f t="shared" si="140"/>
        <v>638.96853333333331</v>
      </c>
      <c r="AD47" s="71">
        <f t="shared" si="141"/>
        <v>7.5675675675675675</v>
      </c>
      <c r="AE47" s="71">
        <f t="shared" si="142"/>
        <v>28.930909090909093</v>
      </c>
      <c r="AF47" s="71">
        <f t="shared" si="143"/>
        <v>0</v>
      </c>
      <c r="AG47" s="71">
        <f t="shared" si="3"/>
        <v>675.46700999180996</v>
      </c>
      <c r="AH47" s="71">
        <f>3.89*10*1000</f>
        <v>38900</v>
      </c>
      <c r="AI47" s="71"/>
      <c r="AJ47" s="71"/>
      <c r="AK47" s="71"/>
      <c r="AL47" s="71"/>
      <c r="AM47" s="71"/>
      <c r="AN47" s="71"/>
      <c r="AO47" s="71" t="e">
        <f t="shared" si="135"/>
        <v>#DIV/0!</v>
      </c>
      <c r="AP47">
        <f t="shared" si="4"/>
        <v>0</v>
      </c>
      <c r="AQ47">
        <f t="shared" si="5"/>
        <v>0</v>
      </c>
      <c r="AR47">
        <f t="shared" si="6"/>
        <v>0</v>
      </c>
    </row>
    <row r="48" spans="1:44" ht="15" customHeight="1" x14ac:dyDescent="0.25">
      <c r="A48" s="74" t="s">
        <v>200</v>
      </c>
      <c r="B48" s="74" t="s">
        <v>185</v>
      </c>
      <c r="C48" s="72" t="str">
        <f t="shared" si="0"/>
        <v>13-12-2023 10:30</v>
      </c>
      <c r="D48" s="13">
        <f t="shared" si="111"/>
        <v>53.75</v>
      </c>
      <c r="E48" s="71">
        <v>700</v>
      </c>
      <c r="F48" s="71">
        <v>4.6722000000000001</v>
      </c>
      <c r="G48" s="71">
        <v>22.8429</v>
      </c>
      <c r="H48" s="71">
        <v>5.4966999999999997</v>
      </c>
      <c r="I48" s="71">
        <v>4.9265999999999996</v>
      </c>
      <c r="J48" s="71">
        <f t="shared" ref="J48:J49" si="144">G48-F48</f>
        <v>18.1707</v>
      </c>
      <c r="K48" s="71">
        <f t="shared" ref="K48:K49" si="145">H48-F48</f>
        <v>0.82449999999999957</v>
      </c>
      <c r="L48" s="71">
        <f t="shared" ref="L48:L49" si="146">1000*K48/J48</f>
        <v>45.375246963518165</v>
      </c>
      <c r="M48" s="71">
        <f t="shared" ref="M48:M49" si="147">I48-F48</f>
        <v>0.25439999999999952</v>
      </c>
      <c r="N48" s="71">
        <f t="shared" ref="N48:N49" si="148">1000*M48/J48</f>
        <v>14.000561343261378</v>
      </c>
      <c r="O48" s="71">
        <f t="shared" ref="O48:O49" si="149">K48-M48</f>
        <v>0.57010000000000005</v>
      </c>
      <c r="P48" s="71">
        <f t="shared" ref="P48:P49" si="150">1000*O48/J48</f>
        <v>31.374685620256788</v>
      </c>
      <c r="Q48" s="71">
        <f t="shared" si="130"/>
        <v>69.144936325045521</v>
      </c>
      <c r="R48" s="71">
        <v>7.75</v>
      </c>
      <c r="S48" s="71">
        <f>6534*2</f>
        <v>13068</v>
      </c>
      <c r="T48" s="71">
        <v>0.248</v>
      </c>
      <c r="U48" s="71">
        <v>3081</v>
      </c>
      <c r="V48" s="71">
        <f>74.6*20</f>
        <v>1492</v>
      </c>
      <c r="W48" s="71">
        <f>7.44*20</f>
        <v>148.80000000000001</v>
      </c>
      <c r="X48" s="71">
        <f>198*50</f>
        <v>9900</v>
      </c>
      <c r="Y48" s="71">
        <v>353.41</v>
      </c>
      <c r="Z48" s="71" t="s">
        <v>393</v>
      </c>
      <c r="AA48">
        <v>11.311999999999999</v>
      </c>
      <c r="AB48" s="71">
        <v>0</v>
      </c>
      <c r="AC48" s="71">
        <f t="shared" si="140"/>
        <v>376.97066666666672</v>
      </c>
      <c r="AD48" s="71">
        <f t="shared" si="141"/>
        <v>7.5675675675675675</v>
      </c>
      <c r="AE48" s="71">
        <f t="shared" si="142"/>
        <v>20.567272727272726</v>
      </c>
      <c r="AF48" s="71">
        <f t="shared" si="143"/>
        <v>0</v>
      </c>
      <c r="AG48" s="71">
        <f t="shared" si="3"/>
        <v>405.10550696150699</v>
      </c>
      <c r="AH48" s="71">
        <f>4.71*10*1000</f>
        <v>47100</v>
      </c>
      <c r="AI48" s="71"/>
      <c r="AJ48" s="71">
        <f>114*50</f>
        <v>5700</v>
      </c>
      <c r="AK48" s="71"/>
      <c r="AL48" s="71"/>
      <c r="AM48" s="71"/>
      <c r="AN48" t="s">
        <v>409</v>
      </c>
      <c r="AO48" s="71">
        <f t="shared" si="135"/>
        <v>1.5012102613576566</v>
      </c>
      <c r="AP48">
        <f t="shared" si="4"/>
        <v>31.762672874462716</v>
      </c>
      <c r="AQ48">
        <f t="shared" si="5"/>
        <v>14.412391259001852</v>
      </c>
      <c r="AR48">
        <f t="shared" si="6"/>
        <v>32.97</v>
      </c>
    </row>
    <row r="49" spans="1:44" x14ac:dyDescent="0.25">
      <c r="A49" s="74" t="s">
        <v>200</v>
      </c>
      <c r="B49" s="74" t="s">
        <v>185</v>
      </c>
      <c r="C49" s="72" t="str">
        <f t="shared" si="0"/>
        <v>13-12-2023 10:30</v>
      </c>
      <c r="D49" s="13">
        <f t="shared" si="111"/>
        <v>54</v>
      </c>
      <c r="E49" s="71"/>
      <c r="F49" s="71">
        <v>4.4622999999999999</v>
      </c>
      <c r="G49" s="71">
        <v>20.069880000000001</v>
      </c>
      <c r="H49" s="71">
        <v>5.1722999999999999</v>
      </c>
      <c r="I49" s="71">
        <v>4.6847000000000003</v>
      </c>
      <c r="J49" s="71">
        <f t="shared" si="144"/>
        <v>15.607580000000002</v>
      </c>
      <c r="K49" s="71">
        <f t="shared" si="145"/>
        <v>0.71</v>
      </c>
      <c r="L49" s="71">
        <f t="shared" si="146"/>
        <v>45.490716690223593</v>
      </c>
      <c r="M49" s="71">
        <f t="shared" si="147"/>
        <v>0.22240000000000038</v>
      </c>
      <c r="N49" s="71">
        <f t="shared" si="148"/>
        <v>14.249486467472877</v>
      </c>
      <c r="O49" s="71">
        <f t="shared" si="149"/>
        <v>0.48759999999999959</v>
      </c>
      <c r="P49" s="71">
        <f t="shared" si="150"/>
        <v>31.241230222750708</v>
      </c>
      <c r="Q49" s="71">
        <f t="shared" si="130"/>
        <v>68.676056338028104</v>
      </c>
      <c r="R49" s="71"/>
      <c r="S49" s="71"/>
      <c r="T49" s="71"/>
      <c r="U49" s="71"/>
      <c r="V49" s="71"/>
      <c r="W49" s="71"/>
      <c r="X49" s="71"/>
      <c r="Y49" s="71"/>
      <c r="Z49" s="71"/>
      <c r="AA49" s="71"/>
      <c r="AB49" s="71"/>
      <c r="AC49" s="71"/>
      <c r="AD49" s="71"/>
      <c r="AE49" s="71"/>
      <c r="AF49" s="71"/>
      <c r="AG49" s="71">
        <f t="shared" si="3"/>
        <v>0</v>
      </c>
      <c r="AH49" s="71"/>
      <c r="AI49" s="71"/>
      <c r="AJ49" s="71"/>
      <c r="AK49" s="71"/>
      <c r="AL49" s="71"/>
      <c r="AM49" s="71"/>
      <c r="AO49" s="71">
        <f t="shared" si="135"/>
        <v>0</v>
      </c>
      <c r="AP49">
        <f t="shared" si="4"/>
        <v>0</v>
      </c>
      <c r="AQ49">
        <f t="shared" si="5"/>
        <v>0</v>
      </c>
      <c r="AR49">
        <f t="shared" si="6"/>
        <v>0</v>
      </c>
    </row>
    <row r="50" spans="1:44" ht="15" customHeight="1" x14ac:dyDescent="0.25">
      <c r="A50" t="s">
        <v>201</v>
      </c>
      <c r="B50" s="74" t="s">
        <v>156</v>
      </c>
      <c r="C50" s="72" t="str">
        <f t="shared" si="0"/>
        <v>15-12-2023 10:00</v>
      </c>
      <c r="D50" s="13">
        <f t="shared" si="111"/>
        <v>55.979166666666664</v>
      </c>
      <c r="E50" s="71">
        <v>1200</v>
      </c>
      <c r="F50" s="71">
        <v>4.3925999999999998</v>
      </c>
      <c r="G50" s="71">
        <v>44.95</v>
      </c>
      <c r="H50" s="71">
        <v>6.2175000000000002</v>
      </c>
      <c r="I50" s="71">
        <v>4.9781000000000004</v>
      </c>
      <c r="J50" s="71">
        <f t="shared" si="123"/>
        <v>40.557400000000001</v>
      </c>
      <c r="K50" s="71">
        <f t="shared" si="124"/>
        <v>1.8249000000000004</v>
      </c>
      <c r="L50" s="71">
        <f t="shared" si="125"/>
        <v>44.995487876441793</v>
      </c>
      <c r="M50" s="71">
        <f t="shared" si="126"/>
        <v>0.58550000000000058</v>
      </c>
      <c r="N50" s="71">
        <f t="shared" si="127"/>
        <v>14.436329745003391</v>
      </c>
      <c r="O50" s="71">
        <f t="shared" si="128"/>
        <v>1.2393999999999998</v>
      </c>
      <c r="P50" s="71">
        <f t="shared" si="129"/>
        <v>30.559158131438402</v>
      </c>
      <c r="Q50" s="71">
        <f t="shared" si="130"/>
        <v>67.916050194531181</v>
      </c>
      <c r="R50" s="71">
        <v>7.63</v>
      </c>
      <c r="S50" s="71">
        <f>((0+7024)*2)</f>
        <v>14048</v>
      </c>
      <c r="T50" s="71"/>
      <c r="U50" s="71"/>
      <c r="V50" s="71">
        <f>(15*100)</f>
        <v>1500</v>
      </c>
      <c r="W50" s="71"/>
      <c r="X50" s="71"/>
      <c r="Y50">
        <v>611.78300000000002</v>
      </c>
      <c r="Z50">
        <v>12.321999999999999</v>
      </c>
      <c r="AA50">
        <v>11.07</v>
      </c>
      <c r="AB50" s="71">
        <v>0</v>
      </c>
      <c r="AC50" s="71">
        <f t="shared" si="131"/>
        <v>652.56853333333333</v>
      </c>
      <c r="AD50" s="71">
        <f t="shared" si="132"/>
        <v>18.649513513513511</v>
      </c>
      <c r="AE50" s="71">
        <f t="shared" si="133"/>
        <v>20.127272727272729</v>
      </c>
      <c r="AF50" s="71">
        <f t="shared" si="134"/>
        <v>0</v>
      </c>
      <c r="AG50" s="71">
        <f t="shared" si="3"/>
        <v>691.34531957411957</v>
      </c>
      <c r="AH50" s="71">
        <f>(4.52*1000*10)</f>
        <v>45200</v>
      </c>
      <c r="AI50" s="71"/>
      <c r="AJ50" s="71">
        <f>(54.2*100)</f>
        <v>5420</v>
      </c>
      <c r="AK50" s="71"/>
      <c r="AL50" s="71"/>
      <c r="AM50" s="71"/>
      <c r="AN50" s="64" t="s">
        <v>410</v>
      </c>
      <c r="AO50" s="71">
        <f t="shared" si="135"/>
        <v>1.4790983379054383</v>
      </c>
      <c r="AP50">
        <f t="shared" si="4"/>
        <v>53.994585451730146</v>
      </c>
      <c r="AQ50">
        <f t="shared" si="5"/>
        <v>24.295127150868243</v>
      </c>
      <c r="AR50">
        <f t="shared" si="6"/>
        <v>54.24</v>
      </c>
    </row>
    <row r="51" spans="1:44" ht="15" customHeight="1" x14ac:dyDescent="0.25">
      <c r="A51" t="s">
        <v>201</v>
      </c>
      <c r="B51" s="74" t="s">
        <v>156</v>
      </c>
      <c r="C51" s="72" t="str">
        <f t="shared" si="0"/>
        <v>15-12-2023 10:00</v>
      </c>
      <c r="D51" s="13">
        <f t="shared" si="111"/>
        <v>56</v>
      </c>
      <c r="E51" s="71"/>
      <c r="F51" s="71">
        <v>4.4843999999999999</v>
      </c>
      <c r="G51" s="71">
        <v>45.682499999999997</v>
      </c>
      <c r="H51" s="71">
        <v>6.3224</v>
      </c>
      <c r="I51" s="71">
        <v>5.0427</v>
      </c>
      <c r="J51" s="71">
        <f t="shared" ref="J51:J53" si="151">G51-F51</f>
        <v>41.198099999999997</v>
      </c>
      <c r="K51" s="71">
        <f t="shared" ref="K51:K53" si="152">H51-F51</f>
        <v>1.8380000000000001</v>
      </c>
      <c r="L51" s="71">
        <f t="shared" ref="L51:L53" si="153">1000*K51/J51</f>
        <v>44.613707913714471</v>
      </c>
      <c r="M51" s="71">
        <f t="shared" ref="M51:M53" si="154">I51-F51</f>
        <v>0.55830000000000002</v>
      </c>
      <c r="N51" s="71">
        <f t="shared" ref="N51:N53" si="155">1000*M51/J51</f>
        <v>13.551595826021106</v>
      </c>
      <c r="O51" s="71">
        <f t="shared" ref="O51:O53" si="156">K51-M51</f>
        <v>1.2797000000000001</v>
      </c>
      <c r="P51" s="71">
        <f t="shared" ref="P51:P53" si="157">1000*O51/J51</f>
        <v>31.062112087693368</v>
      </c>
      <c r="Q51" s="71">
        <f t="shared" si="130"/>
        <v>69.624591947769318</v>
      </c>
      <c r="R51" s="71"/>
      <c r="S51" s="71"/>
      <c r="T51" s="71"/>
      <c r="U51" s="71"/>
      <c r="V51" s="71"/>
      <c r="W51" s="71"/>
      <c r="X51" s="71"/>
      <c r="Y51" s="71"/>
      <c r="Z51" s="71"/>
      <c r="AA51" s="71"/>
      <c r="AB51" s="71"/>
      <c r="AC51" s="71"/>
      <c r="AD51" s="71"/>
      <c r="AE51" s="71"/>
      <c r="AF51" s="71"/>
      <c r="AG51" s="71">
        <f t="shared" si="3"/>
        <v>0</v>
      </c>
      <c r="AH51" s="71"/>
      <c r="AI51" s="71"/>
      <c r="AJ51" s="71"/>
      <c r="AK51" s="71"/>
      <c r="AL51" s="71"/>
      <c r="AM51" s="71"/>
      <c r="AN51" s="71"/>
      <c r="AO51" s="71">
        <f t="shared" si="135"/>
        <v>0</v>
      </c>
      <c r="AP51">
        <f t="shared" si="4"/>
        <v>0</v>
      </c>
      <c r="AQ51">
        <f t="shared" si="5"/>
        <v>0</v>
      </c>
      <c r="AR51">
        <f t="shared" si="6"/>
        <v>0</v>
      </c>
    </row>
    <row r="52" spans="1:44" ht="15" customHeight="1" x14ac:dyDescent="0.25">
      <c r="A52" s="74" t="s">
        <v>203</v>
      </c>
      <c r="B52" s="74" t="s">
        <v>173</v>
      </c>
      <c r="C52" s="72" t="str">
        <f t="shared" si="0"/>
        <v>18-12-2023 13:00</v>
      </c>
      <c r="D52" s="13">
        <f t="shared" si="111"/>
        <v>59.125</v>
      </c>
      <c r="E52" s="71"/>
      <c r="F52" s="71"/>
      <c r="G52" s="71"/>
      <c r="H52" s="71"/>
      <c r="I52" s="71"/>
      <c r="J52" s="71"/>
      <c r="K52" s="71"/>
      <c r="L52" s="71"/>
      <c r="M52" s="71"/>
      <c r="N52" s="71"/>
      <c r="O52" s="71"/>
      <c r="P52" s="71"/>
      <c r="Q52" s="71" t="e">
        <f t="shared" si="130"/>
        <v>#DIV/0!</v>
      </c>
      <c r="R52" s="71"/>
      <c r="S52" s="71"/>
      <c r="T52" s="71"/>
      <c r="U52" s="71"/>
      <c r="V52" s="71"/>
      <c r="W52" s="71"/>
      <c r="X52" s="71"/>
      <c r="Y52">
        <v>566.88900000000001</v>
      </c>
      <c r="Z52" s="71" t="s">
        <v>393</v>
      </c>
      <c r="AA52" s="71" t="s">
        <v>393</v>
      </c>
      <c r="AB52" s="71">
        <v>0</v>
      </c>
      <c r="AC52" s="71"/>
      <c r="AD52" s="71"/>
      <c r="AE52" s="71"/>
      <c r="AF52" s="71"/>
      <c r="AG52" s="71"/>
      <c r="AH52" s="71"/>
      <c r="AI52" s="71"/>
      <c r="AJ52" s="71"/>
      <c r="AK52" s="71"/>
      <c r="AL52" s="71"/>
      <c r="AM52" s="71"/>
      <c r="AN52" s="82"/>
      <c r="AO52" s="71"/>
      <c r="AP52">
        <f t="shared" si="4"/>
        <v>0</v>
      </c>
      <c r="AQ52">
        <f t="shared" si="5"/>
        <v>0</v>
      </c>
      <c r="AR52">
        <f t="shared" si="6"/>
        <v>0</v>
      </c>
    </row>
    <row r="53" spans="1:44" ht="15" customHeight="1" x14ac:dyDescent="0.25">
      <c r="A53" s="74" t="s">
        <v>205</v>
      </c>
      <c r="B53" s="74" t="s">
        <v>156</v>
      </c>
      <c r="C53" s="72" t="str">
        <f t="shared" si="0"/>
        <v>20-12-2023 10:00</v>
      </c>
      <c r="D53" s="13">
        <f t="shared" si="111"/>
        <v>60.875</v>
      </c>
      <c r="E53" s="71">
        <v>700</v>
      </c>
      <c r="F53" s="71">
        <v>22.097999999999999</v>
      </c>
      <c r="G53" s="71">
        <v>38.149500000000003</v>
      </c>
      <c r="H53" s="71">
        <v>22.8675</v>
      </c>
      <c r="I53" s="71">
        <v>22.317299999999999</v>
      </c>
      <c r="J53" s="71">
        <f t="shared" si="151"/>
        <v>16.051500000000004</v>
      </c>
      <c r="K53" s="71">
        <f t="shared" si="152"/>
        <v>0.76950000000000074</v>
      </c>
      <c r="L53" s="71">
        <f t="shared" si="153"/>
        <v>47.939444911690529</v>
      </c>
      <c r="M53" s="71">
        <f t="shared" si="154"/>
        <v>0.21930000000000049</v>
      </c>
      <c r="N53" s="71">
        <f t="shared" si="155"/>
        <v>13.662274553780048</v>
      </c>
      <c r="O53" s="71">
        <f t="shared" si="156"/>
        <v>0.55020000000000024</v>
      </c>
      <c r="P53" s="71">
        <f t="shared" si="157"/>
        <v>34.277170357910485</v>
      </c>
      <c r="Q53" s="71">
        <f t="shared" si="130"/>
        <v>71.500974658869367</v>
      </c>
      <c r="R53" s="71">
        <v>7.6</v>
      </c>
      <c r="S53" s="71">
        <f>6144*2</f>
        <v>12288</v>
      </c>
      <c r="T53" s="71">
        <v>0.30299999999999999</v>
      </c>
      <c r="U53" s="71">
        <v>3270</v>
      </c>
      <c r="V53" s="71">
        <f>28.3*50</f>
        <v>1415</v>
      </c>
      <c r="W53" s="71">
        <f>8.27*20</f>
        <v>165.39999999999998</v>
      </c>
      <c r="X53" s="71">
        <f>195*50</f>
        <v>9750</v>
      </c>
      <c r="Y53">
        <v>324.40600000000001</v>
      </c>
      <c r="Z53" s="71" t="s">
        <v>393</v>
      </c>
      <c r="AA53" s="71" t="s">
        <v>393</v>
      </c>
      <c r="AB53" s="71">
        <v>0</v>
      </c>
      <c r="AC53" s="71">
        <f t="shared" ref="AC53" si="158">IF(Y53="&lt; 10 ppm",5*64/60,Y53*64/60)</f>
        <v>346.03306666666668</v>
      </c>
      <c r="AD53" s="71">
        <f t="shared" ref="AD53" si="159">IF(Z53="&lt; 10 ppm",5*112/74,Z53*112/74)</f>
        <v>7.5675675675675675</v>
      </c>
      <c r="AE53" s="71">
        <f t="shared" ref="AE53" si="160">IF(AA53="&lt; 10 ppm",5*160/88,AA53*160/88)</f>
        <v>9.0909090909090917</v>
      </c>
      <c r="AF53" s="71">
        <f t="shared" ref="AF53" si="161">IF(AB53="&lt; 10 ppm",5*208/102,AB53*208/102)</f>
        <v>0</v>
      </c>
      <c r="AG53" s="71">
        <f t="shared" ref="AG53:AG54" si="162">SUM(AC53:AF53)</f>
        <v>362.6915433251433</v>
      </c>
      <c r="AH53" s="71">
        <f>931*50</f>
        <v>46550</v>
      </c>
      <c r="AI53" s="71"/>
      <c r="AJ53" s="71">
        <f>54.4*50</f>
        <v>2720</v>
      </c>
      <c r="AK53" s="71"/>
      <c r="AL53" s="71"/>
      <c r="AM53" s="71"/>
      <c r="AN53" t="s">
        <v>409</v>
      </c>
      <c r="AO53" s="71">
        <f t="shared" ref="AO53:AO54" si="163">AH53/P53/1000</f>
        <v>1.3580467557251905</v>
      </c>
      <c r="AP53">
        <f t="shared" si="4"/>
        <v>33.557611438183372</v>
      </c>
      <c r="AQ53">
        <f t="shared" si="5"/>
        <v>16.087332649087077</v>
      </c>
      <c r="AR53">
        <f t="shared" si="6"/>
        <v>32.585000000000001</v>
      </c>
    </row>
    <row r="54" spans="1:44" ht="15" customHeight="1" x14ac:dyDescent="0.25">
      <c r="A54" s="74" t="s">
        <v>205</v>
      </c>
      <c r="B54" s="74" t="s">
        <v>156</v>
      </c>
      <c r="C54" s="72" t="str">
        <f t="shared" si="0"/>
        <v>20-12-2023 10:00</v>
      </c>
      <c r="D54" s="13">
        <f t="shared" si="111"/>
        <v>61</v>
      </c>
      <c r="E54" s="71"/>
      <c r="F54" s="71">
        <v>32.598999999999997</v>
      </c>
      <c r="G54" s="71">
        <v>51.619300000000003</v>
      </c>
      <c r="H54" s="71">
        <v>33.528199999999998</v>
      </c>
      <c r="I54" s="71">
        <v>32.8613</v>
      </c>
      <c r="J54" s="71">
        <f t="shared" ref="J54:J55" si="164">G54-F54</f>
        <v>19.020300000000006</v>
      </c>
      <c r="K54" s="71">
        <f t="shared" ref="K54:K55" si="165">H54-F54</f>
        <v>0.92920000000000158</v>
      </c>
      <c r="L54" s="71">
        <f t="shared" ref="L54:L55" si="166">1000*K54/J54</f>
        <v>48.853067512079271</v>
      </c>
      <c r="M54" s="71">
        <f t="shared" ref="M54" si="167">I54-F54</f>
        <v>0.26230000000000331</v>
      </c>
      <c r="N54" s="71">
        <f t="shared" ref="N54" si="168">1000*M54/J54</f>
        <v>13.79052906631353</v>
      </c>
      <c r="O54" s="71">
        <f t="shared" ref="O54" si="169">K54-M54</f>
        <v>0.66689999999999827</v>
      </c>
      <c r="P54" s="71">
        <f t="shared" ref="P54" si="170">1000*O54/J54</f>
        <v>35.062538445765739</v>
      </c>
      <c r="Q54" s="71">
        <f t="shared" si="130"/>
        <v>71.771416272061686</v>
      </c>
      <c r="R54" s="71"/>
      <c r="S54" s="71"/>
      <c r="T54" s="71"/>
      <c r="U54" s="71"/>
      <c r="V54" s="71"/>
      <c r="W54" s="71"/>
      <c r="X54" s="71"/>
      <c r="Y54" s="71"/>
      <c r="Z54" s="71"/>
      <c r="AA54" s="71"/>
      <c r="AB54" s="71"/>
      <c r="AC54" s="71"/>
      <c r="AD54" s="71"/>
      <c r="AE54" s="71"/>
      <c r="AF54" s="71"/>
      <c r="AG54" s="71">
        <f t="shared" si="162"/>
        <v>0</v>
      </c>
      <c r="AH54" s="71"/>
      <c r="AI54" s="71"/>
      <c r="AJ54" s="71"/>
      <c r="AK54" s="71"/>
      <c r="AL54" s="71"/>
      <c r="AM54" s="71"/>
      <c r="AN54" s="71"/>
      <c r="AO54" s="71">
        <f t="shared" si="163"/>
        <v>0</v>
      </c>
      <c r="AP54">
        <f t="shared" si="4"/>
        <v>0</v>
      </c>
      <c r="AQ54">
        <f t="shared" si="5"/>
        <v>0</v>
      </c>
      <c r="AR54">
        <f t="shared" si="6"/>
        <v>0</v>
      </c>
    </row>
    <row r="55" spans="1:44" ht="15" customHeight="1" x14ac:dyDescent="0.25">
      <c r="A55" s="74" t="s">
        <v>206</v>
      </c>
      <c r="B55" s="74" t="s">
        <v>156</v>
      </c>
      <c r="C55" s="72" t="str">
        <f t="shared" si="0"/>
        <v>22-12-2023 10:00</v>
      </c>
      <c r="D55" s="13">
        <f t="shared" si="111"/>
        <v>63</v>
      </c>
      <c r="E55" s="71">
        <v>500</v>
      </c>
      <c r="F55" s="71">
        <v>4.6224999999999996</v>
      </c>
      <c r="G55" s="71">
        <v>35.384</v>
      </c>
      <c r="H55" s="71">
        <v>6.0426000000000002</v>
      </c>
      <c r="I55" s="130">
        <v>4.6896000000000004</v>
      </c>
      <c r="J55" s="71">
        <f t="shared" si="164"/>
        <v>30.761500000000002</v>
      </c>
      <c r="K55" s="71">
        <f t="shared" si="165"/>
        <v>1.4201000000000006</v>
      </c>
      <c r="L55" s="71">
        <f t="shared" si="166"/>
        <v>46.164848918290737</v>
      </c>
      <c r="M55" s="71">
        <f t="shared" ref="M55" si="171">I55-F55</f>
        <v>6.7100000000000826E-2</v>
      </c>
      <c r="N55" s="71">
        <f t="shared" ref="N55" si="172">1000*M55/J55</f>
        <v>2.1812980511353741</v>
      </c>
      <c r="O55" s="71">
        <f t="shared" ref="O55" si="173">K55-M55</f>
        <v>1.3529999999999998</v>
      </c>
      <c r="P55" s="71">
        <f t="shared" ref="P55" si="174">1000*O55/J55</f>
        <v>43.983550867155365</v>
      </c>
      <c r="Q55" s="71">
        <f t="shared" si="130"/>
        <v>95.274980635166486</v>
      </c>
      <c r="R55" s="71">
        <v>7.71</v>
      </c>
      <c r="S55" s="71">
        <f>5377*2</f>
        <v>10754</v>
      </c>
      <c r="T55" s="71">
        <v>0.312</v>
      </c>
      <c r="U55" s="71">
        <v>3501</v>
      </c>
      <c r="V55" s="71">
        <f>27.4*50</f>
        <v>1370</v>
      </c>
      <c r="W55" s="71">
        <f>7.67*20</f>
        <v>153.4</v>
      </c>
      <c r="X55" s="71">
        <f>195*50</f>
        <v>9750</v>
      </c>
      <c r="Y55">
        <v>849.66300000000001</v>
      </c>
      <c r="Z55">
        <v>17.899999999999999</v>
      </c>
      <c r="AA55">
        <v>18.417000000000002</v>
      </c>
      <c r="AB55" s="71">
        <v>0</v>
      </c>
      <c r="AC55" s="71">
        <f t="shared" ref="AC55" si="175">IF(Y55="&lt; 10 ppm",5*64/60,Y55*64/60)</f>
        <v>906.30719999999997</v>
      </c>
      <c r="AD55" s="71">
        <f t="shared" ref="AD55" si="176">IF(Z55="&lt; 10 ppm",5*112/74,Z55*112/74)</f>
        <v>27.091891891891887</v>
      </c>
      <c r="AE55" s="71">
        <f t="shared" ref="AE55" si="177">IF(AA55="&lt; 10 ppm",5*160/88,AA55*160/88)</f>
        <v>33.485454545454552</v>
      </c>
      <c r="AF55" s="71">
        <f t="shared" ref="AF55" si="178">IF(AB55="&lt; 10 ppm",5*208/102,AB55*208/102)</f>
        <v>0</v>
      </c>
      <c r="AG55" s="71">
        <f t="shared" ref="AG55:AG56" si="179">SUM(AC55:AF55)</f>
        <v>966.88454643734644</v>
      </c>
      <c r="AH55" s="71">
        <f>878*50</f>
        <v>43900</v>
      </c>
      <c r="AI55" s="71"/>
      <c r="AJ55" s="71">
        <f>63.8*50</f>
        <v>3190</v>
      </c>
      <c r="AK55" s="71"/>
      <c r="AL55" s="71"/>
      <c r="AM55" s="71"/>
      <c r="AN55" t="s">
        <v>411</v>
      </c>
      <c r="AO55" s="71">
        <f t="shared" ref="AO55:AO56" si="180">AH55/P55/1000</f>
        <v>0.99810040650406517</v>
      </c>
      <c r="AP55">
        <f t="shared" si="4"/>
        <v>23.082424459145368</v>
      </c>
      <c r="AQ55">
        <f t="shared" si="5"/>
        <v>10.655966378243047</v>
      </c>
      <c r="AR55">
        <f t="shared" si="6"/>
        <v>21.95</v>
      </c>
    </row>
    <row r="56" spans="1:44" ht="15" customHeight="1" thickBot="1" x14ac:dyDescent="0.3">
      <c r="A56" s="77" t="s">
        <v>206</v>
      </c>
      <c r="B56" s="77" t="s">
        <v>156</v>
      </c>
      <c r="C56" s="72" t="str">
        <f t="shared" si="0"/>
        <v>22-12-2023 10:00</v>
      </c>
      <c r="D56" s="13">
        <f t="shared" si="111"/>
        <v>63</v>
      </c>
      <c r="E56" s="83"/>
      <c r="F56" s="83">
        <v>4.4843999999999999</v>
      </c>
      <c r="G56" s="83">
        <v>30.461600000000001</v>
      </c>
      <c r="H56" s="83">
        <v>5.6925999999999997</v>
      </c>
      <c r="I56" s="83"/>
      <c r="J56" s="83">
        <f t="shared" ref="J56:J58" si="181">G56-F56</f>
        <v>25.9772</v>
      </c>
      <c r="K56" s="83">
        <f t="shared" ref="K56:K58" si="182">H56-F56</f>
        <v>1.2081999999999997</v>
      </c>
      <c r="L56" s="83">
        <f t="shared" ref="L56:L58" si="183">1000*K56/J56</f>
        <v>46.510016475986625</v>
      </c>
      <c r="M56" s="83">
        <f t="shared" ref="M56:M58" si="184">I56-F56</f>
        <v>-4.4843999999999999</v>
      </c>
      <c r="N56" s="83">
        <f t="shared" ref="N56:N58" si="185">1000*M56/J56</f>
        <v>-172.62830482115083</v>
      </c>
      <c r="O56" s="83">
        <f t="shared" ref="O56:O58" si="186">K56-M56</f>
        <v>5.6925999999999997</v>
      </c>
      <c r="P56" s="83">
        <f t="shared" ref="P56:P58" si="187">1000*O56/J56</f>
        <v>219.13832129713748</v>
      </c>
      <c r="Q56" s="83"/>
      <c r="R56" s="83"/>
      <c r="S56" s="83"/>
      <c r="T56" s="83"/>
      <c r="U56" s="71"/>
      <c r="V56" s="83"/>
      <c r="W56" s="83"/>
      <c r="X56" s="83"/>
      <c r="Y56" s="83"/>
      <c r="Z56" s="83"/>
      <c r="AA56" s="83"/>
      <c r="AB56" s="83"/>
      <c r="AC56" s="83"/>
      <c r="AD56" s="83"/>
      <c r="AE56" s="83"/>
      <c r="AF56" s="83"/>
      <c r="AG56" s="83">
        <f t="shared" si="179"/>
        <v>0</v>
      </c>
      <c r="AH56" s="83"/>
      <c r="AI56" s="83"/>
      <c r="AJ56" s="83"/>
      <c r="AK56" s="83"/>
      <c r="AL56" s="83"/>
      <c r="AM56" s="83"/>
      <c r="AN56" s="83"/>
      <c r="AO56" s="83">
        <f t="shared" si="180"/>
        <v>0</v>
      </c>
      <c r="AP56">
        <f t="shared" si="4"/>
        <v>0</v>
      </c>
      <c r="AQ56">
        <f t="shared" si="5"/>
        <v>0</v>
      </c>
      <c r="AR56">
        <f t="shared" si="6"/>
        <v>0</v>
      </c>
    </row>
    <row r="57" spans="1:44" ht="15" customHeight="1" x14ac:dyDescent="0.25">
      <c r="A57" s="74" t="s">
        <v>206</v>
      </c>
      <c r="B57" s="74" t="s">
        <v>292</v>
      </c>
      <c r="C57" s="72" t="str">
        <f t="shared" si="0"/>
        <v>22-12-2023 14:00</v>
      </c>
      <c r="D57" s="13">
        <f t="shared" si="111"/>
        <v>63.166666666666664</v>
      </c>
      <c r="E57" s="85"/>
      <c r="F57" s="85">
        <v>4.5457999999999998</v>
      </c>
      <c r="G57" s="85">
        <v>24.316600000000001</v>
      </c>
      <c r="H57" s="85">
        <v>5.4793000000000003</v>
      </c>
      <c r="I57" s="85"/>
      <c r="J57" s="84">
        <f t="shared" si="181"/>
        <v>19.770800000000001</v>
      </c>
      <c r="K57" s="84">
        <f t="shared" si="182"/>
        <v>0.93350000000000044</v>
      </c>
      <c r="L57" s="84">
        <f t="shared" si="183"/>
        <v>47.216096465494587</v>
      </c>
      <c r="M57" s="84">
        <f t="shared" si="184"/>
        <v>-4.5457999999999998</v>
      </c>
      <c r="N57" s="84">
        <f t="shared" si="185"/>
        <v>-229.92493981022517</v>
      </c>
      <c r="O57" s="84">
        <f t="shared" si="186"/>
        <v>5.4793000000000003</v>
      </c>
      <c r="P57" s="84">
        <f t="shared" si="187"/>
        <v>277.14103627571973</v>
      </c>
      <c r="Q57" s="85"/>
      <c r="R57" s="85">
        <v>7.7</v>
      </c>
      <c r="S57" s="85"/>
      <c r="T57" s="85"/>
      <c r="U57" s="71"/>
      <c r="V57" s="85"/>
      <c r="W57" s="85"/>
      <c r="X57" s="85"/>
      <c r="Y57" s="71">
        <v>954.69500000000005</v>
      </c>
      <c r="Z57" s="71">
        <v>33.646999999999998</v>
      </c>
      <c r="AA57" s="71">
        <v>16.834</v>
      </c>
      <c r="AB57" s="71">
        <v>11.818</v>
      </c>
      <c r="AC57" s="71">
        <f t="shared" ref="AC57" si="188">IF(Y57="&lt; 10 ppm",5*64/60,Y57*64/60)</f>
        <v>1018.3413333333334</v>
      </c>
      <c r="AD57" s="71">
        <f t="shared" ref="AD57" si="189">IF(Z57="&lt; 10 ppm",5*112/74,Z57*112/74)</f>
        <v>50.92518918918919</v>
      </c>
      <c r="AE57" s="71">
        <f t="shared" ref="AE57" si="190">IF(AA57="&lt; 10 ppm",5*160/88,AA57*160/88)</f>
        <v>30.607272727272729</v>
      </c>
      <c r="AF57" s="71">
        <f t="shared" ref="AF57" si="191">IF(AB57="&lt; 10 ppm",5*208/102,AB57*208/102)</f>
        <v>24.099450980392156</v>
      </c>
      <c r="AG57" s="71">
        <f t="shared" ref="AG57" si="192">SUM(AC57:AF57)</f>
        <v>1123.9732462301874</v>
      </c>
      <c r="AH57" s="85"/>
      <c r="AI57" s="86"/>
      <c r="AJ57" s="86"/>
      <c r="AK57" s="86"/>
      <c r="AL57" s="86"/>
      <c r="AM57" s="86"/>
      <c r="AN57" s="82"/>
      <c r="AO57" s="86"/>
      <c r="AP57">
        <f t="shared" si="4"/>
        <v>0</v>
      </c>
      <c r="AQ57">
        <f t="shared" si="5"/>
        <v>0</v>
      </c>
      <c r="AR57">
        <f t="shared" si="6"/>
        <v>0</v>
      </c>
    </row>
    <row r="58" spans="1:44" ht="15" customHeight="1" x14ac:dyDescent="0.25">
      <c r="A58" s="74" t="s">
        <v>208</v>
      </c>
      <c r="B58" s="74" t="s">
        <v>171</v>
      </c>
      <c r="C58" s="72" t="str">
        <f t="shared" si="0"/>
        <v>08-01-2024 12:30</v>
      </c>
      <c r="D58" s="13">
        <f t="shared" si="111"/>
        <v>79.9375</v>
      </c>
      <c r="E58" s="71">
        <v>800</v>
      </c>
      <c r="F58" s="71"/>
      <c r="G58" s="71"/>
      <c r="H58" s="71"/>
      <c r="I58" s="71"/>
      <c r="J58" s="71">
        <f t="shared" si="181"/>
        <v>0</v>
      </c>
      <c r="K58" s="71">
        <f t="shared" si="182"/>
        <v>0</v>
      </c>
      <c r="L58" s="71" t="e">
        <f t="shared" si="183"/>
        <v>#DIV/0!</v>
      </c>
      <c r="M58" s="71">
        <f t="shared" si="184"/>
        <v>0</v>
      </c>
      <c r="N58" s="71" t="e">
        <f t="shared" si="185"/>
        <v>#DIV/0!</v>
      </c>
      <c r="O58" s="71">
        <f t="shared" si="186"/>
        <v>0</v>
      </c>
      <c r="P58" s="71" t="e">
        <f t="shared" si="187"/>
        <v>#DIV/0!</v>
      </c>
      <c r="Q58" s="71" t="e">
        <f t="shared" ref="Q58:Q107" si="193">100*P58/L58</f>
        <v>#DIV/0!</v>
      </c>
      <c r="R58" s="71">
        <v>7.68</v>
      </c>
      <c r="S58" s="71"/>
      <c r="T58" s="71"/>
      <c r="U58" s="71"/>
      <c r="V58" s="71"/>
      <c r="W58" s="71"/>
      <c r="X58" s="71"/>
      <c r="Y58" s="71">
        <v>167.87100000000001</v>
      </c>
      <c r="Z58" s="71" t="s">
        <v>393</v>
      </c>
      <c r="AA58" s="71" t="s">
        <v>393</v>
      </c>
      <c r="AB58" s="71">
        <v>0</v>
      </c>
      <c r="AC58" s="71">
        <f t="shared" ref="AC58:AC70" si="194">IF(Y58="&lt; 10 ppm",5*64/60,Y58*64/60)</f>
        <v>179.0624</v>
      </c>
      <c r="AD58" s="71">
        <f t="shared" ref="AD58:AD70" si="195">IF(Z58="&lt; 10 ppm",5*112/74,Z58*112/74)</f>
        <v>7.5675675675675675</v>
      </c>
      <c r="AE58" s="71">
        <f t="shared" ref="AE58:AE70" si="196">IF(AA58="&lt; 10 ppm",5*160/88,AA58*160/88)</f>
        <v>9.0909090909090917</v>
      </c>
      <c r="AF58" s="71">
        <f t="shared" ref="AF58:AF70" si="197">IF(AB58="&lt; 10 ppm",5*208/102,AB58*208/102)</f>
        <v>0</v>
      </c>
      <c r="AG58" s="71">
        <f t="shared" ref="AG58:AG70" si="198">SUM(AC58:AF58)</f>
        <v>195.72087665847667</v>
      </c>
      <c r="AH58" s="71"/>
      <c r="AI58" s="71"/>
      <c r="AJ58" s="71"/>
      <c r="AK58" s="71"/>
      <c r="AL58" s="71"/>
      <c r="AM58" s="71"/>
      <c r="AO58" s="71"/>
      <c r="AP58" t="e">
        <f t="shared" si="4"/>
        <v>#DIV/0!</v>
      </c>
      <c r="AQ58" t="e">
        <f t="shared" si="5"/>
        <v>#DIV/0!</v>
      </c>
      <c r="AR58">
        <f t="shared" si="6"/>
        <v>0</v>
      </c>
    </row>
    <row r="59" spans="1:44" ht="15" customHeight="1" thickBot="1" x14ac:dyDescent="0.3">
      <c r="A59" s="74" t="s">
        <v>209</v>
      </c>
      <c r="B59" s="74" t="s">
        <v>156</v>
      </c>
      <c r="C59" s="72" t="str">
        <f t="shared" si="0"/>
        <v>10-01-2024 10:00</v>
      </c>
      <c r="D59" s="13">
        <f t="shared" si="111"/>
        <v>81.895833333333329</v>
      </c>
      <c r="E59" s="85">
        <v>800</v>
      </c>
      <c r="F59" s="71">
        <v>4.5674999999999999</v>
      </c>
      <c r="G59" s="71">
        <v>28.422699999999999</v>
      </c>
      <c r="H59" s="71">
        <v>5.6006</v>
      </c>
      <c r="I59" s="71"/>
      <c r="J59" s="71">
        <f t="shared" ref="J59:J73" si="199">G59-F59</f>
        <v>23.8552</v>
      </c>
      <c r="K59" s="71">
        <f t="shared" ref="K59:K73" si="200">H59-F59</f>
        <v>1.0331000000000001</v>
      </c>
      <c r="L59" s="71">
        <f t="shared" ref="L59:L73" si="201">1000*K59/J59</f>
        <v>43.307119621717703</v>
      </c>
      <c r="M59" s="71">
        <f t="shared" ref="M59:M73" si="202">I59-F59</f>
        <v>-4.5674999999999999</v>
      </c>
      <c r="N59" s="71">
        <f t="shared" ref="N59:N73" si="203">1000*M59/J59</f>
        <v>-191.46768838659915</v>
      </c>
      <c r="O59" s="71">
        <f t="shared" ref="O59:O73" si="204">K59-M59</f>
        <v>5.6006</v>
      </c>
      <c r="P59" s="71">
        <f t="shared" ref="P59:P73" si="205">1000*O59/J59</f>
        <v>234.77480800831685</v>
      </c>
      <c r="Q59" s="71">
        <f t="shared" si="193"/>
        <v>542.11596166876393</v>
      </c>
      <c r="R59" s="71">
        <v>7.57</v>
      </c>
      <c r="S59" s="71"/>
      <c r="T59" s="71"/>
      <c r="U59" s="83"/>
      <c r="V59" s="71"/>
      <c r="W59" s="71"/>
      <c r="X59" s="71"/>
      <c r="Y59" s="71">
        <v>1069.0530000000001</v>
      </c>
      <c r="Z59" s="71">
        <v>120.88</v>
      </c>
      <c r="AA59" s="71">
        <f>11.378+12.775</f>
        <v>24.152999999999999</v>
      </c>
      <c r="AB59" s="71">
        <v>10.753</v>
      </c>
      <c r="AC59" s="71">
        <f t="shared" si="194"/>
        <v>1140.3232</v>
      </c>
      <c r="AD59" s="71">
        <f t="shared" si="195"/>
        <v>182.95351351351351</v>
      </c>
      <c r="AE59" s="71">
        <f t="shared" si="196"/>
        <v>43.914545454545447</v>
      </c>
      <c r="AF59" s="71">
        <f t="shared" si="197"/>
        <v>21.927686274509803</v>
      </c>
      <c r="AG59" s="71">
        <f t="shared" si="198"/>
        <v>1389.118945242569</v>
      </c>
      <c r="AH59" s="71"/>
      <c r="AI59" s="71"/>
      <c r="AJ59" s="71"/>
      <c r="AK59" s="71"/>
      <c r="AL59" s="71"/>
      <c r="AM59" s="71"/>
      <c r="AN59" t="s">
        <v>412</v>
      </c>
      <c r="AO59" s="71"/>
      <c r="AP59">
        <f t="shared" si="4"/>
        <v>34.645695697374158</v>
      </c>
      <c r="AQ59">
        <f t="shared" si="5"/>
        <v>15.004052879438129</v>
      </c>
      <c r="AR59">
        <f t="shared" si="6"/>
        <v>0</v>
      </c>
    </row>
    <row r="60" spans="1:44" ht="15" customHeight="1" x14ac:dyDescent="0.25">
      <c r="A60" s="74" t="s">
        <v>209</v>
      </c>
      <c r="B60" s="74" t="s">
        <v>156</v>
      </c>
      <c r="C60" s="72" t="str">
        <f t="shared" si="0"/>
        <v>10-01-2024 10:00</v>
      </c>
      <c r="D60" s="92">
        <f t="shared" si="111"/>
        <v>82</v>
      </c>
      <c r="E60" s="85"/>
      <c r="F60" s="71">
        <v>4.5993000000000004</v>
      </c>
      <c r="G60" s="71">
        <v>30.4983</v>
      </c>
      <c r="H60" s="71">
        <v>5.7023999999999999</v>
      </c>
      <c r="I60" s="71">
        <v>4.6722000000000001</v>
      </c>
      <c r="J60" s="71">
        <f t="shared" si="199"/>
        <v>25.899000000000001</v>
      </c>
      <c r="K60" s="71">
        <f t="shared" si="200"/>
        <v>1.1030999999999995</v>
      </c>
      <c r="L60" s="71">
        <f t="shared" si="201"/>
        <v>42.592378084095891</v>
      </c>
      <c r="M60" s="71">
        <f t="shared" ref="M60" si="206">I60-F60</f>
        <v>7.2899999999999743E-2</v>
      </c>
      <c r="N60" s="71">
        <f t="shared" ref="N60" si="207">1000*M60/J60</f>
        <v>2.814780493455336</v>
      </c>
      <c r="O60" s="71">
        <f t="shared" ref="O60" si="208">K60-M60</f>
        <v>1.0301999999999998</v>
      </c>
      <c r="P60" s="71">
        <f t="shared" ref="P60" si="209">1000*O60/J60</f>
        <v>39.777597590640553</v>
      </c>
      <c r="Q60" s="71">
        <f t="shared" si="193"/>
        <v>93.391351645363088</v>
      </c>
      <c r="R60" s="71"/>
      <c r="S60" s="71"/>
      <c r="T60" s="71"/>
      <c r="U60" s="85"/>
      <c r="V60" s="71"/>
      <c r="W60" s="71"/>
      <c r="X60" s="71"/>
      <c r="Y60" s="71"/>
      <c r="Z60" s="71"/>
      <c r="AA60" s="71"/>
      <c r="AB60" s="71"/>
      <c r="AC60" s="71"/>
      <c r="AD60" s="71"/>
      <c r="AE60" s="71"/>
      <c r="AF60" s="71"/>
      <c r="AG60" s="71"/>
      <c r="AH60" s="71"/>
      <c r="AI60" s="71"/>
      <c r="AJ60" s="71"/>
      <c r="AK60" s="71"/>
      <c r="AL60" s="71"/>
      <c r="AM60" s="71"/>
      <c r="AO60" s="71"/>
      <c r="AP60">
        <f t="shared" si="4"/>
        <v>0</v>
      </c>
      <c r="AQ60">
        <f t="shared" si="5"/>
        <v>0</v>
      </c>
      <c r="AR60">
        <f t="shared" si="6"/>
        <v>0</v>
      </c>
    </row>
    <row r="61" spans="1:44" ht="15" customHeight="1" x14ac:dyDescent="0.25">
      <c r="A61" s="74" t="s">
        <v>210</v>
      </c>
      <c r="B61" s="74" t="s">
        <v>170</v>
      </c>
      <c r="C61" s="72" t="str">
        <f t="shared" si="0"/>
        <v>12-01-2024 10:15</v>
      </c>
      <c r="D61" s="13">
        <f t="shared" si="111"/>
        <v>84.010416666666671</v>
      </c>
      <c r="E61" s="85">
        <v>900</v>
      </c>
      <c r="F61" s="71"/>
      <c r="G61" s="71"/>
      <c r="H61" s="71"/>
      <c r="I61" s="71"/>
      <c r="J61" s="71">
        <f t="shared" si="199"/>
        <v>0</v>
      </c>
      <c r="K61" s="71">
        <f t="shared" si="200"/>
        <v>0</v>
      </c>
      <c r="L61" s="71" t="e">
        <f t="shared" si="201"/>
        <v>#DIV/0!</v>
      </c>
      <c r="M61" s="71">
        <f t="shared" si="202"/>
        <v>0</v>
      </c>
      <c r="N61" s="71" t="e">
        <f t="shared" si="203"/>
        <v>#DIV/0!</v>
      </c>
      <c r="O61" s="71">
        <f t="shared" si="204"/>
        <v>0</v>
      </c>
      <c r="P61" s="71" t="e">
        <f t="shared" si="205"/>
        <v>#DIV/0!</v>
      </c>
      <c r="Q61" s="71" t="e">
        <f t="shared" si="193"/>
        <v>#DIV/0!</v>
      </c>
      <c r="R61" s="71">
        <v>7.61</v>
      </c>
      <c r="S61" s="71"/>
      <c r="T61" s="71"/>
      <c r="U61" s="85"/>
      <c r="V61" s="71"/>
      <c r="W61" s="71"/>
      <c r="X61" s="71"/>
      <c r="Y61" s="71">
        <v>1606.567</v>
      </c>
      <c r="Z61" s="71">
        <v>151.46899999999999</v>
      </c>
      <c r="AA61" s="71">
        <v>28.524000000000001</v>
      </c>
      <c r="AB61" s="71">
        <v>27.271999999999998</v>
      </c>
      <c r="AC61" s="71">
        <f t="shared" si="194"/>
        <v>1713.6714666666667</v>
      </c>
      <c r="AD61" s="71">
        <f t="shared" si="195"/>
        <v>229.25037837837834</v>
      </c>
      <c r="AE61" s="71">
        <f t="shared" si="196"/>
        <v>51.861818181818187</v>
      </c>
      <c r="AF61" s="71">
        <f t="shared" si="197"/>
        <v>55.61349019607843</v>
      </c>
      <c r="AG61" s="71">
        <f t="shared" si="198"/>
        <v>2050.3971534229418</v>
      </c>
      <c r="AH61" s="71"/>
      <c r="AI61" s="71"/>
      <c r="AJ61" s="71"/>
      <c r="AK61" s="71"/>
      <c r="AL61" s="71"/>
      <c r="AM61" s="71"/>
      <c r="AO61" s="71"/>
      <c r="AP61" t="e">
        <f t="shared" si="4"/>
        <v>#DIV/0!</v>
      </c>
      <c r="AQ61" t="e">
        <f t="shared" si="5"/>
        <v>#DIV/0!</v>
      </c>
      <c r="AR61">
        <f t="shared" si="6"/>
        <v>0</v>
      </c>
    </row>
    <row r="62" spans="1:44" ht="15" customHeight="1" x14ac:dyDescent="0.25">
      <c r="A62" s="74" t="s">
        <v>211</v>
      </c>
      <c r="B62" s="74" t="s">
        <v>173</v>
      </c>
      <c r="C62" s="72" t="str">
        <f t="shared" si="0"/>
        <v>15-01-2024 13:00</v>
      </c>
      <c r="D62" s="13">
        <f t="shared" si="111"/>
        <v>87.114583333333329</v>
      </c>
      <c r="E62" s="85">
        <v>800</v>
      </c>
      <c r="F62" s="71"/>
      <c r="G62" s="71"/>
      <c r="H62" s="71"/>
      <c r="I62" s="71"/>
      <c r="J62" s="71">
        <f t="shared" si="199"/>
        <v>0</v>
      </c>
      <c r="K62" s="71">
        <f t="shared" si="200"/>
        <v>0</v>
      </c>
      <c r="L62" s="71" t="e">
        <f t="shared" si="201"/>
        <v>#DIV/0!</v>
      </c>
      <c r="M62" s="71">
        <f t="shared" si="202"/>
        <v>0</v>
      </c>
      <c r="N62" s="71" t="e">
        <f t="shared" si="203"/>
        <v>#DIV/0!</v>
      </c>
      <c r="O62" s="71">
        <f t="shared" si="204"/>
        <v>0</v>
      </c>
      <c r="P62" s="71" t="e">
        <f t="shared" si="205"/>
        <v>#DIV/0!</v>
      </c>
      <c r="Q62" s="71" t="e">
        <f t="shared" si="193"/>
        <v>#DIV/0!</v>
      </c>
      <c r="R62" s="71">
        <v>7.69</v>
      </c>
      <c r="S62" s="71"/>
      <c r="T62" s="71"/>
      <c r="U62" s="84"/>
      <c r="V62" s="71"/>
      <c r="W62" s="71"/>
      <c r="X62" s="71"/>
      <c r="Y62" s="71">
        <v>908.94399999999996</v>
      </c>
      <c r="Z62" s="71">
        <v>34.314999999999998</v>
      </c>
      <c r="AA62" s="71">
        <v>12.528</v>
      </c>
      <c r="AB62" s="71">
        <v>42.677</v>
      </c>
      <c r="AC62" s="71">
        <f t="shared" si="194"/>
        <v>969.54026666666664</v>
      </c>
      <c r="AD62" s="71">
        <f t="shared" si="195"/>
        <v>51.936216216216209</v>
      </c>
      <c r="AE62" s="71">
        <f t="shared" si="196"/>
        <v>22.778181818181817</v>
      </c>
      <c r="AF62" s="71">
        <f t="shared" si="197"/>
        <v>87.027607843137261</v>
      </c>
      <c r="AG62" s="71">
        <f t="shared" si="198"/>
        <v>1131.282272544202</v>
      </c>
      <c r="AH62" s="71"/>
      <c r="AI62" s="71"/>
      <c r="AJ62" s="71"/>
      <c r="AK62" s="71"/>
      <c r="AL62" s="71"/>
      <c r="AM62" s="71"/>
      <c r="AN62" t="s">
        <v>413</v>
      </c>
      <c r="AO62" s="71"/>
      <c r="AP62" t="e">
        <f t="shared" si="4"/>
        <v>#DIV/0!</v>
      </c>
      <c r="AQ62" t="e">
        <f t="shared" si="5"/>
        <v>#DIV/0!</v>
      </c>
      <c r="AR62">
        <f t="shared" si="6"/>
        <v>0</v>
      </c>
    </row>
    <row r="63" spans="1:44" ht="15" customHeight="1" x14ac:dyDescent="0.25">
      <c r="A63" s="74" t="s">
        <v>212</v>
      </c>
      <c r="B63" s="74" t="s">
        <v>156</v>
      </c>
      <c r="C63" s="72" t="str">
        <f t="shared" si="0"/>
        <v>17-01-2024 10:00</v>
      </c>
      <c r="D63" s="13">
        <f t="shared" si="111"/>
        <v>88.875</v>
      </c>
      <c r="E63" s="85">
        <v>700</v>
      </c>
      <c r="F63" s="71">
        <v>4.5340999999999996</v>
      </c>
      <c r="G63" s="71">
        <v>21.5214</v>
      </c>
      <c r="H63" s="71">
        <v>5.2695999999999996</v>
      </c>
      <c r="I63" s="130">
        <v>4.9945000000000004</v>
      </c>
      <c r="J63" s="71">
        <f t="shared" si="199"/>
        <v>16.987300000000001</v>
      </c>
      <c r="K63" s="71">
        <f t="shared" si="200"/>
        <v>0.73550000000000004</v>
      </c>
      <c r="L63" s="71">
        <f t="shared" si="201"/>
        <v>43.297051326579265</v>
      </c>
      <c r="M63" s="71">
        <f t="shared" si="202"/>
        <v>0.46040000000000081</v>
      </c>
      <c r="N63" s="71">
        <f t="shared" si="203"/>
        <v>27.102600177779919</v>
      </c>
      <c r="O63" s="71">
        <f t="shared" si="204"/>
        <v>0.27509999999999923</v>
      </c>
      <c r="P63" s="71">
        <f t="shared" si="205"/>
        <v>16.194451148799352</v>
      </c>
      <c r="Q63" s="71">
        <f t="shared" si="193"/>
        <v>37.403127124405067</v>
      </c>
      <c r="R63" s="71">
        <v>7.64</v>
      </c>
      <c r="S63" s="71"/>
      <c r="T63" s="71"/>
      <c r="U63" s="84"/>
      <c r="V63" s="71"/>
      <c r="W63" s="71"/>
      <c r="X63" s="71"/>
      <c r="Y63" s="71">
        <v>407.65199999999999</v>
      </c>
      <c r="Z63" s="71">
        <v>10.199</v>
      </c>
      <c r="AA63" s="71">
        <v>10.944000000000001</v>
      </c>
      <c r="AB63" s="71">
        <v>41.823</v>
      </c>
      <c r="AC63" s="71">
        <f t="shared" si="194"/>
        <v>434.8288</v>
      </c>
      <c r="AD63" s="71">
        <f t="shared" si="195"/>
        <v>15.436324324324325</v>
      </c>
      <c r="AE63" s="71">
        <f t="shared" si="196"/>
        <v>19.898181818181822</v>
      </c>
      <c r="AF63" s="71">
        <f t="shared" si="197"/>
        <v>85.286117647058816</v>
      </c>
      <c r="AG63" s="71">
        <f t="shared" si="198"/>
        <v>555.449423789565</v>
      </c>
      <c r="AH63" s="71"/>
      <c r="AI63" s="71"/>
      <c r="AJ63" s="71"/>
      <c r="AK63" s="71"/>
      <c r="AL63" s="71"/>
      <c r="AM63" s="71"/>
      <c r="AN63" t="s">
        <v>414</v>
      </c>
      <c r="AO63" s="71"/>
      <c r="AP63">
        <f t="shared" si="4"/>
        <v>30.307935928605485</v>
      </c>
      <c r="AQ63">
        <f t="shared" si="5"/>
        <v>13.122442575035075</v>
      </c>
      <c r="AR63">
        <f t="shared" si="6"/>
        <v>0</v>
      </c>
    </row>
    <row r="64" spans="1:44" ht="15" customHeight="1" x14ac:dyDescent="0.25">
      <c r="A64" s="74" t="s">
        <v>213</v>
      </c>
      <c r="B64" s="74" t="s">
        <v>170</v>
      </c>
      <c r="C64" s="72" t="str">
        <f t="shared" si="0"/>
        <v>19-01-2024 10:15</v>
      </c>
      <c r="D64" s="13">
        <f t="shared" si="111"/>
        <v>91.010416666666671</v>
      </c>
      <c r="E64" s="85">
        <v>822</v>
      </c>
      <c r="F64" s="71"/>
      <c r="G64" s="71"/>
      <c r="H64" s="71"/>
      <c r="I64" s="71"/>
      <c r="J64" s="71">
        <f t="shared" si="199"/>
        <v>0</v>
      </c>
      <c r="K64" s="71">
        <f t="shared" si="200"/>
        <v>0</v>
      </c>
      <c r="L64" s="71" t="e">
        <f t="shared" si="201"/>
        <v>#DIV/0!</v>
      </c>
      <c r="M64" s="71">
        <f t="shared" si="202"/>
        <v>0</v>
      </c>
      <c r="N64" s="71" t="e">
        <f t="shared" si="203"/>
        <v>#DIV/0!</v>
      </c>
      <c r="O64" s="71">
        <f t="shared" si="204"/>
        <v>0</v>
      </c>
      <c r="P64" s="71" t="e">
        <f t="shared" si="205"/>
        <v>#DIV/0!</v>
      </c>
      <c r="Q64" s="71" t="e">
        <f t="shared" si="193"/>
        <v>#DIV/0!</v>
      </c>
      <c r="R64" s="71">
        <v>7.64</v>
      </c>
      <c r="S64" s="71"/>
      <c r="T64" s="71"/>
      <c r="U64" s="84"/>
      <c r="V64" s="71"/>
      <c r="W64" s="71"/>
      <c r="X64" s="71"/>
      <c r="Y64" s="71">
        <v>215.11799999999999</v>
      </c>
      <c r="Z64" s="71" t="s">
        <v>393</v>
      </c>
      <c r="AA64" s="71">
        <v>23.8</v>
      </c>
      <c r="AB64" s="71" t="s">
        <v>393</v>
      </c>
      <c r="AC64" s="71">
        <f t="shared" si="194"/>
        <v>229.45919999999998</v>
      </c>
      <c r="AD64" s="71">
        <f t="shared" si="195"/>
        <v>7.5675675675675675</v>
      </c>
      <c r="AE64" s="71">
        <f t="shared" si="196"/>
        <v>43.272727272727273</v>
      </c>
      <c r="AF64" s="71">
        <f t="shared" si="197"/>
        <v>10.196078431372548</v>
      </c>
      <c r="AG64" s="71">
        <f t="shared" si="198"/>
        <v>290.49557327166735</v>
      </c>
      <c r="AH64" s="71"/>
      <c r="AI64" s="71"/>
      <c r="AJ64" s="71"/>
      <c r="AK64" s="71"/>
      <c r="AL64" s="71"/>
      <c r="AM64" s="71"/>
      <c r="AN64" t="s">
        <v>415</v>
      </c>
      <c r="AO64" s="71"/>
      <c r="AP64" t="e">
        <f t="shared" si="4"/>
        <v>#DIV/0!</v>
      </c>
      <c r="AQ64" t="e">
        <f t="shared" si="5"/>
        <v>#DIV/0!</v>
      </c>
      <c r="AR64">
        <f t="shared" si="6"/>
        <v>0</v>
      </c>
    </row>
    <row r="65" spans="1:44" ht="15" customHeight="1" x14ac:dyDescent="0.25">
      <c r="A65" s="100" t="s">
        <v>215</v>
      </c>
      <c r="B65" s="100" t="s">
        <v>170</v>
      </c>
      <c r="C65" s="72" t="str">
        <f t="shared" si="0"/>
        <v>22-01-2024 10:15</v>
      </c>
      <c r="D65" s="13">
        <f t="shared" si="111"/>
        <v>94</v>
      </c>
      <c r="E65" s="90">
        <f>740+88</f>
        <v>828</v>
      </c>
      <c r="F65" s="71"/>
      <c r="G65" s="71"/>
      <c r="H65" s="71"/>
      <c r="I65" s="71"/>
      <c r="J65" s="71">
        <f t="shared" si="199"/>
        <v>0</v>
      </c>
      <c r="K65" s="71">
        <f t="shared" si="200"/>
        <v>0</v>
      </c>
      <c r="L65" s="71" t="e">
        <f t="shared" si="201"/>
        <v>#DIV/0!</v>
      </c>
      <c r="M65" s="71">
        <f t="shared" si="202"/>
        <v>0</v>
      </c>
      <c r="N65" s="71" t="e">
        <f t="shared" si="203"/>
        <v>#DIV/0!</v>
      </c>
      <c r="O65" s="71">
        <f t="shared" si="204"/>
        <v>0</v>
      </c>
      <c r="P65" s="71" t="e">
        <f t="shared" si="205"/>
        <v>#DIV/0!</v>
      </c>
      <c r="Q65" s="71" t="e">
        <f t="shared" si="193"/>
        <v>#DIV/0!</v>
      </c>
      <c r="R65" s="71">
        <v>7.56</v>
      </c>
      <c r="S65" s="71"/>
      <c r="T65" s="71"/>
      <c r="U65" s="84"/>
      <c r="V65" s="71"/>
      <c r="W65" s="71"/>
      <c r="X65" s="71"/>
      <c r="Y65" s="71">
        <v>156.959</v>
      </c>
      <c r="Z65" s="71" t="s">
        <v>393</v>
      </c>
      <c r="AA65" s="71" t="s">
        <v>393</v>
      </c>
      <c r="AB65" s="71">
        <v>0</v>
      </c>
      <c r="AC65" s="71">
        <f t="shared" si="194"/>
        <v>167.42293333333333</v>
      </c>
      <c r="AD65" s="71">
        <f t="shared" si="195"/>
        <v>7.5675675675675675</v>
      </c>
      <c r="AE65" s="71">
        <f t="shared" si="196"/>
        <v>9.0909090909090917</v>
      </c>
      <c r="AF65" s="71">
        <f t="shared" si="197"/>
        <v>0</v>
      </c>
      <c r="AG65" s="71">
        <f t="shared" si="198"/>
        <v>184.08140999181001</v>
      </c>
      <c r="AH65" s="71"/>
      <c r="AI65" s="71"/>
      <c r="AJ65" s="71"/>
      <c r="AK65" s="71"/>
      <c r="AL65" s="71"/>
      <c r="AM65" s="71"/>
      <c r="AO65" s="71"/>
      <c r="AP65" t="e">
        <f t="shared" si="4"/>
        <v>#DIV/0!</v>
      </c>
      <c r="AQ65" t="e">
        <f t="shared" si="5"/>
        <v>#DIV/0!</v>
      </c>
      <c r="AR65">
        <f t="shared" si="6"/>
        <v>0</v>
      </c>
    </row>
    <row r="66" spans="1:44" ht="15" customHeight="1" x14ac:dyDescent="0.25">
      <c r="A66" s="100" t="s">
        <v>217</v>
      </c>
      <c r="B66" s="100" t="s">
        <v>171</v>
      </c>
      <c r="C66" s="72" t="str">
        <f t="shared" si="0"/>
        <v>24-01-2024 12:30</v>
      </c>
      <c r="D66" s="13">
        <f t="shared" si="111"/>
        <v>96.09375</v>
      </c>
      <c r="E66" s="82">
        <v>740</v>
      </c>
      <c r="F66" s="71"/>
      <c r="G66" s="71"/>
      <c r="H66" s="71"/>
      <c r="I66" s="71"/>
      <c r="J66" s="71">
        <f t="shared" si="199"/>
        <v>0</v>
      </c>
      <c r="K66" s="71">
        <f t="shared" si="200"/>
        <v>0</v>
      </c>
      <c r="L66" s="71" t="e">
        <f t="shared" si="201"/>
        <v>#DIV/0!</v>
      </c>
      <c r="M66" s="71">
        <f t="shared" si="202"/>
        <v>0</v>
      </c>
      <c r="N66" s="71" t="e">
        <f t="shared" si="203"/>
        <v>#DIV/0!</v>
      </c>
      <c r="O66" s="71">
        <f t="shared" si="204"/>
        <v>0</v>
      </c>
      <c r="P66" s="71" t="e">
        <f t="shared" si="205"/>
        <v>#DIV/0!</v>
      </c>
      <c r="Q66" s="71" t="e">
        <f t="shared" si="193"/>
        <v>#DIV/0!</v>
      </c>
      <c r="R66" s="71">
        <v>7.53</v>
      </c>
      <c r="S66" s="71"/>
      <c r="T66" s="71"/>
      <c r="U66" s="84"/>
      <c r="V66" s="71"/>
      <c r="W66" s="71"/>
      <c r="X66" s="71"/>
      <c r="Y66" s="71">
        <v>186.31</v>
      </c>
      <c r="Z66" s="71">
        <v>0</v>
      </c>
      <c r="AA66" s="71">
        <v>10.385999999999999</v>
      </c>
      <c r="AB66" s="71">
        <v>0</v>
      </c>
      <c r="AC66" s="71">
        <f t="shared" si="194"/>
        <v>198.73066666666668</v>
      </c>
      <c r="AD66" s="71">
        <f t="shared" si="195"/>
        <v>0</v>
      </c>
      <c r="AE66" s="71">
        <f t="shared" si="196"/>
        <v>18.883636363636359</v>
      </c>
      <c r="AF66" s="71">
        <f t="shared" si="197"/>
        <v>0</v>
      </c>
      <c r="AG66" s="71">
        <f t="shared" si="198"/>
        <v>217.61430303030303</v>
      </c>
      <c r="AH66" s="71"/>
      <c r="AI66" s="71"/>
      <c r="AJ66" s="71"/>
      <c r="AK66" s="71"/>
      <c r="AL66" s="71"/>
      <c r="AM66" s="71"/>
      <c r="AO66" s="71"/>
      <c r="AP66" t="e">
        <f t="shared" si="4"/>
        <v>#DIV/0!</v>
      </c>
      <c r="AQ66" t="e">
        <f t="shared" si="5"/>
        <v>#DIV/0!</v>
      </c>
      <c r="AR66">
        <f t="shared" si="6"/>
        <v>0</v>
      </c>
    </row>
    <row r="67" spans="1:44" ht="15" customHeight="1" x14ac:dyDescent="0.25">
      <c r="A67" s="100" t="s">
        <v>217</v>
      </c>
      <c r="B67" s="100" t="s">
        <v>137</v>
      </c>
      <c r="C67" s="72" t="str">
        <f t="shared" ref="C67:C130" si="210">TEXT(DATEVALUE(A67) + TIMEVALUE(B67), "gg-mm-aaaa hh:mm")</f>
        <v>24-01-2024 15:00</v>
      </c>
      <c r="D67" s="13">
        <f t="shared" ref="D67:D124" si="211">A67-$A$3+(B67-B66)</f>
        <v>96.104166666666671</v>
      </c>
      <c r="E67" s="82">
        <v>25</v>
      </c>
      <c r="F67" s="71"/>
      <c r="G67" s="71"/>
      <c r="H67" s="71"/>
      <c r="I67" s="71"/>
      <c r="J67" s="71">
        <f t="shared" si="199"/>
        <v>0</v>
      </c>
      <c r="K67" s="71">
        <f t="shared" si="200"/>
        <v>0</v>
      </c>
      <c r="L67" s="71" t="e">
        <f t="shared" si="201"/>
        <v>#DIV/0!</v>
      </c>
      <c r="M67" s="71">
        <f t="shared" si="202"/>
        <v>0</v>
      </c>
      <c r="N67" s="71" t="e">
        <f t="shared" si="203"/>
        <v>#DIV/0!</v>
      </c>
      <c r="O67" s="71">
        <f t="shared" si="204"/>
        <v>0</v>
      </c>
      <c r="P67" s="71" t="e">
        <f t="shared" si="205"/>
        <v>#DIV/0!</v>
      </c>
      <c r="Q67" s="71" t="e">
        <f t="shared" si="193"/>
        <v>#DIV/0!</v>
      </c>
      <c r="R67" s="71">
        <v>7.54</v>
      </c>
      <c r="S67" s="71"/>
      <c r="T67" s="71"/>
      <c r="U67" s="84"/>
      <c r="V67" s="71"/>
      <c r="W67" s="71"/>
      <c r="X67" s="71"/>
      <c r="Y67" s="71">
        <v>320.37799999999999</v>
      </c>
      <c r="Z67" s="71">
        <v>42.468000000000004</v>
      </c>
      <c r="AA67" s="71">
        <v>12.109</v>
      </c>
      <c r="AB67" s="71" t="s">
        <v>393</v>
      </c>
      <c r="AC67" s="71">
        <f t="shared" si="194"/>
        <v>341.73653333333334</v>
      </c>
      <c r="AD67" s="71">
        <f t="shared" si="195"/>
        <v>64.275891891891888</v>
      </c>
      <c r="AE67" s="71">
        <f t="shared" si="196"/>
        <v>22.016363636363636</v>
      </c>
      <c r="AF67" s="71">
        <f t="shared" si="197"/>
        <v>10.196078431372548</v>
      </c>
      <c r="AG67" s="71">
        <f t="shared" si="198"/>
        <v>438.22486729296139</v>
      </c>
      <c r="AH67" s="71"/>
      <c r="AI67" s="71"/>
      <c r="AJ67" s="71"/>
      <c r="AK67" s="71"/>
      <c r="AL67" s="71"/>
      <c r="AM67" s="71"/>
      <c r="AO67" s="71"/>
      <c r="AP67" t="e">
        <f t="shared" si="4"/>
        <v>#DIV/0!</v>
      </c>
      <c r="AQ67" t="e">
        <f t="shared" si="5"/>
        <v>#DIV/0!</v>
      </c>
      <c r="AR67">
        <f t="shared" si="6"/>
        <v>0</v>
      </c>
    </row>
    <row r="68" spans="1:44" ht="15" customHeight="1" x14ac:dyDescent="0.25">
      <c r="A68" s="100" t="s">
        <v>416</v>
      </c>
      <c r="B68" s="100" t="s">
        <v>156</v>
      </c>
      <c r="C68" s="72" t="str">
        <f t="shared" si="210"/>
        <v>25-01-2024 10:00</v>
      </c>
      <c r="D68" s="13">
        <f t="shared" si="211"/>
        <v>96.791666666666671</v>
      </c>
      <c r="E68" s="82">
        <v>25</v>
      </c>
      <c r="F68" s="71"/>
      <c r="G68" s="71"/>
      <c r="H68" s="71"/>
      <c r="I68" s="71"/>
      <c r="J68" s="71">
        <f t="shared" si="199"/>
        <v>0</v>
      </c>
      <c r="K68" s="71">
        <f t="shared" si="200"/>
        <v>0</v>
      </c>
      <c r="L68" s="71" t="e">
        <f t="shared" si="201"/>
        <v>#DIV/0!</v>
      </c>
      <c r="M68" s="71">
        <f t="shared" si="202"/>
        <v>0</v>
      </c>
      <c r="N68" s="71" t="e">
        <f t="shared" si="203"/>
        <v>#DIV/0!</v>
      </c>
      <c r="O68" s="71">
        <f t="shared" si="204"/>
        <v>0</v>
      </c>
      <c r="P68" s="71" t="e">
        <f t="shared" si="205"/>
        <v>#DIV/0!</v>
      </c>
      <c r="Q68" s="71" t="e">
        <f t="shared" si="193"/>
        <v>#DIV/0!</v>
      </c>
      <c r="R68" s="71">
        <v>7.54</v>
      </c>
      <c r="S68" s="71"/>
      <c r="T68" s="71"/>
      <c r="U68" s="84"/>
      <c r="V68" s="71"/>
      <c r="W68" s="71"/>
      <c r="X68" s="71"/>
      <c r="Y68" s="71">
        <v>350.87099999999998</v>
      </c>
      <c r="Z68" s="71" t="s">
        <v>393</v>
      </c>
      <c r="AA68" s="71" t="s">
        <v>393</v>
      </c>
      <c r="AB68" s="71">
        <v>0</v>
      </c>
      <c r="AC68" s="71">
        <f t="shared" si="194"/>
        <v>374.26239999999996</v>
      </c>
      <c r="AD68" s="71">
        <f t="shared" si="195"/>
        <v>7.5675675675675675</v>
      </c>
      <c r="AE68" s="71">
        <f t="shared" si="196"/>
        <v>9.0909090909090917</v>
      </c>
      <c r="AF68" s="71">
        <f t="shared" si="197"/>
        <v>0</v>
      </c>
      <c r="AG68" s="71">
        <f t="shared" si="198"/>
        <v>390.92087665847657</v>
      </c>
      <c r="AH68" s="71"/>
      <c r="AI68" s="71"/>
      <c r="AJ68" s="71"/>
      <c r="AK68" s="71"/>
      <c r="AL68" s="71"/>
      <c r="AM68" s="71"/>
      <c r="AO68" s="71"/>
      <c r="AP68" t="e">
        <f t="shared" ref="AP68:AP91" si="212">E68*L68/1000</f>
        <v>#DIV/0!</v>
      </c>
      <c r="AQ68" t="e">
        <f t="shared" ref="AQ68:AQ91" si="213">AP68*L68/100</f>
        <v>#DIV/0!</v>
      </c>
      <c r="AR68">
        <f t="shared" ref="AR68:AR91" si="214">AH68*E68/1000000</f>
        <v>0</v>
      </c>
    </row>
    <row r="69" spans="1:44" ht="15" customHeight="1" x14ac:dyDescent="0.25">
      <c r="A69" s="100" t="s">
        <v>416</v>
      </c>
      <c r="B69" s="100" t="s">
        <v>202</v>
      </c>
      <c r="C69" s="72" t="str">
        <f t="shared" si="210"/>
        <v>25-01-2024 14:30</v>
      </c>
      <c r="D69" s="13">
        <f t="shared" si="211"/>
        <v>97.1875</v>
      </c>
      <c r="E69" s="82">
        <v>25</v>
      </c>
      <c r="F69" s="71"/>
      <c r="G69" s="71"/>
      <c r="H69" s="71"/>
      <c r="I69" s="71"/>
      <c r="J69" s="71">
        <f t="shared" si="199"/>
        <v>0</v>
      </c>
      <c r="K69" s="71">
        <f t="shared" si="200"/>
        <v>0</v>
      </c>
      <c r="L69" s="71" t="e">
        <f t="shared" si="201"/>
        <v>#DIV/0!</v>
      </c>
      <c r="M69" s="71">
        <f t="shared" si="202"/>
        <v>0</v>
      </c>
      <c r="N69" s="71" t="e">
        <f t="shared" si="203"/>
        <v>#DIV/0!</v>
      </c>
      <c r="O69" s="71">
        <f t="shared" si="204"/>
        <v>0</v>
      </c>
      <c r="P69" s="71" t="e">
        <f t="shared" si="205"/>
        <v>#DIV/0!</v>
      </c>
      <c r="Q69" s="71" t="e">
        <f t="shared" si="193"/>
        <v>#DIV/0!</v>
      </c>
      <c r="R69" s="71">
        <v>7.56</v>
      </c>
      <c r="S69" s="71"/>
      <c r="T69" s="71"/>
      <c r="U69" s="84"/>
      <c r="V69" s="71"/>
      <c r="W69" s="71"/>
      <c r="X69" s="71"/>
      <c r="Y69" s="71">
        <v>379.97</v>
      </c>
      <c r="Z69" s="71" t="s">
        <v>393</v>
      </c>
      <c r="AA69" s="71" t="s">
        <v>393</v>
      </c>
      <c r="AB69" s="71">
        <v>0</v>
      </c>
      <c r="AC69" s="71">
        <f t="shared" si="194"/>
        <v>405.30133333333339</v>
      </c>
      <c r="AD69" s="71">
        <f t="shared" si="195"/>
        <v>7.5675675675675675</v>
      </c>
      <c r="AE69" s="71">
        <f t="shared" si="196"/>
        <v>9.0909090909090917</v>
      </c>
      <c r="AF69" s="71">
        <f t="shared" si="197"/>
        <v>0</v>
      </c>
      <c r="AG69" s="71">
        <f t="shared" si="198"/>
        <v>421.95980999181</v>
      </c>
      <c r="AH69" s="71"/>
      <c r="AI69" s="71"/>
      <c r="AJ69" s="71"/>
      <c r="AK69" s="71"/>
      <c r="AL69" s="71"/>
      <c r="AM69" s="71"/>
      <c r="AO69" s="71"/>
      <c r="AP69" t="e">
        <f t="shared" si="212"/>
        <v>#DIV/0!</v>
      </c>
      <c r="AQ69" t="e">
        <f t="shared" si="213"/>
        <v>#DIV/0!</v>
      </c>
      <c r="AR69">
        <f t="shared" si="214"/>
        <v>0</v>
      </c>
    </row>
    <row r="70" spans="1:44" ht="15" customHeight="1" x14ac:dyDescent="0.25">
      <c r="A70" s="100" t="s">
        <v>416</v>
      </c>
      <c r="B70" s="100" t="s">
        <v>417</v>
      </c>
      <c r="C70" s="72" t="str">
        <f t="shared" si="210"/>
        <v>25-01-2024 17:30</v>
      </c>
      <c r="D70" s="13">
        <f t="shared" si="211"/>
        <v>97.125</v>
      </c>
      <c r="E70" s="82">
        <v>25</v>
      </c>
      <c r="F70" s="71"/>
      <c r="G70" s="71"/>
      <c r="H70" s="71"/>
      <c r="I70" s="71"/>
      <c r="J70" s="71">
        <f t="shared" si="199"/>
        <v>0</v>
      </c>
      <c r="K70" s="71">
        <f t="shared" si="200"/>
        <v>0</v>
      </c>
      <c r="L70" s="71" t="e">
        <f t="shared" si="201"/>
        <v>#DIV/0!</v>
      </c>
      <c r="M70" s="71">
        <f t="shared" si="202"/>
        <v>0</v>
      </c>
      <c r="N70" s="71" t="e">
        <f t="shared" si="203"/>
        <v>#DIV/0!</v>
      </c>
      <c r="O70" s="71">
        <f t="shared" si="204"/>
        <v>0</v>
      </c>
      <c r="P70" s="71" t="e">
        <f t="shared" si="205"/>
        <v>#DIV/0!</v>
      </c>
      <c r="Q70" s="71" t="e">
        <f t="shared" si="193"/>
        <v>#DIV/0!</v>
      </c>
      <c r="R70" s="71">
        <v>7.59</v>
      </c>
      <c r="S70" s="71"/>
      <c r="T70" s="71"/>
      <c r="U70" s="84"/>
      <c r="V70" s="71"/>
      <c r="W70" s="71"/>
      <c r="X70" s="71"/>
      <c r="Y70" s="71">
        <v>451.10300000000001</v>
      </c>
      <c r="Z70" s="71" t="s">
        <v>393</v>
      </c>
      <c r="AA70" s="71">
        <v>11.279</v>
      </c>
      <c r="AB70" s="71">
        <v>0</v>
      </c>
      <c r="AC70" s="71">
        <f t="shared" si="194"/>
        <v>481.17653333333334</v>
      </c>
      <c r="AD70" s="71">
        <f t="shared" si="195"/>
        <v>7.5675675675675675</v>
      </c>
      <c r="AE70" s="71">
        <f t="shared" si="196"/>
        <v>20.507272727272724</v>
      </c>
      <c r="AF70" s="71">
        <f t="shared" si="197"/>
        <v>0</v>
      </c>
      <c r="AG70" s="71">
        <f t="shared" si="198"/>
        <v>509.25137362817361</v>
      </c>
      <c r="AH70" s="71"/>
      <c r="AI70" s="71"/>
      <c r="AJ70" s="71"/>
      <c r="AK70" s="71"/>
      <c r="AL70" s="71"/>
      <c r="AM70" s="71"/>
      <c r="AO70" s="71"/>
      <c r="AP70" t="e">
        <f t="shared" si="212"/>
        <v>#DIV/0!</v>
      </c>
      <c r="AQ70" t="e">
        <f t="shared" si="213"/>
        <v>#DIV/0!</v>
      </c>
      <c r="AR70">
        <f t="shared" si="214"/>
        <v>0</v>
      </c>
    </row>
    <row r="71" spans="1:44" ht="15" customHeight="1" x14ac:dyDescent="0.25">
      <c r="A71" s="100" t="s">
        <v>218</v>
      </c>
      <c r="B71" s="100" t="s">
        <v>294</v>
      </c>
      <c r="C71" s="72" t="str">
        <f t="shared" si="210"/>
        <v>26-01-2024 11:40</v>
      </c>
      <c r="D71" s="13">
        <f t="shared" si="211"/>
        <v>97.756944444444443</v>
      </c>
      <c r="E71" s="82">
        <v>1110</v>
      </c>
      <c r="F71" s="71">
        <v>4.5728999999999997</v>
      </c>
      <c r="G71" s="71">
        <v>30.908200000000001</v>
      </c>
      <c r="H71" s="71">
        <v>5.6367000000000003</v>
      </c>
      <c r="I71" s="71">
        <v>4.7594000000000003</v>
      </c>
      <c r="J71" s="71">
        <f t="shared" si="199"/>
        <v>26.3353</v>
      </c>
      <c r="K71" s="71">
        <f t="shared" si="200"/>
        <v>1.0638000000000005</v>
      </c>
      <c r="L71" s="71">
        <f t="shared" si="201"/>
        <v>40.394451553618168</v>
      </c>
      <c r="M71" s="71">
        <f t="shared" si="202"/>
        <v>0.18650000000000055</v>
      </c>
      <c r="N71" s="71">
        <f t="shared" si="203"/>
        <v>7.081749590853363</v>
      </c>
      <c r="O71" s="71">
        <f t="shared" si="204"/>
        <v>0.87729999999999997</v>
      </c>
      <c r="P71" s="71">
        <f t="shared" si="205"/>
        <v>33.312701962764805</v>
      </c>
      <c r="Q71" s="71">
        <f t="shared" si="193"/>
        <v>82.46850911825527</v>
      </c>
      <c r="R71" s="71">
        <v>7.55</v>
      </c>
      <c r="S71" s="71">
        <f>6692*2</f>
        <v>13384</v>
      </c>
      <c r="T71" s="71">
        <v>0.307</v>
      </c>
      <c r="U71" s="84">
        <v>3207</v>
      </c>
      <c r="V71" s="71">
        <f>14.1*100</f>
        <v>1410</v>
      </c>
      <c r="W71" s="71"/>
      <c r="X71" s="71">
        <f>229*50</f>
        <v>11450</v>
      </c>
      <c r="Y71">
        <v>219.035</v>
      </c>
      <c r="Z71" s="71">
        <v>0</v>
      </c>
      <c r="AA71" s="71" t="s">
        <v>393</v>
      </c>
      <c r="AB71" s="71">
        <v>0</v>
      </c>
      <c r="AC71" s="71">
        <f t="shared" ref="AC71:AC74" si="215">IF(Y71="&lt; 10 ppm",5*64/60,Y71*64/60)</f>
        <v>233.63733333333332</v>
      </c>
      <c r="AD71" s="71">
        <f t="shared" ref="AD71:AD74" si="216">IF(Z71="&lt; 10 ppm",5*112/74,Z71*112/74)</f>
        <v>0</v>
      </c>
      <c r="AE71" s="71">
        <f t="shared" ref="AE71:AE74" si="217">IF(AA71="&lt; 10 ppm",5*160/88,AA71*160/88)</f>
        <v>9.0909090909090917</v>
      </c>
      <c r="AF71" s="71">
        <f t="shared" ref="AF71:AF74" si="218">IF(AB71="&lt; 10 ppm",5*208/102,AB71*208/102)</f>
        <v>0</v>
      </c>
      <c r="AG71" s="71">
        <f t="shared" ref="AG71:AG74" si="219">SUM(AC71:AF71)</f>
        <v>242.72824242424241</v>
      </c>
      <c r="AH71" s="71">
        <f>856*50</f>
        <v>42800</v>
      </c>
      <c r="AI71" s="71"/>
      <c r="AJ71" s="71"/>
      <c r="AK71" s="71"/>
      <c r="AL71" s="71"/>
      <c r="AM71" s="71"/>
      <c r="AO71" s="71"/>
      <c r="AP71">
        <f t="shared" si="212"/>
        <v>44.837841224516168</v>
      </c>
      <c r="AQ71">
        <f t="shared" si="213"/>
        <v>18.11200005112542</v>
      </c>
      <c r="AR71">
        <f t="shared" si="214"/>
        <v>47.508000000000003</v>
      </c>
    </row>
    <row r="72" spans="1:44" ht="15" customHeight="1" x14ac:dyDescent="0.25">
      <c r="A72" s="100" t="s">
        <v>218</v>
      </c>
      <c r="B72" s="100" t="s">
        <v>294</v>
      </c>
      <c r="C72" s="72" t="str">
        <f t="shared" si="210"/>
        <v>26-01-2024 11:40</v>
      </c>
      <c r="D72" s="92">
        <f t="shared" si="211"/>
        <v>98</v>
      </c>
      <c r="E72" s="82"/>
      <c r="F72" s="71">
        <v>4.5517000000000003</v>
      </c>
      <c r="G72" s="71">
        <v>37.201799999999999</v>
      </c>
      <c r="H72" s="71">
        <v>5.8834999999999997</v>
      </c>
      <c r="I72" s="71">
        <v>4.8223000000000003</v>
      </c>
      <c r="J72" s="71">
        <f t="shared" si="199"/>
        <v>32.650099999999995</v>
      </c>
      <c r="K72" s="71">
        <f t="shared" si="200"/>
        <v>1.3317999999999994</v>
      </c>
      <c r="L72" s="71">
        <f t="shared" si="201"/>
        <v>40.790074149849453</v>
      </c>
      <c r="M72" s="71">
        <f t="shared" si="202"/>
        <v>0.27059999999999995</v>
      </c>
      <c r="N72" s="71">
        <f t="shared" si="203"/>
        <v>8.28787660680978</v>
      </c>
      <c r="O72" s="71">
        <f t="shared" si="204"/>
        <v>1.0611999999999995</v>
      </c>
      <c r="P72" s="71">
        <f t="shared" si="205"/>
        <v>32.502197543039671</v>
      </c>
      <c r="Q72" s="71">
        <f t="shared" si="193"/>
        <v>79.681633878960795</v>
      </c>
      <c r="R72" s="71"/>
      <c r="S72" s="71"/>
      <c r="T72" s="84"/>
      <c r="U72" s="71"/>
      <c r="V72" s="71"/>
      <c r="W72" s="84"/>
      <c r="X72" s="71"/>
      <c r="Z72" s="82"/>
      <c r="AA72" s="82"/>
      <c r="AB72" s="71"/>
      <c r="AC72" s="71"/>
      <c r="AD72" s="71"/>
      <c r="AE72" s="71"/>
      <c r="AF72" s="71"/>
      <c r="AG72" s="71"/>
      <c r="AH72" s="71"/>
      <c r="AI72" s="71"/>
      <c r="AJ72" s="71"/>
      <c r="AK72" s="71"/>
      <c r="AL72" s="71"/>
      <c r="AM72" s="71"/>
      <c r="AO72" s="71"/>
      <c r="AP72">
        <f t="shared" si="212"/>
        <v>0</v>
      </c>
      <c r="AQ72">
        <f t="shared" si="213"/>
        <v>0</v>
      </c>
      <c r="AR72">
        <f t="shared" si="214"/>
        <v>0</v>
      </c>
    </row>
    <row r="73" spans="1:44" ht="15" customHeight="1" x14ac:dyDescent="0.25">
      <c r="A73" s="100" t="s">
        <v>220</v>
      </c>
      <c r="B73" s="100" t="s">
        <v>185</v>
      </c>
      <c r="C73" s="72" t="str">
        <f t="shared" si="210"/>
        <v>29-01-2024 10:30</v>
      </c>
      <c r="D73" s="13">
        <f t="shared" si="211"/>
        <v>100.95138888888889</v>
      </c>
      <c r="E73" s="82">
        <v>740</v>
      </c>
      <c r="F73" s="71"/>
      <c r="G73" s="71"/>
      <c r="H73" s="71"/>
      <c r="I73" s="71"/>
      <c r="J73" s="71">
        <f t="shared" si="199"/>
        <v>0</v>
      </c>
      <c r="K73" s="71">
        <f t="shared" si="200"/>
        <v>0</v>
      </c>
      <c r="L73" s="71" t="e">
        <f t="shared" si="201"/>
        <v>#DIV/0!</v>
      </c>
      <c r="M73" s="71">
        <f t="shared" si="202"/>
        <v>0</v>
      </c>
      <c r="N73" s="71" t="e">
        <f t="shared" si="203"/>
        <v>#DIV/0!</v>
      </c>
      <c r="O73" s="71">
        <f t="shared" si="204"/>
        <v>0</v>
      </c>
      <c r="P73" s="71" t="e">
        <f t="shared" si="205"/>
        <v>#DIV/0!</v>
      </c>
      <c r="Q73" s="71" t="e">
        <f t="shared" si="193"/>
        <v>#DIV/0!</v>
      </c>
      <c r="R73" s="71">
        <v>7.57</v>
      </c>
      <c r="S73" s="71"/>
      <c r="T73" s="84"/>
      <c r="U73" s="71"/>
      <c r="V73" s="71"/>
      <c r="W73" s="84"/>
      <c r="X73" s="71"/>
      <c r="Y73" s="71">
        <v>180.07499999999999</v>
      </c>
      <c r="Z73" s="71" t="s">
        <v>393</v>
      </c>
      <c r="AA73" s="71" t="s">
        <v>393</v>
      </c>
      <c r="AB73" s="71">
        <v>0</v>
      </c>
      <c r="AC73" s="71">
        <f t="shared" si="215"/>
        <v>192.07999999999998</v>
      </c>
      <c r="AD73" s="71">
        <f t="shared" si="216"/>
        <v>7.5675675675675675</v>
      </c>
      <c r="AE73" s="71">
        <f t="shared" si="217"/>
        <v>9.0909090909090917</v>
      </c>
      <c r="AF73" s="71">
        <f t="shared" si="218"/>
        <v>0</v>
      </c>
      <c r="AG73" s="71">
        <f t="shared" si="219"/>
        <v>208.73847665847666</v>
      </c>
      <c r="AH73" s="71"/>
      <c r="AI73" s="71"/>
      <c r="AJ73" s="71"/>
      <c r="AK73" s="71"/>
      <c r="AL73" s="71"/>
      <c r="AM73" s="71"/>
      <c r="AO73" s="71"/>
      <c r="AP73" t="e">
        <f t="shared" si="212"/>
        <v>#DIV/0!</v>
      </c>
      <c r="AQ73" t="e">
        <f t="shared" si="213"/>
        <v>#DIV/0!</v>
      </c>
      <c r="AR73">
        <f t="shared" si="214"/>
        <v>0</v>
      </c>
    </row>
    <row r="74" spans="1:44" ht="15" customHeight="1" x14ac:dyDescent="0.25">
      <c r="A74" s="100" t="s">
        <v>221</v>
      </c>
      <c r="B74" s="100" t="s">
        <v>185</v>
      </c>
      <c r="C74" s="72" t="str">
        <f t="shared" si="210"/>
        <v>31-01-2024 10:30</v>
      </c>
      <c r="D74" s="13">
        <f t="shared" si="211"/>
        <v>103</v>
      </c>
      <c r="E74" s="82">
        <v>550</v>
      </c>
      <c r="F74" s="84">
        <v>4.5888</v>
      </c>
      <c r="G74" s="84">
        <v>25.915900000000001</v>
      </c>
      <c r="H74" s="84">
        <v>5.4631999999999996</v>
      </c>
      <c r="I74" s="71">
        <v>4.7122000000000002</v>
      </c>
      <c r="J74" s="71">
        <f t="shared" ref="J74" si="220">G74-F74</f>
        <v>21.327100000000002</v>
      </c>
      <c r="K74" s="71">
        <f t="shared" ref="K74" si="221">H74-F74</f>
        <v>0.87439999999999962</v>
      </c>
      <c r="L74" s="71">
        <f t="shared" ref="L74" si="222">1000*K74/J74</f>
        <v>40.999479535426737</v>
      </c>
      <c r="M74" s="71">
        <f t="shared" ref="M74" si="223">I74-F74</f>
        <v>0.12340000000000018</v>
      </c>
      <c r="N74" s="71">
        <f t="shared" ref="N74" si="224">1000*M74/J74</f>
        <v>5.786065616047197</v>
      </c>
      <c r="O74" s="71">
        <f t="shared" ref="O74" si="225">K74-M74</f>
        <v>0.75099999999999945</v>
      </c>
      <c r="P74" s="71">
        <f t="shared" ref="P74" si="226">1000*O74/J74</f>
        <v>35.213413919379541</v>
      </c>
      <c r="Q74" s="71">
        <f t="shared" si="193"/>
        <v>85.887465690759356</v>
      </c>
      <c r="R74" s="71">
        <v>7.6</v>
      </c>
      <c r="S74" s="71"/>
      <c r="T74" s="84">
        <v>0.30499999999999999</v>
      </c>
      <c r="U74" s="71">
        <v>3344</v>
      </c>
      <c r="V74" s="71">
        <f>50*24.6</f>
        <v>1230</v>
      </c>
      <c r="W74" s="84"/>
      <c r="X74" s="71">
        <f>289*50</f>
        <v>14450</v>
      </c>
      <c r="Y74" s="71">
        <v>241.18799999999999</v>
      </c>
      <c r="Z74" s="71" t="s">
        <v>393</v>
      </c>
      <c r="AA74" s="71">
        <v>16.584</v>
      </c>
      <c r="AB74" s="71">
        <v>0</v>
      </c>
      <c r="AC74" s="71">
        <f t="shared" si="215"/>
        <v>257.2672</v>
      </c>
      <c r="AD74" s="71">
        <f t="shared" si="216"/>
        <v>7.5675675675675675</v>
      </c>
      <c r="AE74" s="71">
        <f t="shared" si="217"/>
        <v>30.152727272727272</v>
      </c>
      <c r="AF74" s="71">
        <f t="shared" si="218"/>
        <v>0</v>
      </c>
      <c r="AG74" s="71">
        <f t="shared" si="219"/>
        <v>294.9874948402948</v>
      </c>
      <c r="AH74" s="71">
        <f>753*50</f>
        <v>37650</v>
      </c>
      <c r="AI74" s="71"/>
      <c r="AJ74" s="71"/>
      <c r="AK74" s="71"/>
      <c r="AL74" s="71"/>
      <c r="AM74" s="71"/>
      <c r="AN74" s="104" t="s">
        <v>418</v>
      </c>
      <c r="AO74" s="71"/>
      <c r="AP74">
        <f t="shared" si="212"/>
        <v>22.549713744484706</v>
      </c>
      <c r="AQ74">
        <f t="shared" si="213"/>
        <v>9.2452652719673161</v>
      </c>
      <c r="AR74">
        <f t="shared" si="214"/>
        <v>20.7075</v>
      </c>
    </row>
    <row r="75" spans="1:44" ht="15" customHeight="1" x14ac:dyDescent="0.25">
      <c r="A75" s="100" t="s">
        <v>222</v>
      </c>
      <c r="B75" s="100" t="s">
        <v>156</v>
      </c>
      <c r="C75" s="72" t="str">
        <f t="shared" si="210"/>
        <v>02-02-2024 10:00</v>
      </c>
      <c r="D75" s="13">
        <f t="shared" si="211"/>
        <v>104.97916666666667</v>
      </c>
      <c r="E75" s="82">
        <f>825+165.7</f>
        <v>990.7</v>
      </c>
      <c r="F75" s="84"/>
      <c r="G75" s="84"/>
      <c r="H75" s="84"/>
      <c r="I75" s="71"/>
      <c r="J75" s="71">
        <f t="shared" ref="J75" si="227">G75-F75</f>
        <v>0</v>
      </c>
      <c r="K75" s="71">
        <f t="shared" ref="K75" si="228">H75-F75</f>
        <v>0</v>
      </c>
      <c r="L75" s="71" t="e">
        <f t="shared" ref="L75" si="229">1000*K75/J75</f>
        <v>#DIV/0!</v>
      </c>
      <c r="M75" s="71">
        <f t="shared" ref="M75" si="230">I75-F75</f>
        <v>0</v>
      </c>
      <c r="N75" s="71" t="e">
        <f t="shared" ref="N75" si="231">1000*M75/J75</f>
        <v>#DIV/0!</v>
      </c>
      <c r="O75" s="71">
        <f t="shared" ref="O75" si="232">K75-M75</f>
        <v>0</v>
      </c>
      <c r="P75" s="71" t="e">
        <f t="shared" ref="P75" si="233">1000*O75/J75</f>
        <v>#DIV/0!</v>
      </c>
      <c r="Q75" s="71" t="e">
        <f t="shared" si="193"/>
        <v>#DIV/0!</v>
      </c>
      <c r="R75" s="71">
        <v>7.5</v>
      </c>
      <c r="S75" s="71"/>
      <c r="T75" s="84"/>
      <c r="U75" s="71"/>
      <c r="V75" s="71"/>
      <c r="W75" s="84"/>
      <c r="X75" s="71"/>
      <c r="Y75" s="71">
        <v>242.654</v>
      </c>
      <c r="Z75" s="71" t="s">
        <v>393</v>
      </c>
      <c r="AA75" s="71" t="s">
        <v>393</v>
      </c>
      <c r="AB75" s="71">
        <v>0</v>
      </c>
      <c r="AC75" s="71">
        <f t="shared" ref="AC75:AC79" si="234">IF(Y75="&lt; 10 ppm",5*64/60,Y75*64/60)</f>
        <v>258.83093333333335</v>
      </c>
      <c r="AD75" s="71">
        <f t="shared" ref="AD75:AD79" si="235">IF(Z75="&lt; 10 ppm",5*112/74,Z75*112/74)</f>
        <v>7.5675675675675675</v>
      </c>
      <c r="AE75" s="71">
        <f t="shared" ref="AE75:AE79" si="236">IF(AA75="&lt; 10 ppm",5*160/88,AA75*160/88)</f>
        <v>9.0909090909090917</v>
      </c>
      <c r="AF75" s="71">
        <f t="shared" ref="AF75:AF79" si="237">IF(AB75="&lt; 10 ppm",5*208/102,AB75*208/102)</f>
        <v>0</v>
      </c>
      <c r="AG75" s="71">
        <f t="shared" ref="AG75:AG79" si="238">SUM(AC75:AF75)</f>
        <v>275.48940999180996</v>
      </c>
      <c r="AH75" s="71"/>
      <c r="AI75" s="71"/>
      <c r="AJ75" s="71"/>
      <c r="AK75" s="71"/>
      <c r="AL75" s="71"/>
      <c r="AM75" s="71"/>
      <c r="AN75" s="71"/>
      <c r="AO75" s="71"/>
      <c r="AP75" t="e">
        <f t="shared" si="212"/>
        <v>#DIV/0!</v>
      </c>
      <c r="AQ75" t="e">
        <f t="shared" si="213"/>
        <v>#DIV/0!</v>
      </c>
      <c r="AR75">
        <f t="shared" si="214"/>
        <v>0</v>
      </c>
    </row>
    <row r="76" spans="1:44" ht="15" customHeight="1" x14ac:dyDescent="0.25">
      <c r="A76" s="100" t="s">
        <v>224</v>
      </c>
      <c r="B76" s="100" t="s">
        <v>230</v>
      </c>
      <c r="C76" s="72" t="str">
        <f t="shared" si="210"/>
        <v>05-02-2024 11:45</v>
      </c>
      <c r="D76" s="13">
        <f t="shared" si="211"/>
        <v>108.07291666666667</v>
      </c>
      <c r="E76" s="82">
        <v>792</v>
      </c>
      <c r="F76" s="84"/>
      <c r="G76" s="84"/>
      <c r="H76" s="84"/>
      <c r="I76" s="71"/>
      <c r="J76" s="71">
        <f t="shared" ref="J76:J81" si="239">G76-F76</f>
        <v>0</v>
      </c>
      <c r="K76" s="71">
        <f t="shared" ref="K76:K81" si="240">H76-F76</f>
        <v>0</v>
      </c>
      <c r="L76" s="71" t="e">
        <f t="shared" ref="L76:L81" si="241">1000*K76/J76</f>
        <v>#DIV/0!</v>
      </c>
      <c r="M76" s="71">
        <f t="shared" ref="M76:M81" si="242">I76-F76</f>
        <v>0</v>
      </c>
      <c r="N76" s="71" t="e">
        <f t="shared" ref="N76:N81" si="243">1000*M76/J76</f>
        <v>#DIV/0!</v>
      </c>
      <c r="O76" s="71">
        <f t="shared" ref="O76:O81" si="244">K76-M76</f>
        <v>0</v>
      </c>
      <c r="P76" s="71" t="e">
        <f t="shared" ref="P76:P81" si="245">1000*O76/J76</f>
        <v>#DIV/0!</v>
      </c>
      <c r="Q76" s="71" t="e">
        <f t="shared" si="193"/>
        <v>#DIV/0!</v>
      </c>
      <c r="R76" s="71">
        <v>7.57</v>
      </c>
      <c r="S76" s="71"/>
      <c r="T76" s="84"/>
      <c r="U76" s="71"/>
      <c r="V76" s="71"/>
      <c r="W76" s="84"/>
      <c r="X76" s="71"/>
      <c r="Y76" s="71">
        <v>205.15299999999999</v>
      </c>
      <c r="Z76" s="71" t="s">
        <v>393</v>
      </c>
      <c r="AA76" s="71" t="s">
        <v>393</v>
      </c>
      <c r="AB76" s="71">
        <v>0</v>
      </c>
      <c r="AC76" s="71">
        <f t="shared" si="234"/>
        <v>218.82986666666665</v>
      </c>
      <c r="AD76" s="71">
        <f t="shared" si="235"/>
        <v>7.5675675675675675</v>
      </c>
      <c r="AE76" s="71">
        <f t="shared" si="236"/>
        <v>9.0909090909090917</v>
      </c>
      <c r="AF76" s="71">
        <f t="shared" si="237"/>
        <v>0</v>
      </c>
      <c r="AG76" s="71">
        <f t="shared" si="238"/>
        <v>235.48834332514332</v>
      </c>
      <c r="AH76" s="71"/>
      <c r="AI76" s="71"/>
      <c r="AJ76" s="71"/>
      <c r="AK76" s="71"/>
      <c r="AL76" s="71"/>
      <c r="AM76" s="71"/>
      <c r="AN76" s="71"/>
      <c r="AO76" s="71"/>
      <c r="AP76" t="e">
        <f t="shared" si="212"/>
        <v>#DIV/0!</v>
      </c>
      <c r="AQ76" t="e">
        <f t="shared" si="213"/>
        <v>#DIV/0!</v>
      </c>
      <c r="AR76">
        <f t="shared" si="214"/>
        <v>0</v>
      </c>
    </row>
    <row r="77" spans="1:44" ht="15" customHeight="1" x14ac:dyDescent="0.25">
      <c r="A77" s="100" t="s">
        <v>224</v>
      </c>
      <c r="B77" s="100" t="s">
        <v>193</v>
      </c>
      <c r="C77" s="72" t="str">
        <f t="shared" si="210"/>
        <v>05-02-2024 13:40</v>
      </c>
      <c r="D77" s="13">
        <f t="shared" si="211"/>
        <v>108.07986111111111</v>
      </c>
      <c r="E77" s="82">
        <v>25</v>
      </c>
      <c r="F77" s="84"/>
      <c r="G77" s="84"/>
      <c r="H77" s="84"/>
      <c r="I77" s="71"/>
      <c r="J77" s="71">
        <f t="shared" si="239"/>
        <v>0</v>
      </c>
      <c r="K77" s="71">
        <f t="shared" si="240"/>
        <v>0</v>
      </c>
      <c r="L77" s="71" t="e">
        <f t="shared" si="241"/>
        <v>#DIV/0!</v>
      </c>
      <c r="M77" s="71">
        <f t="shared" si="242"/>
        <v>0</v>
      </c>
      <c r="N77" s="71" t="e">
        <f t="shared" si="243"/>
        <v>#DIV/0!</v>
      </c>
      <c r="O77" s="71">
        <f t="shared" si="244"/>
        <v>0</v>
      </c>
      <c r="P77" s="71" t="e">
        <f t="shared" si="245"/>
        <v>#DIV/0!</v>
      </c>
      <c r="Q77" s="71" t="e">
        <f t="shared" si="193"/>
        <v>#DIV/0!</v>
      </c>
      <c r="R77" s="71">
        <v>7.62</v>
      </c>
      <c r="S77" s="71"/>
      <c r="T77" s="84"/>
      <c r="U77" s="71"/>
      <c r="V77" s="71"/>
      <c r="W77" s="84"/>
      <c r="X77" s="71"/>
      <c r="Y77" s="71">
        <v>185.45699999999999</v>
      </c>
      <c r="Z77" s="71">
        <v>21.655999999999999</v>
      </c>
      <c r="AA77" s="71" t="s">
        <v>393</v>
      </c>
      <c r="AB77" s="71">
        <v>0</v>
      </c>
      <c r="AC77" s="71">
        <f t="shared" si="234"/>
        <v>197.82079999999999</v>
      </c>
      <c r="AD77" s="71">
        <f t="shared" si="235"/>
        <v>32.776648648648646</v>
      </c>
      <c r="AE77" s="71">
        <f t="shared" si="236"/>
        <v>9.0909090909090917</v>
      </c>
      <c r="AF77" s="71">
        <f t="shared" si="237"/>
        <v>0</v>
      </c>
      <c r="AG77" s="71">
        <f t="shared" si="238"/>
        <v>239.68835773955774</v>
      </c>
      <c r="AH77" s="71"/>
      <c r="AI77" s="71"/>
      <c r="AJ77" s="71"/>
      <c r="AK77" s="71"/>
      <c r="AL77" s="71"/>
      <c r="AM77" s="71"/>
      <c r="AN77" s="71"/>
      <c r="AO77" s="71"/>
      <c r="AP77" t="e">
        <f t="shared" si="212"/>
        <v>#DIV/0!</v>
      </c>
      <c r="AQ77" t="e">
        <f t="shared" si="213"/>
        <v>#DIV/0!</v>
      </c>
      <c r="AR77">
        <f t="shared" si="214"/>
        <v>0</v>
      </c>
    </row>
    <row r="78" spans="1:44" ht="15" customHeight="1" x14ac:dyDescent="0.25">
      <c r="A78" s="100" t="s">
        <v>224</v>
      </c>
      <c r="B78" s="100" t="s">
        <v>163</v>
      </c>
      <c r="C78" s="72" t="str">
        <f t="shared" si="210"/>
        <v>05-02-2024 17:00</v>
      </c>
      <c r="D78" s="13">
        <f t="shared" si="211"/>
        <v>108.13888888888889</v>
      </c>
      <c r="E78" s="82">
        <v>25</v>
      </c>
      <c r="F78" s="84"/>
      <c r="G78" s="84"/>
      <c r="H78" s="84"/>
      <c r="I78" s="71"/>
      <c r="J78" s="71">
        <f t="shared" si="239"/>
        <v>0</v>
      </c>
      <c r="K78" s="71">
        <f t="shared" si="240"/>
        <v>0</v>
      </c>
      <c r="L78" s="71" t="e">
        <f t="shared" si="241"/>
        <v>#DIV/0!</v>
      </c>
      <c r="M78" s="71">
        <f t="shared" si="242"/>
        <v>0</v>
      </c>
      <c r="N78" s="71" t="e">
        <f t="shared" si="243"/>
        <v>#DIV/0!</v>
      </c>
      <c r="O78" s="71">
        <f t="shared" si="244"/>
        <v>0</v>
      </c>
      <c r="P78" s="71" t="e">
        <f t="shared" si="245"/>
        <v>#DIV/0!</v>
      </c>
      <c r="Q78" s="71" t="e">
        <f t="shared" si="193"/>
        <v>#DIV/0!</v>
      </c>
      <c r="R78" s="71">
        <v>7.57</v>
      </c>
      <c r="S78" s="71"/>
      <c r="T78" s="84"/>
      <c r="U78" s="71"/>
      <c r="V78" s="71"/>
      <c r="W78" s="84"/>
      <c r="X78" s="71"/>
      <c r="Y78" s="71">
        <v>542.76</v>
      </c>
      <c r="Z78" s="71">
        <v>56.122999999999998</v>
      </c>
      <c r="AA78" s="71">
        <v>14.803000000000001</v>
      </c>
      <c r="AB78" s="71" t="s">
        <v>393</v>
      </c>
      <c r="AC78" s="71">
        <f t="shared" si="234"/>
        <v>578.94399999999996</v>
      </c>
      <c r="AD78" s="71">
        <f t="shared" si="235"/>
        <v>84.94291891891892</v>
      </c>
      <c r="AE78" s="71">
        <f t="shared" si="236"/>
        <v>26.914545454545454</v>
      </c>
      <c r="AF78" s="71">
        <f t="shared" si="237"/>
        <v>10.196078431372548</v>
      </c>
      <c r="AG78" s="71">
        <f t="shared" si="238"/>
        <v>700.99754280483694</v>
      </c>
      <c r="AH78" s="71"/>
      <c r="AI78" s="71"/>
      <c r="AJ78" s="71"/>
      <c r="AK78" s="71"/>
      <c r="AL78" s="71"/>
      <c r="AM78" s="71"/>
      <c r="AN78" s="71"/>
      <c r="AO78" s="71"/>
      <c r="AP78" t="e">
        <f t="shared" si="212"/>
        <v>#DIV/0!</v>
      </c>
      <c r="AQ78" t="e">
        <f t="shared" si="213"/>
        <v>#DIV/0!</v>
      </c>
      <c r="AR78">
        <f t="shared" si="214"/>
        <v>0</v>
      </c>
    </row>
    <row r="79" spans="1:44" ht="15" customHeight="1" x14ac:dyDescent="0.25">
      <c r="A79" s="100" t="s">
        <v>419</v>
      </c>
      <c r="B79" s="100" t="s">
        <v>156</v>
      </c>
      <c r="C79" s="72" t="str">
        <f t="shared" si="210"/>
        <v>06-02-2024 10:00</v>
      </c>
      <c r="D79" s="13">
        <f t="shared" si="211"/>
        <v>108.70833333333333</v>
      </c>
      <c r="E79" s="82">
        <v>25</v>
      </c>
      <c r="F79" s="84"/>
      <c r="G79" s="84"/>
      <c r="H79" s="84"/>
      <c r="I79" s="71"/>
      <c r="J79" s="71">
        <f t="shared" si="239"/>
        <v>0</v>
      </c>
      <c r="K79" s="71">
        <f t="shared" si="240"/>
        <v>0</v>
      </c>
      <c r="L79" s="71" t="e">
        <f t="shared" si="241"/>
        <v>#DIV/0!</v>
      </c>
      <c r="M79" s="71">
        <f t="shared" si="242"/>
        <v>0</v>
      </c>
      <c r="N79" s="71" t="e">
        <f t="shared" si="243"/>
        <v>#DIV/0!</v>
      </c>
      <c r="O79" s="71">
        <f t="shared" si="244"/>
        <v>0</v>
      </c>
      <c r="P79" s="71" t="e">
        <f t="shared" si="245"/>
        <v>#DIV/0!</v>
      </c>
      <c r="Q79" s="71" t="e">
        <f t="shared" si="193"/>
        <v>#DIV/0!</v>
      </c>
      <c r="R79" s="71">
        <v>7.57</v>
      </c>
      <c r="S79" s="71"/>
      <c r="T79" s="84"/>
      <c r="U79" s="71"/>
      <c r="V79" s="71"/>
      <c r="W79" s="84"/>
      <c r="X79" s="71"/>
      <c r="Y79" s="71">
        <v>458.14800000000002</v>
      </c>
      <c r="Z79" s="71" t="s">
        <v>393</v>
      </c>
      <c r="AA79" s="71" t="s">
        <v>393</v>
      </c>
      <c r="AB79" s="71">
        <v>0</v>
      </c>
      <c r="AC79" s="71">
        <f t="shared" si="234"/>
        <v>488.69120000000004</v>
      </c>
      <c r="AD79" s="71">
        <f t="shared" si="235"/>
        <v>7.5675675675675675</v>
      </c>
      <c r="AE79" s="71">
        <f t="shared" si="236"/>
        <v>9.0909090909090917</v>
      </c>
      <c r="AF79" s="71">
        <f t="shared" si="237"/>
        <v>0</v>
      </c>
      <c r="AG79" s="71">
        <f t="shared" si="238"/>
        <v>505.34967665847665</v>
      </c>
      <c r="AH79" s="71"/>
      <c r="AI79" s="71"/>
      <c r="AJ79" s="71"/>
      <c r="AK79" s="71"/>
      <c r="AL79" s="71"/>
      <c r="AM79" s="71"/>
      <c r="AN79" s="71"/>
      <c r="AO79" s="71"/>
      <c r="AP79" t="e">
        <f t="shared" si="212"/>
        <v>#DIV/0!</v>
      </c>
      <c r="AQ79" t="e">
        <f t="shared" si="213"/>
        <v>#DIV/0!</v>
      </c>
      <c r="AR79">
        <f t="shared" si="214"/>
        <v>0</v>
      </c>
    </row>
    <row r="80" spans="1:44" ht="15" customHeight="1" x14ac:dyDescent="0.25">
      <c r="A80" s="100" t="s">
        <v>419</v>
      </c>
      <c r="B80" s="100" t="s">
        <v>292</v>
      </c>
      <c r="C80" s="72" t="str">
        <f t="shared" si="210"/>
        <v>06-02-2024 14:00</v>
      </c>
      <c r="D80" s="13">
        <f t="shared" si="211"/>
        <v>109.16666666666667</v>
      </c>
      <c r="E80" s="82">
        <v>25</v>
      </c>
      <c r="F80" s="84"/>
      <c r="G80" s="84"/>
      <c r="H80" s="84"/>
      <c r="I80" s="71"/>
      <c r="J80" s="71">
        <f t="shared" si="239"/>
        <v>0</v>
      </c>
      <c r="K80" s="71">
        <f t="shared" si="240"/>
        <v>0</v>
      </c>
      <c r="L80" s="71" t="e">
        <f t="shared" si="241"/>
        <v>#DIV/0!</v>
      </c>
      <c r="M80" s="71">
        <f t="shared" si="242"/>
        <v>0</v>
      </c>
      <c r="N80" s="71" t="e">
        <f t="shared" si="243"/>
        <v>#DIV/0!</v>
      </c>
      <c r="O80" s="71">
        <f t="shared" si="244"/>
        <v>0</v>
      </c>
      <c r="P80" s="71" t="e">
        <f t="shared" si="245"/>
        <v>#DIV/0!</v>
      </c>
      <c r="Q80" s="71" t="e">
        <f t="shared" si="193"/>
        <v>#DIV/0!</v>
      </c>
      <c r="R80" s="71">
        <v>7.57</v>
      </c>
      <c r="S80" s="71"/>
      <c r="T80" s="84"/>
      <c r="U80" s="71"/>
      <c r="V80" s="71"/>
      <c r="W80" s="84"/>
      <c r="X80" s="71"/>
      <c r="Y80" s="71">
        <v>372.08699999999999</v>
      </c>
      <c r="Z80" s="71" t="s">
        <v>393</v>
      </c>
      <c r="AA80" s="71" t="s">
        <v>393</v>
      </c>
      <c r="AB80" s="71">
        <v>0</v>
      </c>
      <c r="AC80" s="71">
        <f t="shared" ref="AC80:AC82" si="246">IF(Y80="&lt; 10 ppm",5*64/60,Y80*64/60)</f>
        <v>396.89279999999997</v>
      </c>
      <c r="AD80" s="71">
        <f t="shared" ref="AD80:AD82" si="247">IF(Z80="&lt; 10 ppm",5*112/74,Z80*112/74)</f>
        <v>7.5675675675675675</v>
      </c>
      <c r="AE80" s="71">
        <f t="shared" ref="AE80:AE82" si="248">IF(AA80="&lt; 10 ppm",5*160/88,AA80*160/88)</f>
        <v>9.0909090909090917</v>
      </c>
      <c r="AF80" s="71">
        <f t="shared" ref="AF80:AF82" si="249">IF(AB80="&lt; 10 ppm",5*208/102,AB80*208/102)</f>
        <v>0</v>
      </c>
      <c r="AG80" s="71">
        <f t="shared" ref="AG80:AG82" si="250">SUM(AC80:AF80)</f>
        <v>413.55127665847658</v>
      </c>
      <c r="AH80" s="71"/>
      <c r="AI80" s="71"/>
      <c r="AJ80" s="71"/>
      <c r="AK80" s="71"/>
      <c r="AL80" s="71"/>
      <c r="AM80" s="71"/>
      <c r="AN80" s="71"/>
      <c r="AO80" s="71"/>
      <c r="AP80" t="e">
        <f t="shared" si="212"/>
        <v>#DIV/0!</v>
      </c>
      <c r="AQ80" t="e">
        <f t="shared" si="213"/>
        <v>#DIV/0!</v>
      </c>
      <c r="AR80">
        <f t="shared" si="214"/>
        <v>0</v>
      </c>
    </row>
    <row r="81" spans="1:45" ht="15" customHeight="1" x14ac:dyDescent="0.25">
      <c r="A81" s="100" t="s">
        <v>419</v>
      </c>
      <c r="B81" s="100" t="s">
        <v>163</v>
      </c>
      <c r="C81" s="72" t="str">
        <f t="shared" si="210"/>
        <v>06-02-2024 17:00</v>
      </c>
      <c r="D81" s="13">
        <f t="shared" si="211"/>
        <v>109.125</v>
      </c>
      <c r="E81" s="82">
        <v>25</v>
      </c>
      <c r="F81" s="84"/>
      <c r="G81" s="84"/>
      <c r="H81" s="84"/>
      <c r="I81" s="71"/>
      <c r="J81" s="71">
        <f t="shared" si="239"/>
        <v>0</v>
      </c>
      <c r="K81" s="71">
        <f t="shared" si="240"/>
        <v>0</v>
      </c>
      <c r="L81" s="71" t="e">
        <f t="shared" si="241"/>
        <v>#DIV/0!</v>
      </c>
      <c r="M81" s="71">
        <f t="shared" si="242"/>
        <v>0</v>
      </c>
      <c r="N81" s="71" t="e">
        <f t="shared" si="243"/>
        <v>#DIV/0!</v>
      </c>
      <c r="O81" s="71">
        <f t="shared" si="244"/>
        <v>0</v>
      </c>
      <c r="P81" s="71" t="e">
        <f t="shared" si="245"/>
        <v>#DIV/0!</v>
      </c>
      <c r="Q81" s="71" t="e">
        <f t="shared" si="193"/>
        <v>#DIV/0!</v>
      </c>
      <c r="R81" s="71">
        <v>7.62</v>
      </c>
      <c r="S81" s="71"/>
      <c r="T81" s="84"/>
      <c r="U81" s="71"/>
      <c r="V81" s="71"/>
      <c r="W81" s="84"/>
      <c r="X81" s="71"/>
      <c r="Y81" s="71">
        <v>372.125</v>
      </c>
      <c r="Z81" s="71" t="s">
        <v>393</v>
      </c>
      <c r="AA81" s="71" t="s">
        <v>393</v>
      </c>
      <c r="AB81" s="71">
        <v>0</v>
      </c>
      <c r="AC81" s="71">
        <f t="shared" si="246"/>
        <v>396.93333333333334</v>
      </c>
      <c r="AD81" s="71">
        <f t="shared" si="247"/>
        <v>7.5675675675675675</v>
      </c>
      <c r="AE81" s="71">
        <f t="shared" si="248"/>
        <v>9.0909090909090917</v>
      </c>
      <c r="AF81" s="71">
        <f t="shared" si="249"/>
        <v>0</v>
      </c>
      <c r="AG81" s="71">
        <f t="shared" si="250"/>
        <v>413.59180999180995</v>
      </c>
      <c r="AH81" s="71"/>
      <c r="AI81" s="71"/>
      <c r="AJ81" s="71"/>
      <c r="AK81" s="71"/>
      <c r="AL81" s="71"/>
      <c r="AM81" s="71"/>
      <c r="AN81" s="71"/>
      <c r="AO81" s="71"/>
      <c r="AP81" t="e">
        <f t="shared" si="212"/>
        <v>#DIV/0!</v>
      </c>
      <c r="AQ81" t="e">
        <f t="shared" si="213"/>
        <v>#DIV/0!</v>
      </c>
      <c r="AR81">
        <f t="shared" si="214"/>
        <v>0</v>
      </c>
    </row>
    <row r="82" spans="1:45" ht="15" customHeight="1" x14ac:dyDescent="0.25">
      <c r="A82" s="100" t="s">
        <v>226</v>
      </c>
      <c r="B82" s="100" t="s">
        <v>156</v>
      </c>
      <c r="C82" s="72" t="str">
        <f t="shared" si="210"/>
        <v>07-02-2024 10:00</v>
      </c>
      <c r="D82" s="13">
        <f t="shared" si="211"/>
        <v>109.70833333333333</v>
      </c>
      <c r="E82" s="82">
        <v>599</v>
      </c>
      <c r="F82" s="84">
        <v>4.5833000000000004</v>
      </c>
      <c r="G82" s="84">
        <v>22.8307</v>
      </c>
      <c r="H82" s="84">
        <v>5.3215000000000003</v>
      </c>
      <c r="I82" s="71">
        <v>4.6635</v>
      </c>
      <c r="J82" s="71">
        <f t="shared" ref="J82:J83" si="251">G82-F82</f>
        <v>18.247399999999999</v>
      </c>
      <c r="K82" s="71">
        <f t="shared" ref="K82:K83" si="252">H82-F82</f>
        <v>0.73819999999999997</v>
      </c>
      <c r="L82" s="71">
        <f t="shared" ref="L82:L83" si="253">1000*K82/J82</f>
        <v>40.455078531736028</v>
      </c>
      <c r="M82" s="71">
        <f t="shared" ref="M82:M83" si="254">I82-F82</f>
        <v>8.0199999999999605E-2</v>
      </c>
      <c r="N82" s="71">
        <f t="shared" ref="N82:N83" si="255">1000*M82/J82</f>
        <v>4.3951467058320421</v>
      </c>
      <c r="O82" s="71">
        <f t="shared" ref="O82:O83" si="256">K82-M82</f>
        <v>0.65800000000000036</v>
      </c>
      <c r="P82" s="71">
        <f t="shared" ref="P82:P83" si="257">1000*O82/J82</f>
        <v>36.059931825903988</v>
      </c>
      <c r="Q82" s="71">
        <f t="shared" si="193"/>
        <v>89.135735573015495</v>
      </c>
      <c r="R82" s="71">
        <v>7.54</v>
      </c>
      <c r="S82" s="71">
        <f>5459*2</f>
        <v>10918</v>
      </c>
      <c r="T82" s="84">
        <v>0.32900000000000001</v>
      </c>
      <c r="U82" s="71">
        <v>3241</v>
      </c>
      <c r="V82" s="71">
        <f>21.1*50</f>
        <v>1055</v>
      </c>
      <c r="W82" s="84">
        <f>6.47*25</f>
        <v>161.75</v>
      </c>
      <c r="X82" s="71">
        <f>191*50</f>
        <v>9550</v>
      </c>
      <c r="Y82" s="71">
        <v>404.12900000000002</v>
      </c>
      <c r="Z82" s="71" t="s">
        <v>393</v>
      </c>
      <c r="AA82" s="71">
        <v>14.023</v>
      </c>
      <c r="AB82" s="71">
        <v>0</v>
      </c>
      <c r="AC82" s="71">
        <f t="shared" si="246"/>
        <v>431.07093333333336</v>
      </c>
      <c r="AD82" s="71">
        <f t="shared" si="247"/>
        <v>7.5675675675675675</v>
      </c>
      <c r="AE82" s="71">
        <f t="shared" si="248"/>
        <v>25.496363636363636</v>
      </c>
      <c r="AF82" s="71">
        <f t="shared" si="249"/>
        <v>0</v>
      </c>
      <c r="AG82" s="71">
        <f t="shared" si="250"/>
        <v>464.13486453726455</v>
      </c>
      <c r="AH82" s="71">
        <f>670*50</f>
        <v>33500</v>
      </c>
      <c r="AI82" s="71"/>
      <c r="AJ82" s="71">
        <f>95.9*25</f>
        <v>2397.5</v>
      </c>
      <c r="AK82" s="71"/>
      <c r="AL82" s="71"/>
      <c r="AM82" s="71"/>
      <c r="AN82" s="71"/>
      <c r="AO82" s="71"/>
      <c r="AP82">
        <f t="shared" si="212"/>
        <v>24.232592040509882</v>
      </c>
      <c r="AQ82">
        <f t="shared" si="213"/>
        <v>9.8033141402634865</v>
      </c>
      <c r="AR82">
        <f t="shared" si="214"/>
        <v>20.066500000000001</v>
      </c>
    </row>
    <row r="83" spans="1:45" ht="15" customHeight="1" x14ac:dyDescent="0.25">
      <c r="A83" s="100" t="s">
        <v>227</v>
      </c>
      <c r="B83" s="100" t="s">
        <v>202</v>
      </c>
      <c r="C83" s="72" t="str">
        <f t="shared" si="210"/>
        <v>09-02-2024 14:30</v>
      </c>
      <c r="D83" s="13">
        <f t="shared" si="211"/>
        <v>112.1875</v>
      </c>
      <c r="E83" s="82">
        <v>1011.5</v>
      </c>
      <c r="F83" s="84"/>
      <c r="G83" s="84"/>
      <c r="H83" s="84"/>
      <c r="I83" s="71"/>
      <c r="J83" s="71">
        <f t="shared" si="251"/>
        <v>0</v>
      </c>
      <c r="K83" s="71">
        <f t="shared" si="252"/>
        <v>0</v>
      </c>
      <c r="L83" s="71" t="e">
        <f t="shared" si="253"/>
        <v>#DIV/0!</v>
      </c>
      <c r="M83" s="71">
        <f t="shared" si="254"/>
        <v>0</v>
      </c>
      <c r="N83" s="71" t="e">
        <f t="shared" si="255"/>
        <v>#DIV/0!</v>
      </c>
      <c r="O83" s="71">
        <f t="shared" si="256"/>
        <v>0</v>
      </c>
      <c r="P83" s="71" t="e">
        <f t="shared" si="257"/>
        <v>#DIV/0!</v>
      </c>
      <c r="Q83" s="71" t="e">
        <f t="shared" si="193"/>
        <v>#DIV/0!</v>
      </c>
      <c r="R83" s="71">
        <v>7.62</v>
      </c>
      <c r="S83" s="71"/>
      <c r="T83" s="84">
        <v>0.252</v>
      </c>
      <c r="U83" s="71">
        <v>2341</v>
      </c>
      <c r="V83" s="71"/>
      <c r="W83" s="84"/>
      <c r="X83" s="71"/>
      <c r="Y83" s="71">
        <v>390.858</v>
      </c>
      <c r="Z83" s="71" t="s">
        <v>393</v>
      </c>
      <c r="AA83" s="71">
        <v>15.226000000000001</v>
      </c>
      <c r="AB83" s="71">
        <v>0</v>
      </c>
      <c r="AC83" s="71">
        <f t="shared" ref="AC83:AC90" si="258">IF(Y83="&lt; 10 ppm",5*64/60,Y83*64/60)</f>
        <v>416.91520000000003</v>
      </c>
      <c r="AD83" s="71">
        <f t="shared" ref="AD83:AD90" si="259">IF(Z83="&lt; 10 ppm",5*112/74,Z83*112/74)</f>
        <v>7.5675675675675675</v>
      </c>
      <c r="AE83" s="71">
        <f t="shared" ref="AE83:AE90" si="260">IF(AA83="&lt; 10 ppm",5*160/88,AA83*160/88)</f>
        <v>27.683636363636367</v>
      </c>
      <c r="AF83" s="71">
        <f t="shared" ref="AF83:AF90" si="261">IF(AB83="&lt; 10 ppm",5*208/102,AB83*208/102)</f>
        <v>0</v>
      </c>
      <c r="AG83" s="71">
        <f t="shared" ref="AG83:AG90" si="262">SUM(AC83:AF83)</f>
        <v>452.16640393120394</v>
      </c>
      <c r="AH83" s="71"/>
      <c r="AI83" s="71"/>
      <c r="AJ83" s="71"/>
      <c r="AK83" s="71"/>
      <c r="AL83" s="71"/>
      <c r="AM83" s="71"/>
      <c r="AN83" s="71"/>
      <c r="AO83" s="71"/>
      <c r="AP83" t="e">
        <f t="shared" si="212"/>
        <v>#DIV/0!</v>
      </c>
      <c r="AQ83" t="e">
        <f t="shared" si="213"/>
        <v>#DIV/0!</v>
      </c>
      <c r="AR83">
        <f t="shared" si="214"/>
        <v>0</v>
      </c>
    </row>
    <row r="84" spans="1:45" ht="15" customHeight="1" x14ac:dyDescent="0.25">
      <c r="A84" s="100" t="s">
        <v>229</v>
      </c>
      <c r="B84" s="100" t="s">
        <v>156</v>
      </c>
      <c r="C84" s="72" t="str">
        <f t="shared" si="210"/>
        <v>12-02-2024 10:00</v>
      </c>
      <c r="D84" s="13">
        <f t="shared" si="211"/>
        <v>114.8125</v>
      </c>
      <c r="E84" s="82">
        <v>793</v>
      </c>
      <c r="F84" s="84"/>
      <c r="G84" s="84"/>
      <c r="H84" s="84"/>
      <c r="I84" s="71"/>
      <c r="J84" s="71">
        <f t="shared" ref="J84:J91" si="263">G84-F84</f>
        <v>0</v>
      </c>
      <c r="K84" s="71">
        <f t="shared" ref="K84:K91" si="264">H84-F84</f>
        <v>0</v>
      </c>
      <c r="L84" s="71" t="e">
        <f t="shared" ref="L84:L91" si="265">1000*K84/J84</f>
        <v>#DIV/0!</v>
      </c>
      <c r="M84" s="71">
        <f t="shared" ref="M84:M91" si="266">I84-F84</f>
        <v>0</v>
      </c>
      <c r="N84" s="71" t="e">
        <f t="shared" ref="N84:N91" si="267">1000*M84/J84</f>
        <v>#DIV/0!</v>
      </c>
      <c r="O84" s="71">
        <f t="shared" ref="O84:O91" si="268">K84-M84</f>
        <v>0</v>
      </c>
      <c r="P84" s="71" t="e">
        <f t="shared" ref="P84:P91" si="269">1000*O84/J84</f>
        <v>#DIV/0!</v>
      </c>
      <c r="Q84" s="71" t="e">
        <f t="shared" si="193"/>
        <v>#DIV/0!</v>
      </c>
      <c r="R84" s="71">
        <v>7.61</v>
      </c>
      <c r="S84" s="84"/>
      <c r="T84" s="71">
        <v>0.29599999999999999</v>
      </c>
      <c r="U84" s="84">
        <v>2848</v>
      </c>
      <c r="V84" s="71"/>
      <c r="W84" s="84"/>
      <c r="X84" s="71"/>
      <c r="Y84" s="71">
        <v>258.87799999999999</v>
      </c>
      <c r="Z84" s="71" t="s">
        <v>393</v>
      </c>
      <c r="AA84" s="71">
        <v>12.196999999999999</v>
      </c>
      <c r="AB84" s="71">
        <v>0</v>
      </c>
      <c r="AC84" s="84">
        <f t="shared" si="258"/>
        <v>276.13653333333332</v>
      </c>
      <c r="AD84" s="71">
        <f t="shared" si="259"/>
        <v>7.5675675675675675</v>
      </c>
      <c r="AE84" s="84">
        <f t="shared" si="260"/>
        <v>22.176363636363636</v>
      </c>
      <c r="AF84" s="71">
        <f t="shared" si="261"/>
        <v>0</v>
      </c>
      <c r="AG84" s="84">
        <f t="shared" si="262"/>
        <v>305.88046453726452</v>
      </c>
      <c r="AH84" s="71"/>
      <c r="AI84" s="71"/>
      <c r="AJ84" s="71"/>
      <c r="AK84" s="71"/>
      <c r="AL84" s="71"/>
      <c r="AM84" s="71"/>
      <c r="AN84" s="71"/>
      <c r="AO84" s="71"/>
      <c r="AP84" t="e">
        <f t="shared" si="212"/>
        <v>#DIV/0!</v>
      </c>
      <c r="AQ84" t="e">
        <f t="shared" si="213"/>
        <v>#DIV/0!</v>
      </c>
      <c r="AR84">
        <f t="shared" si="214"/>
        <v>0</v>
      </c>
    </row>
    <row r="85" spans="1:45" ht="15" customHeight="1" x14ac:dyDescent="0.25">
      <c r="A85" s="100" t="s">
        <v>229</v>
      </c>
      <c r="B85" s="100" t="s">
        <v>255</v>
      </c>
      <c r="C85" s="72" t="str">
        <f t="shared" si="210"/>
        <v>12-02-2024 13:30</v>
      </c>
      <c r="D85" s="13">
        <f t="shared" si="211"/>
        <v>115.14583333333333</v>
      </c>
      <c r="E85" s="82">
        <v>25</v>
      </c>
      <c r="F85" s="84"/>
      <c r="G85" s="84"/>
      <c r="H85" s="84"/>
      <c r="I85" s="71"/>
      <c r="J85" s="71">
        <f t="shared" si="263"/>
        <v>0</v>
      </c>
      <c r="K85" s="71">
        <f t="shared" si="264"/>
        <v>0</v>
      </c>
      <c r="L85" s="71" t="e">
        <f t="shared" si="265"/>
        <v>#DIV/0!</v>
      </c>
      <c r="M85" s="71">
        <f t="shared" si="266"/>
        <v>0</v>
      </c>
      <c r="N85" s="71" t="e">
        <f t="shared" si="267"/>
        <v>#DIV/0!</v>
      </c>
      <c r="O85" s="71">
        <f t="shared" si="268"/>
        <v>0</v>
      </c>
      <c r="P85" s="71" t="e">
        <f t="shared" si="269"/>
        <v>#DIV/0!</v>
      </c>
      <c r="Q85" s="71" t="e">
        <f t="shared" si="193"/>
        <v>#DIV/0!</v>
      </c>
      <c r="R85" s="71">
        <v>7.61</v>
      </c>
      <c r="S85" s="84"/>
      <c r="T85" s="71"/>
      <c r="U85" s="84"/>
      <c r="V85" s="71"/>
      <c r="W85" s="84"/>
      <c r="X85" s="71"/>
      <c r="Y85" s="71">
        <v>354.93700000000001</v>
      </c>
      <c r="Z85" s="71">
        <v>49.215000000000003</v>
      </c>
      <c r="AA85" s="71" t="s">
        <v>393</v>
      </c>
      <c r="AB85" s="71" t="s">
        <v>393</v>
      </c>
      <c r="AC85" s="84">
        <f t="shared" si="258"/>
        <v>378.59946666666667</v>
      </c>
      <c r="AD85" s="71">
        <f t="shared" si="259"/>
        <v>74.487567567567567</v>
      </c>
      <c r="AE85" s="84">
        <f t="shared" si="260"/>
        <v>9.0909090909090917</v>
      </c>
      <c r="AF85" s="71">
        <f t="shared" si="261"/>
        <v>10.196078431372548</v>
      </c>
      <c r="AG85" s="84">
        <f t="shared" si="262"/>
        <v>472.37402175651584</v>
      </c>
      <c r="AH85" s="71"/>
      <c r="AI85" s="71"/>
      <c r="AJ85" s="71"/>
      <c r="AK85" s="71"/>
      <c r="AL85" s="71"/>
      <c r="AM85" s="71"/>
      <c r="AN85" s="71"/>
      <c r="AO85" s="71"/>
      <c r="AP85" t="e">
        <f t="shared" si="212"/>
        <v>#DIV/0!</v>
      </c>
      <c r="AQ85" t="e">
        <f t="shared" si="213"/>
        <v>#DIV/0!</v>
      </c>
      <c r="AR85">
        <f t="shared" si="214"/>
        <v>0</v>
      </c>
    </row>
    <row r="86" spans="1:45" ht="15" customHeight="1" x14ac:dyDescent="0.25">
      <c r="A86" s="100" t="s">
        <v>229</v>
      </c>
      <c r="B86" s="100" t="s">
        <v>207</v>
      </c>
      <c r="C86" s="72" t="str">
        <f t="shared" si="210"/>
        <v>12-02-2024 16:30</v>
      </c>
      <c r="D86" s="13">
        <f t="shared" si="211"/>
        <v>115.125</v>
      </c>
      <c r="E86" s="82">
        <v>25</v>
      </c>
      <c r="F86" s="84"/>
      <c r="G86" s="84"/>
      <c r="H86" s="84"/>
      <c r="I86" s="71"/>
      <c r="J86" s="71">
        <f t="shared" si="263"/>
        <v>0</v>
      </c>
      <c r="K86" s="71">
        <f t="shared" si="264"/>
        <v>0</v>
      </c>
      <c r="L86" s="71" t="e">
        <f t="shared" si="265"/>
        <v>#DIV/0!</v>
      </c>
      <c r="M86" s="71">
        <f t="shared" si="266"/>
        <v>0</v>
      </c>
      <c r="N86" s="71" t="e">
        <f t="shared" si="267"/>
        <v>#DIV/0!</v>
      </c>
      <c r="O86" s="71">
        <f t="shared" si="268"/>
        <v>0</v>
      </c>
      <c r="P86" s="71" t="e">
        <f t="shared" si="269"/>
        <v>#DIV/0!</v>
      </c>
      <c r="Q86" s="71" t="e">
        <f t="shared" si="193"/>
        <v>#DIV/0!</v>
      </c>
      <c r="R86" s="71">
        <v>7.62</v>
      </c>
      <c r="S86" s="84"/>
      <c r="T86" s="71"/>
      <c r="U86" s="84"/>
      <c r="V86" s="71"/>
      <c r="W86" s="84"/>
      <c r="X86" s="71"/>
      <c r="Y86" s="71">
        <v>566.66800000000001</v>
      </c>
      <c r="Z86" s="71">
        <v>54.238999999999997</v>
      </c>
      <c r="AA86" s="71">
        <v>11.726000000000001</v>
      </c>
      <c r="AB86" s="71" t="s">
        <v>393</v>
      </c>
      <c r="AC86" s="84">
        <f t="shared" si="258"/>
        <v>604.44586666666669</v>
      </c>
      <c r="AD86" s="71">
        <f t="shared" si="259"/>
        <v>82.091459459459458</v>
      </c>
      <c r="AE86" s="84">
        <f t="shared" si="260"/>
        <v>21.32</v>
      </c>
      <c r="AF86" s="71">
        <f t="shared" si="261"/>
        <v>10.196078431372548</v>
      </c>
      <c r="AG86" s="84">
        <f t="shared" si="262"/>
        <v>718.05340455749877</v>
      </c>
      <c r="AH86" s="71"/>
      <c r="AI86" s="71"/>
      <c r="AJ86" s="71"/>
      <c r="AK86" s="71"/>
      <c r="AL86" s="71"/>
      <c r="AM86" s="71"/>
      <c r="AN86" s="71"/>
      <c r="AO86" s="71"/>
      <c r="AP86" t="e">
        <f t="shared" si="212"/>
        <v>#DIV/0!</v>
      </c>
      <c r="AQ86" t="e">
        <f t="shared" si="213"/>
        <v>#DIV/0!</v>
      </c>
      <c r="AR86">
        <f t="shared" si="214"/>
        <v>0</v>
      </c>
    </row>
    <row r="87" spans="1:45" ht="15" customHeight="1" x14ac:dyDescent="0.25">
      <c r="A87" s="100" t="s">
        <v>420</v>
      </c>
      <c r="B87" s="100" t="s">
        <v>156</v>
      </c>
      <c r="C87" s="72" t="str">
        <f t="shared" si="210"/>
        <v>13-02-2024 10:00</v>
      </c>
      <c r="D87" s="13">
        <f t="shared" si="211"/>
        <v>115.72916666666667</v>
      </c>
      <c r="E87" s="82">
        <v>25</v>
      </c>
      <c r="F87" s="84"/>
      <c r="G87" s="84"/>
      <c r="H87" s="84"/>
      <c r="I87" s="71"/>
      <c r="J87" s="71">
        <f t="shared" si="263"/>
        <v>0</v>
      </c>
      <c r="K87" s="71">
        <f t="shared" si="264"/>
        <v>0</v>
      </c>
      <c r="L87" s="71" t="e">
        <f t="shared" si="265"/>
        <v>#DIV/0!</v>
      </c>
      <c r="M87" s="71">
        <f t="shared" si="266"/>
        <v>0</v>
      </c>
      <c r="N87" s="71" t="e">
        <f t="shared" si="267"/>
        <v>#DIV/0!</v>
      </c>
      <c r="O87" s="71">
        <f t="shared" si="268"/>
        <v>0</v>
      </c>
      <c r="P87" s="71" t="e">
        <f t="shared" si="269"/>
        <v>#DIV/0!</v>
      </c>
      <c r="Q87" s="71" t="e">
        <f t="shared" si="193"/>
        <v>#DIV/0!</v>
      </c>
      <c r="R87" s="71">
        <v>7.58</v>
      </c>
      <c r="S87" s="84"/>
      <c r="T87" s="71">
        <v>0.313</v>
      </c>
      <c r="U87" s="84">
        <v>2849</v>
      </c>
      <c r="V87" s="71"/>
      <c r="W87" s="84"/>
      <c r="X87" s="71"/>
      <c r="Y87" s="84">
        <v>439.97399999999999</v>
      </c>
      <c r="Z87" s="71" t="s">
        <v>393</v>
      </c>
      <c r="AA87" s="84" t="s">
        <v>393</v>
      </c>
      <c r="AB87" s="71" t="s">
        <v>393</v>
      </c>
      <c r="AC87" s="84">
        <f t="shared" si="258"/>
        <v>469.30559999999997</v>
      </c>
      <c r="AD87" s="71">
        <f t="shared" si="259"/>
        <v>7.5675675675675675</v>
      </c>
      <c r="AE87" s="84">
        <f t="shared" si="260"/>
        <v>9.0909090909090917</v>
      </c>
      <c r="AF87" s="71">
        <f t="shared" si="261"/>
        <v>10.196078431372548</v>
      </c>
      <c r="AG87" s="84">
        <f t="shared" si="262"/>
        <v>496.16015508984913</v>
      </c>
      <c r="AH87" s="71"/>
      <c r="AI87" s="71"/>
      <c r="AJ87" s="71"/>
      <c r="AK87" s="71"/>
      <c r="AL87" s="71"/>
      <c r="AM87" s="71"/>
      <c r="AN87" s="71"/>
      <c r="AO87" s="71"/>
      <c r="AP87" t="e">
        <f t="shared" si="212"/>
        <v>#DIV/0!</v>
      </c>
      <c r="AQ87" t="e">
        <f t="shared" si="213"/>
        <v>#DIV/0!</v>
      </c>
      <c r="AR87">
        <f t="shared" si="214"/>
        <v>0</v>
      </c>
    </row>
    <row r="88" spans="1:45" ht="15" customHeight="1" x14ac:dyDescent="0.25">
      <c r="A88" s="100" t="s">
        <v>420</v>
      </c>
      <c r="B88" s="100" t="s">
        <v>173</v>
      </c>
      <c r="C88" s="72" t="str">
        <f t="shared" si="210"/>
        <v>13-02-2024 13:00</v>
      </c>
      <c r="D88" s="13">
        <f t="shared" si="211"/>
        <v>116.125</v>
      </c>
      <c r="E88" s="82">
        <v>25</v>
      </c>
      <c r="F88" s="84"/>
      <c r="G88" s="84"/>
      <c r="H88" s="84"/>
      <c r="I88" s="71"/>
      <c r="J88" s="71">
        <f t="shared" si="263"/>
        <v>0</v>
      </c>
      <c r="K88" s="71">
        <f t="shared" si="264"/>
        <v>0</v>
      </c>
      <c r="L88" s="71" t="e">
        <f t="shared" si="265"/>
        <v>#DIV/0!</v>
      </c>
      <c r="M88" s="71">
        <f t="shared" si="266"/>
        <v>0</v>
      </c>
      <c r="N88" s="71" t="e">
        <f t="shared" si="267"/>
        <v>#DIV/0!</v>
      </c>
      <c r="O88" s="71">
        <f t="shared" si="268"/>
        <v>0</v>
      </c>
      <c r="P88" s="71" t="e">
        <f t="shared" si="269"/>
        <v>#DIV/0!</v>
      </c>
      <c r="Q88" s="71" t="e">
        <f t="shared" si="193"/>
        <v>#DIV/0!</v>
      </c>
      <c r="R88" s="71">
        <v>7.57</v>
      </c>
      <c r="S88" s="84"/>
      <c r="T88" s="71"/>
      <c r="U88" s="84"/>
      <c r="V88" s="71"/>
      <c r="W88" s="84"/>
      <c r="X88" s="71"/>
      <c r="Y88" s="84">
        <v>982.02</v>
      </c>
      <c r="Z88" s="71" t="s">
        <v>393</v>
      </c>
      <c r="AA88" s="84">
        <v>17.337</v>
      </c>
      <c r="AB88" s="71">
        <v>0</v>
      </c>
      <c r="AC88" s="84">
        <f t="shared" si="258"/>
        <v>1047.4880000000001</v>
      </c>
      <c r="AD88" s="71">
        <f t="shared" si="259"/>
        <v>7.5675675675675675</v>
      </c>
      <c r="AE88" s="84">
        <f t="shared" si="260"/>
        <v>31.521818181818183</v>
      </c>
      <c r="AF88" s="71">
        <f t="shared" si="261"/>
        <v>0</v>
      </c>
      <c r="AG88" s="84">
        <f t="shared" si="262"/>
        <v>1086.5773857493857</v>
      </c>
      <c r="AH88" s="71"/>
      <c r="AI88" s="71"/>
      <c r="AJ88" s="71"/>
      <c r="AK88" s="71"/>
      <c r="AL88" s="71"/>
      <c r="AM88" s="71"/>
      <c r="AN88" s="71"/>
      <c r="AO88" s="71"/>
      <c r="AP88" t="e">
        <f t="shared" si="212"/>
        <v>#DIV/0!</v>
      </c>
      <c r="AQ88" t="e">
        <f t="shared" si="213"/>
        <v>#DIV/0!</v>
      </c>
      <c r="AR88">
        <f t="shared" si="214"/>
        <v>0</v>
      </c>
    </row>
    <row r="89" spans="1:45" ht="15" customHeight="1" x14ac:dyDescent="0.25">
      <c r="A89" s="100" t="s">
        <v>420</v>
      </c>
      <c r="B89" s="100" t="s">
        <v>196</v>
      </c>
      <c r="C89" s="72" t="str">
        <f t="shared" si="210"/>
        <v>13-02-2024 16:00</v>
      </c>
      <c r="D89" s="13">
        <f t="shared" si="211"/>
        <v>116.125</v>
      </c>
      <c r="E89" s="82">
        <v>25</v>
      </c>
      <c r="F89" s="84"/>
      <c r="G89" s="84"/>
      <c r="H89" s="84"/>
      <c r="I89" s="71"/>
      <c r="J89" s="71">
        <f t="shared" si="263"/>
        <v>0</v>
      </c>
      <c r="K89" s="71">
        <f t="shared" si="264"/>
        <v>0</v>
      </c>
      <c r="L89" s="71" t="e">
        <f t="shared" si="265"/>
        <v>#DIV/0!</v>
      </c>
      <c r="M89" s="71">
        <f t="shared" si="266"/>
        <v>0</v>
      </c>
      <c r="N89" s="71" t="e">
        <f t="shared" si="267"/>
        <v>#DIV/0!</v>
      </c>
      <c r="O89" s="71">
        <f t="shared" si="268"/>
        <v>0</v>
      </c>
      <c r="P89" s="71" t="e">
        <f t="shared" si="269"/>
        <v>#DIV/0!</v>
      </c>
      <c r="Q89" s="71" t="e">
        <f t="shared" si="193"/>
        <v>#DIV/0!</v>
      </c>
      <c r="R89" s="71">
        <v>7.62</v>
      </c>
      <c r="S89" s="84"/>
      <c r="T89" s="71"/>
      <c r="U89" s="84"/>
      <c r="V89" s="71"/>
      <c r="W89" s="84"/>
      <c r="X89" s="71"/>
      <c r="Y89" s="84">
        <v>527.10500000000002</v>
      </c>
      <c r="Z89" s="71" t="s">
        <v>393</v>
      </c>
      <c r="AA89" s="84">
        <v>16.495999999999999</v>
      </c>
      <c r="AB89" s="71">
        <v>0</v>
      </c>
      <c r="AC89" s="84">
        <f t="shared" si="258"/>
        <v>562.24533333333341</v>
      </c>
      <c r="AD89" s="71">
        <f t="shared" si="259"/>
        <v>7.5675675675675675</v>
      </c>
      <c r="AE89" s="84">
        <f t="shared" si="260"/>
        <v>29.992727272727269</v>
      </c>
      <c r="AF89" s="71">
        <f t="shared" si="261"/>
        <v>0</v>
      </c>
      <c r="AG89" s="84">
        <f t="shared" si="262"/>
        <v>599.80562817362829</v>
      </c>
      <c r="AH89" s="71"/>
      <c r="AI89" s="71"/>
      <c r="AJ89" s="71"/>
      <c r="AK89" s="71"/>
      <c r="AL89" s="71"/>
      <c r="AM89" s="71"/>
      <c r="AN89" s="71"/>
      <c r="AO89" s="71"/>
      <c r="AP89" t="e">
        <f t="shared" si="212"/>
        <v>#DIV/0!</v>
      </c>
      <c r="AQ89" t="e">
        <f t="shared" si="213"/>
        <v>#DIV/0!</v>
      </c>
      <c r="AR89">
        <f t="shared" si="214"/>
        <v>0</v>
      </c>
    </row>
    <row r="90" spans="1:45" ht="15" customHeight="1" x14ac:dyDescent="0.25">
      <c r="A90" s="100" t="s">
        <v>231</v>
      </c>
      <c r="B90" s="100" t="s">
        <v>156</v>
      </c>
      <c r="C90" s="72" t="str">
        <f t="shared" si="210"/>
        <v>14-02-2024 10:00</v>
      </c>
      <c r="D90" s="13">
        <f t="shared" si="211"/>
        <v>116.75</v>
      </c>
      <c r="E90" s="82">
        <v>602</v>
      </c>
      <c r="F90" s="84">
        <v>4.4057000000000004</v>
      </c>
      <c r="G90" s="84">
        <v>23.3202</v>
      </c>
      <c r="H90" s="84">
        <v>5.1268000000000002</v>
      </c>
      <c r="I90" s="71">
        <v>4.6211000000000002</v>
      </c>
      <c r="J90" s="71">
        <f t="shared" si="263"/>
        <v>18.9145</v>
      </c>
      <c r="K90" s="71">
        <f t="shared" si="264"/>
        <v>0.72109999999999985</v>
      </c>
      <c r="L90" s="71">
        <f t="shared" si="265"/>
        <v>38.12419043590895</v>
      </c>
      <c r="M90" s="71">
        <f t="shared" si="266"/>
        <v>0.21539999999999981</v>
      </c>
      <c r="N90" s="71">
        <f t="shared" si="267"/>
        <v>11.388088503529028</v>
      </c>
      <c r="O90" s="71">
        <f t="shared" si="268"/>
        <v>0.50570000000000004</v>
      </c>
      <c r="P90" s="71">
        <f t="shared" si="269"/>
        <v>26.73610193237992</v>
      </c>
      <c r="Q90" s="71">
        <f t="shared" si="193"/>
        <v>70.128969629732367</v>
      </c>
      <c r="R90" s="71">
        <v>7.56</v>
      </c>
      <c r="S90" s="84">
        <f>5235*2</f>
        <v>10470</v>
      </c>
      <c r="T90" s="71">
        <v>0.29599999999999999</v>
      </c>
      <c r="U90" s="84">
        <v>2680</v>
      </c>
      <c r="V90" s="71">
        <f>21*50</f>
        <v>1050</v>
      </c>
      <c r="W90" s="84">
        <f>7.3*25</f>
        <v>182.5</v>
      </c>
      <c r="X90" s="71">
        <f>182*50</f>
        <v>9100</v>
      </c>
      <c r="Y90" s="84">
        <v>328.47699999999998</v>
      </c>
      <c r="Z90" s="71" t="s">
        <v>393</v>
      </c>
      <c r="AA90" s="84">
        <v>12.416</v>
      </c>
      <c r="AB90" s="71">
        <v>0</v>
      </c>
      <c r="AC90" s="84">
        <f t="shared" si="258"/>
        <v>350.37546666666663</v>
      </c>
      <c r="AD90" s="71">
        <f t="shared" si="259"/>
        <v>7.5675675675675675</v>
      </c>
      <c r="AE90" s="84">
        <f t="shared" si="260"/>
        <v>22.574545454545454</v>
      </c>
      <c r="AF90" s="71">
        <f t="shared" si="261"/>
        <v>0</v>
      </c>
      <c r="AG90" s="84">
        <f t="shared" si="262"/>
        <v>380.51757968877962</v>
      </c>
      <c r="AH90" s="71">
        <f>695*50</f>
        <v>34750</v>
      </c>
      <c r="AI90" s="71"/>
      <c r="AJ90" s="71">
        <f>96.2*25</f>
        <v>2405</v>
      </c>
      <c r="AK90" s="71"/>
      <c r="AL90" s="71"/>
      <c r="AM90" s="71"/>
      <c r="AN90" s="71"/>
      <c r="AO90" s="71"/>
      <c r="AP90">
        <f t="shared" si="212"/>
        <v>22.950762642417185</v>
      </c>
      <c r="AQ90">
        <f t="shared" si="213"/>
        <v>8.7497924562885778</v>
      </c>
      <c r="AR90">
        <f t="shared" si="214"/>
        <v>20.919499999999999</v>
      </c>
    </row>
    <row r="91" spans="1:45" ht="15" customHeight="1" x14ac:dyDescent="0.25">
      <c r="A91" s="100" t="s">
        <v>231</v>
      </c>
      <c r="B91" s="100" t="s">
        <v>156</v>
      </c>
      <c r="C91" s="72" t="str">
        <f t="shared" si="210"/>
        <v>14-02-2024 10:00</v>
      </c>
      <c r="D91" s="13">
        <f t="shared" si="211"/>
        <v>117</v>
      </c>
      <c r="F91" s="84">
        <v>4.4095000000000004</v>
      </c>
      <c r="G91" s="84">
        <v>32.683</v>
      </c>
      <c r="H91" s="84">
        <v>5.4865000000000004</v>
      </c>
      <c r="I91" s="71">
        <v>4.7260999999999997</v>
      </c>
      <c r="J91" s="71">
        <f t="shared" si="263"/>
        <v>28.273499999999999</v>
      </c>
      <c r="K91" s="71">
        <f t="shared" si="264"/>
        <v>1.077</v>
      </c>
      <c r="L91" s="71">
        <f t="shared" si="265"/>
        <v>38.092206483102551</v>
      </c>
      <c r="M91" s="71">
        <f t="shared" si="266"/>
        <v>0.31659999999999933</v>
      </c>
      <c r="N91" s="71">
        <f t="shared" si="267"/>
        <v>11.197764691318703</v>
      </c>
      <c r="O91" s="71">
        <f t="shared" si="268"/>
        <v>0.76040000000000063</v>
      </c>
      <c r="P91" s="71">
        <f t="shared" si="269"/>
        <v>26.894441791783851</v>
      </c>
      <c r="Q91" s="71">
        <f t="shared" si="193"/>
        <v>70.603528319405825</v>
      </c>
      <c r="R91" s="71"/>
      <c r="S91" s="84"/>
      <c r="T91" s="71"/>
      <c r="U91" s="84"/>
      <c r="V91" s="71"/>
      <c r="W91" s="84"/>
      <c r="X91" s="71"/>
      <c r="Y91" s="84"/>
      <c r="Z91" s="71"/>
      <c r="AA91" s="84"/>
      <c r="AB91" s="71"/>
      <c r="AC91" s="84"/>
      <c r="AD91" s="71"/>
      <c r="AE91" s="84"/>
      <c r="AF91" s="71"/>
      <c r="AG91" s="84"/>
      <c r="AH91" s="71"/>
      <c r="AI91" s="71"/>
      <c r="AJ91" s="71"/>
      <c r="AK91" s="71"/>
      <c r="AL91" s="71"/>
      <c r="AM91" s="71"/>
      <c r="AN91" s="71"/>
      <c r="AO91" s="71"/>
      <c r="AP91">
        <f t="shared" si="212"/>
        <v>0</v>
      </c>
      <c r="AQ91">
        <f t="shared" si="213"/>
        <v>0</v>
      </c>
      <c r="AR91">
        <f t="shared" si="214"/>
        <v>0</v>
      </c>
    </row>
    <row r="92" spans="1:45" ht="15" customHeight="1" x14ac:dyDescent="0.25">
      <c r="A92" s="100" t="s">
        <v>232</v>
      </c>
      <c r="B92" s="100" t="s">
        <v>156</v>
      </c>
      <c r="C92" s="72" t="str">
        <f t="shared" si="210"/>
        <v>16-02-2024 10:00</v>
      </c>
      <c r="D92" s="13">
        <f t="shared" si="211"/>
        <v>119</v>
      </c>
      <c r="E92" s="82">
        <v>997</v>
      </c>
      <c r="F92" s="71">
        <v>4.3578000000000001</v>
      </c>
      <c r="G92" s="71">
        <v>22.4405</v>
      </c>
      <c r="H92" s="71">
        <v>5.0419999999999998</v>
      </c>
      <c r="I92" s="71">
        <v>4.5712999999999999</v>
      </c>
      <c r="J92" s="71">
        <f t="shared" ref="J92" si="270">G92-F92</f>
        <v>18.082699999999999</v>
      </c>
      <c r="K92" s="71">
        <f t="shared" ref="K92" si="271">H92-F92</f>
        <v>0.6841999999999997</v>
      </c>
      <c r="L92" s="71">
        <f t="shared" ref="L92" si="272">1000*K92/J92</f>
        <v>37.837269876732996</v>
      </c>
      <c r="M92" s="71">
        <f t="shared" ref="M92" si="273">I92-F92</f>
        <v>0.2134999999999998</v>
      </c>
      <c r="N92" s="71">
        <f t="shared" ref="N92" si="274">1000*M92/J92</f>
        <v>11.806865125230182</v>
      </c>
      <c r="O92" s="71">
        <f t="shared" ref="O92" si="275">K92-M92</f>
        <v>0.4706999999999999</v>
      </c>
      <c r="P92" s="71">
        <f t="shared" ref="P92" si="276">1000*O92/J92</f>
        <v>26.030404751502811</v>
      </c>
      <c r="Q92" s="71">
        <f t="shared" si="193"/>
        <v>68.795673779596612</v>
      </c>
      <c r="R92" s="71">
        <v>7.55</v>
      </c>
      <c r="S92" s="84"/>
      <c r="T92" s="71"/>
      <c r="U92" s="84"/>
      <c r="V92" s="71"/>
      <c r="W92" s="84"/>
      <c r="X92" s="71"/>
      <c r="Y92" s="84">
        <v>422.13099999999997</v>
      </c>
      <c r="Z92" s="71" t="s">
        <v>393</v>
      </c>
      <c r="AA92" s="84" t="s">
        <v>393</v>
      </c>
      <c r="AB92" s="71" t="s">
        <v>393</v>
      </c>
      <c r="AC92" s="84">
        <f t="shared" ref="AC92:AC106" si="277">IF(Y92="&lt; 10 ppm",5*64/60,Y92*64/60)</f>
        <v>450.27306666666664</v>
      </c>
      <c r="AD92" s="71">
        <f t="shared" ref="AD92:AD106" si="278">IF(Z92="&lt; 10 ppm",5*112/74,Z92*112/74)</f>
        <v>7.5675675675675675</v>
      </c>
      <c r="AE92" s="84">
        <f t="shared" ref="AE92:AE106" si="279">IF(AA92="&lt; 10 ppm",5*160/88,AA92*160/88)</f>
        <v>9.0909090909090917</v>
      </c>
      <c r="AF92" s="71">
        <f t="shared" ref="AF92:AF106" si="280">IF(AB92="&lt; 10 ppm",5*208/102,AB92*208/102)</f>
        <v>10.196078431372548</v>
      </c>
      <c r="AG92" s="84">
        <f t="shared" ref="AG92:AG106" si="281">SUM(AC92:AF92)</f>
        <v>477.12762175651579</v>
      </c>
      <c r="AH92" s="71"/>
      <c r="AI92" s="71"/>
      <c r="AJ92" s="71"/>
      <c r="AK92" s="71"/>
      <c r="AL92" s="71"/>
      <c r="AM92" s="71"/>
      <c r="AN92" s="71"/>
      <c r="AO92" s="71"/>
    </row>
    <row r="93" spans="1:45" ht="15" customHeight="1" x14ac:dyDescent="0.25">
      <c r="A93" s="100" t="s">
        <v>234</v>
      </c>
      <c r="B93" s="100" t="s">
        <v>156</v>
      </c>
      <c r="C93" s="72" t="str">
        <f t="shared" si="210"/>
        <v>19-02-2024 10:00</v>
      </c>
      <c r="D93" s="13">
        <f t="shared" si="211"/>
        <v>122</v>
      </c>
      <c r="E93" s="82">
        <v>807.5</v>
      </c>
      <c r="F93" s="71">
        <v>4.4504999999999999</v>
      </c>
      <c r="G93" s="71">
        <v>36.043999999999997</v>
      </c>
      <c r="H93" s="71">
        <v>5.6573000000000002</v>
      </c>
      <c r="I93" s="71"/>
      <c r="J93" s="71">
        <f t="shared" ref="J93:J104" si="282">G93-F93</f>
        <v>31.593499999999999</v>
      </c>
      <c r="K93" s="71">
        <f t="shared" ref="K93:K104" si="283">H93-F93</f>
        <v>1.2068000000000003</v>
      </c>
      <c r="L93" s="71">
        <f t="shared" ref="L93:L104" si="284">1000*K93/J93</f>
        <v>38.197730545840137</v>
      </c>
      <c r="M93" s="71">
        <f t="shared" ref="M93:M104" si="285">I93-F93</f>
        <v>-4.4504999999999999</v>
      </c>
      <c r="N93" s="71">
        <f t="shared" ref="N93:N104" si="286">1000*M93/J93</f>
        <v>-140.86758352192697</v>
      </c>
      <c r="O93" s="71">
        <f t="shared" ref="O93:O104" si="287">K93-M93</f>
        <v>5.6573000000000002</v>
      </c>
      <c r="P93" s="71">
        <f t="shared" ref="P93:P104" si="288">1000*O93/J93</f>
        <v>179.0653140677671</v>
      </c>
      <c r="Q93" s="71">
        <f t="shared" si="193"/>
        <v>468.7852171030824</v>
      </c>
      <c r="R93" s="71">
        <v>7.52</v>
      </c>
      <c r="S93" s="71"/>
      <c r="T93" s="71">
        <v>0.29899999999999999</v>
      </c>
      <c r="U93" s="71">
        <v>2652</v>
      </c>
      <c r="V93" s="71"/>
      <c r="W93" s="71"/>
      <c r="X93" s="71"/>
      <c r="Y93" s="84">
        <f t="shared" ref="Y93:Y99" si="289">AS93*(1-0.13178)</f>
        <v>493.44936411999998</v>
      </c>
      <c r="Z93" s="71" t="s">
        <v>393</v>
      </c>
      <c r="AA93" s="84">
        <v>11.699</v>
      </c>
      <c r="AB93" s="71">
        <v>0</v>
      </c>
      <c r="AC93" s="84">
        <f t="shared" si="277"/>
        <v>526.34598839466662</v>
      </c>
      <c r="AD93" s="71">
        <f t="shared" si="278"/>
        <v>7.5675675675675675</v>
      </c>
      <c r="AE93" s="84">
        <f t="shared" si="279"/>
        <v>21.27090909090909</v>
      </c>
      <c r="AF93" s="71">
        <f t="shared" si="280"/>
        <v>0</v>
      </c>
      <c r="AG93" s="84">
        <f t="shared" si="281"/>
        <v>555.1844650531433</v>
      </c>
      <c r="AH93" s="71"/>
      <c r="AI93" s="71"/>
      <c r="AJ93" s="71"/>
      <c r="AK93" s="71"/>
      <c r="AL93" s="71"/>
      <c r="AM93" s="71"/>
      <c r="AN93" s="126" t="s">
        <v>421</v>
      </c>
      <c r="AO93" s="71"/>
      <c r="AS93">
        <v>568.346</v>
      </c>
    </row>
    <row r="94" spans="1:45" ht="15" customHeight="1" x14ac:dyDescent="0.25">
      <c r="A94" s="100" t="s">
        <v>234</v>
      </c>
      <c r="B94" s="100" t="s">
        <v>292</v>
      </c>
      <c r="C94" s="72" t="str">
        <f t="shared" si="210"/>
        <v>19-02-2024 14:00</v>
      </c>
      <c r="D94" s="13">
        <f t="shared" si="211"/>
        <v>122.16666666666667</v>
      </c>
      <c r="E94" s="82">
        <v>25</v>
      </c>
      <c r="F94" s="71"/>
      <c r="G94" s="71"/>
      <c r="H94" s="71"/>
      <c r="I94" s="71"/>
      <c r="J94" s="71">
        <f t="shared" si="282"/>
        <v>0</v>
      </c>
      <c r="K94" s="71">
        <f t="shared" si="283"/>
        <v>0</v>
      </c>
      <c r="L94" s="71" t="e">
        <f t="shared" si="284"/>
        <v>#DIV/0!</v>
      </c>
      <c r="M94" s="71">
        <f t="shared" si="285"/>
        <v>0</v>
      </c>
      <c r="N94" s="71" t="e">
        <f t="shared" si="286"/>
        <v>#DIV/0!</v>
      </c>
      <c r="O94" s="71">
        <f t="shared" si="287"/>
        <v>0</v>
      </c>
      <c r="P94" s="71" t="e">
        <f t="shared" si="288"/>
        <v>#DIV/0!</v>
      </c>
      <c r="Q94" s="71" t="e">
        <f t="shared" si="193"/>
        <v>#DIV/0!</v>
      </c>
      <c r="R94" s="84">
        <v>7.59</v>
      </c>
      <c r="S94" s="71"/>
      <c r="T94" s="84"/>
      <c r="U94" s="71"/>
      <c r="V94" s="84"/>
      <c r="W94" s="71"/>
      <c r="X94" s="84"/>
      <c r="Y94" s="84">
        <f t="shared" si="289"/>
        <v>273.40508266000001</v>
      </c>
      <c r="Z94" s="71" t="s">
        <v>393</v>
      </c>
      <c r="AA94" s="84" t="s">
        <v>393</v>
      </c>
      <c r="AB94" s="71">
        <v>0</v>
      </c>
      <c r="AC94" s="84">
        <f t="shared" si="277"/>
        <v>291.63208817066669</v>
      </c>
      <c r="AD94" s="71">
        <f t="shared" si="278"/>
        <v>7.5675675675675675</v>
      </c>
      <c r="AE94" s="84">
        <f t="shared" si="279"/>
        <v>9.0909090909090917</v>
      </c>
      <c r="AF94" s="71">
        <f t="shared" si="280"/>
        <v>0</v>
      </c>
      <c r="AG94" s="84">
        <f t="shared" si="281"/>
        <v>308.29056482914331</v>
      </c>
      <c r="AH94" s="71"/>
      <c r="AI94" s="71"/>
      <c r="AJ94" s="71"/>
      <c r="AK94" s="71"/>
      <c r="AL94" s="71"/>
      <c r="AM94" s="71"/>
      <c r="AN94" s="71"/>
      <c r="AO94" s="71"/>
      <c r="AS94">
        <v>314.90300000000002</v>
      </c>
    </row>
    <row r="95" spans="1:45" ht="15" customHeight="1" x14ac:dyDescent="0.25">
      <c r="A95" s="100" t="s">
        <v>234</v>
      </c>
      <c r="B95" s="100" t="s">
        <v>163</v>
      </c>
      <c r="C95" s="72" t="str">
        <f t="shared" si="210"/>
        <v>19-02-2024 17:00</v>
      </c>
      <c r="D95" s="13">
        <f t="shared" si="211"/>
        <v>122.125</v>
      </c>
      <c r="E95" s="82">
        <v>25</v>
      </c>
      <c r="F95" s="71"/>
      <c r="G95" s="71"/>
      <c r="H95" s="71"/>
      <c r="I95" s="71"/>
      <c r="J95" s="71">
        <f t="shared" si="282"/>
        <v>0</v>
      </c>
      <c r="K95" s="71">
        <f t="shared" si="283"/>
        <v>0</v>
      </c>
      <c r="L95" s="71" t="e">
        <f t="shared" si="284"/>
        <v>#DIV/0!</v>
      </c>
      <c r="M95" s="71">
        <f t="shared" si="285"/>
        <v>0</v>
      </c>
      <c r="N95" s="71" t="e">
        <f t="shared" si="286"/>
        <v>#DIV/0!</v>
      </c>
      <c r="O95" s="71">
        <f t="shared" si="287"/>
        <v>0</v>
      </c>
      <c r="P95" s="71" t="e">
        <f t="shared" si="288"/>
        <v>#DIV/0!</v>
      </c>
      <c r="Q95" s="71" t="e">
        <f t="shared" si="193"/>
        <v>#DIV/0!</v>
      </c>
      <c r="R95" s="84">
        <v>7.54</v>
      </c>
      <c r="S95" s="71"/>
      <c r="T95" s="84"/>
      <c r="U95" s="71"/>
      <c r="V95" s="84"/>
      <c r="W95" s="71"/>
      <c r="X95" s="84"/>
      <c r="Y95" s="84">
        <f t="shared" si="289"/>
        <v>466.31401624</v>
      </c>
      <c r="Z95" s="71">
        <v>49.642000000000003</v>
      </c>
      <c r="AA95" s="84">
        <v>11.109</v>
      </c>
      <c r="AB95" s="71" t="s">
        <v>393</v>
      </c>
      <c r="AC95" s="84">
        <f t="shared" si="277"/>
        <v>497.40161732266665</v>
      </c>
      <c r="AD95" s="71">
        <f t="shared" si="278"/>
        <v>75.133837837837845</v>
      </c>
      <c r="AE95" s="84">
        <f t="shared" si="279"/>
        <v>20.198181818181819</v>
      </c>
      <c r="AF95" s="71">
        <f t="shared" si="280"/>
        <v>10.196078431372548</v>
      </c>
      <c r="AG95" s="84">
        <f t="shared" si="281"/>
        <v>602.92971541005898</v>
      </c>
      <c r="AH95" s="71"/>
      <c r="AI95" s="71"/>
      <c r="AJ95" s="71"/>
      <c r="AK95" s="71"/>
      <c r="AL95" s="71"/>
      <c r="AM95" s="71"/>
      <c r="AN95" s="71"/>
      <c r="AO95" s="71"/>
      <c r="AS95">
        <v>537.09199999999998</v>
      </c>
    </row>
    <row r="96" spans="1:45" ht="15" customHeight="1" x14ac:dyDescent="0.25">
      <c r="A96" s="100" t="s">
        <v>422</v>
      </c>
      <c r="B96" s="100" t="s">
        <v>156</v>
      </c>
      <c r="C96" s="72" t="str">
        <f t="shared" si="210"/>
        <v>20-02-2024 10:00</v>
      </c>
      <c r="D96" s="13">
        <f t="shared" si="211"/>
        <v>122.70833333333333</v>
      </c>
      <c r="E96" s="82">
        <v>25</v>
      </c>
      <c r="F96" s="71"/>
      <c r="G96" s="71"/>
      <c r="H96" s="71"/>
      <c r="I96" s="71"/>
      <c r="J96" s="71">
        <f t="shared" si="282"/>
        <v>0</v>
      </c>
      <c r="K96" s="71">
        <f t="shared" si="283"/>
        <v>0</v>
      </c>
      <c r="L96" s="71" t="e">
        <f t="shared" si="284"/>
        <v>#DIV/0!</v>
      </c>
      <c r="M96" s="71">
        <f t="shared" si="285"/>
        <v>0</v>
      </c>
      <c r="N96" s="71" t="e">
        <f t="shared" si="286"/>
        <v>#DIV/0!</v>
      </c>
      <c r="O96" s="71">
        <f t="shared" si="287"/>
        <v>0</v>
      </c>
      <c r="P96" s="71" t="e">
        <f t="shared" si="288"/>
        <v>#DIV/0!</v>
      </c>
      <c r="Q96" s="71" t="e">
        <f t="shared" si="193"/>
        <v>#DIV/0!</v>
      </c>
      <c r="R96" s="84">
        <v>7.63</v>
      </c>
      <c r="S96" s="71"/>
      <c r="T96" s="84"/>
      <c r="U96" s="71"/>
      <c r="V96" s="84"/>
      <c r="W96" s="71"/>
      <c r="X96" s="84"/>
      <c r="Y96" s="84">
        <f t="shared" si="289"/>
        <v>531.31851585999993</v>
      </c>
      <c r="Z96" s="71" t="s">
        <v>393</v>
      </c>
      <c r="AA96" s="84" t="s">
        <v>393</v>
      </c>
      <c r="AB96" s="71">
        <v>0</v>
      </c>
      <c r="AC96" s="84">
        <f t="shared" si="277"/>
        <v>566.73975025066659</v>
      </c>
      <c r="AD96" s="71">
        <f t="shared" si="278"/>
        <v>7.5675675675675675</v>
      </c>
      <c r="AE96" s="84">
        <f t="shared" si="279"/>
        <v>9.0909090909090917</v>
      </c>
      <c r="AF96" s="71">
        <f t="shared" si="280"/>
        <v>0</v>
      </c>
      <c r="AG96" s="84">
        <f t="shared" si="281"/>
        <v>583.39822690914332</v>
      </c>
      <c r="AH96" s="71"/>
      <c r="AI96" s="71"/>
      <c r="AJ96" s="71"/>
      <c r="AK96" s="71"/>
      <c r="AL96" s="71"/>
      <c r="AM96" s="71"/>
      <c r="AN96" s="71"/>
      <c r="AO96" s="71"/>
      <c r="AS96">
        <v>611.96299999999997</v>
      </c>
    </row>
    <row r="97" spans="1:45" ht="15" customHeight="1" x14ac:dyDescent="0.25">
      <c r="A97" s="100" t="s">
        <v>422</v>
      </c>
      <c r="B97" s="100" t="s">
        <v>292</v>
      </c>
      <c r="C97" s="72" t="str">
        <f t="shared" si="210"/>
        <v>20-02-2024 14:00</v>
      </c>
      <c r="D97" s="13">
        <f t="shared" si="211"/>
        <v>123.16666666666667</v>
      </c>
      <c r="E97" s="82">
        <v>25</v>
      </c>
      <c r="F97" s="71"/>
      <c r="G97" s="71"/>
      <c r="H97" s="71"/>
      <c r="I97" s="71"/>
      <c r="J97" s="71">
        <f t="shared" si="282"/>
        <v>0</v>
      </c>
      <c r="K97" s="71">
        <f t="shared" si="283"/>
        <v>0</v>
      </c>
      <c r="L97" s="71" t="e">
        <f t="shared" si="284"/>
        <v>#DIV/0!</v>
      </c>
      <c r="M97" s="71">
        <f t="shared" si="285"/>
        <v>0</v>
      </c>
      <c r="N97" s="71" t="e">
        <f t="shared" si="286"/>
        <v>#DIV/0!</v>
      </c>
      <c r="O97" s="71">
        <f t="shared" si="287"/>
        <v>0</v>
      </c>
      <c r="P97" s="71" t="e">
        <f t="shared" si="288"/>
        <v>#DIV/0!</v>
      </c>
      <c r="Q97" s="71" t="e">
        <f t="shared" si="193"/>
        <v>#DIV/0!</v>
      </c>
      <c r="R97" s="71">
        <v>7.63</v>
      </c>
      <c r="S97" s="71"/>
      <c r="T97" s="71"/>
      <c r="U97" s="71"/>
      <c r="V97" s="71"/>
      <c r="W97" s="71"/>
      <c r="X97" s="71"/>
      <c r="Y97" s="84">
        <f t="shared" si="289"/>
        <v>541.76146601999994</v>
      </c>
      <c r="Z97" s="71" t="s">
        <v>393</v>
      </c>
      <c r="AA97" s="71" t="s">
        <v>393</v>
      </c>
      <c r="AB97" s="71">
        <v>0</v>
      </c>
      <c r="AC97" s="84">
        <f t="shared" si="277"/>
        <v>577.87889708799992</v>
      </c>
      <c r="AD97" s="71">
        <f t="shared" si="278"/>
        <v>7.5675675675675675</v>
      </c>
      <c r="AE97" s="84">
        <f t="shared" si="279"/>
        <v>9.0909090909090917</v>
      </c>
      <c r="AF97" s="71">
        <f t="shared" si="280"/>
        <v>0</v>
      </c>
      <c r="AG97" s="84">
        <f t="shared" si="281"/>
        <v>594.53737374647665</v>
      </c>
      <c r="AH97" s="71"/>
      <c r="AI97" s="71"/>
      <c r="AJ97" s="71"/>
      <c r="AK97" s="71"/>
      <c r="AL97" s="71"/>
      <c r="AM97" s="71"/>
      <c r="AN97" s="71"/>
      <c r="AO97" s="71"/>
      <c r="AS97">
        <v>623.99099999999999</v>
      </c>
    </row>
    <row r="98" spans="1:45" ht="15" customHeight="1" x14ac:dyDescent="0.25">
      <c r="A98" s="100" t="s">
        <v>422</v>
      </c>
      <c r="B98" s="100" t="s">
        <v>163</v>
      </c>
      <c r="C98" s="72" t="str">
        <f t="shared" si="210"/>
        <v>20-02-2024 17:00</v>
      </c>
      <c r="D98" s="13">
        <f t="shared" si="211"/>
        <v>123.125</v>
      </c>
      <c r="E98" s="82">
        <v>25</v>
      </c>
      <c r="F98" s="71"/>
      <c r="G98" s="71"/>
      <c r="H98" s="71"/>
      <c r="I98" s="71"/>
      <c r="J98" s="71">
        <f t="shared" si="282"/>
        <v>0</v>
      </c>
      <c r="K98" s="71">
        <f t="shared" si="283"/>
        <v>0</v>
      </c>
      <c r="L98" s="71" t="e">
        <f t="shared" si="284"/>
        <v>#DIV/0!</v>
      </c>
      <c r="M98" s="71">
        <f t="shared" si="285"/>
        <v>0</v>
      </c>
      <c r="N98" s="71" t="e">
        <f t="shared" si="286"/>
        <v>#DIV/0!</v>
      </c>
      <c r="O98" s="71">
        <f t="shared" si="287"/>
        <v>0</v>
      </c>
      <c r="P98" s="71" t="e">
        <f t="shared" si="288"/>
        <v>#DIV/0!</v>
      </c>
      <c r="Q98" s="71" t="e">
        <f t="shared" si="193"/>
        <v>#DIV/0!</v>
      </c>
      <c r="R98" s="84">
        <v>7.68</v>
      </c>
      <c r="S98" s="71"/>
      <c r="T98" s="84"/>
      <c r="U98" s="71"/>
      <c r="V98" s="84"/>
      <c r="W98" s="71"/>
      <c r="X98" s="84"/>
      <c r="Y98" s="84">
        <f t="shared" si="289"/>
        <v>622.47553832000006</v>
      </c>
      <c r="Z98" s="71" t="s">
        <v>393</v>
      </c>
      <c r="AA98" s="84">
        <v>11.541</v>
      </c>
      <c r="AB98" s="71">
        <v>0</v>
      </c>
      <c r="AC98" s="84">
        <f t="shared" si="277"/>
        <v>663.97390754133335</v>
      </c>
      <c r="AD98" s="71">
        <f t="shared" si="278"/>
        <v>7.5675675675675675</v>
      </c>
      <c r="AE98" s="84">
        <f t="shared" si="279"/>
        <v>20.983636363636364</v>
      </c>
      <c r="AF98" s="71">
        <f t="shared" si="280"/>
        <v>0</v>
      </c>
      <c r="AG98" s="84">
        <f t="shared" si="281"/>
        <v>692.52511147253733</v>
      </c>
      <c r="AH98" s="71"/>
      <c r="AI98" s="71"/>
      <c r="AJ98" s="71"/>
      <c r="AK98" s="71"/>
      <c r="AL98" s="71"/>
      <c r="AM98" s="71"/>
      <c r="AN98" s="71"/>
      <c r="AO98" s="71"/>
      <c r="AS98">
        <v>716.95600000000002</v>
      </c>
    </row>
    <row r="99" spans="1:45" ht="15" customHeight="1" x14ac:dyDescent="0.25">
      <c r="A99" s="100" t="s">
        <v>235</v>
      </c>
      <c r="B99" s="100" t="s">
        <v>156</v>
      </c>
      <c r="C99" s="72" t="str">
        <f t="shared" si="210"/>
        <v>21-02-2024 10:00</v>
      </c>
      <c r="D99" s="13">
        <f t="shared" si="211"/>
        <v>123.70833333333333</v>
      </c>
      <c r="E99" s="82">
        <v>700</v>
      </c>
      <c r="F99" s="71">
        <v>4.3624000000000001</v>
      </c>
      <c r="G99" s="71">
        <v>26.5078</v>
      </c>
      <c r="H99" s="71">
        <v>5.1684999999999999</v>
      </c>
      <c r="I99" s="71"/>
      <c r="J99" s="71">
        <f t="shared" si="282"/>
        <v>22.145399999999999</v>
      </c>
      <c r="K99" s="71">
        <f t="shared" si="283"/>
        <v>0.80609999999999982</v>
      </c>
      <c r="L99" s="71">
        <f t="shared" si="284"/>
        <v>36.400335961418619</v>
      </c>
      <c r="M99" s="71">
        <f t="shared" si="285"/>
        <v>-4.3624000000000001</v>
      </c>
      <c r="N99" s="71">
        <f t="shared" si="286"/>
        <v>-196.98899094168542</v>
      </c>
      <c r="O99" s="71">
        <f t="shared" si="287"/>
        <v>5.1684999999999999</v>
      </c>
      <c r="P99" s="71">
        <f t="shared" si="288"/>
        <v>233.38932690310403</v>
      </c>
      <c r="Q99" s="71">
        <f t="shared" si="193"/>
        <v>641.17355166852758</v>
      </c>
      <c r="R99" s="84">
        <v>7.64</v>
      </c>
      <c r="S99" s="71">
        <f>5061*2</f>
        <v>10122</v>
      </c>
      <c r="T99" s="84">
        <v>0.35399999999999998</v>
      </c>
      <c r="U99" s="71">
        <v>2987</v>
      </c>
      <c r="V99" s="84">
        <f>41*25</f>
        <v>1025</v>
      </c>
      <c r="W99" s="71"/>
      <c r="X99" s="84">
        <f>41*250</f>
        <v>10250</v>
      </c>
      <c r="Y99" s="84">
        <f t="shared" si="289"/>
        <v>341.45008872</v>
      </c>
      <c r="Z99" s="71" t="s">
        <v>393</v>
      </c>
      <c r="AA99" s="71" t="s">
        <v>393</v>
      </c>
      <c r="AB99" s="71">
        <v>0</v>
      </c>
      <c r="AC99" s="84">
        <f t="shared" si="277"/>
        <v>364.21342796800002</v>
      </c>
      <c r="AD99" s="71">
        <f t="shared" si="278"/>
        <v>7.5675675675675675</v>
      </c>
      <c r="AE99" s="84">
        <f t="shared" si="279"/>
        <v>9.0909090909090917</v>
      </c>
      <c r="AF99" s="71">
        <f t="shared" si="280"/>
        <v>0</v>
      </c>
      <c r="AG99" s="84">
        <f t="shared" si="281"/>
        <v>380.87190462647663</v>
      </c>
      <c r="AH99" s="71">
        <f>138*250</f>
        <v>34500</v>
      </c>
      <c r="AI99" s="71"/>
      <c r="AJ99" s="71"/>
      <c r="AK99" s="71"/>
      <c r="AL99" s="71"/>
      <c r="AM99" s="71"/>
      <c r="AN99" s="71"/>
      <c r="AO99" s="71"/>
      <c r="AS99">
        <v>393.27600000000001</v>
      </c>
    </row>
    <row r="100" spans="1:45" ht="15" customHeight="1" x14ac:dyDescent="0.25">
      <c r="A100" s="100" t="s">
        <v>235</v>
      </c>
      <c r="B100" s="100" t="s">
        <v>156</v>
      </c>
      <c r="C100" s="72" t="str">
        <f t="shared" si="210"/>
        <v>21-02-2024 10:00</v>
      </c>
      <c r="D100" s="13">
        <f t="shared" si="211"/>
        <v>124</v>
      </c>
      <c r="F100" s="71">
        <v>4.3849</v>
      </c>
      <c r="G100" s="71">
        <v>23.939599999999999</v>
      </c>
      <c r="H100" s="71">
        <v>5.1043000000000003</v>
      </c>
      <c r="I100" s="71"/>
      <c r="J100" s="71">
        <f t="shared" si="282"/>
        <v>19.554699999999997</v>
      </c>
      <c r="K100" s="71">
        <f t="shared" si="283"/>
        <v>0.71940000000000026</v>
      </c>
      <c r="L100" s="71">
        <f t="shared" si="284"/>
        <v>36.789109523541676</v>
      </c>
      <c r="M100" s="71">
        <f t="shared" si="285"/>
        <v>-4.3849</v>
      </c>
      <c r="N100" s="71">
        <f t="shared" si="286"/>
        <v>-224.23765130633558</v>
      </c>
      <c r="O100" s="71">
        <f t="shared" si="287"/>
        <v>5.1043000000000003</v>
      </c>
      <c r="P100" s="71">
        <f t="shared" si="288"/>
        <v>261.02676082987728</v>
      </c>
      <c r="Q100" s="71">
        <f t="shared" si="193"/>
        <v>709.52182374200697</v>
      </c>
      <c r="R100" s="84"/>
      <c r="S100" s="71"/>
      <c r="T100" s="84"/>
      <c r="U100" s="71"/>
      <c r="V100" s="84"/>
      <c r="W100" s="71"/>
      <c r="X100" s="84"/>
      <c r="Y100" s="84"/>
      <c r="Z100" s="71"/>
      <c r="AA100" s="84"/>
      <c r="AB100" s="71"/>
      <c r="AC100" s="84"/>
      <c r="AD100" s="71"/>
      <c r="AE100" s="84"/>
      <c r="AF100" s="71"/>
      <c r="AG100" s="84"/>
      <c r="AH100" s="71"/>
      <c r="AI100" s="71"/>
      <c r="AJ100" s="71"/>
      <c r="AK100" s="71"/>
      <c r="AL100" s="71"/>
      <c r="AM100" s="71"/>
      <c r="AN100" s="71"/>
      <c r="AO100" s="71"/>
    </row>
    <row r="101" spans="1:45" ht="15" customHeight="1" x14ac:dyDescent="0.25">
      <c r="A101" s="100" t="s">
        <v>235</v>
      </c>
      <c r="B101" s="100" t="s">
        <v>196</v>
      </c>
      <c r="C101" s="72" t="str">
        <f t="shared" si="210"/>
        <v>21-02-2024 16:00</v>
      </c>
      <c r="D101" s="13">
        <f t="shared" si="211"/>
        <v>124.25</v>
      </c>
      <c r="E101" s="82">
        <v>25</v>
      </c>
      <c r="F101" s="71"/>
      <c r="G101" s="71"/>
      <c r="H101" s="71"/>
      <c r="I101" s="71"/>
      <c r="J101" s="71">
        <f t="shared" si="282"/>
        <v>0</v>
      </c>
      <c r="K101" s="71">
        <f t="shared" si="283"/>
        <v>0</v>
      </c>
      <c r="L101" s="71" t="e">
        <f t="shared" si="284"/>
        <v>#DIV/0!</v>
      </c>
      <c r="M101" s="71">
        <f t="shared" si="285"/>
        <v>0</v>
      </c>
      <c r="N101" s="71" t="e">
        <f t="shared" si="286"/>
        <v>#DIV/0!</v>
      </c>
      <c r="O101" s="71">
        <f t="shared" si="287"/>
        <v>0</v>
      </c>
      <c r="P101" s="71" t="e">
        <f t="shared" si="288"/>
        <v>#DIV/0!</v>
      </c>
      <c r="Q101" s="71" t="e">
        <f t="shared" si="193"/>
        <v>#DIV/0!</v>
      </c>
      <c r="R101" s="71">
        <f>7.7-0.12</f>
        <v>7.58</v>
      </c>
      <c r="S101" s="71"/>
      <c r="T101" s="71"/>
      <c r="U101" s="71"/>
      <c r="V101" s="71"/>
      <c r="W101" s="71"/>
      <c r="X101" s="71"/>
      <c r="Y101" s="84">
        <f t="shared" ref="Y101:Y118" si="290">AS101*(1-0.13178)</f>
        <v>814.88264073999994</v>
      </c>
      <c r="Z101" s="71">
        <v>49.072000000000003</v>
      </c>
      <c r="AA101" s="71">
        <v>15.513999999999999</v>
      </c>
      <c r="AB101" s="71" t="s">
        <v>393</v>
      </c>
      <c r="AC101" s="84">
        <f t="shared" si="277"/>
        <v>869.20815012266655</v>
      </c>
      <c r="AD101" s="71">
        <f t="shared" si="278"/>
        <v>74.27113513513514</v>
      </c>
      <c r="AE101" s="84">
        <f t="shared" si="279"/>
        <v>28.207272727272724</v>
      </c>
      <c r="AF101" s="71">
        <f t="shared" si="280"/>
        <v>10.196078431372548</v>
      </c>
      <c r="AG101" s="84">
        <f t="shared" si="281"/>
        <v>981.8826364164471</v>
      </c>
      <c r="AH101" s="71"/>
      <c r="AI101" s="71"/>
      <c r="AJ101" s="71"/>
      <c r="AK101" s="71"/>
      <c r="AL101" s="71"/>
      <c r="AM101" s="71"/>
      <c r="AN101" s="71"/>
      <c r="AO101" s="71"/>
      <c r="AS101">
        <v>938.56700000000001</v>
      </c>
    </row>
    <row r="102" spans="1:45" ht="15" customHeight="1" x14ac:dyDescent="0.25">
      <c r="A102" s="100" t="s">
        <v>236</v>
      </c>
      <c r="B102" s="100" t="s">
        <v>156</v>
      </c>
      <c r="C102" s="72" t="str">
        <f t="shared" si="210"/>
        <v>23-02-2024 10:00</v>
      </c>
      <c r="D102" s="13">
        <f t="shared" si="211"/>
        <v>125.75</v>
      </c>
      <c r="E102" s="82">
        <v>862.5</v>
      </c>
      <c r="F102" s="71">
        <v>4.3345000000000002</v>
      </c>
      <c r="G102" s="71">
        <v>32.450200000000002</v>
      </c>
      <c r="H102" s="71">
        <v>5.3045999999999998</v>
      </c>
      <c r="I102" s="71">
        <v>4.6334</v>
      </c>
      <c r="J102" s="71">
        <f t="shared" si="282"/>
        <v>28.115700000000004</v>
      </c>
      <c r="K102" s="71">
        <f t="shared" si="283"/>
        <v>0.97009999999999952</v>
      </c>
      <c r="L102" s="71">
        <f t="shared" si="284"/>
        <v>34.503853718740757</v>
      </c>
      <c r="M102" s="71">
        <f t="shared" si="285"/>
        <v>0.29889999999999972</v>
      </c>
      <c r="N102" s="71">
        <f t="shared" si="286"/>
        <v>10.631070896331932</v>
      </c>
      <c r="O102" s="71">
        <f t="shared" si="287"/>
        <v>0.6711999999999998</v>
      </c>
      <c r="P102" s="71">
        <f t="shared" si="288"/>
        <v>23.872782822408823</v>
      </c>
      <c r="Q102" s="71">
        <f t="shared" si="193"/>
        <v>69.188743428512524</v>
      </c>
      <c r="R102" s="84">
        <f>7.65-0.12</f>
        <v>7.53</v>
      </c>
      <c r="S102" s="71"/>
      <c r="T102" s="84"/>
      <c r="U102" s="71"/>
      <c r="V102" s="84"/>
      <c r="W102" s="71"/>
      <c r="X102" s="84"/>
      <c r="Y102" s="84">
        <f t="shared" si="290"/>
        <v>311.18914884000003</v>
      </c>
      <c r="Z102" s="71" t="s">
        <v>393</v>
      </c>
      <c r="AA102" s="84" t="s">
        <v>393</v>
      </c>
      <c r="AB102" s="71" t="s">
        <v>393</v>
      </c>
      <c r="AC102" s="84">
        <f t="shared" si="277"/>
        <v>331.93509209600001</v>
      </c>
      <c r="AD102" s="71">
        <f t="shared" si="278"/>
        <v>7.5675675675675675</v>
      </c>
      <c r="AE102" s="84">
        <f t="shared" si="279"/>
        <v>9.0909090909090917</v>
      </c>
      <c r="AF102" s="71">
        <f t="shared" si="280"/>
        <v>10.196078431372548</v>
      </c>
      <c r="AG102" s="84">
        <f t="shared" si="281"/>
        <v>358.78964718584916</v>
      </c>
      <c r="AH102" s="71"/>
      <c r="AI102" s="71"/>
      <c r="AJ102" s="71"/>
      <c r="AK102" s="71"/>
      <c r="AL102" s="71"/>
      <c r="AM102" s="71"/>
      <c r="AN102" s="71"/>
      <c r="AO102" s="71"/>
      <c r="AS102">
        <v>358.42200000000003</v>
      </c>
    </row>
    <row r="103" spans="1:45" ht="15" customHeight="1" x14ac:dyDescent="0.25">
      <c r="A103" s="100" t="s">
        <v>236</v>
      </c>
      <c r="B103" s="100" t="s">
        <v>163</v>
      </c>
      <c r="C103" s="72" t="str">
        <f t="shared" si="210"/>
        <v>23-02-2024 17:00</v>
      </c>
      <c r="D103" s="13">
        <f t="shared" si="211"/>
        <v>126.29166666666667</v>
      </c>
      <c r="E103" s="82">
        <v>25</v>
      </c>
      <c r="F103" s="71"/>
      <c r="G103" s="71"/>
      <c r="H103" s="71"/>
      <c r="I103" s="71"/>
      <c r="J103" s="71">
        <f t="shared" si="282"/>
        <v>0</v>
      </c>
      <c r="K103" s="71">
        <f t="shared" si="283"/>
        <v>0</v>
      </c>
      <c r="L103" s="71" t="e">
        <f t="shared" si="284"/>
        <v>#DIV/0!</v>
      </c>
      <c r="M103" s="71">
        <f t="shared" si="285"/>
        <v>0</v>
      </c>
      <c r="N103" s="71" t="e">
        <f t="shared" si="286"/>
        <v>#DIV/0!</v>
      </c>
      <c r="O103" s="71">
        <f t="shared" si="287"/>
        <v>0</v>
      </c>
      <c r="P103" s="71" t="e">
        <f t="shared" si="288"/>
        <v>#DIV/0!</v>
      </c>
      <c r="Q103" s="71" t="e">
        <f t="shared" si="193"/>
        <v>#DIV/0!</v>
      </c>
      <c r="R103" s="84">
        <f>7.63-0.12</f>
        <v>7.51</v>
      </c>
      <c r="S103" s="71"/>
      <c r="T103" s="84"/>
      <c r="U103" s="71"/>
      <c r="V103" s="84"/>
      <c r="W103" s="71"/>
      <c r="X103" s="84"/>
      <c r="Y103" s="84">
        <f t="shared" si="290"/>
        <v>601.15205512</v>
      </c>
      <c r="Z103" s="71">
        <v>95.358999999999995</v>
      </c>
      <c r="AA103" s="71">
        <v>20.984999999999999</v>
      </c>
      <c r="AB103" s="71" t="s">
        <v>393</v>
      </c>
      <c r="AC103" s="84">
        <f t="shared" si="277"/>
        <v>641.22885879466662</v>
      </c>
      <c r="AD103" s="71">
        <f t="shared" si="278"/>
        <v>144.32713513513511</v>
      </c>
      <c r="AE103" s="84">
        <f t="shared" si="279"/>
        <v>38.154545454545456</v>
      </c>
      <c r="AF103" s="71">
        <f t="shared" si="280"/>
        <v>10.196078431372548</v>
      </c>
      <c r="AG103" s="84">
        <f t="shared" si="281"/>
        <v>833.90661781571976</v>
      </c>
      <c r="AH103" s="71"/>
      <c r="AI103" s="71"/>
      <c r="AJ103" s="71"/>
      <c r="AK103" s="71"/>
      <c r="AL103" s="71"/>
      <c r="AM103" s="71"/>
      <c r="AN103" s="71"/>
      <c r="AO103" s="71"/>
      <c r="AS103">
        <v>692.39599999999996</v>
      </c>
    </row>
    <row r="104" spans="1:45" ht="15" customHeight="1" x14ac:dyDescent="0.25">
      <c r="A104" s="100" t="s">
        <v>238</v>
      </c>
      <c r="B104" s="100" t="s">
        <v>167</v>
      </c>
      <c r="C104" s="72" t="str">
        <f t="shared" si="210"/>
        <v>26-02-2024 11:00</v>
      </c>
      <c r="D104" s="13">
        <f t="shared" si="211"/>
        <v>128.75</v>
      </c>
      <c r="E104" s="82">
        <v>798</v>
      </c>
      <c r="F104" s="71">
        <v>4.3849999999999998</v>
      </c>
      <c r="G104" s="71">
        <v>26.835699999999999</v>
      </c>
      <c r="H104" s="71">
        <v>5.1836000000000002</v>
      </c>
      <c r="I104" s="71">
        <v>4.6252000000000004</v>
      </c>
      <c r="J104" s="71">
        <f t="shared" si="282"/>
        <v>22.450699999999998</v>
      </c>
      <c r="K104" s="71">
        <f t="shared" si="283"/>
        <v>0.79860000000000042</v>
      </c>
      <c r="L104" s="71">
        <f t="shared" si="284"/>
        <v>35.571273946914815</v>
      </c>
      <c r="M104" s="71">
        <f t="shared" si="285"/>
        <v>0.24020000000000064</v>
      </c>
      <c r="N104" s="71">
        <f t="shared" si="286"/>
        <v>10.698998249497818</v>
      </c>
      <c r="O104" s="71">
        <f t="shared" si="287"/>
        <v>0.55839999999999979</v>
      </c>
      <c r="P104" s="71">
        <f t="shared" si="288"/>
        <v>24.872275697416999</v>
      </c>
      <c r="Q104" s="71">
        <f t="shared" si="193"/>
        <v>69.922364137240109</v>
      </c>
      <c r="R104" s="84">
        <f>7.6-0.12</f>
        <v>7.4799999999999995</v>
      </c>
      <c r="S104" s="71"/>
      <c r="T104" s="84"/>
      <c r="U104" s="71"/>
      <c r="V104" s="84"/>
      <c r="W104" s="71"/>
      <c r="X104" s="84"/>
      <c r="Y104" s="84">
        <f t="shared" si="290"/>
        <v>547.60111373999996</v>
      </c>
      <c r="Z104" s="71">
        <v>5.0389999999999997</v>
      </c>
      <c r="AA104" s="84">
        <v>17.486999999999998</v>
      </c>
      <c r="AB104" s="71">
        <v>0</v>
      </c>
      <c r="AC104" s="84">
        <f t="shared" si="277"/>
        <v>584.10785465599997</v>
      </c>
      <c r="AD104" s="71">
        <f t="shared" si="278"/>
        <v>7.6265945945945939</v>
      </c>
      <c r="AE104" s="84">
        <f t="shared" si="279"/>
        <v>31.79454545454545</v>
      </c>
      <c r="AF104" s="71">
        <f t="shared" si="280"/>
        <v>0</v>
      </c>
      <c r="AG104" s="84">
        <f t="shared" si="281"/>
        <v>623.52899470514001</v>
      </c>
      <c r="AH104" s="71"/>
      <c r="AI104" s="71"/>
      <c r="AJ104" s="71"/>
      <c r="AK104" s="71"/>
      <c r="AL104" s="71"/>
      <c r="AM104" s="71"/>
      <c r="AN104" s="71"/>
      <c r="AO104" s="71"/>
      <c r="AS104">
        <v>630.71699999999998</v>
      </c>
    </row>
    <row r="105" spans="1:45" ht="15" customHeight="1" x14ac:dyDescent="0.25">
      <c r="A105" s="100" t="s">
        <v>238</v>
      </c>
      <c r="B105" s="100" t="s">
        <v>196</v>
      </c>
      <c r="C105" s="72" t="str">
        <f t="shared" si="210"/>
        <v>26-02-2024 16:00</v>
      </c>
      <c r="D105" s="13">
        <f t="shared" si="211"/>
        <v>129.20833333333334</v>
      </c>
      <c r="E105" s="82">
        <v>25</v>
      </c>
      <c r="F105" s="71"/>
      <c r="G105" s="71"/>
      <c r="H105" s="71"/>
      <c r="I105" s="71"/>
      <c r="J105" s="71">
        <f t="shared" ref="J105" si="291">G105-F105</f>
        <v>0</v>
      </c>
      <c r="K105" s="71">
        <f t="shared" ref="K105" si="292">H105-F105</f>
        <v>0</v>
      </c>
      <c r="L105" s="71" t="e">
        <f t="shared" ref="L105" si="293">1000*K105/J105</f>
        <v>#DIV/0!</v>
      </c>
      <c r="M105" s="71">
        <f t="shared" ref="M105" si="294">I105-F105</f>
        <v>0</v>
      </c>
      <c r="N105" s="71" t="e">
        <f t="shared" ref="N105" si="295">1000*M105/J105</f>
        <v>#DIV/0!</v>
      </c>
      <c r="O105" s="71">
        <f t="shared" ref="O105" si="296">K105-M105</f>
        <v>0</v>
      </c>
      <c r="P105" s="71" t="e">
        <f t="shared" ref="P105" si="297">1000*O105/J105</f>
        <v>#DIV/0!</v>
      </c>
      <c r="Q105" s="71" t="e">
        <f t="shared" si="193"/>
        <v>#DIV/0!</v>
      </c>
      <c r="R105" s="84">
        <f>7.68-0.12</f>
        <v>7.56</v>
      </c>
      <c r="S105" s="84"/>
      <c r="T105" s="84"/>
      <c r="U105" s="84"/>
      <c r="V105" s="84"/>
      <c r="W105" s="84"/>
      <c r="X105" s="84"/>
      <c r="Y105" s="84">
        <f t="shared" si="290"/>
        <v>369.57868027999996</v>
      </c>
      <c r="Z105" s="84">
        <v>29.440999999999999</v>
      </c>
      <c r="AA105" s="84">
        <v>12.318</v>
      </c>
      <c r="AB105" s="84" t="s">
        <v>393</v>
      </c>
      <c r="AC105" s="84">
        <f t="shared" si="277"/>
        <v>394.21725896533331</v>
      </c>
      <c r="AD105" s="71">
        <f t="shared" si="278"/>
        <v>44.559351351351346</v>
      </c>
      <c r="AE105" s="84">
        <f t="shared" si="279"/>
        <v>22.396363636363635</v>
      </c>
      <c r="AF105" s="71">
        <f t="shared" si="280"/>
        <v>10.196078431372548</v>
      </c>
      <c r="AG105" s="84">
        <f t="shared" si="281"/>
        <v>471.3690523844208</v>
      </c>
      <c r="AH105" s="71"/>
      <c r="AI105" s="71"/>
      <c r="AJ105" s="71"/>
      <c r="AK105" s="71"/>
      <c r="AL105" s="71"/>
      <c r="AM105" s="71"/>
      <c r="AN105" s="71"/>
      <c r="AO105" s="71"/>
      <c r="AS105" s="32">
        <v>425.67399999999998</v>
      </c>
    </row>
    <row r="106" spans="1:45" ht="15" customHeight="1" x14ac:dyDescent="0.25">
      <c r="A106" s="100" t="s">
        <v>240</v>
      </c>
      <c r="B106" s="100" t="s">
        <v>163</v>
      </c>
      <c r="C106" s="72" t="str">
        <f t="shared" si="210"/>
        <v>28-02-2024 17:00</v>
      </c>
      <c r="D106" s="13">
        <f t="shared" si="211"/>
        <v>131.04166666666666</v>
      </c>
      <c r="E106" s="82">
        <v>729</v>
      </c>
      <c r="Q106" s="71" t="e">
        <f t="shared" si="193"/>
        <v>#DIV/0!</v>
      </c>
      <c r="R106" s="84">
        <f>7.74-0.12</f>
        <v>7.62</v>
      </c>
      <c r="S106" s="84"/>
      <c r="T106" s="84"/>
      <c r="U106" s="84"/>
      <c r="V106" s="84"/>
      <c r="W106" s="84"/>
      <c r="X106" s="84"/>
      <c r="Y106" s="84">
        <f t="shared" si="290"/>
        <v>437.85897395999996</v>
      </c>
      <c r="Z106" s="84" t="s">
        <v>393</v>
      </c>
      <c r="AA106" s="85">
        <v>12.952999999999999</v>
      </c>
      <c r="AB106" s="84">
        <v>0</v>
      </c>
      <c r="AC106" s="84">
        <f t="shared" si="277"/>
        <v>467.04957222399997</v>
      </c>
      <c r="AD106" s="71">
        <f t="shared" si="278"/>
        <v>7.5675675675675675</v>
      </c>
      <c r="AE106" s="84">
        <f t="shared" si="279"/>
        <v>23.550909090909091</v>
      </c>
      <c r="AF106" s="71">
        <f t="shared" si="280"/>
        <v>0</v>
      </c>
      <c r="AG106" s="84">
        <f t="shared" si="281"/>
        <v>498.16804888247663</v>
      </c>
      <c r="AH106" s="71"/>
      <c r="AI106" s="71"/>
      <c r="AJ106" s="71"/>
      <c r="AK106" s="71"/>
      <c r="AL106" s="71"/>
      <c r="AM106" s="71"/>
      <c r="AN106" s="71"/>
      <c r="AO106" s="71"/>
      <c r="AS106">
        <v>504.31799999999998</v>
      </c>
    </row>
    <row r="107" spans="1:45" ht="15" customHeight="1" x14ac:dyDescent="0.25">
      <c r="A107" s="100" t="s">
        <v>423</v>
      </c>
      <c r="B107" s="100" t="s">
        <v>196</v>
      </c>
      <c r="C107" s="72" t="str">
        <f t="shared" si="210"/>
        <v>01-03-2024 16:00</v>
      </c>
      <c r="D107" s="13">
        <f t="shared" si="211"/>
        <v>132.95833333333334</v>
      </c>
      <c r="E107" s="82">
        <v>1011.91</v>
      </c>
      <c r="F107" s="84">
        <v>4.4100999999999999</v>
      </c>
      <c r="G107" s="84">
        <v>31.163</v>
      </c>
      <c r="H107" s="84">
        <v>5.3254000000000001</v>
      </c>
      <c r="I107" s="71">
        <v>4.6959</v>
      </c>
      <c r="J107" s="71">
        <f t="shared" ref="J107" si="298">G107-F107</f>
        <v>26.7529</v>
      </c>
      <c r="K107" s="71">
        <f t="shared" ref="K107" si="299">H107-F107</f>
        <v>0.91530000000000022</v>
      </c>
      <c r="L107" s="71">
        <f t="shared" ref="L107" si="300">1000*K107/J107</f>
        <v>34.213113344721513</v>
      </c>
      <c r="M107" s="71">
        <f t="shared" ref="M107" si="301">I107-F107</f>
        <v>0.28580000000000005</v>
      </c>
      <c r="N107" s="71">
        <f t="shared" ref="N107" si="302">1000*M107/J107</f>
        <v>10.682953997510552</v>
      </c>
      <c r="O107" s="71">
        <f t="shared" ref="O107" si="303">K107-M107</f>
        <v>0.62950000000000017</v>
      </c>
      <c r="P107" s="71">
        <f t="shared" ref="P107" si="304">1000*O107/J107</f>
        <v>23.530159347210965</v>
      </c>
      <c r="Q107" s="71">
        <f t="shared" si="193"/>
        <v>68.775264940456694</v>
      </c>
      <c r="R107" s="129">
        <f>7.62-0.12</f>
        <v>7.5</v>
      </c>
      <c r="S107" s="84"/>
      <c r="T107" s="84"/>
      <c r="U107" s="84"/>
      <c r="V107" s="84"/>
      <c r="W107" s="84"/>
      <c r="X107" s="84"/>
      <c r="Y107" s="84"/>
      <c r="AA107" s="84"/>
      <c r="AB107" s="84"/>
      <c r="AC107" s="84"/>
      <c r="AD107" s="71"/>
      <c r="AE107" s="84"/>
      <c r="AF107" s="71"/>
      <c r="AG107" s="84"/>
      <c r="AH107" s="71"/>
      <c r="AI107" s="71"/>
      <c r="AJ107" s="71"/>
      <c r="AK107" s="71"/>
      <c r="AL107" s="71"/>
      <c r="AM107" s="71"/>
      <c r="AN107" s="71"/>
      <c r="AO107" s="71"/>
    </row>
    <row r="108" spans="1:45" ht="15" customHeight="1" x14ac:dyDescent="0.25">
      <c r="A108" s="100" t="s">
        <v>424</v>
      </c>
      <c r="B108" s="100" t="s">
        <v>167</v>
      </c>
      <c r="C108" s="72" t="str">
        <f t="shared" si="210"/>
        <v>04-03-2024 11:00</v>
      </c>
      <c r="D108" s="13">
        <f t="shared" si="211"/>
        <v>135.79166666666666</v>
      </c>
      <c r="E108" s="82">
        <v>804</v>
      </c>
      <c r="F108" s="71"/>
      <c r="G108" s="71"/>
      <c r="H108" s="71"/>
      <c r="I108" s="71"/>
      <c r="J108" s="71">
        <f t="shared" ref="J108" si="305">G108-F108</f>
        <v>0</v>
      </c>
      <c r="K108" s="71">
        <f t="shared" ref="K108" si="306">H108-F108</f>
        <v>0</v>
      </c>
      <c r="L108" s="71" t="e">
        <f t="shared" ref="L108" si="307">1000*K108/J108</f>
        <v>#DIV/0!</v>
      </c>
      <c r="M108" s="71">
        <f t="shared" ref="M108" si="308">I108-F108</f>
        <v>0</v>
      </c>
      <c r="N108" s="71" t="e">
        <f t="shared" ref="N108" si="309">1000*M108/J108</f>
        <v>#DIV/0!</v>
      </c>
      <c r="O108" s="71">
        <f t="shared" ref="O108" si="310">K108-M108</f>
        <v>0</v>
      </c>
      <c r="P108" s="71" t="e">
        <f t="shared" ref="P108" si="311">1000*O108/J108</f>
        <v>#DIV/0!</v>
      </c>
      <c r="Q108" s="84"/>
      <c r="R108" s="84">
        <f>7.67-0.12</f>
        <v>7.55</v>
      </c>
      <c r="S108" s="84"/>
      <c r="T108" s="84"/>
      <c r="U108" s="84"/>
      <c r="V108" s="84"/>
      <c r="W108" s="84"/>
      <c r="X108" s="84"/>
      <c r="Y108" s="84">
        <f t="shared" si="290"/>
        <v>307.09983263999999</v>
      </c>
      <c r="Z108" s="71">
        <v>3.4350000000000001</v>
      </c>
      <c r="AA108" s="84">
        <v>14.412000000000001</v>
      </c>
      <c r="AB108" s="71">
        <v>0</v>
      </c>
      <c r="AC108" s="84">
        <f t="shared" ref="AC108:AC113" si="312">IF(Y108="&lt; 10 ppm",5*64/60,Y108*64/60)</f>
        <v>327.573154816</v>
      </c>
      <c r="AD108" s="71">
        <f t="shared" ref="AD108:AD113" si="313">IF(Z108="&lt; 10 ppm",5*112/74,Z108*112/74)</f>
        <v>5.1989189189189196</v>
      </c>
      <c r="AE108" s="84">
        <f t="shared" ref="AE108:AE113" si="314">IF(AA108="&lt; 10 ppm",5*160/88,AA108*160/88)</f>
        <v>26.203636363636363</v>
      </c>
      <c r="AF108" s="71">
        <f t="shared" ref="AF108:AF113" si="315">IF(AB108="&lt; 10 ppm",5*208/102,AB108*208/102)</f>
        <v>0</v>
      </c>
      <c r="AG108" s="84">
        <f t="shared" ref="AG108:AG113" si="316">SUM(AC108:AF108)</f>
        <v>358.97571009855528</v>
      </c>
      <c r="AH108" s="71"/>
      <c r="AI108" s="71"/>
      <c r="AJ108" s="71"/>
      <c r="AK108" s="71"/>
      <c r="AL108" s="71"/>
      <c r="AM108" s="71"/>
      <c r="AN108" s="71"/>
      <c r="AO108" s="71"/>
      <c r="AS108">
        <v>353.71199999999999</v>
      </c>
    </row>
    <row r="109" spans="1:45" ht="15" customHeight="1" x14ac:dyDescent="0.25">
      <c r="A109" s="100" t="s">
        <v>425</v>
      </c>
      <c r="B109" s="100" t="s">
        <v>196</v>
      </c>
      <c r="C109" s="72" t="str">
        <f t="shared" si="210"/>
        <v>06-03-2024 16:00</v>
      </c>
      <c r="D109" s="13">
        <f t="shared" si="211"/>
        <v>138.20833333333334</v>
      </c>
      <c r="E109" s="82">
        <v>739.3</v>
      </c>
      <c r="F109" s="71">
        <v>4.3495999999999997</v>
      </c>
      <c r="G109" s="71">
        <v>28.3887</v>
      </c>
      <c r="H109" s="71">
        <v>5.2210000000000001</v>
      </c>
      <c r="I109" s="71"/>
      <c r="J109" s="71">
        <f t="shared" ref="J109" si="317">G109-F109</f>
        <v>24.039100000000001</v>
      </c>
      <c r="K109" s="71">
        <f t="shared" ref="K109" si="318">H109-F109</f>
        <v>0.8714000000000004</v>
      </c>
      <c r="L109" s="71">
        <f t="shared" ref="L109" si="319">1000*K109/J109</f>
        <v>36.249277219197076</v>
      </c>
      <c r="M109" s="71">
        <f t="shared" ref="M109" si="320">I109-F109</f>
        <v>-4.3495999999999997</v>
      </c>
      <c r="N109" s="71">
        <f t="shared" ref="N109" si="321">1000*M109/J109</f>
        <v>-180.9385542719985</v>
      </c>
      <c r="O109" s="71">
        <f t="shared" ref="O109" si="322">K109-M109</f>
        <v>5.2210000000000001</v>
      </c>
      <c r="P109" s="71">
        <f t="shared" ref="P109" si="323">1000*O109/J109</f>
        <v>217.1878314911956</v>
      </c>
      <c r="Q109" s="84"/>
      <c r="R109" s="84">
        <v>7.5</v>
      </c>
      <c r="S109" s="84"/>
      <c r="T109" s="84"/>
      <c r="U109" s="84"/>
      <c r="V109" s="84"/>
      <c r="W109" s="84"/>
      <c r="X109" s="84"/>
      <c r="Y109" s="84">
        <f t="shared" si="290"/>
        <v>732.91746341999999</v>
      </c>
      <c r="Z109" s="71" t="s">
        <v>393</v>
      </c>
      <c r="AA109" s="84">
        <v>11.058999999999999</v>
      </c>
      <c r="AB109" s="71">
        <v>0</v>
      </c>
      <c r="AC109" s="84">
        <f t="shared" si="312"/>
        <v>781.778627648</v>
      </c>
      <c r="AD109" s="71">
        <f t="shared" si="313"/>
        <v>7.5675675675675675</v>
      </c>
      <c r="AE109" s="84">
        <f t="shared" si="314"/>
        <v>20.107272727272726</v>
      </c>
      <c r="AF109" s="71">
        <f t="shared" si="315"/>
        <v>0</v>
      </c>
      <c r="AG109" s="84">
        <f t="shared" si="316"/>
        <v>809.45346794284035</v>
      </c>
      <c r="AH109" s="71"/>
      <c r="AI109" s="71"/>
      <c r="AJ109" s="71"/>
      <c r="AK109" s="71"/>
      <c r="AL109" s="71"/>
      <c r="AM109" s="71"/>
      <c r="AN109" s="71"/>
      <c r="AO109" s="71"/>
      <c r="AS109">
        <v>844.16099999999994</v>
      </c>
    </row>
    <row r="110" spans="1:45" ht="15" customHeight="1" x14ac:dyDescent="0.25">
      <c r="A110" s="100" t="s">
        <v>426</v>
      </c>
      <c r="B110" s="100" t="s">
        <v>196</v>
      </c>
      <c r="C110" s="72" t="str">
        <f t="shared" si="210"/>
        <v>08-03-2024 16:00</v>
      </c>
      <c r="D110" s="13">
        <f t="shared" si="211"/>
        <v>140</v>
      </c>
      <c r="E110" s="82">
        <v>1006.5</v>
      </c>
      <c r="F110" s="71">
        <v>4.3701999999999996</v>
      </c>
      <c r="G110" s="71">
        <v>36.814700000000002</v>
      </c>
      <c r="H110" s="71">
        <v>5.5191999999999997</v>
      </c>
      <c r="I110" s="71"/>
      <c r="J110" s="71">
        <f t="shared" ref="J110" si="324">G110-F110</f>
        <v>32.444500000000005</v>
      </c>
      <c r="K110" s="71">
        <f t="shared" ref="K110" si="325">H110-F110</f>
        <v>1.149</v>
      </c>
      <c r="L110" s="71">
        <f t="shared" ref="L110" si="326">1000*K110/J110</f>
        <v>35.414322920679922</v>
      </c>
      <c r="M110" s="71">
        <f t="shared" ref="M110" si="327">I110-F110</f>
        <v>-4.3701999999999996</v>
      </c>
      <c r="N110" s="71">
        <f t="shared" ref="N110" si="328">1000*M110/J110</f>
        <v>-134.69771455870793</v>
      </c>
      <c r="O110" s="71">
        <f t="shared" ref="O110" si="329">K110-M110</f>
        <v>5.5191999999999997</v>
      </c>
      <c r="P110" s="71">
        <f t="shared" ref="P110" si="330">1000*O110/J110</f>
        <v>170.11203747938785</v>
      </c>
      <c r="Q110" s="84"/>
      <c r="R110" s="84">
        <v>7.51</v>
      </c>
      <c r="S110" s="84"/>
      <c r="T110" s="84"/>
      <c r="U110" s="84"/>
      <c r="V110" s="84"/>
      <c r="W110" s="84"/>
      <c r="X110" s="84"/>
      <c r="Y110" s="84">
        <f t="shared" si="290"/>
        <v>536.50439391999998</v>
      </c>
      <c r="Z110" s="71" t="s">
        <v>393</v>
      </c>
      <c r="AA110" s="84">
        <v>12.226000000000001</v>
      </c>
      <c r="AB110" s="71">
        <v>0</v>
      </c>
      <c r="AC110" s="84">
        <f t="shared" si="312"/>
        <v>572.27135351466666</v>
      </c>
      <c r="AD110" s="71">
        <f t="shared" si="313"/>
        <v>7.5675675675675675</v>
      </c>
      <c r="AE110" s="84">
        <f t="shared" si="314"/>
        <v>22.22909090909091</v>
      </c>
      <c r="AF110" s="71">
        <f t="shared" si="315"/>
        <v>0</v>
      </c>
      <c r="AG110" s="84">
        <f t="shared" si="316"/>
        <v>602.06801199132519</v>
      </c>
      <c r="AH110" s="71"/>
      <c r="AI110" s="71"/>
      <c r="AJ110" s="71"/>
      <c r="AK110" s="71"/>
      <c r="AL110" s="71"/>
      <c r="AM110" s="71"/>
      <c r="AN110" s="71"/>
      <c r="AO110" s="71"/>
      <c r="AS110">
        <v>617.93600000000004</v>
      </c>
    </row>
    <row r="111" spans="1:45" ht="15" customHeight="1" x14ac:dyDescent="0.25">
      <c r="A111" s="100" t="s">
        <v>245</v>
      </c>
      <c r="B111" s="100" t="s">
        <v>223</v>
      </c>
      <c r="C111" s="72" t="str">
        <f t="shared" si="210"/>
        <v>11-03-2024 11:30</v>
      </c>
      <c r="D111" s="13">
        <f t="shared" si="211"/>
        <v>142.8125</v>
      </c>
      <c r="E111" s="82">
        <v>778</v>
      </c>
      <c r="F111" s="71"/>
      <c r="G111" s="71"/>
      <c r="H111" s="71"/>
      <c r="I111" s="71"/>
      <c r="J111" s="71"/>
      <c r="K111" s="71"/>
      <c r="L111" s="71"/>
      <c r="M111" s="71"/>
      <c r="N111" s="71"/>
      <c r="O111" s="71"/>
      <c r="P111" s="71"/>
      <c r="Q111" s="84"/>
      <c r="R111" s="84">
        <v>7.56</v>
      </c>
      <c r="S111" s="84"/>
      <c r="T111" s="84"/>
      <c r="U111" s="84"/>
      <c r="V111" s="84"/>
      <c r="W111" s="84"/>
      <c r="X111" s="84"/>
      <c r="Y111" s="84">
        <f t="shared" si="290"/>
        <v>303.48369633999999</v>
      </c>
      <c r="Z111" s="71" t="s">
        <v>393</v>
      </c>
      <c r="AA111" s="84">
        <v>11.334</v>
      </c>
      <c r="AB111" s="71">
        <v>0</v>
      </c>
      <c r="AC111" s="84">
        <f t="shared" si="312"/>
        <v>323.71594276266666</v>
      </c>
      <c r="AD111" s="71">
        <f t="shared" si="313"/>
        <v>7.5675675675675675</v>
      </c>
      <c r="AE111" s="84">
        <f t="shared" si="314"/>
        <v>20.607272727272729</v>
      </c>
      <c r="AF111" s="71">
        <f t="shared" si="315"/>
        <v>0</v>
      </c>
      <c r="AG111" s="84">
        <f t="shared" si="316"/>
        <v>351.89078305750695</v>
      </c>
      <c r="AH111" s="71"/>
      <c r="AI111" s="71"/>
      <c r="AJ111" s="71"/>
      <c r="AK111" s="71"/>
      <c r="AL111" s="71"/>
      <c r="AM111" s="71"/>
      <c r="AN111" s="71"/>
      <c r="AO111" s="71"/>
      <c r="AS111">
        <v>349.54700000000003</v>
      </c>
    </row>
    <row r="112" spans="1:45" ht="15" customHeight="1" x14ac:dyDescent="0.25">
      <c r="A112" s="100" t="s">
        <v>246</v>
      </c>
      <c r="B112" s="100" t="s">
        <v>156</v>
      </c>
      <c r="C112" s="72" t="str">
        <f t="shared" si="210"/>
        <v>13-03-2024 10:00</v>
      </c>
      <c r="D112" s="13">
        <f t="shared" si="211"/>
        <v>144.9375</v>
      </c>
      <c r="E112" s="82">
        <v>707</v>
      </c>
      <c r="F112" s="71">
        <v>4.3749000000000002</v>
      </c>
      <c r="G112" s="71">
        <v>25.391400000000001</v>
      </c>
      <c r="H112" s="71">
        <v>5.1779000000000002</v>
      </c>
      <c r="I112" s="71"/>
      <c r="J112" s="71">
        <f t="shared" ref="J112" si="331">G112-F112</f>
        <v>21.016500000000001</v>
      </c>
      <c r="K112" s="71">
        <f t="shared" ref="K112" si="332">H112-F112</f>
        <v>0.80299999999999994</v>
      </c>
      <c r="L112" s="71">
        <f t="shared" ref="L112" si="333">1000*K112/J112</f>
        <v>38.208074608046054</v>
      </c>
      <c r="M112" s="71">
        <f t="shared" ref="M112" si="334">I112-F112</f>
        <v>-4.3749000000000002</v>
      </c>
      <c r="N112" s="71">
        <f t="shared" ref="N112" si="335">1000*M112/J112</f>
        <v>-208.16501320391123</v>
      </c>
      <c r="O112" s="71">
        <f t="shared" ref="O112" si="336">K112-M112</f>
        <v>5.1779000000000002</v>
      </c>
      <c r="P112" s="71">
        <f t="shared" ref="P112" si="337">1000*O112/J112</f>
        <v>246.37308781195728</v>
      </c>
      <c r="Q112" s="84"/>
      <c r="R112" s="84">
        <v>7.49</v>
      </c>
      <c r="S112" s="84">
        <f>5014*2</f>
        <v>10028</v>
      </c>
      <c r="T112" s="84">
        <v>0.34599999999999997</v>
      </c>
      <c r="U112" s="84">
        <v>3075</v>
      </c>
      <c r="V112" s="84">
        <f>43.9*25</f>
        <v>1097.5</v>
      </c>
      <c r="W112" s="84"/>
      <c r="X112" s="84">
        <f>33*250</f>
        <v>8250</v>
      </c>
      <c r="Y112" s="84">
        <f t="shared" si="290"/>
        <v>295.77737561999999</v>
      </c>
      <c r="Z112" s="71" t="s">
        <v>393</v>
      </c>
      <c r="AA112" s="84">
        <v>10.682</v>
      </c>
      <c r="AB112" s="71">
        <v>0</v>
      </c>
      <c r="AC112" s="84">
        <f t="shared" si="312"/>
        <v>315.49586732799997</v>
      </c>
      <c r="AD112" s="71">
        <f t="shared" si="313"/>
        <v>7.5675675675675675</v>
      </c>
      <c r="AE112" s="84">
        <f t="shared" si="314"/>
        <v>19.421818181818182</v>
      </c>
      <c r="AF112" s="71">
        <f t="shared" si="315"/>
        <v>0</v>
      </c>
      <c r="AG112" s="84">
        <f t="shared" si="316"/>
        <v>342.48525307738572</v>
      </c>
      <c r="AH112" s="71">
        <f>136*250</f>
        <v>34000</v>
      </c>
      <c r="AI112" s="71"/>
      <c r="AJ112" s="71">
        <f>92.2*25</f>
        <v>2305</v>
      </c>
      <c r="AK112" s="71"/>
      <c r="AL112" s="71"/>
      <c r="AM112" s="71"/>
      <c r="AN112" s="71"/>
      <c r="AO112" s="71"/>
      <c r="AS112">
        <v>340.67099999999999</v>
      </c>
    </row>
    <row r="113" spans="1:45" ht="15" customHeight="1" x14ac:dyDescent="0.25">
      <c r="A113" s="100" t="s">
        <v>247</v>
      </c>
      <c r="B113" s="100" t="s">
        <v>223</v>
      </c>
      <c r="C113" s="72" t="str">
        <f t="shared" si="210"/>
        <v>15-03-2024 11:30</v>
      </c>
      <c r="D113" s="13">
        <f t="shared" si="211"/>
        <v>147.0625</v>
      </c>
      <c r="E113" s="82">
        <v>983</v>
      </c>
      <c r="F113" s="71">
        <v>4.4904000000000002</v>
      </c>
      <c r="G113" s="71">
        <v>39.518300000000004</v>
      </c>
      <c r="H113" s="71">
        <v>5.8402000000000003</v>
      </c>
      <c r="I113" s="71">
        <v>4.7348999999999997</v>
      </c>
      <c r="J113" s="71">
        <f>G113-F113</f>
        <v>35.027900000000002</v>
      </c>
      <c r="K113" s="71">
        <f>H113-F113</f>
        <v>1.3498000000000001</v>
      </c>
      <c r="L113" s="71">
        <f>1000*K113/J113</f>
        <v>38.534996388593093</v>
      </c>
      <c r="M113" s="71">
        <f>I113-F113</f>
        <v>0.2444999999999995</v>
      </c>
      <c r="N113" s="71">
        <f>1000*M113/J113</f>
        <v>6.9801501089131657</v>
      </c>
      <c r="O113" s="71">
        <f>K113-M113</f>
        <v>1.1053000000000006</v>
      </c>
      <c r="P113" s="71">
        <f>1000*O113/J113</f>
        <v>31.554846279679929</v>
      </c>
      <c r="Q113" s="84"/>
      <c r="R113" s="84">
        <v>7.51</v>
      </c>
      <c r="S113" s="84"/>
      <c r="T113" s="84"/>
      <c r="U113" s="84"/>
      <c r="V113" s="84"/>
      <c r="W113" s="84"/>
      <c r="X113" s="84"/>
      <c r="Y113" s="84">
        <f>AS113*(1-0.13178)</f>
        <v>397.58398460000001</v>
      </c>
      <c r="Z113" s="71" t="s">
        <v>393</v>
      </c>
      <c r="AA113" s="84">
        <v>10.426</v>
      </c>
      <c r="AB113" s="71">
        <v>0</v>
      </c>
      <c r="AC113" s="84">
        <f t="shared" si="312"/>
        <v>424.08958357333336</v>
      </c>
      <c r="AD113" s="71">
        <f t="shared" si="313"/>
        <v>7.5675675675675675</v>
      </c>
      <c r="AE113" s="84">
        <f t="shared" si="314"/>
        <v>18.956363636363637</v>
      </c>
      <c r="AF113" s="71">
        <f t="shared" si="315"/>
        <v>0</v>
      </c>
      <c r="AG113" s="84">
        <f t="shared" si="316"/>
        <v>450.61351477726453</v>
      </c>
      <c r="AH113" s="71"/>
      <c r="AI113" s="71"/>
      <c r="AJ113" s="71"/>
      <c r="AK113" s="71"/>
      <c r="AL113" s="71"/>
      <c r="AM113" s="71"/>
      <c r="AN113" s="71"/>
      <c r="AO113" s="71"/>
      <c r="AS113">
        <v>457.93</v>
      </c>
    </row>
    <row r="114" spans="1:45" ht="15" customHeight="1" x14ac:dyDescent="0.25">
      <c r="A114" s="100" t="s">
        <v>247</v>
      </c>
      <c r="B114" s="100" t="s">
        <v>233</v>
      </c>
      <c r="C114" s="72" t="str">
        <f t="shared" si="210"/>
        <v>15-03-2024 15:30</v>
      </c>
      <c r="D114" s="13">
        <f t="shared" si="211"/>
        <v>147.16666666666666</v>
      </c>
      <c r="E114" s="82">
        <v>25</v>
      </c>
      <c r="F114" s="71"/>
      <c r="G114" s="71"/>
      <c r="H114" s="71"/>
      <c r="I114" s="71"/>
      <c r="J114" s="71"/>
      <c r="K114" s="71"/>
      <c r="L114" s="71"/>
      <c r="M114" s="71"/>
      <c r="N114" s="71"/>
      <c r="O114" s="71"/>
      <c r="P114" s="71"/>
      <c r="Q114" s="84"/>
      <c r="R114" s="129">
        <v>7.41</v>
      </c>
      <c r="S114" s="84"/>
      <c r="T114" s="84"/>
      <c r="U114" s="84"/>
      <c r="V114" s="84"/>
      <c r="W114" s="84"/>
      <c r="X114" s="84"/>
      <c r="AC114" s="84"/>
      <c r="AD114" s="71"/>
      <c r="AE114" s="84"/>
      <c r="AF114" s="71"/>
      <c r="AG114" s="84"/>
      <c r="AH114" s="71"/>
      <c r="AI114" s="71"/>
      <c r="AJ114" s="71"/>
      <c r="AK114" s="71"/>
      <c r="AL114" s="71"/>
      <c r="AM114" s="71"/>
      <c r="AN114" s="71"/>
      <c r="AO114" s="71"/>
    </row>
    <row r="115" spans="1:45" ht="15" customHeight="1" x14ac:dyDescent="0.25">
      <c r="A115" s="100" t="s">
        <v>248</v>
      </c>
      <c r="B115" s="100" t="s">
        <v>180</v>
      </c>
      <c r="C115" s="72" t="str">
        <f t="shared" si="210"/>
        <v>18-03-2024 12:00</v>
      </c>
      <c r="D115" s="13">
        <f t="shared" si="211"/>
        <v>149.85416666666666</v>
      </c>
      <c r="E115" s="82">
        <v>802.55</v>
      </c>
      <c r="F115" s="71">
        <v>4.4630000000000001</v>
      </c>
      <c r="G115" s="71">
        <v>29.811199999999999</v>
      </c>
      <c r="H115" s="71">
        <v>5.4314999999999998</v>
      </c>
      <c r="I115" s="71"/>
      <c r="J115" s="71">
        <f>G115-F115</f>
        <v>25.348199999999999</v>
      </c>
      <c r="K115" s="71">
        <f>H115-F115</f>
        <v>0.96849999999999969</v>
      </c>
      <c r="L115" s="71">
        <f>1000*K115/J115</f>
        <v>38.207841187934434</v>
      </c>
      <c r="M115" s="71"/>
      <c r="N115" s="71"/>
      <c r="O115" s="71"/>
      <c r="P115" s="71"/>
      <c r="Q115" s="84"/>
      <c r="R115" s="84">
        <v>7.5</v>
      </c>
      <c r="S115" s="84"/>
      <c r="T115" s="84"/>
      <c r="U115" s="84"/>
      <c r="V115" s="84"/>
      <c r="W115" s="84"/>
      <c r="X115" s="84"/>
      <c r="Y115" s="84">
        <f t="shared" si="290"/>
        <v>364.31639885999999</v>
      </c>
      <c r="Z115" s="71" t="s">
        <v>393</v>
      </c>
      <c r="AA115" s="84">
        <v>10.845000000000001</v>
      </c>
      <c r="AB115" s="71">
        <v>0</v>
      </c>
      <c r="AC115" s="84">
        <f t="shared" ref="AC115" si="338">IF(Y115="&lt; 10 ppm",5*64/60,Y115*64/60)</f>
        <v>388.60415878399999</v>
      </c>
      <c r="AD115" s="71">
        <f t="shared" ref="AD115" si="339">IF(Z115="&lt; 10 ppm",5*112/74,Z115*112/74)</f>
        <v>7.5675675675675675</v>
      </c>
      <c r="AE115" s="84">
        <f t="shared" ref="AE115" si="340">IF(AA115="&lt; 10 ppm",5*160/88,AA115*160/88)</f>
        <v>19.718181818181819</v>
      </c>
      <c r="AF115" s="71">
        <f t="shared" ref="AF115" si="341">IF(AB115="&lt; 10 ppm",5*208/102,AB115*208/102)</f>
        <v>0</v>
      </c>
      <c r="AG115" s="84">
        <f t="shared" ref="AG115" si="342">SUM(AC115:AF115)</f>
        <v>415.88990816974933</v>
      </c>
      <c r="AH115" s="71"/>
      <c r="AI115" s="71"/>
      <c r="AJ115" s="71"/>
      <c r="AK115" s="71"/>
      <c r="AL115" s="71"/>
      <c r="AM115" s="71"/>
      <c r="AN115" s="104" t="s">
        <v>427</v>
      </c>
      <c r="AO115" s="71"/>
      <c r="AS115">
        <v>419.613</v>
      </c>
    </row>
    <row r="116" spans="1:45" ht="15" customHeight="1" x14ac:dyDescent="0.25">
      <c r="A116" s="100" t="s">
        <v>248</v>
      </c>
      <c r="B116" s="100" t="s">
        <v>196</v>
      </c>
      <c r="C116" s="72" t="str">
        <f t="shared" si="210"/>
        <v>18-03-2024 16:00</v>
      </c>
      <c r="D116" s="13">
        <f t="shared" si="211"/>
        <v>150.16666666666666</v>
      </c>
      <c r="E116" s="82">
        <v>25</v>
      </c>
      <c r="F116" s="71"/>
      <c r="G116" s="71"/>
      <c r="H116" s="71"/>
      <c r="I116" s="71"/>
      <c r="J116" s="71"/>
      <c r="K116" s="71"/>
      <c r="L116" s="71"/>
      <c r="M116" s="71"/>
      <c r="N116" s="71"/>
      <c r="O116" s="71"/>
      <c r="P116" s="71"/>
      <c r="Q116" s="84"/>
      <c r="R116" s="84">
        <v>7.49</v>
      </c>
      <c r="S116" s="84"/>
      <c r="T116" s="84"/>
      <c r="U116" s="84"/>
      <c r="V116" s="84"/>
      <c r="W116" s="84"/>
      <c r="X116" s="84"/>
      <c r="Y116" s="84">
        <f t="shared" si="290"/>
        <v>950.43435646</v>
      </c>
      <c r="Z116">
        <v>104.828</v>
      </c>
      <c r="AA116" s="82">
        <v>20.466000000000001</v>
      </c>
      <c r="AB116" s="133">
        <v>10.201000000000001</v>
      </c>
      <c r="AC116" s="84">
        <f t="shared" ref="AC116:AC135" si="343">IF(Y116="&lt; 10 ppm",5*64/60,Y116*64/60)</f>
        <v>1013.7966468906667</v>
      </c>
      <c r="AD116" s="71">
        <f t="shared" ref="AD116:AD135" si="344">IF(Z116="&lt; 10 ppm",5*112/74,Z116*112/74)</f>
        <v>158.6585945945946</v>
      </c>
      <c r="AE116" s="84">
        <f t="shared" ref="AE116:AE135" si="345">IF(AA116="&lt; 10 ppm",5*160/88,AA116*160/88)</f>
        <v>37.210909090909098</v>
      </c>
      <c r="AF116" s="71">
        <f t="shared" ref="AF116:AF135" si="346">IF(AB116="&lt; 10 ppm",5*208/102,AB116*208/102)</f>
        <v>20.802039215686275</v>
      </c>
      <c r="AG116" s="84">
        <f t="shared" ref="AG116:AG135" si="347">SUM(AC116:AF116)</f>
        <v>1230.4681897918567</v>
      </c>
      <c r="AH116" s="71"/>
      <c r="AI116" s="71"/>
      <c r="AJ116" s="71"/>
      <c r="AK116" s="71"/>
      <c r="AL116" s="71"/>
      <c r="AM116" s="71"/>
      <c r="AN116" s="71"/>
      <c r="AO116" s="71"/>
      <c r="AS116">
        <v>1094.693</v>
      </c>
    </row>
    <row r="117" spans="1:45" ht="15" customHeight="1" x14ac:dyDescent="0.25">
      <c r="A117" s="100" t="s">
        <v>248</v>
      </c>
      <c r="B117" s="100" t="s">
        <v>163</v>
      </c>
      <c r="C117" s="72" t="str">
        <f t="shared" si="210"/>
        <v>18-03-2024 17:00</v>
      </c>
      <c r="D117" s="13">
        <f t="shared" si="211"/>
        <v>150.04166666666666</v>
      </c>
      <c r="E117" s="82">
        <v>25</v>
      </c>
      <c r="F117" s="71"/>
      <c r="G117" s="71"/>
      <c r="H117" s="71"/>
      <c r="I117" s="71"/>
      <c r="J117" s="71"/>
      <c r="K117" s="71"/>
      <c r="L117" s="71"/>
      <c r="M117" s="71"/>
      <c r="N117" s="71"/>
      <c r="O117" s="71"/>
      <c r="P117" s="71"/>
      <c r="Q117" s="84"/>
      <c r="R117" s="129">
        <v>7.47</v>
      </c>
      <c r="S117" s="84"/>
      <c r="T117" s="84"/>
      <c r="U117" s="84"/>
      <c r="V117" s="84"/>
      <c r="W117" s="84"/>
      <c r="X117" s="84"/>
      <c r="Y117" s="84"/>
      <c r="AC117" s="84"/>
      <c r="AD117" s="71"/>
      <c r="AE117" s="84"/>
      <c r="AF117" s="71"/>
      <c r="AG117" s="84"/>
      <c r="AH117" s="71"/>
      <c r="AI117" s="71"/>
      <c r="AJ117" s="71"/>
      <c r="AK117" s="71"/>
      <c r="AL117" s="71"/>
      <c r="AM117" s="71"/>
      <c r="AN117" s="71"/>
      <c r="AO117" s="71"/>
    </row>
    <row r="118" spans="1:45" ht="15" customHeight="1" x14ac:dyDescent="0.25">
      <c r="A118" s="100" t="s">
        <v>276</v>
      </c>
      <c r="B118" s="100" t="s">
        <v>167</v>
      </c>
      <c r="C118" s="72" t="str">
        <f t="shared" si="210"/>
        <v>25-03-2024 11:00</v>
      </c>
      <c r="D118" s="13">
        <f t="shared" si="211"/>
        <v>156.75</v>
      </c>
      <c r="E118" s="82">
        <v>100</v>
      </c>
      <c r="F118" s="71">
        <v>4.3749000000000002</v>
      </c>
      <c r="G118" s="71">
        <v>25.391400000000001</v>
      </c>
      <c r="H118" s="71">
        <v>5.1779000000000002</v>
      </c>
      <c r="I118" s="71"/>
      <c r="J118" s="71">
        <f t="shared" ref="J118" si="348">G118-F118</f>
        <v>21.016500000000001</v>
      </c>
      <c r="K118" s="71">
        <f t="shared" ref="K118" si="349">H118-F118</f>
        <v>0.80299999999999994</v>
      </c>
      <c r="L118" s="71">
        <f t="shared" ref="L118" si="350">1000*K118/J118</f>
        <v>38.208074608046054</v>
      </c>
      <c r="M118" s="71">
        <f t="shared" ref="M118" si="351">I118-F118</f>
        <v>-4.3749000000000002</v>
      </c>
      <c r="N118" s="71">
        <f t="shared" ref="N118" si="352">1000*M118/J118</f>
        <v>-208.16501320391123</v>
      </c>
      <c r="O118" s="71">
        <f t="shared" ref="O118" si="353">K118-M118</f>
        <v>5.1779000000000002</v>
      </c>
      <c r="P118" s="71">
        <f t="shared" ref="P118" si="354">1000*O118/J118</f>
        <v>246.37308781195728</v>
      </c>
      <c r="Q118" s="84"/>
      <c r="R118" s="84">
        <v>7.49</v>
      </c>
      <c r="S118" s="84">
        <f>4280*2</f>
        <v>8560</v>
      </c>
      <c r="T118" s="84">
        <v>0.23100000000000001</v>
      </c>
      <c r="U118" s="84">
        <v>2154</v>
      </c>
      <c r="V118" s="84">
        <f>23*50</f>
        <v>1150</v>
      </c>
      <c r="W118" s="84">
        <f>3.43*50</f>
        <v>171.5</v>
      </c>
      <c r="X118" s="129">
        <f>36*500</f>
        <v>18000</v>
      </c>
      <c r="Y118" s="84">
        <f t="shared" si="290"/>
        <v>222.52739066000001</v>
      </c>
      <c r="Z118" s="71" t="s">
        <v>393</v>
      </c>
      <c r="AA118" s="84">
        <v>10.18</v>
      </c>
      <c r="AB118" s="71">
        <v>0</v>
      </c>
      <c r="AC118" s="84">
        <f t="shared" si="343"/>
        <v>237.36255003733334</v>
      </c>
      <c r="AD118" s="71">
        <f t="shared" si="344"/>
        <v>7.5675675675675675</v>
      </c>
      <c r="AE118" s="84">
        <f t="shared" si="345"/>
        <v>18.509090909090908</v>
      </c>
      <c r="AF118" s="71">
        <f t="shared" si="346"/>
        <v>0</v>
      </c>
      <c r="AG118" s="84">
        <f t="shared" si="347"/>
        <v>263.43920851399184</v>
      </c>
      <c r="AH118" s="130">
        <f>93.4*500</f>
        <v>46700</v>
      </c>
      <c r="AI118" s="71"/>
      <c r="AJ118" s="130">
        <f>79.4*50</f>
        <v>3970.0000000000005</v>
      </c>
      <c r="AK118" s="71"/>
      <c r="AL118" s="71"/>
      <c r="AM118" s="71"/>
      <c r="AN118" s="71"/>
      <c r="AO118" s="71"/>
      <c r="AS118">
        <v>256.303</v>
      </c>
    </row>
    <row r="119" spans="1:45" ht="15" customHeight="1" x14ac:dyDescent="0.25">
      <c r="A119" s="100" t="s">
        <v>282</v>
      </c>
      <c r="B119" s="100" t="s">
        <v>167</v>
      </c>
      <c r="C119" s="72" t="str">
        <f t="shared" si="210"/>
        <v>26-03-2024 11:00</v>
      </c>
      <c r="D119" s="13">
        <f t="shared" si="211"/>
        <v>158</v>
      </c>
      <c r="E119" s="82">
        <v>100</v>
      </c>
      <c r="F119" s="71">
        <v>4.45</v>
      </c>
      <c r="G119" s="71">
        <v>23.3874</v>
      </c>
      <c r="H119" s="71">
        <v>5.2392000000000003</v>
      </c>
      <c r="I119" s="71"/>
      <c r="J119" s="71">
        <f t="shared" ref="J119:J121" si="355">G119-F119</f>
        <v>18.9374</v>
      </c>
      <c r="K119" s="71">
        <f t="shared" ref="K119:K121" si="356">H119-F119</f>
        <v>0.78920000000000012</v>
      </c>
      <c r="L119" s="71">
        <f t="shared" ref="L119:L121" si="357">1000*K119/J119</f>
        <v>41.674147454243993</v>
      </c>
      <c r="M119" s="71">
        <f t="shared" ref="M119:M121" si="358">I119-F119</f>
        <v>-4.45</v>
      </c>
      <c r="N119" s="71">
        <f t="shared" ref="N119:N121" si="359">1000*M119/J119</f>
        <v>-234.98473919334228</v>
      </c>
      <c r="O119" s="71">
        <f t="shared" ref="O119:O121" si="360">K119-M119</f>
        <v>5.2392000000000003</v>
      </c>
      <c r="P119" s="71">
        <f t="shared" ref="P119:P121" si="361">1000*O119/J119</f>
        <v>276.65888664758631</v>
      </c>
      <c r="Q119" s="84"/>
      <c r="R119" s="84">
        <v>7.41</v>
      </c>
      <c r="S119" s="84"/>
      <c r="T119" s="84"/>
      <c r="U119" s="84"/>
      <c r="V119" s="84"/>
      <c r="W119" s="84"/>
      <c r="X119" s="84"/>
      <c r="Y119" s="84">
        <f>AS119*(1-0.13178)</f>
        <v>452.15855736000003</v>
      </c>
      <c r="Z119">
        <v>43.576999999999998</v>
      </c>
      <c r="AA119">
        <v>14.928000000000001</v>
      </c>
      <c r="AB119" s="71" t="s">
        <v>393</v>
      </c>
      <c r="AC119" s="84">
        <f t="shared" si="343"/>
        <v>482.30246118400004</v>
      </c>
      <c r="AD119" s="71">
        <f t="shared" si="344"/>
        <v>65.954378378378379</v>
      </c>
      <c r="AE119" s="84">
        <f t="shared" si="345"/>
        <v>27.141818181818181</v>
      </c>
      <c r="AF119" s="71">
        <f t="shared" si="346"/>
        <v>10.196078431372548</v>
      </c>
      <c r="AG119" s="84">
        <f t="shared" si="347"/>
        <v>585.59473617556921</v>
      </c>
      <c r="AH119" s="71"/>
      <c r="AI119" s="71"/>
      <c r="AJ119" s="71"/>
      <c r="AK119" s="71"/>
      <c r="AL119" s="71"/>
      <c r="AM119" s="71"/>
      <c r="AN119" t="s">
        <v>4712</v>
      </c>
      <c r="AO119" s="71"/>
      <c r="AS119">
        <v>520.78800000000001</v>
      </c>
    </row>
    <row r="120" spans="1:45" ht="15" customHeight="1" x14ac:dyDescent="0.25">
      <c r="A120" s="100" t="s">
        <v>282</v>
      </c>
      <c r="B120" s="100" t="s">
        <v>283</v>
      </c>
      <c r="C120" s="72" t="str">
        <f t="shared" si="210"/>
        <v>26-03-2024 12:45</v>
      </c>
      <c r="D120" s="13">
        <f t="shared" si="211"/>
        <v>158.07291666666666</v>
      </c>
      <c r="E120" s="82">
        <v>100</v>
      </c>
      <c r="F120" s="71">
        <v>4.4763999999999999</v>
      </c>
      <c r="G120" s="71">
        <v>33.636499999999998</v>
      </c>
      <c r="H120" s="71">
        <v>6.2396000000000003</v>
      </c>
      <c r="I120" s="71"/>
      <c r="J120" s="71">
        <f t="shared" si="355"/>
        <v>29.1601</v>
      </c>
      <c r="K120" s="71">
        <f t="shared" si="356"/>
        <v>1.7632000000000003</v>
      </c>
      <c r="L120" s="71">
        <f t="shared" si="357"/>
        <v>60.466184958213461</v>
      </c>
      <c r="M120" s="71">
        <f t="shared" si="358"/>
        <v>-4.4763999999999999</v>
      </c>
      <c r="N120" s="71">
        <f t="shared" si="359"/>
        <v>-153.51113336374016</v>
      </c>
      <c r="O120" s="71">
        <f t="shared" si="360"/>
        <v>6.2396000000000003</v>
      </c>
      <c r="P120" s="71">
        <f t="shared" si="361"/>
        <v>213.97731832195365</v>
      </c>
      <c r="Q120" s="84"/>
      <c r="R120" s="84">
        <v>7.33</v>
      </c>
      <c r="S120" s="84"/>
      <c r="T120" s="84">
        <v>0.39300000000000002</v>
      </c>
      <c r="U120" s="84">
        <v>3397</v>
      </c>
      <c r="V120" s="84">
        <f>18*50</f>
        <v>900</v>
      </c>
      <c r="W120" s="84"/>
      <c r="X120" s="84">
        <f>15.3*500</f>
        <v>7650</v>
      </c>
      <c r="Y120" s="84">
        <f>AS120*(1-0.13178)</f>
        <v>668.66397410000002</v>
      </c>
      <c r="Z120" s="84">
        <v>130.68600000000001</v>
      </c>
      <c r="AA120" s="84" t="s">
        <v>393</v>
      </c>
      <c r="AB120" s="84">
        <v>0</v>
      </c>
      <c r="AC120" s="84">
        <f t="shared" si="343"/>
        <v>713.24157237333338</v>
      </c>
      <c r="AD120" s="84">
        <f t="shared" si="344"/>
        <v>197.79502702702703</v>
      </c>
      <c r="AE120" s="84">
        <f t="shared" si="345"/>
        <v>9.0909090909090917</v>
      </c>
      <c r="AF120" s="84">
        <f t="shared" si="346"/>
        <v>0</v>
      </c>
      <c r="AG120" s="84">
        <f t="shared" si="347"/>
        <v>920.12750849126951</v>
      </c>
      <c r="AH120" s="84">
        <f>79.5*500</f>
        <v>39750</v>
      </c>
      <c r="AI120" s="84"/>
      <c r="AJ120" s="84">
        <f>44.5*50</f>
        <v>2225</v>
      </c>
      <c r="AK120" s="84"/>
      <c r="AL120" s="84"/>
      <c r="AM120" s="84"/>
      <c r="AN120" s="84"/>
      <c r="AO120" s="84"/>
      <c r="AS120">
        <v>770.15499999999997</v>
      </c>
    </row>
    <row r="121" spans="1:45" ht="15" customHeight="1" x14ac:dyDescent="0.25">
      <c r="A121" s="100" t="s">
        <v>282</v>
      </c>
      <c r="B121" s="100" t="s">
        <v>196</v>
      </c>
      <c r="C121" s="72" t="str">
        <f t="shared" si="210"/>
        <v>26-03-2024 16:00</v>
      </c>
      <c r="D121" s="13">
        <f t="shared" si="211"/>
        <v>158.13541666666666</v>
      </c>
      <c r="E121" s="82">
        <v>100</v>
      </c>
      <c r="F121" s="71">
        <v>4.4360999999999997</v>
      </c>
      <c r="G121" s="71">
        <v>25.070900000000002</v>
      </c>
      <c r="H121" s="71">
        <v>5.2803000000000004</v>
      </c>
      <c r="I121" s="71"/>
      <c r="J121" s="71">
        <f t="shared" si="355"/>
        <v>20.634800000000002</v>
      </c>
      <c r="K121" s="71">
        <f t="shared" si="356"/>
        <v>0.84420000000000073</v>
      </c>
      <c r="L121" s="71">
        <f t="shared" si="357"/>
        <v>40.911469943978162</v>
      </c>
      <c r="M121" s="71">
        <f t="shared" si="358"/>
        <v>-4.4360999999999997</v>
      </c>
      <c r="N121" s="71">
        <f t="shared" si="359"/>
        <v>-214.98148758408121</v>
      </c>
      <c r="O121" s="71">
        <f t="shared" si="360"/>
        <v>5.2803000000000004</v>
      </c>
      <c r="P121" s="71">
        <f t="shared" si="361"/>
        <v>255.89295752805938</v>
      </c>
      <c r="Q121" s="84"/>
      <c r="R121" s="84">
        <v>7.39</v>
      </c>
      <c r="S121" s="84"/>
      <c r="T121" s="84"/>
      <c r="U121" s="84"/>
      <c r="V121" s="84">
        <f>19.5*50</f>
        <v>975</v>
      </c>
      <c r="W121" s="84"/>
      <c r="X121" s="84"/>
      <c r="Y121" s="84">
        <f t="shared" ref="Y121:Y135" si="362">AS121*(1-0.13178)</f>
        <v>893.45915539999999</v>
      </c>
      <c r="Z121" s="84">
        <v>211.70500000000001</v>
      </c>
      <c r="AA121" s="84">
        <v>14.808999999999999</v>
      </c>
      <c r="AB121" s="84">
        <v>11.661</v>
      </c>
      <c r="AC121" s="84">
        <f t="shared" si="343"/>
        <v>953.02309909333337</v>
      </c>
      <c r="AD121" s="84">
        <f t="shared" si="344"/>
        <v>320.41837837837841</v>
      </c>
      <c r="AE121" s="84">
        <f t="shared" si="345"/>
        <v>26.925454545454546</v>
      </c>
      <c r="AF121" s="84">
        <f t="shared" si="346"/>
        <v>23.779294117647058</v>
      </c>
      <c r="AG121" s="84">
        <f t="shared" si="347"/>
        <v>1324.1462261348136</v>
      </c>
      <c r="AH121" s="84"/>
      <c r="AI121" s="84"/>
      <c r="AJ121" s="84"/>
      <c r="AK121" s="84"/>
      <c r="AL121" s="84"/>
      <c r="AM121" s="84"/>
      <c r="AN121" s="84"/>
      <c r="AO121" s="84"/>
      <c r="AS121">
        <v>1029.07</v>
      </c>
    </row>
    <row r="122" spans="1:45" ht="15" customHeight="1" x14ac:dyDescent="0.25">
      <c r="A122" s="100" t="s">
        <v>284</v>
      </c>
      <c r="B122" s="100" t="s">
        <v>185</v>
      </c>
      <c r="C122" s="72" t="str">
        <f t="shared" si="210"/>
        <v>27-03-2024 10:30</v>
      </c>
      <c r="D122" s="13">
        <f t="shared" si="211"/>
        <v>158.77083333333334</v>
      </c>
      <c r="E122" s="82">
        <v>100</v>
      </c>
      <c r="F122" s="71">
        <v>4.3219000000000003</v>
      </c>
      <c r="G122" s="71">
        <v>20.492599999999999</v>
      </c>
      <c r="H122" s="71">
        <v>5.0712999999999999</v>
      </c>
      <c r="I122" s="71"/>
      <c r="J122" s="71">
        <f t="shared" ref="J122:J123" si="363">G122-F122</f>
        <v>16.1707</v>
      </c>
      <c r="K122" s="71">
        <f t="shared" ref="K122:K123" si="364">H122-F122</f>
        <v>0.74939999999999962</v>
      </c>
      <c r="L122" s="71">
        <f t="shared" ref="L122:L123" si="365">1000*K122/J122</f>
        <v>46.343077294118352</v>
      </c>
      <c r="M122" s="71">
        <f t="shared" ref="M122:M123" si="366">I122-F122</f>
        <v>-4.3219000000000003</v>
      </c>
      <c r="N122" s="71">
        <f t="shared" ref="N122:N123" si="367">1000*M122/J122</f>
        <v>-267.26734154984018</v>
      </c>
      <c r="O122" s="71">
        <f t="shared" ref="O122:O123" si="368">K122-M122</f>
        <v>5.0712999999999999</v>
      </c>
      <c r="P122" s="71">
        <f t="shared" ref="P122:P123" si="369">1000*O122/J122</f>
        <v>313.61041884395854</v>
      </c>
      <c r="Q122" s="84"/>
      <c r="R122" s="84">
        <v>7.29</v>
      </c>
      <c r="S122" s="84">
        <f>4776*2</f>
        <v>9552</v>
      </c>
      <c r="T122" s="84">
        <v>0.505</v>
      </c>
      <c r="U122" s="84"/>
      <c r="V122" s="84">
        <f>23.1*50</f>
        <v>1155</v>
      </c>
      <c r="W122" s="84"/>
      <c r="X122" s="84">
        <f>37.7*500</f>
        <v>18850</v>
      </c>
      <c r="Y122" s="84">
        <f t="shared" si="362"/>
        <v>3821.06400304</v>
      </c>
      <c r="Z122" s="84">
        <v>731.14400000000001</v>
      </c>
      <c r="AA122" s="84">
        <f>82.164+95.098</f>
        <v>177.262</v>
      </c>
      <c r="AB122" s="84">
        <f>76.39+15.631</f>
        <v>92.021000000000001</v>
      </c>
      <c r="AC122" s="84">
        <f t="shared" si="343"/>
        <v>4075.8016032426667</v>
      </c>
      <c r="AD122" s="84">
        <f t="shared" si="344"/>
        <v>1106.5963243243243</v>
      </c>
      <c r="AE122" s="84">
        <f t="shared" si="345"/>
        <v>322.29454545454541</v>
      </c>
      <c r="AF122" s="84">
        <f t="shared" si="346"/>
        <v>187.65066666666667</v>
      </c>
      <c r="AG122" s="84">
        <f t="shared" si="347"/>
        <v>5692.3431396882024</v>
      </c>
      <c r="AH122" s="84">
        <f>72*500</f>
        <v>36000</v>
      </c>
      <c r="AI122" s="84"/>
      <c r="AJ122" s="84">
        <f>46.5*50</f>
        <v>2325</v>
      </c>
      <c r="AK122" s="84"/>
      <c r="AL122" s="84"/>
      <c r="AM122" s="84"/>
      <c r="AN122" s="84"/>
      <c r="AO122" s="84"/>
      <c r="AS122">
        <v>4401.0320000000002</v>
      </c>
    </row>
    <row r="123" spans="1:45" ht="15" customHeight="1" x14ac:dyDescent="0.25">
      <c r="A123" s="100" t="s">
        <v>284</v>
      </c>
      <c r="B123" s="100" t="s">
        <v>196</v>
      </c>
      <c r="C123" s="72" t="str">
        <f t="shared" si="210"/>
        <v>27-03-2024 16:00</v>
      </c>
      <c r="D123" s="13">
        <f t="shared" si="211"/>
        <v>159.22916666666666</v>
      </c>
      <c r="E123" s="82">
        <v>100</v>
      </c>
      <c r="F123" s="71">
        <v>4.4010999999999996</v>
      </c>
      <c r="G123" s="71">
        <v>34.316400000000002</v>
      </c>
      <c r="H123" s="71">
        <v>5.7188999999999997</v>
      </c>
      <c r="I123" s="71"/>
      <c r="J123" s="71">
        <f t="shared" si="363"/>
        <v>29.915300000000002</v>
      </c>
      <c r="K123" s="71">
        <f t="shared" si="364"/>
        <v>1.3178000000000001</v>
      </c>
      <c r="L123" s="71">
        <f t="shared" si="365"/>
        <v>44.051037429007906</v>
      </c>
      <c r="M123" s="71">
        <f t="shared" si="366"/>
        <v>-4.4010999999999996</v>
      </c>
      <c r="N123" s="71">
        <f t="shared" si="367"/>
        <v>-147.11869845864823</v>
      </c>
      <c r="O123" s="71">
        <f t="shared" si="368"/>
        <v>5.7188999999999997</v>
      </c>
      <c r="P123" s="71">
        <f t="shared" si="369"/>
        <v>191.16973588765612</v>
      </c>
      <c r="Q123" s="84"/>
      <c r="R123" s="84">
        <v>7.27</v>
      </c>
      <c r="S123" s="84"/>
      <c r="T123" s="84"/>
      <c r="U123" s="84"/>
      <c r="V123" s="84"/>
      <c r="W123" s="84"/>
      <c r="X123" s="84"/>
      <c r="Y123" s="84">
        <f t="shared" si="362"/>
        <v>1431.17645266</v>
      </c>
      <c r="Z123" s="84">
        <v>240.37899999999999</v>
      </c>
      <c r="AA123" s="84">
        <f>32.493+26.153</f>
        <v>58.646000000000001</v>
      </c>
      <c r="AB123" s="84">
        <v>25.826000000000001</v>
      </c>
      <c r="AC123" s="84">
        <f t="shared" si="343"/>
        <v>1526.5882161706666</v>
      </c>
      <c r="AD123" s="84">
        <f t="shared" si="344"/>
        <v>363.8168648648649</v>
      </c>
      <c r="AE123" s="84">
        <f t="shared" si="345"/>
        <v>106.62909090909092</v>
      </c>
      <c r="AF123" s="84">
        <f t="shared" si="346"/>
        <v>52.664784313725491</v>
      </c>
      <c r="AG123" s="84">
        <f t="shared" si="347"/>
        <v>2049.6989562583481</v>
      </c>
      <c r="AH123" s="84"/>
      <c r="AI123" s="84"/>
      <c r="AJ123" s="84"/>
      <c r="AK123" s="84"/>
      <c r="AL123" s="84"/>
      <c r="AM123" s="84"/>
      <c r="AN123" s="84"/>
      <c r="AO123" s="84"/>
      <c r="AS123">
        <v>1648.403</v>
      </c>
    </row>
    <row r="124" spans="1:45" ht="15" customHeight="1" x14ac:dyDescent="0.25">
      <c r="A124" s="100" t="s">
        <v>285</v>
      </c>
      <c r="B124" s="100" t="s">
        <v>170</v>
      </c>
      <c r="C124" s="72" t="str">
        <f t="shared" si="210"/>
        <v>29-03-2024 10:15</v>
      </c>
      <c r="D124" s="13">
        <f t="shared" si="211"/>
        <v>160.76041666666666</v>
      </c>
      <c r="E124" s="82">
        <v>100</v>
      </c>
      <c r="F124" s="71">
        <v>4.2382999999999997</v>
      </c>
      <c r="G124" s="71">
        <v>19.686299999999999</v>
      </c>
      <c r="H124" s="71">
        <v>4.8365999999999998</v>
      </c>
      <c r="I124" s="71">
        <v>4.4104999999999999</v>
      </c>
      <c r="J124" s="71">
        <f t="shared" ref="J124:J132" si="370">G124-F124</f>
        <v>15.448</v>
      </c>
      <c r="K124" s="71">
        <f t="shared" ref="K124:K132" si="371">H124-F124</f>
        <v>0.59830000000000005</v>
      </c>
      <c r="L124" s="71">
        <f t="shared" ref="L124:L132" si="372">1000*K124/J124</f>
        <v>38.729932677369241</v>
      </c>
      <c r="M124" s="71">
        <f>I124-F124</f>
        <v>0.17220000000000013</v>
      </c>
      <c r="N124" s="71">
        <f>1000*M124/J124</f>
        <v>11.147074054893846</v>
      </c>
      <c r="O124" s="71">
        <f>K124-M124</f>
        <v>0.42609999999999992</v>
      </c>
      <c r="P124" s="71">
        <f>1000*O124/J124</f>
        <v>27.582858622475396</v>
      </c>
      <c r="Q124" s="84"/>
      <c r="R124" s="84">
        <v>7.49</v>
      </c>
      <c r="S124" s="84"/>
      <c r="T124" s="84">
        <v>0.46400000000000002</v>
      </c>
      <c r="U124" s="84"/>
      <c r="V124" s="84">
        <f>23*50</f>
        <v>1150</v>
      </c>
      <c r="W124" s="84">
        <f>4.24*50</f>
        <v>212</v>
      </c>
      <c r="X124" s="84">
        <f>31.9*500</f>
        <v>15950</v>
      </c>
      <c r="Y124" s="84">
        <f t="shared" si="362"/>
        <v>1165.06615444</v>
      </c>
      <c r="Z124" s="84">
        <v>56.621000000000002</v>
      </c>
      <c r="AA124" s="84">
        <v>11.715999999999999</v>
      </c>
      <c r="AB124" s="84">
        <v>29.315000000000001</v>
      </c>
      <c r="AC124" s="84">
        <f t="shared" si="343"/>
        <v>1242.7372314026666</v>
      </c>
      <c r="AD124" s="84">
        <f t="shared" si="344"/>
        <v>85.696648648648662</v>
      </c>
      <c r="AE124" s="84">
        <f t="shared" si="345"/>
        <v>21.301818181818181</v>
      </c>
      <c r="AF124" s="84">
        <f t="shared" si="346"/>
        <v>59.779607843137256</v>
      </c>
      <c r="AG124" s="84">
        <f t="shared" si="347"/>
        <v>1409.5153060762707</v>
      </c>
      <c r="AH124" s="84">
        <f>79.2*500</f>
        <v>39600</v>
      </c>
      <c r="AI124" s="84"/>
      <c r="AJ124" s="84">
        <f>43.7*50</f>
        <v>2185</v>
      </c>
      <c r="AK124" s="84"/>
      <c r="AL124" s="84"/>
      <c r="AM124" s="84"/>
      <c r="AN124" s="84"/>
      <c r="AO124" s="84"/>
      <c r="AS124">
        <v>1341.902</v>
      </c>
    </row>
    <row r="125" spans="1:45" ht="15" customHeight="1" x14ac:dyDescent="0.25">
      <c r="A125" s="100" t="s">
        <v>285</v>
      </c>
      <c r="B125" s="100" t="s">
        <v>170</v>
      </c>
      <c r="C125" s="72" t="str">
        <f t="shared" si="210"/>
        <v>29-03-2024 10:15</v>
      </c>
      <c r="E125" s="82"/>
      <c r="F125" s="71">
        <v>4.3666999999999998</v>
      </c>
      <c r="G125" s="71">
        <v>27.729500000000002</v>
      </c>
      <c r="H125" s="71">
        <v>5.2393999999999998</v>
      </c>
      <c r="I125" s="71">
        <v>4.6264000000000003</v>
      </c>
      <c r="J125" s="71">
        <f t="shared" si="370"/>
        <v>23.3628</v>
      </c>
      <c r="K125" s="71">
        <f t="shared" si="371"/>
        <v>0.87270000000000003</v>
      </c>
      <c r="L125" s="71">
        <f t="shared" si="372"/>
        <v>37.354255483075661</v>
      </c>
      <c r="M125" s="71">
        <f>I125-F125</f>
        <v>0.25970000000000049</v>
      </c>
      <c r="N125" s="71">
        <f>1000*M125/J125</f>
        <v>11.115962127827165</v>
      </c>
      <c r="O125" s="71">
        <f>K125-M125</f>
        <v>0.61299999999999955</v>
      </c>
      <c r="P125" s="71">
        <f>1000*O125/J125</f>
        <v>26.238293355248494</v>
      </c>
      <c r="Q125" s="84"/>
      <c r="R125" s="84"/>
      <c r="S125" s="84"/>
      <c r="T125" s="84"/>
      <c r="U125" s="84"/>
      <c r="V125" s="84"/>
      <c r="W125" s="84"/>
      <c r="X125" s="84"/>
      <c r="Y125" s="84"/>
      <c r="Z125" s="84"/>
      <c r="AA125" s="84"/>
      <c r="AB125" s="84"/>
      <c r="AC125" s="84"/>
      <c r="AD125" s="84"/>
      <c r="AE125" s="84"/>
      <c r="AF125" s="84"/>
      <c r="AG125" s="84"/>
      <c r="AH125" s="84"/>
      <c r="AI125" s="84"/>
      <c r="AJ125" s="84"/>
      <c r="AK125" s="84"/>
      <c r="AL125" s="84"/>
      <c r="AM125" s="84"/>
      <c r="AN125" s="84"/>
      <c r="AO125" s="84"/>
    </row>
    <row r="126" spans="1:45" ht="15" customHeight="1" x14ac:dyDescent="0.25">
      <c r="A126" s="100" t="s">
        <v>286</v>
      </c>
      <c r="B126" s="100" t="s">
        <v>287</v>
      </c>
      <c r="C126" s="72" t="str">
        <f t="shared" si="210"/>
        <v>02-04-2024 10:40</v>
      </c>
      <c r="D126" s="13">
        <f>A126-$A$3+(B126-B124)</f>
        <v>165.01736111111111</v>
      </c>
      <c r="E126" s="82">
        <v>100</v>
      </c>
      <c r="F126" s="71">
        <v>4.4287000000000001</v>
      </c>
      <c r="G126" s="71">
        <v>30.143999999999998</v>
      </c>
      <c r="H126" s="71">
        <v>5.4607999999999999</v>
      </c>
      <c r="I126" s="71">
        <v>4.7564000000000002</v>
      </c>
      <c r="J126" s="71">
        <f t="shared" si="370"/>
        <v>25.715299999999999</v>
      </c>
      <c r="K126" s="71">
        <f t="shared" si="371"/>
        <v>1.0320999999999998</v>
      </c>
      <c r="L126" s="71">
        <f t="shared" si="372"/>
        <v>40.135639094235728</v>
      </c>
      <c r="M126" s="71">
        <f t="shared" ref="M126:M133" si="373">I126-F126</f>
        <v>0.3277000000000001</v>
      </c>
      <c r="N126" s="71">
        <f t="shared" ref="N126:N133" si="374">1000*M126/J126</f>
        <v>12.743386233098589</v>
      </c>
      <c r="O126" s="71">
        <f t="shared" ref="O126:O133" si="375">K126-M126</f>
        <v>0.70439999999999969</v>
      </c>
      <c r="P126" s="71">
        <f t="shared" ref="P126:P133" si="376">1000*O126/J126</f>
        <v>27.392252861137131</v>
      </c>
      <c r="Q126" s="84"/>
      <c r="R126" s="84">
        <v>7.59</v>
      </c>
      <c r="S126" s="84"/>
      <c r="T126" s="84">
        <v>0.307</v>
      </c>
      <c r="U126" s="84"/>
      <c r="V126" s="84">
        <f>25.3*50</f>
        <v>1265</v>
      </c>
      <c r="W126" s="84"/>
      <c r="X126" s="84">
        <f>28.7*500</f>
        <v>14350</v>
      </c>
      <c r="Y126" s="84">
        <f t="shared" si="362"/>
        <v>304.99005804000001</v>
      </c>
      <c r="Z126" s="84" t="s">
        <v>393</v>
      </c>
      <c r="AA126" s="84" t="s">
        <v>393</v>
      </c>
      <c r="AB126" s="84" t="s">
        <v>393</v>
      </c>
      <c r="AC126" s="84">
        <f t="shared" si="343"/>
        <v>325.32272857600003</v>
      </c>
      <c r="AD126" s="84">
        <f t="shared" si="344"/>
        <v>7.5675675675675675</v>
      </c>
      <c r="AE126" s="84">
        <f t="shared" si="345"/>
        <v>9.0909090909090917</v>
      </c>
      <c r="AF126" s="84">
        <f t="shared" si="346"/>
        <v>10.196078431372548</v>
      </c>
      <c r="AG126" s="84">
        <f t="shared" si="347"/>
        <v>352.17728366584919</v>
      </c>
      <c r="AH126" s="84">
        <f>68.6*500</f>
        <v>34300</v>
      </c>
      <c r="AI126" s="84"/>
      <c r="AJ126" s="84">
        <f>49.3*50</f>
        <v>2465</v>
      </c>
      <c r="AK126" s="84"/>
      <c r="AL126" s="84"/>
      <c r="AM126" s="84"/>
      <c r="AN126" s="84"/>
      <c r="AO126" s="84"/>
      <c r="AS126">
        <v>351.28199999999998</v>
      </c>
    </row>
    <row r="127" spans="1:45" ht="15" customHeight="1" x14ac:dyDescent="0.25">
      <c r="A127" s="100" t="s">
        <v>286</v>
      </c>
      <c r="B127" s="100" t="s">
        <v>287</v>
      </c>
      <c r="C127" s="72" t="str">
        <f t="shared" si="210"/>
        <v>02-04-2024 10:40</v>
      </c>
      <c r="E127" s="82"/>
      <c r="F127" s="71">
        <v>4.4108999999999998</v>
      </c>
      <c r="G127" s="71">
        <v>32.705399999999997</v>
      </c>
      <c r="H127" s="71">
        <v>5.5336999999999996</v>
      </c>
      <c r="I127" s="71">
        <v>4.7756999999999996</v>
      </c>
      <c r="J127" s="71">
        <f t="shared" si="370"/>
        <v>28.294499999999999</v>
      </c>
      <c r="K127" s="71">
        <f t="shared" si="371"/>
        <v>1.1227999999999998</v>
      </c>
      <c r="L127" s="71">
        <f t="shared" si="372"/>
        <v>39.682623831486673</v>
      </c>
      <c r="M127" s="71">
        <f t="shared" si="373"/>
        <v>0.36479999999999979</v>
      </c>
      <c r="N127" s="71">
        <f t="shared" si="374"/>
        <v>12.892965063881666</v>
      </c>
      <c r="O127" s="71">
        <f t="shared" si="375"/>
        <v>0.75800000000000001</v>
      </c>
      <c r="P127" s="71">
        <f t="shared" si="376"/>
        <v>26.789658767605012</v>
      </c>
      <c r="Q127" s="84"/>
      <c r="R127" s="84"/>
      <c r="S127" s="84"/>
      <c r="T127" s="84"/>
      <c r="U127" s="84"/>
      <c r="V127" s="84"/>
      <c r="W127" s="84"/>
      <c r="X127" s="84"/>
      <c r="Y127" s="84"/>
      <c r="Z127" s="84"/>
      <c r="AA127" s="84"/>
      <c r="AB127" s="84"/>
      <c r="AC127" s="84"/>
      <c r="AD127" s="84"/>
      <c r="AE127" s="84"/>
      <c r="AF127" s="84"/>
      <c r="AG127" s="84"/>
      <c r="AH127" s="84"/>
      <c r="AI127" s="84"/>
      <c r="AJ127" s="84"/>
      <c r="AK127" s="84"/>
      <c r="AL127" s="84"/>
      <c r="AM127" s="84"/>
      <c r="AN127" s="84"/>
      <c r="AO127" s="84"/>
    </row>
    <row r="128" spans="1:45" ht="15" customHeight="1" x14ac:dyDescent="0.25">
      <c r="A128" s="100" t="s">
        <v>289</v>
      </c>
      <c r="B128" s="100" t="s">
        <v>185</v>
      </c>
      <c r="C128" s="72" t="str">
        <f t="shared" si="210"/>
        <v>05-04-2024 10:30</v>
      </c>
      <c r="D128" s="13">
        <f>A128-$A$3+(B128-B126)</f>
        <v>167.99305555555554</v>
      </c>
      <c r="E128" s="82">
        <v>100</v>
      </c>
      <c r="F128" s="71">
        <v>4.3573000000000004</v>
      </c>
      <c r="G128" s="71">
        <v>33.151499999999999</v>
      </c>
      <c r="H128" s="71">
        <v>5.3674999999999997</v>
      </c>
      <c r="I128" s="71">
        <v>4.6833999999999998</v>
      </c>
      <c r="J128" s="71">
        <f t="shared" si="370"/>
        <v>28.794199999999996</v>
      </c>
      <c r="K128" s="71">
        <f t="shared" si="371"/>
        <v>1.0101999999999993</v>
      </c>
      <c r="L128" s="71">
        <f t="shared" si="372"/>
        <v>35.083454306770093</v>
      </c>
      <c r="M128" s="71">
        <f t="shared" si="373"/>
        <v>0.32609999999999939</v>
      </c>
      <c r="N128" s="71">
        <f t="shared" si="374"/>
        <v>11.325197435594649</v>
      </c>
      <c r="O128" s="71">
        <f t="shared" si="375"/>
        <v>0.68409999999999993</v>
      </c>
      <c r="P128" s="71">
        <f t="shared" si="376"/>
        <v>23.758256871175444</v>
      </c>
      <c r="Q128" s="84"/>
      <c r="R128" s="84">
        <v>7.53</v>
      </c>
      <c r="S128" s="84"/>
      <c r="T128" s="84">
        <v>0.252</v>
      </c>
      <c r="U128" s="84"/>
      <c r="V128" s="84">
        <f>22.9*50</f>
        <v>1145</v>
      </c>
      <c r="W128" s="84"/>
      <c r="X128" s="84">
        <f>25.1*500</f>
        <v>12550</v>
      </c>
      <c r="Y128" s="84">
        <f t="shared" si="362"/>
        <v>310.72812402</v>
      </c>
      <c r="Z128" s="84">
        <v>0</v>
      </c>
      <c r="AA128" s="84" t="s">
        <v>393</v>
      </c>
      <c r="AB128" s="84" t="s">
        <v>393</v>
      </c>
      <c r="AC128" s="84">
        <f t="shared" si="343"/>
        <v>331.44333228800002</v>
      </c>
      <c r="AD128" s="84">
        <f t="shared" si="344"/>
        <v>0</v>
      </c>
      <c r="AE128" s="84">
        <f t="shared" si="345"/>
        <v>9.0909090909090917</v>
      </c>
      <c r="AF128" s="84">
        <f t="shared" si="346"/>
        <v>10.196078431372548</v>
      </c>
      <c r="AG128" s="84">
        <f t="shared" si="347"/>
        <v>350.73031981028163</v>
      </c>
      <c r="AH128" s="84">
        <f>63.9*500</f>
        <v>31950</v>
      </c>
      <c r="AI128" s="84"/>
      <c r="AJ128" s="84">
        <f>59.9*50</f>
        <v>2995</v>
      </c>
      <c r="AK128" s="84"/>
      <c r="AL128" s="84"/>
      <c r="AM128" s="84"/>
      <c r="AN128" s="84"/>
      <c r="AO128" s="84"/>
      <c r="AS128">
        <v>357.89100000000002</v>
      </c>
    </row>
    <row r="129" spans="1:45" ht="15" customHeight="1" x14ac:dyDescent="0.25">
      <c r="A129" s="100" t="s">
        <v>289</v>
      </c>
      <c r="B129" s="100" t="s">
        <v>185</v>
      </c>
      <c r="C129" s="72" t="str">
        <f t="shared" si="210"/>
        <v>05-04-2024 10:30</v>
      </c>
      <c r="E129" s="82"/>
      <c r="F129" s="71">
        <v>4.4245999999999999</v>
      </c>
      <c r="G129" s="71">
        <v>33.715299999999999</v>
      </c>
      <c r="H129" s="71">
        <v>5.4522000000000004</v>
      </c>
      <c r="I129" s="71">
        <v>4.7545000000000002</v>
      </c>
      <c r="J129" s="71">
        <f t="shared" si="370"/>
        <v>29.290700000000001</v>
      </c>
      <c r="K129" s="71">
        <f t="shared" si="371"/>
        <v>1.0276000000000005</v>
      </c>
      <c r="L129" s="71">
        <f t="shared" si="372"/>
        <v>35.082807853687363</v>
      </c>
      <c r="M129" s="71">
        <f t="shared" si="373"/>
        <v>0.3299000000000003</v>
      </c>
      <c r="N129" s="71">
        <f t="shared" si="374"/>
        <v>11.262960598415207</v>
      </c>
      <c r="O129" s="71">
        <f t="shared" si="375"/>
        <v>0.69770000000000021</v>
      </c>
      <c r="P129" s="71">
        <f t="shared" si="376"/>
        <v>23.819847255272155</v>
      </c>
      <c r="Q129" s="84"/>
      <c r="R129" s="84"/>
      <c r="S129" s="84"/>
      <c r="T129" s="84"/>
      <c r="U129" s="84"/>
      <c r="V129" s="84"/>
      <c r="W129" s="84"/>
      <c r="X129" s="84"/>
      <c r="Y129" s="84"/>
      <c r="Z129" s="84"/>
      <c r="AA129" s="84"/>
      <c r="AB129" s="84"/>
      <c r="AC129" s="84"/>
      <c r="AD129" s="84"/>
      <c r="AE129" s="84"/>
      <c r="AF129" s="84"/>
      <c r="AG129" s="84"/>
      <c r="AH129" s="84"/>
      <c r="AI129" s="84"/>
      <c r="AJ129" s="84"/>
      <c r="AK129" s="84"/>
      <c r="AL129" s="84"/>
      <c r="AM129" s="84"/>
      <c r="AN129" s="84"/>
      <c r="AO129" s="84"/>
    </row>
    <row r="130" spans="1:45" ht="15" customHeight="1" x14ac:dyDescent="0.25">
      <c r="A130" s="100" t="s">
        <v>290</v>
      </c>
      <c r="B130" s="100" t="s">
        <v>185</v>
      </c>
      <c r="C130" s="72" t="str">
        <f t="shared" si="210"/>
        <v>08-04-2024 10:30</v>
      </c>
      <c r="D130" s="13">
        <f t="shared" ref="D130:D137" si="377">A130-$A$3+(B130-B128)</f>
        <v>171</v>
      </c>
      <c r="E130" s="82">
        <v>100</v>
      </c>
      <c r="F130" s="71">
        <v>4.4798</v>
      </c>
      <c r="G130" s="71">
        <v>31.566500000000001</v>
      </c>
      <c r="H130" s="71">
        <v>5.4344999999999999</v>
      </c>
      <c r="I130" s="71">
        <v>4.7831000000000001</v>
      </c>
      <c r="J130" s="71">
        <f t="shared" si="370"/>
        <v>27.0867</v>
      </c>
      <c r="K130" s="71">
        <f t="shared" si="371"/>
        <v>0.95469999999999988</v>
      </c>
      <c r="L130" s="71">
        <f t="shared" si="372"/>
        <v>35.246080179571521</v>
      </c>
      <c r="M130" s="71">
        <f t="shared" si="373"/>
        <v>0.30330000000000013</v>
      </c>
      <c r="N130" s="71">
        <f t="shared" si="374"/>
        <v>11.197377310635851</v>
      </c>
      <c r="O130" s="71">
        <f t="shared" si="375"/>
        <v>0.65139999999999976</v>
      </c>
      <c r="P130" s="71">
        <f t="shared" si="376"/>
        <v>24.048702868935667</v>
      </c>
      <c r="Q130" s="84"/>
      <c r="R130" s="84">
        <v>7.54</v>
      </c>
      <c r="S130" s="84"/>
      <c r="T130" s="84">
        <v>0.26500000000000001</v>
      </c>
      <c r="U130" s="84"/>
      <c r="V130" s="84">
        <f>23.4*50</f>
        <v>1170</v>
      </c>
      <c r="W130" s="84"/>
      <c r="X130" s="84">
        <f>34.6*500</f>
        <v>17300</v>
      </c>
      <c r="Y130" s="84">
        <f t="shared" si="362"/>
        <v>186.77409105999999</v>
      </c>
      <c r="Z130" s="84" t="s">
        <v>393</v>
      </c>
      <c r="AA130" s="84">
        <v>0</v>
      </c>
      <c r="AB130" s="84">
        <v>0</v>
      </c>
      <c r="AC130" s="84">
        <f t="shared" si="343"/>
        <v>199.22569713066665</v>
      </c>
      <c r="AD130" s="84">
        <f t="shared" si="344"/>
        <v>7.5675675675675675</v>
      </c>
      <c r="AE130" s="84">
        <f t="shared" si="345"/>
        <v>0</v>
      </c>
      <c r="AF130" s="84">
        <f t="shared" si="346"/>
        <v>0</v>
      </c>
      <c r="AG130" s="84">
        <f t="shared" si="347"/>
        <v>206.79326469823422</v>
      </c>
      <c r="AH130" s="84">
        <f>70.1*500</f>
        <v>35050</v>
      </c>
      <c r="AI130" s="84"/>
      <c r="AJ130" s="84">
        <f>45.1*50</f>
        <v>2255</v>
      </c>
      <c r="AK130" s="84"/>
      <c r="AL130" s="84"/>
      <c r="AM130" s="84"/>
      <c r="AN130" s="84"/>
      <c r="AO130" s="84"/>
      <c r="AS130">
        <v>215.12299999999999</v>
      </c>
    </row>
    <row r="131" spans="1:45" ht="15" customHeight="1" x14ac:dyDescent="0.25">
      <c r="A131" s="100" t="s">
        <v>290</v>
      </c>
      <c r="B131" s="100" t="s">
        <v>185</v>
      </c>
      <c r="C131" s="72" t="str">
        <f t="shared" ref="C131:C137" si="378">TEXT(DATEVALUE(A131) + TIMEVALUE(B131), "gg-mm-aaaa hh:mm")</f>
        <v>08-04-2024 10:30</v>
      </c>
      <c r="D131" s="13">
        <f t="shared" si="377"/>
        <v>171</v>
      </c>
      <c r="E131" s="82"/>
      <c r="F131" s="71">
        <v>4.4798</v>
      </c>
      <c r="G131" s="71">
        <v>26.773599999999998</v>
      </c>
      <c r="H131" s="71">
        <v>5.2920999999999996</v>
      </c>
      <c r="I131" s="71">
        <v>4.7468000000000004</v>
      </c>
      <c r="J131" s="71">
        <f t="shared" si="370"/>
        <v>22.293799999999997</v>
      </c>
      <c r="K131" s="71">
        <f t="shared" si="371"/>
        <v>0.81229999999999958</v>
      </c>
      <c r="L131" s="71">
        <f t="shared" si="372"/>
        <v>36.436139195650796</v>
      </c>
      <c r="M131" s="71">
        <f t="shared" si="373"/>
        <v>0.26700000000000035</v>
      </c>
      <c r="N131" s="71">
        <f t="shared" si="374"/>
        <v>11.976423938494127</v>
      </c>
      <c r="O131" s="71">
        <f t="shared" si="375"/>
        <v>0.54529999999999923</v>
      </c>
      <c r="P131" s="71">
        <f t="shared" si="376"/>
        <v>24.459715257156667</v>
      </c>
      <c r="Q131" s="84"/>
      <c r="R131" s="84"/>
      <c r="S131" s="84"/>
      <c r="T131" s="84"/>
      <c r="U131" s="84"/>
      <c r="V131" s="84"/>
      <c r="W131" s="84"/>
      <c r="X131" s="84"/>
      <c r="Y131" s="84"/>
      <c r="Z131" s="84"/>
      <c r="AA131" s="84"/>
      <c r="AB131" s="84"/>
      <c r="AC131" s="84"/>
      <c r="AD131" s="84"/>
      <c r="AE131" s="84"/>
      <c r="AF131" s="84"/>
      <c r="AG131" s="84"/>
      <c r="AH131" s="84"/>
      <c r="AI131" s="84"/>
      <c r="AJ131" s="84"/>
      <c r="AK131" s="84"/>
      <c r="AL131" s="84"/>
      <c r="AM131" s="84"/>
      <c r="AN131" s="84"/>
      <c r="AO131" s="84"/>
    </row>
    <row r="132" spans="1:45" ht="15" customHeight="1" x14ac:dyDescent="0.25">
      <c r="A132" s="100" t="s">
        <v>291</v>
      </c>
      <c r="B132" s="100" t="s">
        <v>170</v>
      </c>
      <c r="C132" s="72" t="str">
        <f t="shared" si="378"/>
        <v>10-04-2024 10:15</v>
      </c>
      <c r="D132" s="13">
        <f t="shared" si="377"/>
        <v>172.98958333333334</v>
      </c>
      <c r="E132" s="82">
        <v>100</v>
      </c>
      <c r="F132" s="71">
        <v>4.2417999999999996</v>
      </c>
      <c r="G132" s="71">
        <v>25.808900000000001</v>
      </c>
      <c r="H132" s="71">
        <v>4.9980000000000002</v>
      </c>
      <c r="I132" s="71"/>
      <c r="J132" s="71">
        <f t="shared" si="370"/>
        <v>21.567100000000003</v>
      </c>
      <c r="K132" s="71">
        <f t="shared" si="371"/>
        <v>0.75620000000000065</v>
      </c>
      <c r="L132" s="71">
        <f t="shared" si="372"/>
        <v>35.062664892359216</v>
      </c>
      <c r="M132" s="71"/>
      <c r="N132" s="71"/>
      <c r="O132" s="71"/>
      <c r="P132" s="71"/>
      <c r="Q132" s="84"/>
      <c r="R132" s="84">
        <v>7.56</v>
      </c>
      <c r="S132" s="84"/>
      <c r="T132" s="84">
        <v>0.26</v>
      </c>
      <c r="U132" s="84"/>
      <c r="V132" s="84">
        <f>18.5*50</f>
        <v>925</v>
      </c>
      <c r="W132" s="84"/>
      <c r="X132" s="84">
        <f>23.9*500</f>
        <v>11950</v>
      </c>
      <c r="Y132" s="84">
        <f>AS132*(1-0.13178)</f>
        <v>102.46645618000001</v>
      </c>
      <c r="Z132" s="84" t="s">
        <v>393</v>
      </c>
      <c r="AA132" s="84" t="s">
        <v>393</v>
      </c>
      <c r="AB132" s="84">
        <v>0</v>
      </c>
      <c r="AC132" s="84">
        <f t="shared" si="343"/>
        <v>109.29755325866668</v>
      </c>
      <c r="AD132" s="84">
        <f t="shared" si="344"/>
        <v>7.5675675675675675</v>
      </c>
      <c r="AE132" s="84">
        <f t="shared" si="345"/>
        <v>9.0909090909090917</v>
      </c>
      <c r="AF132" s="84">
        <f t="shared" si="346"/>
        <v>0</v>
      </c>
      <c r="AG132" s="84">
        <f t="shared" si="347"/>
        <v>125.95602991714334</v>
      </c>
      <c r="AH132" s="84">
        <f>71.8*500</f>
        <v>35900</v>
      </c>
      <c r="AI132" s="84"/>
      <c r="AJ132" s="84">
        <f>53*50</f>
        <v>2650</v>
      </c>
      <c r="AK132" s="84"/>
      <c r="AL132" s="84"/>
      <c r="AM132" s="84"/>
      <c r="AN132" s="84"/>
      <c r="AO132" s="84"/>
      <c r="AS132">
        <v>118.01900000000001</v>
      </c>
    </row>
    <row r="133" spans="1:45" ht="15" customHeight="1" x14ac:dyDescent="0.25">
      <c r="A133" s="100" t="s">
        <v>293</v>
      </c>
      <c r="B133" s="100" t="s">
        <v>295</v>
      </c>
      <c r="C133" s="72" t="str">
        <f t="shared" si="378"/>
        <v>11-04-2024 12:20</v>
      </c>
      <c r="D133" s="13">
        <f>A133-$A$3+(B133-B130)</f>
        <v>174.07638888888889</v>
      </c>
      <c r="E133" s="82">
        <v>220</v>
      </c>
      <c r="F133" s="71">
        <v>4.5</v>
      </c>
      <c r="G133" s="71">
        <v>32.721299999999999</v>
      </c>
      <c r="H133" s="71">
        <v>5.6037999999999997</v>
      </c>
      <c r="I133" s="71"/>
      <c r="J133" s="71">
        <f t="shared" ref="J133:J137" si="379">G133-F133</f>
        <v>28.221299999999999</v>
      </c>
      <c r="K133" s="71">
        <f t="shared" ref="K133:K137" si="380">H133-F133</f>
        <v>1.1037999999999997</v>
      </c>
      <c r="L133" s="71">
        <f t="shared" ref="L133:L137" si="381">1000*K133/J133</f>
        <v>39.11230170119731</v>
      </c>
      <c r="M133" s="71">
        <f t="shared" si="373"/>
        <v>-4.5</v>
      </c>
      <c r="N133" s="71">
        <f t="shared" si="374"/>
        <v>-159.45402940332303</v>
      </c>
      <c r="O133" s="71">
        <f t="shared" si="375"/>
        <v>5.6037999999999997</v>
      </c>
      <c r="P133" s="71">
        <f t="shared" si="376"/>
        <v>198.56633110452032</v>
      </c>
      <c r="Q133" s="84"/>
      <c r="R133" s="84">
        <v>7.68</v>
      </c>
      <c r="S133" s="84"/>
      <c r="T133" s="84"/>
      <c r="U133" s="84"/>
      <c r="V133" s="84"/>
      <c r="W133" s="84"/>
      <c r="X133" s="84"/>
      <c r="Y133" s="84">
        <f t="shared" si="362"/>
        <v>287.54491358000001</v>
      </c>
      <c r="Z133" s="84">
        <v>111.18899999999999</v>
      </c>
      <c r="AA133" s="84">
        <f>19.842+14.767</f>
        <v>34.608999999999995</v>
      </c>
      <c r="AB133" s="84">
        <v>22.957999999999998</v>
      </c>
      <c r="AC133" s="84">
        <f t="shared" ref="AC133" si="382">IF(Y133="&lt; 10 ppm",5*64/60,Y133*64/60)</f>
        <v>306.71457448533334</v>
      </c>
      <c r="AD133" s="84">
        <f t="shared" ref="AD133" si="383">IF(Z133="&lt; 10 ppm",5*112/74,Z133*112/74)</f>
        <v>168.28605405405406</v>
      </c>
      <c r="AE133" s="84">
        <f t="shared" ref="AE133" si="384">IF(AA133="&lt; 10 ppm",5*160/88,AA133*160/88)</f>
        <v>62.925454545454528</v>
      </c>
      <c r="AF133" s="84">
        <f t="shared" ref="AF133" si="385">IF(AB133="&lt; 10 ppm",5*208/102,AB133*208/102)</f>
        <v>46.81631372549019</v>
      </c>
      <c r="AG133" s="84">
        <f t="shared" ref="AG133" si="386">SUM(AC133:AF133)</f>
        <v>584.74239681033214</v>
      </c>
      <c r="AH133" s="84"/>
      <c r="AI133" s="84"/>
      <c r="AJ133" s="84"/>
      <c r="AK133" s="84"/>
      <c r="AL133" s="84"/>
      <c r="AM133" s="84"/>
      <c r="AN133" s="84" t="s">
        <v>4713</v>
      </c>
      <c r="AO133" s="84"/>
      <c r="AS133">
        <v>331.18900000000002</v>
      </c>
    </row>
    <row r="134" spans="1:45" ht="15" customHeight="1" x14ac:dyDescent="0.25">
      <c r="A134" s="100" t="s">
        <v>293</v>
      </c>
      <c r="B134" s="100" t="s">
        <v>233</v>
      </c>
      <c r="C134" s="72" t="str">
        <f t="shared" si="378"/>
        <v>11-04-2024 15:30</v>
      </c>
      <c r="D134" s="13">
        <f>A134-$A$3+(B134-B131)</f>
        <v>174.20833333333334</v>
      </c>
      <c r="E134" s="82">
        <v>220</v>
      </c>
      <c r="F134" s="71"/>
      <c r="G134" s="71"/>
      <c r="H134" s="71"/>
      <c r="I134" s="71"/>
      <c r="J134" s="71"/>
      <c r="K134" s="71"/>
      <c r="L134" s="71"/>
      <c r="M134" s="71"/>
      <c r="N134" s="71"/>
      <c r="O134" s="71"/>
      <c r="P134" s="71"/>
      <c r="Q134" s="84"/>
      <c r="R134" s="84">
        <v>7.68</v>
      </c>
      <c r="S134" s="84"/>
      <c r="T134" s="84">
        <v>0.40100000000000002</v>
      </c>
      <c r="U134" s="84"/>
      <c r="V134" s="84">
        <f>18.8*50</f>
        <v>940</v>
      </c>
      <c r="W134" s="84"/>
      <c r="X134" s="84">
        <f>27.7*500</f>
        <v>13850</v>
      </c>
      <c r="Y134" s="84">
        <f t="shared" si="362"/>
        <v>439.40353733999996</v>
      </c>
      <c r="Z134" s="84">
        <v>160.054</v>
      </c>
      <c r="AA134" s="84">
        <f>30.809+16.29</f>
        <v>47.099000000000004</v>
      </c>
      <c r="AB134" s="84">
        <v>30.774999999999999</v>
      </c>
      <c r="AC134" s="84">
        <f t="shared" ref="AC134" si="387">IF(Y134="&lt; 10 ppm",5*64/60,Y134*64/60)</f>
        <v>468.69710649599995</v>
      </c>
      <c r="AD134" s="84">
        <f t="shared" ref="AD134" si="388">IF(Z134="&lt; 10 ppm",5*112/74,Z134*112/74)</f>
        <v>242.24389189189188</v>
      </c>
      <c r="AE134" s="84">
        <f t="shared" ref="AE134" si="389">IF(AA134="&lt; 10 ppm",5*160/88,AA134*160/88)</f>
        <v>85.63454545454546</v>
      </c>
      <c r="AF134" s="84">
        <f t="shared" ref="AF134" si="390">IF(AB134="&lt; 10 ppm",5*208/102,AB134*208/102)</f>
        <v>62.75686274509804</v>
      </c>
      <c r="AG134" s="84">
        <f t="shared" ref="AG134" si="391">SUM(AC134:AF134)</f>
        <v>859.33240658753527</v>
      </c>
      <c r="AH134" s="84">
        <f>71.8*500</f>
        <v>35900</v>
      </c>
      <c r="AI134" s="84"/>
      <c r="AJ134" s="84">
        <f>51.6*50</f>
        <v>2580</v>
      </c>
      <c r="AK134" s="84"/>
      <c r="AL134" s="84"/>
      <c r="AM134" s="84"/>
      <c r="AN134" s="84"/>
      <c r="AO134" s="84"/>
      <c r="AS134">
        <v>506.09699999999998</v>
      </c>
    </row>
    <row r="135" spans="1:45" ht="15" customHeight="1" x14ac:dyDescent="0.25">
      <c r="A135" s="100" t="s">
        <v>296</v>
      </c>
      <c r="B135" s="100" t="s">
        <v>223</v>
      </c>
      <c r="C135" s="72" t="str">
        <f t="shared" si="378"/>
        <v>12-04-2024 11:30</v>
      </c>
      <c r="D135" s="13">
        <f t="shared" si="377"/>
        <v>174.96527777777777</v>
      </c>
      <c r="E135" s="82">
        <v>220</v>
      </c>
      <c r="F135" s="71">
        <v>4.3624999999999998</v>
      </c>
      <c r="G135" s="71">
        <v>27.5534</v>
      </c>
      <c r="H135" s="71">
        <v>5.2365000000000004</v>
      </c>
      <c r="I135" s="71"/>
      <c r="J135" s="71">
        <f t="shared" si="379"/>
        <v>23.190899999999999</v>
      </c>
      <c r="K135" s="71">
        <f t="shared" si="380"/>
        <v>0.87400000000000055</v>
      </c>
      <c r="L135" s="71">
        <f t="shared" si="381"/>
        <v>37.687196270951134</v>
      </c>
      <c r="M135" s="71"/>
      <c r="N135" s="71"/>
      <c r="O135" s="71"/>
      <c r="P135" s="71"/>
      <c r="Q135" s="84"/>
      <c r="R135" s="84">
        <v>7.68</v>
      </c>
      <c r="S135" s="84">
        <f>5029*2</f>
        <v>10058</v>
      </c>
      <c r="T135" s="84">
        <v>0.33</v>
      </c>
      <c r="U135" s="84"/>
      <c r="V135" s="84">
        <f>24.6*50</f>
        <v>1230</v>
      </c>
      <c r="W135" s="84"/>
      <c r="X135" s="84">
        <f>25.6*500</f>
        <v>12800</v>
      </c>
      <c r="Y135" s="84">
        <f t="shared" si="362"/>
        <v>822.42920898</v>
      </c>
      <c r="Z135" s="84">
        <v>104.744</v>
      </c>
      <c r="AA135" s="84">
        <v>17.401</v>
      </c>
      <c r="AB135" s="84">
        <v>0</v>
      </c>
      <c r="AC135" s="84">
        <f t="shared" si="343"/>
        <v>877.25782291200005</v>
      </c>
      <c r="AD135" s="84">
        <f t="shared" si="344"/>
        <v>158.53145945945946</v>
      </c>
      <c r="AE135" s="84">
        <f t="shared" si="345"/>
        <v>31.638181818181817</v>
      </c>
      <c r="AF135" s="84">
        <f t="shared" si="346"/>
        <v>0</v>
      </c>
      <c r="AG135" s="84">
        <f t="shared" si="347"/>
        <v>1067.4274641896413</v>
      </c>
      <c r="AH135" s="84">
        <f>88.4*500</f>
        <v>44200</v>
      </c>
      <c r="AI135" s="84"/>
      <c r="AJ135" s="84">
        <f>48.2*50</f>
        <v>2410</v>
      </c>
      <c r="AK135" s="84"/>
      <c r="AL135" s="84"/>
      <c r="AM135" s="84"/>
      <c r="AN135" s="84"/>
      <c r="AO135" s="84"/>
      <c r="AS135">
        <v>947.25900000000001</v>
      </c>
    </row>
    <row r="136" spans="1:45" ht="15" customHeight="1" x14ac:dyDescent="0.25">
      <c r="A136" s="100" t="s">
        <v>296</v>
      </c>
      <c r="B136" s="100" t="s">
        <v>228</v>
      </c>
      <c r="C136" s="72" t="str">
        <f t="shared" si="378"/>
        <v>12-04-2024 16:15</v>
      </c>
      <c r="D136" s="13">
        <f t="shared" si="377"/>
        <v>175.03125</v>
      </c>
      <c r="E136" s="82">
        <v>220</v>
      </c>
      <c r="F136" s="71"/>
      <c r="G136" s="71"/>
      <c r="H136" s="71"/>
      <c r="I136" s="71"/>
      <c r="J136" s="71"/>
      <c r="K136" s="71"/>
      <c r="L136" s="71"/>
      <c r="M136" s="71"/>
      <c r="N136" s="71"/>
      <c r="O136" s="71"/>
      <c r="P136" s="71"/>
      <c r="Q136" s="84"/>
      <c r="R136" s="84"/>
      <c r="S136" s="84"/>
      <c r="T136" s="84"/>
      <c r="U136" s="84"/>
      <c r="V136" s="84"/>
      <c r="W136" s="84"/>
      <c r="X136" s="84"/>
      <c r="Y136" s="84"/>
      <c r="Z136" s="84"/>
      <c r="AA136" s="84"/>
      <c r="AB136" s="84"/>
      <c r="AC136" s="84"/>
      <c r="AD136" s="84"/>
      <c r="AE136" s="84"/>
      <c r="AF136" s="84"/>
      <c r="AG136" s="84"/>
      <c r="AH136" s="84"/>
      <c r="AI136" s="84"/>
      <c r="AJ136" s="84"/>
      <c r="AK136" s="84"/>
      <c r="AL136" s="84"/>
      <c r="AM136" s="84"/>
      <c r="AN136" s="84"/>
      <c r="AO136" s="84"/>
    </row>
    <row r="137" spans="1:45" ht="15" customHeight="1" x14ac:dyDescent="0.25">
      <c r="A137" s="100" t="s">
        <v>298</v>
      </c>
      <c r="B137" s="100" t="s">
        <v>156</v>
      </c>
      <c r="C137" s="72" t="str">
        <f t="shared" si="378"/>
        <v>15-04-2024 10:00</v>
      </c>
      <c r="D137" s="13">
        <f t="shared" si="377"/>
        <v>177.9375</v>
      </c>
      <c r="E137" s="82">
        <v>220</v>
      </c>
      <c r="F137" s="71">
        <v>4.4653</v>
      </c>
      <c r="G137" s="71">
        <v>24.998100000000001</v>
      </c>
      <c r="H137" s="71">
        <v>5.2690000000000001</v>
      </c>
      <c r="I137" s="71"/>
      <c r="J137" s="71">
        <f t="shared" si="379"/>
        <v>20.532800000000002</v>
      </c>
      <c r="K137" s="71">
        <f t="shared" si="380"/>
        <v>0.80370000000000008</v>
      </c>
      <c r="L137" s="71">
        <f t="shared" si="381"/>
        <v>39.142250448063585</v>
      </c>
      <c r="M137" s="71"/>
      <c r="N137" s="71"/>
      <c r="O137" s="71"/>
      <c r="P137" s="71"/>
      <c r="Q137" s="84"/>
      <c r="R137" s="84">
        <v>7.6</v>
      </c>
      <c r="S137" s="84">
        <f>5021*2</f>
        <v>10042</v>
      </c>
      <c r="T137" s="84">
        <v>0.30499999999999999</v>
      </c>
      <c r="U137" s="84"/>
      <c r="V137" s="84">
        <f>23.9*50</f>
        <v>1195</v>
      </c>
      <c r="W137" s="84">
        <f>3.36*50</f>
        <v>168</v>
      </c>
      <c r="X137" s="84">
        <f>24.6*500</f>
        <v>12300</v>
      </c>
      <c r="Y137" s="84"/>
      <c r="Z137" s="84"/>
      <c r="AA137" s="84"/>
      <c r="AB137" s="84"/>
      <c r="AC137" s="84"/>
      <c r="AD137" s="84"/>
      <c r="AE137" s="84"/>
      <c r="AF137" s="84"/>
      <c r="AG137" s="84"/>
      <c r="AH137" s="84">
        <f>81.6*500</f>
        <v>40800</v>
      </c>
      <c r="AI137" s="84"/>
      <c r="AJ137" s="84">
        <f>51.8*50</f>
        <v>2590</v>
      </c>
      <c r="AK137" s="84"/>
      <c r="AL137" s="84"/>
      <c r="AM137" s="84"/>
      <c r="AN137" s="84"/>
      <c r="AO137" s="84"/>
    </row>
    <row r="138" spans="1:45" ht="15" customHeight="1" x14ac:dyDescent="0.25">
      <c r="A138" s="100"/>
      <c r="B138" s="100"/>
      <c r="C138" s="72"/>
    </row>
    <row r="139" spans="1:45" ht="15" customHeight="1" x14ac:dyDescent="0.25">
      <c r="A139" s="100"/>
      <c r="B139" s="100"/>
      <c r="C139" s="72"/>
    </row>
    <row r="140" spans="1:45" ht="15" customHeight="1" x14ac:dyDescent="0.25">
      <c r="A140" s="100"/>
      <c r="B140" s="100"/>
      <c r="C140" s="72"/>
    </row>
    <row r="141" spans="1:45" ht="15" customHeight="1" x14ac:dyDescent="0.25">
      <c r="A141" s="100"/>
      <c r="B141" s="100"/>
      <c r="C141" s="72"/>
    </row>
    <row r="147" spans="6:17" ht="15" customHeight="1" x14ac:dyDescent="0.25">
      <c r="F147" s="54">
        <v>43.2468</v>
      </c>
      <c r="G147" s="54">
        <v>69.203900000000004</v>
      </c>
      <c r="H147" s="54">
        <v>44.456600000000002</v>
      </c>
      <c r="I147" s="71">
        <v>43.508800000000001</v>
      </c>
      <c r="J147" s="71">
        <f t="shared" ref="J147:J148" si="392">G147-F147</f>
        <v>25.957100000000004</v>
      </c>
      <c r="K147" s="71">
        <f t="shared" ref="K147:K148" si="393">H147-F147</f>
        <v>1.2098000000000013</v>
      </c>
      <c r="L147" s="71">
        <f t="shared" ref="L147:L148" si="394">1000*K147/J147</f>
        <v>46.607671889386765</v>
      </c>
      <c r="M147" s="71">
        <f t="shared" ref="M147:M148" si="395">I147-F147</f>
        <v>0.26200000000000045</v>
      </c>
      <c r="N147" s="71">
        <f t="shared" ref="N147:N148" si="396">1000*M147/J147</f>
        <v>10.093577479764704</v>
      </c>
      <c r="O147" s="71">
        <f t="shared" ref="O147:O148" si="397">K147-M147</f>
        <v>0.94780000000000086</v>
      </c>
      <c r="P147" s="71">
        <f t="shared" ref="P147:P148" si="398">1000*O147/J147</f>
        <v>36.514094409622061</v>
      </c>
      <c r="Q147" s="71">
        <f t="shared" ref="Q147:Q148" si="399">100*P147/L147</f>
        <v>78.343527855843931</v>
      </c>
    </row>
    <row r="148" spans="6:17" ht="15" customHeight="1" x14ac:dyDescent="0.25">
      <c r="F148" s="54">
        <v>44.586100000000002</v>
      </c>
      <c r="G148" s="54">
        <v>61.803400000000003</v>
      </c>
      <c r="H148" s="54">
        <v>45.403300000000002</v>
      </c>
      <c r="I148" s="71">
        <v>44.762099999999997</v>
      </c>
      <c r="J148" s="71">
        <f t="shared" si="392"/>
        <v>17.217300000000002</v>
      </c>
      <c r="K148" s="71">
        <f t="shared" si="393"/>
        <v>0.8171999999999997</v>
      </c>
      <c r="L148" s="71">
        <f t="shared" si="394"/>
        <v>47.463888066073054</v>
      </c>
      <c r="M148" s="71">
        <f t="shared" si="395"/>
        <v>0.17599999999999483</v>
      </c>
      <c r="N148" s="71">
        <f t="shared" si="396"/>
        <v>10.222276431263602</v>
      </c>
      <c r="O148" s="71">
        <f t="shared" si="397"/>
        <v>0.64120000000000488</v>
      </c>
      <c r="P148" s="71">
        <f t="shared" si="398"/>
        <v>37.241611634809452</v>
      </c>
      <c r="Q148" s="71">
        <f t="shared" si="399"/>
        <v>78.463044542340313</v>
      </c>
    </row>
  </sheetData>
  <phoneticPr fontId="16" type="noConversion"/>
  <conditionalFormatting sqref="F3:I105">
    <cfRule type="containsBlanks" dxfId="92" priority="65">
      <formula>LEN(TRIM(F3))=0</formula>
    </cfRule>
  </conditionalFormatting>
  <conditionalFormatting sqref="F107:I109 F110:P137">
    <cfRule type="containsBlanks" dxfId="91" priority="64">
      <formula>LEN(TRIM(F107))=0</formula>
    </cfRule>
  </conditionalFormatting>
  <conditionalFormatting sqref="F147:I148">
    <cfRule type="containsBlanks" dxfId="88" priority="166">
      <formula>LEN(TRIM(F147))=0</formula>
    </cfRule>
  </conditionalFormatting>
  <conditionalFormatting sqref="Q147:Q148">
    <cfRule type="containsBlanks" dxfId="86" priority="62">
      <formula>LEN(TRIM(Q147))=0</formula>
    </cfRule>
  </conditionalFormatting>
  <conditionalFormatting sqref="Q30:T58 R59:T83 Q59:Q107 V72:X83">
    <cfRule type="containsBlanks" dxfId="85" priority="90">
      <formula>LEN(TRIM(Q30))=0</formula>
    </cfRule>
  </conditionalFormatting>
  <conditionalFormatting sqref="Q108:X119 Q120:AO137">
    <cfRule type="containsBlanks" dxfId="84" priority="51">
      <formula>LEN(TRIM(Q108))=0</formula>
    </cfRule>
  </conditionalFormatting>
  <conditionalFormatting sqref="R84:X86">
    <cfRule type="containsBlanks" dxfId="81" priority="86">
      <formula>LEN(TRIM(R84))=0</formula>
    </cfRule>
  </conditionalFormatting>
  <conditionalFormatting sqref="R87:AG106 R107:Y107 AA107:AG107">
    <cfRule type="containsBlanks" dxfId="80" priority="38">
      <formula>LEN(TRIM(R87))=0</formula>
    </cfRule>
  </conditionalFormatting>
  <conditionalFormatting sqref="U3:U83">
    <cfRule type="containsBlanks" dxfId="75" priority="91">
      <formula>LEN(TRIM(U3))=0</formula>
    </cfRule>
  </conditionalFormatting>
  <conditionalFormatting sqref="V4:AG60">
    <cfRule type="containsBlanks" dxfId="70" priority="101">
      <formula>LEN(TRIM(V4))=0</formula>
    </cfRule>
  </conditionalFormatting>
  <conditionalFormatting sqref="V3:AM3 R3:T29">
    <cfRule type="containsBlanks" dxfId="69" priority="177">
      <formula>LEN(TRIM(R3))=0</formula>
    </cfRule>
  </conditionalFormatting>
  <conditionalFormatting sqref="V61:AM71">
    <cfRule type="containsBlanks" dxfId="68" priority="57">
      <formula>LEN(TRIM(V61))=0</formula>
    </cfRule>
  </conditionalFormatting>
  <conditionalFormatting sqref="Y116:Y119">
    <cfRule type="containsBlanks" dxfId="64" priority="21">
      <formula>LEN(TRIM(Y116))=0</formula>
    </cfRule>
  </conditionalFormatting>
  <conditionalFormatting sqref="Y115:AB115">
    <cfRule type="containsBlanks" dxfId="63" priority="9">
      <formula>LEN(TRIM(Y115))=0</formula>
    </cfRule>
  </conditionalFormatting>
  <conditionalFormatting sqref="Y72:AG86">
    <cfRule type="containsBlanks" dxfId="62" priority="73">
      <formula>LEN(TRIM(Y72))=0</formula>
    </cfRule>
  </conditionalFormatting>
  <conditionalFormatting sqref="Y108:AG113 AC114:AG119 AA116:AB116">
    <cfRule type="containsBlanks" dxfId="61" priority="72">
      <formula>LEN(TRIM(Y108))=0</formula>
    </cfRule>
  </conditionalFormatting>
  <conditionalFormatting sqref="Z118:AA118">
    <cfRule type="containsBlanks" dxfId="59" priority="12">
      <formula>LEN(TRIM(Z118))=0</formula>
    </cfRule>
  </conditionalFormatting>
  <conditionalFormatting sqref="AB118:AB119">
    <cfRule type="containsBlanks" dxfId="55" priority="8">
      <formula>LEN(TRIM(AB118))=0</formula>
    </cfRule>
  </conditionalFormatting>
  <conditionalFormatting sqref="AH4:AM41 AH48:AM50 AH53:AM53 AH55:AM55">
    <cfRule type="containsBlanks" dxfId="50" priority="174">
      <formula>LEN(TRIM(AH4))=0</formula>
    </cfRule>
  </conditionalFormatting>
  <conditionalFormatting sqref="AH58:AM60">
    <cfRule type="containsBlanks" dxfId="49" priority="102">
      <formula>LEN(TRIM(AH58))=0</formula>
    </cfRule>
  </conditionalFormatting>
  <conditionalFormatting sqref="AH72:AM73">
    <cfRule type="containsBlanks" dxfId="48" priority="108">
      <formula>LEN(TRIM(AH72))=0</formula>
    </cfRule>
  </conditionalFormatting>
  <conditionalFormatting sqref="AH42:AN47">
    <cfRule type="containsBlanks" dxfId="47" priority="173">
      <formula>LEN(TRIM(AH42))=0</formula>
    </cfRule>
  </conditionalFormatting>
  <conditionalFormatting sqref="AH51:AN52">
    <cfRule type="containsBlanks" dxfId="46" priority="172">
      <formula>LEN(TRIM(AH51))=0</formula>
    </cfRule>
  </conditionalFormatting>
  <conditionalFormatting sqref="AH54:AN54">
    <cfRule type="containsBlanks" dxfId="45" priority="165">
      <formula>LEN(TRIM(AH54))=0</formula>
    </cfRule>
  </conditionalFormatting>
  <conditionalFormatting sqref="AH56:AN57">
    <cfRule type="containsBlanks" dxfId="44" priority="139">
      <formula>LEN(TRIM(AH56))=0</formula>
    </cfRule>
  </conditionalFormatting>
  <conditionalFormatting sqref="AH74:AO118 AH119:AM119 AO119">
    <cfRule type="containsBlanks" dxfId="43" priority="50">
      <formula>LEN(TRIM(AH74))=0</formula>
    </cfRule>
  </conditionalFormatting>
  <conditionalFormatting sqref="AO2:AO73">
    <cfRule type="containsBlanks" dxfId="38" priority="103">
      <formula>LEN(TRIM(AO2))=0</formula>
    </cfRule>
  </conditionalFormatting>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4A8E70-4F64-476D-9A59-4B117CF47802}">
  <dimension ref="A1:AW165"/>
  <sheetViews>
    <sheetView zoomScale="70" zoomScaleNormal="70" workbookViewId="0">
      <pane xSplit="2" ySplit="2" topLeftCell="C3" activePane="bottomRight" state="frozen"/>
      <selection pane="topRight" activeCell="C1" sqref="C1"/>
      <selection pane="bottomLeft" activeCell="A2" sqref="A2"/>
      <selection pane="bottomRight" activeCell="R127" sqref="R127"/>
    </sheetView>
  </sheetViews>
  <sheetFormatPr defaultRowHeight="15" customHeight="1" x14ac:dyDescent="0.25"/>
  <cols>
    <col min="1" max="1" width="10.85546875" customWidth="1"/>
    <col min="2" max="4" width="18.42578125" customWidth="1"/>
    <col min="24" max="24" width="10.42578125" bestFit="1" customWidth="1"/>
    <col min="33" max="33" width="10.7109375" bestFit="1" customWidth="1"/>
    <col min="44" max="44" width="14.7109375" bestFit="1" customWidth="1"/>
    <col min="45" max="45" width="12" bestFit="1" customWidth="1"/>
    <col min="46" max="47" width="11" bestFit="1" customWidth="1"/>
  </cols>
  <sheetData>
    <row r="1" spans="1:48" ht="89.25" x14ac:dyDescent="0.25">
      <c r="A1" t="s">
        <v>117</v>
      </c>
      <c r="B1" t="s">
        <v>118</v>
      </c>
      <c r="C1" t="s">
        <v>119</v>
      </c>
      <c r="D1" t="s">
        <v>279</v>
      </c>
      <c r="E1" s="55" t="s">
        <v>331</v>
      </c>
      <c r="F1" s="55" t="s">
        <v>332</v>
      </c>
      <c r="G1" s="55" t="s">
        <v>333</v>
      </c>
      <c r="H1" s="55" t="s">
        <v>334</v>
      </c>
      <c r="I1" s="56" t="s">
        <v>335</v>
      </c>
      <c r="J1" s="56" t="s">
        <v>336</v>
      </c>
      <c r="K1" s="57" t="s">
        <v>337</v>
      </c>
      <c r="L1" s="56" t="s">
        <v>338</v>
      </c>
      <c r="M1" s="57" t="s">
        <v>339</v>
      </c>
      <c r="N1" s="56" t="s">
        <v>340</v>
      </c>
      <c r="O1" s="57" t="s">
        <v>341</v>
      </c>
      <c r="P1" s="56" t="s">
        <v>5</v>
      </c>
      <c r="Q1" s="55" t="s">
        <v>124</v>
      </c>
      <c r="R1" s="55" t="s">
        <v>342</v>
      </c>
      <c r="S1" s="55" t="s">
        <v>343</v>
      </c>
      <c r="T1" s="55" t="s">
        <v>344</v>
      </c>
      <c r="U1" s="55" t="s">
        <v>345</v>
      </c>
      <c r="V1" s="55" t="s">
        <v>346</v>
      </c>
      <c r="W1" s="55" t="s">
        <v>47</v>
      </c>
      <c r="X1" s="55" t="s">
        <v>347</v>
      </c>
      <c r="Y1" s="55" t="s">
        <v>348</v>
      </c>
      <c r="Z1" s="55" t="s">
        <v>349</v>
      </c>
      <c r="AA1" s="55" t="s">
        <v>350</v>
      </c>
      <c r="AB1" s="70" t="s">
        <v>50</v>
      </c>
      <c r="AC1" s="70" t="s">
        <v>351</v>
      </c>
      <c r="AD1" s="70" t="s">
        <v>52</v>
      </c>
      <c r="AE1" s="70" t="s">
        <v>53</v>
      </c>
      <c r="AF1" s="70" t="s">
        <v>428</v>
      </c>
      <c r="AG1" s="55" t="s">
        <v>353</v>
      </c>
      <c r="AH1" s="55" t="s">
        <v>429</v>
      </c>
      <c r="AI1" s="55" t="s">
        <v>430</v>
      </c>
      <c r="AJ1" s="55" t="s">
        <v>431</v>
      </c>
      <c r="AK1" s="55" t="s">
        <v>432</v>
      </c>
      <c r="AL1" s="55" t="s">
        <v>17</v>
      </c>
      <c r="AM1" s="55" t="s">
        <v>354</v>
      </c>
      <c r="AN1" s="55" t="s">
        <v>14</v>
      </c>
      <c r="AO1" s="55" t="s">
        <v>355</v>
      </c>
      <c r="AP1" s="55" t="s">
        <v>356</v>
      </c>
      <c r="AQ1" s="55" t="s">
        <v>357</v>
      </c>
      <c r="AR1" s="60" t="s">
        <v>123</v>
      </c>
      <c r="AS1" s="68" t="s">
        <v>358</v>
      </c>
      <c r="AT1" s="99" t="s">
        <v>359</v>
      </c>
      <c r="AU1" s="99" t="s">
        <v>360</v>
      </c>
      <c r="AV1" s="99" t="s">
        <v>361</v>
      </c>
    </row>
    <row r="2" spans="1:48" x14ac:dyDescent="0.25">
      <c r="D2" t="s">
        <v>362</v>
      </c>
      <c r="E2" s="58" t="s">
        <v>134</v>
      </c>
      <c r="F2" s="58" t="s">
        <v>134</v>
      </c>
      <c r="G2" s="58" t="s">
        <v>134</v>
      </c>
      <c r="H2" s="58" t="s">
        <v>134</v>
      </c>
      <c r="I2" s="59" t="s">
        <v>363</v>
      </c>
      <c r="J2" s="59" t="s">
        <v>364</v>
      </c>
      <c r="K2" s="59" t="s">
        <v>365</v>
      </c>
      <c r="L2" s="59" t="s">
        <v>366</v>
      </c>
      <c r="M2" s="59" t="s">
        <v>367</v>
      </c>
      <c r="N2" s="59" t="s">
        <v>368</v>
      </c>
      <c r="O2" s="59" t="s">
        <v>369</v>
      </c>
      <c r="P2" s="59" t="s">
        <v>370</v>
      </c>
      <c r="Q2" s="58" t="s">
        <v>371</v>
      </c>
      <c r="R2" s="58" t="s">
        <v>372</v>
      </c>
      <c r="S2" s="58"/>
      <c r="T2" s="58" t="s">
        <v>373</v>
      </c>
      <c r="U2" s="58" t="s">
        <v>374</v>
      </c>
      <c r="V2" s="58" t="s">
        <v>375</v>
      </c>
      <c r="W2" s="58" t="s">
        <v>381</v>
      </c>
      <c r="X2" s="58" t="s">
        <v>377</v>
      </c>
      <c r="Y2" s="58" t="s">
        <v>378</v>
      </c>
      <c r="Z2" s="58" t="s">
        <v>379</v>
      </c>
      <c r="AA2" s="58" t="s">
        <v>380</v>
      </c>
      <c r="AB2" s="59" t="s">
        <v>381</v>
      </c>
      <c r="AC2" s="59" t="s">
        <v>381</v>
      </c>
      <c r="AD2" s="59" t="s">
        <v>381</v>
      </c>
      <c r="AE2" s="59" t="s">
        <v>381</v>
      </c>
      <c r="AF2" s="59" t="s">
        <v>381</v>
      </c>
      <c r="AG2" s="58" t="s">
        <v>381</v>
      </c>
      <c r="AH2" s="58" t="s">
        <v>433</v>
      </c>
      <c r="AI2" s="58" t="s">
        <v>433</v>
      </c>
      <c r="AJ2" s="58" t="s">
        <v>434</v>
      </c>
      <c r="AK2" s="58" t="s">
        <v>434</v>
      </c>
      <c r="AL2" s="58" t="s">
        <v>435</v>
      </c>
      <c r="AM2" s="58" t="s">
        <v>382</v>
      </c>
      <c r="AN2" s="58" t="s">
        <v>382</v>
      </c>
      <c r="AO2" s="58" t="s">
        <v>383</v>
      </c>
      <c r="AP2" s="58"/>
      <c r="AQ2" s="58"/>
      <c r="AR2" s="58"/>
      <c r="AS2" s="54"/>
    </row>
    <row r="3" spans="1:48" x14ac:dyDescent="0.25">
      <c r="A3" s="74" t="s">
        <v>384</v>
      </c>
      <c r="B3" s="74" t="s">
        <v>287</v>
      </c>
      <c r="C3" s="72" t="str">
        <f t="shared" ref="C3:C34" si="0">TEXT(DATEVALUE(A3) + TIMEVALUE(B3), "gg-mm-aaaa hh:mm")</f>
        <v>20-10-2023 10:40</v>
      </c>
      <c r="D3" s="71">
        <v>490</v>
      </c>
      <c r="E3" s="71">
        <v>4.5156000000000001</v>
      </c>
      <c r="F3" s="71">
        <v>28.017299999999999</v>
      </c>
      <c r="G3" s="71">
        <v>5.8070000000000004</v>
      </c>
      <c r="H3" s="71">
        <v>4.9751000000000003</v>
      </c>
      <c r="I3" s="71">
        <f>F3-E3</f>
        <v>23.5017</v>
      </c>
      <c r="J3" s="71">
        <f>G3-E3</f>
        <v>1.2914000000000003</v>
      </c>
      <c r="K3" s="71">
        <f>1000*J3/I3</f>
        <v>54.949216439661825</v>
      </c>
      <c r="L3" s="71">
        <f>H3-E3</f>
        <v>0.45950000000000024</v>
      </c>
      <c r="M3" s="71">
        <f>1000*L3/I3</f>
        <v>19.551777105485996</v>
      </c>
      <c r="N3" s="71">
        <f>J3-L3</f>
        <v>0.83190000000000008</v>
      </c>
      <c r="O3" s="71">
        <f>1000*N3/I3</f>
        <v>35.397439334175829</v>
      </c>
      <c r="P3" s="71">
        <f>100*O3/K3</f>
        <v>64.418460585411168</v>
      </c>
      <c r="Q3" s="71">
        <v>7.98</v>
      </c>
      <c r="R3" s="71">
        <v>20924.2</v>
      </c>
      <c r="S3" s="71"/>
      <c r="T3" s="71"/>
      <c r="U3" s="71">
        <v>2180</v>
      </c>
      <c r="V3" s="71">
        <v>135.6</v>
      </c>
      <c r="W3" s="71"/>
      <c r="X3" s="71">
        <v>679.90700000000004</v>
      </c>
      <c r="Y3" s="71">
        <v>0</v>
      </c>
      <c r="Z3" s="71">
        <v>25.942</v>
      </c>
      <c r="AA3" s="71">
        <v>11.086</v>
      </c>
      <c r="AB3" s="71">
        <f>IF(X3="&lt; 10 ppm",5*64/60,X3*64/60)</f>
        <v>725.23413333333338</v>
      </c>
      <c r="AC3" s="71">
        <f>IF(Y3="&lt; 10 ppm",5*112/74,Y3*112/74)</f>
        <v>0</v>
      </c>
      <c r="AD3" s="71">
        <f>IF(Z3="&lt; 10 ppm",5*160/88,Z3*160/88)</f>
        <v>47.167272727272731</v>
      </c>
      <c r="AE3" s="71">
        <f>IF(AA3="&lt; 10 ppm",5*208/102,AA3*208/102)</f>
        <v>22.606745098039216</v>
      </c>
      <c r="AF3" s="71">
        <f>SUM(AB3:AE3)</f>
        <v>795.00815115864532</v>
      </c>
      <c r="AG3" s="71"/>
      <c r="AH3" s="71"/>
      <c r="AI3" s="71"/>
      <c r="AJ3" s="71"/>
      <c r="AK3" s="71"/>
      <c r="AL3" s="71"/>
      <c r="AM3" s="71"/>
      <c r="AN3" s="71"/>
      <c r="AO3" s="71"/>
      <c r="AP3" s="71"/>
      <c r="AQ3" s="71"/>
      <c r="AR3" s="74" t="s">
        <v>436</v>
      </c>
      <c r="AS3" s="71">
        <f t="shared" ref="AS3:AS41" si="1">AG3/O3/1000</f>
        <v>0</v>
      </c>
      <c r="AT3">
        <f t="shared" ref="AT3:AT34" si="2">K3*D3/1000</f>
        <v>26.925116055434295</v>
      </c>
      <c r="AU3">
        <f>AT3*P3/100</f>
        <v>17.344745273746156</v>
      </c>
      <c r="AV3">
        <f t="shared" ref="AV3:AV34" si="3">AG3*D3/1000000</f>
        <v>0</v>
      </c>
    </row>
    <row r="4" spans="1:48" x14ac:dyDescent="0.25">
      <c r="A4" t="s">
        <v>384</v>
      </c>
      <c r="B4" s="45" t="s">
        <v>287</v>
      </c>
      <c r="C4" s="72" t="str">
        <f t="shared" si="0"/>
        <v>20-10-2023 10:40</v>
      </c>
      <c r="D4" s="71"/>
      <c r="E4" s="71">
        <v>4.4275000000000002</v>
      </c>
      <c r="F4" s="71">
        <v>34.1218</v>
      </c>
      <c r="G4" s="71">
        <v>6.0564</v>
      </c>
      <c r="H4" s="71">
        <v>5.0168999999999997</v>
      </c>
      <c r="I4" s="71">
        <f>F4-E4</f>
        <v>29.694299999999998</v>
      </c>
      <c r="J4" s="71">
        <f>G4-E4</f>
        <v>1.6288999999999998</v>
      </c>
      <c r="K4" s="71">
        <f>1000*J4/I4</f>
        <v>54.855645696312088</v>
      </c>
      <c r="L4" s="71">
        <f>H4-E4</f>
        <v>0.58939999999999948</v>
      </c>
      <c r="M4" s="71">
        <f>1000*L4/I4</f>
        <v>19.848927235193273</v>
      </c>
      <c r="N4" s="71">
        <f>J4-L4</f>
        <v>1.0395000000000003</v>
      </c>
      <c r="O4" s="71">
        <f>1000*N4/I4</f>
        <v>35.006718461118808</v>
      </c>
      <c r="P4" s="71">
        <f>100*O4/K4</f>
        <v>63.816072195960473</v>
      </c>
      <c r="Q4" s="71"/>
      <c r="R4" s="71"/>
      <c r="S4" s="71"/>
      <c r="T4" s="71"/>
      <c r="U4" s="71"/>
      <c r="V4" s="71"/>
      <c r="W4" s="71"/>
      <c r="X4" s="71"/>
      <c r="Y4" s="71"/>
      <c r="Z4" s="71"/>
      <c r="AA4" s="71"/>
      <c r="AB4" s="71"/>
      <c r="AC4" s="71"/>
      <c r="AD4" s="71"/>
      <c r="AE4" s="71"/>
      <c r="AF4" s="71">
        <f t="shared" ref="AF4:AF20" si="4">SUM(AB4:AE4)</f>
        <v>0</v>
      </c>
      <c r="AG4" s="71"/>
      <c r="AH4" s="71"/>
      <c r="AI4" s="71"/>
      <c r="AJ4" s="71"/>
      <c r="AK4" s="71"/>
      <c r="AL4" s="71"/>
      <c r="AM4" s="71"/>
      <c r="AN4" s="71"/>
      <c r="AO4" s="71"/>
      <c r="AP4" s="71"/>
      <c r="AQ4" s="71"/>
      <c r="AS4" s="71">
        <f t="shared" si="1"/>
        <v>0</v>
      </c>
      <c r="AT4">
        <f t="shared" si="2"/>
        <v>0</v>
      </c>
      <c r="AU4">
        <f t="shared" ref="AU4:AU67" si="5">AT4*P4/100</f>
        <v>0</v>
      </c>
      <c r="AV4">
        <f t="shared" si="3"/>
        <v>0</v>
      </c>
    </row>
    <row r="5" spans="1:48" x14ac:dyDescent="0.25">
      <c r="A5" t="s">
        <v>136</v>
      </c>
      <c r="B5" s="45" t="s">
        <v>437</v>
      </c>
      <c r="C5" s="72" t="str">
        <f t="shared" si="0"/>
        <v>23-10-2023 10:10</v>
      </c>
      <c r="D5" s="71">
        <v>800</v>
      </c>
      <c r="E5" s="71">
        <v>4.4932999999999996</v>
      </c>
      <c r="F5" s="71">
        <v>23.591200000000001</v>
      </c>
      <c r="G5" s="71">
        <v>5.5387000000000004</v>
      </c>
      <c r="H5" s="71">
        <v>4.8735999999999997</v>
      </c>
      <c r="I5" s="71">
        <f t="shared" ref="I5:I15" si="6">F5-E5</f>
        <v>19.097900000000003</v>
      </c>
      <c r="J5" s="71">
        <f t="shared" ref="J5:J15" si="7">G5-E5</f>
        <v>1.0454000000000008</v>
      </c>
      <c r="K5" s="71">
        <f t="shared" ref="K5:K15" si="8">1000*J5/I5</f>
        <v>54.739002717576312</v>
      </c>
      <c r="L5" s="71">
        <f t="shared" ref="L5:L15" si="9">H5-E5</f>
        <v>0.38030000000000008</v>
      </c>
      <c r="M5" s="71">
        <f t="shared" ref="M5:M15" si="10">1000*L5/I5</f>
        <v>19.913184172081749</v>
      </c>
      <c r="N5" s="71">
        <f t="shared" ref="N5:N15" si="11">J5-L5</f>
        <v>0.66510000000000069</v>
      </c>
      <c r="O5" s="71">
        <f t="shared" ref="O5:O15" si="12">1000*N5/I5</f>
        <v>34.825818545494563</v>
      </c>
      <c r="P5" s="71">
        <f t="shared" ref="P5:P15" si="13">100*O5/K5</f>
        <v>63.62158025636122</v>
      </c>
      <c r="Q5" s="71">
        <v>7.8</v>
      </c>
      <c r="R5" s="71">
        <f>10258*2</f>
        <v>20516</v>
      </c>
      <c r="S5" s="71">
        <v>0.22900000000000001</v>
      </c>
      <c r="T5" s="71">
        <v>4245</v>
      </c>
      <c r="U5" s="71">
        <f>23.6*100</f>
        <v>2360</v>
      </c>
      <c r="V5" s="71">
        <f>3.24*40</f>
        <v>129.60000000000002</v>
      </c>
      <c r="W5" s="71">
        <f>243*100</f>
        <v>24300</v>
      </c>
      <c r="X5" s="71">
        <v>171.76599999999999</v>
      </c>
      <c r="Y5" s="71">
        <v>37.67</v>
      </c>
      <c r="Z5" s="71">
        <v>28.11</v>
      </c>
      <c r="AA5" s="71">
        <v>45.150999999999996</v>
      </c>
      <c r="AB5" s="71">
        <f t="shared" ref="AB5:AB15" si="14">IF(X5="&lt; 10 ppm",5*64/60,X5*64/60)</f>
        <v>183.21706666666665</v>
      </c>
      <c r="AC5" s="71">
        <f>IF(Y5="&lt; 10 ppm",5*112/74,Y5*112/74)</f>
        <v>57.014054054054057</v>
      </c>
      <c r="AD5" s="71">
        <f>IF(Z5="&lt; 10 ppm",5*160/88,Z5*160/88)</f>
        <v>51.109090909090916</v>
      </c>
      <c r="AE5" s="71">
        <f>IF(AA5="&lt; 10 ppm",5*208/102,AA5*208/102)</f>
        <v>92.072627450980391</v>
      </c>
      <c r="AF5" s="71">
        <f t="shared" si="4"/>
        <v>383.41283908079203</v>
      </c>
      <c r="AG5" s="71">
        <f>AVERAGE(567*100,573*100)</f>
        <v>57000</v>
      </c>
      <c r="AH5" s="71"/>
      <c r="AI5" s="71"/>
      <c r="AJ5" s="71"/>
      <c r="AK5" s="71"/>
      <c r="AL5" s="71"/>
      <c r="AM5" s="71">
        <v>4421.7</v>
      </c>
      <c r="AN5" s="71">
        <f>42.6*100</f>
        <v>4260</v>
      </c>
      <c r="AO5" s="71"/>
      <c r="AP5" s="71"/>
      <c r="AQ5" s="71"/>
      <c r="AR5" t="s">
        <v>438</v>
      </c>
      <c r="AS5" s="71">
        <f t="shared" si="1"/>
        <v>1.6367167343256637</v>
      </c>
      <c r="AT5">
        <f t="shared" si="2"/>
        <v>43.791202174061048</v>
      </c>
      <c r="AU5">
        <f t="shared" si="5"/>
        <v>27.860654836395646</v>
      </c>
      <c r="AV5">
        <f t="shared" si="3"/>
        <v>45.6</v>
      </c>
    </row>
    <row r="6" spans="1:48" x14ac:dyDescent="0.25">
      <c r="A6" t="s">
        <v>136</v>
      </c>
      <c r="B6" s="45" t="s">
        <v>437</v>
      </c>
      <c r="C6" s="72" t="str">
        <f t="shared" si="0"/>
        <v>23-10-2023 10:10</v>
      </c>
      <c r="D6" s="71"/>
      <c r="E6" s="71">
        <v>4.4592000000000001</v>
      </c>
      <c r="F6" s="71">
        <v>25.826699999999999</v>
      </c>
      <c r="G6" s="71">
        <v>5.6313000000000004</v>
      </c>
      <c r="H6" s="71">
        <v>4.8928000000000003</v>
      </c>
      <c r="I6" s="71">
        <f t="shared" ref="I6" si="15">F6-E6</f>
        <v>21.3675</v>
      </c>
      <c r="J6" s="71">
        <f t="shared" ref="J6" si="16">G6-E6</f>
        <v>1.1721000000000004</v>
      </c>
      <c r="K6" s="71">
        <f t="shared" ref="K6" si="17">1000*J6/I6</f>
        <v>54.854334854334873</v>
      </c>
      <c r="L6" s="71">
        <f t="shared" ref="L6" si="18">H6-E6</f>
        <v>0.43360000000000021</v>
      </c>
      <c r="M6" s="71">
        <f t="shared" ref="M6" si="19">1000*L6/I6</f>
        <v>20.292500292500304</v>
      </c>
      <c r="N6" s="71">
        <f t="shared" ref="N6" si="20">J6-L6</f>
        <v>0.73850000000000016</v>
      </c>
      <c r="O6" s="71">
        <f t="shared" ref="O6" si="21">1000*N6/I6</f>
        <v>34.561834561834566</v>
      </c>
      <c r="P6" s="71">
        <f t="shared" ref="P6" si="22">100*O6/K6</f>
        <v>63.006569405340827</v>
      </c>
      <c r="Q6" s="71"/>
      <c r="R6" s="71"/>
      <c r="S6" s="71"/>
      <c r="T6" s="71"/>
      <c r="U6" s="71"/>
      <c r="V6" s="71"/>
      <c r="W6" s="71"/>
      <c r="X6" s="71"/>
      <c r="Y6" s="71"/>
      <c r="Z6" s="71"/>
      <c r="AA6" s="71"/>
      <c r="AB6" s="71"/>
      <c r="AC6" s="71"/>
      <c r="AD6" s="71"/>
      <c r="AE6" s="71"/>
      <c r="AF6" s="71">
        <f t="shared" si="4"/>
        <v>0</v>
      </c>
      <c r="AG6" s="71"/>
      <c r="AH6" s="71"/>
      <c r="AI6" s="71"/>
      <c r="AJ6" s="71"/>
      <c r="AK6" s="71"/>
      <c r="AL6" s="71"/>
      <c r="AM6" s="71"/>
      <c r="AN6" s="71"/>
      <c r="AO6" s="71"/>
      <c r="AP6" s="71"/>
      <c r="AQ6" s="71"/>
      <c r="AS6" s="71">
        <f t="shared" si="1"/>
        <v>0</v>
      </c>
      <c r="AT6">
        <f t="shared" si="2"/>
        <v>0</v>
      </c>
      <c r="AU6">
        <f t="shared" si="5"/>
        <v>0</v>
      </c>
      <c r="AV6">
        <f t="shared" si="3"/>
        <v>0</v>
      </c>
    </row>
    <row r="7" spans="1:48" x14ac:dyDescent="0.25">
      <c r="A7" t="s">
        <v>138</v>
      </c>
      <c r="B7" s="45" t="s">
        <v>179</v>
      </c>
      <c r="C7" s="72" t="str">
        <f t="shared" si="0"/>
        <v>25-10-2023 10:20</v>
      </c>
      <c r="D7" s="71">
        <v>625</v>
      </c>
      <c r="E7" s="71">
        <v>4.5213999999999999</v>
      </c>
      <c r="F7" s="71">
        <v>24.165500000000002</v>
      </c>
      <c r="G7" s="71">
        <v>5.5952999999999999</v>
      </c>
      <c r="H7" s="71">
        <v>4.9059999999999997</v>
      </c>
      <c r="I7" s="71">
        <f t="shared" si="6"/>
        <v>19.644100000000002</v>
      </c>
      <c r="J7" s="71">
        <f t="shared" si="7"/>
        <v>1.0739000000000001</v>
      </c>
      <c r="K7" s="71">
        <f t="shared" si="8"/>
        <v>54.667813745603006</v>
      </c>
      <c r="L7" s="71">
        <f t="shared" si="9"/>
        <v>0.38459999999999983</v>
      </c>
      <c r="M7" s="71">
        <f t="shared" si="10"/>
        <v>19.57839758502552</v>
      </c>
      <c r="N7" s="71">
        <f t="shared" si="11"/>
        <v>0.68930000000000025</v>
      </c>
      <c r="O7" s="71">
        <f t="shared" si="12"/>
        <v>35.089416160577485</v>
      </c>
      <c r="P7" s="71">
        <f t="shared" si="13"/>
        <v>64.186609553962214</v>
      </c>
      <c r="Q7" s="71">
        <v>7.74</v>
      </c>
      <c r="R7" s="71">
        <f>10442*2</f>
        <v>20884</v>
      </c>
      <c r="S7" s="71">
        <v>0.20699999999999999</v>
      </c>
      <c r="T7" s="71">
        <v>4059</v>
      </c>
      <c r="U7" s="71">
        <f>24.3*100</f>
        <v>2430</v>
      </c>
      <c r="V7" s="71">
        <f>3.84*40</f>
        <v>153.6</v>
      </c>
      <c r="W7" s="71">
        <f>163*100</f>
        <v>16300</v>
      </c>
      <c r="X7" s="71">
        <v>220.16200000000001</v>
      </c>
      <c r="Y7" s="71">
        <v>0</v>
      </c>
      <c r="Z7" s="71">
        <v>0</v>
      </c>
      <c r="AA7" s="71">
        <v>42.643999999999998</v>
      </c>
      <c r="AB7" s="71">
        <f t="shared" si="14"/>
        <v>234.83946666666668</v>
      </c>
      <c r="AC7" s="71">
        <f>IF(Y7="&lt; 10 ppm",5*112/74,Y7*112/74)</f>
        <v>0</v>
      </c>
      <c r="AD7" s="71">
        <f>IF(Z7="&lt; 10 ppm",5*160/88,Z7*160/88)</f>
        <v>0</v>
      </c>
      <c r="AE7" s="71">
        <f>IF(AA7="&lt; 10 ppm",5*208/102,AA7*208/102)</f>
        <v>86.960313725490195</v>
      </c>
      <c r="AF7" s="71">
        <f t="shared" si="4"/>
        <v>321.79978039215689</v>
      </c>
      <c r="AG7" s="71">
        <f>100*597</f>
        <v>59700</v>
      </c>
      <c r="AH7" s="71"/>
      <c r="AI7" s="71"/>
      <c r="AJ7" s="71"/>
      <c r="AK7" s="71"/>
      <c r="AL7" s="71"/>
      <c r="AM7" s="71">
        <v>4461.5</v>
      </c>
      <c r="AN7" s="71">
        <f>47.7*100</f>
        <v>4770</v>
      </c>
      <c r="AO7" s="71"/>
      <c r="AP7" s="71"/>
      <c r="AQ7" s="71"/>
      <c r="AR7" t="s">
        <v>439</v>
      </c>
      <c r="AS7" s="71">
        <f t="shared" si="1"/>
        <v>1.7013677208762508</v>
      </c>
      <c r="AT7">
        <f t="shared" si="2"/>
        <v>34.167383591001872</v>
      </c>
      <c r="AU7">
        <f t="shared" si="5"/>
        <v>21.930885100360925</v>
      </c>
      <c r="AV7">
        <f t="shared" si="3"/>
        <v>37.3125</v>
      </c>
    </row>
    <row r="8" spans="1:48" x14ac:dyDescent="0.25">
      <c r="A8" t="s">
        <v>138</v>
      </c>
      <c r="B8" s="45" t="s">
        <v>179</v>
      </c>
      <c r="C8" s="72" t="str">
        <f t="shared" si="0"/>
        <v>25-10-2023 10:20</v>
      </c>
      <c r="D8" s="71"/>
      <c r="E8" s="71">
        <v>4.3887</v>
      </c>
      <c r="F8" s="71">
        <v>21.831</v>
      </c>
      <c r="G8" s="71">
        <v>5.3440000000000003</v>
      </c>
      <c r="H8" s="71">
        <v>4.7317</v>
      </c>
      <c r="I8" s="71">
        <f t="shared" si="6"/>
        <v>17.442299999999999</v>
      </c>
      <c r="J8" s="71">
        <f t="shared" si="7"/>
        <v>0.95530000000000026</v>
      </c>
      <c r="K8" s="71">
        <f t="shared" si="8"/>
        <v>54.769153150673958</v>
      </c>
      <c r="L8" s="71">
        <f t="shared" si="9"/>
        <v>0.34299999999999997</v>
      </c>
      <c r="M8" s="71">
        <f t="shared" si="10"/>
        <v>19.664837779421294</v>
      </c>
      <c r="N8" s="71">
        <f t="shared" si="11"/>
        <v>0.61230000000000029</v>
      </c>
      <c r="O8" s="71">
        <f t="shared" si="12"/>
        <v>35.10431537125266</v>
      </c>
      <c r="P8" s="71">
        <f t="shared" si="13"/>
        <v>64.095048675808656</v>
      </c>
      <c r="Q8" s="71"/>
      <c r="R8" s="71"/>
      <c r="S8" s="71"/>
      <c r="T8" s="71"/>
      <c r="U8" s="71"/>
      <c r="V8" s="71"/>
      <c r="W8" s="71"/>
      <c r="X8" s="71"/>
      <c r="Y8" s="71"/>
      <c r="Z8" s="71"/>
      <c r="AA8" s="71"/>
      <c r="AB8" s="71"/>
      <c r="AC8" s="71"/>
      <c r="AD8" s="71"/>
      <c r="AE8" s="71"/>
      <c r="AF8" s="71">
        <f t="shared" si="4"/>
        <v>0</v>
      </c>
      <c r="AG8" s="71"/>
      <c r="AH8" s="71"/>
      <c r="AI8" s="71"/>
      <c r="AJ8" s="71"/>
      <c r="AK8" s="71"/>
      <c r="AL8" s="71"/>
      <c r="AM8" s="71"/>
      <c r="AN8" s="71"/>
      <c r="AO8" s="71"/>
      <c r="AP8" s="71"/>
      <c r="AQ8" s="71"/>
      <c r="AS8" s="71">
        <f t="shared" si="1"/>
        <v>0</v>
      </c>
      <c r="AT8">
        <f t="shared" si="2"/>
        <v>0</v>
      </c>
      <c r="AU8">
        <f t="shared" si="5"/>
        <v>0</v>
      </c>
      <c r="AV8">
        <f t="shared" si="3"/>
        <v>0</v>
      </c>
    </row>
    <row r="9" spans="1:48" x14ac:dyDescent="0.25">
      <c r="A9" t="s">
        <v>145</v>
      </c>
      <c r="B9" s="45" t="s">
        <v>388</v>
      </c>
      <c r="C9" s="72" t="str">
        <f t="shared" si="0"/>
        <v>27-10-2023 10:51</v>
      </c>
      <c r="D9" s="71">
        <v>1200</v>
      </c>
      <c r="E9" s="71">
        <v>4.4333999999999998</v>
      </c>
      <c r="F9" s="71">
        <v>40.6721</v>
      </c>
      <c r="G9" s="71">
        <v>6.3851000000000004</v>
      </c>
      <c r="H9" s="71">
        <v>5.1148999999999996</v>
      </c>
      <c r="I9" s="71">
        <f t="shared" si="6"/>
        <v>36.238700000000001</v>
      </c>
      <c r="J9" s="71">
        <f t="shared" si="7"/>
        <v>1.9517000000000007</v>
      </c>
      <c r="K9" s="71">
        <f t="shared" si="8"/>
        <v>53.856788460954746</v>
      </c>
      <c r="L9" s="71">
        <f t="shared" si="9"/>
        <v>0.68149999999999977</v>
      </c>
      <c r="M9" s="71">
        <f t="shared" si="10"/>
        <v>18.805862241195179</v>
      </c>
      <c r="N9" s="71">
        <f t="shared" si="11"/>
        <v>1.2702000000000009</v>
      </c>
      <c r="O9" s="71">
        <f t="shared" si="12"/>
        <v>35.05092621975956</v>
      </c>
      <c r="P9" s="71">
        <f t="shared" si="13"/>
        <v>65.081723625557217</v>
      </c>
      <c r="Q9" s="71">
        <v>7.78</v>
      </c>
      <c r="R9" s="71">
        <v>19754.599999999999</v>
      </c>
      <c r="S9" s="71"/>
      <c r="T9" s="71"/>
      <c r="U9" s="71">
        <v>1930</v>
      </c>
      <c r="V9" s="71"/>
      <c r="W9" s="71"/>
      <c r="X9" s="71">
        <v>283.97699999999998</v>
      </c>
      <c r="Y9" s="71" t="s">
        <v>393</v>
      </c>
      <c r="Z9" s="71">
        <v>11.38</v>
      </c>
      <c r="AA9" s="71">
        <v>0</v>
      </c>
      <c r="AB9" s="71">
        <f t="shared" si="14"/>
        <v>302.90879999999999</v>
      </c>
      <c r="AC9" s="71">
        <f>IF(Y9="&lt; 10 ppm",5*112/74,Y9*112/74)</f>
        <v>7.5675675675675675</v>
      </c>
      <c r="AD9" s="71">
        <f>IF(Z9="&lt; 10 ppm",5*160/88,Z9*160/88)</f>
        <v>20.690909090909091</v>
      </c>
      <c r="AE9" s="71">
        <f>IF(AA9="&lt; 10 ppm",5*208/102,AA9*208/102)</f>
        <v>0</v>
      </c>
      <c r="AF9" s="71">
        <f t="shared" si="4"/>
        <v>331.16727665847662</v>
      </c>
      <c r="AG9" s="71">
        <f>(50*1108)</f>
        <v>55400</v>
      </c>
      <c r="AH9" s="71"/>
      <c r="AI9" s="71"/>
      <c r="AJ9" s="71"/>
      <c r="AK9" s="71"/>
      <c r="AL9" s="71"/>
      <c r="AM9" s="71"/>
      <c r="AN9" s="71">
        <f>(95.2*50)</f>
        <v>4760</v>
      </c>
      <c r="AO9" s="71"/>
      <c r="AP9" s="71"/>
      <c r="AQ9" s="71"/>
      <c r="AR9" s="61" t="s">
        <v>440</v>
      </c>
      <c r="AS9" s="71">
        <f t="shared" si="1"/>
        <v>1.5805573767910555</v>
      </c>
      <c r="AT9">
        <f t="shared" si="2"/>
        <v>64.628146153145693</v>
      </c>
      <c r="AU9">
        <f t="shared" si="5"/>
        <v>42.06111146371147</v>
      </c>
      <c r="AV9">
        <f t="shared" si="3"/>
        <v>66.48</v>
      </c>
    </row>
    <row r="10" spans="1:48" x14ac:dyDescent="0.25">
      <c r="A10" t="s">
        <v>145</v>
      </c>
      <c r="B10" s="45" t="s">
        <v>388</v>
      </c>
      <c r="C10" s="72" t="str">
        <f t="shared" si="0"/>
        <v>27-10-2023 10:51</v>
      </c>
      <c r="D10" s="71"/>
      <c r="E10" s="71">
        <v>4.4229000000000003</v>
      </c>
      <c r="F10" s="71">
        <v>37.7074</v>
      </c>
      <c r="G10" s="71">
        <v>6.2465999999999999</v>
      </c>
      <c r="H10" s="71">
        <v>5.0602999999999998</v>
      </c>
      <c r="I10" s="71">
        <f t="shared" ref="I10" si="23">F10-E10</f>
        <v>33.284500000000001</v>
      </c>
      <c r="J10" s="71">
        <f t="shared" ref="J10" si="24">G10-E10</f>
        <v>1.8236999999999997</v>
      </c>
      <c r="K10" s="71">
        <f t="shared" ref="K10" si="25">1000*J10/I10</f>
        <v>54.791269209391743</v>
      </c>
      <c r="L10" s="71">
        <f t="shared" ref="L10" si="26">H10-E10</f>
        <v>0.63739999999999952</v>
      </c>
      <c r="M10" s="71">
        <f t="shared" ref="M10" si="27">1000*L10/I10</f>
        <v>19.150054830326415</v>
      </c>
      <c r="N10" s="71">
        <f t="shared" ref="N10" si="28">J10-L10</f>
        <v>1.1863000000000001</v>
      </c>
      <c r="O10" s="71">
        <f t="shared" ref="O10" si="29">1000*N10/I10</f>
        <v>35.641214379065332</v>
      </c>
      <c r="P10" s="71">
        <f t="shared" ref="P10" si="30">100*O10/K10</f>
        <v>65.0490760541756</v>
      </c>
      <c r="Q10" s="71"/>
      <c r="R10" s="71"/>
      <c r="S10" s="71"/>
      <c r="T10" s="71"/>
      <c r="U10" s="71"/>
      <c r="V10" s="71"/>
      <c r="W10" s="71"/>
      <c r="X10" s="71"/>
      <c r="Y10" s="71"/>
      <c r="Z10" s="71"/>
      <c r="AA10" s="71"/>
      <c r="AB10" s="71"/>
      <c r="AC10" s="71"/>
      <c r="AD10" s="71"/>
      <c r="AE10" s="71"/>
      <c r="AF10" s="71">
        <f t="shared" si="4"/>
        <v>0</v>
      </c>
      <c r="AG10" s="71"/>
      <c r="AH10" s="71"/>
      <c r="AI10" s="71"/>
      <c r="AJ10" s="71"/>
      <c r="AK10" s="71"/>
      <c r="AL10" s="71"/>
      <c r="AM10" s="71"/>
      <c r="AN10" s="71"/>
      <c r="AO10" s="71"/>
      <c r="AP10" s="71"/>
      <c r="AQ10" s="71"/>
      <c r="AR10" s="61"/>
      <c r="AS10" s="71">
        <f t="shared" si="1"/>
        <v>0</v>
      </c>
      <c r="AT10">
        <f t="shared" si="2"/>
        <v>0</v>
      </c>
      <c r="AU10">
        <f t="shared" si="5"/>
        <v>0</v>
      </c>
      <c r="AV10">
        <f t="shared" si="3"/>
        <v>0</v>
      </c>
    </row>
    <row r="11" spans="1:48" x14ac:dyDescent="0.25">
      <c r="A11" t="s">
        <v>148</v>
      </c>
      <c r="B11" s="45" t="s">
        <v>390</v>
      </c>
      <c r="C11" s="72" t="str">
        <f t="shared" si="0"/>
        <v>30-10-2023 11:10</v>
      </c>
      <c r="D11" s="71">
        <v>500</v>
      </c>
      <c r="E11" s="71">
        <v>4.4821</v>
      </c>
      <c r="F11" s="71">
        <v>29.848600000000001</v>
      </c>
      <c r="G11" s="71">
        <v>5.8414000000000001</v>
      </c>
      <c r="H11" s="71">
        <v>4.9465000000000003</v>
      </c>
      <c r="I11" s="71">
        <f t="shared" si="6"/>
        <v>25.366500000000002</v>
      </c>
      <c r="J11" s="71">
        <f t="shared" si="7"/>
        <v>1.3593000000000002</v>
      </c>
      <c r="K11" s="71">
        <f t="shared" si="8"/>
        <v>53.586423038259127</v>
      </c>
      <c r="L11" s="71">
        <f t="shared" si="9"/>
        <v>0.46440000000000037</v>
      </c>
      <c r="M11" s="71">
        <f t="shared" si="10"/>
        <v>18.307610431080374</v>
      </c>
      <c r="N11" s="71">
        <f t="shared" si="11"/>
        <v>0.89489999999999981</v>
      </c>
      <c r="O11" s="71">
        <f t="shared" si="12"/>
        <v>35.27881260717875</v>
      </c>
      <c r="P11" s="71">
        <f t="shared" si="13"/>
        <v>65.835356433458372</v>
      </c>
      <c r="Q11" s="71">
        <v>7.72</v>
      </c>
      <c r="R11" s="71">
        <f>(9328+34.24)*2</f>
        <v>18724.48</v>
      </c>
      <c r="S11" s="71">
        <v>0.215</v>
      </c>
      <c r="T11" s="71">
        <v>3594</v>
      </c>
      <c r="U11" s="71">
        <f>22.5*100</f>
        <v>2250</v>
      </c>
      <c r="V11" s="71">
        <f>3.71*40</f>
        <v>148.4</v>
      </c>
      <c r="W11" s="71">
        <f>157*100</f>
        <v>15700</v>
      </c>
      <c r="X11" s="71">
        <v>157.977</v>
      </c>
      <c r="Y11" s="71" t="s">
        <v>393</v>
      </c>
      <c r="Z11" s="71">
        <v>10.324999999999999</v>
      </c>
      <c r="AA11" s="71">
        <v>0</v>
      </c>
      <c r="AB11" s="71">
        <f t="shared" si="14"/>
        <v>168.50880000000001</v>
      </c>
      <c r="AC11" s="71">
        <f>IF(Y11="&lt; 10 ppm",5*112/74,Y11*112/74)</f>
        <v>7.5675675675675675</v>
      </c>
      <c r="AD11" s="71">
        <f>IF(Z11="&lt; 10 ppm",5*160/88,Z11*160/88)</f>
        <v>18.772727272727273</v>
      </c>
      <c r="AE11" s="71">
        <f>IF(AA11="&lt; 10 ppm",5*208/102,AA11*208/102)</f>
        <v>0</v>
      </c>
      <c r="AF11" s="71">
        <f t="shared" si="4"/>
        <v>194.84909484029487</v>
      </c>
      <c r="AG11" s="71">
        <f>465*100</f>
        <v>46500</v>
      </c>
      <c r="AH11" s="71"/>
      <c r="AI11" s="71"/>
      <c r="AJ11" s="71"/>
      <c r="AK11" s="71"/>
      <c r="AL11" s="71"/>
      <c r="AM11" s="71">
        <v>4077.4</v>
      </c>
      <c r="AN11" s="71">
        <f>41*100</f>
        <v>4100</v>
      </c>
      <c r="AO11" s="71"/>
      <c r="AP11" s="71">
        <f>10*(0.1158-0.0929)/0.006</f>
        <v>38.166666666666671</v>
      </c>
      <c r="AQ11" s="71">
        <f>(AP11-10*(0.0978-0.0929)/0.006)/AP11*100</f>
        <v>78.602620087336234</v>
      </c>
      <c r="AR11" t="s">
        <v>391</v>
      </c>
      <c r="AS11" s="71">
        <f t="shared" si="1"/>
        <v>1.318071572242709</v>
      </c>
      <c r="AT11">
        <f t="shared" si="2"/>
        <v>26.793211519129564</v>
      </c>
      <c r="AU11">
        <f t="shared" si="5"/>
        <v>17.639406303589375</v>
      </c>
      <c r="AV11">
        <f t="shared" si="3"/>
        <v>23.25</v>
      </c>
    </row>
    <row r="12" spans="1:48" x14ac:dyDescent="0.25">
      <c r="A12" t="s">
        <v>148</v>
      </c>
      <c r="B12" s="45" t="s">
        <v>390</v>
      </c>
      <c r="C12" s="72" t="str">
        <f t="shared" si="0"/>
        <v>30-10-2023 11:10</v>
      </c>
      <c r="D12" s="71"/>
      <c r="E12" s="71">
        <v>4.3997000000000002</v>
      </c>
      <c r="F12" s="71">
        <v>26.296500000000002</v>
      </c>
      <c r="G12" s="71">
        <v>5.6189</v>
      </c>
      <c r="H12" s="71">
        <v>4.8022999999999998</v>
      </c>
      <c r="I12" s="71">
        <f t="shared" si="6"/>
        <v>21.896800000000002</v>
      </c>
      <c r="J12" s="71">
        <f t="shared" si="7"/>
        <v>1.2191999999999998</v>
      </c>
      <c r="K12" s="71">
        <f t="shared" si="8"/>
        <v>55.679368674874851</v>
      </c>
      <c r="L12" s="71">
        <f t="shared" si="9"/>
        <v>0.40259999999999962</v>
      </c>
      <c r="M12" s="71">
        <f t="shared" si="10"/>
        <v>18.386248218917814</v>
      </c>
      <c r="N12" s="71">
        <f t="shared" si="11"/>
        <v>0.81660000000000021</v>
      </c>
      <c r="O12" s="71">
        <f t="shared" si="12"/>
        <v>37.293120455957045</v>
      </c>
      <c r="P12" s="71">
        <f t="shared" si="13"/>
        <v>66.978346456692947</v>
      </c>
      <c r="Q12" s="71"/>
      <c r="R12" s="71"/>
      <c r="S12" s="71"/>
      <c r="T12" s="71"/>
      <c r="U12" s="71"/>
      <c r="V12" s="71"/>
      <c r="W12" s="71"/>
      <c r="X12" s="71"/>
      <c r="Y12" s="71"/>
      <c r="Z12" s="71"/>
      <c r="AA12" s="71"/>
      <c r="AB12" s="71"/>
      <c r="AC12" s="71"/>
      <c r="AD12" s="71"/>
      <c r="AE12" s="71"/>
      <c r="AF12" s="71">
        <f t="shared" si="4"/>
        <v>0</v>
      </c>
      <c r="AG12" s="71"/>
      <c r="AH12" s="71"/>
      <c r="AI12" s="71"/>
      <c r="AJ12" s="71"/>
      <c r="AK12" s="71"/>
      <c r="AL12" s="71"/>
      <c r="AM12" s="71"/>
      <c r="AN12" s="71"/>
      <c r="AO12" s="71"/>
      <c r="AP12" s="71"/>
      <c r="AQ12" s="71"/>
      <c r="AR12" s="61"/>
      <c r="AS12" s="71">
        <f t="shared" si="1"/>
        <v>0</v>
      </c>
      <c r="AT12">
        <f t="shared" si="2"/>
        <v>0</v>
      </c>
      <c r="AU12">
        <f t="shared" si="5"/>
        <v>0</v>
      </c>
      <c r="AV12">
        <f t="shared" si="3"/>
        <v>0</v>
      </c>
    </row>
    <row r="13" spans="1:48" x14ac:dyDescent="0.25">
      <c r="A13" t="s">
        <v>392</v>
      </c>
      <c r="B13" s="45" t="s">
        <v>185</v>
      </c>
      <c r="C13" s="72" t="str">
        <f t="shared" si="0"/>
        <v>03-11-2023 10:30</v>
      </c>
      <c r="D13" s="71">
        <v>1200</v>
      </c>
      <c r="E13" s="71">
        <v>4.3312999999999997</v>
      </c>
      <c r="F13" s="71">
        <v>44.756</v>
      </c>
      <c r="G13" s="71">
        <v>6.3974000000000002</v>
      </c>
      <c r="H13" s="71">
        <v>5.1870000000000003</v>
      </c>
      <c r="I13" s="71">
        <f t="shared" si="6"/>
        <v>40.424700000000001</v>
      </c>
      <c r="J13" s="71">
        <f t="shared" si="7"/>
        <v>2.0661000000000005</v>
      </c>
      <c r="K13" s="71">
        <f t="shared" si="8"/>
        <v>51.109841260417525</v>
      </c>
      <c r="L13" s="71">
        <f t="shared" si="9"/>
        <v>0.85570000000000057</v>
      </c>
      <c r="M13" s="71">
        <f t="shared" si="10"/>
        <v>21.167751399515659</v>
      </c>
      <c r="N13" s="71">
        <f t="shared" si="11"/>
        <v>1.2103999999999999</v>
      </c>
      <c r="O13" s="71">
        <f t="shared" si="12"/>
        <v>29.94208986090187</v>
      </c>
      <c r="P13" s="71">
        <f t="shared" si="13"/>
        <v>58.58380523691978</v>
      </c>
      <c r="Q13" s="71">
        <v>7.77</v>
      </c>
      <c r="R13" s="71">
        <f>(9857.83*2)</f>
        <v>19715.66</v>
      </c>
      <c r="S13" s="71"/>
      <c r="T13" s="71"/>
      <c r="U13" s="71">
        <f>(19.8*100)</f>
        <v>1980</v>
      </c>
      <c r="V13" s="71"/>
      <c r="W13" s="71">
        <f>(419*50)</f>
        <v>20950</v>
      </c>
      <c r="X13" s="71">
        <v>76.328999999999994</v>
      </c>
      <c r="Y13" s="71">
        <v>0</v>
      </c>
      <c r="Z13" s="71">
        <v>10.385999999999999</v>
      </c>
      <c r="AA13" s="71">
        <v>0</v>
      </c>
      <c r="AB13" s="71">
        <f t="shared" si="14"/>
        <v>81.417599999999993</v>
      </c>
      <c r="AC13" s="71">
        <f>IF(Y13="&lt; 10 ppm",5*112/74,Y13*112/74)</f>
        <v>0</v>
      </c>
      <c r="AD13" s="71">
        <f>IF(Z13="&lt; 10 ppm",5*160/88,Z13*160/88)</f>
        <v>18.883636363636359</v>
      </c>
      <c r="AE13" s="71">
        <f>IF(AA13="&lt; 10 ppm",5*208/102,AA13*208/102)</f>
        <v>0</v>
      </c>
      <c r="AF13" s="71">
        <f t="shared" si="4"/>
        <v>100.30123636363635</v>
      </c>
      <c r="AG13" s="71">
        <f>(1125*50)</f>
        <v>56250</v>
      </c>
      <c r="AH13" s="71"/>
      <c r="AI13" s="71"/>
      <c r="AJ13" s="71"/>
      <c r="AK13" s="71"/>
      <c r="AL13" s="71"/>
      <c r="AM13" s="71"/>
      <c r="AN13" s="71">
        <f>(105*50)</f>
        <v>5250</v>
      </c>
      <c r="AO13" s="71"/>
      <c r="AP13" s="71"/>
      <c r="AQ13" s="71"/>
      <c r="AR13" t="s">
        <v>441</v>
      </c>
      <c r="AS13" s="71">
        <f t="shared" si="1"/>
        <v>1.8786263838400532</v>
      </c>
      <c r="AT13">
        <f t="shared" si="2"/>
        <v>61.331809512501032</v>
      </c>
      <c r="AU13">
        <f t="shared" si="5"/>
        <v>35.930507833082245</v>
      </c>
      <c r="AV13">
        <f t="shared" si="3"/>
        <v>67.5</v>
      </c>
    </row>
    <row r="14" spans="1:48" x14ac:dyDescent="0.25">
      <c r="A14" t="s">
        <v>392</v>
      </c>
      <c r="B14" s="45" t="s">
        <v>185</v>
      </c>
      <c r="C14" s="72" t="str">
        <f t="shared" si="0"/>
        <v>03-11-2023 10:30</v>
      </c>
      <c r="D14" s="71"/>
      <c r="E14" s="71">
        <v>4.4057000000000004</v>
      </c>
      <c r="F14" s="71">
        <v>42.600200000000001</v>
      </c>
      <c r="G14" s="71">
        <v>6.3372000000000002</v>
      </c>
      <c r="H14" s="71">
        <v>5.1548999999999996</v>
      </c>
      <c r="I14" s="71">
        <f t="shared" si="6"/>
        <v>38.194499999999998</v>
      </c>
      <c r="J14" s="71">
        <f t="shared" si="7"/>
        <v>1.9314999999999998</v>
      </c>
      <c r="K14" s="71">
        <f t="shared" si="8"/>
        <v>50.570108261660707</v>
      </c>
      <c r="L14" s="71">
        <f t="shared" si="9"/>
        <v>0.7491999999999992</v>
      </c>
      <c r="M14" s="71">
        <f t="shared" si="10"/>
        <v>19.615389650342308</v>
      </c>
      <c r="N14" s="71">
        <f t="shared" si="11"/>
        <v>1.1823000000000006</v>
      </c>
      <c r="O14" s="71">
        <f t="shared" si="12"/>
        <v>30.954718611318402</v>
      </c>
      <c r="P14" s="71">
        <f t="shared" si="13"/>
        <v>61.211493657778973</v>
      </c>
      <c r="Q14" s="71"/>
      <c r="R14" s="71"/>
      <c r="S14" s="71"/>
      <c r="T14" s="71"/>
      <c r="U14" s="71"/>
      <c r="V14" s="71"/>
      <c r="W14" s="71"/>
      <c r="X14" s="71"/>
      <c r="Y14" s="71"/>
      <c r="Z14" s="71"/>
      <c r="AA14" s="71"/>
      <c r="AB14" s="71"/>
      <c r="AC14" s="71"/>
      <c r="AD14" s="71"/>
      <c r="AE14" s="71"/>
      <c r="AF14" s="71">
        <f t="shared" si="4"/>
        <v>0</v>
      </c>
      <c r="AG14" s="71"/>
      <c r="AH14" s="71"/>
      <c r="AI14" s="71"/>
      <c r="AJ14" s="71"/>
      <c r="AK14" s="71"/>
      <c r="AL14" s="71"/>
      <c r="AM14" s="71"/>
      <c r="AN14" s="71"/>
      <c r="AO14" s="71"/>
      <c r="AP14" s="71"/>
      <c r="AQ14" s="71"/>
      <c r="AR14" s="61"/>
      <c r="AS14" s="71">
        <f t="shared" si="1"/>
        <v>0</v>
      </c>
      <c r="AT14">
        <f t="shared" si="2"/>
        <v>0</v>
      </c>
      <c r="AU14">
        <f t="shared" si="5"/>
        <v>0</v>
      </c>
      <c r="AV14">
        <f t="shared" si="3"/>
        <v>0</v>
      </c>
    </row>
    <row r="15" spans="1:48" x14ac:dyDescent="0.25">
      <c r="A15" t="s">
        <v>442</v>
      </c>
      <c r="B15" s="45" t="s">
        <v>390</v>
      </c>
      <c r="C15" s="72" t="str">
        <f t="shared" si="0"/>
        <v>06-11-2023 11:10</v>
      </c>
      <c r="D15" s="71">
        <v>400</v>
      </c>
      <c r="E15" s="71">
        <v>4.3455000000000004</v>
      </c>
      <c r="F15" s="71">
        <v>30.8735</v>
      </c>
      <c r="G15" s="71">
        <v>5.7553000000000001</v>
      </c>
      <c r="H15" s="71">
        <v>4.8587999999999996</v>
      </c>
      <c r="I15" s="71">
        <f t="shared" si="6"/>
        <v>26.527999999999999</v>
      </c>
      <c r="J15" s="71">
        <f t="shared" si="7"/>
        <v>1.4097999999999997</v>
      </c>
      <c r="K15" s="71">
        <f t="shared" si="8"/>
        <v>53.143848009650171</v>
      </c>
      <c r="L15" s="71">
        <f t="shared" si="9"/>
        <v>0.5132999999999992</v>
      </c>
      <c r="M15" s="71">
        <f t="shared" si="10"/>
        <v>19.349366706875724</v>
      </c>
      <c r="N15" s="71">
        <f t="shared" si="11"/>
        <v>0.89650000000000052</v>
      </c>
      <c r="O15" s="71">
        <f t="shared" si="12"/>
        <v>33.79448130277445</v>
      </c>
      <c r="P15" s="71">
        <f t="shared" si="13"/>
        <v>63.590580224145327</v>
      </c>
      <c r="Q15" s="71">
        <v>7.7</v>
      </c>
      <c r="R15" s="71">
        <f>9890</f>
        <v>9890</v>
      </c>
      <c r="S15" s="71">
        <f>0.228</f>
        <v>0.22800000000000001</v>
      </c>
      <c r="T15" s="71">
        <v>3749</v>
      </c>
      <c r="U15" s="71">
        <f>20.6*100</f>
        <v>2060</v>
      </c>
      <c r="V15" s="71">
        <f>3.82*40</f>
        <v>152.79999999999998</v>
      </c>
      <c r="W15" s="71">
        <f>130*100</f>
        <v>13000</v>
      </c>
      <c r="X15" s="71">
        <v>205.82599999999999</v>
      </c>
      <c r="Y15" s="71">
        <v>10.268000000000001</v>
      </c>
      <c r="Z15" s="71">
        <v>10.029</v>
      </c>
      <c r="AA15" s="71">
        <v>0</v>
      </c>
      <c r="AB15" s="71">
        <f t="shared" si="14"/>
        <v>219.54773333333333</v>
      </c>
      <c r="AC15" s="71">
        <f>IF(Y15="&lt; 10 ppm",5*112/74,Y15*112/74)</f>
        <v>15.540756756756759</v>
      </c>
      <c r="AD15" s="71">
        <f>IF(Z15="&lt; 10 ppm",5*160/88,Z15*160/88)</f>
        <v>18.234545454545454</v>
      </c>
      <c r="AE15" s="71">
        <f>IF(AA15="&lt; 10 ppm",5*208/102,AA15*208/102)</f>
        <v>0</v>
      </c>
      <c r="AF15" s="71">
        <f t="shared" si="4"/>
        <v>253.32303554463556</v>
      </c>
      <c r="AG15" s="71">
        <f>457*100</f>
        <v>45700</v>
      </c>
      <c r="AH15" s="71"/>
      <c r="AI15" s="71"/>
      <c r="AJ15" s="71"/>
      <c r="AK15" s="71"/>
      <c r="AL15" s="71"/>
      <c r="AM15" s="71">
        <v>3869.6</v>
      </c>
      <c r="AN15" s="71">
        <f>42.2*100</f>
        <v>4220</v>
      </c>
      <c r="AO15" s="71"/>
      <c r="AP15" s="71"/>
      <c r="AQ15" s="71"/>
      <c r="AR15" t="s">
        <v>395</v>
      </c>
      <c r="AS15" s="71">
        <f t="shared" si="1"/>
        <v>1.3522918014500827</v>
      </c>
      <c r="AT15">
        <f t="shared" si="2"/>
        <v>21.25753920386007</v>
      </c>
      <c r="AU15">
        <f t="shared" si="5"/>
        <v>13.517792521109781</v>
      </c>
      <c r="AV15">
        <f t="shared" si="3"/>
        <v>18.28</v>
      </c>
    </row>
    <row r="16" spans="1:48" x14ac:dyDescent="0.25">
      <c r="A16" t="s">
        <v>159</v>
      </c>
      <c r="B16" s="45" t="s">
        <v>156</v>
      </c>
      <c r="C16" s="72" t="str">
        <f t="shared" si="0"/>
        <v>08-11-2023 10:00</v>
      </c>
      <c r="D16" s="71">
        <v>400</v>
      </c>
      <c r="E16" s="71">
        <v>4.4470000000000001</v>
      </c>
      <c r="F16" s="71">
        <v>23.081199999999999</v>
      </c>
      <c r="G16" s="71">
        <v>5.4641999999999999</v>
      </c>
      <c r="H16" s="71">
        <v>4.7925000000000004</v>
      </c>
      <c r="I16" s="71">
        <f t="shared" ref="I16:I17" si="31">F16-E16</f>
        <v>18.6342</v>
      </c>
      <c r="J16" s="71">
        <f t="shared" ref="J16:J17" si="32">G16-E16</f>
        <v>1.0171999999999999</v>
      </c>
      <c r="K16" s="71">
        <f t="shared" ref="K16:K17" si="33">1000*J16/I16</f>
        <v>54.587800925180581</v>
      </c>
      <c r="L16" s="71">
        <f t="shared" ref="L16:L17" si="34">H16-E16</f>
        <v>0.34550000000000036</v>
      </c>
      <c r="M16" s="71">
        <f t="shared" ref="M16:M17" si="35">1000*L16/I16</f>
        <v>18.541176975668414</v>
      </c>
      <c r="N16" s="71">
        <f t="shared" ref="N16:N17" si="36">J16-L16</f>
        <v>0.67169999999999952</v>
      </c>
      <c r="O16" s="71">
        <f t="shared" ref="O16:O17" si="37">1000*N16/I16</f>
        <v>36.04662394951216</v>
      </c>
      <c r="P16" s="71">
        <f t="shared" ref="P16:P17" si="38">100*O16/K16</f>
        <v>66.034211561148197</v>
      </c>
      <c r="Q16" s="71">
        <v>7.79</v>
      </c>
      <c r="R16" s="71">
        <f>8163*2</f>
        <v>16326</v>
      </c>
      <c r="S16" s="71">
        <f>0.229</f>
        <v>0.22900000000000001</v>
      </c>
      <c r="T16" s="71">
        <v>3661</v>
      </c>
      <c r="U16" s="71">
        <f>19.4*100</f>
        <v>1939.9999999999998</v>
      </c>
      <c r="V16" s="71">
        <f>4.48*40</f>
        <v>179.20000000000002</v>
      </c>
      <c r="W16" s="71">
        <f>131*100</f>
        <v>13100</v>
      </c>
      <c r="X16" s="71"/>
      <c r="Y16" s="71"/>
      <c r="Z16" s="71"/>
      <c r="AA16" s="71"/>
      <c r="AB16" s="71"/>
      <c r="AC16" s="71"/>
      <c r="AD16" s="71"/>
      <c r="AE16" s="71"/>
      <c r="AF16" s="71">
        <f t="shared" si="4"/>
        <v>0</v>
      </c>
      <c r="AG16" s="71">
        <f>457*100</f>
        <v>45700</v>
      </c>
      <c r="AH16" s="71"/>
      <c r="AI16" s="71"/>
      <c r="AJ16" s="71"/>
      <c r="AK16" s="71"/>
      <c r="AL16" s="71"/>
      <c r="AM16" s="71"/>
      <c r="AN16" s="71">
        <f>42.3*100</f>
        <v>4230</v>
      </c>
      <c r="AO16" s="71"/>
      <c r="AP16" s="71"/>
      <c r="AQ16" s="71"/>
      <c r="AR16" s="61" t="s">
        <v>395</v>
      </c>
      <c r="AS16" s="71">
        <f t="shared" si="1"/>
        <v>1.267802501116571</v>
      </c>
      <c r="AT16">
        <f t="shared" si="2"/>
        <v>21.835120370072232</v>
      </c>
      <c r="AU16">
        <f t="shared" si="5"/>
        <v>14.418649579804862</v>
      </c>
      <c r="AV16">
        <f t="shared" si="3"/>
        <v>18.28</v>
      </c>
    </row>
    <row r="17" spans="1:48" x14ac:dyDescent="0.25">
      <c r="A17" t="s">
        <v>159</v>
      </c>
      <c r="B17" s="45" t="s">
        <v>156</v>
      </c>
      <c r="C17" s="72" t="str">
        <f t="shared" si="0"/>
        <v>08-11-2023 10:00</v>
      </c>
      <c r="D17" s="71"/>
      <c r="E17" s="71">
        <v>4.4614000000000003</v>
      </c>
      <c r="F17" s="71">
        <v>27.835899999999999</v>
      </c>
      <c r="G17" s="71">
        <v>5.8541999999999996</v>
      </c>
      <c r="H17" s="71">
        <v>4.8928000000000003</v>
      </c>
      <c r="I17" s="71">
        <f t="shared" si="31"/>
        <v>23.374499999999998</v>
      </c>
      <c r="J17" s="71">
        <f t="shared" si="32"/>
        <v>1.3927999999999994</v>
      </c>
      <c r="K17" s="71">
        <f t="shared" si="33"/>
        <v>59.586301311257969</v>
      </c>
      <c r="L17" s="71">
        <f t="shared" si="34"/>
        <v>0.43140000000000001</v>
      </c>
      <c r="M17" s="71">
        <f t="shared" si="35"/>
        <v>18.456009754219341</v>
      </c>
      <c r="N17" s="71">
        <f t="shared" si="36"/>
        <v>0.96139999999999937</v>
      </c>
      <c r="O17" s="71">
        <f t="shared" si="37"/>
        <v>41.130291557038632</v>
      </c>
      <c r="P17" s="71">
        <f t="shared" si="38"/>
        <v>69.026421596783464</v>
      </c>
      <c r="Q17" s="71"/>
      <c r="R17" s="71"/>
      <c r="S17" s="71"/>
      <c r="T17" s="71"/>
      <c r="U17" s="71"/>
      <c r="V17" s="71"/>
      <c r="W17" s="71"/>
      <c r="X17" s="71"/>
      <c r="Y17" s="71"/>
      <c r="Z17" s="71"/>
      <c r="AA17" s="71"/>
      <c r="AB17" s="71"/>
      <c r="AC17" s="71"/>
      <c r="AD17" s="71"/>
      <c r="AE17" s="71"/>
      <c r="AF17" s="71">
        <f t="shared" si="4"/>
        <v>0</v>
      </c>
      <c r="AG17" s="71"/>
      <c r="AH17" s="71"/>
      <c r="AI17" s="71"/>
      <c r="AJ17" s="71"/>
      <c r="AK17" s="71"/>
      <c r="AL17" s="71"/>
      <c r="AM17" s="71"/>
      <c r="AN17" s="71"/>
      <c r="AO17" s="71"/>
      <c r="AP17" s="71"/>
      <c r="AQ17" s="71"/>
      <c r="AS17" s="71">
        <f t="shared" si="1"/>
        <v>0</v>
      </c>
      <c r="AT17">
        <f t="shared" si="2"/>
        <v>0</v>
      </c>
      <c r="AU17">
        <f t="shared" si="5"/>
        <v>0</v>
      </c>
      <c r="AV17">
        <f t="shared" si="3"/>
        <v>0</v>
      </c>
    </row>
    <row r="18" spans="1:48" x14ac:dyDescent="0.25">
      <c r="A18" t="s">
        <v>164</v>
      </c>
      <c r="B18" s="45" t="s">
        <v>396</v>
      </c>
      <c r="C18" s="72" t="str">
        <f t="shared" si="0"/>
        <v>10-11-2023 09:42</v>
      </c>
      <c r="D18" s="71">
        <v>800</v>
      </c>
      <c r="E18" s="71">
        <v>4.4455</v>
      </c>
      <c r="F18" s="71">
        <v>45.441600000000001</v>
      </c>
      <c r="G18" s="71">
        <v>6.6618000000000004</v>
      </c>
      <c r="H18" s="71">
        <v>5.2674000000000003</v>
      </c>
      <c r="I18" s="71">
        <f t="shared" ref="I18:I20" si="39">F18-E18</f>
        <v>40.996099999999998</v>
      </c>
      <c r="J18" s="71">
        <f t="shared" ref="J18:J20" si="40">G18-E18</f>
        <v>2.2163000000000004</v>
      </c>
      <c r="K18" s="71">
        <f t="shared" ref="K18:K20" si="41">1000*J18/I18</f>
        <v>54.061239971607058</v>
      </c>
      <c r="L18" s="71">
        <f t="shared" ref="L18:L20" si="42">H18-E18</f>
        <v>0.8219000000000003</v>
      </c>
      <c r="M18" s="71">
        <f t="shared" ref="M18:M20" si="43">1000*L18/I18</f>
        <v>20.04824849192973</v>
      </c>
      <c r="N18" s="71">
        <f t="shared" ref="N18:N20" si="44">J18-L18</f>
        <v>1.3944000000000001</v>
      </c>
      <c r="O18" s="71">
        <f t="shared" ref="O18:O20" si="45">1000*N18/I18</f>
        <v>34.012991479677339</v>
      </c>
      <c r="P18" s="71">
        <f t="shared" ref="P18:P20" si="46">100*O18/K18</f>
        <v>62.915670261246227</v>
      </c>
      <c r="Q18" s="71">
        <v>7.68</v>
      </c>
      <c r="R18" s="71">
        <f>((0+8884)*2)</f>
        <v>17768</v>
      </c>
      <c r="S18" s="71"/>
      <c r="T18" s="71"/>
      <c r="U18" s="71">
        <f>(17.6*100)</f>
        <v>1760.0000000000002</v>
      </c>
      <c r="V18" s="71"/>
      <c r="W18" s="71"/>
      <c r="X18" s="71">
        <v>303.56099999999998</v>
      </c>
      <c r="Y18" s="71" t="s">
        <v>393</v>
      </c>
      <c r="Z18" s="71">
        <v>10.387</v>
      </c>
      <c r="AA18" s="71">
        <v>0</v>
      </c>
      <c r="AB18" s="71">
        <f t="shared" ref="AB18" si="47">IF(X18="&lt; 10 ppm",5*64/60,X18*64/60)</f>
        <v>323.79839999999996</v>
      </c>
      <c r="AC18" s="71">
        <f t="shared" ref="AC18" si="48">IF(Y18="&lt; 10 ppm",5*112/74,Y18*112/74)</f>
        <v>7.5675675675675675</v>
      </c>
      <c r="AD18" s="71">
        <f t="shared" ref="AD18" si="49">IF(Z18="&lt; 10 ppm",5*160/88,Z18*160/88)</f>
        <v>18.885454545454547</v>
      </c>
      <c r="AE18" s="71">
        <f t="shared" ref="AE18" si="50">IF(AA18="&lt; 10 ppm",5*208/102,AA18*208/102)</f>
        <v>0</v>
      </c>
      <c r="AF18" s="71">
        <f t="shared" si="4"/>
        <v>350.25142211302204</v>
      </c>
      <c r="AG18" s="71">
        <f>(508*100)</f>
        <v>50800</v>
      </c>
      <c r="AH18" s="71"/>
      <c r="AI18" s="71"/>
      <c r="AJ18" s="71"/>
      <c r="AK18" s="71"/>
      <c r="AL18" s="71"/>
      <c r="AM18" s="71">
        <v>3804.3</v>
      </c>
      <c r="AN18" s="71">
        <f>(40.4*100)</f>
        <v>4040</v>
      </c>
      <c r="AO18" s="71"/>
      <c r="AP18" s="71"/>
      <c r="AQ18" s="71"/>
      <c r="AR18" s="61" t="s">
        <v>443</v>
      </c>
      <c r="AS18" s="71">
        <f t="shared" si="1"/>
        <v>1.4935469592656339</v>
      </c>
      <c r="AT18">
        <f t="shared" si="2"/>
        <v>43.248991977285648</v>
      </c>
      <c r="AU18">
        <f t="shared" si="5"/>
        <v>27.210393183741871</v>
      </c>
      <c r="AV18">
        <f t="shared" si="3"/>
        <v>40.64</v>
      </c>
    </row>
    <row r="19" spans="1:48" x14ac:dyDescent="0.25">
      <c r="A19" t="s">
        <v>164</v>
      </c>
      <c r="B19" s="45" t="s">
        <v>396</v>
      </c>
      <c r="C19" s="72" t="str">
        <f t="shared" si="0"/>
        <v>10-11-2023 09:42</v>
      </c>
      <c r="D19" s="71"/>
      <c r="E19" s="71">
        <v>4.2892999999999999</v>
      </c>
      <c r="F19" s="71">
        <v>42.010199999999998</v>
      </c>
      <c r="G19" s="71">
        <v>6.3276000000000003</v>
      </c>
      <c r="H19" s="71">
        <v>5.0069999999999997</v>
      </c>
      <c r="I19" s="71">
        <f t="shared" ref="I19" si="51">F19-E19</f>
        <v>37.7209</v>
      </c>
      <c r="J19" s="71">
        <f t="shared" ref="J19" si="52">G19-E19</f>
        <v>2.0383000000000004</v>
      </c>
      <c r="K19" s="71">
        <f t="shared" ref="K19" si="53">1000*J19/I19</f>
        <v>54.036356502628529</v>
      </c>
      <c r="L19" s="71">
        <f t="shared" ref="L19" si="54">H19-E19</f>
        <v>0.71769999999999978</v>
      </c>
      <c r="M19" s="71">
        <f t="shared" ref="M19" si="55">1000*L19/I19</f>
        <v>19.026587382591607</v>
      </c>
      <c r="N19" s="71">
        <f t="shared" ref="N19" si="56">J19-L19</f>
        <v>1.3206000000000007</v>
      </c>
      <c r="O19" s="71">
        <f t="shared" ref="O19" si="57">1000*N19/I19</f>
        <v>35.009769120036921</v>
      </c>
      <c r="P19" s="71">
        <f t="shared" ref="P19" si="58">100*O19/K19</f>
        <v>64.789285188637606</v>
      </c>
      <c r="Q19" s="71"/>
      <c r="R19" s="71"/>
      <c r="S19" s="71"/>
      <c r="T19" s="71"/>
      <c r="U19" s="71"/>
      <c r="V19" s="71"/>
      <c r="W19" s="71"/>
      <c r="X19" s="71"/>
      <c r="Y19" s="71"/>
      <c r="Z19" s="71"/>
      <c r="AA19" s="71"/>
      <c r="AB19" s="71"/>
      <c r="AC19" s="71"/>
      <c r="AD19" s="71"/>
      <c r="AE19" s="71"/>
      <c r="AF19" s="71">
        <f t="shared" si="4"/>
        <v>0</v>
      </c>
      <c r="AG19" s="71"/>
      <c r="AH19" s="71"/>
      <c r="AI19" s="71"/>
      <c r="AJ19" s="71"/>
      <c r="AK19" s="71"/>
      <c r="AL19" s="71"/>
      <c r="AM19" s="71"/>
      <c r="AN19" s="71"/>
      <c r="AO19" s="71"/>
      <c r="AP19" s="71"/>
      <c r="AQ19" s="71"/>
      <c r="AS19" s="71">
        <f t="shared" si="1"/>
        <v>0</v>
      </c>
      <c r="AT19">
        <f t="shared" si="2"/>
        <v>0</v>
      </c>
      <c r="AU19">
        <f t="shared" si="5"/>
        <v>0</v>
      </c>
      <c r="AV19">
        <f t="shared" si="3"/>
        <v>0</v>
      </c>
    </row>
    <row r="20" spans="1:48" x14ac:dyDescent="0.25">
      <c r="A20" t="s">
        <v>169</v>
      </c>
      <c r="B20" s="45" t="s">
        <v>185</v>
      </c>
      <c r="C20" s="72" t="str">
        <f t="shared" si="0"/>
        <v>13-11-2023 10:30</v>
      </c>
      <c r="D20" s="71">
        <v>800</v>
      </c>
      <c r="E20" s="71">
        <v>4.4829999999999997</v>
      </c>
      <c r="F20" s="71">
        <v>28.001999999999999</v>
      </c>
      <c r="G20" s="71">
        <v>5.7839999999999998</v>
      </c>
      <c r="H20" s="71">
        <v>4.9302000000000001</v>
      </c>
      <c r="I20" s="71">
        <f t="shared" si="39"/>
        <v>23.518999999999998</v>
      </c>
      <c r="J20" s="71">
        <f t="shared" si="40"/>
        <v>1.3010000000000002</v>
      </c>
      <c r="K20" s="71">
        <f t="shared" si="41"/>
        <v>55.316977762659988</v>
      </c>
      <c r="L20" s="71">
        <f t="shared" si="42"/>
        <v>0.44720000000000049</v>
      </c>
      <c r="M20" s="71">
        <f t="shared" si="43"/>
        <v>19.014413878141099</v>
      </c>
      <c r="N20" s="71">
        <f t="shared" si="44"/>
        <v>0.85379999999999967</v>
      </c>
      <c r="O20" s="71">
        <f t="shared" si="45"/>
        <v>36.302563884518889</v>
      </c>
      <c r="P20" s="71">
        <f t="shared" si="46"/>
        <v>65.626441199077604</v>
      </c>
      <c r="Q20" s="71">
        <v>7.66</v>
      </c>
      <c r="R20" s="71">
        <f>8180*2</f>
        <v>16360</v>
      </c>
      <c r="S20" s="71">
        <v>0.23</v>
      </c>
      <c r="T20" s="71">
        <v>3340</v>
      </c>
      <c r="U20" s="71">
        <f>18.8*100</f>
        <v>1880</v>
      </c>
      <c r="V20" s="71">
        <f>4.38*40</f>
        <v>175.2</v>
      </c>
      <c r="W20" s="71">
        <f>115*100</f>
        <v>11500</v>
      </c>
      <c r="X20" s="71">
        <v>394.83</v>
      </c>
      <c r="Y20" s="71">
        <v>21.548999999999999</v>
      </c>
      <c r="Z20" s="71">
        <v>15.201000000000001</v>
      </c>
      <c r="AA20" s="71">
        <v>0</v>
      </c>
      <c r="AB20" s="71">
        <f t="shared" ref="AB20:AB43" si="59">IF(X20="&lt; 10 ppm",5*64/60,X20*64/60)</f>
        <v>421.15199999999999</v>
      </c>
      <c r="AC20" s="71">
        <f t="shared" ref="AC20:AC43" si="60">IF(Y20="&lt; 10 ppm",5*112/74,Y20*112/74)</f>
        <v>32.614702702702701</v>
      </c>
      <c r="AD20" s="71">
        <f t="shared" ref="AD20:AD43" si="61">IF(Z20="&lt; 10 ppm",5*160/88,Z20*160/88)</f>
        <v>27.638181818181817</v>
      </c>
      <c r="AE20" s="71">
        <f t="shared" ref="AE20:AE43" si="62">IF(AA20="&lt; 10 ppm",5*208/102,AA20*208/102)</f>
        <v>0</v>
      </c>
      <c r="AF20" s="71">
        <f t="shared" si="4"/>
        <v>481.40488452088448</v>
      </c>
      <c r="AG20" s="71">
        <f>557*100</f>
        <v>55700</v>
      </c>
      <c r="AH20" s="71"/>
      <c r="AI20" s="71"/>
      <c r="AJ20" s="71"/>
      <c r="AK20" s="71"/>
      <c r="AL20" s="71"/>
      <c r="AM20" s="71"/>
      <c r="AN20" s="71">
        <f>38.1*100</f>
        <v>3810</v>
      </c>
      <c r="AO20" s="71"/>
      <c r="AP20" s="71"/>
      <c r="AQ20" s="71"/>
      <c r="AR20" s="64" t="s">
        <v>398</v>
      </c>
      <c r="AS20" s="71">
        <f t="shared" si="1"/>
        <v>1.5343268915436874</v>
      </c>
      <c r="AT20">
        <f t="shared" si="2"/>
        <v>44.253582210127995</v>
      </c>
      <c r="AU20">
        <f t="shared" si="5"/>
        <v>29.042051107615116</v>
      </c>
      <c r="AV20">
        <f t="shared" si="3"/>
        <v>44.56</v>
      </c>
    </row>
    <row r="21" spans="1:48" x14ac:dyDescent="0.25">
      <c r="A21" t="s">
        <v>169</v>
      </c>
      <c r="B21" s="45" t="s">
        <v>185</v>
      </c>
      <c r="C21" s="72" t="str">
        <f t="shared" si="0"/>
        <v>13-11-2023 10:30</v>
      </c>
      <c r="D21" s="71"/>
      <c r="E21" s="71">
        <v>4.4585999999999997</v>
      </c>
      <c r="F21" s="71">
        <v>25.2683</v>
      </c>
      <c r="G21" s="71">
        <v>5.5991</v>
      </c>
      <c r="H21" s="71">
        <v>4.8517000000000001</v>
      </c>
      <c r="I21" s="71">
        <f t="shared" ref="I21:I23" si="63">F21-E21</f>
        <v>20.809699999999999</v>
      </c>
      <c r="J21" s="71">
        <f t="shared" ref="J21:J23" si="64">G21-E21</f>
        <v>1.1405000000000003</v>
      </c>
      <c r="K21" s="71">
        <f t="shared" ref="K21:K23" si="65">1000*J21/I21</f>
        <v>54.806172121654818</v>
      </c>
      <c r="L21" s="71">
        <f t="shared" ref="L21:L23" si="66">H21-E21</f>
        <v>0.39310000000000045</v>
      </c>
      <c r="M21" s="71">
        <f t="shared" ref="M21:M23" si="67">1000*L21/I21</f>
        <v>18.890229075863683</v>
      </c>
      <c r="N21" s="71">
        <f t="shared" ref="N21:N23" si="68">J21-L21</f>
        <v>0.74739999999999984</v>
      </c>
      <c r="O21" s="71">
        <f t="shared" ref="O21:O23" si="69">1000*N21/I21</f>
        <v>35.915943045791138</v>
      </c>
      <c r="P21" s="71">
        <f t="shared" ref="P21:P23" si="70">100*O21/K21</f>
        <v>65.532661113546652</v>
      </c>
      <c r="Q21" s="71"/>
      <c r="R21" s="71"/>
      <c r="S21" s="71"/>
      <c r="T21" s="71"/>
      <c r="U21" s="71"/>
      <c r="V21" s="71"/>
      <c r="W21" s="71"/>
      <c r="X21" s="71"/>
      <c r="Y21" s="71"/>
      <c r="Z21" s="71"/>
      <c r="AA21" s="71"/>
      <c r="AB21" s="71"/>
      <c r="AC21" s="71"/>
      <c r="AD21" s="71"/>
      <c r="AE21" s="71"/>
      <c r="AF21" s="71">
        <f t="shared" ref="AF21:AF54" si="71">SUM(AB21:AE21)</f>
        <v>0</v>
      </c>
      <c r="AG21" s="71"/>
      <c r="AH21" s="71"/>
      <c r="AI21" s="71"/>
      <c r="AJ21" s="71"/>
      <c r="AK21" s="71"/>
      <c r="AL21" s="71"/>
      <c r="AM21" s="71"/>
      <c r="AN21" s="71"/>
      <c r="AO21" s="71"/>
      <c r="AP21" s="71"/>
      <c r="AQ21" s="71"/>
      <c r="AR21" s="64"/>
      <c r="AS21" s="71">
        <f t="shared" si="1"/>
        <v>0</v>
      </c>
      <c r="AT21">
        <f t="shared" si="2"/>
        <v>0</v>
      </c>
      <c r="AU21">
        <f t="shared" si="5"/>
        <v>0</v>
      </c>
      <c r="AV21">
        <f t="shared" si="3"/>
        <v>0</v>
      </c>
    </row>
    <row r="22" spans="1:48" x14ac:dyDescent="0.25">
      <c r="A22" t="s">
        <v>172</v>
      </c>
      <c r="B22" s="45" t="s">
        <v>156</v>
      </c>
      <c r="C22" s="72" t="str">
        <f t="shared" si="0"/>
        <v>15-11-2023 10:00</v>
      </c>
      <c r="D22" s="71">
        <v>800</v>
      </c>
      <c r="E22" s="71">
        <v>4.3982000000000001</v>
      </c>
      <c r="F22" s="71">
        <v>28.043700000000001</v>
      </c>
      <c r="G22" s="71">
        <v>5.6319999999999997</v>
      </c>
      <c r="H22" s="71">
        <v>4.8498000000000001</v>
      </c>
      <c r="I22" s="71">
        <f t="shared" si="63"/>
        <v>23.645500000000002</v>
      </c>
      <c r="J22" s="71">
        <f t="shared" si="64"/>
        <v>1.2337999999999996</v>
      </c>
      <c r="K22" s="71">
        <f t="shared" si="65"/>
        <v>52.179061555052733</v>
      </c>
      <c r="L22" s="71">
        <f t="shared" si="66"/>
        <v>0.4516</v>
      </c>
      <c r="M22" s="71">
        <f t="shared" si="67"/>
        <v>19.098771436425533</v>
      </c>
      <c r="N22" s="71">
        <f t="shared" si="68"/>
        <v>0.78219999999999956</v>
      </c>
      <c r="O22" s="71">
        <f t="shared" si="69"/>
        <v>33.080290118627204</v>
      </c>
      <c r="P22" s="71">
        <f t="shared" si="70"/>
        <v>63.397633327929967</v>
      </c>
      <c r="Q22" s="71">
        <v>7.65</v>
      </c>
      <c r="R22" s="71">
        <f>8106*2</f>
        <v>16212</v>
      </c>
      <c r="S22" s="71">
        <v>0.27200000000000002</v>
      </c>
      <c r="T22" s="71">
        <v>4095</v>
      </c>
      <c r="U22" s="71">
        <f>36.9*50</f>
        <v>1845</v>
      </c>
      <c r="V22" s="71">
        <f>3.8*40</f>
        <v>152</v>
      </c>
      <c r="W22" s="71">
        <f>315*50</f>
        <v>15750</v>
      </c>
      <c r="X22">
        <v>857.04899999999998</v>
      </c>
      <c r="Y22">
        <v>12.932</v>
      </c>
      <c r="Z22">
        <v>29.529</v>
      </c>
      <c r="AA22" s="71">
        <v>0</v>
      </c>
      <c r="AB22" s="71">
        <f t="shared" ref="AB22" si="72">IF(X22="&lt; 10 ppm",5*64/60,X22*64/60)</f>
        <v>914.18560000000002</v>
      </c>
      <c r="AC22" s="71">
        <f t="shared" ref="AC22" si="73">IF(Y22="&lt; 10 ppm",5*112/74,Y22*112/74)</f>
        <v>19.572756756756757</v>
      </c>
      <c r="AD22" s="71">
        <f t="shared" ref="AD22" si="74">IF(Z22="&lt; 10 ppm",5*160/88,Z22*160/88)</f>
        <v>53.689090909090915</v>
      </c>
      <c r="AE22" s="71">
        <f t="shared" ref="AE22" si="75">IF(AA22="&lt; 10 ppm",5*208/102,AA22*208/102)</f>
        <v>0</v>
      </c>
      <c r="AF22" s="71">
        <f t="shared" si="71"/>
        <v>987.44744766584779</v>
      </c>
      <c r="AG22" s="71">
        <f>917*50</f>
        <v>45850</v>
      </c>
      <c r="AH22" s="71"/>
      <c r="AI22" s="71"/>
      <c r="AJ22" s="71"/>
      <c r="AK22" s="71"/>
      <c r="AL22" s="71"/>
      <c r="AM22" s="71"/>
      <c r="AN22" s="71">
        <f>70*50</f>
        <v>3500</v>
      </c>
      <c r="AO22" s="71"/>
      <c r="AP22" s="71"/>
      <c r="AQ22" s="71"/>
      <c r="AR22" s="64" t="s">
        <v>398</v>
      </c>
      <c r="AS22" s="71">
        <f t="shared" si="1"/>
        <v>1.386021701610842</v>
      </c>
      <c r="AT22">
        <f t="shared" si="2"/>
        <v>41.743249244042183</v>
      </c>
      <c r="AU22">
        <f t="shared" si="5"/>
        <v>26.46423209490176</v>
      </c>
      <c r="AV22">
        <f t="shared" si="3"/>
        <v>36.68</v>
      </c>
    </row>
    <row r="23" spans="1:48" x14ac:dyDescent="0.25">
      <c r="A23" t="s">
        <v>172</v>
      </c>
      <c r="B23" s="45" t="s">
        <v>156</v>
      </c>
      <c r="C23" s="72" t="str">
        <f t="shared" si="0"/>
        <v>15-11-2023 10:00</v>
      </c>
      <c r="D23" s="71"/>
      <c r="E23" s="71">
        <v>4.4617000000000004</v>
      </c>
      <c r="F23" s="71">
        <v>29.9941</v>
      </c>
      <c r="G23" s="71">
        <v>5.8282999999999996</v>
      </c>
      <c r="H23" s="71">
        <v>4.9519000000000002</v>
      </c>
      <c r="I23" s="71">
        <f t="shared" si="63"/>
        <v>25.532399999999999</v>
      </c>
      <c r="J23" s="71">
        <f t="shared" si="64"/>
        <v>1.3665999999999991</v>
      </c>
      <c r="K23" s="71">
        <f t="shared" si="65"/>
        <v>53.52414970782219</v>
      </c>
      <c r="L23" s="71">
        <f t="shared" si="66"/>
        <v>0.49019999999999975</v>
      </c>
      <c r="M23" s="71">
        <f t="shared" si="67"/>
        <v>19.199135216430879</v>
      </c>
      <c r="N23" s="71">
        <f t="shared" si="68"/>
        <v>0.8763999999999994</v>
      </c>
      <c r="O23" s="71">
        <f t="shared" si="69"/>
        <v>34.325014491391308</v>
      </c>
      <c r="P23" s="71">
        <f t="shared" si="70"/>
        <v>64.129957558905303</v>
      </c>
      <c r="Q23" s="71"/>
      <c r="R23" s="71"/>
      <c r="S23" s="71"/>
      <c r="T23" s="71"/>
      <c r="U23" s="71"/>
      <c r="V23" s="71"/>
      <c r="W23" s="71"/>
      <c r="X23" s="71"/>
      <c r="Y23" s="71"/>
      <c r="Z23" s="71"/>
      <c r="AA23" s="71"/>
      <c r="AB23" s="71"/>
      <c r="AC23" s="71"/>
      <c r="AD23" s="71"/>
      <c r="AE23" s="71"/>
      <c r="AF23" s="71">
        <f t="shared" si="71"/>
        <v>0</v>
      </c>
      <c r="AG23" s="71"/>
      <c r="AH23" s="71"/>
      <c r="AI23" s="71"/>
      <c r="AJ23" s="71"/>
      <c r="AK23" s="71"/>
      <c r="AL23" s="71"/>
      <c r="AM23" s="71"/>
      <c r="AN23" s="71"/>
      <c r="AO23" s="71"/>
      <c r="AP23" s="71"/>
      <c r="AQ23" s="71"/>
      <c r="AR23" s="64"/>
      <c r="AS23" s="71">
        <f t="shared" si="1"/>
        <v>0</v>
      </c>
      <c r="AT23">
        <f t="shared" si="2"/>
        <v>0</v>
      </c>
      <c r="AU23">
        <f t="shared" si="5"/>
        <v>0</v>
      </c>
      <c r="AV23">
        <f t="shared" si="3"/>
        <v>0</v>
      </c>
    </row>
    <row r="24" spans="1:48" x14ac:dyDescent="0.25">
      <c r="A24" t="s">
        <v>175</v>
      </c>
      <c r="B24" s="45" t="s">
        <v>399</v>
      </c>
      <c r="C24" s="72" t="str">
        <f t="shared" si="0"/>
        <v>17-11-2023 09:10</v>
      </c>
      <c r="D24" s="71">
        <v>1200</v>
      </c>
      <c r="E24" s="71">
        <v>4.4336000000000002</v>
      </c>
      <c r="F24" s="71">
        <v>38.637999999999998</v>
      </c>
      <c r="G24" s="71">
        <v>6.2971000000000004</v>
      </c>
      <c r="H24" s="71">
        <v>5.0338000000000003</v>
      </c>
      <c r="I24" s="71">
        <f t="shared" ref="I24:I31" si="76">F24-E24</f>
        <v>34.2044</v>
      </c>
      <c r="J24" s="71">
        <f t="shared" ref="J24:J31" si="77">G24-E24</f>
        <v>1.8635000000000002</v>
      </c>
      <c r="K24" s="71">
        <f t="shared" ref="K24:K31" si="78">1000*J24/I24</f>
        <v>54.481294804177246</v>
      </c>
      <c r="L24" s="71">
        <f t="shared" ref="L24:L31" si="79">H24-E24</f>
        <v>0.60020000000000007</v>
      </c>
      <c r="M24" s="71">
        <f t="shared" ref="M24:M31" si="80">1000*L24/I24</f>
        <v>17.547450035667929</v>
      </c>
      <c r="N24" s="71">
        <f t="shared" ref="N24:N31" si="81">J24-L24</f>
        <v>1.2633000000000001</v>
      </c>
      <c r="O24" s="71">
        <f t="shared" ref="O24:O31" si="82">1000*N24/I24</f>
        <v>36.933844768509317</v>
      </c>
      <c r="P24" s="71">
        <f t="shared" ref="P24:P33" si="83">100*O24/K24</f>
        <v>67.791789643144611</v>
      </c>
      <c r="Q24" s="71">
        <v>7.63</v>
      </c>
      <c r="R24" s="71">
        <f>(35.81+8315)*2</f>
        <v>16701.62</v>
      </c>
      <c r="S24" s="71"/>
      <c r="T24" s="71"/>
      <c r="U24" s="71">
        <f>(19.3*100)</f>
        <v>1930</v>
      </c>
      <c r="V24" s="71"/>
      <c r="W24" s="71"/>
      <c r="X24" s="71">
        <v>672.13</v>
      </c>
      <c r="Y24" s="71" t="s">
        <v>393</v>
      </c>
      <c r="Z24" s="71">
        <v>15.797000000000001</v>
      </c>
      <c r="AA24" s="71">
        <v>0</v>
      </c>
      <c r="AB24" s="71">
        <f t="shared" si="59"/>
        <v>716.93866666666668</v>
      </c>
      <c r="AC24" s="71">
        <f t="shared" si="60"/>
        <v>7.5675675675675675</v>
      </c>
      <c r="AD24" s="71">
        <f t="shared" si="61"/>
        <v>28.721818181818183</v>
      </c>
      <c r="AE24" s="71">
        <f t="shared" si="62"/>
        <v>0</v>
      </c>
      <c r="AF24" s="71">
        <f t="shared" si="71"/>
        <v>753.22805241605249</v>
      </c>
      <c r="AG24" s="71">
        <f>(476*100)</f>
        <v>47600</v>
      </c>
      <c r="AH24" s="71"/>
      <c r="AI24" s="71"/>
      <c r="AJ24" s="71"/>
      <c r="AK24" s="71"/>
      <c r="AL24" s="71"/>
      <c r="AM24" s="71">
        <v>3523.2</v>
      </c>
      <c r="AN24" s="71">
        <f>(39.7*100)</f>
        <v>3970.0000000000005</v>
      </c>
      <c r="AO24" s="71"/>
      <c r="AP24" s="71"/>
      <c r="AQ24" s="71"/>
      <c r="AR24" s="65" t="s">
        <v>444</v>
      </c>
      <c r="AS24" s="71">
        <f t="shared" si="1"/>
        <v>1.2887908176996754</v>
      </c>
      <c r="AT24">
        <f t="shared" si="2"/>
        <v>65.377553765012692</v>
      </c>
      <c r="AU24">
        <f t="shared" si="5"/>
        <v>44.320613722211171</v>
      </c>
      <c r="AV24">
        <f t="shared" si="3"/>
        <v>57.12</v>
      </c>
    </row>
    <row r="25" spans="1:48" x14ac:dyDescent="0.25">
      <c r="A25" t="s">
        <v>175</v>
      </c>
      <c r="B25" s="45" t="s">
        <v>399</v>
      </c>
      <c r="C25" s="72" t="str">
        <f t="shared" si="0"/>
        <v>17-11-2023 09:10</v>
      </c>
      <c r="D25" s="71"/>
      <c r="E25" s="71">
        <v>4.3486000000000002</v>
      </c>
      <c r="F25" s="71">
        <v>39.5015</v>
      </c>
      <c r="G25" s="71">
        <v>6.1768000000000001</v>
      </c>
      <c r="H25" s="71">
        <v>4.9664000000000001</v>
      </c>
      <c r="I25" s="71">
        <f t="shared" si="76"/>
        <v>35.152900000000002</v>
      </c>
      <c r="J25" s="71">
        <f t="shared" si="77"/>
        <v>1.8281999999999998</v>
      </c>
      <c r="K25" s="71">
        <f t="shared" si="78"/>
        <v>52.00708903106144</v>
      </c>
      <c r="L25" s="71">
        <f t="shared" si="79"/>
        <v>0.6177999999999999</v>
      </c>
      <c r="M25" s="71">
        <f t="shared" si="80"/>
        <v>17.574652446882048</v>
      </c>
      <c r="N25" s="71">
        <f t="shared" si="81"/>
        <v>1.2103999999999999</v>
      </c>
      <c r="O25" s="71">
        <f t="shared" si="82"/>
        <v>34.432436584179392</v>
      </c>
      <c r="P25" s="71">
        <f t="shared" si="83"/>
        <v>66.207198337162225</v>
      </c>
      <c r="Q25" s="71"/>
      <c r="R25" s="71"/>
      <c r="S25" s="71"/>
      <c r="T25" s="71"/>
      <c r="U25" s="71"/>
      <c r="V25" s="71"/>
      <c r="W25" s="71"/>
      <c r="X25" s="71"/>
      <c r="Y25" s="71"/>
      <c r="Z25" s="71"/>
      <c r="AA25" s="71"/>
      <c r="AB25" s="71"/>
      <c r="AC25" s="71"/>
      <c r="AD25" s="71"/>
      <c r="AE25" s="71"/>
      <c r="AF25" s="71">
        <f t="shared" si="71"/>
        <v>0</v>
      </c>
      <c r="AG25" s="71"/>
      <c r="AH25" s="71"/>
      <c r="AI25" s="71"/>
      <c r="AJ25" s="71"/>
      <c r="AK25" s="71"/>
      <c r="AL25" s="71"/>
      <c r="AM25" s="71"/>
      <c r="AN25" s="71"/>
      <c r="AO25" s="71"/>
      <c r="AP25" s="71"/>
      <c r="AQ25" s="71"/>
      <c r="AR25" s="65"/>
      <c r="AS25" s="71">
        <f t="shared" si="1"/>
        <v>0</v>
      </c>
      <c r="AT25">
        <f t="shared" si="2"/>
        <v>0</v>
      </c>
      <c r="AU25">
        <f t="shared" si="5"/>
        <v>0</v>
      </c>
      <c r="AV25">
        <f t="shared" si="3"/>
        <v>0</v>
      </c>
    </row>
    <row r="26" spans="1:48" x14ac:dyDescent="0.25">
      <c r="A26" t="s">
        <v>178</v>
      </c>
      <c r="B26" s="45" t="s">
        <v>185</v>
      </c>
      <c r="C26" s="72" t="str">
        <f t="shared" si="0"/>
        <v>20-11-2023 10:30</v>
      </c>
      <c r="D26" s="71">
        <v>800</v>
      </c>
      <c r="E26" s="71">
        <v>4.4077999999999999</v>
      </c>
      <c r="F26" s="71">
        <v>27.849</v>
      </c>
      <c r="G26" s="71">
        <v>5.7164000000000001</v>
      </c>
      <c r="H26" s="71">
        <v>4.8209999999999997</v>
      </c>
      <c r="I26" s="71">
        <f t="shared" si="76"/>
        <v>23.441200000000002</v>
      </c>
      <c r="J26" s="71">
        <f t="shared" si="77"/>
        <v>1.3086000000000002</v>
      </c>
      <c r="K26" s="71">
        <f t="shared" si="78"/>
        <v>55.824787126938894</v>
      </c>
      <c r="L26" s="71">
        <f t="shared" si="79"/>
        <v>0.41319999999999979</v>
      </c>
      <c r="M26" s="71">
        <f t="shared" si="80"/>
        <v>17.627083937682361</v>
      </c>
      <c r="N26" s="71">
        <f t="shared" si="81"/>
        <v>0.89540000000000042</v>
      </c>
      <c r="O26" s="71">
        <f t="shared" si="82"/>
        <v>38.197703189256536</v>
      </c>
      <c r="P26" s="71">
        <f t="shared" si="83"/>
        <v>68.424270212440803</v>
      </c>
      <c r="Q26" s="71">
        <v>7.68</v>
      </c>
      <c r="R26" s="71">
        <f>210.8*2+7525*2</f>
        <v>15471.6</v>
      </c>
      <c r="S26" s="71">
        <v>0.28799999999999998</v>
      </c>
      <c r="T26" s="71">
        <v>4159</v>
      </c>
      <c r="U26" s="71">
        <f>34.2*50</f>
        <v>1710.0000000000002</v>
      </c>
      <c r="V26" s="71">
        <f>4.23*40</f>
        <v>169.20000000000002</v>
      </c>
      <c r="W26" s="71">
        <f>435*50</f>
        <v>21750</v>
      </c>
      <c r="X26" s="71">
        <v>1335.5650000000001</v>
      </c>
      <c r="Y26" s="71">
        <v>28.591999999999999</v>
      </c>
      <c r="Z26" s="71">
        <v>19.045999999999999</v>
      </c>
      <c r="AA26" s="71">
        <v>5</v>
      </c>
      <c r="AB26" s="71">
        <f t="shared" si="59"/>
        <v>1424.6026666666667</v>
      </c>
      <c r="AC26" s="71">
        <f t="shared" si="60"/>
        <v>43.27437837837838</v>
      </c>
      <c r="AD26" s="71">
        <f t="shared" si="61"/>
        <v>34.629090909090905</v>
      </c>
      <c r="AE26" s="71">
        <f t="shared" si="62"/>
        <v>10.196078431372548</v>
      </c>
      <c r="AF26" s="71">
        <f t="shared" si="71"/>
        <v>1512.7022143855086</v>
      </c>
      <c r="AG26" s="71">
        <f>1035*50</f>
        <v>51750</v>
      </c>
      <c r="AH26" s="71"/>
      <c r="AI26" s="71"/>
      <c r="AJ26" s="71"/>
      <c r="AK26" s="71"/>
      <c r="AL26" s="71"/>
      <c r="AM26" s="71"/>
      <c r="AN26" s="71">
        <f>72.9*50</f>
        <v>3645.0000000000005</v>
      </c>
      <c r="AO26" s="71"/>
      <c r="AP26" s="71"/>
      <c r="AQ26" s="71"/>
      <c r="AR26" s="64" t="s">
        <v>398</v>
      </c>
      <c r="AS26" s="71">
        <f t="shared" si="1"/>
        <v>1.3547935001116813</v>
      </c>
      <c r="AT26">
        <f t="shared" si="2"/>
        <v>44.659829701551111</v>
      </c>
      <c r="AU26">
        <f t="shared" si="5"/>
        <v>30.558162551405225</v>
      </c>
      <c r="AV26">
        <f t="shared" si="3"/>
        <v>41.4</v>
      </c>
    </row>
    <row r="27" spans="1:48" x14ac:dyDescent="0.25">
      <c r="A27" t="s">
        <v>178</v>
      </c>
      <c r="B27" s="45" t="s">
        <v>185</v>
      </c>
      <c r="C27" s="72" t="str">
        <f t="shared" si="0"/>
        <v>20-11-2023 10:30</v>
      </c>
      <c r="D27" s="71"/>
      <c r="E27" s="71">
        <v>4.2973999999999997</v>
      </c>
      <c r="F27" s="71">
        <v>26.4758</v>
      </c>
      <c r="G27" s="71">
        <v>5.5753000000000004</v>
      </c>
      <c r="H27" s="71">
        <v>4.6883999999999997</v>
      </c>
      <c r="I27" s="71">
        <f t="shared" si="76"/>
        <v>22.1784</v>
      </c>
      <c r="J27" s="71">
        <f t="shared" si="77"/>
        <v>1.2779000000000007</v>
      </c>
      <c r="K27" s="71">
        <f t="shared" si="78"/>
        <v>57.619124914331096</v>
      </c>
      <c r="L27" s="71">
        <f t="shared" si="79"/>
        <v>0.39100000000000001</v>
      </c>
      <c r="M27" s="71">
        <f t="shared" si="80"/>
        <v>17.62976589835155</v>
      </c>
      <c r="N27" s="71">
        <f t="shared" si="81"/>
        <v>0.88690000000000069</v>
      </c>
      <c r="O27" s="71">
        <f t="shared" si="82"/>
        <v>39.989359015979538</v>
      </c>
      <c r="P27" s="71">
        <f t="shared" si="83"/>
        <v>69.402926676578772</v>
      </c>
      <c r="Q27" s="71"/>
      <c r="R27" s="71"/>
      <c r="S27" s="71"/>
      <c r="T27" s="71"/>
      <c r="U27" s="71"/>
      <c r="V27" s="71"/>
      <c r="W27" s="71"/>
      <c r="X27" s="71"/>
      <c r="Y27" s="71"/>
      <c r="Z27" s="71"/>
      <c r="AA27" s="71"/>
      <c r="AB27" s="71"/>
      <c r="AC27" s="71"/>
      <c r="AD27" s="71"/>
      <c r="AE27" s="71"/>
      <c r="AF27" s="71">
        <f t="shared" si="71"/>
        <v>0</v>
      </c>
      <c r="AG27" s="71"/>
      <c r="AH27" s="71"/>
      <c r="AI27" s="71"/>
      <c r="AJ27" s="71"/>
      <c r="AK27" s="71"/>
      <c r="AL27" s="71"/>
      <c r="AM27" s="71"/>
      <c r="AN27" s="71"/>
      <c r="AO27" s="71"/>
      <c r="AP27" s="71"/>
      <c r="AQ27" s="71"/>
      <c r="AR27" s="64"/>
      <c r="AS27" s="71">
        <f t="shared" si="1"/>
        <v>0</v>
      </c>
      <c r="AT27">
        <f t="shared" si="2"/>
        <v>0</v>
      </c>
      <c r="AU27">
        <f t="shared" si="5"/>
        <v>0</v>
      </c>
      <c r="AV27">
        <f t="shared" si="3"/>
        <v>0</v>
      </c>
    </row>
    <row r="28" spans="1:48" ht="15" customHeight="1" x14ac:dyDescent="0.25">
      <c r="A28" t="s">
        <v>181</v>
      </c>
      <c r="B28" s="45" t="s">
        <v>156</v>
      </c>
      <c r="C28" s="72" t="str">
        <f t="shared" si="0"/>
        <v>22-11-2023 10:00</v>
      </c>
      <c r="D28" s="71">
        <v>800</v>
      </c>
      <c r="E28" s="71">
        <v>4.4859999999999998</v>
      </c>
      <c r="F28" s="71">
        <v>29.1919</v>
      </c>
      <c r="G28" s="71">
        <v>5.8154000000000003</v>
      </c>
      <c r="H28" s="71">
        <v>4.9207999999999998</v>
      </c>
      <c r="I28" s="71">
        <f t="shared" si="76"/>
        <v>24.7059</v>
      </c>
      <c r="J28" s="71">
        <f t="shared" si="77"/>
        <v>1.3294000000000006</v>
      </c>
      <c r="K28" s="71">
        <f t="shared" si="78"/>
        <v>53.809009184041081</v>
      </c>
      <c r="L28" s="71">
        <f t="shared" si="79"/>
        <v>0.43480000000000008</v>
      </c>
      <c r="M28" s="71">
        <f t="shared" si="80"/>
        <v>17.599035048308302</v>
      </c>
      <c r="N28" s="71">
        <f t="shared" si="81"/>
        <v>0.89460000000000051</v>
      </c>
      <c r="O28" s="71">
        <f t="shared" si="82"/>
        <v>36.209974135732779</v>
      </c>
      <c r="P28" s="71">
        <f t="shared" si="83"/>
        <v>67.293515871821882</v>
      </c>
      <c r="Q28" s="71">
        <v>7.56</v>
      </c>
      <c r="R28" s="71">
        <f>7594*2</f>
        <v>15188</v>
      </c>
      <c r="S28" s="71">
        <f>0.37</f>
        <v>0.37</v>
      </c>
      <c r="T28" s="71">
        <v>4863</v>
      </c>
      <c r="U28" s="71">
        <f>31.1*50</f>
        <v>1555</v>
      </c>
      <c r="V28" s="71">
        <f>4.04*40</f>
        <v>161.6</v>
      </c>
      <c r="W28" s="71">
        <f>309*50</f>
        <v>15450</v>
      </c>
      <c r="X28" s="71">
        <v>1205.71</v>
      </c>
      <c r="Y28" s="71">
        <v>0</v>
      </c>
      <c r="Z28" s="71">
        <v>27.140999999999998</v>
      </c>
      <c r="AA28" s="71">
        <v>0</v>
      </c>
      <c r="AB28" s="71">
        <f t="shared" si="59"/>
        <v>1286.0906666666667</v>
      </c>
      <c r="AC28" s="71">
        <f t="shared" si="60"/>
        <v>0</v>
      </c>
      <c r="AD28" s="71">
        <f t="shared" si="61"/>
        <v>49.347272727272724</v>
      </c>
      <c r="AE28" s="71">
        <f t="shared" si="62"/>
        <v>0</v>
      </c>
      <c r="AF28" s="71">
        <f t="shared" si="71"/>
        <v>1335.4379393939394</v>
      </c>
      <c r="AG28" s="71">
        <f>888*50</f>
        <v>44400</v>
      </c>
      <c r="AH28" s="71"/>
      <c r="AI28" s="71"/>
      <c r="AJ28" s="71"/>
      <c r="AK28" s="71"/>
      <c r="AL28" s="71"/>
      <c r="AM28" s="71"/>
      <c r="AN28" s="71">
        <f>72.7*50</f>
        <v>3635</v>
      </c>
      <c r="AO28" s="71">
        <f>13.5*40</f>
        <v>540</v>
      </c>
      <c r="AP28" s="71"/>
      <c r="AQ28" s="71"/>
      <c r="AR28" s="64" t="s">
        <v>401</v>
      </c>
      <c r="AS28" s="71">
        <f t="shared" si="1"/>
        <v>1.2261814889336011</v>
      </c>
      <c r="AT28">
        <f t="shared" si="2"/>
        <v>43.047207347232863</v>
      </c>
      <c r="AU28">
        <f t="shared" si="5"/>
        <v>28.967979308586223</v>
      </c>
      <c r="AV28">
        <f t="shared" si="3"/>
        <v>35.520000000000003</v>
      </c>
    </row>
    <row r="29" spans="1:48" ht="15" customHeight="1" x14ac:dyDescent="0.25">
      <c r="A29" t="s">
        <v>181</v>
      </c>
      <c r="B29" s="45" t="s">
        <v>156</v>
      </c>
      <c r="C29" s="72" t="str">
        <f t="shared" si="0"/>
        <v>22-11-2023 10:00</v>
      </c>
      <c r="D29" s="71"/>
      <c r="E29" s="71">
        <v>4.4233000000000002</v>
      </c>
      <c r="F29" s="71">
        <v>24.134399999999999</v>
      </c>
      <c r="G29" s="71">
        <v>5.4763999999999999</v>
      </c>
      <c r="H29" s="71">
        <v>4.7756999999999996</v>
      </c>
      <c r="I29" s="71">
        <f t="shared" si="76"/>
        <v>19.711099999999998</v>
      </c>
      <c r="J29" s="71">
        <f t="shared" si="77"/>
        <v>1.0530999999999997</v>
      </c>
      <c r="K29" s="71">
        <f t="shared" si="78"/>
        <v>53.426749395010923</v>
      </c>
      <c r="L29" s="71">
        <f t="shared" si="79"/>
        <v>0.35239999999999938</v>
      </c>
      <c r="M29" s="71">
        <f t="shared" si="80"/>
        <v>17.878251340615158</v>
      </c>
      <c r="N29" s="71">
        <f t="shared" si="81"/>
        <v>0.70070000000000032</v>
      </c>
      <c r="O29" s="71">
        <f t="shared" si="82"/>
        <v>35.548498054395765</v>
      </c>
      <c r="P29" s="71">
        <f t="shared" si="83"/>
        <v>66.536891083467907</v>
      </c>
      <c r="Q29" s="71"/>
      <c r="R29" s="71"/>
      <c r="S29" s="71"/>
      <c r="T29" s="71"/>
      <c r="U29" s="71"/>
      <c r="V29" s="71"/>
      <c r="W29" s="71"/>
      <c r="X29" s="71"/>
      <c r="Y29" s="71"/>
      <c r="Z29" s="71"/>
      <c r="AA29" s="71"/>
      <c r="AB29" s="71"/>
      <c r="AC29" s="71"/>
      <c r="AD29" s="71"/>
      <c r="AE29" s="71"/>
      <c r="AF29" s="71">
        <f t="shared" si="71"/>
        <v>0</v>
      </c>
      <c r="AG29" s="71"/>
      <c r="AH29" s="71"/>
      <c r="AI29" s="71"/>
      <c r="AJ29" s="71"/>
      <c r="AK29" s="71"/>
      <c r="AL29" s="71"/>
      <c r="AM29" s="71"/>
      <c r="AN29" s="71"/>
      <c r="AO29" s="71"/>
      <c r="AP29" s="71"/>
      <c r="AQ29" s="71"/>
      <c r="AR29" s="64"/>
      <c r="AS29" s="71">
        <f t="shared" si="1"/>
        <v>0</v>
      </c>
      <c r="AT29">
        <f t="shared" si="2"/>
        <v>0</v>
      </c>
      <c r="AU29">
        <f t="shared" si="5"/>
        <v>0</v>
      </c>
      <c r="AV29">
        <f t="shared" si="3"/>
        <v>0</v>
      </c>
    </row>
    <row r="30" spans="1:48" x14ac:dyDescent="0.25">
      <c r="A30" t="s">
        <v>182</v>
      </c>
      <c r="B30" s="45" t="s">
        <v>165</v>
      </c>
      <c r="C30" s="72" t="str">
        <f t="shared" si="0"/>
        <v>24-11-2023 09:30</v>
      </c>
      <c r="D30" s="71">
        <v>1200</v>
      </c>
      <c r="E30" s="71">
        <v>4.3738000000000001</v>
      </c>
      <c r="F30" s="71">
        <v>41.537100000000002</v>
      </c>
      <c r="G30" s="71">
        <v>6.4203000000000001</v>
      </c>
      <c r="H30" s="71">
        <v>4.9846000000000004</v>
      </c>
      <c r="I30" s="71">
        <f t="shared" si="76"/>
        <v>37.1633</v>
      </c>
      <c r="J30" s="71">
        <f t="shared" si="77"/>
        <v>2.0465</v>
      </c>
      <c r="K30" s="71">
        <f t="shared" si="78"/>
        <v>55.067768470507197</v>
      </c>
      <c r="L30" s="71">
        <f t="shared" si="79"/>
        <v>0.61080000000000023</v>
      </c>
      <c r="M30" s="71">
        <f t="shared" si="80"/>
        <v>16.435569500017497</v>
      </c>
      <c r="N30" s="71">
        <f t="shared" si="81"/>
        <v>1.4356999999999998</v>
      </c>
      <c r="O30" s="71">
        <f t="shared" si="82"/>
        <v>38.632198970489696</v>
      </c>
      <c r="P30" s="71">
        <f t="shared" si="83"/>
        <v>70.153921329098452</v>
      </c>
      <c r="Q30" s="71">
        <v>7.32</v>
      </c>
      <c r="R30" s="71">
        <f>((0+7085)*2)</f>
        <v>14170</v>
      </c>
      <c r="S30" s="71"/>
      <c r="T30" s="71"/>
      <c r="U30" s="71">
        <f>(16.3*100)</f>
        <v>1630</v>
      </c>
      <c r="V30" s="71"/>
      <c r="W30" s="71"/>
      <c r="X30" s="71">
        <v>2787.43</v>
      </c>
      <c r="Y30" s="71">
        <v>401.226</v>
      </c>
      <c r="Z30" s="71">
        <v>55.280999999999999</v>
      </c>
      <c r="AA30" s="71">
        <v>31.09</v>
      </c>
      <c r="AB30" s="71">
        <f t="shared" si="59"/>
        <v>2973.2586666666666</v>
      </c>
      <c r="AC30" s="71">
        <f t="shared" si="60"/>
        <v>607.26097297297292</v>
      </c>
      <c r="AD30" s="71">
        <f t="shared" si="61"/>
        <v>100.51090909090908</v>
      </c>
      <c r="AE30" s="71">
        <f t="shared" si="62"/>
        <v>63.399215686274509</v>
      </c>
      <c r="AF30" s="71">
        <f t="shared" si="71"/>
        <v>3744.4297644168232</v>
      </c>
      <c r="AG30" s="71">
        <f>(661*100)</f>
        <v>66100</v>
      </c>
      <c r="AH30" s="71"/>
      <c r="AI30" s="71"/>
      <c r="AJ30" s="71"/>
      <c r="AK30" s="71"/>
      <c r="AL30" s="71"/>
      <c r="AM30" s="71"/>
      <c r="AN30" s="71">
        <f>(41*100)</f>
        <v>4100</v>
      </c>
      <c r="AO30" s="71"/>
      <c r="AP30" s="71"/>
      <c r="AQ30" s="71"/>
      <c r="AR30" s="64" t="s">
        <v>445</v>
      </c>
      <c r="AS30" s="71">
        <f t="shared" si="1"/>
        <v>1.7110079612732467</v>
      </c>
      <c r="AT30">
        <f t="shared" si="2"/>
        <v>66.081322164608636</v>
      </c>
      <c r="AU30">
        <f t="shared" si="5"/>
        <v>46.358638764587639</v>
      </c>
      <c r="AV30">
        <f t="shared" si="3"/>
        <v>79.319999999999993</v>
      </c>
    </row>
    <row r="31" spans="1:48" x14ac:dyDescent="0.25">
      <c r="A31" t="s">
        <v>182</v>
      </c>
      <c r="B31" s="45" t="s">
        <v>165</v>
      </c>
      <c r="C31" s="72" t="str">
        <f t="shared" si="0"/>
        <v>24-11-2023 09:30</v>
      </c>
      <c r="D31" s="71"/>
      <c r="E31" s="71">
        <v>4.3569000000000004</v>
      </c>
      <c r="F31" s="71">
        <v>46.708100000000002</v>
      </c>
      <c r="G31" s="71">
        <v>6.5968999999999998</v>
      </c>
      <c r="H31" s="71">
        <v>5.0609999999999999</v>
      </c>
      <c r="I31" s="71">
        <f t="shared" si="76"/>
        <v>42.351199999999999</v>
      </c>
      <c r="J31" s="71">
        <f t="shared" si="77"/>
        <v>2.2399999999999993</v>
      </c>
      <c r="K31" s="71">
        <f t="shared" si="78"/>
        <v>52.891063299268964</v>
      </c>
      <c r="L31" s="71">
        <f t="shared" si="79"/>
        <v>0.7040999999999995</v>
      </c>
      <c r="M31" s="71">
        <f t="shared" si="80"/>
        <v>16.625266816524668</v>
      </c>
      <c r="N31" s="71">
        <f t="shared" si="81"/>
        <v>1.5358999999999998</v>
      </c>
      <c r="O31" s="71">
        <f t="shared" si="82"/>
        <v>36.265796482744285</v>
      </c>
      <c r="P31" s="71">
        <f t="shared" si="83"/>
        <v>68.566964285714278</v>
      </c>
      <c r="Q31" s="71"/>
      <c r="R31" s="71"/>
      <c r="S31" s="71"/>
      <c r="T31" s="71"/>
      <c r="U31" s="71"/>
      <c r="V31" s="71"/>
      <c r="W31" s="71"/>
      <c r="X31" s="71"/>
      <c r="Y31" s="71"/>
      <c r="Z31" s="71"/>
      <c r="AA31" s="71"/>
      <c r="AB31" s="71"/>
      <c r="AC31" s="71"/>
      <c r="AD31" s="71"/>
      <c r="AE31" s="71"/>
      <c r="AF31" s="71">
        <f t="shared" si="71"/>
        <v>0</v>
      </c>
      <c r="AG31" s="71"/>
      <c r="AH31" s="71"/>
      <c r="AI31" s="71"/>
      <c r="AJ31" s="71"/>
      <c r="AK31" s="71"/>
      <c r="AL31" s="71"/>
      <c r="AM31" s="71"/>
      <c r="AN31" s="71"/>
      <c r="AO31" s="71"/>
      <c r="AP31" s="71"/>
      <c r="AQ31" s="71"/>
      <c r="AR31" s="64"/>
      <c r="AS31" s="71">
        <f t="shared" si="1"/>
        <v>0</v>
      </c>
      <c r="AT31">
        <f t="shared" si="2"/>
        <v>0</v>
      </c>
      <c r="AU31">
        <f t="shared" si="5"/>
        <v>0</v>
      </c>
      <c r="AV31">
        <f t="shared" si="3"/>
        <v>0</v>
      </c>
    </row>
    <row r="32" spans="1:48" ht="15" customHeight="1" x14ac:dyDescent="0.25">
      <c r="A32" t="s">
        <v>188</v>
      </c>
      <c r="B32" s="45" t="s">
        <v>156</v>
      </c>
      <c r="C32" s="72" t="str">
        <f t="shared" si="0"/>
        <v>27-11-2023 10:00</v>
      </c>
      <c r="D32" s="71">
        <v>800</v>
      </c>
      <c r="E32" s="71">
        <v>4.4657999999999998</v>
      </c>
      <c r="F32" s="71">
        <v>24.8386</v>
      </c>
      <c r="G32" s="71">
        <v>5.5523999999999996</v>
      </c>
      <c r="H32" s="71">
        <v>4.7938000000000001</v>
      </c>
      <c r="I32" s="71">
        <f t="shared" ref="I32:I34" si="84">F32-E32</f>
        <v>20.372799999999998</v>
      </c>
      <c r="J32" s="71">
        <f t="shared" ref="J32:J34" si="85">G32-E32</f>
        <v>1.0865999999999998</v>
      </c>
      <c r="K32" s="71">
        <f t="shared" ref="K32:K34" si="86">1000*J32/I32</f>
        <v>53.335820309432172</v>
      </c>
      <c r="L32" s="71">
        <f t="shared" ref="L32:L34" si="87">H32-E32</f>
        <v>0.32800000000000029</v>
      </c>
      <c r="M32" s="71">
        <f t="shared" ref="M32:M34" si="88">1000*L32/I32</f>
        <v>16.099897903086482</v>
      </c>
      <c r="N32" s="71">
        <f t="shared" ref="N32:N34" si="89">J32-L32</f>
        <v>0.7585999999999995</v>
      </c>
      <c r="O32" s="71">
        <f t="shared" ref="O32:O34" si="90">1000*N32/I32</f>
        <v>37.235922406345694</v>
      </c>
      <c r="P32" s="71">
        <f t="shared" si="83"/>
        <v>69.814099024480001</v>
      </c>
      <c r="Q32" s="71">
        <v>7.13</v>
      </c>
      <c r="R32" s="71">
        <f>6438*2</f>
        <v>12876</v>
      </c>
      <c r="S32" s="71">
        <f>0.849</f>
        <v>0.84899999999999998</v>
      </c>
      <c r="T32" s="71">
        <v>8528</v>
      </c>
      <c r="U32" s="71">
        <f>40.4*50</f>
        <v>2020</v>
      </c>
      <c r="V32" s="71">
        <f>5.4*40</f>
        <v>216</v>
      </c>
      <c r="W32" s="71">
        <f>469*50</f>
        <v>23450</v>
      </c>
      <c r="X32" s="71">
        <v>4373.3339999999998</v>
      </c>
      <c r="Y32" s="71">
        <v>534.81500000000005</v>
      </c>
      <c r="Z32" s="71">
        <v>193.864</v>
      </c>
      <c r="AA32" s="71">
        <v>133.26999999999998</v>
      </c>
      <c r="AB32" s="71">
        <f t="shared" si="59"/>
        <v>4664.8895999999995</v>
      </c>
      <c r="AC32" s="71">
        <f t="shared" si="60"/>
        <v>809.44972972972982</v>
      </c>
      <c r="AD32" s="71">
        <f t="shared" si="61"/>
        <v>352.48</v>
      </c>
      <c r="AE32" s="71">
        <f t="shared" si="62"/>
        <v>271.76627450980391</v>
      </c>
      <c r="AF32" s="71">
        <f t="shared" si="71"/>
        <v>6098.5856042395335</v>
      </c>
      <c r="AG32" s="71">
        <f>1056*50</f>
        <v>52800</v>
      </c>
      <c r="AH32" s="71"/>
      <c r="AI32" s="71"/>
      <c r="AJ32" s="71"/>
      <c r="AK32" s="71"/>
      <c r="AL32" s="71"/>
      <c r="AM32" s="71"/>
      <c r="AN32" s="71">
        <f>74.2*50</f>
        <v>3710</v>
      </c>
      <c r="AO32" s="71"/>
      <c r="AP32" s="71"/>
      <c r="AQ32" s="71"/>
      <c r="AR32" s="64" t="s">
        <v>401</v>
      </c>
      <c r="AS32" s="71">
        <f t="shared" si="1"/>
        <v>1.4179855523332463</v>
      </c>
      <c r="AT32">
        <f t="shared" si="2"/>
        <v>42.668656247545741</v>
      </c>
      <c r="AU32">
        <f t="shared" si="5"/>
        <v>29.788737925076557</v>
      </c>
      <c r="AV32">
        <f t="shared" si="3"/>
        <v>42.24</v>
      </c>
    </row>
    <row r="33" spans="1:48" ht="15" customHeight="1" x14ac:dyDescent="0.25">
      <c r="A33" t="s">
        <v>188</v>
      </c>
      <c r="B33" s="45" t="s">
        <v>156</v>
      </c>
      <c r="C33" s="72" t="str">
        <f t="shared" si="0"/>
        <v>27-11-2023 10:00</v>
      </c>
      <c r="D33" s="71"/>
      <c r="E33" s="71">
        <v>4.5282</v>
      </c>
      <c r="F33" s="71">
        <v>21.273900000000001</v>
      </c>
      <c r="G33" s="71">
        <v>5.4328000000000003</v>
      </c>
      <c r="H33" s="71">
        <v>4.7967000000000004</v>
      </c>
      <c r="I33" s="71">
        <f t="shared" ref="I33" si="91">F33-E33</f>
        <v>16.745699999999999</v>
      </c>
      <c r="J33" s="71">
        <f t="shared" ref="J33" si="92">G33-E33</f>
        <v>0.90460000000000029</v>
      </c>
      <c r="K33" s="71">
        <f t="shared" ref="K33" si="93">1000*J33/I33</f>
        <v>54.01983792854287</v>
      </c>
      <c r="L33" s="71">
        <f t="shared" ref="L33" si="94">H33-E33</f>
        <v>0.26850000000000041</v>
      </c>
      <c r="M33" s="71">
        <f t="shared" ref="M33" si="95">1000*L33/I33</f>
        <v>16.033966928823542</v>
      </c>
      <c r="N33" s="71">
        <f t="shared" ref="N33" si="96">J33-L33</f>
        <v>0.63609999999999989</v>
      </c>
      <c r="O33" s="71">
        <f t="shared" ref="O33" si="97">1000*N33/I33</f>
        <v>37.985870999719324</v>
      </c>
      <c r="P33" s="71">
        <f t="shared" si="83"/>
        <v>70.318372761441481</v>
      </c>
      <c r="Q33" s="71"/>
      <c r="R33" s="71"/>
      <c r="S33" s="71"/>
      <c r="T33" s="71"/>
      <c r="U33" s="71"/>
      <c r="V33" s="71"/>
      <c r="W33" s="71"/>
      <c r="X33" s="71"/>
      <c r="Y33" s="71"/>
      <c r="Z33" s="71"/>
      <c r="AA33" s="71"/>
      <c r="AB33" s="71"/>
      <c r="AC33" s="71"/>
      <c r="AD33" s="71"/>
      <c r="AE33" s="71"/>
      <c r="AF33" s="71">
        <f t="shared" si="71"/>
        <v>0</v>
      </c>
      <c r="AG33" s="71"/>
      <c r="AH33" s="71"/>
      <c r="AI33" s="71"/>
      <c r="AJ33" s="71"/>
      <c r="AK33" s="71"/>
      <c r="AL33" s="71"/>
      <c r="AM33" s="71"/>
      <c r="AN33" s="71"/>
      <c r="AO33" s="71"/>
      <c r="AP33" s="71"/>
      <c r="AQ33" s="71"/>
      <c r="AR33" s="64"/>
      <c r="AS33" s="71">
        <f t="shared" si="1"/>
        <v>0</v>
      </c>
      <c r="AT33">
        <f t="shared" si="2"/>
        <v>0</v>
      </c>
      <c r="AU33">
        <f t="shared" si="5"/>
        <v>0</v>
      </c>
      <c r="AV33">
        <f t="shared" si="3"/>
        <v>0</v>
      </c>
    </row>
    <row r="34" spans="1:48" ht="15" customHeight="1" x14ac:dyDescent="0.25">
      <c r="A34" t="s">
        <v>189</v>
      </c>
      <c r="B34" s="45" t="s">
        <v>185</v>
      </c>
      <c r="C34" s="72" t="str">
        <f t="shared" si="0"/>
        <v>29-11-2023 10:30</v>
      </c>
      <c r="D34" s="71">
        <v>800</v>
      </c>
      <c r="E34" s="71">
        <v>4.3738999999999999</v>
      </c>
      <c r="F34" s="71">
        <v>29.853999999999999</v>
      </c>
      <c r="G34" s="71">
        <v>5.7956000000000003</v>
      </c>
      <c r="H34" s="71">
        <v>4.7729999999999997</v>
      </c>
      <c r="I34" s="71">
        <f t="shared" si="84"/>
        <v>25.4801</v>
      </c>
      <c r="J34" s="71">
        <f t="shared" si="85"/>
        <v>1.4217000000000004</v>
      </c>
      <c r="K34" s="71">
        <f t="shared" si="86"/>
        <v>55.796484315210712</v>
      </c>
      <c r="L34" s="71">
        <f t="shared" si="87"/>
        <v>0.39909999999999979</v>
      </c>
      <c r="M34" s="71">
        <f t="shared" si="88"/>
        <v>15.663203833579923</v>
      </c>
      <c r="N34" s="71">
        <f t="shared" si="89"/>
        <v>1.0226000000000006</v>
      </c>
      <c r="O34" s="71">
        <f t="shared" si="90"/>
        <v>40.133280481630784</v>
      </c>
      <c r="P34" s="71">
        <f t="shared" ref="P34" si="98">100*O34/K34</f>
        <v>71.927973552788927</v>
      </c>
      <c r="Q34" s="71">
        <v>7.09</v>
      </c>
      <c r="R34" s="71">
        <f>6182*2</f>
        <v>12364</v>
      </c>
      <c r="S34" s="71">
        <v>1.03</v>
      </c>
      <c r="T34" s="71">
        <v>10521</v>
      </c>
      <c r="U34" s="71">
        <f>33.7*50</f>
        <v>1685.0000000000002</v>
      </c>
      <c r="V34" s="71">
        <f>4.85*40</f>
        <v>194</v>
      </c>
      <c r="W34" s="71">
        <f>471*50</f>
        <v>23550</v>
      </c>
      <c r="X34" s="71">
        <v>5973.1080000000002</v>
      </c>
      <c r="Y34" s="71">
        <v>623.20799999999997</v>
      </c>
      <c r="Z34" s="71">
        <v>291.77300000000002</v>
      </c>
      <c r="AA34" s="71">
        <v>164.68700000000001</v>
      </c>
      <c r="AB34" s="71">
        <f t="shared" si="59"/>
        <v>6371.3152</v>
      </c>
      <c r="AC34" s="71">
        <f t="shared" si="60"/>
        <v>943.2337297297297</v>
      </c>
      <c r="AD34" s="71">
        <f t="shared" si="61"/>
        <v>530.49636363636375</v>
      </c>
      <c r="AE34" s="71">
        <f t="shared" si="62"/>
        <v>335.83231372549022</v>
      </c>
      <c r="AF34" s="71">
        <f t="shared" si="71"/>
        <v>8180.8776070915837</v>
      </c>
      <c r="AG34" s="71">
        <f>1132*50</f>
        <v>56600</v>
      </c>
      <c r="AH34" s="71"/>
      <c r="AI34" s="71"/>
      <c r="AJ34" s="71"/>
      <c r="AK34" s="71"/>
      <c r="AL34" s="71"/>
      <c r="AM34" s="71"/>
      <c r="AN34" s="71">
        <f>68.6*50</f>
        <v>3429.9999999999995</v>
      </c>
      <c r="AO34" s="71"/>
      <c r="AP34" s="71"/>
      <c r="AQ34" s="71"/>
      <c r="AR34" s="64" t="s">
        <v>401</v>
      </c>
      <c r="AS34" s="71">
        <f t="shared" si="1"/>
        <v>1.4103008605515344</v>
      </c>
      <c r="AT34">
        <f t="shared" si="2"/>
        <v>44.637187452168568</v>
      </c>
      <c r="AU34">
        <f t="shared" si="5"/>
        <v>32.106624385304627</v>
      </c>
      <c r="AV34">
        <f t="shared" si="3"/>
        <v>45.28</v>
      </c>
    </row>
    <row r="35" spans="1:48" ht="15" customHeight="1" x14ac:dyDescent="0.25">
      <c r="A35" t="s">
        <v>189</v>
      </c>
      <c r="B35" s="45" t="s">
        <v>185</v>
      </c>
      <c r="C35" s="72" t="str">
        <f t="shared" ref="C35:C66" si="99">TEXT(DATEVALUE(A35) + TIMEVALUE(B35), "gg-mm-aaaa hh:mm")</f>
        <v>29-11-2023 10:30</v>
      </c>
      <c r="D35" s="71"/>
      <c r="E35" s="71">
        <v>4.3365</v>
      </c>
      <c r="F35" s="71">
        <v>28.0456</v>
      </c>
      <c r="G35" s="71">
        <v>5.68</v>
      </c>
      <c r="H35" s="71">
        <v>4.7133000000000003</v>
      </c>
      <c r="I35" s="71">
        <f t="shared" ref="I35" si="100">F35-E35</f>
        <v>23.709099999999999</v>
      </c>
      <c r="J35" s="71">
        <f t="shared" ref="J35" si="101">G35-E35</f>
        <v>1.3434999999999997</v>
      </c>
      <c r="K35" s="71">
        <f t="shared" ref="K35" si="102">1000*J35/I35</f>
        <v>56.666005879598963</v>
      </c>
      <c r="L35" s="71">
        <f t="shared" ref="L35" si="103">H35-E35</f>
        <v>0.37680000000000025</v>
      </c>
      <c r="M35" s="71">
        <f t="shared" ref="M35" si="104">1000*L35/I35</f>
        <v>15.892631943009235</v>
      </c>
      <c r="N35" s="71">
        <f t="shared" ref="N35" si="105">J35-L35</f>
        <v>0.96669999999999945</v>
      </c>
      <c r="O35" s="71">
        <f t="shared" ref="O35" si="106">1000*N35/I35</f>
        <v>40.773373936589728</v>
      </c>
      <c r="P35" s="71">
        <f t="shared" ref="P35" si="107">100*O35/K35</f>
        <v>71.953851879419403</v>
      </c>
      <c r="Q35" s="71"/>
      <c r="R35" s="71"/>
      <c r="S35" s="71"/>
      <c r="T35" s="71"/>
      <c r="U35" s="71"/>
      <c r="V35" s="71"/>
      <c r="W35" s="71"/>
      <c r="X35" s="71"/>
      <c r="Y35" s="71"/>
      <c r="Z35" s="71"/>
      <c r="AA35" s="71"/>
      <c r="AB35" s="71"/>
      <c r="AC35" s="71"/>
      <c r="AD35" s="71"/>
      <c r="AE35" s="71"/>
      <c r="AF35" s="71">
        <f t="shared" si="71"/>
        <v>0</v>
      </c>
      <c r="AG35" s="71"/>
      <c r="AH35" s="71"/>
      <c r="AI35" s="71"/>
      <c r="AJ35" s="71"/>
      <c r="AK35" s="71"/>
      <c r="AL35" s="71"/>
      <c r="AM35" s="71"/>
      <c r="AN35" s="71"/>
      <c r="AO35" s="71"/>
      <c r="AP35" s="71"/>
      <c r="AQ35" s="71"/>
      <c r="AR35" s="64"/>
      <c r="AS35" s="71">
        <f t="shared" si="1"/>
        <v>0</v>
      </c>
      <c r="AT35">
        <f t="shared" ref="AT35:AT66" si="108">K35*D35/1000</f>
        <v>0</v>
      </c>
      <c r="AU35">
        <f t="shared" si="5"/>
        <v>0</v>
      </c>
      <c r="AV35">
        <f t="shared" ref="AV35:AV66" si="109">AG35*D35/1000000</f>
        <v>0</v>
      </c>
    </row>
    <row r="36" spans="1:48" ht="15" customHeight="1" x14ac:dyDescent="0.25">
      <c r="A36" t="s">
        <v>190</v>
      </c>
      <c r="B36" s="45" t="s">
        <v>170</v>
      </c>
      <c r="C36" s="72" t="str">
        <f t="shared" si="99"/>
        <v>01-12-2023 10:15</v>
      </c>
      <c r="D36" s="71">
        <v>600</v>
      </c>
      <c r="E36" s="71">
        <v>4.5086000000000004</v>
      </c>
      <c r="F36" s="71">
        <v>44.735999999999997</v>
      </c>
      <c r="G36" s="71">
        <v>6.6574</v>
      </c>
      <c r="H36" s="71">
        <v>5.1445999999999996</v>
      </c>
      <c r="I36" s="71">
        <f t="shared" ref="I36:I52" si="110">F36-E36</f>
        <v>40.227399999999996</v>
      </c>
      <c r="J36" s="71">
        <f t="shared" ref="J36:J52" si="111">G36-E36</f>
        <v>2.1487999999999996</v>
      </c>
      <c r="K36" s="71">
        <f t="shared" ref="K36:K52" si="112">1000*J36/I36</f>
        <v>53.416328174328939</v>
      </c>
      <c r="L36" s="71">
        <f t="shared" ref="L36:L52" si="113">H36-E36</f>
        <v>0.63599999999999923</v>
      </c>
      <c r="M36" s="71">
        <f t="shared" ref="M36:M52" si="114">1000*L36/I36</f>
        <v>15.810119470808436</v>
      </c>
      <c r="N36" s="71">
        <f t="shared" ref="N36:N52" si="115">J36-L36</f>
        <v>1.5128000000000004</v>
      </c>
      <c r="O36" s="71">
        <f t="shared" ref="O36:O52" si="116">1000*N36/I36</f>
        <v>37.606208703520501</v>
      </c>
      <c r="P36" s="71">
        <f t="shared" ref="P36:P41" si="117">100*O36/K36</f>
        <v>70.40208488458677</v>
      </c>
      <c r="Q36" s="71">
        <v>7.24</v>
      </c>
      <c r="R36" s="71">
        <f>((55.18+5155)*2)</f>
        <v>10420.36</v>
      </c>
      <c r="S36" s="71"/>
      <c r="T36" s="71"/>
      <c r="U36" s="71">
        <f>(15.3*100)</f>
        <v>1530</v>
      </c>
      <c r="V36" s="71"/>
      <c r="W36" s="71"/>
      <c r="X36" s="71">
        <v>7474.3980000000001</v>
      </c>
      <c r="Y36" s="71"/>
      <c r="Z36" s="71"/>
      <c r="AA36" s="71"/>
      <c r="AB36" s="71">
        <f t="shared" si="59"/>
        <v>7972.6912000000002</v>
      </c>
      <c r="AC36" s="71">
        <f t="shared" si="60"/>
        <v>0</v>
      </c>
      <c r="AD36" s="71">
        <f t="shared" si="61"/>
        <v>0</v>
      </c>
      <c r="AE36" s="71">
        <f t="shared" si="62"/>
        <v>0</v>
      </c>
      <c r="AF36" s="71">
        <f t="shared" si="71"/>
        <v>7972.6912000000002</v>
      </c>
      <c r="AG36" s="71">
        <f>(584*100)</f>
        <v>58400</v>
      </c>
      <c r="AH36" s="71"/>
      <c r="AI36" s="71"/>
      <c r="AJ36" s="71"/>
      <c r="AK36" s="71"/>
      <c r="AL36" s="71"/>
      <c r="AM36" s="71"/>
      <c r="AN36" s="71">
        <f>(40.3*100)</f>
        <v>4029.9999999999995</v>
      </c>
      <c r="AO36" s="71"/>
      <c r="AP36" s="71"/>
      <c r="AQ36" s="71"/>
      <c r="AR36" s="64" t="s">
        <v>446</v>
      </c>
      <c r="AS36" s="71">
        <f t="shared" si="1"/>
        <v>1.5529350608143835</v>
      </c>
      <c r="AT36">
        <f t="shared" si="108"/>
        <v>32.049796904597365</v>
      </c>
      <c r="AU36">
        <f t="shared" si="5"/>
        <v>22.563725222112296</v>
      </c>
      <c r="AV36">
        <f t="shared" si="109"/>
        <v>35.04</v>
      </c>
    </row>
    <row r="37" spans="1:48" ht="15" customHeight="1" x14ac:dyDescent="0.25">
      <c r="A37" t="s">
        <v>190</v>
      </c>
      <c r="B37" s="45" t="s">
        <v>170</v>
      </c>
      <c r="C37" s="72" t="str">
        <f t="shared" si="99"/>
        <v>01-12-2023 10:15</v>
      </c>
      <c r="D37" s="71"/>
      <c r="E37" s="71">
        <v>4.3632999999999997</v>
      </c>
      <c r="F37" s="71">
        <v>52.996000000000002</v>
      </c>
      <c r="G37" s="71">
        <v>7.0068999999999999</v>
      </c>
      <c r="H37" s="71">
        <v>5.0944000000000003</v>
      </c>
      <c r="I37" s="71">
        <f t="shared" si="110"/>
        <v>48.6327</v>
      </c>
      <c r="J37" s="71">
        <f t="shared" si="111"/>
        <v>2.6436000000000002</v>
      </c>
      <c r="K37" s="71">
        <f t="shared" si="112"/>
        <v>54.358487190717362</v>
      </c>
      <c r="L37" s="71">
        <f t="shared" si="113"/>
        <v>0.73110000000000053</v>
      </c>
      <c r="M37" s="71">
        <f t="shared" si="114"/>
        <v>15.033095016316192</v>
      </c>
      <c r="N37" s="71">
        <f t="shared" si="115"/>
        <v>1.9124999999999996</v>
      </c>
      <c r="O37" s="71">
        <f t="shared" si="116"/>
        <v>39.325392174401166</v>
      </c>
      <c r="P37" s="71">
        <f t="shared" si="117"/>
        <v>72.344530186109836</v>
      </c>
      <c r="Q37" s="71"/>
      <c r="R37" s="71"/>
      <c r="S37" s="71"/>
      <c r="T37" s="71"/>
      <c r="U37" s="71"/>
      <c r="V37" s="71"/>
      <c r="W37" s="71"/>
      <c r="X37" s="71"/>
      <c r="Y37" s="71"/>
      <c r="Z37" s="71"/>
      <c r="AA37" s="71"/>
      <c r="AB37" s="71">
        <f t="shared" si="59"/>
        <v>0</v>
      </c>
      <c r="AC37" s="71">
        <f t="shared" si="60"/>
        <v>0</v>
      </c>
      <c r="AD37" s="71">
        <f t="shared" si="61"/>
        <v>0</v>
      </c>
      <c r="AE37" s="71">
        <f t="shared" si="62"/>
        <v>0</v>
      </c>
      <c r="AF37" s="71">
        <f t="shared" si="71"/>
        <v>0</v>
      </c>
      <c r="AG37" s="71"/>
      <c r="AH37" s="71"/>
      <c r="AI37" s="71"/>
      <c r="AJ37" s="71"/>
      <c r="AK37" s="71"/>
      <c r="AL37" s="71"/>
      <c r="AM37" s="71"/>
      <c r="AN37" s="71"/>
      <c r="AO37" s="71"/>
      <c r="AP37" s="71"/>
      <c r="AQ37" s="71"/>
      <c r="AR37" s="64"/>
      <c r="AS37" s="71">
        <f t="shared" si="1"/>
        <v>0</v>
      </c>
      <c r="AT37">
        <f t="shared" si="108"/>
        <v>0</v>
      </c>
      <c r="AU37">
        <f t="shared" si="5"/>
        <v>0</v>
      </c>
      <c r="AV37">
        <f t="shared" si="109"/>
        <v>0</v>
      </c>
    </row>
    <row r="38" spans="1:48" ht="15" customHeight="1" x14ac:dyDescent="0.25">
      <c r="A38" t="s">
        <v>195</v>
      </c>
      <c r="B38" s="45" t="s">
        <v>167</v>
      </c>
      <c r="C38" s="72" t="str">
        <f t="shared" si="99"/>
        <v>04-12-2023 11:00</v>
      </c>
      <c r="D38" s="71">
        <v>400</v>
      </c>
      <c r="E38" s="71">
        <v>20.166499999999999</v>
      </c>
      <c r="F38" s="71">
        <v>31.8705</v>
      </c>
      <c r="G38" s="71">
        <v>20.774100000000001</v>
      </c>
      <c r="H38" s="71">
        <v>20.3462</v>
      </c>
      <c r="I38" s="71">
        <f t="shared" si="110"/>
        <v>11.704000000000001</v>
      </c>
      <c r="J38" s="71">
        <f t="shared" si="111"/>
        <v>0.60760000000000147</v>
      </c>
      <c r="K38" s="71">
        <f t="shared" si="112"/>
        <v>51.91387559808625</v>
      </c>
      <c r="L38" s="71">
        <f t="shared" si="113"/>
        <v>0.17970000000000041</v>
      </c>
      <c r="M38" s="71">
        <f t="shared" si="114"/>
        <v>15.353725222146309</v>
      </c>
      <c r="N38" s="71">
        <f t="shared" si="115"/>
        <v>0.42790000000000106</v>
      </c>
      <c r="O38" s="71">
        <f t="shared" si="116"/>
        <v>36.560150375939941</v>
      </c>
      <c r="P38" s="71">
        <f t="shared" si="117"/>
        <v>70.424621461487817</v>
      </c>
      <c r="Q38" s="71">
        <v>7.66</v>
      </c>
      <c r="R38" s="71">
        <f>6455*2</f>
        <v>12910</v>
      </c>
      <c r="S38" s="71">
        <v>0.64</v>
      </c>
      <c r="T38" s="71">
        <v>6643</v>
      </c>
      <c r="U38" s="71">
        <f>30.4*50</f>
        <v>1520</v>
      </c>
      <c r="V38" s="71">
        <f>3.71*40</f>
        <v>148.4</v>
      </c>
      <c r="W38" s="71">
        <f>308*50</f>
        <v>15400</v>
      </c>
      <c r="X38" s="71">
        <v>3169.3820000000001</v>
      </c>
      <c r="Y38" s="71"/>
      <c r="Z38" s="71"/>
      <c r="AA38" s="71"/>
      <c r="AB38" s="71">
        <f t="shared" si="59"/>
        <v>3380.6741333333334</v>
      </c>
      <c r="AC38" s="71">
        <f t="shared" si="60"/>
        <v>0</v>
      </c>
      <c r="AD38" s="71">
        <f t="shared" si="61"/>
        <v>0</v>
      </c>
      <c r="AE38" s="71">
        <f t="shared" si="62"/>
        <v>0</v>
      </c>
      <c r="AF38" s="71">
        <f t="shared" si="71"/>
        <v>3380.6741333333334</v>
      </c>
      <c r="AG38" s="71">
        <f>991*50</f>
        <v>49550</v>
      </c>
      <c r="AH38" s="71"/>
      <c r="AI38" s="71"/>
      <c r="AJ38" s="71"/>
      <c r="AK38" s="71"/>
      <c r="AL38" s="71"/>
      <c r="AM38" s="71"/>
      <c r="AN38" s="71">
        <f>72.1*50</f>
        <v>3604.9999999999995</v>
      </c>
      <c r="AO38" s="71"/>
      <c r="AP38" s="71"/>
      <c r="AQ38" s="71"/>
      <c r="AR38" s="64" t="s">
        <v>405</v>
      </c>
      <c r="AS38" s="71">
        <f t="shared" si="1"/>
        <v>1.3553007712082228</v>
      </c>
      <c r="AT38">
        <f t="shared" si="108"/>
        <v>20.7655502392345</v>
      </c>
      <c r="AU38">
        <f t="shared" si="5"/>
        <v>14.624060150375975</v>
      </c>
      <c r="AV38">
        <f t="shared" si="109"/>
        <v>19.82</v>
      </c>
    </row>
    <row r="39" spans="1:48" ht="15" customHeight="1" x14ac:dyDescent="0.25">
      <c r="A39" t="s">
        <v>195</v>
      </c>
      <c r="B39" s="45" t="s">
        <v>167</v>
      </c>
      <c r="C39" s="72" t="str">
        <f t="shared" si="99"/>
        <v>04-12-2023 11:00</v>
      </c>
      <c r="D39" s="71"/>
      <c r="E39" s="71">
        <v>19.456299999999999</v>
      </c>
      <c r="F39" s="71">
        <v>32.951799999999999</v>
      </c>
      <c r="G39" s="71">
        <v>20.203099999999999</v>
      </c>
      <c r="H39" s="71">
        <v>19.660499999999999</v>
      </c>
      <c r="I39" s="71">
        <f t="shared" si="110"/>
        <v>13.4955</v>
      </c>
      <c r="J39" s="71">
        <f t="shared" si="111"/>
        <v>0.74680000000000035</v>
      </c>
      <c r="K39" s="71">
        <f t="shared" si="112"/>
        <v>55.336964173242961</v>
      </c>
      <c r="L39" s="71">
        <f t="shared" si="113"/>
        <v>0.20420000000000016</v>
      </c>
      <c r="M39" s="71">
        <f t="shared" si="114"/>
        <v>15.130969582453423</v>
      </c>
      <c r="N39" s="71">
        <f t="shared" si="115"/>
        <v>0.54260000000000019</v>
      </c>
      <c r="O39" s="71">
        <f t="shared" si="116"/>
        <v>40.20599459078953</v>
      </c>
      <c r="P39" s="71">
        <f t="shared" si="117"/>
        <v>72.656668452062107</v>
      </c>
      <c r="Q39" s="71"/>
      <c r="R39" s="71"/>
      <c r="S39" s="71"/>
      <c r="T39" s="71"/>
      <c r="U39" s="71"/>
      <c r="V39" s="71"/>
      <c r="W39" s="71"/>
      <c r="X39" s="71"/>
      <c r="Y39" s="71"/>
      <c r="Z39" s="71"/>
      <c r="AA39" s="71"/>
      <c r="AB39" s="71">
        <f t="shared" si="59"/>
        <v>0</v>
      </c>
      <c r="AC39" s="71">
        <f t="shared" si="60"/>
        <v>0</v>
      </c>
      <c r="AD39" s="71">
        <f t="shared" si="61"/>
        <v>0</v>
      </c>
      <c r="AE39" s="71">
        <f t="shared" si="62"/>
        <v>0</v>
      </c>
      <c r="AF39" s="71">
        <f t="shared" si="71"/>
        <v>0</v>
      </c>
      <c r="AG39" s="71"/>
      <c r="AH39" s="71"/>
      <c r="AI39" s="71"/>
      <c r="AJ39" s="71"/>
      <c r="AK39" s="71"/>
      <c r="AL39" s="71"/>
      <c r="AM39" s="71"/>
      <c r="AN39" s="71"/>
      <c r="AO39" s="71"/>
      <c r="AP39" s="71"/>
      <c r="AQ39" s="71"/>
      <c r="AR39" s="64"/>
      <c r="AS39" s="71">
        <f t="shared" si="1"/>
        <v>0</v>
      </c>
      <c r="AT39">
        <f t="shared" si="108"/>
        <v>0</v>
      </c>
      <c r="AU39">
        <f t="shared" si="5"/>
        <v>0</v>
      </c>
      <c r="AV39">
        <f t="shared" si="109"/>
        <v>0</v>
      </c>
    </row>
    <row r="40" spans="1:48" ht="15" customHeight="1" x14ac:dyDescent="0.25">
      <c r="A40" t="s">
        <v>197</v>
      </c>
      <c r="B40" s="45" t="s">
        <v>185</v>
      </c>
      <c r="C40" s="72" t="str">
        <f t="shared" si="99"/>
        <v>06-12-2023 10:30</v>
      </c>
      <c r="D40" s="71">
        <v>600</v>
      </c>
      <c r="E40" s="71">
        <v>43.578600000000002</v>
      </c>
      <c r="F40" s="71">
        <v>65.726100000000002</v>
      </c>
      <c r="G40" s="71">
        <v>44.680300000000003</v>
      </c>
      <c r="H40" s="71">
        <v>43.901699999999998</v>
      </c>
      <c r="I40" s="71">
        <f t="shared" si="110"/>
        <v>22.147500000000001</v>
      </c>
      <c r="J40" s="71">
        <f t="shared" si="111"/>
        <v>1.101700000000001</v>
      </c>
      <c r="K40" s="71">
        <f t="shared" si="112"/>
        <v>49.743763404447499</v>
      </c>
      <c r="L40" s="71">
        <f t="shared" si="113"/>
        <v>0.32309999999999661</v>
      </c>
      <c r="M40" s="71">
        <f t="shared" si="114"/>
        <v>14.588554012868116</v>
      </c>
      <c r="N40" s="71">
        <f t="shared" si="115"/>
        <v>0.7786000000000044</v>
      </c>
      <c r="O40" s="71">
        <f t="shared" si="116"/>
        <v>35.155209391579383</v>
      </c>
      <c r="P40" s="71">
        <f t="shared" si="117"/>
        <v>70.672596895706974</v>
      </c>
      <c r="Q40" s="71">
        <v>7.71</v>
      </c>
      <c r="R40" s="71">
        <f>6022*2</f>
        <v>12044</v>
      </c>
      <c r="S40" s="71">
        <v>0.435</v>
      </c>
      <c r="T40" s="71">
        <v>4671</v>
      </c>
      <c r="U40" s="71">
        <f>8.32*200</f>
        <v>1664</v>
      </c>
      <c r="V40" s="71">
        <f>3.29*40</f>
        <v>131.6</v>
      </c>
      <c r="W40" s="71">
        <f>260*50</f>
        <v>13000</v>
      </c>
      <c r="X40" s="71">
        <v>1345.1669999999999</v>
      </c>
      <c r="Y40">
        <v>35.375999999999998</v>
      </c>
      <c r="Z40">
        <v>204.03299999999999</v>
      </c>
      <c r="AA40">
        <v>160.49</v>
      </c>
      <c r="AB40" s="71">
        <f t="shared" si="59"/>
        <v>1434.8447999999999</v>
      </c>
      <c r="AC40" s="71">
        <f t="shared" si="60"/>
        <v>53.542054054054049</v>
      </c>
      <c r="AD40" s="71">
        <f t="shared" si="61"/>
        <v>370.96909090909088</v>
      </c>
      <c r="AE40" s="71">
        <f t="shared" si="62"/>
        <v>327.27372549019606</v>
      </c>
      <c r="AF40" s="71">
        <f t="shared" si="71"/>
        <v>2186.6296704533406</v>
      </c>
      <c r="AG40" s="71">
        <f>1093*50</f>
        <v>54650</v>
      </c>
      <c r="AH40" s="71"/>
      <c r="AI40" s="71"/>
      <c r="AJ40" s="71"/>
      <c r="AK40" s="71"/>
      <c r="AL40" s="71"/>
      <c r="AM40" s="71"/>
      <c r="AN40" s="71">
        <f>62.9*50</f>
        <v>3145</v>
      </c>
      <c r="AO40" s="71"/>
      <c r="AP40" s="71"/>
      <c r="AQ40" s="71"/>
      <c r="AR40" s="64" t="s">
        <v>406</v>
      </c>
      <c r="AS40" s="71">
        <f t="shared" si="1"/>
        <v>1.5545349023888944</v>
      </c>
      <c r="AT40">
        <f t="shared" si="108"/>
        <v>29.846258042668499</v>
      </c>
      <c r="AU40">
        <f t="shared" si="5"/>
        <v>21.093125634947633</v>
      </c>
      <c r="AV40">
        <f t="shared" si="109"/>
        <v>32.79</v>
      </c>
    </row>
    <row r="41" spans="1:48" ht="15" customHeight="1" x14ac:dyDescent="0.25">
      <c r="A41" t="s">
        <v>197</v>
      </c>
      <c r="B41" s="45" t="s">
        <v>185</v>
      </c>
      <c r="C41" s="72" t="str">
        <f t="shared" si="99"/>
        <v>06-12-2023 10:30</v>
      </c>
      <c r="D41" s="71"/>
      <c r="E41" s="71">
        <v>19.5335</v>
      </c>
      <c r="F41" s="71">
        <v>40.921399999999998</v>
      </c>
      <c r="G41" s="71">
        <v>20.595500000000001</v>
      </c>
      <c r="H41" s="71">
        <v>19.848500000000001</v>
      </c>
      <c r="I41" s="71">
        <f t="shared" si="110"/>
        <v>21.387899999999998</v>
      </c>
      <c r="J41" s="71">
        <f t="shared" si="111"/>
        <v>1.0620000000000012</v>
      </c>
      <c r="K41" s="71">
        <f t="shared" si="112"/>
        <v>49.654243754646373</v>
      </c>
      <c r="L41" s="71">
        <f t="shared" si="113"/>
        <v>0.31500000000000128</v>
      </c>
      <c r="M41" s="71">
        <f t="shared" si="114"/>
        <v>14.727953656039222</v>
      </c>
      <c r="N41" s="71">
        <f t="shared" si="115"/>
        <v>0.74699999999999989</v>
      </c>
      <c r="O41" s="71">
        <f t="shared" si="116"/>
        <v>34.926290098607154</v>
      </c>
      <c r="P41" s="71">
        <f t="shared" si="117"/>
        <v>70.338983050847375</v>
      </c>
      <c r="Q41" s="71"/>
      <c r="R41" s="71"/>
      <c r="S41" s="71"/>
      <c r="T41" s="71"/>
      <c r="U41" s="71"/>
      <c r="V41" s="71"/>
      <c r="W41" s="71"/>
      <c r="X41" s="71"/>
      <c r="Y41" s="71"/>
      <c r="Z41" s="71"/>
      <c r="AA41" s="71"/>
      <c r="AB41" s="71">
        <f t="shared" si="59"/>
        <v>0</v>
      </c>
      <c r="AC41" s="71">
        <f t="shared" si="60"/>
        <v>0</v>
      </c>
      <c r="AD41" s="71">
        <f t="shared" si="61"/>
        <v>0</v>
      </c>
      <c r="AE41" s="71">
        <f t="shared" si="62"/>
        <v>0</v>
      </c>
      <c r="AF41" s="71">
        <f t="shared" si="71"/>
        <v>0</v>
      </c>
      <c r="AG41" s="71"/>
      <c r="AH41" s="71"/>
      <c r="AI41" s="71"/>
      <c r="AJ41" s="71"/>
      <c r="AK41" s="71"/>
      <c r="AL41" s="71"/>
      <c r="AM41" s="71"/>
      <c r="AN41" s="71"/>
      <c r="AO41" s="71"/>
      <c r="AP41" s="71"/>
      <c r="AQ41" s="71"/>
      <c r="AR41" s="64"/>
      <c r="AS41" s="71">
        <f t="shared" si="1"/>
        <v>0</v>
      </c>
      <c r="AT41">
        <f t="shared" si="108"/>
        <v>0</v>
      </c>
      <c r="AU41">
        <f t="shared" si="5"/>
        <v>0</v>
      </c>
      <c r="AV41">
        <f t="shared" si="109"/>
        <v>0</v>
      </c>
    </row>
    <row r="42" spans="1:48" ht="15" customHeight="1" x14ac:dyDescent="0.25">
      <c r="A42" t="s">
        <v>198</v>
      </c>
      <c r="B42" s="45" t="s">
        <v>185</v>
      </c>
      <c r="C42" s="72" t="str">
        <f t="shared" si="99"/>
        <v>11-12-2023 10:30</v>
      </c>
      <c r="D42" s="71">
        <v>800</v>
      </c>
      <c r="E42" s="71">
        <v>4.4664999999999999</v>
      </c>
      <c r="F42" s="71">
        <v>24.638400000000001</v>
      </c>
      <c r="G42" s="71">
        <v>5.4433999999999996</v>
      </c>
      <c r="H42" s="71">
        <v>4.7763</v>
      </c>
      <c r="I42" s="71">
        <f t="shared" si="110"/>
        <v>20.171900000000001</v>
      </c>
      <c r="J42" s="71">
        <f t="shared" si="111"/>
        <v>0.97689999999999966</v>
      </c>
      <c r="K42" s="71">
        <f t="shared" si="112"/>
        <v>48.428754852046637</v>
      </c>
      <c r="L42" s="71">
        <f t="shared" si="113"/>
        <v>0.30980000000000008</v>
      </c>
      <c r="M42" s="71">
        <f t="shared" si="114"/>
        <v>15.357998007128732</v>
      </c>
      <c r="N42" s="71">
        <f t="shared" si="115"/>
        <v>0.66709999999999958</v>
      </c>
      <c r="O42" s="71">
        <f t="shared" si="116"/>
        <v>33.070756844917909</v>
      </c>
      <c r="P42" s="71">
        <f t="shared" ref="P42:P58" si="118">100*O42/K42</f>
        <v>68.287439860784104</v>
      </c>
      <c r="Q42" s="71">
        <v>7.66</v>
      </c>
      <c r="R42" s="71">
        <f>5917*2</f>
        <v>11834</v>
      </c>
      <c r="S42" s="71">
        <v>0.33300000000000002</v>
      </c>
      <c r="T42" s="71">
        <v>3795</v>
      </c>
      <c r="U42" s="71">
        <f>7.5*200</f>
        <v>1500</v>
      </c>
      <c r="V42" s="71">
        <f>3.69*40</f>
        <v>147.6</v>
      </c>
      <c r="W42" s="71">
        <f>217*50</f>
        <v>10850</v>
      </c>
      <c r="X42" s="71">
        <v>330.50099999999998</v>
      </c>
      <c r="Y42" s="71">
        <v>59.828000000000003</v>
      </c>
      <c r="Z42" s="71">
        <f>12.979+17.974</f>
        <v>30.952999999999999</v>
      </c>
      <c r="AA42" s="71" t="s">
        <v>393</v>
      </c>
      <c r="AB42" s="71">
        <f t="shared" si="59"/>
        <v>352.53439999999995</v>
      </c>
      <c r="AC42" s="71">
        <f t="shared" si="60"/>
        <v>90.550486486486491</v>
      </c>
      <c r="AD42" s="71">
        <f t="shared" si="61"/>
        <v>56.278181818181814</v>
      </c>
      <c r="AE42" s="71">
        <f t="shared" si="62"/>
        <v>10.196078431372548</v>
      </c>
      <c r="AF42" s="71">
        <f t="shared" si="71"/>
        <v>509.55914673604076</v>
      </c>
      <c r="AG42" s="71">
        <f>877*50</f>
        <v>43850</v>
      </c>
      <c r="AH42" s="71"/>
      <c r="AI42" s="71"/>
      <c r="AJ42" s="71"/>
      <c r="AK42" s="71"/>
      <c r="AL42" s="71"/>
      <c r="AM42" s="71"/>
      <c r="AN42" s="71">
        <f>67.9*50</f>
        <v>3395.0000000000005</v>
      </c>
      <c r="AO42" s="71"/>
      <c r="AP42" s="71"/>
      <c r="AQ42" s="71"/>
      <c r="AR42" t="s">
        <v>407</v>
      </c>
      <c r="AS42" s="71">
        <f t="shared" ref="AS42:AS54" si="119">AL42/U42/1000</f>
        <v>0</v>
      </c>
      <c r="AT42">
        <f t="shared" si="108"/>
        <v>38.743003881637314</v>
      </c>
      <c r="AU42">
        <f t="shared" si="5"/>
        <v>26.456605475934335</v>
      </c>
      <c r="AV42">
        <f t="shared" si="109"/>
        <v>35.08</v>
      </c>
    </row>
    <row r="43" spans="1:48" ht="15" customHeight="1" x14ac:dyDescent="0.25">
      <c r="A43" t="s">
        <v>198</v>
      </c>
      <c r="B43" s="74" t="s">
        <v>185</v>
      </c>
      <c r="C43" s="72" t="str">
        <f t="shared" si="99"/>
        <v>11-12-2023 10:30</v>
      </c>
      <c r="D43" s="71"/>
      <c r="E43" s="71">
        <v>4.4020000000000001</v>
      </c>
      <c r="F43" s="71">
        <v>25.745100000000001</v>
      </c>
      <c r="G43" s="71">
        <v>5.4610000000000003</v>
      </c>
      <c r="H43" s="71">
        <v>4.7202000000000002</v>
      </c>
      <c r="I43" s="71">
        <f t="shared" si="110"/>
        <v>21.3431</v>
      </c>
      <c r="J43" s="71">
        <f t="shared" si="111"/>
        <v>1.0590000000000002</v>
      </c>
      <c r="K43" s="71">
        <f t="shared" si="112"/>
        <v>49.617909300898191</v>
      </c>
      <c r="L43" s="71">
        <f t="shared" si="113"/>
        <v>0.31820000000000004</v>
      </c>
      <c r="M43" s="71">
        <f t="shared" si="114"/>
        <v>14.908799565199059</v>
      </c>
      <c r="N43" s="71">
        <f t="shared" si="115"/>
        <v>0.74080000000000013</v>
      </c>
      <c r="O43" s="71">
        <f t="shared" si="116"/>
        <v>34.709109735699137</v>
      </c>
      <c r="P43" s="71">
        <f t="shared" si="118"/>
        <v>69.952785646836645</v>
      </c>
      <c r="Q43" s="71"/>
      <c r="R43" s="71"/>
      <c r="S43" s="71"/>
      <c r="T43" s="71"/>
      <c r="U43" s="71"/>
      <c r="V43" s="71"/>
      <c r="W43" s="71"/>
      <c r="X43" s="71"/>
      <c r="Y43" s="71"/>
      <c r="Z43" s="71"/>
      <c r="AA43" s="71"/>
      <c r="AB43" s="71">
        <f t="shared" si="59"/>
        <v>0</v>
      </c>
      <c r="AC43" s="71">
        <f t="shared" si="60"/>
        <v>0</v>
      </c>
      <c r="AD43" s="71">
        <f t="shared" si="61"/>
        <v>0</v>
      </c>
      <c r="AE43" s="71">
        <f t="shared" si="62"/>
        <v>0</v>
      </c>
      <c r="AF43" s="71">
        <f t="shared" si="71"/>
        <v>0</v>
      </c>
      <c r="AG43" s="71"/>
      <c r="AH43" s="71"/>
      <c r="AI43" s="71"/>
      <c r="AJ43" s="71"/>
      <c r="AK43" s="71"/>
      <c r="AL43" s="71"/>
      <c r="AM43" s="71"/>
      <c r="AN43" s="71"/>
      <c r="AO43" s="71"/>
      <c r="AP43" s="71"/>
      <c r="AQ43" s="71"/>
      <c r="AR43" s="64"/>
      <c r="AS43" s="71" t="e">
        <f t="shared" si="119"/>
        <v>#DIV/0!</v>
      </c>
      <c r="AT43">
        <f t="shared" si="108"/>
        <v>0</v>
      </c>
      <c r="AU43">
        <f t="shared" si="5"/>
        <v>0</v>
      </c>
      <c r="AV43">
        <f t="shared" si="109"/>
        <v>0</v>
      </c>
    </row>
    <row r="44" spans="1:48" ht="15" customHeight="1" x14ac:dyDescent="0.25">
      <c r="A44" t="s">
        <v>198</v>
      </c>
      <c r="B44" s="74" t="s">
        <v>230</v>
      </c>
      <c r="C44" s="72" t="str">
        <f t="shared" si="99"/>
        <v>11-12-2023 11:45</v>
      </c>
      <c r="D44" s="71"/>
      <c r="E44" s="71"/>
      <c r="F44" s="71"/>
      <c r="G44" s="71"/>
      <c r="H44" s="71"/>
      <c r="I44" s="71"/>
      <c r="J44" s="71"/>
      <c r="K44" s="71"/>
      <c r="L44" s="71"/>
      <c r="M44" s="71"/>
      <c r="N44" s="71"/>
      <c r="O44" s="71"/>
      <c r="P44" s="71" t="e">
        <f t="shared" si="118"/>
        <v>#DIV/0!</v>
      </c>
      <c r="Q44" s="71">
        <v>7.75</v>
      </c>
      <c r="R44" s="71"/>
      <c r="S44" s="71"/>
      <c r="T44" s="71"/>
      <c r="U44" s="71"/>
      <c r="V44" s="71"/>
      <c r="W44" s="71"/>
      <c r="X44" s="71">
        <v>292.459</v>
      </c>
      <c r="Y44">
        <v>26.021000000000001</v>
      </c>
      <c r="Z44" s="71" t="s">
        <v>393</v>
      </c>
      <c r="AA44" s="71" t="s">
        <v>393</v>
      </c>
      <c r="AB44" s="71">
        <f t="shared" ref="AB44:AB52" si="120">IF(X44="&lt; 10 ppm",5*64/60,X44*64/60)</f>
        <v>311.95626666666669</v>
      </c>
      <c r="AC44" s="71">
        <f t="shared" ref="AC44:AC52" si="121">IF(Y44="&lt; 10 ppm",5*112/74,Y44*112/74)</f>
        <v>39.383135135135134</v>
      </c>
      <c r="AD44" s="71">
        <f t="shared" ref="AD44:AD52" si="122">IF(Z44="&lt; 10 ppm",5*160/88,Z44*160/88)</f>
        <v>9.0909090909090917</v>
      </c>
      <c r="AE44" s="71">
        <f t="shared" ref="AE44:AE52" si="123">IF(AA44="&lt; 10 ppm",5*208/102,AA44*208/102)</f>
        <v>10.196078431372548</v>
      </c>
      <c r="AF44" s="71">
        <f t="shared" ref="AF44:AF52" si="124">SUM(AB44:AE44)</f>
        <v>370.62638932408345</v>
      </c>
      <c r="AG44" s="71"/>
      <c r="AH44" s="71"/>
      <c r="AI44" s="71"/>
      <c r="AJ44" s="71"/>
      <c r="AK44" s="71"/>
      <c r="AL44" s="71"/>
      <c r="AM44" s="71"/>
      <c r="AN44" s="71"/>
      <c r="AO44" s="71"/>
      <c r="AP44" s="71"/>
      <c r="AQ44" s="71"/>
      <c r="AR44" s="64"/>
      <c r="AS44" s="71" t="e">
        <f t="shared" si="119"/>
        <v>#DIV/0!</v>
      </c>
      <c r="AT44">
        <f t="shared" si="108"/>
        <v>0</v>
      </c>
      <c r="AU44" t="e">
        <f t="shared" si="5"/>
        <v>#DIV/0!</v>
      </c>
      <c r="AV44">
        <f t="shared" si="109"/>
        <v>0</v>
      </c>
    </row>
    <row r="45" spans="1:48" ht="15" customHeight="1" x14ac:dyDescent="0.25">
      <c r="A45" t="s">
        <v>198</v>
      </c>
      <c r="B45" s="74" t="s">
        <v>180</v>
      </c>
      <c r="C45" s="72" t="str">
        <f t="shared" si="99"/>
        <v>11-12-2023 12:00</v>
      </c>
      <c r="D45" s="71"/>
      <c r="E45" s="71"/>
      <c r="F45" s="71"/>
      <c r="G45" s="71"/>
      <c r="H45" s="71"/>
      <c r="I45" s="71"/>
      <c r="J45" s="71"/>
      <c r="K45" s="71"/>
      <c r="L45" s="71"/>
      <c r="M45" s="71"/>
      <c r="N45" s="71"/>
      <c r="O45" s="71"/>
      <c r="P45" s="71" t="e">
        <f t="shared" si="118"/>
        <v>#DIV/0!</v>
      </c>
      <c r="Q45" s="71">
        <v>7.72</v>
      </c>
      <c r="R45" s="71"/>
      <c r="S45" s="71"/>
      <c r="T45" s="71"/>
      <c r="U45" s="71"/>
      <c r="V45" s="71"/>
      <c r="W45" s="71"/>
      <c r="X45" s="71">
        <v>472.31299999999999</v>
      </c>
      <c r="Y45" s="71"/>
      <c r="Z45" s="71"/>
      <c r="AA45" s="71"/>
      <c r="AB45" s="71">
        <f t="shared" si="120"/>
        <v>503.80053333333331</v>
      </c>
      <c r="AC45" s="71">
        <f t="shared" si="121"/>
        <v>0</v>
      </c>
      <c r="AD45" s="71">
        <f t="shared" si="122"/>
        <v>0</v>
      </c>
      <c r="AE45" s="71">
        <f t="shared" si="123"/>
        <v>0</v>
      </c>
      <c r="AF45" s="71">
        <f t="shared" si="124"/>
        <v>503.80053333333331</v>
      </c>
      <c r="AG45" s="71"/>
      <c r="AH45" s="71"/>
      <c r="AI45" s="71"/>
      <c r="AJ45" s="71"/>
      <c r="AK45" s="71"/>
      <c r="AL45" s="71"/>
      <c r="AM45" s="71"/>
      <c r="AN45" s="71"/>
      <c r="AO45" s="71"/>
      <c r="AP45" s="71"/>
      <c r="AQ45" s="71"/>
      <c r="AR45" s="64"/>
      <c r="AS45" s="71" t="e">
        <f t="shared" si="119"/>
        <v>#DIV/0!</v>
      </c>
      <c r="AT45">
        <f t="shared" si="108"/>
        <v>0</v>
      </c>
      <c r="AU45" t="e">
        <f t="shared" si="5"/>
        <v>#DIV/0!</v>
      </c>
      <c r="AV45">
        <f t="shared" si="109"/>
        <v>0</v>
      </c>
    </row>
    <row r="46" spans="1:48" ht="15" customHeight="1" x14ac:dyDescent="0.25">
      <c r="A46" t="s">
        <v>198</v>
      </c>
      <c r="B46" s="74" t="s">
        <v>202</v>
      </c>
      <c r="C46" s="72" t="str">
        <f t="shared" si="99"/>
        <v>11-12-2023 14:30</v>
      </c>
      <c r="D46" s="71"/>
      <c r="E46" s="71"/>
      <c r="F46" s="71"/>
      <c r="G46" s="71"/>
      <c r="H46" s="71"/>
      <c r="I46" s="71"/>
      <c r="J46" s="71"/>
      <c r="K46" s="71"/>
      <c r="L46" s="71"/>
      <c r="M46" s="71"/>
      <c r="N46" s="71"/>
      <c r="O46" s="71"/>
      <c r="P46" s="71" t="e">
        <f t="shared" si="118"/>
        <v>#DIV/0!</v>
      </c>
      <c r="Q46" s="71">
        <v>7.67</v>
      </c>
      <c r="R46" s="71"/>
      <c r="S46" s="71"/>
      <c r="T46" s="71"/>
      <c r="U46" s="71"/>
      <c r="V46" s="71"/>
      <c r="W46" s="71"/>
      <c r="X46" s="71">
        <v>705.34500000000003</v>
      </c>
      <c r="Y46">
        <v>95.096999999999994</v>
      </c>
      <c r="Z46">
        <v>15.291</v>
      </c>
      <c r="AA46" s="71" t="s">
        <v>393</v>
      </c>
      <c r="AB46" s="71">
        <f t="shared" si="120"/>
        <v>752.36800000000005</v>
      </c>
      <c r="AC46" s="71">
        <f t="shared" si="121"/>
        <v>143.9305945945946</v>
      </c>
      <c r="AD46" s="71">
        <f t="shared" si="122"/>
        <v>27.801818181818181</v>
      </c>
      <c r="AE46" s="71">
        <f t="shared" si="123"/>
        <v>10.196078431372548</v>
      </c>
      <c r="AF46" s="71">
        <f t="shared" si="124"/>
        <v>934.29649120778538</v>
      </c>
      <c r="AG46" s="71"/>
      <c r="AH46" s="71"/>
      <c r="AI46" s="71"/>
      <c r="AJ46" s="71"/>
      <c r="AK46" s="71"/>
      <c r="AL46" s="71"/>
      <c r="AM46" s="71"/>
      <c r="AN46" s="71"/>
      <c r="AO46" s="71"/>
      <c r="AP46" s="71"/>
      <c r="AQ46" s="71"/>
      <c r="AR46" s="64"/>
      <c r="AS46" s="71" t="e">
        <f t="shared" si="119"/>
        <v>#DIV/0!</v>
      </c>
      <c r="AT46">
        <f t="shared" si="108"/>
        <v>0</v>
      </c>
      <c r="AU46" t="e">
        <f t="shared" si="5"/>
        <v>#DIV/0!</v>
      </c>
      <c r="AV46">
        <f t="shared" si="109"/>
        <v>0</v>
      </c>
    </row>
    <row r="47" spans="1:48" ht="15" customHeight="1" x14ac:dyDescent="0.25">
      <c r="A47" t="s">
        <v>198</v>
      </c>
      <c r="B47" s="74" t="s">
        <v>207</v>
      </c>
      <c r="C47" s="72" t="str">
        <f t="shared" si="99"/>
        <v>11-12-2023 16:30</v>
      </c>
      <c r="D47" s="71"/>
      <c r="E47" s="71"/>
      <c r="F47" s="71"/>
      <c r="G47" s="71"/>
      <c r="H47" s="71"/>
      <c r="I47" s="71"/>
      <c r="J47" s="71"/>
      <c r="K47" s="71"/>
      <c r="L47" s="71"/>
      <c r="M47" s="71"/>
      <c r="N47" s="71"/>
      <c r="O47" s="71"/>
      <c r="P47" s="71" t="e">
        <f t="shared" si="118"/>
        <v>#DIV/0!</v>
      </c>
      <c r="Q47" s="71">
        <v>7.71</v>
      </c>
      <c r="R47" s="71"/>
      <c r="S47" s="71"/>
      <c r="T47" s="71"/>
      <c r="U47" s="71"/>
      <c r="V47" s="71"/>
      <c r="W47" s="71">
        <f>220*50</f>
        <v>11000</v>
      </c>
      <c r="X47" s="71">
        <v>748.34</v>
      </c>
      <c r="Y47">
        <v>73.531000000000006</v>
      </c>
      <c r="Z47">
        <v>14.569000000000001</v>
      </c>
      <c r="AA47" s="71" t="s">
        <v>393</v>
      </c>
      <c r="AB47" s="71">
        <f t="shared" si="120"/>
        <v>798.22933333333333</v>
      </c>
      <c r="AC47" s="71">
        <f t="shared" si="121"/>
        <v>111.29016216216219</v>
      </c>
      <c r="AD47" s="71">
        <f t="shared" si="122"/>
        <v>26.489090909090908</v>
      </c>
      <c r="AE47" s="71">
        <f t="shared" si="123"/>
        <v>10.196078431372548</v>
      </c>
      <c r="AF47" s="71">
        <f t="shared" si="124"/>
        <v>946.20466483595908</v>
      </c>
      <c r="AG47" s="71">
        <f>4.36*10*1000</f>
        <v>43600</v>
      </c>
      <c r="AH47" s="71"/>
      <c r="AI47" s="71"/>
      <c r="AJ47" s="71"/>
      <c r="AK47" s="71"/>
      <c r="AL47" s="71"/>
      <c r="AM47" s="71"/>
      <c r="AN47" s="71"/>
      <c r="AO47" s="71"/>
      <c r="AP47" s="71"/>
      <c r="AQ47" s="71"/>
      <c r="AR47" s="64"/>
      <c r="AS47" s="71" t="e">
        <f t="shared" si="119"/>
        <v>#DIV/0!</v>
      </c>
      <c r="AT47">
        <f t="shared" si="108"/>
        <v>0</v>
      </c>
      <c r="AU47" t="e">
        <f t="shared" si="5"/>
        <v>#DIV/0!</v>
      </c>
      <c r="AV47">
        <f t="shared" si="109"/>
        <v>0</v>
      </c>
    </row>
    <row r="48" spans="1:48" ht="15" customHeight="1" x14ac:dyDescent="0.25">
      <c r="A48" s="74" t="s">
        <v>408</v>
      </c>
      <c r="B48" s="74" t="s">
        <v>167</v>
      </c>
      <c r="C48" s="72" t="str">
        <f t="shared" si="99"/>
        <v>12-12-2023 11:00</v>
      </c>
      <c r="D48" s="71"/>
      <c r="E48" s="71"/>
      <c r="F48" s="71"/>
      <c r="G48" s="71"/>
      <c r="H48" s="71"/>
      <c r="I48" s="71"/>
      <c r="J48" s="71"/>
      <c r="K48" s="71"/>
      <c r="L48" s="71"/>
      <c r="M48" s="71"/>
      <c r="N48" s="71"/>
      <c r="O48" s="71"/>
      <c r="P48" s="71" t="e">
        <f t="shared" si="118"/>
        <v>#DIV/0!</v>
      </c>
      <c r="Q48" s="71">
        <v>7.6</v>
      </c>
      <c r="R48" s="71"/>
      <c r="S48" s="71"/>
      <c r="T48" s="71"/>
      <c r="U48" s="71"/>
      <c r="V48" s="71"/>
      <c r="W48" s="71"/>
      <c r="X48" s="71">
        <v>821.27599999999995</v>
      </c>
      <c r="Y48">
        <v>27.472000000000001</v>
      </c>
      <c r="Z48" s="71">
        <v>0</v>
      </c>
      <c r="AA48" s="71">
        <v>0</v>
      </c>
      <c r="AB48" s="71">
        <f t="shared" si="120"/>
        <v>876.02773333333323</v>
      </c>
      <c r="AC48" s="71">
        <f t="shared" si="121"/>
        <v>41.579243243243241</v>
      </c>
      <c r="AD48" s="71">
        <f t="shared" si="122"/>
        <v>0</v>
      </c>
      <c r="AE48" s="71">
        <f t="shared" si="123"/>
        <v>0</v>
      </c>
      <c r="AF48" s="71">
        <f t="shared" si="124"/>
        <v>917.60697657657647</v>
      </c>
      <c r="AG48" s="71"/>
      <c r="AH48" s="71"/>
      <c r="AI48" s="71"/>
      <c r="AJ48" s="71"/>
      <c r="AK48" s="71"/>
      <c r="AL48" s="71"/>
      <c r="AM48" s="71"/>
      <c r="AN48" s="71"/>
      <c r="AO48" s="71"/>
      <c r="AP48" s="71"/>
      <c r="AQ48" s="71"/>
      <c r="AR48" s="64"/>
      <c r="AS48" s="71" t="e">
        <f t="shared" si="119"/>
        <v>#DIV/0!</v>
      </c>
      <c r="AT48">
        <f t="shared" si="108"/>
        <v>0</v>
      </c>
      <c r="AU48" t="e">
        <f t="shared" si="5"/>
        <v>#DIV/0!</v>
      </c>
      <c r="AV48">
        <f t="shared" si="109"/>
        <v>0</v>
      </c>
    </row>
    <row r="49" spans="1:48" ht="15" customHeight="1" x14ac:dyDescent="0.25">
      <c r="A49" s="74" t="s">
        <v>408</v>
      </c>
      <c r="B49" s="74" t="s">
        <v>292</v>
      </c>
      <c r="C49" s="72" t="str">
        <f t="shared" si="99"/>
        <v>12-12-2023 14:00</v>
      </c>
      <c r="D49" s="71"/>
      <c r="E49" s="71"/>
      <c r="F49" s="71"/>
      <c r="G49" s="71"/>
      <c r="H49" s="71"/>
      <c r="I49" s="71"/>
      <c r="J49" s="71"/>
      <c r="K49" s="71"/>
      <c r="L49" s="71"/>
      <c r="M49" s="71"/>
      <c r="N49" s="71"/>
      <c r="O49" s="71"/>
      <c r="P49" s="71" t="e">
        <f t="shared" si="118"/>
        <v>#DIV/0!</v>
      </c>
      <c r="Q49" s="71">
        <v>7.66</v>
      </c>
      <c r="R49" s="71"/>
      <c r="S49" s="71"/>
      <c r="T49" s="71"/>
      <c r="U49" s="71"/>
      <c r="V49" s="71"/>
      <c r="W49" s="71"/>
      <c r="X49" s="71">
        <v>802.14800000000002</v>
      </c>
      <c r="Y49">
        <v>15.847</v>
      </c>
      <c r="Z49" s="71">
        <v>0</v>
      </c>
      <c r="AA49" s="71">
        <v>0</v>
      </c>
      <c r="AB49" s="71">
        <f t="shared" si="120"/>
        <v>855.62453333333337</v>
      </c>
      <c r="AC49" s="71">
        <f t="shared" si="121"/>
        <v>23.984648648648648</v>
      </c>
      <c r="AD49" s="71">
        <f t="shared" si="122"/>
        <v>0</v>
      </c>
      <c r="AE49" s="71">
        <f t="shared" si="123"/>
        <v>0</v>
      </c>
      <c r="AF49" s="71">
        <f t="shared" si="124"/>
        <v>879.60918198198203</v>
      </c>
      <c r="AG49" s="71"/>
      <c r="AH49" s="71"/>
      <c r="AI49" s="71"/>
      <c r="AJ49" s="71"/>
      <c r="AK49" s="71"/>
      <c r="AL49" s="71"/>
      <c r="AM49" s="71"/>
      <c r="AN49" s="71"/>
      <c r="AO49" s="71"/>
      <c r="AP49" s="71"/>
      <c r="AQ49" s="71"/>
      <c r="AR49" s="64"/>
      <c r="AS49" s="71" t="e">
        <f t="shared" si="119"/>
        <v>#DIV/0!</v>
      </c>
      <c r="AT49">
        <f t="shared" si="108"/>
        <v>0</v>
      </c>
      <c r="AU49" t="e">
        <f t="shared" si="5"/>
        <v>#DIV/0!</v>
      </c>
      <c r="AV49">
        <f t="shared" si="109"/>
        <v>0</v>
      </c>
    </row>
    <row r="50" spans="1:48" ht="15" customHeight="1" x14ac:dyDescent="0.25">
      <c r="A50" s="74" t="s">
        <v>408</v>
      </c>
      <c r="B50" s="74" t="s">
        <v>207</v>
      </c>
      <c r="C50" s="72" t="str">
        <f t="shared" si="99"/>
        <v>12-12-2023 16:30</v>
      </c>
      <c r="D50" s="71"/>
      <c r="E50" s="71"/>
      <c r="F50" s="71"/>
      <c r="G50" s="71"/>
      <c r="H50" s="71"/>
      <c r="I50" s="71"/>
      <c r="J50" s="71"/>
      <c r="K50" s="71"/>
      <c r="L50" s="71"/>
      <c r="M50" s="71"/>
      <c r="N50" s="71"/>
      <c r="O50" s="71"/>
      <c r="P50" s="71" t="e">
        <f t="shared" si="118"/>
        <v>#DIV/0!</v>
      </c>
      <c r="Q50" s="71">
        <v>7.67</v>
      </c>
      <c r="R50" s="71"/>
      <c r="S50" s="71"/>
      <c r="T50" s="71"/>
      <c r="U50" s="71"/>
      <c r="V50" s="71"/>
      <c r="W50" s="71">
        <f>226*50</f>
        <v>11300</v>
      </c>
      <c r="X50" s="71">
        <v>942</v>
      </c>
      <c r="Y50">
        <v>14.236000000000001</v>
      </c>
      <c r="Z50" s="71">
        <v>0</v>
      </c>
      <c r="AA50" s="71">
        <v>0</v>
      </c>
      <c r="AB50" s="71">
        <f t="shared" si="120"/>
        <v>1004.8</v>
      </c>
      <c r="AC50" s="71">
        <f t="shared" si="121"/>
        <v>21.546378378378378</v>
      </c>
      <c r="AD50" s="71">
        <f t="shared" si="122"/>
        <v>0</v>
      </c>
      <c r="AE50" s="71">
        <f t="shared" si="123"/>
        <v>0</v>
      </c>
      <c r="AF50" s="71">
        <f t="shared" si="124"/>
        <v>1026.3463783783784</v>
      </c>
      <c r="AG50" s="71">
        <f>4.23*10*1000</f>
        <v>42300.000000000007</v>
      </c>
      <c r="AH50" s="71"/>
      <c r="AI50" s="71"/>
      <c r="AJ50" s="71"/>
      <c r="AK50" s="71"/>
      <c r="AL50" s="71"/>
      <c r="AM50" s="71"/>
      <c r="AN50" s="71"/>
      <c r="AO50" s="71"/>
      <c r="AP50" s="71"/>
      <c r="AQ50" s="71"/>
      <c r="AR50" s="64"/>
      <c r="AS50" s="71" t="e">
        <f t="shared" si="119"/>
        <v>#DIV/0!</v>
      </c>
      <c r="AT50">
        <f t="shared" si="108"/>
        <v>0</v>
      </c>
      <c r="AU50" t="e">
        <f t="shared" si="5"/>
        <v>#DIV/0!</v>
      </c>
      <c r="AV50">
        <f t="shared" si="109"/>
        <v>0</v>
      </c>
    </row>
    <row r="51" spans="1:48" ht="15" customHeight="1" x14ac:dyDescent="0.25">
      <c r="A51" s="74" t="s">
        <v>200</v>
      </c>
      <c r="B51" s="74" t="s">
        <v>185</v>
      </c>
      <c r="C51" s="72" t="str">
        <f t="shared" si="99"/>
        <v>13-12-2023 10:30</v>
      </c>
      <c r="D51" s="71">
        <v>700</v>
      </c>
      <c r="E51" s="71">
        <v>4.4542000000000002</v>
      </c>
      <c r="F51" s="71">
        <v>28.851400000000002</v>
      </c>
      <c r="G51" s="71">
        <v>5.6143999999999998</v>
      </c>
      <c r="H51" s="71">
        <v>4.7977999999999996</v>
      </c>
      <c r="I51" s="71">
        <f t="shared" si="110"/>
        <v>24.397200000000002</v>
      </c>
      <c r="J51" s="71">
        <f t="shared" si="111"/>
        <v>1.1601999999999997</v>
      </c>
      <c r="K51" s="71">
        <f t="shared" si="112"/>
        <v>47.554637417408536</v>
      </c>
      <c r="L51" s="71">
        <f t="shared" si="113"/>
        <v>0.34359999999999946</v>
      </c>
      <c r="M51" s="71">
        <f t="shared" si="114"/>
        <v>14.083583362025127</v>
      </c>
      <c r="N51" s="71">
        <f t="shared" si="115"/>
        <v>0.81660000000000021</v>
      </c>
      <c r="O51" s="71">
        <f t="shared" si="116"/>
        <v>33.471054055383412</v>
      </c>
      <c r="P51" s="71">
        <f t="shared" si="118"/>
        <v>70.384416479917292</v>
      </c>
      <c r="Q51" s="71">
        <v>7.64</v>
      </c>
      <c r="R51" s="71">
        <f>6686*2</f>
        <v>13372</v>
      </c>
      <c r="S51" s="71">
        <v>0.27500000000000002</v>
      </c>
      <c r="T51" s="71">
        <v>3265</v>
      </c>
      <c r="U51" s="71">
        <f>72.3*20</f>
        <v>1446</v>
      </c>
      <c r="V51" s="71">
        <f>6.54*20</f>
        <v>130.80000000000001</v>
      </c>
      <c r="W51" s="71">
        <f>204*50</f>
        <v>10200</v>
      </c>
      <c r="X51" s="71">
        <v>605.96699999999998</v>
      </c>
      <c r="Y51" s="71">
        <v>11.039</v>
      </c>
      <c r="Z51" s="71">
        <f>11.787</f>
        <v>11.787000000000001</v>
      </c>
      <c r="AA51" s="71">
        <v>0</v>
      </c>
      <c r="AB51" s="71">
        <f t="shared" si="120"/>
        <v>646.36479999999995</v>
      </c>
      <c r="AC51" s="71">
        <f t="shared" si="121"/>
        <v>16.707675675675674</v>
      </c>
      <c r="AD51" s="71">
        <f t="shared" si="122"/>
        <v>21.430909090909093</v>
      </c>
      <c r="AE51" s="71">
        <f t="shared" si="123"/>
        <v>0</v>
      </c>
      <c r="AF51" s="71">
        <f t="shared" si="124"/>
        <v>684.50338476658465</v>
      </c>
      <c r="AG51" s="71">
        <f>4.59*10*1000</f>
        <v>45900</v>
      </c>
      <c r="AH51" s="71"/>
      <c r="AI51" s="71"/>
      <c r="AJ51" s="71"/>
      <c r="AK51" s="71"/>
      <c r="AL51" s="71"/>
      <c r="AM51" s="71"/>
      <c r="AN51" s="71">
        <f>106*50</f>
        <v>5300</v>
      </c>
      <c r="AO51" s="71"/>
      <c r="AP51" s="71"/>
      <c r="AQ51" s="71"/>
      <c r="AR51" t="s">
        <v>409</v>
      </c>
      <c r="AS51" s="71">
        <f t="shared" si="119"/>
        <v>0</v>
      </c>
      <c r="AT51">
        <f t="shared" si="108"/>
        <v>33.288246192185973</v>
      </c>
      <c r="AU51">
        <f t="shared" si="5"/>
        <v>23.429737838768382</v>
      </c>
      <c r="AV51">
        <f t="shared" si="109"/>
        <v>32.130000000000003</v>
      </c>
    </row>
    <row r="52" spans="1:48" ht="15" customHeight="1" x14ac:dyDescent="0.25">
      <c r="A52" s="74" t="s">
        <v>200</v>
      </c>
      <c r="B52" s="74" t="s">
        <v>185</v>
      </c>
      <c r="C52" s="72" t="str">
        <f t="shared" si="99"/>
        <v>13-12-2023 10:30</v>
      </c>
      <c r="D52" s="71"/>
      <c r="E52" s="71">
        <v>4.4343000000000004</v>
      </c>
      <c r="F52" s="71">
        <v>33.600499999999997</v>
      </c>
      <c r="G52" s="71">
        <v>5.8478000000000003</v>
      </c>
      <c r="H52" s="71">
        <v>4.8472999999999997</v>
      </c>
      <c r="I52" s="71">
        <f t="shared" si="110"/>
        <v>29.166199999999996</v>
      </c>
      <c r="J52" s="71">
        <f t="shared" si="111"/>
        <v>1.4135</v>
      </c>
      <c r="K52" s="71">
        <f t="shared" si="112"/>
        <v>48.463632560978127</v>
      </c>
      <c r="L52" s="71">
        <f t="shared" si="113"/>
        <v>0.41299999999999937</v>
      </c>
      <c r="M52" s="71">
        <f t="shared" si="114"/>
        <v>14.160226563624999</v>
      </c>
      <c r="N52" s="71">
        <f t="shared" si="115"/>
        <v>1.0005000000000006</v>
      </c>
      <c r="O52" s="71">
        <f t="shared" si="116"/>
        <v>34.303405997353124</v>
      </c>
      <c r="P52" s="71">
        <f t="shared" si="118"/>
        <v>70.781747435443975</v>
      </c>
      <c r="Q52" s="71"/>
      <c r="R52" s="71"/>
      <c r="S52" s="71"/>
      <c r="T52" s="71"/>
      <c r="U52" s="71"/>
      <c r="V52" s="71"/>
      <c r="W52" s="71"/>
      <c r="X52" s="71"/>
      <c r="Y52" s="71"/>
      <c r="Z52" s="71"/>
      <c r="AA52" s="71"/>
      <c r="AB52" s="71">
        <f t="shared" si="120"/>
        <v>0</v>
      </c>
      <c r="AC52" s="71">
        <f t="shared" si="121"/>
        <v>0</v>
      </c>
      <c r="AD52" s="71">
        <f t="shared" si="122"/>
        <v>0</v>
      </c>
      <c r="AE52" s="71">
        <f t="shared" si="123"/>
        <v>0</v>
      </c>
      <c r="AF52" s="71">
        <f t="shared" si="124"/>
        <v>0</v>
      </c>
      <c r="AG52" s="71"/>
      <c r="AH52" s="71"/>
      <c r="AI52" s="71"/>
      <c r="AJ52" s="71"/>
      <c r="AK52" s="71"/>
      <c r="AL52" s="71"/>
      <c r="AM52" s="71"/>
      <c r="AN52" s="71"/>
      <c r="AO52" s="71"/>
      <c r="AP52" s="71"/>
      <c r="AQ52" s="71"/>
      <c r="AS52" s="71" t="e">
        <f t="shared" si="119"/>
        <v>#DIV/0!</v>
      </c>
      <c r="AT52">
        <f t="shared" si="108"/>
        <v>0</v>
      </c>
      <c r="AU52">
        <f t="shared" si="5"/>
        <v>0</v>
      </c>
      <c r="AV52">
        <f t="shared" si="109"/>
        <v>0</v>
      </c>
    </row>
    <row r="53" spans="1:48" ht="15" customHeight="1" x14ac:dyDescent="0.25">
      <c r="A53" t="s">
        <v>201</v>
      </c>
      <c r="B53" s="74" t="s">
        <v>156</v>
      </c>
      <c r="C53" s="72" t="str">
        <f t="shared" si="99"/>
        <v>15-12-2023 10:00</v>
      </c>
      <c r="D53" s="71">
        <v>1200</v>
      </c>
      <c r="E53" s="71">
        <v>4.5401999999999996</v>
      </c>
      <c r="F53" s="71">
        <v>43.604999999999997</v>
      </c>
      <c r="G53" s="71">
        <v>6.3479999999999999</v>
      </c>
      <c r="H53" s="71">
        <v>5.0890000000000004</v>
      </c>
      <c r="I53" s="71">
        <f t="shared" ref="I53:I54" si="125">F53-E53</f>
        <v>39.064799999999998</v>
      </c>
      <c r="J53" s="71">
        <f t="shared" ref="J53:J54" si="126">G53-E53</f>
        <v>1.8078000000000003</v>
      </c>
      <c r="K53" s="71">
        <f t="shared" ref="K53:K54" si="127">1000*J53/I53</f>
        <v>46.27695521287707</v>
      </c>
      <c r="L53" s="71">
        <f t="shared" ref="L53:L54" si="128">H53-E53</f>
        <v>0.54880000000000084</v>
      </c>
      <c r="M53" s="71">
        <f t="shared" ref="M53:M54" si="129">1000*L53/I53</f>
        <v>14.048452827097563</v>
      </c>
      <c r="N53" s="71">
        <f t="shared" ref="N53:N54" si="130">J53-L53</f>
        <v>1.2589999999999995</v>
      </c>
      <c r="O53" s="71">
        <f t="shared" ref="O53:O54" si="131">1000*N53/I53</f>
        <v>32.228502385779514</v>
      </c>
      <c r="P53" s="71">
        <f t="shared" si="118"/>
        <v>69.642659586237386</v>
      </c>
      <c r="Q53" s="71">
        <v>7.6</v>
      </c>
      <c r="R53" s="71">
        <f>((225.9+6660)*2)</f>
        <v>13771.8</v>
      </c>
      <c r="S53" s="71"/>
      <c r="T53" s="71"/>
      <c r="U53" s="71">
        <f>(14.7*100)</f>
        <v>1470</v>
      </c>
      <c r="V53" s="71"/>
      <c r="W53" s="71"/>
      <c r="X53">
        <v>844.971</v>
      </c>
      <c r="Y53">
        <v>11.048999999999999</v>
      </c>
      <c r="Z53" s="71">
        <v>0</v>
      </c>
      <c r="AA53" s="71">
        <v>0</v>
      </c>
      <c r="AB53" s="71">
        <f t="shared" ref="AB53:AB54" si="132">IF(X53="&lt; 10 ppm",5*64/60,X53*64/60)</f>
        <v>901.30240000000003</v>
      </c>
      <c r="AC53" s="71">
        <f t="shared" ref="AC53:AC54" si="133">IF(Y53="&lt; 10 ppm",5*112/74,Y53*112/74)</f>
        <v>16.72281081081081</v>
      </c>
      <c r="AD53" s="71">
        <f t="shared" ref="AD53:AD54" si="134">IF(Z53="&lt; 10 ppm",5*160/88,Z53*160/88)</f>
        <v>0</v>
      </c>
      <c r="AE53" s="71">
        <f t="shared" ref="AE53:AE54" si="135">IF(AA53="&lt; 10 ppm",5*208/102,AA53*208/102)</f>
        <v>0</v>
      </c>
      <c r="AF53" s="71">
        <f t="shared" si="71"/>
        <v>918.02521081081079</v>
      </c>
      <c r="AG53" s="71">
        <f>(4.42*1000*10)</f>
        <v>44200</v>
      </c>
      <c r="AH53" s="71"/>
      <c r="AI53" s="71"/>
      <c r="AJ53" s="71"/>
      <c r="AK53" s="71"/>
      <c r="AL53" s="71"/>
      <c r="AM53" s="71"/>
      <c r="AN53" s="71">
        <f>(55.4*100)</f>
        <v>5540</v>
      </c>
      <c r="AO53" s="71"/>
      <c r="AP53" s="71"/>
      <c r="AQ53" s="71"/>
      <c r="AR53" s="64" t="s">
        <v>447</v>
      </c>
      <c r="AS53" s="71">
        <f t="shared" si="119"/>
        <v>0</v>
      </c>
      <c r="AT53">
        <f t="shared" si="108"/>
        <v>55.532346255452481</v>
      </c>
      <c r="AU53">
        <f t="shared" si="5"/>
        <v>38.674202862935417</v>
      </c>
      <c r="AV53">
        <f t="shared" si="109"/>
        <v>53.04</v>
      </c>
    </row>
    <row r="54" spans="1:48" ht="15" customHeight="1" x14ac:dyDescent="0.25">
      <c r="A54" t="s">
        <v>201</v>
      </c>
      <c r="B54" s="74" t="s">
        <v>156</v>
      </c>
      <c r="C54" s="72" t="str">
        <f t="shared" si="99"/>
        <v>15-12-2023 10:00</v>
      </c>
      <c r="D54" s="71"/>
      <c r="E54" s="71">
        <v>4.5795000000000003</v>
      </c>
      <c r="F54" s="71">
        <v>49.230200000000004</v>
      </c>
      <c r="G54" s="71">
        <v>6.6535000000000002</v>
      </c>
      <c r="H54" s="71">
        <v>5.2065999999999999</v>
      </c>
      <c r="I54" s="71">
        <f t="shared" si="125"/>
        <v>44.650700000000001</v>
      </c>
      <c r="J54" s="71">
        <f t="shared" si="126"/>
        <v>2.0739999999999998</v>
      </c>
      <c r="K54" s="71">
        <f t="shared" si="127"/>
        <v>46.449439762422536</v>
      </c>
      <c r="L54" s="71">
        <f t="shared" si="128"/>
        <v>0.62709999999999955</v>
      </c>
      <c r="M54" s="71">
        <f t="shared" si="129"/>
        <v>14.04457264947693</v>
      </c>
      <c r="N54" s="71">
        <f t="shared" si="130"/>
        <v>1.4469000000000003</v>
      </c>
      <c r="O54" s="71">
        <f t="shared" si="131"/>
        <v>32.404867112945603</v>
      </c>
      <c r="P54" s="71">
        <f t="shared" si="118"/>
        <v>69.763741562198661</v>
      </c>
      <c r="Q54" s="71"/>
      <c r="R54" s="71"/>
      <c r="S54" s="71"/>
      <c r="T54" s="71"/>
      <c r="U54" s="71"/>
      <c r="V54" s="71"/>
      <c r="W54" s="71"/>
      <c r="X54" s="71"/>
      <c r="Y54" s="71"/>
      <c r="Z54" s="71"/>
      <c r="AA54" s="71"/>
      <c r="AB54" s="71">
        <f t="shared" si="132"/>
        <v>0</v>
      </c>
      <c r="AC54" s="71">
        <f t="shared" si="133"/>
        <v>0</v>
      </c>
      <c r="AD54" s="71">
        <f t="shared" si="134"/>
        <v>0</v>
      </c>
      <c r="AE54" s="71">
        <f t="shared" si="135"/>
        <v>0</v>
      </c>
      <c r="AF54" s="71">
        <f t="shared" si="71"/>
        <v>0</v>
      </c>
      <c r="AG54" s="71"/>
      <c r="AH54" s="71"/>
      <c r="AI54" s="71"/>
      <c r="AJ54" s="71"/>
      <c r="AK54" s="71"/>
      <c r="AL54" s="71"/>
      <c r="AM54" s="71"/>
      <c r="AN54" s="71"/>
      <c r="AO54" s="71"/>
      <c r="AP54" s="71"/>
      <c r="AQ54" s="71"/>
      <c r="AR54" s="64"/>
      <c r="AS54" s="71" t="e">
        <f t="shared" si="119"/>
        <v>#DIV/0!</v>
      </c>
      <c r="AT54">
        <f t="shared" si="108"/>
        <v>0</v>
      </c>
      <c r="AU54">
        <f t="shared" si="5"/>
        <v>0</v>
      </c>
      <c r="AV54">
        <f t="shared" si="109"/>
        <v>0</v>
      </c>
    </row>
    <row r="55" spans="1:48" ht="15" customHeight="1" x14ac:dyDescent="0.25">
      <c r="A55" s="74" t="s">
        <v>203</v>
      </c>
      <c r="B55" s="74" t="s">
        <v>173</v>
      </c>
      <c r="C55" s="72" t="str">
        <f t="shared" si="99"/>
        <v>18-12-2023 13:00</v>
      </c>
      <c r="D55" s="71"/>
      <c r="E55" s="71"/>
      <c r="F55" s="71"/>
      <c r="G55" s="71"/>
      <c r="H55" s="71"/>
      <c r="I55" s="71"/>
      <c r="J55" s="71"/>
      <c r="K55" s="71"/>
      <c r="L55" s="71"/>
      <c r="M55" s="71"/>
      <c r="N55" s="71"/>
      <c r="O55" s="71"/>
      <c r="P55" s="71" t="e">
        <f t="shared" si="118"/>
        <v>#DIV/0!</v>
      </c>
      <c r="Q55" s="71"/>
      <c r="R55" s="71"/>
      <c r="S55" s="71"/>
      <c r="T55" s="71"/>
      <c r="U55" s="71"/>
      <c r="V55" s="71"/>
      <c r="W55" s="71"/>
      <c r="X55" s="71">
        <v>563.995</v>
      </c>
      <c r="Y55">
        <v>12.018000000000001</v>
      </c>
      <c r="Z55">
        <v>17.248999999999999</v>
      </c>
      <c r="AA55" s="71">
        <v>0</v>
      </c>
      <c r="AB55" s="71"/>
      <c r="AC55" s="71"/>
      <c r="AD55" s="71"/>
      <c r="AE55" s="71"/>
      <c r="AF55" s="71"/>
      <c r="AG55" s="71"/>
      <c r="AH55" s="71"/>
      <c r="AI55" s="71"/>
      <c r="AJ55" s="71"/>
      <c r="AK55" s="71"/>
      <c r="AL55" s="71"/>
      <c r="AM55" s="71"/>
      <c r="AN55" s="71"/>
      <c r="AO55" s="71"/>
      <c r="AP55" s="71"/>
      <c r="AQ55" s="71"/>
      <c r="AR55" s="64"/>
      <c r="AS55" s="71"/>
      <c r="AT55">
        <f t="shared" si="108"/>
        <v>0</v>
      </c>
      <c r="AU55" t="e">
        <f t="shared" si="5"/>
        <v>#DIV/0!</v>
      </c>
      <c r="AV55">
        <f t="shared" si="109"/>
        <v>0</v>
      </c>
    </row>
    <row r="56" spans="1:48" ht="15" customHeight="1" x14ac:dyDescent="0.25">
      <c r="A56" s="74" t="s">
        <v>205</v>
      </c>
      <c r="B56" s="74" t="s">
        <v>156</v>
      </c>
      <c r="C56" s="72" t="str">
        <f t="shared" si="99"/>
        <v>20-12-2023 10:00</v>
      </c>
      <c r="D56" s="71">
        <v>800</v>
      </c>
      <c r="E56" s="71">
        <v>26.276599999999998</v>
      </c>
      <c r="F56" s="71">
        <v>38.9178</v>
      </c>
      <c r="G56" s="71">
        <v>26.885300000000001</v>
      </c>
      <c r="H56" s="71">
        <v>26.4513</v>
      </c>
      <c r="I56" s="71">
        <f t="shared" ref="I56:I61" si="136">F56-E56</f>
        <v>12.641200000000001</v>
      </c>
      <c r="J56" s="71">
        <f t="shared" ref="J56:J61" si="137">G56-E56</f>
        <v>0.60870000000000246</v>
      </c>
      <c r="K56" s="71">
        <f t="shared" ref="K56:K61" si="138">1000*J56/I56</f>
        <v>48.152074170173904</v>
      </c>
      <c r="L56" s="71">
        <f t="shared" ref="L56:L61" si="139">H56-E56</f>
        <v>0.17470000000000141</v>
      </c>
      <c r="M56" s="71">
        <f t="shared" ref="M56:M61" si="140">1000*L56/I56</f>
        <v>13.819890516723206</v>
      </c>
      <c r="N56" s="71">
        <f t="shared" ref="N56:N61" si="141">J56-L56</f>
        <v>0.43400000000000105</v>
      </c>
      <c r="O56" s="71">
        <f t="shared" ref="O56:O61" si="142">1000*N56/I56</f>
        <v>34.332183653450699</v>
      </c>
      <c r="P56" s="71">
        <f t="shared" si="118"/>
        <v>71.299490717923319</v>
      </c>
      <c r="Q56" s="71">
        <v>7.58</v>
      </c>
      <c r="R56" s="71">
        <f>6224*2</f>
        <v>12448</v>
      </c>
      <c r="S56" s="71">
        <v>0.254</v>
      </c>
      <c r="T56" s="71">
        <v>2964</v>
      </c>
      <c r="U56" s="71">
        <f>28.7*50</f>
        <v>1435</v>
      </c>
      <c r="V56" s="71">
        <f>7.54*20</f>
        <v>150.80000000000001</v>
      </c>
      <c r="W56" s="71">
        <f>198*50</f>
        <v>9900</v>
      </c>
      <c r="X56">
        <v>419.88400000000001</v>
      </c>
      <c r="Y56" s="71" t="s">
        <v>393</v>
      </c>
      <c r="Z56">
        <v>10.504</v>
      </c>
      <c r="AA56" s="71">
        <v>0</v>
      </c>
      <c r="AB56" s="71">
        <f t="shared" ref="AB56:AB58" si="143">IF(X56="&lt; 10 ppm",5*64/60,X56*64/60)</f>
        <v>447.87626666666671</v>
      </c>
      <c r="AC56" s="71">
        <f t="shared" ref="AC56:AC58" si="144">IF(Y56="&lt; 10 ppm",5*112/74,Y56*112/74)</f>
        <v>7.5675675675675675</v>
      </c>
      <c r="AD56" s="71">
        <f t="shared" ref="AD56:AD58" si="145">IF(Z56="&lt; 10 ppm",5*160/88,Z56*160/88)</f>
        <v>19.098181818181818</v>
      </c>
      <c r="AE56" s="71">
        <f t="shared" ref="AE56:AE58" si="146">IF(AA56="&lt; 10 ppm",5*208/102,AA56*208/102)</f>
        <v>0</v>
      </c>
      <c r="AF56" s="71">
        <f t="shared" ref="AF56:AF57" si="147">SUM(AB56:AE56)</f>
        <v>474.5420160524161</v>
      </c>
      <c r="AG56" s="71">
        <f>1008*50</f>
        <v>50400</v>
      </c>
      <c r="AH56" s="71"/>
      <c r="AI56" s="71"/>
      <c r="AJ56" s="71"/>
      <c r="AK56" s="71"/>
      <c r="AL56" s="71"/>
      <c r="AM56" s="71"/>
      <c r="AN56" s="71">
        <f>63*50</f>
        <v>3150</v>
      </c>
      <c r="AO56" s="71"/>
      <c r="AP56" s="71"/>
      <c r="AQ56" s="71"/>
      <c r="AR56" t="s">
        <v>398</v>
      </c>
      <c r="AS56" s="71">
        <f t="shared" ref="AS56:AS57" si="148">AL56/U56/1000</f>
        <v>0</v>
      </c>
      <c r="AT56">
        <f t="shared" si="108"/>
        <v>38.521659336139123</v>
      </c>
      <c r="AU56">
        <f t="shared" si="5"/>
        <v>27.465746922760555</v>
      </c>
      <c r="AV56">
        <f t="shared" si="109"/>
        <v>40.32</v>
      </c>
    </row>
    <row r="57" spans="1:48" ht="15" customHeight="1" x14ac:dyDescent="0.25">
      <c r="A57" s="74" t="s">
        <v>205</v>
      </c>
      <c r="B57" s="74" t="s">
        <v>156</v>
      </c>
      <c r="C57" s="72" t="str">
        <f t="shared" si="99"/>
        <v>20-12-2023 10:00</v>
      </c>
      <c r="D57" s="71"/>
      <c r="E57" s="71">
        <v>31.519200000000001</v>
      </c>
      <c r="F57" s="71">
        <v>50.549199999999999</v>
      </c>
      <c r="G57" s="71">
        <v>32.431100000000001</v>
      </c>
      <c r="H57" s="71">
        <v>31.784199999999998</v>
      </c>
      <c r="I57" s="71">
        <f t="shared" si="136"/>
        <v>19.029999999999998</v>
      </c>
      <c r="J57" s="71">
        <f t="shared" si="137"/>
        <v>0.91189999999999927</v>
      </c>
      <c r="K57" s="71">
        <f t="shared" si="138"/>
        <v>47.919075144508639</v>
      </c>
      <c r="L57" s="71">
        <f t="shared" si="139"/>
        <v>0.26499999999999702</v>
      </c>
      <c r="M57" s="71">
        <f t="shared" si="140"/>
        <v>13.925380977403945</v>
      </c>
      <c r="N57" s="71">
        <f t="shared" si="141"/>
        <v>0.64690000000000225</v>
      </c>
      <c r="O57" s="71">
        <f t="shared" si="142"/>
        <v>33.993694167104692</v>
      </c>
      <c r="P57" s="71">
        <f t="shared" si="118"/>
        <v>70.939796030266777</v>
      </c>
      <c r="Q57" s="71"/>
      <c r="R57" s="71"/>
      <c r="S57" s="71"/>
      <c r="T57" s="71"/>
      <c r="U57" s="71"/>
      <c r="V57" s="71"/>
      <c r="W57" s="71"/>
      <c r="X57" s="71"/>
      <c r="Y57" s="71"/>
      <c r="Z57" s="71"/>
      <c r="AA57" s="71"/>
      <c r="AB57" s="71">
        <f t="shared" si="143"/>
        <v>0</v>
      </c>
      <c r="AC57" s="71">
        <f t="shared" si="144"/>
        <v>0</v>
      </c>
      <c r="AD57" s="71">
        <f t="shared" si="145"/>
        <v>0</v>
      </c>
      <c r="AE57" s="71">
        <f t="shared" si="146"/>
        <v>0</v>
      </c>
      <c r="AF57" s="71">
        <f t="shared" si="147"/>
        <v>0</v>
      </c>
      <c r="AG57" s="71"/>
      <c r="AH57" s="71"/>
      <c r="AI57" s="71"/>
      <c r="AJ57" s="71"/>
      <c r="AK57" s="71"/>
      <c r="AL57" s="71"/>
      <c r="AM57" s="71"/>
      <c r="AN57" s="71"/>
      <c r="AO57" s="71"/>
      <c r="AP57" s="71"/>
      <c r="AQ57" s="71"/>
      <c r="AR57" s="64"/>
      <c r="AS57" s="71" t="e">
        <f t="shared" si="148"/>
        <v>#DIV/0!</v>
      </c>
      <c r="AT57">
        <f t="shared" si="108"/>
        <v>0</v>
      </c>
      <c r="AU57">
        <f t="shared" si="5"/>
        <v>0</v>
      </c>
      <c r="AV57">
        <f t="shared" si="109"/>
        <v>0</v>
      </c>
    </row>
    <row r="58" spans="1:48" ht="15" customHeight="1" x14ac:dyDescent="0.25">
      <c r="A58" s="74" t="s">
        <v>206</v>
      </c>
      <c r="B58" s="74" t="s">
        <v>156</v>
      </c>
      <c r="C58" s="72" t="str">
        <f t="shared" si="99"/>
        <v>22-12-2023 10:00</v>
      </c>
      <c r="D58" s="71">
        <v>500</v>
      </c>
      <c r="E58" s="71">
        <v>4.5952999999999999</v>
      </c>
      <c r="F58" s="71">
        <v>32.650500000000001</v>
      </c>
      <c r="G58" s="71">
        <v>5.9607999999999999</v>
      </c>
      <c r="H58" s="71"/>
      <c r="I58" s="71">
        <f t="shared" si="136"/>
        <v>28.055199999999999</v>
      </c>
      <c r="J58" s="71">
        <f t="shared" si="137"/>
        <v>1.3654999999999999</v>
      </c>
      <c r="K58" s="71">
        <f t="shared" si="138"/>
        <v>48.671903960763068</v>
      </c>
      <c r="L58" s="71">
        <f t="shared" si="139"/>
        <v>-4.5952999999999999</v>
      </c>
      <c r="M58" s="71">
        <f t="shared" si="140"/>
        <v>-163.79494710428014</v>
      </c>
      <c r="N58" s="71">
        <f t="shared" si="141"/>
        <v>5.9607999999999999</v>
      </c>
      <c r="O58" s="71">
        <f t="shared" si="142"/>
        <v>212.46685106504322</v>
      </c>
      <c r="P58" s="71">
        <f t="shared" si="118"/>
        <v>436.52874404979866</v>
      </c>
      <c r="Q58" s="71">
        <v>7.64</v>
      </c>
      <c r="R58" s="71">
        <f>6017*2</f>
        <v>12034</v>
      </c>
      <c r="S58" s="71">
        <v>0.33600000000000002</v>
      </c>
      <c r="T58" s="71">
        <v>3741</v>
      </c>
      <c r="U58" s="71">
        <f>27.5*50</f>
        <v>1375</v>
      </c>
      <c r="V58" s="71">
        <f>7.19*50</f>
        <v>359.5</v>
      </c>
      <c r="W58" s="71">
        <f>188*50</f>
        <v>9400</v>
      </c>
      <c r="X58">
        <v>984.52700000000004</v>
      </c>
      <c r="Y58">
        <v>19.448</v>
      </c>
      <c r="Z58">
        <v>18.298999999999999</v>
      </c>
      <c r="AA58" s="71">
        <v>0</v>
      </c>
      <c r="AB58" s="71">
        <f t="shared" si="143"/>
        <v>1050.1621333333335</v>
      </c>
      <c r="AC58" s="71">
        <f t="shared" si="144"/>
        <v>29.434810810810809</v>
      </c>
      <c r="AD58" s="71">
        <f t="shared" si="145"/>
        <v>33.270909090909093</v>
      </c>
      <c r="AE58" s="71">
        <f t="shared" si="146"/>
        <v>0</v>
      </c>
      <c r="AF58" s="71">
        <f t="shared" ref="AF58:AF59" si="149">SUM(AB58:AE58)</f>
        <v>1112.8678532350534</v>
      </c>
      <c r="AG58" s="71">
        <f>955*50</f>
        <v>47750</v>
      </c>
      <c r="AH58" s="71"/>
      <c r="AI58" s="71"/>
      <c r="AJ58" s="71"/>
      <c r="AK58" s="71"/>
      <c r="AL58" s="71"/>
      <c r="AM58" s="71"/>
      <c r="AN58" s="71">
        <f>62.6*50</f>
        <v>3130</v>
      </c>
      <c r="AO58" s="71"/>
      <c r="AP58" s="71"/>
      <c r="AQ58" s="71"/>
      <c r="AR58" t="s">
        <v>411</v>
      </c>
      <c r="AS58" s="71">
        <f t="shared" ref="AS58:AS93" si="150">AL58/U58/1000</f>
        <v>0</v>
      </c>
      <c r="AT58">
        <f t="shared" si="108"/>
        <v>24.335951980381534</v>
      </c>
      <c r="AU58">
        <f t="shared" si="5"/>
        <v>106.23342553252161</v>
      </c>
      <c r="AV58">
        <f t="shared" si="109"/>
        <v>23.875</v>
      </c>
    </row>
    <row r="59" spans="1:48" ht="15" customHeight="1" thickBot="1" x14ac:dyDescent="0.3">
      <c r="A59" s="77" t="s">
        <v>206</v>
      </c>
      <c r="B59" s="77" t="s">
        <v>156</v>
      </c>
      <c r="C59" s="72" t="str">
        <f t="shared" si="99"/>
        <v>22-12-2023 10:00</v>
      </c>
      <c r="D59" s="83"/>
      <c r="E59" s="83">
        <v>4.5528000000000004</v>
      </c>
      <c r="F59" s="83">
        <v>32.198700000000002</v>
      </c>
      <c r="G59" s="83">
        <v>5.8711000000000002</v>
      </c>
      <c r="H59" s="83"/>
      <c r="I59" s="83">
        <f t="shared" si="136"/>
        <v>27.645900000000001</v>
      </c>
      <c r="J59" s="83">
        <f t="shared" si="137"/>
        <v>1.3182999999999998</v>
      </c>
      <c r="K59" s="83">
        <f t="shared" si="138"/>
        <v>47.685190209036406</v>
      </c>
      <c r="L59" s="83">
        <f t="shared" si="139"/>
        <v>-4.5528000000000004</v>
      </c>
      <c r="M59" s="83">
        <f t="shared" si="140"/>
        <v>-164.68264733649474</v>
      </c>
      <c r="N59" s="83">
        <f t="shared" si="141"/>
        <v>5.8711000000000002</v>
      </c>
      <c r="O59" s="83">
        <f t="shared" si="142"/>
        <v>212.36783754553116</v>
      </c>
      <c r="P59" s="83"/>
      <c r="Q59" s="83"/>
      <c r="R59" s="83"/>
      <c r="S59" s="83"/>
      <c r="T59" s="83"/>
      <c r="U59" s="83"/>
      <c r="V59" s="83"/>
      <c r="W59" s="83"/>
      <c r="X59" s="83"/>
      <c r="Y59" s="83"/>
      <c r="Z59" s="83"/>
      <c r="AA59" s="83"/>
      <c r="AB59" s="83"/>
      <c r="AC59" s="83"/>
      <c r="AD59" s="83"/>
      <c r="AE59" s="83"/>
      <c r="AF59" s="83">
        <f t="shared" si="149"/>
        <v>0</v>
      </c>
      <c r="AG59" s="83"/>
      <c r="AH59" s="83"/>
      <c r="AI59" s="83"/>
      <c r="AJ59" s="83"/>
      <c r="AK59" s="83"/>
      <c r="AL59" s="83"/>
      <c r="AM59" s="83"/>
      <c r="AN59" s="83"/>
      <c r="AO59" s="83"/>
      <c r="AP59" s="83"/>
      <c r="AQ59" s="83"/>
      <c r="AR59" s="79"/>
      <c r="AS59" s="83" t="e">
        <f t="shared" si="150"/>
        <v>#DIV/0!</v>
      </c>
      <c r="AT59">
        <f t="shared" si="108"/>
        <v>0</v>
      </c>
      <c r="AU59">
        <f t="shared" si="5"/>
        <v>0</v>
      </c>
      <c r="AV59">
        <f t="shared" si="109"/>
        <v>0</v>
      </c>
    </row>
    <row r="60" spans="1:48" ht="15" customHeight="1" thickBot="1" x14ac:dyDescent="0.3">
      <c r="A60" s="74" t="s">
        <v>206</v>
      </c>
      <c r="B60" s="74" t="s">
        <v>292</v>
      </c>
      <c r="C60" s="72" t="str">
        <f t="shared" si="99"/>
        <v>22-12-2023 14:00</v>
      </c>
      <c r="D60" s="85"/>
      <c r="E60" s="85">
        <v>4.5742000000000003</v>
      </c>
      <c r="F60" s="85">
        <v>27.3582</v>
      </c>
      <c r="G60" s="85">
        <v>5.6420000000000003</v>
      </c>
      <c r="H60" s="85"/>
      <c r="I60" s="84">
        <f t="shared" ref="I60" si="151">F60-E60</f>
        <v>22.783999999999999</v>
      </c>
      <c r="J60" s="84">
        <f t="shared" ref="J60" si="152">G60-E60</f>
        <v>1.0678000000000001</v>
      </c>
      <c r="K60" s="84">
        <f t="shared" ref="K60" si="153">1000*J60/I60</f>
        <v>46.866221910112372</v>
      </c>
      <c r="L60" s="84">
        <f t="shared" ref="L60" si="154">H60-E60</f>
        <v>-4.5742000000000003</v>
      </c>
      <c r="M60" s="84">
        <f t="shared" ref="M60" si="155">1000*L60/I60</f>
        <v>-200.76369382022472</v>
      </c>
      <c r="N60" s="84">
        <f t="shared" ref="N60" si="156">J60-L60</f>
        <v>5.6420000000000003</v>
      </c>
      <c r="O60" s="84">
        <f t="shared" ref="O60" si="157">1000*N60/I60</f>
        <v>247.6299157303371</v>
      </c>
      <c r="P60" s="84"/>
      <c r="Q60" s="84">
        <v>7.7</v>
      </c>
      <c r="R60" s="84"/>
      <c r="S60" s="84"/>
      <c r="T60" s="84"/>
      <c r="U60" s="84"/>
      <c r="V60" s="84"/>
      <c r="W60" s="84"/>
      <c r="X60" s="84">
        <v>954.69500000000005</v>
      </c>
      <c r="Y60" s="84">
        <v>33.646999999999998</v>
      </c>
      <c r="Z60" s="84">
        <v>16.834</v>
      </c>
      <c r="AA60" s="84">
        <v>11.818</v>
      </c>
      <c r="AB60" s="71">
        <f t="shared" ref="AB60:AB74" si="158">IF(X60="&lt; 10 ppm",5*64/60,X60*64/60)</f>
        <v>1018.3413333333334</v>
      </c>
      <c r="AC60" s="71">
        <f t="shared" ref="AC60:AC74" si="159">IF(Y60="&lt; 10 ppm",5*112/74,Y60*112/74)</f>
        <v>50.92518918918919</v>
      </c>
      <c r="AD60" s="71">
        <f t="shared" ref="AD60:AD74" si="160">IF(Z60="&lt; 10 ppm",5*160/88,Z60*160/88)</f>
        <v>30.607272727272729</v>
      </c>
      <c r="AE60" s="71">
        <f t="shared" ref="AE60:AE74" si="161">IF(AA60="&lt; 10 ppm",5*208/102,AA60*208/102)</f>
        <v>24.099450980392156</v>
      </c>
      <c r="AF60" s="71">
        <f t="shared" ref="AF60" si="162">SUM(AB60:AE60)</f>
        <v>1123.9732462301874</v>
      </c>
      <c r="AG60" s="85"/>
      <c r="AH60" s="85"/>
      <c r="AI60" s="85"/>
      <c r="AJ60" s="85"/>
      <c r="AK60" s="85"/>
      <c r="AL60" s="85"/>
      <c r="AM60" s="85"/>
      <c r="AN60" s="85"/>
      <c r="AO60" s="85"/>
      <c r="AP60" s="85"/>
      <c r="AQ60" s="85"/>
      <c r="AS60" s="83" t="e">
        <f t="shared" si="150"/>
        <v>#DIV/0!</v>
      </c>
      <c r="AT60">
        <f t="shared" si="108"/>
        <v>0</v>
      </c>
      <c r="AU60">
        <f t="shared" si="5"/>
        <v>0</v>
      </c>
      <c r="AV60">
        <f t="shared" si="109"/>
        <v>0</v>
      </c>
    </row>
    <row r="61" spans="1:48" ht="15" customHeight="1" thickBot="1" x14ac:dyDescent="0.3">
      <c r="A61" s="74" t="s">
        <v>208</v>
      </c>
      <c r="B61" s="74" t="s">
        <v>171</v>
      </c>
      <c r="C61" s="72" t="str">
        <f t="shared" si="99"/>
        <v>08-01-2024 12:30</v>
      </c>
      <c r="D61" s="87">
        <v>800</v>
      </c>
      <c r="E61" s="84"/>
      <c r="F61" s="84"/>
      <c r="G61" s="84"/>
      <c r="H61" s="84"/>
      <c r="I61" s="84">
        <f t="shared" si="136"/>
        <v>0</v>
      </c>
      <c r="J61" s="84">
        <f t="shared" si="137"/>
        <v>0</v>
      </c>
      <c r="K61" s="84" t="e">
        <f t="shared" si="138"/>
        <v>#DIV/0!</v>
      </c>
      <c r="L61" s="84">
        <f t="shared" si="139"/>
        <v>0</v>
      </c>
      <c r="M61" s="84" t="e">
        <f t="shared" si="140"/>
        <v>#DIV/0!</v>
      </c>
      <c r="N61" s="84">
        <f t="shared" si="141"/>
        <v>0</v>
      </c>
      <c r="O61" s="84" t="e">
        <f t="shared" si="142"/>
        <v>#DIV/0!</v>
      </c>
      <c r="P61" s="71" t="e">
        <f t="shared" ref="P61:P124" si="163">100*O61/K61</f>
        <v>#DIV/0!</v>
      </c>
      <c r="Q61" s="84">
        <v>7.66</v>
      </c>
      <c r="R61" s="84"/>
      <c r="S61" s="84"/>
      <c r="T61" s="84"/>
      <c r="U61" s="84"/>
      <c r="V61" s="84"/>
      <c r="W61" s="84"/>
      <c r="X61" s="84">
        <v>115.401</v>
      </c>
      <c r="Y61" s="84" t="s">
        <v>393</v>
      </c>
      <c r="Z61" s="84">
        <v>10.951000000000001</v>
      </c>
      <c r="AA61" s="84">
        <v>0</v>
      </c>
      <c r="AB61" s="71">
        <f t="shared" si="158"/>
        <v>123.09439999999999</v>
      </c>
      <c r="AC61" s="71">
        <f t="shared" si="159"/>
        <v>7.5675675675675675</v>
      </c>
      <c r="AD61" s="71">
        <f t="shared" si="160"/>
        <v>19.91090909090909</v>
      </c>
      <c r="AE61" s="71">
        <f t="shared" si="161"/>
        <v>0</v>
      </c>
      <c r="AF61" s="71">
        <f t="shared" ref="AF61:AF74" si="164">SUM(AB61:AE61)</f>
        <v>150.57287665847664</v>
      </c>
      <c r="AG61" s="84"/>
      <c r="AH61" s="84"/>
      <c r="AI61" s="84"/>
      <c r="AJ61" s="84"/>
      <c r="AK61" s="84"/>
      <c r="AL61" s="84"/>
      <c r="AM61" s="84"/>
      <c r="AN61" s="84"/>
      <c r="AO61" s="84"/>
      <c r="AP61" s="84"/>
      <c r="AQ61" s="84"/>
      <c r="AR61" s="64"/>
      <c r="AS61" s="83" t="e">
        <f t="shared" si="150"/>
        <v>#DIV/0!</v>
      </c>
      <c r="AT61" t="e">
        <f t="shared" si="108"/>
        <v>#DIV/0!</v>
      </c>
      <c r="AU61" t="e">
        <f t="shared" si="5"/>
        <v>#DIV/0!</v>
      </c>
      <c r="AV61">
        <f t="shared" si="109"/>
        <v>0</v>
      </c>
    </row>
    <row r="62" spans="1:48" ht="15" customHeight="1" thickBot="1" x14ac:dyDescent="0.3">
      <c r="A62" s="74" t="s">
        <v>209</v>
      </c>
      <c r="B62" s="74" t="s">
        <v>156</v>
      </c>
      <c r="C62" s="72" t="str">
        <f t="shared" si="99"/>
        <v>10-01-2024 10:00</v>
      </c>
      <c r="D62" s="85">
        <v>800</v>
      </c>
      <c r="E62" s="84">
        <v>4.5221</v>
      </c>
      <c r="F62" s="84">
        <v>28.397400000000001</v>
      </c>
      <c r="G62" s="84">
        <v>5.5294999999999996</v>
      </c>
      <c r="H62" s="84"/>
      <c r="I62" s="84">
        <f t="shared" ref="I62:I76" si="165">F62-E62</f>
        <v>23.875300000000003</v>
      </c>
      <c r="J62" s="84">
        <f t="shared" ref="J62:J76" si="166">G62-E62</f>
        <v>1.0073999999999996</v>
      </c>
      <c r="K62" s="84">
        <f t="shared" ref="K62:K76" si="167">1000*J62/I62</f>
        <v>42.194234208575367</v>
      </c>
      <c r="L62" s="84">
        <f t="shared" ref="L62:L76" si="168">H62-E62</f>
        <v>-4.5221</v>
      </c>
      <c r="M62" s="84">
        <f t="shared" ref="M62:M76" si="169">1000*L62/I62</f>
        <v>-189.40494988544646</v>
      </c>
      <c r="N62" s="84">
        <f t="shared" ref="N62:N76" si="170">J62-L62</f>
        <v>5.5294999999999996</v>
      </c>
      <c r="O62" s="84">
        <f t="shared" ref="O62:O76" si="171">1000*N62/I62</f>
        <v>231.59918409402184</v>
      </c>
      <c r="P62" s="71">
        <f t="shared" si="163"/>
        <v>548.88822711931732</v>
      </c>
      <c r="Q62" s="84">
        <v>7.58</v>
      </c>
      <c r="R62" s="84"/>
      <c r="S62" s="84"/>
      <c r="T62" s="84"/>
      <c r="U62" s="84"/>
      <c r="V62" s="84"/>
      <c r="W62" s="84"/>
      <c r="X62" s="84">
        <v>506.79899999999998</v>
      </c>
      <c r="Y62" s="84">
        <v>26.812999999999999</v>
      </c>
      <c r="Z62" s="84">
        <v>12.638999999999999</v>
      </c>
      <c r="AA62" s="84">
        <v>0</v>
      </c>
      <c r="AB62" s="71">
        <f t="shared" si="158"/>
        <v>540.5856</v>
      </c>
      <c r="AC62" s="71">
        <f t="shared" si="159"/>
        <v>40.581837837837838</v>
      </c>
      <c r="AD62" s="71">
        <f t="shared" si="160"/>
        <v>22.979999999999997</v>
      </c>
      <c r="AE62" s="71">
        <f t="shared" si="161"/>
        <v>0</v>
      </c>
      <c r="AF62" s="71">
        <f t="shared" si="164"/>
        <v>604.14743783783786</v>
      </c>
      <c r="AG62" s="84"/>
      <c r="AH62" s="84"/>
      <c r="AI62" s="84"/>
      <c r="AJ62" s="84"/>
      <c r="AK62" s="84"/>
      <c r="AL62" s="84"/>
      <c r="AM62" s="84"/>
      <c r="AN62" s="84"/>
      <c r="AO62" s="84"/>
      <c r="AP62" s="84"/>
      <c r="AQ62" s="84"/>
      <c r="AR62" s="64" t="s">
        <v>412</v>
      </c>
      <c r="AS62" s="83" t="e">
        <f t="shared" si="150"/>
        <v>#DIV/0!</v>
      </c>
      <c r="AT62">
        <f t="shared" si="108"/>
        <v>33.75538736686029</v>
      </c>
      <c r="AU62">
        <f t="shared" si="5"/>
        <v>185.27934727521745</v>
      </c>
      <c r="AV62">
        <f t="shared" si="109"/>
        <v>0</v>
      </c>
    </row>
    <row r="63" spans="1:48" ht="15" customHeight="1" thickBot="1" x14ac:dyDescent="0.3">
      <c r="A63" s="74" t="s">
        <v>209</v>
      </c>
      <c r="B63" s="74" t="s">
        <v>156</v>
      </c>
      <c r="C63" s="72" t="str">
        <f t="shared" si="99"/>
        <v>10-01-2024 10:00</v>
      </c>
      <c r="D63" s="85"/>
      <c r="E63" s="84">
        <v>4.6158000000000001</v>
      </c>
      <c r="F63" s="84">
        <v>25.841200000000001</v>
      </c>
      <c r="G63" s="84">
        <v>5.508</v>
      </c>
      <c r="H63" s="84"/>
      <c r="I63" s="84">
        <f t="shared" si="165"/>
        <v>21.2254</v>
      </c>
      <c r="J63" s="84">
        <f t="shared" si="166"/>
        <v>0.89219999999999988</v>
      </c>
      <c r="K63" s="84">
        <f t="shared" si="167"/>
        <v>42.034543518614484</v>
      </c>
      <c r="L63" s="84">
        <f t="shared" si="168"/>
        <v>-4.6158000000000001</v>
      </c>
      <c r="M63" s="84">
        <f t="shared" si="169"/>
        <v>-217.46586636765386</v>
      </c>
      <c r="N63" s="84">
        <f t="shared" si="170"/>
        <v>5.508</v>
      </c>
      <c r="O63" s="84">
        <f t="shared" si="171"/>
        <v>259.50040988626836</v>
      </c>
      <c r="P63" s="71">
        <f t="shared" si="163"/>
        <v>617.35036987222611</v>
      </c>
      <c r="Q63" s="84"/>
      <c r="R63" s="84"/>
      <c r="S63" s="84"/>
      <c r="T63" s="84"/>
      <c r="U63" s="84"/>
      <c r="V63" s="84"/>
      <c r="W63" s="84"/>
      <c r="X63" s="84"/>
      <c r="Y63" s="84"/>
      <c r="Z63" s="84"/>
      <c r="AA63" s="84"/>
      <c r="AB63" s="71"/>
      <c r="AC63" s="71"/>
      <c r="AD63" s="71"/>
      <c r="AE63" s="71"/>
      <c r="AF63" s="71"/>
      <c r="AG63" s="84"/>
      <c r="AH63" s="84"/>
      <c r="AI63" s="84"/>
      <c r="AJ63" s="84"/>
      <c r="AK63" s="84"/>
      <c r="AL63" s="84"/>
      <c r="AM63" s="84"/>
      <c r="AN63" s="84"/>
      <c r="AO63" s="84"/>
      <c r="AP63" s="84"/>
      <c r="AQ63" s="84"/>
      <c r="AR63" s="64"/>
      <c r="AS63" s="83" t="e">
        <f t="shared" si="150"/>
        <v>#DIV/0!</v>
      </c>
      <c r="AT63">
        <f t="shared" si="108"/>
        <v>0</v>
      </c>
      <c r="AU63">
        <f t="shared" si="5"/>
        <v>0</v>
      </c>
      <c r="AV63">
        <f t="shared" si="109"/>
        <v>0</v>
      </c>
    </row>
    <row r="64" spans="1:48" ht="15" customHeight="1" thickBot="1" x14ac:dyDescent="0.3">
      <c r="A64" s="74" t="s">
        <v>210</v>
      </c>
      <c r="B64" s="74" t="s">
        <v>170</v>
      </c>
      <c r="C64" s="72" t="str">
        <f t="shared" si="99"/>
        <v>12-01-2024 10:15</v>
      </c>
      <c r="D64" s="85">
        <v>900</v>
      </c>
      <c r="E64" s="84"/>
      <c r="F64" s="84"/>
      <c r="G64" s="84"/>
      <c r="H64" s="84"/>
      <c r="I64" s="84">
        <f t="shared" si="165"/>
        <v>0</v>
      </c>
      <c r="J64" s="84">
        <f t="shared" si="166"/>
        <v>0</v>
      </c>
      <c r="K64" s="84" t="e">
        <f t="shared" si="167"/>
        <v>#DIV/0!</v>
      </c>
      <c r="L64" s="84">
        <f t="shared" si="168"/>
        <v>0</v>
      </c>
      <c r="M64" s="84" t="e">
        <f t="shared" si="169"/>
        <v>#DIV/0!</v>
      </c>
      <c r="N64" s="84">
        <f t="shared" si="170"/>
        <v>0</v>
      </c>
      <c r="O64" s="84" t="e">
        <f t="shared" si="171"/>
        <v>#DIV/0!</v>
      </c>
      <c r="P64" s="71" t="e">
        <f t="shared" si="163"/>
        <v>#DIV/0!</v>
      </c>
      <c r="Q64" s="84">
        <v>7.61</v>
      </c>
      <c r="R64" s="84"/>
      <c r="S64" s="84"/>
      <c r="T64" s="84"/>
      <c r="U64" s="84"/>
      <c r="V64" s="84"/>
      <c r="W64" s="84"/>
      <c r="X64" s="84">
        <v>838.78599999999994</v>
      </c>
      <c r="Y64" s="84">
        <v>40.283000000000001</v>
      </c>
      <c r="Z64" s="84" t="s">
        <v>393</v>
      </c>
      <c r="AA64" s="84" t="s">
        <v>393</v>
      </c>
      <c r="AB64" s="71">
        <f t="shared" si="158"/>
        <v>894.70506666666665</v>
      </c>
      <c r="AC64" s="71">
        <f t="shared" si="159"/>
        <v>60.968864864864862</v>
      </c>
      <c r="AD64" s="71">
        <f t="shared" si="160"/>
        <v>9.0909090909090917</v>
      </c>
      <c r="AE64" s="71">
        <f t="shared" si="161"/>
        <v>10.196078431372548</v>
      </c>
      <c r="AF64" s="71">
        <f t="shared" si="164"/>
        <v>974.9609190538132</v>
      </c>
      <c r="AG64" s="84"/>
      <c r="AH64" s="84"/>
      <c r="AI64" s="84"/>
      <c r="AJ64" s="84"/>
      <c r="AK64" s="84"/>
      <c r="AL64" s="84"/>
      <c r="AM64" s="84"/>
      <c r="AN64" s="84"/>
      <c r="AO64" s="84"/>
      <c r="AP64" s="84"/>
      <c r="AQ64" s="84"/>
      <c r="AR64" s="64"/>
      <c r="AS64" s="83" t="e">
        <f t="shared" si="150"/>
        <v>#DIV/0!</v>
      </c>
      <c r="AT64" t="e">
        <f t="shared" si="108"/>
        <v>#DIV/0!</v>
      </c>
      <c r="AU64" t="e">
        <f t="shared" si="5"/>
        <v>#DIV/0!</v>
      </c>
      <c r="AV64">
        <f t="shared" si="109"/>
        <v>0</v>
      </c>
    </row>
    <row r="65" spans="1:48" ht="15" customHeight="1" thickBot="1" x14ac:dyDescent="0.3">
      <c r="A65" s="74" t="s">
        <v>211</v>
      </c>
      <c r="B65" s="74" t="s">
        <v>173</v>
      </c>
      <c r="C65" s="72" t="str">
        <f t="shared" si="99"/>
        <v>15-01-2024 13:00</v>
      </c>
      <c r="D65" s="85">
        <v>700</v>
      </c>
      <c r="E65" s="84"/>
      <c r="F65" s="84"/>
      <c r="G65" s="84"/>
      <c r="H65" s="84"/>
      <c r="I65" s="84">
        <f t="shared" si="165"/>
        <v>0</v>
      </c>
      <c r="J65" s="84">
        <f t="shared" si="166"/>
        <v>0</v>
      </c>
      <c r="K65" s="84" t="e">
        <f t="shared" si="167"/>
        <v>#DIV/0!</v>
      </c>
      <c r="L65" s="84">
        <f t="shared" si="168"/>
        <v>0</v>
      </c>
      <c r="M65" s="84" t="e">
        <f t="shared" si="169"/>
        <v>#DIV/0!</v>
      </c>
      <c r="N65" s="84">
        <f t="shared" si="170"/>
        <v>0</v>
      </c>
      <c r="O65" s="84" t="e">
        <f t="shared" si="171"/>
        <v>#DIV/0!</v>
      </c>
      <c r="P65" s="71" t="e">
        <f t="shared" si="163"/>
        <v>#DIV/0!</v>
      </c>
      <c r="Q65" s="84">
        <v>7.67</v>
      </c>
      <c r="R65" s="84"/>
      <c r="S65" s="84"/>
      <c r="T65" s="84"/>
      <c r="U65" s="84"/>
      <c r="V65" s="84"/>
      <c r="W65" s="84"/>
      <c r="X65" s="84">
        <v>373.27</v>
      </c>
      <c r="Y65" s="84" t="s">
        <v>393</v>
      </c>
      <c r="Z65" s="84">
        <v>23.599</v>
      </c>
      <c r="AA65" s="84">
        <v>10.167</v>
      </c>
      <c r="AB65" s="71">
        <f t="shared" si="158"/>
        <v>398.15466666666663</v>
      </c>
      <c r="AC65" s="71">
        <f t="shared" si="159"/>
        <v>7.5675675675675675</v>
      </c>
      <c r="AD65" s="71">
        <f t="shared" si="160"/>
        <v>42.907272727272726</v>
      </c>
      <c r="AE65" s="71">
        <f t="shared" si="161"/>
        <v>20.732705882352938</v>
      </c>
      <c r="AF65" s="71">
        <f t="shared" si="164"/>
        <v>469.36221284385982</v>
      </c>
      <c r="AG65" s="84"/>
      <c r="AH65" s="84"/>
      <c r="AI65" s="84"/>
      <c r="AJ65" s="84"/>
      <c r="AK65" s="84"/>
      <c r="AL65" s="84"/>
      <c r="AM65" s="84"/>
      <c r="AN65" s="84"/>
      <c r="AO65" s="84"/>
      <c r="AP65" s="84"/>
      <c r="AQ65" s="84"/>
      <c r="AR65" s="64" t="s">
        <v>413</v>
      </c>
      <c r="AS65" s="83" t="e">
        <f t="shared" si="150"/>
        <v>#DIV/0!</v>
      </c>
      <c r="AT65" t="e">
        <f t="shared" si="108"/>
        <v>#DIV/0!</v>
      </c>
      <c r="AU65" t="e">
        <f t="shared" si="5"/>
        <v>#DIV/0!</v>
      </c>
      <c r="AV65">
        <f t="shared" si="109"/>
        <v>0</v>
      </c>
    </row>
    <row r="66" spans="1:48" ht="15" customHeight="1" thickBot="1" x14ac:dyDescent="0.3">
      <c r="A66" s="74" t="s">
        <v>212</v>
      </c>
      <c r="B66" s="74" t="s">
        <v>156</v>
      </c>
      <c r="C66" s="72" t="str">
        <f t="shared" si="99"/>
        <v>17-01-2024 10:00</v>
      </c>
      <c r="D66" s="85">
        <v>700</v>
      </c>
      <c r="E66" s="84">
        <v>4.4812000000000003</v>
      </c>
      <c r="F66" s="84">
        <v>16.460999999999999</v>
      </c>
      <c r="G66" s="84">
        <v>5.0082000000000004</v>
      </c>
      <c r="H66" s="84"/>
      <c r="I66" s="84">
        <f t="shared" si="165"/>
        <v>11.979799999999997</v>
      </c>
      <c r="J66" s="84">
        <f t="shared" si="166"/>
        <v>0.52700000000000014</v>
      </c>
      <c r="K66" s="84">
        <f t="shared" si="167"/>
        <v>43.990717708142057</v>
      </c>
      <c r="L66" s="84">
        <f t="shared" si="168"/>
        <v>-4.4812000000000003</v>
      </c>
      <c r="M66" s="84">
        <f t="shared" si="169"/>
        <v>-374.06300606020147</v>
      </c>
      <c r="N66" s="84">
        <f t="shared" si="170"/>
        <v>5.0082000000000004</v>
      </c>
      <c r="O66" s="84">
        <f t="shared" si="171"/>
        <v>418.05372376834356</v>
      </c>
      <c r="P66" s="71">
        <f t="shared" si="163"/>
        <v>950.32258064516134</v>
      </c>
      <c r="Q66" s="84">
        <v>7.59</v>
      </c>
      <c r="R66" s="84"/>
      <c r="S66" s="84"/>
      <c r="T66" s="84"/>
      <c r="U66" s="84">
        <f>20.9*100</f>
        <v>2090</v>
      </c>
      <c r="V66" s="84"/>
      <c r="W66" s="84"/>
      <c r="X66" s="84">
        <v>157.40899999999999</v>
      </c>
      <c r="Y66" s="84" t="s">
        <v>393</v>
      </c>
      <c r="Z66" s="84">
        <v>18.516999999999999</v>
      </c>
      <c r="AA66" s="84">
        <v>0</v>
      </c>
      <c r="AB66" s="71">
        <f t="shared" si="158"/>
        <v>167.90293333333332</v>
      </c>
      <c r="AC66" s="71">
        <f t="shared" si="159"/>
        <v>7.5675675675675675</v>
      </c>
      <c r="AD66" s="71">
        <f t="shared" si="160"/>
        <v>33.667272727272724</v>
      </c>
      <c r="AE66" s="71">
        <f t="shared" si="161"/>
        <v>0</v>
      </c>
      <c r="AF66" s="71">
        <f t="shared" si="164"/>
        <v>209.13777362817362</v>
      </c>
      <c r="AG66" s="84"/>
      <c r="AH66" s="84"/>
      <c r="AI66" s="84"/>
      <c r="AJ66" s="84"/>
      <c r="AK66" s="84"/>
      <c r="AL66" s="84"/>
      <c r="AM66" s="84"/>
      <c r="AN66" s="84"/>
      <c r="AO66" s="84"/>
      <c r="AP66" s="84"/>
      <c r="AQ66" s="84"/>
      <c r="AR66" s="64" t="s">
        <v>448</v>
      </c>
      <c r="AS66" s="83">
        <f t="shared" si="150"/>
        <v>0</v>
      </c>
      <c r="AT66">
        <f t="shared" si="108"/>
        <v>30.793502395699441</v>
      </c>
      <c r="AU66">
        <f t="shared" si="5"/>
        <v>292.63760663784052</v>
      </c>
      <c r="AV66">
        <f t="shared" si="109"/>
        <v>0</v>
      </c>
    </row>
    <row r="67" spans="1:48" ht="15" customHeight="1" thickBot="1" x14ac:dyDescent="0.3">
      <c r="A67" s="74" t="s">
        <v>213</v>
      </c>
      <c r="B67" s="74" t="s">
        <v>170</v>
      </c>
      <c r="C67" s="72" t="str">
        <f t="shared" ref="C67:C98" si="172">TEXT(DATEVALUE(A67) + TIMEVALUE(B67), "gg-mm-aaaa hh:mm")</f>
        <v>19-01-2024 10:15</v>
      </c>
      <c r="D67" s="85">
        <v>822</v>
      </c>
      <c r="E67" s="84"/>
      <c r="F67" s="84"/>
      <c r="G67" s="84"/>
      <c r="H67" s="84"/>
      <c r="I67" s="84">
        <f t="shared" si="165"/>
        <v>0</v>
      </c>
      <c r="J67" s="84">
        <f t="shared" si="166"/>
        <v>0</v>
      </c>
      <c r="K67" s="84" t="e">
        <f t="shared" si="167"/>
        <v>#DIV/0!</v>
      </c>
      <c r="L67" s="84">
        <f t="shared" si="168"/>
        <v>0</v>
      </c>
      <c r="M67" s="84" t="e">
        <f t="shared" si="169"/>
        <v>#DIV/0!</v>
      </c>
      <c r="N67" s="84">
        <f t="shared" si="170"/>
        <v>0</v>
      </c>
      <c r="O67" s="84" t="e">
        <f t="shared" si="171"/>
        <v>#DIV/0!</v>
      </c>
      <c r="P67" s="71" t="e">
        <f t="shared" si="163"/>
        <v>#DIV/0!</v>
      </c>
      <c r="Q67" s="84">
        <v>7.57</v>
      </c>
      <c r="R67" s="84"/>
      <c r="S67" s="84"/>
      <c r="T67" s="84"/>
      <c r="U67" s="84"/>
      <c r="V67" s="84"/>
      <c r="W67" s="84"/>
      <c r="X67" s="84">
        <v>216.166</v>
      </c>
      <c r="Y67" s="84" t="s">
        <v>393</v>
      </c>
      <c r="Z67" s="84">
        <v>15.766999999999999</v>
      </c>
      <c r="AA67" s="84">
        <v>0</v>
      </c>
      <c r="AB67" s="71">
        <f t="shared" si="158"/>
        <v>230.57706666666667</v>
      </c>
      <c r="AC67" s="71">
        <f t="shared" si="159"/>
        <v>7.5675675675675675</v>
      </c>
      <c r="AD67" s="71">
        <f t="shared" si="160"/>
        <v>28.667272727272724</v>
      </c>
      <c r="AE67" s="71">
        <f t="shared" si="161"/>
        <v>0</v>
      </c>
      <c r="AF67" s="71">
        <f t="shared" si="164"/>
        <v>266.81190696150696</v>
      </c>
      <c r="AG67" s="84"/>
      <c r="AH67" s="84"/>
      <c r="AI67" s="84"/>
      <c r="AJ67" s="84"/>
      <c r="AK67" s="84"/>
      <c r="AL67" s="84"/>
      <c r="AM67" s="84"/>
      <c r="AN67" s="84"/>
      <c r="AO67" s="84"/>
      <c r="AP67" s="84"/>
      <c r="AQ67" s="84"/>
      <c r="AR67" s="64" t="s">
        <v>415</v>
      </c>
      <c r="AS67" s="83" t="e">
        <f t="shared" si="150"/>
        <v>#DIV/0!</v>
      </c>
      <c r="AT67" t="e">
        <f t="shared" ref="AT67:AT94" si="173">K67*D67/1000</f>
        <v>#DIV/0!</v>
      </c>
      <c r="AU67" t="e">
        <f t="shared" si="5"/>
        <v>#DIV/0!</v>
      </c>
      <c r="AV67">
        <f t="shared" ref="AV67:AV94" si="174">AG67*D67/1000000</f>
        <v>0</v>
      </c>
    </row>
    <row r="68" spans="1:48" ht="15" customHeight="1" thickBot="1" x14ac:dyDescent="0.3">
      <c r="A68" s="100" t="s">
        <v>215</v>
      </c>
      <c r="B68" s="100" t="s">
        <v>170</v>
      </c>
      <c r="C68" s="72" t="str">
        <f t="shared" si="172"/>
        <v>22-01-2024 10:15</v>
      </c>
      <c r="D68" s="90">
        <f>740+88</f>
        <v>828</v>
      </c>
      <c r="E68" s="84"/>
      <c r="F68" s="84"/>
      <c r="G68" s="84"/>
      <c r="H68" s="84"/>
      <c r="I68" s="84">
        <f t="shared" si="165"/>
        <v>0</v>
      </c>
      <c r="J68" s="84">
        <f t="shared" si="166"/>
        <v>0</v>
      </c>
      <c r="K68" s="84" t="e">
        <f t="shared" si="167"/>
        <v>#DIV/0!</v>
      </c>
      <c r="L68" s="84">
        <f t="shared" si="168"/>
        <v>0</v>
      </c>
      <c r="M68" s="84" t="e">
        <f t="shared" si="169"/>
        <v>#DIV/0!</v>
      </c>
      <c r="N68" s="84">
        <f t="shared" si="170"/>
        <v>0</v>
      </c>
      <c r="O68" s="84" t="e">
        <f t="shared" si="171"/>
        <v>#DIV/0!</v>
      </c>
      <c r="P68" s="71" t="e">
        <f t="shared" si="163"/>
        <v>#DIV/0!</v>
      </c>
      <c r="Q68" s="84">
        <v>7.51</v>
      </c>
      <c r="R68" s="84"/>
      <c r="S68" s="84"/>
      <c r="T68" s="84"/>
      <c r="U68" s="84"/>
      <c r="V68" s="84"/>
      <c r="W68" s="84"/>
      <c r="X68" s="84">
        <v>175.87700000000001</v>
      </c>
      <c r="Y68" s="84" t="s">
        <v>393</v>
      </c>
      <c r="Z68" s="84" t="s">
        <v>393</v>
      </c>
      <c r="AA68" s="84">
        <v>0</v>
      </c>
      <c r="AB68" s="71">
        <f t="shared" si="158"/>
        <v>187.60213333333334</v>
      </c>
      <c r="AC68" s="71">
        <f t="shared" si="159"/>
        <v>7.5675675675675675</v>
      </c>
      <c r="AD68" s="71">
        <f t="shared" si="160"/>
        <v>9.0909090909090917</v>
      </c>
      <c r="AE68" s="71">
        <f t="shared" si="161"/>
        <v>0</v>
      </c>
      <c r="AF68" s="71">
        <f t="shared" si="164"/>
        <v>204.26060999181001</v>
      </c>
      <c r="AG68" s="84"/>
      <c r="AH68" s="84"/>
      <c r="AI68" s="84"/>
      <c r="AJ68" s="84"/>
      <c r="AK68" s="84"/>
      <c r="AL68" s="84"/>
      <c r="AM68" s="84"/>
      <c r="AN68" s="84"/>
      <c r="AO68" s="84"/>
      <c r="AP68" s="84"/>
      <c r="AQ68" s="84"/>
      <c r="AR68" s="64"/>
      <c r="AS68" s="83" t="e">
        <f t="shared" si="150"/>
        <v>#DIV/0!</v>
      </c>
      <c r="AT68" t="e">
        <f t="shared" si="173"/>
        <v>#DIV/0!</v>
      </c>
      <c r="AU68" t="e">
        <f t="shared" ref="AU68:AU94" si="175">AT68*P68/100</f>
        <v>#DIV/0!</v>
      </c>
      <c r="AV68">
        <f t="shared" si="174"/>
        <v>0</v>
      </c>
    </row>
    <row r="69" spans="1:48" ht="15" customHeight="1" thickBot="1" x14ac:dyDescent="0.3">
      <c r="A69" s="100" t="s">
        <v>217</v>
      </c>
      <c r="B69" s="100" t="s">
        <v>171</v>
      </c>
      <c r="C69" s="72" t="str">
        <f t="shared" si="172"/>
        <v>24-01-2024 12:30</v>
      </c>
      <c r="D69" s="82">
        <v>740</v>
      </c>
      <c r="E69" s="84"/>
      <c r="F69" s="84"/>
      <c r="G69" s="84"/>
      <c r="H69" s="84"/>
      <c r="I69" s="84">
        <f t="shared" si="165"/>
        <v>0</v>
      </c>
      <c r="J69" s="84">
        <f t="shared" si="166"/>
        <v>0</v>
      </c>
      <c r="K69" s="84" t="e">
        <f t="shared" si="167"/>
        <v>#DIV/0!</v>
      </c>
      <c r="L69" s="84">
        <f t="shared" si="168"/>
        <v>0</v>
      </c>
      <c r="M69" s="84" t="e">
        <f t="shared" si="169"/>
        <v>#DIV/0!</v>
      </c>
      <c r="N69" s="84">
        <f t="shared" si="170"/>
        <v>0</v>
      </c>
      <c r="O69" s="84" t="e">
        <f t="shared" si="171"/>
        <v>#DIV/0!</v>
      </c>
      <c r="P69" s="71" t="e">
        <f t="shared" si="163"/>
        <v>#DIV/0!</v>
      </c>
      <c r="Q69" s="84">
        <v>7.47</v>
      </c>
      <c r="R69" s="84"/>
      <c r="S69" s="84"/>
      <c r="T69" s="84"/>
      <c r="U69" s="84"/>
      <c r="V69" s="84"/>
      <c r="W69" s="84"/>
      <c r="X69" s="84">
        <v>192.11699999999999</v>
      </c>
      <c r="Y69" s="84" t="s">
        <v>393</v>
      </c>
      <c r="Z69" s="84">
        <v>0</v>
      </c>
      <c r="AA69" s="84">
        <v>0</v>
      </c>
      <c r="AB69" s="71">
        <f t="shared" si="158"/>
        <v>204.92479999999998</v>
      </c>
      <c r="AC69" s="71">
        <f t="shared" si="159"/>
        <v>7.5675675675675675</v>
      </c>
      <c r="AD69" s="71">
        <f t="shared" si="160"/>
        <v>0</v>
      </c>
      <c r="AE69" s="71">
        <f t="shared" si="161"/>
        <v>0</v>
      </c>
      <c r="AF69" s="71">
        <f t="shared" si="164"/>
        <v>212.49236756756756</v>
      </c>
      <c r="AG69" s="84"/>
      <c r="AH69" s="84"/>
      <c r="AI69" s="84"/>
      <c r="AJ69" s="84"/>
      <c r="AK69" s="84"/>
      <c r="AL69" s="84"/>
      <c r="AM69" s="84"/>
      <c r="AN69" s="84"/>
      <c r="AO69" s="84"/>
      <c r="AP69" s="84"/>
      <c r="AQ69" s="84"/>
      <c r="AR69" s="64"/>
      <c r="AS69" s="83" t="e">
        <f t="shared" si="150"/>
        <v>#DIV/0!</v>
      </c>
      <c r="AT69" t="e">
        <f t="shared" si="173"/>
        <v>#DIV/0!</v>
      </c>
      <c r="AU69" t="e">
        <f t="shared" si="175"/>
        <v>#DIV/0!</v>
      </c>
      <c r="AV69">
        <f t="shared" si="174"/>
        <v>0</v>
      </c>
    </row>
    <row r="70" spans="1:48" ht="15" customHeight="1" thickBot="1" x14ac:dyDescent="0.3">
      <c r="A70" s="100" t="s">
        <v>217</v>
      </c>
      <c r="B70" s="100" t="s">
        <v>137</v>
      </c>
      <c r="C70" s="72" t="str">
        <f t="shared" si="172"/>
        <v>24-01-2024 15:00</v>
      </c>
      <c r="D70" s="82">
        <v>25</v>
      </c>
      <c r="E70" s="84"/>
      <c r="F70" s="84"/>
      <c r="G70" s="84"/>
      <c r="H70" s="84"/>
      <c r="I70" s="84">
        <f t="shared" si="165"/>
        <v>0</v>
      </c>
      <c r="J70" s="84">
        <f t="shared" si="166"/>
        <v>0</v>
      </c>
      <c r="K70" s="84" t="e">
        <f t="shared" si="167"/>
        <v>#DIV/0!</v>
      </c>
      <c r="L70" s="84">
        <f t="shared" si="168"/>
        <v>0</v>
      </c>
      <c r="M70" s="84" t="e">
        <f t="shared" si="169"/>
        <v>#DIV/0!</v>
      </c>
      <c r="N70" s="84">
        <f t="shared" si="170"/>
        <v>0</v>
      </c>
      <c r="O70" s="84" t="e">
        <f t="shared" si="171"/>
        <v>#DIV/0!</v>
      </c>
      <c r="P70" s="71" t="e">
        <f t="shared" si="163"/>
        <v>#DIV/0!</v>
      </c>
      <c r="Q70" s="84">
        <v>7.47</v>
      </c>
      <c r="R70" s="84"/>
      <c r="S70" s="84"/>
      <c r="T70" s="84"/>
      <c r="U70" s="84"/>
      <c r="V70" s="84"/>
      <c r="W70" s="84"/>
      <c r="X70" s="84">
        <v>326.30200000000002</v>
      </c>
      <c r="Y70" s="84">
        <v>51.195</v>
      </c>
      <c r="Z70" s="84">
        <v>10.105</v>
      </c>
      <c r="AA70" s="84" t="s">
        <v>393</v>
      </c>
      <c r="AB70" s="71">
        <f t="shared" si="158"/>
        <v>348.05546666666669</v>
      </c>
      <c r="AC70" s="71">
        <f t="shared" si="159"/>
        <v>77.484324324324319</v>
      </c>
      <c r="AD70" s="71">
        <f t="shared" si="160"/>
        <v>18.372727272727275</v>
      </c>
      <c r="AE70" s="71">
        <f t="shared" si="161"/>
        <v>10.196078431372548</v>
      </c>
      <c r="AF70" s="71">
        <f t="shared" si="164"/>
        <v>454.10859669509085</v>
      </c>
      <c r="AG70" s="84"/>
      <c r="AH70" s="84"/>
      <c r="AI70" s="84"/>
      <c r="AJ70" s="84"/>
      <c r="AK70" s="84"/>
      <c r="AL70" s="84"/>
      <c r="AM70" s="84"/>
      <c r="AN70" s="84"/>
      <c r="AO70" s="84"/>
      <c r="AP70" s="84"/>
      <c r="AQ70" s="84"/>
      <c r="AR70" s="64"/>
      <c r="AS70" s="83" t="e">
        <f t="shared" si="150"/>
        <v>#DIV/0!</v>
      </c>
      <c r="AT70" t="e">
        <f t="shared" si="173"/>
        <v>#DIV/0!</v>
      </c>
      <c r="AU70" t="e">
        <f t="shared" si="175"/>
        <v>#DIV/0!</v>
      </c>
      <c r="AV70">
        <f t="shared" si="174"/>
        <v>0</v>
      </c>
    </row>
    <row r="71" spans="1:48" ht="15" customHeight="1" thickBot="1" x14ac:dyDescent="0.3">
      <c r="A71" s="100" t="s">
        <v>416</v>
      </c>
      <c r="B71" s="100" t="s">
        <v>156</v>
      </c>
      <c r="C71" s="72" t="str">
        <f t="shared" si="172"/>
        <v>25-01-2024 10:00</v>
      </c>
      <c r="D71" s="82">
        <v>25</v>
      </c>
      <c r="E71" s="84"/>
      <c r="F71" s="84"/>
      <c r="G71" s="84"/>
      <c r="H71" s="84"/>
      <c r="I71" s="84">
        <f t="shared" si="165"/>
        <v>0</v>
      </c>
      <c r="J71" s="84">
        <f t="shared" si="166"/>
        <v>0</v>
      </c>
      <c r="K71" s="84" t="e">
        <f t="shared" si="167"/>
        <v>#DIV/0!</v>
      </c>
      <c r="L71" s="84">
        <f t="shared" si="168"/>
        <v>0</v>
      </c>
      <c r="M71" s="84" t="e">
        <f t="shared" si="169"/>
        <v>#DIV/0!</v>
      </c>
      <c r="N71" s="84">
        <f t="shared" si="170"/>
        <v>0</v>
      </c>
      <c r="O71" s="84" t="e">
        <f t="shared" si="171"/>
        <v>#DIV/0!</v>
      </c>
      <c r="P71" s="71" t="e">
        <f t="shared" si="163"/>
        <v>#DIV/0!</v>
      </c>
      <c r="Q71" s="84">
        <v>7.44</v>
      </c>
      <c r="R71" s="84"/>
      <c r="S71" s="84"/>
      <c r="T71" s="84"/>
      <c r="U71" s="84"/>
      <c r="V71" s="84"/>
      <c r="W71" s="84"/>
      <c r="X71" s="84">
        <v>426.02100000000002</v>
      </c>
      <c r="Y71" s="84" t="s">
        <v>393</v>
      </c>
      <c r="Z71" s="84">
        <v>11.803000000000001</v>
      </c>
      <c r="AA71" s="84">
        <v>0</v>
      </c>
      <c r="AB71" s="71">
        <f t="shared" si="158"/>
        <v>454.42240000000004</v>
      </c>
      <c r="AC71" s="71">
        <f t="shared" si="159"/>
        <v>7.5675675675675675</v>
      </c>
      <c r="AD71" s="71">
        <f t="shared" si="160"/>
        <v>21.46</v>
      </c>
      <c r="AE71" s="71">
        <f t="shared" si="161"/>
        <v>0</v>
      </c>
      <c r="AF71" s="71">
        <f t="shared" si="164"/>
        <v>483.44996756756757</v>
      </c>
      <c r="AG71" s="84"/>
      <c r="AH71" s="84"/>
      <c r="AI71" s="84"/>
      <c r="AJ71" s="84"/>
      <c r="AK71" s="84"/>
      <c r="AL71" s="84"/>
      <c r="AM71" s="84"/>
      <c r="AN71" s="84"/>
      <c r="AO71" s="84"/>
      <c r="AP71" s="84"/>
      <c r="AQ71" s="84"/>
      <c r="AR71" s="64"/>
      <c r="AS71" s="83" t="e">
        <f t="shared" si="150"/>
        <v>#DIV/0!</v>
      </c>
      <c r="AT71" t="e">
        <f t="shared" si="173"/>
        <v>#DIV/0!</v>
      </c>
      <c r="AU71" t="e">
        <f t="shared" si="175"/>
        <v>#DIV/0!</v>
      </c>
      <c r="AV71">
        <f t="shared" si="174"/>
        <v>0</v>
      </c>
    </row>
    <row r="72" spans="1:48" ht="15" customHeight="1" thickBot="1" x14ac:dyDescent="0.3">
      <c r="A72" s="100" t="s">
        <v>416</v>
      </c>
      <c r="B72" s="100" t="s">
        <v>202</v>
      </c>
      <c r="C72" s="72" t="str">
        <f t="shared" si="172"/>
        <v>25-01-2024 14:30</v>
      </c>
      <c r="D72" s="82">
        <v>25</v>
      </c>
      <c r="E72" s="84"/>
      <c r="F72" s="84"/>
      <c r="G72" s="84"/>
      <c r="H72" s="84"/>
      <c r="I72" s="84">
        <f t="shared" si="165"/>
        <v>0</v>
      </c>
      <c r="J72" s="84">
        <f t="shared" si="166"/>
        <v>0</v>
      </c>
      <c r="K72" s="84" t="e">
        <f t="shared" si="167"/>
        <v>#DIV/0!</v>
      </c>
      <c r="L72" s="84">
        <f t="shared" si="168"/>
        <v>0</v>
      </c>
      <c r="M72" s="84" t="e">
        <f t="shared" si="169"/>
        <v>#DIV/0!</v>
      </c>
      <c r="N72" s="84">
        <f t="shared" si="170"/>
        <v>0</v>
      </c>
      <c r="O72" s="84" t="e">
        <f t="shared" si="171"/>
        <v>#DIV/0!</v>
      </c>
      <c r="P72" s="71" t="e">
        <f t="shared" si="163"/>
        <v>#DIV/0!</v>
      </c>
      <c r="Q72" s="84">
        <v>7.54</v>
      </c>
      <c r="R72" s="84"/>
      <c r="S72" s="84"/>
      <c r="T72" s="84"/>
      <c r="U72" s="84"/>
      <c r="V72" s="84"/>
      <c r="W72" s="84"/>
      <c r="X72" s="84">
        <v>393.29899999999998</v>
      </c>
      <c r="Y72" s="84" t="s">
        <v>393</v>
      </c>
      <c r="Z72" s="84">
        <v>11.609</v>
      </c>
      <c r="AA72" s="84">
        <v>0</v>
      </c>
      <c r="AB72" s="71">
        <f t="shared" si="158"/>
        <v>419.51893333333334</v>
      </c>
      <c r="AC72" s="71">
        <f t="shared" si="159"/>
        <v>7.5675675675675675</v>
      </c>
      <c r="AD72" s="71">
        <f t="shared" si="160"/>
        <v>21.107272727272729</v>
      </c>
      <c r="AE72" s="71">
        <f t="shared" si="161"/>
        <v>0</v>
      </c>
      <c r="AF72" s="71">
        <f t="shared" si="164"/>
        <v>448.19377362817363</v>
      </c>
      <c r="AG72" s="84"/>
      <c r="AH72" s="84"/>
      <c r="AI72" s="84"/>
      <c r="AJ72" s="84"/>
      <c r="AK72" s="84"/>
      <c r="AL72" s="84"/>
      <c r="AM72" s="84"/>
      <c r="AN72" s="84"/>
      <c r="AO72" s="84"/>
      <c r="AP72" s="84"/>
      <c r="AQ72" s="84"/>
      <c r="AR72" s="64"/>
      <c r="AS72" s="83" t="e">
        <f t="shared" si="150"/>
        <v>#DIV/0!</v>
      </c>
      <c r="AT72" t="e">
        <f t="shared" si="173"/>
        <v>#DIV/0!</v>
      </c>
      <c r="AU72" t="e">
        <f t="shared" si="175"/>
        <v>#DIV/0!</v>
      </c>
      <c r="AV72">
        <f t="shared" si="174"/>
        <v>0</v>
      </c>
    </row>
    <row r="73" spans="1:48" ht="15" customHeight="1" thickBot="1" x14ac:dyDescent="0.3">
      <c r="A73" s="100" t="s">
        <v>416</v>
      </c>
      <c r="B73" s="100" t="s">
        <v>417</v>
      </c>
      <c r="C73" s="72" t="str">
        <f t="shared" si="172"/>
        <v>25-01-2024 17:30</v>
      </c>
      <c r="D73" s="82">
        <v>25</v>
      </c>
      <c r="E73" s="84"/>
      <c r="F73" s="84"/>
      <c r="G73" s="84"/>
      <c r="H73" s="84"/>
      <c r="I73" s="84">
        <f t="shared" si="165"/>
        <v>0</v>
      </c>
      <c r="J73" s="84">
        <f t="shared" si="166"/>
        <v>0</v>
      </c>
      <c r="K73" s="84" t="e">
        <f t="shared" si="167"/>
        <v>#DIV/0!</v>
      </c>
      <c r="L73" s="84">
        <f t="shared" si="168"/>
        <v>0</v>
      </c>
      <c r="M73" s="84" t="e">
        <f t="shared" si="169"/>
        <v>#DIV/0!</v>
      </c>
      <c r="N73" s="84">
        <f t="shared" si="170"/>
        <v>0</v>
      </c>
      <c r="O73" s="84" t="e">
        <f t="shared" si="171"/>
        <v>#DIV/0!</v>
      </c>
      <c r="P73" s="71" t="e">
        <f t="shared" si="163"/>
        <v>#DIV/0!</v>
      </c>
      <c r="Q73" s="84">
        <v>7.54</v>
      </c>
      <c r="R73" s="84"/>
      <c r="S73" s="84"/>
      <c r="T73" s="84"/>
      <c r="U73" s="84"/>
      <c r="V73" s="84"/>
      <c r="W73" s="84"/>
      <c r="X73" s="84">
        <v>383.88</v>
      </c>
      <c r="Y73" s="84" t="s">
        <v>393</v>
      </c>
      <c r="Z73" s="84">
        <v>10.935</v>
      </c>
      <c r="AA73" s="84">
        <v>0</v>
      </c>
      <c r="AB73" s="71">
        <f t="shared" si="158"/>
        <v>409.47199999999998</v>
      </c>
      <c r="AC73" s="71">
        <f t="shared" si="159"/>
        <v>7.5675675675675675</v>
      </c>
      <c r="AD73" s="71">
        <f t="shared" si="160"/>
        <v>19.881818181818183</v>
      </c>
      <c r="AE73" s="71">
        <f t="shared" si="161"/>
        <v>0</v>
      </c>
      <c r="AF73" s="71">
        <f t="shared" si="164"/>
        <v>436.92138574938571</v>
      </c>
      <c r="AG73" s="84"/>
      <c r="AH73" s="84"/>
      <c r="AI73" s="84"/>
      <c r="AJ73" s="84"/>
      <c r="AK73" s="84"/>
      <c r="AL73" s="84"/>
      <c r="AM73" s="84"/>
      <c r="AN73" s="84"/>
      <c r="AO73" s="84"/>
      <c r="AP73" s="84"/>
      <c r="AQ73" s="84"/>
      <c r="AR73" s="64"/>
      <c r="AS73" s="83" t="e">
        <f t="shared" si="150"/>
        <v>#DIV/0!</v>
      </c>
      <c r="AT73" t="e">
        <f t="shared" si="173"/>
        <v>#DIV/0!</v>
      </c>
      <c r="AU73" t="e">
        <f t="shared" si="175"/>
        <v>#DIV/0!</v>
      </c>
      <c r="AV73">
        <f t="shared" si="174"/>
        <v>0</v>
      </c>
    </row>
    <row r="74" spans="1:48" ht="15" customHeight="1" thickBot="1" x14ac:dyDescent="0.3">
      <c r="A74" s="100" t="s">
        <v>218</v>
      </c>
      <c r="B74" s="100" t="s">
        <v>294</v>
      </c>
      <c r="C74" s="72" t="str">
        <f t="shared" si="172"/>
        <v>26-01-2024 11:40</v>
      </c>
      <c r="D74" s="82">
        <v>1110</v>
      </c>
      <c r="E74" s="84">
        <v>4.5618999999999996</v>
      </c>
      <c r="F74" s="84">
        <v>34.548099999999998</v>
      </c>
      <c r="G74" s="84">
        <v>5.7500999999999998</v>
      </c>
      <c r="H74" s="84">
        <v>4.7785000000000002</v>
      </c>
      <c r="I74" s="84">
        <f t="shared" si="165"/>
        <v>29.986199999999997</v>
      </c>
      <c r="J74" s="84">
        <f t="shared" si="166"/>
        <v>1.1882000000000001</v>
      </c>
      <c r="K74" s="84">
        <f t="shared" si="167"/>
        <v>39.624894117960935</v>
      </c>
      <c r="L74" s="84">
        <f t="shared" si="168"/>
        <v>0.21660000000000057</v>
      </c>
      <c r="M74" s="84">
        <f t="shared" si="169"/>
        <v>7.2233227284551091</v>
      </c>
      <c r="N74" s="84">
        <f t="shared" si="170"/>
        <v>0.97159999999999958</v>
      </c>
      <c r="O74" s="84">
        <f t="shared" si="171"/>
        <v>32.401571389505825</v>
      </c>
      <c r="P74" s="71">
        <f t="shared" si="163"/>
        <v>81.770745665712795</v>
      </c>
      <c r="Q74" s="84">
        <v>7.54</v>
      </c>
      <c r="R74" s="84">
        <f>5985*2</f>
        <v>11970</v>
      </c>
      <c r="S74" s="84">
        <v>0.28299999999999997</v>
      </c>
      <c r="T74" s="84">
        <v>2941</v>
      </c>
      <c r="U74" s="84">
        <f>13.2*100</f>
        <v>1320</v>
      </c>
      <c r="V74" s="84"/>
      <c r="W74" s="84">
        <f>243*50</f>
        <v>12150</v>
      </c>
      <c r="X74" s="84">
        <v>239.62799999999999</v>
      </c>
      <c r="Y74" s="84" t="s">
        <v>393</v>
      </c>
      <c r="Z74" s="84">
        <v>13.016999999999999</v>
      </c>
      <c r="AA74" s="84">
        <v>0</v>
      </c>
      <c r="AB74" s="71">
        <f t="shared" si="158"/>
        <v>255.60319999999999</v>
      </c>
      <c r="AC74" s="71">
        <f t="shared" si="159"/>
        <v>7.5675675675675675</v>
      </c>
      <c r="AD74" s="71">
        <f t="shared" si="160"/>
        <v>23.667272727272724</v>
      </c>
      <c r="AE74" s="71">
        <f t="shared" si="161"/>
        <v>0</v>
      </c>
      <c r="AF74" s="71">
        <f t="shared" si="164"/>
        <v>286.83804029484031</v>
      </c>
      <c r="AG74" s="84">
        <f>810*50</f>
        <v>40500</v>
      </c>
      <c r="AH74" s="84"/>
      <c r="AI74" s="84"/>
      <c r="AJ74" s="84"/>
      <c r="AK74" s="84"/>
      <c r="AL74" s="84"/>
      <c r="AM74" s="84"/>
      <c r="AN74" s="84"/>
      <c r="AO74" s="84"/>
      <c r="AP74" s="84"/>
      <c r="AQ74" s="84"/>
      <c r="AR74" s="64"/>
      <c r="AS74" s="83">
        <f t="shared" si="150"/>
        <v>0</v>
      </c>
      <c r="AT74">
        <f t="shared" si="173"/>
        <v>43.983632470936641</v>
      </c>
      <c r="AU74">
        <f t="shared" si="175"/>
        <v>35.965744242351469</v>
      </c>
      <c r="AV74">
        <f t="shared" si="174"/>
        <v>44.954999999999998</v>
      </c>
    </row>
    <row r="75" spans="1:48" ht="15" customHeight="1" thickBot="1" x14ac:dyDescent="0.3">
      <c r="A75" s="100" t="s">
        <v>218</v>
      </c>
      <c r="B75" s="100" t="s">
        <v>294</v>
      </c>
      <c r="C75" s="72" t="str">
        <f t="shared" si="172"/>
        <v>26-01-2024 11:40</v>
      </c>
      <c r="D75" s="82"/>
      <c r="E75" s="84">
        <v>4.6142000000000003</v>
      </c>
      <c r="F75" s="84">
        <v>36.402099999999997</v>
      </c>
      <c r="G75" s="84">
        <v>5.8715000000000002</v>
      </c>
      <c r="H75" s="84">
        <v>4.8480999999999996</v>
      </c>
      <c r="I75" s="84">
        <f t="shared" si="165"/>
        <v>31.787899999999997</v>
      </c>
      <c r="J75" s="84">
        <f t="shared" si="166"/>
        <v>1.2572999999999999</v>
      </c>
      <c r="K75" s="84">
        <f t="shared" si="167"/>
        <v>39.552785808436546</v>
      </c>
      <c r="L75" s="84">
        <f t="shared" si="168"/>
        <v>0.23389999999999933</v>
      </c>
      <c r="M75" s="84">
        <f t="shared" si="169"/>
        <v>7.3581457095309641</v>
      </c>
      <c r="N75" s="84">
        <f t="shared" si="170"/>
        <v>1.0234000000000005</v>
      </c>
      <c r="O75" s="84">
        <f t="shared" si="171"/>
        <v>32.19464009890558</v>
      </c>
      <c r="P75" s="71">
        <f t="shared" si="163"/>
        <v>81.396643601368055</v>
      </c>
      <c r="Q75" s="84"/>
      <c r="R75" s="84"/>
      <c r="S75" s="84"/>
      <c r="T75" s="84"/>
      <c r="U75" s="84"/>
      <c r="V75" s="84"/>
      <c r="W75" s="84"/>
      <c r="X75" s="84"/>
      <c r="Y75" s="84"/>
      <c r="Z75" s="84"/>
      <c r="AA75" s="84"/>
      <c r="AB75" s="71"/>
      <c r="AC75" s="71"/>
      <c r="AD75" s="71"/>
      <c r="AE75" s="71"/>
      <c r="AF75" s="71"/>
      <c r="AG75" s="84"/>
      <c r="AH75" s="84"/>
      <c r="AI75" s="84"/>
      <c r="AJ75" s="84"/>
      <c r="AK75" s="84"/>
      <c r="AL75" s="84"/>
      <c r="AM75" s="84"/>
      <c r="AN75" s="84"/>
      <c r="AO75" s="84"/>
      <c r="AP75" s="84"/>
      <c r="AQ75" s="84"/>
      <c r="AR75" s="64"/>
      <c r="AS75" s="83" t="e">
        <f t="shared" si="150"/>
        <v>#DIV/0!</v>
      </c>
      <c r="AT75">
        <f t="shared" si="173"/>
        <v>0</v>
      </c>
      <c r="AU75">
        <f t="shared" si="175"/>
        <v>0</v>
      </c>
      <c r="AV75">
        <f t="shared" si="174"/>
        <v>0</v>
      </c>
    </row>
    <row r="76" spans="1:48" ht="15" customHeight="1" thickBot="1" x14ac:dyDescent="0.3">
      <c r="A76" s="100" t="s">
        <v>220</v>
      </c>
      <c r="B76" s="100" t="s">
        <v>185</v>
      </c>
      <c r="C76" s="72" t="str">
        <f t="shared" si="172"/>
        <v>29-01-2024 10:30</v>
      </c>
      <c r="D76" s="82">
        <v>740</v>
      </c>
      <c r="E76" s="84"/>
      <c r="F76" s="84"/>
      <c r="G76" s="84"/>
      <c r="H76" s="84"/>
      <c r="I76" s="84">
        <f t="shared" si="165"/>
        <v>0</v>
      </c>
      <c r="J76" s="84">
        <f t="shared" si="166"/>
        <v>0</v>
      </c>
      <c r="K76" s="84" t="e">
        <f t="shared" si="167"/>
        <v>#DIV/0!</v>
      </c>
      <c r="L76" s="84">
        <f t="shared" si="168"/>
        <v>0</v>
      </c>
      <c r="M76" s="84" t="e">
        <f t="shared" si="169"/>
        <v>#DIV/0!</v>
      </c>
      <c r="N76" s="84">
        <f t="shared" si="170"/>
        <v>0</v>
      </c>
      <c r="O76" s="84" t="e">
        <f t="shared" si="171"/>
        <v>#DIV/0!</v>
      </c>
      <c r="P76" s="71" t="e">
        <f t="shared" si="163"/>
        <v>#DIV/0!</v>
      </c>
      <c r="Q76" s="84">
        <v>7.51</v>
      </c>
      <c r="R76" s="84"/>
      <c r="S76" s="84"/>
      <c r="T76" s="84"/>
      <c r="U76" s="84"/>
      <c r="V76" s="84"/>
      <c r="W76" s="84"/>
      <c r="X76" s="84">
        <v>192.149</v>
      </c>
      <c r="Y76" s="84" t="s">
        <v>393</v>
      </c>
      <c r="Z76" s="84">
        <v>10.731</v>
      </c>
      <c r="AA76" s="84">
        <v>0</v>
      </c>
      <c r="AB76" s="71">
        <f t="shared" ref="AB76:AB77" si="176">IF(X76="&lt; 10 ppm",5*64/60,X76*64/60)</f>
        <v>204.95893333333333</v>
      </c>
      <c r="AC76" s="71">
        <f t="shared" ref="AC76:AC77" si="177">IF(Y76="&lt; 10 ppm",5*112/74,Y76*112/74)</f>
        <v>7.5675675675675675</v>
      </c>
      <c r="AD76" s="71">
        <f t="shared" ref="AD76:AD77" si="178">IF(Z76="&lt; 10 ppm",5*160/88,Z76*160/88)</f>
        <v>19.510909090909092</v>
      </c>
      <c r="AE76" s="71">
        <f t="shared" ref="AE76:AE77" si="179">IF(AA76="&lt; 10 ppm",5*208/102,AA76*208/102)</f>
        <v>0</v>
      </c>
      <c r="AF76" s="71">
        <f t="shared" ref="AF76:AF77" si="180">SUM(AB76:AE76)</f>
        <v>232.03740999180999</v>
      </c>
      <c r="AG76" s="84"/>
      <c r="AH76" s="84"/>
      <c r="AI76" s="84"/>
      <c r="AJ76" s="84"/>
      <c r="AK76" s="84"/>
      <c r="AL76" s="84"/>
      <c r="AM76" s="84"/>
      <c r="AN76" s="84"/>
      <c r="AO76" s="84"/>
      <c r="AP76" s="84"/>
      <c r="AQ76" s="84"/>
      <c r="AR76" s="64"/>
      <c r="AS76" s="83" t="e">
        <f t="shared" si="150"/>
        <v>#DIV/0!</v>
      </c>
      <c r="AT76" t="e">
        <f t="shared" si="173"/>
        <v>#DIV/0!</v>
      </c>
      <c r="AU76" t="e">
        <f t="shared" si="175"/>
        <v>#DIV/0!</v>
      </c>
      <c r="AV76">
        <f t="shared" si="174"/>
        <v>0</v>
      </c>
    </row>
    <row r="77" spans="1:48" ht="15" customHeight="1" thickBot="1" x14ac:dyDescent="0.3">
      <c r="A77" s="100" t="s">
        <v>221</v>
      </c>
      <c r="B77" s="100" t="s">
        <v>185</v>
      </c>
      <c r="C77" s="72" t="str">
        <f t="shared" si="172"/>
        <v>31-01-2024 10:30</v>
      </c>
      <c r="D77" s="82">
        <v>550</v>
      </c>
      <c r="E77" s="84">
        <v>4.6025</v>
      </c>
      <c r="F77" s="84">
        <v>21.249400000000001</v>
      </c>
      <c r="G77" s="84">
        <v>5.2914000000000003</v>
      </c>
      <c r="H77" s="84">
        <v>4.6631</v>
      </c>
      <c r="I77" s="84">
        <f t="shared" ref="I77" si="181">F77-E77</f>
        <v>16.646900000000002</v>
      </c>
      <c r="J77" s="84">
        <f t="shared" ref="J77" si="182">G77-E77</f>
        <v>0.68890000000000029</v>
      </c>
      <c r="K77" s="84">
        <f t="shared" ref="K77" si="183">1000*J77/I77</f>
        <v>41.383080333275281</v>
      </c>
      <c r="L77" s="84">
        <f t="shared" ref="L77" si="184">H77-E77</f>
        <v>6.0599999999999987E-2</v>
      </c>
      <c r="M77" s="84">
        <f t="shared" ref="M77" si="185">1000*L77/I77</f>
        <v>3.6403174164559156</v>
      </c>
      <c r="N77" s="84">
        <f t="shared" ref="N77" si="186">J77-L77</f>
        <v>0.6283000000000003</v>
      </c>
      <c r="O77" s="84">
        <f t="shared" ref="O77" si="187">1000*N77/I77</f>
        <v>37.742762916819359</v>
      </c>
      <c r="P77" s="71">
        <f t="shared" si="163"/>
        <v>91.203367687617941</v>
      </c>
      <c r="Q77" s="84">
        <v>7.53</v>
      </c>
      <c r="R77" s="84"/>
      <c r="S77" s="84">
        <v>0.316</v>
      </c>
      <c r="T77" s="84">
        <v>3418</v>
      </c>
      <c r="U77" s="84">
        <f>50*22.2</f>
        <v>1110</v>
      </c>
      <c r="V77" s="84"/>
      <c r="W77" s="84">
        <f>296*50</f>
        <v>14800</v>
      </c>
      <c r="X77" s="84">
        <v>216.12200000000001</v>
      </c>
      <c r="Y77" s="84" t="s">
        <v>393</v>
      </c>
      <c r="Z77" s="84" t="s">
        <v>393</v>
      </c>
      <c r="AA77" s="84">
        <v>0</v>
      </c>
      <c r="AB77" s="71">
        <f t="shared" si="176"/>
        <v>230.53013333333334</v>
      </c>
      <c r="AC77" s="71">
        <f t="shared" si="177"/>
        <v>7.5675675675675675</v>
      </c>
      <c r="AD77" s="71">
        <f t="shared" si="178"/>
        <v>9.0909090909090917</v>
      </c>
      <c r="AE77" s="71">
        <f t="shared" si="179"/>
        <v>0</v>
      </c>
      <c r="AF77" s="71">
        <f t="shared" si="180"/>
        <v>247.18860999181001</v>
      </c>
      <c r="AG77" s="84">
        <f>718*50</f>
        <v>35900</v>
      </c>
      <c r="AH77" s="84"/>
      <c r="AI77" s="84"/>
      <c r="AJ77" s="84"/>
      <c r="AK77" s="84"/>
      <c r="AL77" s="84"/>
      <c r="AM77" s="84"/>
      <c r="AN77" s="84"/>
      <c r="AO77" s="84"/>
      <c r="AP77" s="84"/>
      <c r="AQ77" s="84"/>
      <c r="AR77" t="s">
        <v>418</v>
      </c>
      <c r="AS77" s="83">
        <f t="shared" si="150"/>
        <v>0</v>
      </c>
      <c r="AT77">
        <f t="shared" si="173"/>
        <v>22.760694183301407</v>
      </c>
      <c r="AU77">
        <f t="shared" si="175"/>
        <v>20.758519604250651</v>
      </c>
      <c r="AV77">
        <f t="shared" si="174"/>
        <v>19.745000000000001</v>
      </c>
    </row>
    <row r="78" spans="1:48" ht="15" customHeight="1" thickBot="1" x14ac:dyDescent="0.3">
      <c r="A78" s="100" t="s">
        <v>222</v>
      </c>
      <c r="B78" s="100" t="s">
        <v>156</v>
      </c>
      <c r="C78" s="72" t="str">
        <f t="shared" si="172"/>
        <v>02-02-2024 10:00</v>
      </c>
      <c r="D78" s="82">
        <v>1027</v>
      </c>
      <c r="E78" s="84"/>
      <c r="F78" s="84"/>
      <c r="G78" s="84"/>
      <c r="H78" s="84"/>
      <c r="I78" s="84">
        <f t="shared" ref="I78:I85" si="188">F78-E78</f>
        <v>0</v>
      </c>
      <c r="J78" s="84">
        <f t="shared" ref="J78:J85" si="189">G78-E78</f>
        <v>0</v>
      </c>
      <c r="K78" s="84" t="e">
        <f t="shared" ref="K78:K85" si="190">1000*J78/I78</f>
        <v>#DIV/0!</v>
      </c>
      <c r="L78" s="84">
        <f t="shared" ref="L78:L85" si="191">H78-E78</f>
        <v>0</v>
      </c>
      <c r="M78" s="84" t="e">
        <f t="shared" ref="M78:M85" si="192">1000*L78/I78</f>
        <v>#DIV/0!</v>
      </c>
      <c r="N78" s="84">
        <f t="shared" ref="N78:N85" si="193">J78-L78</f>
        <v>0</v>
      </c>
      <c r="O78" s="84" t="e">
        <f t="shared" ref="O78:O85" si="194">1000*N78/I78</f>
        <v>#DIV/0!</v>
      </c>
      <c r="P78" s="71" t="e">
        <f t="shared" si="163"/>
        <v>#DIV/0!</v>
      </c>
      <c r="Q78" s="84">
        <v>7.45</v>
      </c>
      <c r="R78" s="84"/>
      <c r="S78" s="84"/>
      <c r="T78" s="84"/>
      <c r="U78" s="84"/>
      <c r="V78" s="84"/>
      <c r="W78" s="84"/>
      <c r="X78" s="84">
        <v>232.97800000000001</v>
      </c>
      <c r="Y78" s="84" t="s">
        <v>393</v>
      </c>
      <c r="Z78" s="84" t="s">
        <v>393</v>
      </c>
      <c r="AA78" s="84">
        <v>0</v>
      </c>
      <c r="AB78" s="71">
        <f t="shared" ref="AB78:AB82" si="195">IF(X78="&lt; 10 ppm",5*64/60,X78*64/60)</f>
        <v>248.50986666666668</v>
      </c>
      <c r="AC78" s="71">
        <f t="shared" ref="AC78:AC82" si="196">IF(Y78="&lt; 10 ppm",5*112/74,Y78*112/74)</f>
        <v>7.5675675675675675</v>
      </c>
      <c r="AD78" s="71">
        <f t="shared" ref="AD78:AD82" si="197">IF(Z78="&lt; 10 ppm",5*160/88,Z78*160/88)</f>
        <v>9.0909090909090917</v>
      </c>
      <c r="AE78" s="71">
        <f t="shared" ref="AE78:AE82" si="198">IF(AA78="&lt; 10 ppm",5*208/102,AA78*208/102)</f>
        <v>0</v>
      </c>
      <c r="AF78" s="71">
        <f t="shared" ref="AF78:AF82" si="199">SUM(AB78:AE78)</f>
        <v>265.16834332514333</v>
      </c>
      <c r="AG78" s="84"/>
      <c r="AH78" s="84"/>
      <c r="AI78" s="84"/>
      <c r="AJ78" s="84"/>
      <c r="AK78" s="84"/>
      <c r="AL78" s="84"/>
      <c r="AM78" s="84"/>
      <c r="AN78" s="84"/>
      <c r="AO78" s="84"/>
      <c r="AP78" s="84"/>
      <c r="AQ78" s="84"/>
      <c r="AS78" s="83" t="e">
        <f t="shared" si="150"/>
        <v>#DIV/0!</v>
      </c>
      <c r="AT78" t="e">
        <f t="shared" si="173"/>
        <v>#DIV/0!</v>
      </c>
      <c r="AU78" t="e">
        <f t="shared" si="175"/>
        <v>#DIV/0!</v>
      </c>
      <c r="AV78">
        <f t="shared" si="174"/>
        <v>0</v>
      </c>
    </row>
    <row r="79" spans="1:48" ht="15" customHeight="1" thickBot="1" x14ac:dyDescent="0.3">
      <c r="A79" s="100" t="s">
        <v>224</v>
      </c>
      <c r="B79" s="100" t="s">
        <v>230</v>
      </c>
      <c r="C79" s="72" t="str">
        <f t="shared" si="172"/>
        <v>05-02-2024 11:45</v>
      </c>
      <c r="D79" s="82">
        <v>1169</v>
      </c>
      <c r="E79" s="84"/>
      <c r="F79" s="84"/>
      <c r="G79" s="84"/>
      <c r="H79" s="84"/>
      <c r="I79" s="84">
        <f t="shared" si="188"/>
        <v>0</v>
      </c>
      <c r="J79" s="84">
        <f t="shared" si="189"/>
        <v>0</v>
      </c>
      <c r="K79" s="84" t="e">
        <f t="shared" si="190"/>
        <v>#DIV/0!</v>
      </c>
      <c r="L79" s="84">
        <f t="shared" si="191"/>
        <v>0</v>
      </c>
      <c r="M79" s="84" t="e">
        <f t="shared" si="192"/>
        <v>#DIV/0!</v>
      </c>
      <c r="N79" s="84">
        <f t="shared" si="193"/>
        <v>0</v>
      </c>
      <c r="O79" s="84" t="e">
        <f t="shared" si="194"/>
        <v>#DIV/0!</v>
      </c>
      <c r="P79" s="71" t="e">
        <f t="shared" si="163"/>
        <v>#DIV/0!</v>
      </c>
      <c r="Q79" s="84">
        <v>7.44</v>
      </c>
      <c r="R79" s="84"/>
      <c r="S79" s="84"/>
      <c r="T79" s="84"/>
      <c r="U79" s="84"/>
      <c r="V79" s="84"/>
      <c r="W79" s="84"/>
      <c r="X79" s="84">
        <v>432.13799999999998</v>
      </c>
      <c r="Y79" s="84" t="s">
        <v>393</v>
      </c>
      <c r="Z79" s="84">
        <v>10.836</v>
      </c>
      <c r="AA79" s="84">
        <v>0</v>
      </c>
      <c r="AB79" s="71">
        <f t="shared" si="195"/>
        <v>460.94719999999995</v>
      </c>
      <c r="AC79" s="71">
        <f t="shared" si="196"/>
        <v>7.5675675675675675</v>
      </c>
      <c r="AD79" s="71">
        <f t="shared" si="197"/>
        <v>19.701818181818183</v>
      </c>
      <c r="AE79" s="71">
        <f t="shared" si="198"/>
        <v>0</v>
      </c>
      <c r="AF79" s="71">
        <f t="shared" si="199"/>
        <v>488.21658574938567</v>
      </c>
      <c r="AG79" s="84"/>
      <c r="AH79" s="84"/>
      <c r="AI79" s="84"/>
      <c r="AJ79" s="84"/>
      <c r="AK79" s="84"/>
      <c r="AL79" s="84"/>
      <c r="AM79" s="84"/>
      <c r="AN79" s="84"/>
      <c r="AO79" s="84"/>
      <c r="AP79" s="84"/>
      <c r="AQ79" s="84"/>
      <c r="AS79" s="83" t="e">
        <f t="shared" si="150"/>
        <v>#DIV/0!</v>
      </c>
      <c r="AT79" t="e">
        <f t="shared" si="173"/>
        <v>#DIV/0!</v>
      </c>
      <c r="AU79" t="e">
        <f t="shared" si="175"/>
        <v>#DIV/0!</v>
      </c>
      <c r="AV79">
        <f t="shared" si="174"/>
        <v>0</v>
      </c>
    </row>
    <row r="80" spans="1:48" ht="15" customHeight="1" thickBot="1" x14ac:dyDescent="0.3">
      <c r="A80" s="100" t="s">
        <v>224</v>
      </c>
      <c r="B80" s="100" t="s">
        <v>193</v>
      </c>
      <c r="C80" s="72" t="str">
        <f t="shared" si="172"/>
        <v>05-02-2024 13:40</v>
      </c>
      <c r="D80" s="82">
        <v>25</v>
      </c>
      <c r="E80" s="84"/>
      <c r="F80" s="84"/>
      <c r="G80" s="84"/>
      <c r="H80" s="84"/>
      <c r="I80" s="84">
        <f t="shared" si="188"/>
        <v>0</v>
      </c>
      <c r="J80" s="84">
        <f t="shared" si="189"/>
        <v>0</v>
      </c>
      <c r="K80" s="84" t="e">
        <f t="shared" si="190"/>
        <v>#DIV/0!</v>
      </c>
      <c r="L80" s="84">
        <f t="shared" si="191"/>
        <v>0</v>
      </c>
      <c r="M80" s="84" t="e">
        <f t="shared" si="192"/>
        <v>#DIV/0!</v>
      </c>
      <c r="N80" s="84">
        <f t="shared" si="193"/>
        <v>0</v>
      </c>
      <c r="O80" s="84" t="e">
        <f t="shared" si="194"/>
        <v>#DIV/0!</v>
      </c>
      <c r="P80" s="71" t="e">
        <f t="shared" si="163"/>
        <v>#DIV/0!</v>
      </c>
      <c r="Q80" s="84">
        <v>7.49</v>
      </c>
      <c r="R80" s="84"/>
      <c r="S80" s="84"/>
      <c r="T80" s="84"/>
      <c r="U80" s="84"/>
      <c r="V80" s="84"/>
      <c r="W80" s="84"/>
      <c r="X80" s="84">
        <v>671.96</v>
      </c>
      <c r="Y80" s="84">
        <v>82.043999999999997</v>
      </c>
      <c r="Z80" s="84">
        <v>14.161</v>
      </c>
      <c r="AA80" s="84" t="s">
        <v>393</v>
      </c>
      <c r="AB80" s="71">
        <f t="shared" si="195"/>
        <v>716.75733333333335</v>
      </c>
      <c r="AC80" s="71">
        <f t="shared" si="196"/>
        <v>124.1747027027027</v>
      </c>
      <c r="AD80" s="71">
        <f t="shared" si="197"/>
        <v>25.747272727272726</v>
      </c>
      <c r="AE80" s="71">
        <f t="shared" si="198"/>
        <v>10.196078431372548</v>
      </c>
      <c r="AF80" s="71">
        <f t="shared" si="199"/>
        <v>876.87538719468137</v>
      </c>
      <c r="AG80" s="84"/>
      <c r="AH80" s="84"/>
      <c r="AI80" s="84"/>
      <c r="AJ80" s="84"/>
      <c r="AK80" s="84"/>
      <c r="AL80" s="84"/>
      <c r="AM80" s="84"/>
      <c r="AN80" s="84"/>
      <c r="AO80" s="84"/>
      <c r="AP80" s="84"/>
      <c r="AQ80" s="84"/>
      <c r="AS80" s="83" t="e">
        <f t="shared" si="150"/>
        <v>#DIV/0!</v>
      </c>
      <c r="AT80" t="e">
        <f t="shared" si="173"/>
        <v>#DIV/0!</v>
      </c>
      <c r="AU80" t="e">
        <f t="shared" si="175"/>
        <v>#DIV/0!</v>
      </c>
      <c r="AV80">
        <f t="shared" si="174"/>
        <v>0</v>
      </c>
    </row>
    <row r="81" spans="1:48" ht="15" customHeight="1" thickBot="1" x14ac:dyDescent="0.3">
      <c r="A81" s="100" t="s">
        <v>224</v>
      </c>
      <c r="B81" s="100" t="s">
        <v>163</v>
      </c>
      <c r="C81" s="72" t="str">
        <f t="shared" si="172"/>
        <v>05-02-2024 17:00</v>
      </c>
      <c r="D81" s="82">
        <v>25</v>
      </c>
      <c r="E81" s="84"/>
      <c r="F81" s="84"/>
      <c r="G81" s="84"/>
      <c r="H81" s="84"/>
      <c r="I81" s="84">
        <f t="shared" si="188"/>
        <v>0</v>
      </c>
      <c r="J81" s="84">
        <f t="shared" si="189"/>
        <v>0</v>
      </c>
      <c r="K81" s="84" t="e">
        <f t="shared" si="190"/>
        <v>#DIV/0!</v>
      </c>
      <c r="L81" s="84">
        <f t="shared" si="191"/>
        <v>0</v>
      </c>
      <c r="M81" s="84" t="e">
        <f t="shared" si="192"/>
        <v>#DIV/0!</v>
      </c>
      <c r="N81" s="84">
        <f t="shared" si="193"/>
        <v>0</v>
      </c>
      <c r="O81" s="84" t="e">
        <f t="shared" si="194"/>
        <v>#DIV/0!</v>
      </c>
      <c r="P81" s="71" t="e">
        <f t="shared" si="163"/>
        <v>#DIV/0!</v>
      </c>
      <c r="Q81" s="84">
        <v>7.46</v>
      </c>
      <c r="R81" s="84"/>
      <c r="S81" s="84"/>
      <c r="T81" s="84"/>
      <c r="U81" s="84"/>
      <c r="V81" s="84"/>
      <c r="W81" s="84"/>
      <c r="X81" s="84">
        <v>611.94600000000003</v>
      </c>
      <c r="Y81" s="84">
        <v>59.183999999999997</v>
      </c>
      <c r="Z81" s="84">
        <v>14.983000000000001</v>
      </c>
      <c r="AA81" s="84" t="s">
        <v>393</v>
      </c>
      <c r="AB81" s="71">
        <f t="shared" si="195"/>
        <v>652.74239999999998</v>
      </c>
      <c r="AC81" s="71">
        <f t="shared" si="196"/>
        <v>89.575783783783791</v>
      </c>
      <c r="AD81" s="71">
        <f t="shared" si="197"/>
        <v>27.241818181818186</v>
      </c>
      <c r="AE81" s="71">
        <f t="shared" si="198"/>
        <v>10.196078431372548</v>
      </c>
      <c r="AF81" s="71">
        <f t="shared" si="199"/>
        <v>779.75608039697454</v>
      </c>
      <c r="AG81" s="84"/>
      <c r="AH81" s="84"/>
      <c r="AI81" s="84"/>
      <c r="AJ81" s="84"/>
      <c r="AK81" s="84"/>
      <c r="AL81" s="84"/>
      <c r="AM81" s="84"/>
      <c r="AN81" s="84"/>
      <c r="AO81" s="84"/>
      <c r="AP81" s="84"/>
      <c r="AQ81" s="84"/>
      <c r="AS81" s="83" t="e">
        <f t="shared" si="150"/>
        <v>#DIV/0!</v>
      </c>
      <c r="AT81" t="e">
        <f t="shared" si="173"/>
        <v>#DIV/0!</v>
      </c>
      <c r="AU81" t="e">
        <f t="shared" si="175"/>
        <v>#DIV/0!</v>
      </c>
      <c r="AV81">
        <f t="shared" si="174"/>
        <v>0</v>
      </c>
    </row>
    <row r="82" spans="1:48" ht="15" customHeight="1" thickBot="1" x14ac:dyDescent="0.3">
      <c r="A82" s="100" t="s">
        <v>419</v>
      </c>
      <c r="B82" s="100" t="s">
        <v>156</v>
      </c>
      <c r="C82" s="72" t="str">
        <f t="shared" si="172"/>
        <v>06-02-2024 10:00</v>
      </c>
      <c r="D82" s="82">
        <v>25</v>
      </c>
      <c r="E82" s="84"/>
      <c r="F82" s="84"/>
      <c r="G82" s="84"/>
      <c r="H82" s="84"/>
      <c r="I82" s="84">
        <f t="shared" si="188"/>
        <v>0</v>
      </c>
      <c r="J82" s="84">
        <f t="shared" si="189"/>
        <v>0</v>
      </c>
      <c r="K82" s="84" t="e">
        <f t="shared" si="190"/>
        <v>#DIV/0!</v>
      </c>
      <c r="L82" s="84">
        <f t="shared" si="191"/>
        <v>0</v>
      </c>
      <c r="M82" s="84" t="e">
        <f t="shared" si="192"/>
        <v>#DIV/0!</v>
      </c>
      <c r="N82" s="84">
        <f t="shared" si="193"/>
        <v>0</v>
      </c>
      <c r="O82" s="84" t="e">
        <f t="shared" si="194"/>
        <v>#DIV/0!</v>
      </c>
      <c r="P82" s="71" t="e">
        <f t="shared" si="163"/>
        <v>#DIV/0!</v>
      </c>
      <c r="Q82" s="84">
        <v>7.42</v>
      </c>
      <c r="R82" s="84"/>
      <c r="S82" s="84"/>
      <c r="T82" s="84"/>
      <c r="U82" s="84"/>
      <c r="V82" s="84"/>
      <c r="W82" s="84"/>
      <c r="X82" s="84">
        <v>985.24599999999998</v>
      </c>
      <c r="Y82" s="84">
        <v>30.375</v>
      </c>
      <c r="Z82" s="84">
        <v>0</v>
      </c>
      <c r="AA82" s="84">
        <v>0</v>
      </c>
      <c r="AB82" s="71">
        <f t="shared" si="195"/>
        <v>1050.9290666666666</v>
      </c>
      <c r="AC82" s="71">
        <f t="shared" si="196"/>
        <v>45.972972972972975</v>
      </c>
      <c r="AD82" s="71">
        <f t="shared" si="197"/>
        <v>0</v>
      </c>
      <c r="AE82" s="71">
        <f t="shared" si="198"/>
        <v>0</v>
      </c>
      <c r="AF82" s="71">
        <f t="shared" si="199"/>
        <v>1096.9020396396395</v>
      </c>
      <c r="AG82" s="84"/>
      <c r="AH82" s="84"/>
      <c r="AI82" s="84"/>
      <c r="AJ82" s="84"/>
      <c r="AK82" s="84"/>
      <c r="AL82" s="84"/>
      <c r="AM82" s="84"/>
      <c r="AN82" s="84"/>
      <c r="AO82" s="84"/>
      <c r="AP82" s="84"/>
      <c r="AQ82" s="84"/>
      <c r="AS82" s="83" t="e">
        <f t="shared" si="150"/>
        <v>#DIV/0!</v>
      </c>
      <c r="AT82" t="e">
        <f t="shared" si="173"/>
        <v>#DIV/0!</v>
      </c>
      <c r="AU82" t="e">
        <f t="shared" si="175"/>
        <v>#DIV/0!</v>
      </c>
      <c r="AV82">
        <f t="shared" si="174"/>
        <v>0</v>
      </c>
    </row>
    <row r="83" spans="1:48" ht="15" customHeight="1" thickBot="1" x14ac:dyDescent="0.3">
      <c r="A83" s="100" t="s">
        <v>419</v>
      </c>
      <c r="B83" s="100" t="s">
        <v>292</v>
      </c>
      <c r="C83" s="72" t="str">
        <f t="shared" si="172"/>
        <v>06-02-2024 14:00</v>
      </c>
      <c r="D83" s="82">
        <v>25</v>
      </c>
      <c r="E83" s="84"/>
      <c r="F83" s="84"/>
      <c r="G83" s="84"/>
      <c r="H83" s="84"/>
      <c r="I83" s="84">
        <f t="shared" si="188"/>
        <v>0</v>
      </c>
      <c r="J83" s="84">
        <f t="shared" si="189"/>
        <v>0</v>
      </c>
      <c r="K83" s="84" t="e">
        <f t="shared" si="190"/>
        <v>#DIV/0!</v>
      </c>
      <c r="L83" s="84">
        <f t="shared" si="191"/>
        <v>0</v>
      </c>
      <c r="M83" s="84" t="e">
        <f t="shared" si="192"/>
        <v>#DIV/0!</v>
      </c>
      <c r="N83" s="84">
        <f t="shared" si="193"/>
        <v>0</v>
      </c>
      <c r="O83" s="84" t="e">
        <f t="shared" si="194"/>
        <v>#DIV/0!</v>
      </c>
      <c r="P83" s="71" t="e">
        <f t="shared" si="163"/>
        <v>#DIV/0!</v>
      </c>
      <c r="Q83" s="84">
        <v>7.41</v>
      </c>
      <c r="R83" s="84"/>
      <c r="S83" s="84"/>
      <c r="T83" s="84"/>
      <c r="U83" s="84"/>
      <c r="V83" s="84"/>
      <c r="W83" s="84"/>
      <c r="X83" s="84">
        <v>804.78599999999994</v>
      </c>
      <c r="Y83" s="84">
        <v>23.446999999999999</v>
      </c>
      <c r="Z83" s="84" t="s">
        <v>393</v>
      </c>
      <c r="AA83" s="84">
        <v>0</v>
      </c>
      <c r="AB83" s="71">
        <f t="shared" ref="AB83:AB85" si="200">IF(X83="&lt; 10 ppm",5*64/60,X83*64/60)</f>
        <v>858.43839999999989</v>
      </c>
      <c r="AC83" s="71">
        <f t="shared" ref="AC83:AC85" si="201">IF(Y83="&lt; 10 ppm",5*112/74,Y83*112/74)</f>
        <v>35.48735135135135</v>
      </c>
      <c r="AD83" s="71">
        <f t="shared" ref="AD83:AD85" si="202">IF(Z83="&lt; 10 ppm",5*160/88,Z83*160/88)</f>
        <v>9.0909090909090917</v>
      </c>
      <c r="AE83" s="71">
        <f t="shared" ref="AE83:AE85" si="203">IF(AA83="&lt; 10 ppm",5*208/102,AA83*208/102)</f>
        <v>0</v>
      </c>
      <c r="AF83" s="71">
        <f t="shared" ref="AF83:AF85" si="204">SUM(AB83:AE83)</f>
        <v>903.01666044226033</v>
      </c>
      <c r="AG83" s="84"/>
      <c r="AH83" s="84"/>
      <c r="AI83" s="84"/>
      <c r="AJ83" s="84"/>
      <c r="AK83" s="84"/>
      <c r="AL83" s="84"/>
      <c r="AM83" s="84"/>
      <c r="AN83" s="84"/>
      <c r="AO83" s="84"/>
      <c r="AP83" s="84"/>
      <c r="AQ83" s="84"/>
      <c r="AS83" s="83" t="e">
        <f t="shared" si="150"/>
        <v>#DIV/0!</v>
      </c>
      <c r="AT83" t="e">
        <f t="shared" si="173"/>
        <v>#DIV/0!</v>
      </c>
      <c r="AU83" t="e">
        <f t="shared" si="175"/>
        <v>#DIV/0!</v>
      </c>
      <c r="AV83">
        <f t="shared" si="174"/>
        <v>0</v>
      </c>
    </row>
    <row r="84" spans="1:48" ht="15" customHeight="1" thickBot="1" x14ac:dyDescent="0.3">
      <c r="A84" s="100" t="s">
        <v>419</v>
      </c>
      <c r="B84" s="100" t="s">
        <v>163</v>
      </c>
      <c r="C84" s="72" t="str">
        <f t="shared" si="172"/>
        <v>06-02-2024 17:00</v>
      </c>
      <c r="D84" s="82">
        <v>25</v>
      </c>
      <c r="E84" s="84"/>
      <c r="F84" s="84"/>
      <c r="G84" s="84"/>
      <c r="H84" s="84"/>
      <c r="I84" s="84">
        <f t="shared" si="188"/>
        <v>0</v>
      </c>
      <c r="J84" s="84">
        <f t="shared" si="189"/>
        <v>0</v>
      </c>
      <c r="K84" s="84" t="e">
        <f t="shared" si="190"/>
        <v>#DIV/0!</v>
      </c>
      <c r="L84" s="84">
        <f t="shared" si="191"/>
        <v>0</v>
      </c>
      <c r="M84" s="84" t="e">
        <f t="shared" si="192"/>
        <v>#DIV/0!</v>
      </c>
      <c r="N84" s="84">
        <f t="shared" si="193"/>
        <v>0</v>
      </c>
      <c r="O84" s="84" t="e">
        <f t="shared" si="194"/>
        <v>#DIV/0!</v>
      </c>
      <c r="P84" s="71" t="e">
        <f t="shared" si="163"/>
        <v>#DIV/0!</v>
      </c>
      <c r="Q84" s="84">
        <v>7.44</v>
      </c>
      <c r="R84" s="84"/>
      <c r="S84" s="84"/>
      <c r="T84" s="84"/>
      <c r="U84" s="84"/>
      <c r="V84" s="84"/>
      <c r="W84" s="84"/>
      <c r="X84" s="84">
        <v>1013.326</v>
      </c>
      <c r="Y84" s="84">
        <v>0</v>
      </c>
      <c r="Z84" s="84">
        <v>21.032</v>
      </c>
      <c r="AA84" s="84">
        <v>0</v>
      </c>
      <c r="AB84" s="71">
        <f t="shared" si="200"/>
        <v>1080.8810666666666</v>
      </c>
      <c r="AC84" s="71">
        <f t="shared" si="201"/>
        <v>0</v>
      </c>
      <c r="AD84" s="71">
        <f t="shared" si="202"/>
        <v>38.24</v>
      </c>
      <c r="AE84" s="71">
        <f t="shared" si="203"/>
        <v>0</v>
      </c>
      <c r="AF84" s="71">
        <f t="shared" si="204"/>
        <v>1119.1210666666666</v>
      </c>
      <c r="AG84" s="84"/>
      <c r="AH84" s="84"/>
      <c r="AI84" s="84"/>
      <c r="AJ84" s="84"/>
      <c r="AK84" s="84"/>
      <c r="AL84" s="84"/>
      <c r="AM84" s="84"/>
      <c r="AN84" s="84"/>
      <c r="AO84" s="84"/>
      <c r="AP84" s="84"/>
      <c r="AQ84" s="84"/>
      <c r="AS84" s="83" t="e">
        <f t="shared" si="150"/>
        <v>#DIV/0!</v>
      </c>
      <c r="AT84" t="e">
        <f t="shared" si="173"/>
        <v>#DIV/0!</v>
      </c>
      <c r="AU84" t="e">
        <f t="shared" si="175"/>
        <v>#DIV/0!</v>
      </c>
      <c r="AV84">
        <f t="shared" si="174"/>
        <v>0</v>
      </c>
    </row>
    <row r="85" spans="1:48" ht="15" customHeight="1" thickBot="1" x14ac:dyDescent="0.3">
      <c r="A85" s="100" t="s">
        <v>226</v>
      </c>
      <c r="B85" s="100" t="s">
        <v>156</v>
      </c>
      <c r="C85" s="72" t="str">
        <f t="shared" si="172"/>
        <v>07-02-2024 10:00</v>
      </c>
      <c r="D85" s="82">
        <v>658</v>
      </c>
      <c r="E85" s="84">
        <v>4.6425999999999998</v>
      </c>
      <c r="F85" s="84">
        <v>20.0915</v>
      </c>
      <c r="G85" s="84">
        <v>5.3289999999999997</v>
      </c>
      <c r="H85" s="84">
        <v>4.6773999999999996</v>
      </c>
      <c r="I85" s="84">
        <f t="shared" si="188"/>
        <v>15.4489</v>
      </c>
      <c r="J85" s="84">
        <f t="shared" si="189"/>
        <v>0.6863999999999999</v>
      </c>
      <c r="K85" s="84">
        <f t="shared" si="190"/>
        <v>44.430347791752155</v>
      </c>
      <c r="L85" s="84">
        <f t="shared" si="191"/>
        <v>3.479999999999972E-2</v>
      </c>
      <c r="M85" s="84">
        <f t="shared" si="192"/>
        <v>2.2525875628685355</v>
      </c>
      <c r="N85" s="84">
        <f t="shared" si="193"/>
        <v>0.65160000000000018</v>
      </c>
      <c r="O85" s="84">
        <f t="shared" si="194"/>
        <v>42.177760228883621</v>
      </c>
      <c r="P85" s="71">
        <f t="shared" si="163"/>
        <v>94.930069930069962</v>
      </c>
      <c r="Q85" s="84">
        <v>7.5</v>
      </c>
      <c r="R85" s="84">
        <f>5171*2</f>
        <v>10342</v>
      </c>
      <c r="S85" s="84">
        <v>0.33500000000000002</v>
      </c>
      <c r="T85" s="84">
        <v>3038</v>
      </c>
      <c r="U85" s="84">
        <f>20.5*50</f>
        <v>1025</v>
      </c>
      <c r="V85" s="84">
        <f>6.31*25</f>
        <v>157.75</v>
      </c>
      <c r="W85" s="84">
        <f>176*50</f>
        <v>8800</v>
      </c>
      <c r="X85" s="84">
        <v>502.505</v>
      </c>
      <c r="Y85" s="84" t="s">
        <v>393</v>
      </c>
      <c r="Z85" s="84">
        <v>10.781000000000001</v>
      </c>
      <c r="AA85" s="84">
        <v>0</v>
      </c>
      <c r="AB85" s="71">
        <f t="shared" si="200"/>
        <v>536.00533333333328</v>
      </c>
      <c r="AC85" s="71">
        <f t="shared" si="201"/>
        <v>7.5675675675675675</v>
      </c>
      <c r="AD85" s="71">
        <f t="shared" si="202"/>
        <v>19.601818181818182</v>
      </c>
      <c r="AE85" s="71">
        <f t="shared" si="203"/>
        <v>0</v>
      </c>
      <c r="AF85" s="71">
        <f t="shared" si="204"/>
        <v>563.17471908271909</v>
      </c>
      <c r="AG85" s="84">
        <f>774*50</f>
        <v>38700</v>
      </c>
      <c r="AH85" s="84"/>
      <c r="AI85" s="84"/>
      <c r="AJ85" s="84"/>
      <c r="AK85" s="84"/>
      <c r="AL85" s="84"/>
      <c r="AM85" s="84"/>
      <c r="AN85" s="84">
        <f>93.2*25</f>
        <v>2330</v>
      </c>
      <c r="AO85" s="84"/>
      <c r="AP85" s="84"/>
      <c r="AQ85" s="84"/>
      <c r="AS85" s="83">
        <f t="shared" si="150"/>
        <v>0</v>
      </c>
      <c r="AT85">
        <f t="shared" si="173"/>
        <v>29.235168846972915</v>
      </c>
      <c r="AU85">
        <f t="shared" si="175"/>
        <v>27.752966230605416</v>
      </c>
      <c r="AV85">
        <f t="shared" si="174"/>
        <v>25.464600000000001</v>
      </c>
    </row>
    <row r="86" spans="1:48" ht="15" customHeight="1" thickBot="1" x14ac:dyDescent="0.3">
      <c r="A86" s="100" t="s">
        <v>227</v>
      </c>
      <c r="B86" s="100" t="s">
        <v>202</v>
      </c>
      <c r="C86" s="72" t="str">
        <f t="shared" si="172"/>
        <v>09-02-2024 14:30</v>
      </c>
      <c r="D86" s="82">
        <v>1043.9000000000001</v>
      </c>
      <c r="E86" s="84"/>
      <c r="F86" s="84"/>
      <c r="G86" s="84"/>
      <c r="H86" s="84"/>
      <c r="I86" s="84">
        <f t="shared" ref="I86:I93" si="205">F86-E86</f>
        <v>0</v>
      </c>
      <c r="J86" s="84">
        <f t="shared" ref="J86:J93" si="206">G86-E86</f>
        <v>0</v>
      </c>
      <c r="K86" s="84" t="e">
        <f t="shared" ref="K86:K93" si="207">1000*J86/I86</f>
        <v>#DIV/0!</v>
      </c>
      <c r="L86" s="84">
        <f t="shared" ref="L86:L93" si="208">H86-E86</f>
        <v>0</v>
      </c>
      <c r="M86" s="84" t="e">
        <f t="shared" ref="M86:M93" si="209">1000*L86/I86</f>
        <v>#DIV/0!</v>
      </c>
      <c r="N86" s="84">
        <f t="shared" ref="N86:N93" si="210">J86-L86</f>
        <v>0</v>
      </c>
      <c r="O86" s="84" t="e">
        <f t="shared" ref="O86:O93" si="211">1000*N86/I86</f>
        <v>#DIV/0!</v>
      </c>
      <c r="P86" s="71" t="e">
        <f t="shared" si="163"/>
        <v>#DIV/0!</v>
      </c>
      <c r="Q86" s="84">
        <v>7.54</v>
      </c>
      <c r="R86" s="84"/>
      <c r="S86" s="84">
        <v>0.30199999999999999</v>
      </c>
      <c r="T86" s="84">
        <v>2734</v>
      </c>
      <c r="U86" s="84"/>
      <c r="V86" s="84"/>
      <c r="W86" s="84"/>
      <c r="X86" s="84">
        <v>582.24699999999996</v>
      </c>
      <c r="Y86" s="84" t="s">
        <v>393</v>
      </c>
      <c r="Z86" s="84">
        <v>15.269</v>
      </c>
      <c r="AA86" s="84">
        <v>0</v>
      </c>
      <c r="AB86" s="71">
        <f t="shared" ref="AB86:AB93" si="212">IF(X86="&lt; 10 ppm",5*64/60,X86*64/60)</f>
        <v>621.06346666666661</v>
      </c>
      <c r="AC86" s="71">
        <f t="shared" ref="AC86:AC93" si="213">IF(Y86="&lt; 10 ppm",5*112/74,Y86*112/74)</f>
        <v>7.5675675675675675</v>
      </c>
      <c r="AD86" s="71">
        <f t="shared" ref="AD86:AD93" si="214">IF(Z86="&lt; 10 ppm",5*160/88,Z86*160/88)</f>
        <v>27.761818181818182</v>
      </c>
      <c r="AE86" s="71">
        <f t="shared" ref="AE86:AE93" si="215">IF(AA86="&lt; 10 ppm",5*208/102,AA86*208/102)</f>
        <v>0</v>
      </c>
      <c r="AF86" s="71">
        <f t="shared" ref="AF86:AF93" si="216">SUM(AB86:AE86)</f>
        <v>656.39285241605239</v>
      </c>
      <c r="AG86" s="84"/>
      <c r="AH86" s="84"/>
      <c r="AI86" s="84"/>
      <c r="AJ86" s="84"/>
      <c r="AK86" s="84"/>
      <c r="AL86" s="84"/>
      <c r="AM86" s="84"/>
      <c r="AN86" s="84"/>
      <c r="AO86" s="84"/>
      <c r="AP86" s="84"/>
      <c r="AQ86" s="84"/>
      <c r="AS86" s="83" t="e">
        <f t="shared" si="150"/>
        <v>#DIV/0!</v>
      </c>
      <c r="AT86" t="e">
        <f t="shared" si="173"/>
        <v>#DIV/0!</v>
      </c>
      <c r="AU86" t="e">
        <f t="shared" si="175"/>
        <v>#DIV/0!</v>
      </c>
      <c r="AV86">
        <f t="shared" si="174"/>
        <v>0</v>
      </c>
    </row>
    <row r="87" spans="1:48" ht="15" customHeight="1" thickBot="1" x14ac:dyDescent="0.3">
      <c r="A87" s="100" t="s">
        <v>229</v>
      </c>
      <c r="B87" s="100" t="s">
        <v>156</v>
      </c>
      <c r="C87" s="72" t="str">
        <f t="shared" si="172"/>
        <v>12-02-2024 10:00</v>
      </c>
      <c r="D87" s="82">
        <v>737</v>
      </c>
      <c r="E87" s="84"/>
      <c r="F87" s="84"/>
      <c r="G87" s="84"/>
      <c r="H87" s="84"/>
      <c r="I87" s="84">
        <f t="shared" si="205"/>
        <v>0</v>
      </c>
      <c r="J87" s="84">
        <f t="shared" si="206"/>
        <v>0</v>
      </c>
      <c r="K87" s="84" t="e">
        <f t="shared" si="207"/>
        <v>#DIV/0!</v>
      </c>
      <c r="L87" s="84">
        <f t="shared" si="208"/>
        <v>0</v>
      </c>
      <c r="M87" s="84" t="e">
        <f t="shared" si="209"/>
        <v>#DIV/0!</v>
      </c>
      <c r="N87" s="84">
        <f t="shared" si="210"/>
        <v>0</v>
      </c>
      <c r="O87" s="84" t="e">
        <f t="shared" si="211"/>
        <v>#DIV/0!</v>
      </c>
      <c r="P87" s="71" t="e">
        <f t="shared" si="163"/>
        <v>#DIV/0!</v>
      </c>
      <c r="Q87" s="85">
        <v>7.52</v>
      </c>
      <c r="R87" s="84"/>
      <c r="S87" s="84">
        <v>0.30199999999999999</v>
      </c>
      <c r="T87" s="84">
        <v>2712</v>
      </c>
      <c r="U87" s="84"/>
      <c r="V87" s="84"/>
      <c r="W87" s="84"/>
      <c r="X87" s="84">
        <v>461.721</v>
      </c>
      <c r="Y87" s="84" t="s">
        <v>393</v>
      </c>
      <c r="Z87" s="84" t="s">
        <v>393</v>
      </c>
      <c r="AA87" s="84" t="s">
        <v>393</v>
      </c>
      <c r="AB87" s="71">
        <f t="shared" si="212"/>
        <v>492.50240000000002</v>
      </c>
      <c r="AC87" s="71">
        <f t="shared" si="213"/>
        <v>7.5675675675675675</v>
      </c>
      <c r="AD87" s="71">
        <f t="shared" si="214"/>
        <v>9.0909090909090917</v>
      </c>
      <c r="AE87" s="71">
        <f t="shared" si="215"/>
        <v>10.196078431372548</v>
      </c>
      <c r="AF87" s="71">
        <f t="shared" si="216"/>
        <v>519.35695508984918</v>
      </c>
      <c r="AG87" s="84"/>
      <c r="AH87" s="84"/>
      <c r="AI87" s="84"/>
      <c r="AJ87" s="84"/>
      <c r="AK87" s="84"/>
      <c r="AL87" s="84"/>
      <c r="AM87" s="84"/>
      <c r="AN87" s="84"/>
      <c r="AO87" s="84"/>
      <c r="AP87" s="84"/>
      <c r="AQ87" s="84"/>
      <c r="AS87" s="83" t="e">
        <f t="shared" si="150"/>
        <v>#DIV/0!</v>
      </c>
      <c r="AT87" t="e">
        <f t="shared" si="173"/>
        <v>#DIV/0!</v>
      </c>
      <c r="AU87" t="e">
        <f t="shared" si="175"/>
        <v>#DIV/0!</v>
      </c>
      <c r="AV87">
        <f t="shared" si="174"/>
        <v>0</v>
      </c>
    </row>
    <row r="88" spans="1:48" ht="15" customHeight="1" thickBot="1" x14ac:dyDescent="0.3">
      <c r="A88" s="100" t="s">
        <v>229</v>
      </c>
      <c r="B88" s="100" t="s">
        <v>255</v>
      </c>
      <c r="C88" s="72" t="str">
        <f t="shared" si="172"/>
        <v>12-02-2024 13:30</v>
      </c>
      <c r="D88" s="82">
        <v>25</v>
      </c>
      <c r="E88" s="84"/>
      <c r="F88" s="84"/>
      <c r="G88" s="84"/>
      <c r="H88" s="84"/>
      <c r="I88" s="84">
        <f t="shared" si="205"/>
        <v>0</v>
      </c>
      <c r="J88" s="84">
        <f t="shared" si="206"/>
        <v>0</v>
      </c>
      <c r="K88" s="84" t="e">
        <f t="shared" si="207"/>
        <v>#DIV/0!</v>
      </c>
      <c r="L88" s="84">
        <f t="shared" si="208"/>
        <v>0</v>
      </c>
      <c r="M88" s="84" t="e">
        <f t="shared" si="209"/>
        <v>#DIV/0!</v>
      </c>
      <c r="N88" s="84">
        <f t="shared" si="210"/>
        <v>0</v>
      </c>
      <c r="O88" s="84" t="e">
        <f t="shared" si="211"/>
        <v>#DIV/0!</v>
      </c>
      <c r="P88" s="71" t="e">
        <f t="shared" si="163"/>
        <v>#DIV/0!</v>
      </c>
      <c r="Q88" s="85">
        <v>7.47</v>
      </c>
      <c r="R88" s="84"/>
      <c r="S88" s="84"/>
      <c r="T88" s="84"/>
      <c r="U88" s="84"/>
      <c r="V88" s="84"/>
      <c r="W88" s="84"/>
      <c r="X88" s="84">
        <v>852.096</v>
      </c>
      <c r="Y88" s="84">
        <v>93.126000000000005</v>
      </c>
      <c r="Z88" s="84">
        <f>13.092+4.494</f>
        <v>17.585999999999999</v>
      </c>
      <c r="AA88" s="84" t="s">
        <v>393</v>
      </c>
      <c r="AB88" s="71">
        <f t="shared" si="212"/>
        <v>908.90240000000006</v>
      </c>
      <c r="AC88" s="71">
        <f t="shared" si="213"/>
        <v>140.94745945945948</v>
      </c>
      <c r="AD88" s="71">
        <f t="shared" si="214"/>
        <v>31.974545454545453</v>
      </c>
      <c r="AE88" s="71">
        <f t="shared" si="215"/>
        <v>10.196078431372548</v>
      </c>
      <c r="AF88" s="71">
        <f t="shared" si="216"/>
        <v>1092.0204833453777</v>
      </c>
      <c r="AG88" s="84"/>
      <c r="AH88" s="84"/>
      <c r="AI88" s="84"/>
      <c r="AJ88" s="84"/>
      <c r="AK88" s="84"/>
      <c r="AL88" s="84"/>
      <c r="AM88" s="84"/>
      <c r="AN88" s="84"/>
      <c r="AO88" s="84"/>
      <c r="AP88" s="84"/>
      <c r="AQ88" s="84"/>
      <c r="AS88" s="83" t="e">
        <f t="shared" si="150"/>
        <v>#DIV/0!</v>
      </c>
      <c r="AT88" t="e">
        <f t="shared" si="173"/>
        <v>#DIV/0!</v>
      </c>
      <c r="AU88" t="e">
        <f t="shared" si="175"/>
        <v>#DIV/0!</v>
      </c>
      <c r="AV88">
        <f t="shared" si="174"/>
        <v>0</v>
      </c>
    </row>
    <row r="89" spans="1:48" ht="15" customHeight="1" thickBot="1" x14ac:dyDescent="0.3">
      <c r="A89" s="100" t="s">
        <v>229</v>
      </c>
      <c r="B89" s="100" t="s">
        <v>207</v>
      </c>
      <c r="C89" s="72" t="str">
        <f t="shared" si="172"/>
        <v>12-02-2024 16:30</v>
      </c>
      <c r="D89" s="82">
        <v>25</v>
      </c>
      <c r="E89" s="84"/>
      <c r="F89" s="84"/>
      <c r="G89" s="84"/>
      <c r="H89" s="84"/>
      <c r="I89" s="84">
        <f t="shared" si="205"/>
        <v>0</v>
      </c>
      <c r="J89" s="84">
        <f t="shared" si="206"/>
        <v>0</v>
      </c>
      <c r="K89" s="84" t="e">
        <f t="shared" si="207"/>
        <v>#DIV/0!</v>
      </c>
      <c r="L89" s="84">
        <f t="shared" si="208"/>
        <v>0</v>
      </c>
      <c r="M89" s="84" t="e">
        <f t="shared" si="209"/>
        <v>#DIV/0!</v>
      </c>
      <c r="N89" s="84">
        <f t="shared" si="210"/>
        <v>0</v>
      </c>
      <c r="O89" s="84" t="e">
        <f t="shared" si="211"/>
        <v>#DIV/0!</v>
      </c>
      <c r="P89" s="71" t="e">
        <f t="shared" si="163"/>
        <v>#DIV/0!</v>
      </c>
      <c r="Q89" s="85">
        <v>7.48</v>
      </c>
      <c r="R89" s="84"/>
      <c r="S89" s="84"/>
      <c r="T89" s="84"/>
      <c r="U89" s="84"/>
      <c r="V89" s="84"/>
      <c r="W89" s="84"/>
      <c r="X89" s="84">
        <v>1171.9259999999999</v>
      </c>
      <c r="Y89" s="84">
        <v>75.462000000000003</v>
      </c>
      <c r="Z89" s="84">
        <v>12.939</v>
      </c>
      <c r="AA89" s="84" t="s">
        <v>393</v>
      </c>
      <c r="AB89" s="71">
        <f t="shared" si="212"/>
        <v>1250.0544</v>
      </c>
      <c r="AC89" s="71">
        <f t="shared" si="213"/>
        <v>114.21275675675676</v>
      </c>
      <c r="AD89" s="71">
        <f t="shared" si="214"/>
        <v>23.525454545454544</v>
      </c>
      <c r="AE89" s="71">
        <f t="shared" si="215"/>
        <v>10.196078431372548</v>
      </c>
      <c r="AF89" s="71">
        <f t="shared" si="216"/>
        <v>1397.9886897335839</v>
      </c>
      <c r="AG89" s="84"/>
      <c r="AH89" s="84"/>
      <c r="AI89" s="84"/>
      <c r="AJ89" s="84"/>
      <c r="AK89" s="84"/>
      <c r="AL89" s="84"/>
      <c r="AM89" s="84"/>
      <c r="AN89" s="84"/>
      <c r="AO89" s="84"/>
      <c r="AP89" s="84"/>
      <c r="AQ89" s="84"/>
      <c r="AS89" s="83" t="e">
        <f t="shared" si="150"/>
        <v>#DIV/0!</v>
      </c>
      <c r="AT89" t="e">
        <f t="shared" si="173"/>
        <v>#DIV/0!</v>
      </c>
      <c r="AU89" t="e">
        <f t="shared" si="175"/>
        <v>#DIV/0!</v>
      </c>
      <c r="AV89">
        <f t="shared" si="174"/>
        <v>0</v>
      </c>
    </row>
    <row r="90" spans="1:48" ht="15" customHeight="1" thickBot="1" x14ac:dyDescent="0.3">
      <c r="A90" s="100" t="s">
        <v>420</v>
      </c>
      <c r="B90" s="100" t="s">
        <v>156</v>
      </c>
      <c r="C90" s="72" t="str">
        <f t="shared" si="172"/>
        <v>13-02-2024 10:00</v>
      </c>
      <c r="D90" s="82">
        <v>25</v>
      </c>
      <c r="E90" s="84"/>
      <c r="F90" s="84"/>
      <c r="G90" s="84"/>
      <c r="H90" s="84"/>
      <c r="I90" s="84">
        <f t="shared" si="205"/>
        <v>0</v>
      </c>
      <c r="J90" s="84">
        <f t="shared" si="206"/>
        <v>0</v>
      </c>
      <c r="K90" s="84" t="e">
        <f t="shared" si="207"/>
        <v>#DIV/0!</v>
      </c>
      <c r="L90" s="84">
        <f t="shared" si="208"/>
        <v>0</v>
      </c>
      <c r="M90" s="84" t="e">
        <f t="shared" si="209"/>
        <v>#DIV/0!</v>
      </c>
      <c r="N90" s="84">
        <f t="shared" si="210"/>
        <v>0</v>
      </c>
      <c r="O90" s="84" t="e">
        <f t="shared" si="211"/>
        <v>#DIV/0!</v>
      </c>
      <c r="P90" s="71" t="e">
        <f t="shared" si="163"/>
        <v>#DIV/0!</v>
      </c>
      <c r="Q90" s="85">
        <v>7.46</v>
      </c>
      <c r="R90" s="84"/>
      <c r="S90" s="84">
        <v>0.36899999999999999</v>
      </c>
      <c r="T90" s="84">
        <v>3131</v>
      </c>
      <c r="U90" s="84"/>
      <c r="V90" s="84"/>
      <c r="W90" s="84"/>
      <c r="X90" s="84">
        <v>1049.6179999999999</v>
      </c>
      <c r="Y90" s="84">
        <v>15.691000000000001</v>
      </c>
      <c r="Z90" s="84" t="s">
        <v>393</v>
      </c>
      <c r="AA90" s="84" t="s">
        <v>393</v>
      </c>
      <c r="AB90" s="71">
        <f t="shared" si="212"/>
        <v>1119.5925333333332</v>
      </c>
      <c r="AC90" s="71">
        <f t="shared" si="213"/>
        <v>23.748540540540542</v>
      </c>
      <c r="AD90" s="71">
        <f t="shared" si="214"/>
        <v>9.0909090909090917</v>
      </c>
      <c r="AE90" s="71">
        <f t="shared" si="215"/>
        <v>10.196078431372548</v>
      </c>
      <c r="AF90" s="71">
        <f t="shared" si="216"/>
        <v>1162.6280613961553</v>
      </c>
      <c r="AG90" s="84"/>
      <c r="AH90" s="84"/>
      <c r="AI90" s="84"/>
      <c r="AJ90" s="84"/>
      <c r="AK90" s="84"/>
      <c r="AL90" s="84"/>
      <c r="AM90" s="84"/>
      <c r="AN90" s="84"/>
      <c r="AO90" s="84"/>
      <c r="AP90" s="84"/>
      <c r="AQ90" s="84"/>
      <c r="AS90" s="83" t="e">
        <f t="shared" si="150"/>
        <v>#DIV/0!</v>
      </c>
      <c r="AT90" t="e">
        <f t="shared" si="173"/>
        <v>#DIV/0!</v>
      </c>
      <c r="AU90" t="e">
        <f t="shared" si="175"/>
        <v>#DIV/0!</v>
      </c>
      <c r="AV90">
        <f t="shared" si="174"/>
        <v>0</v>
      </c>
    </row>
    <row r="91" spans="1:48" ht="15" customHeight="1" thickBot="1" x14ac:dyDescent="0.3">
      <c r="A91" s="100" t="s">
        <v>420</v>
      </c>
      <c r="B91" s="100" t="s">
        <v>173</v>
      </c>
      <c r="C91" s="72" t="str">
        <f t="shared" si="172"/>
        <v>13-02-2024 13:00</v>
      </c>
      <c r="D91" s="82">
        <v>25</v>
      </c>
      <c r="E91" s="84"/>
      <c r="F91" s="84"/>
      <c r="G91" s="84"/>
      <c r="H91" s="84"/>
      <c r="I91" s="84">
        <f t="shared" si="205"/>
        <v>0</v>
      </c>
      <c r="J91" s="84">
        <f t="shared" si="206"/>
        <v>0</v>
      </c>
      <c r="K91" s="84" t="e">
        <f t="shared" si="207"/>
        <v>#DIV/0!</v>
      </c>
      <c r="L91" s="84">
        <f t="shared" si="208"/>
        <v>0</v>
      </c>
      <c r="M91" s="84" t="e">
        <f t="shared" si="209"/>
        <v>#DIV/0!</v>
      </c>
      <c r="N91" s="84">
        <f t="shared" si="210"/>
        <v>0</v>
      </c>
      <c r="O91" s="84" t="e">
        <f t="shared" si="211"/>
        <v>#DIV/0!</v>
      </c>
      <c r="P91" s="71" t="e">
        <f t="shared" si="163"/>
        <v>#DIV/0!</v>
      </c>
      <c r="Q91" s="85">
        <v>7.47</v>
      </c>
      <c r="R91" s="84"/>
      <c r="S91" s="84"/>
      <c r="T91" s="84"/>
      <c r="U91" s="84"/>
      <c r="V91" s="84"/>
      <c r="W91" s="84"/>
      <c r="X91" s="84">
        <v>949.69500000000005</v>
      </c>
      <c r="Y91" s="84">
        <v>13.113</v>
      </c>
      <c r="Z91" s="84">
        <v>11.946</v>
      </c>
      <c r="AA91" s="84" t="s">
        <v>393</v>
      </c>
      <c r="AB91" s="71">
        <f t="shared" si="212"/>
        <v>1013.008</v>
      </c>
      <c r="AC91" s="71">
        <f t="shared" si="213"/>
        <v>19.846702702702704</v>
      </c>
      <c r="AD91" s="71">
        <f t="shared" si="214"/>
        <v>21.72</v>
      </c>
      <c r="AE91" s="71">
        <f t="shared" si="215"/>
        <v>10.196078431372548</v>
      </c>
      <c r="AF91" s="71">
        <f t="shared" si="216"/>
        <v>1064.7707811340754</v>
      </c>
      <c r="AG91" s="84"/>
      <c r="AH91" s="84"/>
      <c r="AI91" s="84"/>
      <c r="AJ91" s="84"/>
      <c r="AK91" s="84"/>
      <c r="AL91" s="84"/>
      <c r="AM91" s="84"/>
      <c r="AN91" s="84"/>
      <c r="AO91" s="84"/>
      <c r="AP91" s="84"/>
      <c r="AQ91" s="84"/>
      <c r="AS91" s="83" t="e">
        <f t="shared" si="150"/>
        <v>#DIV/0!</v>
      </c>
      <c r="AT91" t="e">
        <f t="shared" si="173"/>
        <v>#DIV/0!</v>
      </c>
      <c r="AU91" t="e">
        <f t="shared" si="175"/>
        <v>#DIV/0!</v>
      </c>
      <c r="AV91">
        <f t="shared" si="174"/>
        <v>0</v>
      </c>
    </row>
    <row r="92" spans="1:48" ht="15" customHeight="1" thickBot="1" x14ac:dyDescent="0.3">
      <c r="A92" s="100" t="s">
        <v>420</v>
      </c>
      <c r="B92" s="100" t="s">
        <v>196</v>
      </c>
      <c r="C92" s="72" t="str">
        <f t="shared" si="172"/>
        <v>13-02-2024 16:00</v>
      </c>
      <c r="D92" s="82">
        <v>25</v>
      </c>
      <c r="E92" s="84"/>
      <c r="F92" s="84"/>
      <c r="G92" s="84"/>
      <c r="H92" s="84"/>
      <c r="I92" s="84">
        <f t="shared" si="205"/>
        <v>0</v>
      </c>
      <c r="J92" s="84">
        <f t="shared" si="206"/>
        <v>0</v>
      </c>
      <c r="K92" s="84" t="e">
        <f t="shared" si="207"/>
        <v>#DIV/0!</v>
      </c>
      <c r="L92" s="84">
        <f t="shared" si="208"/>
        <v>0</v>
      </c>
      <c r="M92" s="84" t="e">
        <f t="shared" si="209"/>
        <v>#DIV/0!</v>
      </c>
      <c r="N92" s="84">
        <f t="shared" si="210"/>
        <v>0</v>
      </c>
      <c r="O92" s="84" t="e">
        <f t="shared" si="211"/>
        <v>#DIV/0!</v>
      </c>
      <c r="P92" s="71" t="e">
        <f t="shared" si="163"/>
        <v>#DIV/0!</v>
      </c>
      <c r="Q92" s="85">
        <v>7.51</v>
      </c>
      <c r="R92" s="84"/>
      <c r="S92" s="84"/>
      <c r="T92" s="84"/>
      <c r="U92" s="84"/>
      <c r="V92" s="84"/>
      <c r="W92" s="84"/>
      <c r="X92" s="84">
        <v>789.11699999999996</v>
      </c>
      <c r="Y92" s="84">
        <v>10.542999999999999</v>
      </c>
      <c r="Z92" s="84" t="s">
        <v>393</v>
      </c>
      <c r="AA92" s="84">
        <v>0</v>
      </c>
      <c r="AB92" s="71">
        <f t="shared" si="212"/>
        <v>841.72479999999996</v>
      </c>
      <c r="AC92" s="71">
        <f t="shared" si="213"/>
        <v>15.95697297297297</v>
      </c>
      <c r="AD92" s="71">
        <f t="shared" si="214"/>
        <v>9.0909090909090917</v>
      </c>
      <c r="AE92" s="71">
        <f t="shared" si="215"/>
        <v>0</v>
      </c>
      <c r="AF92" s="71">
        <f t="shared" si="216"/>
        <v>866.77268206388203</v>
      </c>
      <c r="AG92" s="84"/>
      <c r="AH92" s="84"/>
      <c r="AI92" s="84"/>
      <c r="AJ92" s="84"/>
      <c r="AK92" s="84"/>
      <c r="AL92" s="84"/>
      <c r="AM92" s="84"/>
      <c r="AN92" s="84"/>
      <c r="AO92" s="84"/>
      <c r="AP92" s="84"/>
      <c r="AQ92" s="84"/>
      <c r="AS92" s="83" t="e">
        <f t="shared" si="150"/>
        <v>#DIV/0!</v>
      </c>
      <c r="AT92" t="e">
        <f t="shared" si="173"/>
        <v>#DIV/0!</v>
      </c>
      <c r="AU92" t="e">
        <f t="shared" si="175"/>
        <v>#DIV/0!</v>
      </c>
      <c r="AV92">
        <f t="shared" si="174"/>
        <v>0</v>
      </c>
    </row>
    <row r="93" spans="1:48" ht="15" customHeight="1" thickBot="1" x14ac:dyDescent="0.3">
      <c r="A93" s="100" t="s">
        <v>231</v>
      </c>
      <c r="B93" s="100" t="s">
        <v>156</v>
      </c>
      <c r="C93" s="72" t="str">
        <f t="shared" si="172"/>
        <v>14-02-2024 10:00</v>
      </c>
      <c r="D93" s="82">
        <v>602</v>
      </c>
      <c r="E93" s="84">
        <v>4.4222000000000001</v>
      </c>
      <c r="F93" s="84">
        <v>26.2805</v>
      </c>
      <c r="G93" s="84">
        <v>5.2434000000000003</v>
      </c>
      <c r="H93" s="84">
        <v>4.6596000000000002</v>
      </c>
      <c r="I93" s="84">
        <f t="shared" si="205"/>
        <v>21.8583</v>
      </c>
      <c r="J93" s="84">
        <f t="shared" si="206"/>
        <v>0.82120000000000015</v>
      </c>
      <c r="K93" s="84">
        <f t="shared" si="207"/>
        <v>37.569252869619326</v>
      </c>
      <c r="L93" s="84">
        <f t="shared" si="208"/>
        <v>0.23740000000000006</v>
      </c>
      <c r="M93" s="84">
        <f t="shared" si="209"/>
        <v>10.860862921636178</v>
      </c>
      <c r="N93" s="84">
        <f t="shared" si="210"/>
        <v>0.5838000000000001</v>
      </c>
      <c r="O93" s="84">
        <f t="shared" si="211"/>
        <v>26.70838994798315</v>
      </c>
      <c r="P93" s="71">
        <f t="shared" si="163"/>
        <v>71.091086215294695</v>
      </c>
      <c r="Q93" s="85">
        <v>7.46</v>
      </c>
      <c r="R93" s="84"/>
      <c r="S93" s="84">
        <v>0.35599999999999998</v>
      </c>
      <c r="T93" s="84">
        <v>3040</v>
      </c>
      <c r="U93" s="84">
        <f>19.1*50</f>
        <v>955.00000000000011</v>
      </c>
      <c r="V93" s="84">
        <f>6.62*25</f>
        <v>165.5</v>
      </c>
      <c r="W93" s="84">
        <f>193*50</f>
        <v>9650</v>
      </c>
      <c r="X93" s="84">
        <v>774.26</v>
      </c>
      <c r="Y93" s="84">
        <v>12.224</v>
      </c>
      <c r="Z93" s="84" t="s">
        <v>393</v>
      </c>
      <c r="AA93" s="84">
        <v>0</v>
      </c>
      <c r="AB93" s="71">
        <f t="shared" si="212"/>
        <v>825.87733333333335</v>
      </c>
      <c r="AC93" s="71">
        <f t="shared" si="213"/>
        <v>18.501189189189187</v>
      </c>
      <c r="AD93" s="71">
        <f t="shared" si="214"/>
        <v>9.0909090909090917</v>
      </c>
      <c r="AE93" s="71">
        <f t="shared" si="215"/>
        <v>0</v>
      </c>
      <c r="AF93" s="71">
        <f t="shared" si="216"/>
        <v>853.46943161343165</v>
      </c>
      <c r="AG93" s="84">
        <f>749*50</f>
        <v>37450</v>
      </c>
      <c r="AH93" s="84"/>
      <c r="AI93" s="84"/>
      <c r="AJ93" s="84"/>
      <c r="AK93" s="84"/>
      <c r="AL93" s="84"/>
      <c r="AM93" s="84"/>
      <c r="AN93" s="84">
        <f>103*25</f>
        <v>2575</v>
      </c>
      <c r="AO93" s="84"/>
      <c r="AP93" s="84"/>
      <c r="AQ93" s="84"/>
      <c r="AS93" s="83">
        <f t="shared" si="150"/>
        <v>0</v>
      </c>
      <c r="AT93">
        <f t="shared" si="173"/>
        <v>22.616690227510833</v>
      </c>
      <c r="AU93">
        <f t="shared" si="175"/>
        <v>16.078450748685857</v>
      </c>
      <c r="AV93">
        <f t="shared" si="174"/>
        <v>22.544899999999998</v>
      </c>
    </row>
    <row r="94" spans="1:48" ht="15" customHeight="1" x14ac:dyDescent="0.25">
      <c r="A94" s="100" t="s">
        <v>231</v>
      </c>
      <c r="B94" s="100" t="s">
        <v>156</v>
      </c>
      <c r="C94" s="72" t="str">
        <f t="shared" si="172"/>
        <v>14-02-2024 10:00</v>
      </c>
      <c r="D94" s="82"/>
      <c r="E94" s="84">
        <v>4.4218000000000002</v>
      </c>
      <c r="F94" s="84">
        <v>21.0746</v>
      </c>
      <c r="G94" s="84">
        <v>5.0964999999999998</v>
      </c>
      <c r="H94" s="84">
        <v>4.6059000000000001</v>
      </c>
      <c r="I94" s="84">
        <f t="shared" ref="I94" si="217">F94-E94</f>
        <v>16.652799999999999</v>
      </c>
      <c r="J94" s="84">
        <f t="shared" ref="J94" si="218">G94-E94</f>
        <v>0.67469999999999963</v>
      </c>
      <c r="K94" s="84">
        <f t="shared" ref="K94" si="219">1000*J94/I94</f>
        <v>40.515709069946176</v>
      </c>
      <c r="L94" s="84">
        <f t="shared" ref="L94" si="220">H94-E94</f>
        <v>0.18409999999999993</v>
      </c>
      <c r="M94" s="84">
        <f t="shared" ref="M94" si="221">1000*L94/I94</f>
        <v>11.055197924673324</v>
      </c>
      <c r="N94" s="84">
        <f t="shared" ref="N94" si="222">J94-L94</f>
        <v>0.4905999999999997</v>
      </c>
      <c r="O94" s="84">
        <f t="shared" ref="O94" si="223">1000*N94/I94</f>
        <v>29.46051114527285</v>
      </c>
      <c r="P94" s="71">
        <f t="shared" si="163"/>
        <v>72.71379872535941</v>
      </c>
      <c r="Q94" s="84"/>
      <c r="R94" s="84"/>
      <c r="S94" s="84"/>
      <c r="T94" s="84"/>
      <c r="U94" s="84"/>
      <c r="V94" s="84"/>
      <c r="W94" s="84"/>
      <c r="X94" s="84"/>
      <c r="Y94" s="84"/>
      <c r="Z94" s="84"/>
      <c r="AA94" s="84"/>
      <c r="AB94" s="71">
        <f t="shared" ref="AB94:AB95" si="224">IF(X94="&lt; 10 ppm",5*64/60,X94*64/60)</f>
        <v>0</v>
      </c>
      <c r="AC94" s="71">
        <f t="shared" ref="AC94:AC95" si="225">IF(Y94="&lt; 10 ppm",5*112/74,Y94*112/74)</f>
        <v>0</v>
      </c>
      <c r="AD94" s="71">
        <f t="shared" ref="AD94:AD95" si="226">IF(Z94="&lt; 10 ppm",5*160/88,Z94*160/88)</f>
        <v>0</v>
      </c>
      <c r="AE94" s="71">
        <f t="shared" ref="AE94:AE95" si="227">IF(AA94="&lt; 10 ppm",5*208/102,AA94*208/102)</f>
        <v>0</v>
      </c>
      <c r="AF94" s="71">
        <f t="shared" ref="AF94:AF95" si="228">SUM(AB94:AE94)</f>
        <v>0</v>
      </c>
      <c r="AG94" s="84"/>
      <c r="AH94" s="84"/>
      <c r="AI94" s="84"/>
      <c r="AJ94" s="84"/>
      <c r="AK94" s="84"/>
      <c r="AL94" s="84"/>
      <c r="AM94" s="84"/>
      <c r="AN94" s="84"/>
      <c r="AO94" s="84"/>
      <c r="AP94" s="84"/>
      <c r="AQ94" s="84"/>
      <c r="AT94">
        <f t="shared" si="173"/>
        <v>0</v>
      </c>
      <c r="AU94">
        <f t="shared" si="175"/>
        <v>0</v>
      </c>
      <c r="AV94">
        <f t="shared" si="174"/>
        <v>0</v>
      </c>
    </row>
    <row r="95" spans="1:48" ht="15" customHeight="1" x14ac:dyDescent="0.25">
      <c r="A95" s="100" t="s">
        <v>232</v>
      </c>
      <c r="B95" s="100" t="s">
        <v>156</v>
      </c>
      <c r="C95" s="72" t="str">
        <f t="shared" si="172"/>
        <v>16-02-2024 10:00</v>
      </c>
      <c r="D95" s="82">
        <v>886</v>
      </c>
      <c r="E95" s="84">
        <v>4.4123000000000001</v>
      </c>
      <c r="F95" s="84">
        <v>25.882400000000001</v>
      </c>
      <c r="G95" s="84">
        <v>5.2279999999999998</v>
      </c>
      <c r="H95" s="129">
        <v>4.5986000000000002</v>
      </c>
      <c r="I95" s="84">
        <f t="shared" ref="I95" si="229">F95-E95</f>
        <v>21.470100000000002</v>
      </c>
      <c r="J95" s="84">
        <f t="shared" ref="J95" si="230">G95-E95</f>
        <v>0.81569999999999965</v>
      </c>
      <c r="K95" s="84">
        <f t="shared" ref="K95" si="231">1000*J95/I95</f>
        <v>37.99237078541784</v>
      </c>
      <c r="L95" s="84">
        <f t="shared" ref="L95" si="232">H95-E95</f>
        <v>0.18630000000000013</v>
      </c>
      <c r="M95" s="84">
        <f t="shared" ref="M95" si="233">1000*L95/I95</f>
        <v>8.6771836181480335</v>
      </c>
      <c r="N95" s="84">
        <f t="shared" ref="N95" si="234">J95-L95</f>
        <v>0.62939999999999952</v>
      </c>
      <c r="O95" s="84">
        <f t="shared" ref="O95" si="235">1000*N95/I95</f>
        <v>29.315187167269805</v>
      </c>
      <c r="P95" s="71">
        <f t="shared" si="163"/>
        <v>77.160720853254844</v>
      </c>
      <c r="Q95" s="84">
        <v>7.42</v>
      </c>
      <c r="R95" s="84"/>
      <c r="S95" s="84"/>
      <c r="T95" s="84"/>
      <c r="U95" s="84"/>
      <c r="V95" s="84"/>
      <c r="W95" s="84"/>
      <c r="X95" s="84">
        <v>1206.019</v>
      </c>
      <c r="Y95" s="84">
        <v>15.547000000000001</v>
      </c>
      <c r="Z95" s="84">
        <v>13.191000000000001</v>
      </c>
      <c r="AA95" s="84">
        <v>0</v>
      </c>
      <c r="AB95" s="71">
        <f t="shared" si="224"/>
        <v>1286.4202666666667</v>
      </c>
      <c r="AC95" s="71">
        <f t="shared" si="225"/>
        <v>23.530594594594596</v>
      </c>
      <c r="AD95" s="71">
        <f t="shared" si="226"/>
        <v>23.983636363636364</v>
      </c>
      <c r="AE95" s="71">
        <f t="shared" si="227"/>
        <v>0</v>
      </c>
      <c r="AF95" s="71">
        <f t="shared" si="228"/>
        <v>1333.9344976248976</v>
      </c>
      <c r="AG95" s="84"/>
      <c r="AH95" s="84"/>
      <c r="AI95" s="84"/>
      <c r="AJ95" s="84"/>
      <c r="AK95" s="84"/>
      <c r="AL95" s="84"/>
      <c r="AM95" s="84"/>
      <c r="AN95" s="84"/>
      <c r="AO95" s="84"/>
      <c r="AP95" s="84"/>
      <c r="AQ95" s="84"/>
    </row>
    <row r="96" spans="1:48" ht="15" customHeight="1" x14ac:dyDescent="0.25">
      <c r="A96" s="100" t="s">
        <v>234</v>
      </c>
      <c r="B96" s="100" t="s">
        <v>156</v>
      </c>
      <c r="C96" s="72" t="str">
        <f t="shared" si="172"/>
        <v>19-02-2024 10:00</v>
      </c>
      <c r="D96" s="82">
        <v>490.7</v>
      </c>
      <c r="E96" s="84">
        <v>4.3182</v>
      </c>
      <c r="F96" s="84">
        <v>26.714400000000001</v>
      </c>
      <c r="G96" s="84">
        <v>5.1952999999999996</v>
      </c>
      <c r="H96" s="84"/>
      <c r="I96" s="84">
        <f t="shared" ref="I96" si="236">F96-E96</f>
        <v>22.3962</v>
      </c>
      <c r="J96" s="84">
        <f t="shared" ref="J96" si="237">G96-E96</f>
        <v>0.87709999999999955</v>
      </c>
      <c r="K96" s="84">
        <f t="shared" ref="K96" si="238">1000*J96/I96</f>
        <v>39.162893705182107</v>
      </c>
      <c r="L96" s="84">
        <f t="shared" ref="L96" si="239">H96-E96</f>
        <v>-4.3182</v>
      </c>
      <c r="M96" s="84">
        <f t="shared" ref="M96" si="240">1000*L96/I96</f>
        <v>-192.8094944678115</v>
      </c>
      <c r="N96" s="84">
        <f t="shared" ref="N96" si="241">J96-L96</f>
        <v>5.1952999999999996</v>
      </c>
      <c r="O96" s="84">
        <f t="shared" ref="O96" si="242">1000*N96/I96</f>
        <v>231.97238817299359</v>
      </c>
      <c r="P96" s="71">
        <f t="shared" si="163"/>
        <v>592.32698666058627</v>
      </c>
      <c r="Q96" s="85">
        <v>7.53</v>
      </c>
      <c r="R96" s="84"/>
      <c r="S96" s="84">
        <v>0.38200000000000001</v>
      </c>
      <c r="T96" s="84">
        <v>3105</v>
      </c>
      <c r="U96" s="84"/>
      <c r="V96" s="84"/>
      <c r="W96" s="84"/>
      <c r="X96" s="84">
        <v>574.76199999999994</v>
      </c>
      <c r="Y96" s="84" t="s">
        <v>393</v>
      </c>
      <c r="Z96" s="84">
        <v>12.875999999999999</v>
      </c>
      <c r="AA96" s="84">
        <v>0</v>
      </c>
      <c r="AB96" s="71">
        <f t="shared" ref="AB96:AB102" si="243">IF(X96="&lt; 10 ppm",5*64/60,X96*64/60)</f>
        <v>613.07946666666658</v>
      </c>
      <c r="AC96" s="71">
        <f t="shared" ref="AC96:AC102" si="244">IF(Y96="&lt; 10 ppm",5*112/74,Y96*112/74)</f>
        <v>7.5675675675675675</v>
      </c>
      <c r="AD96" s="71">
        <f t="shared" ref="AD96:AD102" si="245">IF(Z96="&lt; 10 ppm",5*160/88,Z96*160/88)</f>
        <v>23.41090909090909</v>
      </c>
      <c r="AE96" s="71">
        <f t="shared" ref="AE96:AE102" si="246">IF(AA96="&lt; 10 ppm",5*208/102,AA96*208/102)</f>
        <v>0</v>
      </c>
      <c r="AF96" s="71">
        <f t="shared" ref="AF96:AF102" si="247">SUM(AB96:AE96)</f>
        <v>644.05794332514324</v>
      </c>
      <c r="AG96" s="84"/>
      <c r="AH96" s="84"/>
      <c r="AI96" s="84"/>
      <c r="AJ96" s="84"/>
      <c r="AK96" s="84"/>
      <c r="AL96" s="84"/>
      <c r="AM96" s="84"/>
      <c r="AN96" s="84"/>
      <c r="AO96" s="84"/>
      <c r="AP96" s="84"/>
      <c r="AQ96" s="84"/>
      <c r="AR96" t="s">
        <v>421</v>
      </c>
    </row>
    <row r="97" spans="1:49" ht="15" customHeight="1" x14ac:dyDescent="0.25">
      <c r="A97" s="100" t="s">
        <v>234</v>
      </c>
      <c r="B97" s="100" t="s">
        <v>292</v>
      </c>
      <c r="C97" s="72" t="str">
        <f t="shared" si="172"/>
        <v>19-02-2024 14:00</v>
      </c>
      <c r="D97" s="82">
        <v>25</v>
      </c>
      <c r="E97" s="84"/>
      <c r="F97" s="84"/>
      <c r="G97" s="84"/>
      <c r="H97" s="84"/>
      <c r="I97" s="84"/>
      <c r="J97" s="84"/>
      <c r="K97" s="84"/>
      <c r="L97" s="84"/>
      <c r="M97" s="84"/>
      <c r="N97" s="84"/>
      <c r="O97" s="84"/>
      <c r="P97" s="71" t="e">
        <f t="shared" si="163"/>
        <v>#DIV/0!</v>
      </c>
      <c r="Q97" s="85">
        <v>7.52</v>
      </c>
      <c r="R97" s="84"/>
      <c r="S97" s="84"/>
      <c r="T97" s="84"/>
      <c r="U97" s="84"/>
      <c r="V97" s="84"/>
      <c r="W97" s="84"/>
      <c r="X97" s="84">
        <v>703.01700000000005</v>
      </c>
      <c r="Y97" s="84" t="s">
        <v>393</v>
      </c>
      <c r="Z97" s="84">
        <v>23.393000000000001</v>
      </c>
      <c r="AA97" s="84">
        <v>0</v>
      </c>
      <c r="AB97" s="71">
        <f t="shared" si="243"/>
        <v>749.88480000000004</v>
      </c>
      <c r="AC97" s="71">
        <f t="shared" si="244"/>
        <v>7.5675675675675675</v>
      </c>
      <c r="AD97" s="71">
        <f t="shared" si="245"/>
        <v>42.532727272727271</v>
      </c>
      <c r="AE97" s="71">
        <f t="shared" si="246"/>
        <v>0</v>
      </c>
      <c r="AF97" s="71">
        <f t="shared" si="247"/>
        <v>799.98509484029489</v>
      </c>
      <c r="AG97" s="84"/>
      <c r="AH97" s="84"/>
      <c r="AI97" s="84"/>
      <c r="AJ97" s="84"/>
      <c r="AK97" s="84"/>
      <c r="AL97" s="84"/>
      <c r="AM97" s="84"/>
      <c r="AN97" s="84"/>
      <c r="AO97" s="84"/>
      <c r="AP97" s="84"/>
      <c r="AQ97" s="84"/>
    </row>
    <row r="98" spans="1:49" ht="15" customHeight="1" x14ac:dyDescent="0.25">
      <c r="A98" s="100" t="s">
        <v>234</v>
      </c>
      <c r="B98" s="100" t="s">
        <v>163</v>
      </c>
      <c r="C98" s="72" t="str">
        <f t="shared" si="172"/>
        <v>19-02-2024 17:00</v>
      </c>
      <c r="D98" s="82">
        <v>25</v>
      </c>
      <c r="E98" s="84"/>
      <c r="F98" s="84"/>
      <c r="G98" s="84"/>
      <c r="H98" s="84"/>
      <c r="I98" s="84"/>
      <c r="J98" s="84"/>
      <c r="K98" s="84"/>
      <c r="L98" s="84"/>
      <c r="M98" s="84"/>
      <c r="N98" s="84"/>
      <c r="O98" s="84"/>
      <c r="P98" s="71" t="e">
        <f t="shared" si="163"/>
        <v>#DIV/0!</v>
      </c>
      <c r="Q98" s="85">
        <v>7.43</v>
      </c>
      <c r="R98" s="84"/>
      <c r="S98" s="84"/>
      <c r="T98" s="84"/>
      <c r="U98" s="84"/>
      <c r="V98" s="84"/>
      <c r="W98" s="84"/>
      <c r="X98" s="84">
        <f>AW98*(1-0.13178)</f>
        <v>906.91743361999988</v>
      </c>
      <c r="Y98" s="84">
        <v>88.177000000000007</v>
      </c>
      <c r="Z98" s="84" t="s">
        <v>393</v>
      </c>
      <c r="AA98" s="84">
        <v>0</v>
      </c>
      <c r="AB98" s="71">
        <f t="shared" si="243"/>
        <v>967.37859586133322</v>
      </c>
      <c r="AC98" s="71">
        <f t="shared" si="244"/>
        <v>133.4570810810811</v>
      </c>
      <c r="AD98" s="71">
        <f t="shared" si="245"/>
        <v>9.0909090909090917</v>
      </c>
      <c r="AE98" s="71">
        <f t="shared" si="246"/>
        <v>0</v>
      </c>
      <c r="AF98" s="71">
        <f t="shared" si="247"/>
        <v>1109.9265860333232</v>
      </c>
      <c r="AG98" s="84"/>
      <c r="AH98" s="84"/>
      <c r="AI98" s="84"/>
      <c r="AJ98" s="84"/>
      <c r="AK98" s="84"/>
      <c r="AL98" s="84"/>
      <c r="AM98" s="84"/>
      <c r="AN98" s="84"/>
      <c r="AO98" s="84"/>
      <c r="AP98" s="84"/>
      <c r="AQ98" s="84"/>
      <c r="AW98">
        <v>1044.5709999999999</v>
      </c>
    </row>
    <row r="99" spans="1:49" ht="15" customHeight="1" x14ac:dyDescent="0.25">
      <c r="A99" s="100" t="s">
        <v>422</v>
      </c>
      <c r="B99" s="100" t="s">
        <v>156</v>
      </c>
      <c r="C99" s="72" t="str">
        <f t="shared" ref="C99:C130" si="248">TEXT(DATEVALUE(A99) + TIMEVALUE(B99), "gg-mm-aaaa hh:mm")</f>
        <v>20-02-2024 10:00</v>
      </c>
      <c r="D99" s="82">
        <v>25</v>
      </c>
      <c r="E99" s="84"/>
      <c r="F99" s="84"/>
      <c r="G99" s="84"/>
      <c r="H99" s="84"/>
      <c r="I99" s="84"/>
      <c r="J99" s="84"/>
      <c r="K99" s="84"/>
      <c r="L99" s="84"/>
      <c r="M99" s="84"/>
      <c r="N99" s="84"/>
      <c r="O99" s="84"/>
      <c r="P99" s="71" t="e">
        <f t="shared" si="163"/>
        <v>#DIV/0!</v>
      </c>
      <c r="Q99" s="85">
        <v>7.31</v>
      </c>
      <c r="R99" s="84"/>
      <c r="S99" s="84"/>
      <c r="T99" s="84"/>
      <c r="U99" s="84"/>
      <c r="V99" s="84"/>
      <c r="W99" s="84"/>
      <c r="X99" s="84">
        <f t="shared" ref="X99:X107" si="249">AW99*(1-0.13178)</f>
        <v>1505.1965487599998</v>
      </c>
      <c r="Y99" s="84">
        <v>51.713999999999999</v>
      </c>
      <c r="Z99" s="84">
        <f>16.7+10.4</f>
        <v>27.1</v>
      </c>
      <c r="AA99" s="84">
        <v>11.173</v>
      </c>
      <c r="AB99" s="71">
        <f t="shared" si="243"/>
        <v>1605.5429853439998</v>
      </c>
      <c r="AC99" s="71">
        <f t="shared" si="244"/>
        <v>78.269837837837841</v>
      </c>
      <c r="AD99" s="71">
        <f t="shared" si="245"/>
        <v>49.272727272727273</v>
      </c>
      <c r="AE99" s="71">
        <f t="shared" si="246"/>
        <v>22.784156862745096</v>
      </c>
      <c r="AF99" s="71">
        <f t="shared" si="247"/>
        <v>1755.86970731731</v>
      </c>
      <c r="AG99" s="84"/>
      <c r="AH99" s="84"/>
      <c r="AI99" s="84"/>
      <c r="AJ99" s="84"/>
      <c r="AK99" s="84"/>
      <c r="AL99" s="84"/>
      <c r="AM99" s="84"/>
      <c r="AN99" s="84"/>
      <c r="AO99" s="84"/>
      <c r="AP99" s="84"/>
      <c r="AQ99" s="84"/>
      <c r="AW99">
        <v>1733.6579999999999</v>
      </c>
    </row>
    <row r="100" spans="1:49" ht="15" customHeight="1" x14ac:dyDescent="0.25">
      <c r="A100" s="100" t="s">
        <v>422</v>
      </c>
      <c r="B100" s="100" t="s">
        <v>292</v>
      </c>
      <c r="C100" s="72" t="str">
        <f t="shared" si="248"/>
        <v>20-02-2024 14:00</v>
      </c>
      <c r="D100" s="82">
        <v>25</v>
      </c>
      <c r="E100" s="84"/>
      <c r="F100" s="84"/>
      <c r="G100" s="84"/>
      <c r="H100" s="84"/>
      <c r="I100" s="84"/>
      <c r="J100" s="84"/>
      <c r="K100" s="84"/>
      <c r="L100" s="84"/>
      <c r="M100" s="84"/>
      <c r="N100" s="84"/>
      <c r="O100" s="84"/>
      <c r="P100" s="71" t="e">
        <f t="shared" si="163"/>
        <v>#DIV/0!</v>
      </c>
      <c r="Q100" s="85">
        <v>7.4</v>
      </c>
      <c r="R100" s="84"/>
      <c r="S100" s="84"/>
      <c r="T100" s="84"/>
      <c r="U100" s="84"/>
      <c r="V100" s="84"/>
      <c r="W100" s="84"/>
      <c r="X100" s="84">
        <f t="shared" si="249"/>
        <v>1476.4358930399999</v>
      </c>
      <c r="Y100" s="84">
        <v>37.540999999999997</v>
      </c>
      <c r="Z100" s="84" t="s">
        <v>393</v>
      </c>
      <c r="AA100" s="84">
        <v>11.36</v>
      </c>
      <c r="AB100" s="71">
        <f t="shared" si="243"/>
        <v>1574.864952576</v>
      </c>
      <c r="AC100" s="71">
        <f t="shared" si="244"/>
        <v>56.818810810810803</v>
      </c>
      <c r="AD100" s="71">
        <f t="shared" si="245"/>
        <v>9.0909090909090917</v>
      </c>
      <c r="AE100" s="71">
        <f t="shared" si="246"/>
        <v>23.165490196078434</v>
      </c>
      <c r="AF100" s="71">
        <f t="shared" si="247"/>
        <v>1663.9401626737983</v>
      </c>
      <c r="AG100" s="84"/>
      <c r="AH100" s="84"/>
      <c r="AI100" s="84"/>
      <c r="AJ100" s="84"/>
      <c r="AK100" s="84"/>
      <c r="AL100" s="84"/>
      <c r="AM100" s="84"/>
      <c r="AN100" s="84"/>
      <c r="AO100" s="84"/>
      <c r="AP100" s="84"/>
      <c r="AQ100" s="84"/>
      <c r="AW100">
        <v>1700.5319999999999</v>
      </c>
    </row>
    <row r="101" spans="1:49" ht="15" customHeight="1" x14ac:dyDescent="0.25">
      <c r="A101" s="100" t="s">
        <v>422</v>
      </c>
      <c r="B101" s="100" t="s">
        <v>163</v>
      </c>
      <c r="C101" s="72" t="str">
        <f t="shared" si="248"/>
        <v>20-02-2024 17:00</v>
      </c>
      <c r="D101" s="82">
        <v>25</v>
      </c>
      <c r="E101" s="84"/>
      <c r="F101" s="84"/>
      <c r="G101" s="84"/>
      <c r="H101" s="84"/>
      <c r="I101" s="84"/>
      <c r="J101" s="84"/>
      <c r="K101" s="84"/>
      <c r="L101" s="84"/>
      <c r="M101" s="84"/>
      <c r="N101" s="84"/>
      <c r="O101" s="84"/>
      <c r="P101" s="71" t="e">
        <f t="shared" si="163"/>
        <v>#DIV/0!</v>
      </c>
      <c r="Q101" s="85">
        <v>7.42</v>
      </c>
      <c r="R101" s="84"/>
      <c r="S101" s="84"/>
      <c r="T101" s="84"/>
      <c r="U101" s="84"/>
      <c r="V101" s="84"/>
      <c r="W101" s="84"/>
      <c r="X101" s="84">
        <f>AW101*(1-0.13178)</f>
        <v>1248.93620644</v>
      </c>
      <c r="Y101" s="84">
        <v>24.321000000000002</v>
      </c>
      <c r="Z101" s="84">
        <v>15.516999999999999</v>
      </c>
      <c r="AA101" s="84" t="s">
        <v>393</v>
      </c>
      <c r="AB101" s="71">
        <f t="shared" si="243"/>
        <v>1332.1986202026667</v>
      </c>
      <c r="AC101" s="71">
        <f t="shared" si="244"/>
        <v>36.810162162162165</v>
      </c>
      <c r="AD101" s="71">
        <f t="shared" si="245"/>
        <v>28.212727272727271</v>
      </c>
      <c r="AE101" s="71">
        <f t="shared" si="246"/>
        <v>10.196078431372548</v>
      </c>
      <c r="AF101" s="71">
        <f t="shared" si="247"/>
        <v>1407.4175880689288</v>
      </c>
      <c r="AG101" s="84"/>
      <c r="AH101" s="84"/>
      <c r="AI101" s="84"/>
      <c r="AJ101" s="84"/>
      <c r="AK101" s="84"/>
      <c r="AL101" s="84"/>
      <c r="AM101" s="84"/>
      <c r="AN101" s="84"/>
      <c r="AO101" s="84"/>
      <c r="AP101" s="84"/>
      <c r="AQ101" s="84"/>
      <c r="AW101">
        <v>1438.502</v>
      </c>
    </row>
    <row r="102" spans="1:49" ht="15" customHeight="1" x14ac:dyDescent="0.25">
      <c r="A102" s="100" t="s">
        <v>235</v>
      </c>
      <c r="B102" s="100" t="s">
        <v>156</v>
      </c>
      <c r="C102" s="72" t="str">
        <f t="shared" si="248"/>
        <v>21-02-2024 10:00</v>
      </c>
      <c r="D102" s="82">
        <v>700</v>
      </c>
      <c r="E102" s="84">
        <v>4.4138999999999999</v>
      </c>
      <c r="F102" s="84">
        <v>28.8294</v>
      </c>
      <c r="G102" s="84">
        <v>5.3212000000000002</v>
      </c>
      <c r="H102" s="84"/>
      <c r="I102" s="84">
        <f t="shared" ref="I102:I103" si="250">F102-E102</f>
        <v>24.415500000000002</v>
      </c>
      <c r="J102" s="84">
        <f t="shared" ref="J102:J103" si="251">G102-E102</f>
        <v>0.90730000000000022</v>
      </c>
      <c r="K102" s="84">
        <f t="shared" ref="K102:K103" si="252">1000*J102/I102</f>
        <v>37.160819970920116</v>
      </c>
      <c r="L102" s="84">
        <f t="shared" ref="L102:L103" si="253">H102-E102</f>
        <v>-4.4138999999999999</v>
      </c>
      <c r="M102" s="84">
        <f t="shared" ref="M102:M103" si="254">1000*L102/I102</f>
        <v>-180.78269951465256</v>
      </c>
      <c r="N102" s="84">
        <f t="shared" ref="N102:N103" si="255">J102-L102</f>
        <v>5.3212000000000002</v>
      </c>
      <c r="O102" s="84">
        <f t="shared" ref="O102:O103" si="256">1000*N102/I102</f>
        <v>217.94351948557266</v>
      </c>
      <c r="P102" s="71">
        <f t="shared" si="163"/>
        <v>586.48738013887339</v>
      </c>
      <c r="Q102" s="84">
        <v>7.49</v>
      </c>
      <c r="R102" s="84">
        <f>4516*2</f>
        <v>9032</v>
      </c>
      <c r="S102" s="84"/>
      <c r="T102" s="84"/>
      <c r="U102" s="84">
        <f>36.9*25</f>
        <v>922.5</v>
      </c>
      <c r="V102" s="84"/>
      <c r="W102" s="84">
        <f>41.3*250</f>
        <v>10325</v>
      </c>
      <c r="X102" s="84">
        <f t="shared" si="249"/>
        <v>1874.9766560799999</v>
      </c>
      <c r="Y102" s="84">
        <v>18.14</v>
      </c>
      <c r="Z102" s="84">
        <v>13.571</v>
      </c>
      <c r="AA102" s="84" t="s">
        <v>393</v>
      </c>
      <c r="AB102" s="71">
        <f t="shared" si="243"/>
        <v>1999.9750998186666</v>
      </c>
      <c r="AC102" s="71">
        <f t="shared" si="244"/>
        <v>27.455135135135137</v>
      </c>
      <c r="AD102" s="71">
        <f t="shared" si="245"/>
        <v>24.674545454545456</v>
      </c>
      <c r="AE102" s="71">
        <f t="shared" si="246"/>
        <v>10.196078431372548</v>
      </c>
      <c r="AF102" s="71">
        <f t="shared" si="247"/>
        <v>2062.3008588397197</v>
      </c>
      <c r="AG102" s="84">
        <f>129*250</f>
        <v>32250</v>
      </c>
      <c r="AH102" s="84"/>
      <c r="AI102" s="84"/>
      <c r="AJ102" s="84"/>
      <c r="AK102" s="84"/>
      <c r="AL102" s="84"/>
      <c r="AM102" s="84"/>
      <c r="AN102" s="84">
        <f>77*25</f>
        <v>1925</v>
      </c>
      <c r="AO102" s="84"/>
      <c r="AP102" s="84"/>
      <c r="AQ102" s="84"/>
      <c r="AW102">
        <v>2159.5639999999999</v>
      </c>
    </row>
    <row r="103" spans="1:49" ht="15" customHeight="1" x14ac:dyDescent="0.25">
      <c r="A103" s="100" t="s">
        <v>235</v>
      </c>
      <c r="B103" s="100" t="s">
        <v>156</v>
      </c>
      <c r="C103" s="72" t="str">
        <f t="shared" si="248"/>
        <v>21-02-2024 10:00</v>
      </c>
      <c r="E103" s="84">
        <v>4.3475999999999999</v>
      </c>
      <c r="F103" s="84">
        <v>25.026499999999999</v>
      </c>
      <c r="G103" s="84">
        <v>5.1082000000000001</v>
      </c>
      <c r="H103" s="84"/>
      <c r="I103" s="84">
        <f t="shared" si="250"/>
        <v>20.678899999999999</v>
      </c>
      <c r="J103" s="84">
        <f t="shared" si="251"/>
        <v>0.76060000000000016</v>
      </c>
      <c r="K103" s="84">
        <f t="shared" si="252"/>
        <v>36.781453558941735</v>
      </c>
      <c r="L103" s="84">
        <f t="shared" si="253"/>
        <v>-4.3475999999999999</v>
      </c>
      <c r="M103" s="84">
        <f t="shared" si="254"/>
        <v>-210.24329147101639</v>
      </c>
      <c r="N103" s="84">
        <f t="shared" si="255"/>
        <v>5.1082000000000001</v>
      </c>
      <c r="O103" s="84">
        <f t="shared" si="256"/>
        <v>247.02474502995807</v>
      </c>
      <c r="P103" s="71">
        <f t="shared" si="163"/>
        <v>671.6013673415722</v>
      </c>
      <c r="Q103" s="84"/>
      <c r="R103" s="84"/>
      <c r="S103" s="84"/>
      <c r="T103" s="84"/>
      <c r="U103" s="84"/>
      <c r="V103" s="84"/>
      <c r="W103" s="84"/>
      <c r="X103" s="84"/>
      <c r="Y103" s="84"/>
      <c r="Z103" s="84"/>
      <c r="AA103" s="84"/>
      <c r="AB103" s="71"/>
      <c r="AC103" s="71"/>
      <c r="AD103" s="71"/>
      <c r="AE103" s="71"/>
      <c r="AF103" s="71"/>
      <c r="AG103" s="84"/>
      <c r="AH103" s="84"/>
      <c r="AI103" s="84"/>
      <c r="AJ103" s="84"/>
      <c r="AK103" s="84"/>
      <c r="AL103" s="84"/>
      <c r="AM103" s="84"/>
      <c r="AN103" s="84"/>
      <c r="AO103" s="84"/>
      <c r="AP103" s="84"/>
      <c r="AQ103" s="84"/>
    </row>
    <row r="104" spans="1:49" ht="15" customHeight="1" x14ac:dyDescent="0.25">
      <c r="A104" s="100" t="s">
        <v>235</v>
      </c>
      <c r="B104" s="100" t="s">
        <v>196</v>
      </c>
      <c r="C104" s="72" t="str">
        <f t="shared" si="248"/>
        <v>21-02-2024 16:00</v>
      </c>
      <c r="D104" s="82">
        <v>25</v>
      </c>
      <c r="E104" s="84"/>
      <c r="F104" s="84"/>
      <c r="G104" s="84"/>
      <c r="H104" s="84"/>
      <c r="I104" s="84"/>
      <c r="J104" s="84"/>
      <c r="K104" s="84"/>
      <c r="L104" s="84"/>
      <c r="M104" s="84"/>
      <c r="N104" s="84"/>
      <c r="O104" s="84"/>
      <c r="P104" s="71" t="e">
        <f t="shared" si="163"/>
        <v>#DIV/0!</v>
      </c>
      <c r="Q104" s="85">
        <f>7.53-0.12</f>
        <v>7.41</v>
      </c>
      <c r="R104" s="84"/>
      <c r="S104" s="84"/>
      <c r="T104" s="84"/>
      <c r="U104" s="84"/>
      <c r="V104" s="84"/>
      <c r="W104" s="84"/>
      <c r="X104" s="84">
        <f t="shared" si="249"/>
        <v>954.2692841999999</v>
      </c>
      <c r="Y104" s="84">
        <v>62.276000000000003</v>
      </c>
      <c r="Z104" s="84">
        <v>17.03</v>
      </c>
      <c r="AA104" s="84" t="s">
        <v>393</v>
      </c>
      <c r="AB104" s="71">
        <f t="shared" ref="AB104:AB105" si="257">IF(X104="&lt; 10 ppm",5*64/60,X104*64/60)</f>
        <v>1017.8872364799998</v>
      </c>
      <c r="AC104" s="71">
        <f t="shared" ref="AC104:AC105" si="258">IF(Y104="&lt; 10 ppm",5*112/74,Y104*112/74)</f>
        <v>94.255567567567567</v>
      </c>
      <c r="AD104" s="71">
        <f t="shared" ref="AD104:AD105" si="259">IF(Z104="&lt; 10 ppm",5*160/88,Z104*160/88)</f>
        <v>30.963636363636365</v>
      </c>
      <c r="AE104" s="71">
        <f t="shared" ref="AE104:AE105" si="260">IF(AA104="&lt; 10 ppm",5*208/102,AA104*208/102)</f>
        <v>10.196078431372548</v>
      </c>
      <c r="AF104" s="71">
        <f t="shared" ref="AF104:AF105" si="261">SUM(AB104:AE104)</f>
        <v>1153.3025188425763</v>
      </c>
      <c r="AG104" s="84"/>
      <c r="AH104" s="84"/>
      <c r="AI104" s="84"/>
      <c r="AJ104" s="84"/>
      <c r="AK104" s="84"/>
      <c r="AL104" s="84"/>
      <c r="AM104" s="84"/>
      <c r="AN104" s="84"/>
      <c r="AO104" s="84"/>
      <c r="AP104" s="84"/>
      <c r="AQ104" s="84"/>
      <c r="AW104">
        <v>1099.1099999999999</v>
      </c>
    </row>
    <row r="105" spans="1:49" ht="15" customHeight="1" x14ac:dyDescent="0.25">
      <c r="A105" s="100" t="s">
        <v>236</v>
      </c>
      <c r="B105" s="100" t="s">
        <v>156</v>
      </c>
      <c r="C105" s="72" t="str">
        <f t="shared" si="248"/>
        <v>23-02-2024 10:00</v>
      </c>
      <c r="D105" s="82">
        <v>831</v>
      </c>
      <c r="E105" s="84">
        <v>4.5204000000000004</v>
      </c>
      <c r="F105" s="84">
        <v>34.732399999999998</v>
      </c>
      <c r="G105" s="84">
        <v>5.5956000000000001</v>
      </c>
      <c r="H105" s="84">
        <v>4.8315000000000001</v>
      </c>
      <c r="I105" s="84">
        <f t="shared" ref="I105" si="262">F105-E105</f>
        <v>30.211999999999996</v>
      </c>
      <c r="J105" s="84">
        <f t="shared" ref="J105" si="263">G105-E105</f>
        <v>1.0751999999999997</v>
      </c>
      <c r="K105" s="84">
        <f t="shared" ref="K105" si="264">1000*J105/I105</f>
        <v>35.588507877664505</v>
      </c>
      <c r="L105" s="84">
        <f t="shared" ref="L105" si="265">H105-E105</f>
        <v>0.31109999999999971</v>
      </c>
      <c r="M105" s="84">
        <f t="shared" ref="M105" si="266">1000*L105/I105</f>
        <v>10.297232887594324</v>
      </c>
      <c r="N105" s="84">
        <f t="shared" ref="N105" si="267">J105-L105</f>
        <v>0.7641</v>
      </c>
      <c r="O105" s="84">
        <f t="shared" ref="O105" si="268">1000*N105/I105</f>
        <v>25.291274990070175</v>
      </c>
      <c r="P105" s="71">
        <f t="shared" ref="P105" si="269">100*O105/K105</f>
        <v>71.065848214285722</v>
      </c>
      <c r="Q105" s="85">
        <f>7.52-0.12</f>
        <v>7.3999999999999995</v>
      </c>
      <c r="R105" s="84"/>
      <c r="S105" s="84"/>
      <c r="T105" s="84"/>
      <c r="U105" s="84"/>
      <c r="V105" s="84"/>
      <c r="W105" s="84"/>
      <c r="X105" s="84">
        <f t="shared" si="249"/>
        <v>1018.1668033199999</v>
      </c>
      <c r="Y105" s="84">
        <v>17.843</v>
      </c>
      <c r="Z105" s="84">
        <v>10.951000000000001</v>
      </c>
      <c r="AA105" s="84" t="s">
        <v>393</v>
      </c>
      <c r="AB105" s="71">
        <f t="shared" si="257"/>
        <v>1086.0445902079998</v>
      </c>
      <c r="AC105" s="71">
        <f t="shared" si="258"/>
        <v>27.005621621621621</v>
      </c>
      <c r="AD105" s="71">
        <f t="shared" si="259"/>
        <v>19.91090909090909</v>
      </c>
      <c r="AE105" s="71">
        <f t="shared" si="260"/>
        <v>10.196078431372548</v>
      </c>
      <c r="AF105" s="71">
        <f t="shared" si="261"/>
        <v>1143.1571993519033</v>
      </c>
      <c r="AG105" s="84"/>
      <c r="AH105" s="84"/>
      <c r="AI105" s="84"/>
      <c r="AJ105" s="84"/>
      <c r="AK105" s="84"/>
      <c r="AL105" s="84"/>
      <c r="AM105" s="84"/>
      <c r="AN105" s="84"/>
      <c r="AO105" s="84"/>
      <c r="AP105" s="84"/>
      <c r="AQ105" s="84"/>
      <c r="AW105">
        <v>1172.7059999999999</v>
      </c>
    </row>
    <row r="106" spans="1:49" ht="15" customHeight="1" x14ac:dyDescent="0.25">
      <c r="A106" s="100" t="s">
        <v>236</v>
      </c>
      <c r="B106" s="100" t="s">
        <v>163</v>
      </c>
      <c r="C106" s="72" t="str">
        <f t="shared" si="248"/>
        <v>23-02-2024 17:00</v>
      </c>
      <c r="D106" s="82">
        <v>25</v>
      </c>
      <c r="E106" s="84"/>
      <c r="F106" s="84"/>
      <c r="G106" s="84"/>
      <c r="H106" s="84"/>
      <c r="I106" s="84"/>
      <c r="J106" s="84"/>
      <c r="K106" s="84"/>
      <c r="L106" s="84"/>
      <c r="M106" s="84"/>
      <c r="N106" s="84"/>
      <c r="O106" s="84"/>
      <c r="P106" s="71" t="e">
        <f t="shared" si="163"/>
        <v>#DIV/0!</v>
      </c>
      <c r="Q106" s="85">
        <f>7.44-0.12</f>
        <v>7.32</v>
      </c>
      <c r="R106" s="84"/>
      <c r="S106" s="84"/>
      <c r="T106" s="84"/>
      <c r="U106" s="84"/>
      <c r="V106" s="84"/>
      <c r="W106" s="84"/>
      <c r="X106" s="84">
        <f t="shared" si="249"/>
        <v>1549.03297656</v>
      </c>
      <c r="Y106" s="84">
        <v>151.87</v>
      </c>
      <c r="Z106" s="84">
        <f>22.725+11.143</f>
        <v>33.868000000000002</v>
      </c>
      <c r="AA106" s="84">
        <v>24.445</v>
      </c>
      <c r="AB106" s="71">
        <f t="shared" ref="AB106:AB107" si="270">IF(X106="&lt; 10 ppm",5*64/60,X106*64/60)</f>
        <v>1652.301841664</v>
      </c>
      <c r="AC106" s="71">
        <f t="shared" ref="AC106:AC110" si="271">IF(Y106="&lt; 10 ppm",5*112/74,Y106*112/74)</f>
        <v>229.85729729729732</v>
      </c>
      <c r="AD106" s="71">
        <f t="shared" ref="AD106:AD110" si="272">IF(Z106="&lt; 10 ppm",5*160/88,Z106*160/88)</f>
        <v>61.578181818181818</v>
      </c>
      <c r="AE106" s="71">
        <f t="shared" ref="AE106:AE110" si="273">IF(AA106="&lt; 10 ppm",5*208/102,AA106*208/102)</f>
        <v>49.848627450980395</v>
      </c>
      <c r="AF106" s="71">
        <f t="shared" ref="AF106:AF110" si="274">SUM(AB106:AE106)</f>
        <v>1993.5859482304593</v>
      </c>
      <c r="AG106" s="84"/>
      <c r="AH106" s="84"/>
      <c r="AI106" s="84"/>
      <c r="AJ106" s="84"/>
      <c r="AK106" s="84"/>
      <c r="AL106" s="84"/>
      <c r="AM106" s="84"/>
      <c r="AN106" s="84"/>
      <c r="AO106" s="84"/>
      <c r="AP106" s="84"/>
      <c r="AQ106" s="84"/>
      <c r="AW106">
        <v>1784.1479999999999</v>
      </c>
    </row>
    <row r="107" spans="1:49" ht="15" customHeight="1" x14ac:dyDescent="0.25">
      <c r="A107" s="100" t="s">
        <v>238</v>
      </c>
      <c r="B107" s="100" t="s">
        <v>167</v>
      </c>
      <c r="C107" s="72" t="str">
        <f t="shared" si="248"/>
        <v>26-02-2024 11:00</v>
      </c>
      <c r="D107" s="82">
        <v>798</v>
      </c>
      <c r="E107" s="84">
        <v>4.4210000000000003</v>
      </c>
      <c r="F107" s="84">
        <v>27.709900000000001</v>
      </c>
      <c r="G107" s="84">
        <v>5.2670000000000003</v>
      </c>
      <c r="H107" s="84">
        <v>4.6688000000000001</v>
      </c>
      <c r="I107" s="84">
        <f t="shared" ref="I107" si="275">F107-E107</f>
        <v>23.288900000000002</v>
      </c>
      <c r="J107" s="84">
        <f t="shared" ref="J107" si="276">G107-E107</f>
        <v>0.84600000000000009</v>
      </c>
      <c r="K107" s="84">
        <f t="shared" ref="K107" si="277">1000*J107/I107</f>
        <v>36.326318546603751</v>
      </c>
      <c r="L107" s="84">
        <f t="shared" ref="L107" si="278">H107-E107</f>
        <v>0.2477999999999998</v>
      </c>
      <c r="M107" s="84">
        <f t="shared" ref="M107" si="279">1000*L107/I107</f>
        <v>10.640262099111585</v>
      </c>
      <c r="N107" s="84">
        <f t="shared" ref="N107" si="280">J107-L107</f>
        <v>0.59820000000000029</v>
      </c>
      <c r="O107" s="84">
        <f t="shared" ref="O107" si="281">1000*N107/I107</f>
        <v>25.686056447492163</v>
      </c>
      <c r="P107" s="71">
        <f t="shared" si="163"/>
        <v>70.709219858156047</v>
      </c>
      <c r="Q107" s="85">
        <f>7.52-0.12</f>
        <v>7.3999999999999995</v>
      </c>
      <c r="R107" s="84"/>
      <c r="S107" s="84"/>
      <c r="T107" s="84"/>
      <c r="U107" s="84"/>
      <c r="V107" s="84"/>
      <c r="W107" s="84"/>
      <c r="X107" s="84">
        <f t="shared" si="249"/>
        <v>1378.1412339599999</v>
      </c>
      <c r="Y107" s="84">
        <v>28.731000000000002</v>
      </c>
      <c r="Z107" s="84">
        <v>17.289000000000001</v>
      </c>
      <c r="AA107" s="84">
        <v>26.695</v>
      </c>
      <c r="AB107" s="71">
        <f t="shared" si="270"/>
        <v>1470.0173162239998</v>
      </c>
      <c r="AC107" s="71">
        <f t="shared" si="271"/>
        <v>43.484756756756759</v>
      </c>
      <c r="AD107" s="71">
        <f t="shared" si="272"/>
        <v>31.434545454545457</v>
      </c>
      <c r="AE107" s="71">
        <f t="shared" si="273"/>
        <v>54.43686274509804</v>
      </c>
      <c r="AF107" s="71">
        <f t="shared" si="274"/>
        <v>1599.3734811804002</v>
      </c>
      <c r="AG107" s="84"/>
      <c r="AH107" s="84"/>
      <c r="AI107" s="84"/>
      <c r="AJ107" s="84"/>
      <c r="AK107" s="84"/>
      <c r="AL107" s="84"/>
      <c r="AM107" s="84"/>
      <c r="AN107" s="84"/>
      <c r="AO107" s="84"/>
      <c r="AP107" s="84"/>
      <c r="AQ107" s="84"/>
      <c r="AW107">
        <v>1587.318</v>
      </c>
    </row>
    <row r="108" spans="1:49" ht="15" customHeight="1" x14ac:dyDescent="0.25">
      <c r="A108" s="100" t="s">
        <v>238</v>
      </c>
      <c r="B108" s="100" t="s">
        <v>196</v>
      </c>
      <c r="C108" s="72" t="str">
        <f t="shared" si="248"/>
        <v>26-02-2024 16:00</v>
      </c>
      <c r="D108" s="82">
        <v>25</v>
      </c>
      <c r="E108" s="84"/>
      <c r="F108" s="84"/>
      <c r="G108" s="84"/>
      <c r="H108" s="84"/>
      <c r="I108" s="84"/>
      <c r="J108" s="84"/>
      <c r="K108" s="84"/>
      <c r="L108" s="84"/>
      <c r="M108" s="84"/>
      <c r="N108" s="84"/>
      <c r="O108" s="84"/>
      <c r="P108" s="71" t="e">
        <f t="shared" si="163"/>
        <v>#DIV/0!</v>
      </c>
      <c r="Q108" s="85">
        <f>7.49-0.12</f>
        <v>7.37</v>
      </c>
      <c r="R108" s="84"/>
      <c r="S108" s="84"/>
      <c r="T108" s="84"/>
      <c r="U108" s="84"/>
      <c r="V108" s="84"/>
      <c r="W108" s="84"/>
      <c r="X108" s="84">
        <f>AW108*(1-0.13178)</f>
        <v>1129.34671542</v>
      </c>
      <c r="Y108" s="84">
        <v>88.625</v>
      </c>
      <c r="Z108" s="84">
        <v>19.529</v>
      </c>
      <c r="AA108" s="84">
        <v>25.114999999999998</v>
      </c>
      <c r="AB108" s="71">
        <f>IF(X108="&lt; 10 ppm",5*64/60,X108*64/60)</f>
        <v>1204.6364964480001</v>
      </c>
      <c r="AC108" s="71">
        <f t="shared" si="271"/>
        <v>134.13513513513513</v>
      </c>
      <c r="AD108" s="71">
        <f t="shared" si="272"/>
        <v>35.507272727272728</v>
      </c>
      <c r="AE108" s="71">
        <f t="shared" si="273"/>
        <v>51.214901960784317</v>
      </c>
      <c r="AF108" s="71">
        <f t="shared" si="274"/>
        <v>1425.4938062711924</v>
      </c>
      <c r="AG108" s="84"/>
      <c r="AH108" s="84"/>
      <c r="AI108" s="84"/>
      <c r="AJ108" s="84"/>
      <c r="AK108" s="84"/>
      <c r="AL108" s="84"/>
      <c r="AM108" s="84"/>
      <c r="AN108" s="84"/>
      <c r="AO108" s="84"/>
      <c r="AP108" s="84"/>
      <c r="AQ108" s="84"/>
      <c r="AW108">
        <v>1300.761</v>
      </c>
    </row>
    <row r="109" spans="1:49" ht="15" customHeight="1" x14ac:dyDescent="0.25">
      <c r="A109" s="100" t="s">
        <v>240</v>
      </c>
      <c r="B109" s="100" t="s">
        <v>163</v>
      </c>
      <c r="C109" s="72" t="str">
        <f t="shared" si="248"/>
        <v>28-02-2024 17:00</v>
      </c>
      <c r="D109" s="82">
        <f>786+25</f>
        <v>811</v>
      </c>
      <c r="E109" s="71"/>
      <c r="F109" s="71"/>
      <c r="G109" s="71"/>
      <c r="H109" s="71"/>
      <c r="I109" s="71"/>
      <c r="J109" s="71"/>
      <c r="K109" s="71"/>
      <c r="L109" s="71"/>
      <c r="M109" s="71"/>
      <c r="N109" s="71"/>
      <c r="O109" s="71"/>
      <c r="P109" s="71" t="e">
        <f t="shared" si="163"/>
        <v>#DIV/0!</v>
      </c>
      <c r="Q109" s="85">
        <f>7.52-0.12</f>
        <v>7.3999999999999995</v>
      </c>
      <c r="R109" s="84"/>
      <c r="S109" s="84"/>
      <c r="T109" s="84"/>
      <c r="U109" s="84"/>
      <c r="V109" s="84"/>
      <c r="W109" s="84"/>
      <c r="X109" s="84">
        <f>AW109*(1-0.13178)</f>
        <v>1437.6993895199998</v>
      </c>
      <c r="Y109" s="84">
        <v>106.27800000000001</v>
      </c>
      <c r="Z109" s="84">
        <f>20.447+7.646</f>
        <v>28.093</v>
      </c>
      <c r="AA109" s="84">
        <v>14.782999999999999</v>
      </c>
      <c r="AB109" s="71">
        <f>IF(X109="&lt; 10 ppm",5*64/60,X109*64/60)</f>
        <v>1533.5460154879997</v>
      </c>
      <c r="AC109" s="71">
        <f t="shared" si="271"/>
        <v>160.85318918918921</v>
      </c>
      <c r="AD109" s="71">
        <f t="shared" si="272"/>
        <v>51.078181818181818</v>
      </c>
      <c r="AE109" s="71">
        <f t="shared" si="273"/>
        <v>30.145725490196078</v>
      </c>
      <c r="AF109" s="71">
        <f t="shared" si="274"/>
        <v>1775.6231119855668</v>
      </c>
      <c r="AG109" s="84"/>
      <c r="AH109" s="84"/>
      <c r="AI109" s="84"/>
      <c r="AJ109" s="84"/>
      <c r="AK109" s="84"/>
      <c r="AL109" s="84"/>
      <c r="AM109" s="84"/>
      <c r="AN109" s="84"/>
      <c r="AO109" s="84"/>
      <c r="AP109" s="84"/>
      <c r="AQ109" s="84"/>
      <c r="AR109" t="s">
        <v>449</v>
      </c>
      <c r="AW109">
        <v>1655.9159999999999</v>
      </c>
    </row>
    <row r="110" spans="1:49" ht="15" customHeight="1" x14ac:dyDescent="0.25">
      <c r="A110" s="100" t="s">
        <v>423</v>
      </c>
      <c r="B110" s="100" t="s">
        <v>196</v>
      </c>
      <c r="C110" s="72" t="str">
        <f t="shared" si="248"/>
        <v>01-03-2024 16:00</v>
      </c>
      <c r="D110" s="82">
        <v>1011.3</v>
      </c>
      <c r="E110" s="71">
        <v>4.1900000000000004</v>
      </c>
      <c r="F110" s="71">
        <v>35.622300000000003</v>
      </c>
      <c r="G110" s="71">
        <v>5.2610000000000001</v>
      </c>
      <c r="H110" s="71">
        <v>4.5160999999999998</v>
      </c>
      <c r="I110" s="71">
        <f t="shared" ref="I110" si="282">F110-E110</f>
        <v>31.432300000000001</v>
      </c>
      <c r="J110" s="71">
        <f t="shared" ref="J110" si="283">G110-E110</f>
        <v>1.0709999999999997</v>
      </c>
      <c r="K110" s="71">
        <f t="shared" ref="K110" si="284">1000*J110/I110</f>
        <v>34.073230403120348</v>
      </c>
      <c r="L110" s="71">
        <f t="shared" ref="L110" si="285">H110-E110</f>
        <v>0.32609999999999939</v>
      </c>
      <c r="M110" s="71">
        <f t="shared" ref="M110" si="286">1000*L110/I110</f>
        <v>10.374678276804413</v>
      </c>
      <c r="N110" s="71">
        <f t="shared" ref="N110" si="287">J110-L110</f>
        <v>0.74490000000000034</v>
      </c>
      <c r="O110" s="71">
        <f t="shared" ref="O110" si="288">1000*N110/I110</f>
        <v>23.698552126315931</v>
      </c>
      <c r="P110" s="71">
        <f t="shared" si="163"/>
        <v>69.551820728291361</v>
      </c>
      <c r="Q110" s="85">
        <f>7.56-0.12</f>
        <v>7.4399999999999995</v>
      </c>
      <c r="R110" s="84"/>
      <c r="S110" s="84"/>
      <c r="T110" s="84"/>
      <c r="U110" s="84"/>
      <c r="V110" s="84"/>
      <c r="W110" s="84"/>
      <c r="X110" s="84">
        <f>AW110*(1-0.13178)</f>
        <v>940.83618435999995</v>
      </c>
      <c r="Y110" s="84">
        <v>15.593</v>
      </c>
      <c r="Z110" s="84">
        <v>15.311999999999999</v>
      </c>
      <c r="AA110" s="84">
        <v>0</v>
      </c>
      <c r="AB110" s="71">
        <f>IF(X110="&lt; 10 ppm",5*64/60,X110*64/60)</f>
        <v>1003.5585966506666</v>
      </c>
      <c r="AC110" s="71">
        <f t="shared" si="271"/>
        <v>23.600216216216214</v>
      </c>
      <c r="AD110" s="71">
        <f t="shared" si="272"/>
        <v>27.84</v>
      </c>
      <c r="AE110" s="71">
        <f t="shared" si="273"/>
        <v>0</v>
      </c>
      <c r="AF110" s="71">
        <f t="shared" si="274"/>
        <v>1054.9988128668826</v>
      </c>
      <c r="AG110" s="84"/>
      <c r="AH110" s="84"/>
      <c r="AI110" s="84"/>
      <c r="AJ110" s="84"/>
      <c r="AK110" s="84"/>
      <c r="AL110" s="84"/>
      <c r="AM110" s="84"/>
      <c r="AN110" s="84"/>
      <c r="AO110" s="84"/>
      <c r="AP110" s="84"/>
      <c r="AQ110" s="84"/>
      <c r="AW110">
        <v>1083.6379999999999</v>
      </c>
    </row>
    <row r="111" spans="1:49" ht="15" customHeight="1" x14ac:dyDescent="0.25">
      <c r="A111" s="100" t="s">
        <v>424</v>
      </c>
      <c r="B111" s="100" t="s">
        <v>167</v>
      </c>
      <c r="C111" s="72" t="str">
        <f t="shared" si="248"/>
        <v>04-03-2024 11:00</v>
      </c>
      <c r="D111" s="82">
        <v>1190</v>
      </c>
      <c r="E111" s="71"/>
      <c r="F111" s="71"/>
      <c r="G111" s="71"/>
      <c r="H111" s="71"/>
      <c r="I111" s="71"/>
      <c r="J111" s="71"/>
      <c r="K111" s="71"/>
      <c r="L111" s="71"/>
      <c r="M111" s="71"/>
      <c r="N111" s="71"/>
      <c r="O111" s="71"/>
      <c r="P111" s="71" t="e">
        <f t="shared" si="163"/>
        <v>#DIV/0!</v>
      </c>
      <c r="Q111" s="84">
        <f>7.58-0.12</f>
        <v>7.46</v>
      </c>
      <c r="R111" s="84"/>
      <c r="S111" s="84"/>
      <c r="T111" s="84"/>
      <c r="U111" s="84"/>
      <c r="V111" s="84"/>
      <c r="W111" s="84"/>
      <c r="X111" s="84">
        <f t="shared" ref="X111:X136" si="289">AW111*(1-0.13178)</f>
        <v>632.82645716000002</v>
      </c>
      <c r="Y111" s="84">
        <v>13.563000000000001</v>
      </c>
      <c r="Z111" s="84">
        <v>14.145</v>
      </c>
      <c r="AA111" s="84">
        <v>0</v>
      </c>
      <c r="AB111" s="71">
        <f t="shared" ref="AB111:AB121" si="290">IF(X111="&lt; 10 ppm",5*64/60,X111*64/60)</f>
        <v>675.01488763733335</v>
      </c>
      <c r="AC111" s="71">
        <f t="shared" ref="AC111:AC117" si="291">IF(Y111="&lt; 10 ppm",5*112/74,Y111*112/74)</f>
        <v>20.527783783783786</v>
      </c>
      <c r="AD111" s="71">
        <f t="shared" ref="AD111:AD117" si="292">IF(Z111="&lt; 10 ppm",5*160/88,Z111*160/88)</f>
        <v>25.718181818181815</v>
      </c>
      <c r="AE111" s="71">
        <f t="shared" ref="AE111:AE117" si="293">IF(AA111="&lt; 10 ppm",5*208/102,AA111*208/102)</f>
        <v>0</v>
      </c>
      <c r="AF111" s="71">
        <f t="shared" ref="AF111:AF117" si="294">SUM(AB111:AE111)</f>
        <v>721.26085323929897</v>
      </c>
      <c r="AG111" s="84"/>
      <c r="AH111" s="84"/>
      <c r="AI111" s="84"/>
      <c r="AJ111" s="84"/>
      <c r="AK111" s="84"/>
      <c r="AL111" s="84"/>
      <c r="AM111" s="84"/>
      <c r="AN111" s="84"/>
      <c r="AO111" s="84"/>
      <c r="AP111" s="84"/>
      <c r="AQ111" s="84"/>
      <c r="AR111" t="s">
        <v>450</v>
      </c>
      <c r="AW111">
        <v>728.87800000000004</v>
      </c>
    </row>
    <row r="112" spans="1:49" ht="15" customHeight="1" x14ac:dyDescent="0.25">
      <c r="A112" s="100" t="s">
        <v>425</v>
      </c>
      <c r="B112" s="100" t="s">
        <v>196</v>
      </c>
      <c r="C112" s="72" t="str">
        <f t="shared" si="248"/>
        <v>06-03-2024 16:00</v>
      </c>
      <c r="D112" s="82">
        <v>841.3</v>
      </c>
      <c r="E112" s="71">
        <v>4.3436000000000003</v>
      </c>
      <c r="F112" s="71">
        <v>29.882100000000001</v>
      </c>
      <c r="G112" s="71">
        <v>5.2647000000000004</v>
      </c>
      <c r="H112" s="71"/>
      <c r="I112" s="71">
        <f t="shared" ref="I112" si="295">F112-E112</f>
        <v>25.538499999999999</v>
      </c>
      <c r="J112" s="71">
        <f t="shared" ref="J112" si="296">G112-E112</f>
        <v>0.92110000000000003</v>
      </c>
      <c r="K112" s="71">
        <f t="shared" ref="K112" si="297">1000*J112/I112</f>
        <v>36.067114356755489</v>
      </c>
      <c r="L112" s="71">
        <f t="shared" ref="L112" si="298">H112-E112</f>
        <v>-4.3436000000000003</v>
      </c>
      <c r="M112" s="71">
        <f t="shared" ref="M112" si="299">1000*L112/I112</f>
        <v>-170.08046674628505</v>
      </c>
      <c r="N112" s="71">
        <f t="shared" ref="N112" si="300">J112-L112</f>
        <v>5.2647000000000004</v>
      </c>
      <c r="O112" s="71">
        <f t="shared" ref="O112" si="301">1000*N112/I112</f>
        <v>206.14758110304055</v>
      </c>
      <c r="P112" s="71">
        <f t="shared" si="163"/>
        <v>571.56660514602106</v>
      </c>
      <c r="Q112" s="84">
        <v>7.42</v>
      </c>
      <c r="R112" s="84"/>
      <c r="S112" s="84"/>
      <c r="T112" s="84"/>
      <c r="U112" s="84"/>
      <c r="V112" s="84"/>
      <c r="W112" s="84"/>
      <c r="X112" s="84">
        <f t="shared" si="289"/>
        <v>921.54867706000005</v>
      </c>
      <c r="Y112" s="84" t="s">
        <v>393</v>
      </c>
      <c r="Z112" s="84">
        <v>11.074</v>
      </c>
      <c r="AA112" s="84">
        <v>0</v>
      </c>
      <c r="AB112" s="71">
        <f t="shared" si="290"/>
        <v>982.98525553066668</v>
      </c>
      <c r="AC112" s="71">
        <f t="shared" si="291"/>
        <v>7.5675675675675675</v>
      </c>
      <c r="AD112" s="71">
        <f t="shared" si="292"/>
        <v>20.134545454545453</v>
      </c>
      <c r="AE112" s="71">
        <f t="shared" si="293"/>
        <v>0</v>
      </c>
      <c r="AF112" s="71">
        <f t="shared" si="294"/>
        <v>1010.6873685527797</v>
      </c>
      <c r="AG112" s="84"/>
      <c r="AH112" s="84"/>
      <c r="AI112" s="84"/>
      <c r="AJ112" s="84"/>
      <c r="AK112" s="84"/>
      <c r="AL112" s="84"/>
      <c r="AM112" s="84"/>
      <c r="AN112" s="84"/>
      <c r="AO112" s="84"/>
      <c r="AP112" s="84"/>
      <c r="AQ112" s="84"/>
      <c r="AW112">
        <v>1061.423</v>
      </c>
    </row>
    <row r="113" spans="1:49" ht="15" customHeight="1" x14ac:dyDescent="0.25">
      <c r="A113" s="100" t="s">
        <v>426</v>
      </c>
      <c r="B113" s="100" t="s">
        <v>196</v>
      </c>
      <c r="C113" s="72" t="str">
        <f t="shared" si="248"/>
        <v>08-03-2024 16:00</v>
      </c>
      <c r="D113" s="82">
        <v>1022.1</v>
      </c>
      <c r="E113" s="71">
        <v>4.4169999999999998</v>
      </c>
      <c r="F113" s="71">
        <v>36.095500000000001</v>
      </c>
      <c r="G113" s="71">
        <v>5.5632999999999999</v>
      </c>
      <c r="H113" s="71"/>
      <c r="I113" s="71">
        <f t="shared" ref="I113" si="302">F113-E113</f>
        <v>31.6785</v>
      </c>
      <c r="J113" s="71">
        <f t="shared" ref="J113" si="303">G113-E113</f>
        <v>1.1463000000000001</v>
      </c>
      <c r="K113" s="71">
        <f t="shared" ref="K113" si="304">1000*J113/I113</f>
        <v>36.185425446280604</v>
      </c>
      <c r="L113" s="71">
        <f t="shared" ref="L113" si="305">H113-E113</f>
        <v>-4.4169999999999998</v>
      </c>
      <c r="M113" s="71">
        <f t="shared" ref="M113" si="306">1000*L113/I113</f>
        <v>-139.43210694950835</v>
      </c>
      <c r="N113" s="71">
        <f t="shared" ref="N113" si="307">J113-L113</f>
        <v>5.5632999999999999</v>
      </c>
      <c r="O113" s="71">
        <f t="shared" ref="O113" si="308">1000*N113/I113</f>
        <v>175.61753239578894</v>
      </c>
      <c r="P113" s="71">
        <f t="shared" si="163"/>
        <v>485.32670330628974</v>
      </c>
      <c r="Q113" s="84">
        <v>7.42</v>
      </c>
      <c r="R113" s="84"/>
      <c r="S113" s="84"/>
      <c r="T113" s="84"/>
      <c r="U113" s="84"/>
      <c r="V113" s="84"/>
      <c r="W113" s="84"/>
      <c r="X113" s="84">
        <f t="shared" si="289"/>
        <v>814.93907503999992</v>
      </c>
      <c r="Y113" s="84">
        <v>10.077999999999999</v>
      </c>
      <c r="Z113" s="84">
        <v>12.298999999999999</v>
      </c>
      <c r="AA113" s="84" t="s">
        <v>393</v>
      </c>
      <c r="AB113" s="71">
        <f t="shared" si="290"/>
        <v>869.26834670933329</v>
      </c>
      <c r="AC113" s="71">
        <f t="shared" si="291"/>
        <v>15.253189189189188</v>
      </c>
      <c r="AD113" s="71">
        <f t="shared" si="292"/>
        <v>22.36181818181818</v>
      </c>
      <c r="AE113" s="71">
        <f t="shared" si="293"/>
        <v>10.196078431372548</v>
      </c>
      <c r="AF113" s="71">
        <f t="shared" si="294"/>
        <v>917.07943251171332</v>
      </c>
      <c r="AG113" s="84"/>
      <c r="AH113" s="84"/>
      <c r="AI113" s="84"/>
      <c r="AJ113" s="84"/>
      <c r="AK113" s="84"/>
      <c r="AL113" s="84"/>
      <c r="AM113" s="84"/>
      <c r="AN113" s="84"/>
      <c r="AO113" s="84"/>
      <c r="AP113" s="84"/>
      <c r="AQ113" s="84"/>
      <c r="AW113">
        <v>938.63199999999995</v>
      </c>
    </row>
    <row r="114" spans="1:49" ht="15" customHeight="1" x14ac:dyDescent="0.25">
      <c r="A114" s="100" t="s">
        <v>245</v>
      </c>
      <c r="B114" s="100" t="s">
        <v>223</v>
      </c>
      <c r="C114" s="72" t="str">
        <f t="shared" si="248"/>
        <v>11-03-2024 11:30</v>
      </c>
      <c r="D114" s="82">
        <v>794</v>
      </c>
      <c r="E114" s="71"/>
      <c r="F114" s="71"/>
      <c r="G114" s="71"/>
      <c r="H114" s="71"/>
      <c r="I114" s="71"/>
      <c r="J114" s="71"/>
      <c r="K114" s="71"/>
      <c r="L114" s="71"/>
      <c r="M114" s="71"/>
      <c r="N114" s="71"/>
      <c r="O114" s="71"/>
      <c r="P114" s="71" t="e">
        <f t="shared" si="163"/>
        <v>#DIV/0!</v>
      </c>
      <c r="Q114" s="84">
        <v>7.45</v>
      </c>
      <c r="R114" s="84"/>
      <c r="S114" s="84"/>
      <c r="T114" s="84"/>
      <c r="U114" s="84"/>
      <c r="V114" s="84"/>
      <c r="W114" s="84"/>
      <c r="X114" s="84">
        <f t="shared" si="289"/>
        <v>431.63470477999999</v>
      </c>
      <c r="Y114" s="84" t="s">
        <v>393</v>
      </c>
      <c r="Z114" s="84" t="s">
        <v>393</v>
      </c>
      <c r="AA114" s="84" t="s">
        <v>393</v>
      </c>
      <c r="AB114" s="71">
        <f t="shared" si="290"/>
        <v>460.4103517653333</v>
      </c>
      <c r="AC114" s="71">
        <f t="shared" si="291"/>
        <v>7.5675675675675675</v>
      </c>
      <c r="AD114" s="71">
        <f t="shared" si="292"/>
        <v>9.0909090909090917</v>
      </c>
      <c r="AE114" s="71">
        <f t="shared" si="293"/>
        <v>10.196078431372548</v>
      </c>
      <c r="AF114" s="71">
        <f t="shared" si="294"/>
        <v>487.26490685518246</v>
      </c>
      <c r="AG114" s="84"/>
      <c r="AH114" s="84"/>
      <c r="AI114" s="84"/>
      <c r="AJ114" s="84"/>
      <c r="AK114" s="84"/>
      <c r="AL114" s="84"/>
      <c r="AM114" s="84"/>
      <c r="AN114" s="84"/>
      <c r="AO114" s="84"/>
      <c r="AP114" s="84"/>
      <c r="AQ114" s="84"/>
      <c r="AW114">
        <v>497.149</v>
      </c>
    </row>
    <row r="115" spans="1:49" ht="15" customHeight="1" x14ac:dyDescent="0.25">
      <c r="A115" s="100" t="s">
        <v>246</v>
      </c>
      <c r="B115" s="100" t="s">
        <v>156</v>
      </c>
      <c r="C115" s="72" t="str">
        <f t="shared" si="248"/>
        <v>13-03-2024 10:00</v>
      </c>
      <c r="D115" s="82">
        <v>725.6</v>
      </c>
      <c r="E115" s="71">
        <v>4.3747999999999996</v>
      </c>
      <c r="F115" s="71">
        <v>35.445999999999998</v>
      </c>
      <c r="G115" s="71">
        <v>5.4759000000000002</v>
      </c>
      <c r="H115" s="71"/>
      <c r="I115" s="71">
        <f t="shared" ref="I115" si="309">F115-E115</f>
        <v>31.071199999999997</v>
      </c>
      <c r="J115" s="71">
        <f t="shared" ref="J115" si="310">G115-E115</f>
        <v>1.1011000000000006</v>
      </c>
      <c r="K115" s="71">
        <f t="shared" ref="K115" si="311">1000*J115/I115</f>
        <v>35.437961842477947</v>
      </c>
      <c r="L115" s="71">
        <f t="shared" ref="L115" si="312">H115-E115</f>
        <v>-4.3747999999999996</v>
      </c>
      <c r="M115" s="71">
        <f t="shared" ref="M115" si="313">1000*L115/I115</f>
        <v>-140.79919668374572</v>
      </c>
      <c r="N115" s="71">
        <f t="shared" ref="N115" si="314">J115-L115</f>
        <v>5.4759000000000002</v>
      </c>
      <c r="O115" s="71">
        <f t="shared" ref="O115" si="315">1000*N115/I115</f>
        <v>176.23715852622368</v>
      </c>
      <c r="P115" s="71">
        <f t="shared" si="163"/>
        <v>497.31177912996071</v>
      </c>
      <c r="Q115" s="84">
        <v>7.4</v>
      </c>
      <c r="R115" s="84">
        <f>4351*2</f>
        <v>8702</v>
      </c>
      <c r="S115" s="84"/>
      <c r="T115" s="84"/>
      <c r="U115" s="84">
        <f>37.8*25</f>
        <v>944.99999999999989</v>
      </c>
      <c r="V115" s="84"/>
      <c r="W115" s="84">
        <f>33*250</f>
        <v>8250</v>
      </c>
      <c r="X115" s="84">
        <f t="shared" si="289"/>
        <v>506.35024510000005</v>
      </c>
      <c r="Y115" s="84" t="s">
        <v>393</v>
      </c>
      <c r="Z115" s="84" t="s">
        <v>393</v>
      </c>
      <c r="AA115" s="84" t="s">
        <v>393</v>
      </c>
      <c r="AB115" s="71">
        <f t="shared" si="290"/>
        <v>540.10692810666671</v>
      </c>
      <c r="AC115" s="71">
        <f t="shared" si="291"/>
        <v>7.5675675675675675</v>
      </c>
      <c r="AD115" s="71">
        <f t="shared" si="292"/>
        <v>9.0909090909090917</v>
      </c>
      <c r="AE115" s="71">
        <f t="shared" si="293"/>
        <v>10.196078431372548</v>
      </c>
      <c r="AF115" s="71">
        <f t="shared" si="294"/>
        <v>566.96148319651604</v>
      </c>
      <c r="AG115" s="84">
        <f>143*250</f>
        <v>35750</v>
      </c>
      <c r="AH115" s="84"/>
      <c r="AI115" s="84"/>
      <c r="AJ115" s="84"/>
      <c r="AK115" s="84"/>
      <c r="AL115" s="84"/>
      <c r="AM115" s="84"/>
      <c r="AN115" s="84">
        <f>90.4*25</f>
        <v>2260</v>
      </c>
      <c r="AO115" s="84"/>
      <c r="AP115" s="84"/>
      <c r="AQ115" s="84"/>
      <c r="AW115">
        <v>583.20500000000004</v>
      </c>
    </row>
    <row r="116" spans="1:49" ht="15" customHeight="1" x14ac:dyDescent="0.25">
      <c r="A116" s="100" t="s">
        <v>246</v>
      </c>
      <c r="B116" s="100" t="s">
        <v>156</v>
      </c>
      <c r="C116" s="72" t="str">
        <f t="shared" si="248"/>
        <v>13-03-2024 10:00</v>
      </c>
      <c r="D116" s="82"/>
      <c r="E116" s="71">
        <v>4.3894000000000002</v>
      </c>
      <c r="F116" s="71">
        <v>34.083100000000002</v>
      </c>
      <c r="G116" s="71">
        <v>5.4435000000000002</v>
      </c>
      <c r="H116" s="71"/>
      <c r="I116" s="71">
        <f t="shared" ref="I116" si="316">F116-E116</f>
        <v>29.6937</v>
      </c>
      <c r="J116" s="71">
        <f t="shared" ref="J116" si="317">G116-E116</f>
        <v>1.0541</v>
      </c>
      <c r="K116" s="71">
        <f t="shared" ref="K116" si="318">1000*J116/I116</f>
        <v>35.499112606377786</v>
      </c>
      <c r="L116" s="71">
        <f t="shared" ref="L116" si="319">H116-E116</f>
        <v>-4.3894000000000002</v>
      </c>
      <c r="M116" s="71">
        <f t="shared" ref="M116" si="320">1000*L116/I116</f>
        <v>-147.82260210078235</v>
      </c>
      <c r="N116" s="71">
        <f t="shared" ref="N116" si="321">J116-L116</f>
        <v>5.4435000000000002</v>
      </c>
      <c r="O116" s="71">
        <f t="shared" ref="O116" si="322">1000*N116/I116</f>
        <v>183.32171470716011</v>
      </c>
      <c r="P116" s="71">
        <f t="shared" si="163"/>
        <v>516.41210511336681</v>
      </c>
      <c r="Q116" s="84"/>
      <c r="R116" s="84"/>
      <c r="S116" s="84"/>
      <c r="T116" s="84"/>
      <c r="U116" s="84"/>
      <c r="V116" s="84"/>
      <c r="W116" s="84"/>
      <c r="X116" s="84"/>
      <c r="Y116" s="84"/>
      <c r="Z116" s="84"/>
      <c r="AA116" s="84"/>
      <c r="AB116" s="71"/>
      <c r="AC116" s="71"/>
      <c r="AD116" s="71"/>
      <c r="AE116" s="71"/>
      <c r="AF116" s="71"/>
      <c r="AG116" s="84"/>
      <c r="AH116" s="84"/>
      <c r="AI116" s="84"/>
      <c r="AJ116" s="84"/>
      <c r="AK116" s="84"/>
      <c r="AL116" s="84"/>
      <c r="AM116" s="84"/>
      <c r="AN116" s="84"/>
      <c r="AO116" s="84"/>
      <c r="AP116" s="84"/>
      <c r="AQ116" s="84"/>
    </row>
    <row r="117" spans="1:49" ht="15" customHeight="1" x14ac:dyDescent="0.25">
      <c r="A117" s="100" t="s">
        <v>247</v>
      </c>
      <c r="B117" s="100" t="s">
        <v>223</v>
      </c>
      <c r="C117" s="72" t="str">
        <f t="shared" si="248"/>
        <v>15-03-2024 11:30</v>
      </c>
      <c r="D117" s="82">
        <v>987</v>
      </c>
      <c r="E117" s="71">
        <v>4.5567000000000002</v>
      </c>
      <c r="F117" s="71">
        <v>36.107500000000002</v>
      </c>
      <c r="G117" s="71">
        <v>5.7251000000000003</v>
      </c>
      <c r="H117" s="71">
        <v>4.7495000000000003</v>
      </c>
      <c r="I117" s="71">
        <f>F117-E117</f>
        <v>31.550800000000002</v>
      </c>
      <c r="J117" s="71">
        <f>G117-E117</f>
        <v>1.1684000000000001</v>
      </c>
      <c r="K117" s="71">
        <f>1000*J117/I117</f>
        <v>37.032341493718064</v>
      </c>
      <c r="L117" s="71"/>
      <c r="M117" s="71"/>
      <c r="N117" s="71"/>
      <c r="O117" s="71"/>
      <c r="P117" s="71">
        <f t="shared" si="163"/>
        <v>0</v>
      </c>
      <c r="Q117" s="84">
        <v>7.4</v>
      </c>
      <c r="R117" s="84"/>
      <c r="S117" s="84"/>
      <c r="T117" s="84"/>
      <c r="U117" s="84"/>
      <c r="V117" s="84"/>
      <c r="W117" s="84"/>
      <c r="X117" s="84">
        <f t="shared" si="289"/>
        <v>407.29762995999999</v>
      </c>
      <c r="Y117" s="84" t="s">
        <v>393</v>
      </c>
      <c r="Z117" s="84" t="s">
        <v>393</v>
      </c>
      <c r="AA117" s="84" t="s">
        <v>393</v>
      </c>
      <c r="AB117" s="84">
        <f t="shared" si="290"/>
        <v>434.45080529066666</v>
      </c>
      <c r="AC117" s="84">
        <f t="shared" si="291"/>
        <v>7.5675675675675675</v>
      </c>
      <c r="AD117" s="84">
        <f t="shared" si="292"/>
        <v>9.0909090909090917</v>
      </c>
      <c r="AE117" s="84">
        <f t="shared" si="293"/>
        <v>10.196078431372548</v>
      </c>
      <c r="AF117" s="84">
        <f t="shared" si="294"/>
        <v>461.30536038051582</v>
      </c>
      <c r="AG117" s="84"/>
      <c r="AH117" s="84"/>
      <c r="AI117" s="84"/>
      <c r="AJ117" s="84"/>
      <c r="AK117" s="84"/>
      <c r="AL117" s="84"/>
      <c r="AM117" s="84"/>
      <c r="AN117" s="84"/>
      <c r="AO117" s="84"/>
      <c r="AP117" s="84"/>
      <c r="AQ117" s="84"/>
      <c r="AW117">
        <v>469.11799999999999</v>
      </c>
    </row>
    <row r="118" spans="1:49" ht="15" customHeight="1" x14ac:dyDescent="0.25">
      <c r="A118" s="100" t="s">
        <v>247</v>
      </c>
      <c r="B118" s="100" t="s">
        <v>233</v>
      </c>
      <c r="C118" s="72" t="str">
        <f t="shared" si="248"/>
        <v>15-03-2024 15:30</v>
      </c>
      <c r="D118" s="82">
        <v>25</v>
      </c>
      <c r="E118" s="71"/>
      <c r="F118" s="71"/>
      <c r="G118" s="71"/>
      <c r="H118" s="71"/>
      <c r="I118" s="71"/>
      <c r="J118" s="71"/>
      <c r="K118" s="71"/>
      <c r="L118" s="71"/>
      <c r="M118" s="71"/>
      <c r="N118" s="71"/>
      <c r="O118" s="71"/>
      <c r="P118" s="71" t="e">
        <f t="shared" si="163"/>
        <v>#DIV/0!</v>
      </c>
      <c r="Q118" s="84">
        <v>7.31</v>
      </c>
      <c r="R118" s="84"/>
      <c r="S118" s="84"/>
      <c r="T118" s="84"/>
      <c r="U118" s="84"/>
      <c r="V118" s="84"/>
      <c r="W118" s="84"/>
      <c r="X118" s="84">
        <f t="shared" si="289"/>
        <v>1180.39197388</v>
      </c>
      <c r="Y118" s="84">
        <v>149.631</v>
      </c>
      <c r="Z118" s="84">
        <v>15.707000000000001</v>
      </c>
      <c r="AA118" s="84">
        <v>0</v>
      </c>
      <c r="AB118" s="84">
        <f t="shared" si="290"/>
        <v>1259.0847721386667</v>
      </c>
      <c r="AC118" s="84">
        <f t="shared" ref="AC118:AC121" si="323">IF(Y118="&lt; 10 ppm",5*112/74,Y118*112/74)</f>
        <v>226.46854054054052</v>
      </c>
      <c r="AD118" s="84">
        <f t="shared" ref="AD118:AD121" si="324">IF(Z118="&lt; 10 ppm",5*160/88,Z118*160/88)</f>
        <v>28.558181818181819</v>
      </c>
      <c r="AE118" s="84">
        <f t="shared" ref="AE118:AE121" si="325">IF(AA118="&lt; 10 ppm",5*208/102,AA118*208/102)</f>
        <v>0</v>
      </c>
      <c r="AF118" s="84">
        <f t="shared" ref="AF118:AF121" si="326">SUM(AB118:AE118)</f>
        <v>1514.111494497389</v>
      </c>
      <c r="AG118" s="84"/>
      <c r="AH118" s="84"/>
      <c r="AI118" s="84"/>
      <c r="AJ118" s="84"/>
      <c r="AK118" s="84"/>
      <c r="AL118" s="84"/>
      <c r="AM118" s="84"/>
      <c r="AN118" s="84"/>
      <c r="AO118" s="84"/>
      <c r="AP118" s="84"/>
      <c r="AQ118" s="84"/>
      <c r="AW118">
        <v>1359.5540000000001</v>
      </c>
    </row>
    <row r="119" spans="1:49" ht="15" customHeight="1" x14ac:dyDescent="0.25">
      <c r="A119" s="100" t="s">
        <v>248</v>
      </c>
      <c r="B119" s="100" t="s">
        <v>180</v>
      </c>
      <c r="C119" s="72" t="str">
        <f t="shared" si="248"/>
        <v>18-03-2024 12:00</v>
      </c>
      <c r="D119" s="82">
        <v>856.33</v>
      </c>
      <c r="E119" s="71">
        <v>4.5385</v>
      </c>
      <c r="F119" s="71">
        <v>29.811199999999999</v>
      </c>
      <c r="G119" s="71">
        <v>5.4314999999999998</v>
      </c>
      <c r="H119" s="71"/>
      <c r="I119" s="71">
        <f t="shared" ref="I119" si="327">F119-E119</f>
        <v>25.2727</v>
      </c>
      <c r="J119" s="71">
        <f t="shared" ref="J119" si="328">G119-E119</f>
        <v>0.89299999999999979</v>
      </c>
      <c r="K119" s="71">
        <f t="shared" ref="K119" si="329">1000*J119/I119</f>
        <v>35.334570504932188</v>
      </c>
      <c r="L119" s="71">
        <f t="shared" ref="L119" si="330">H119-E119</f>
        <v>-4.5385</v>
      </c>
      <c r="M119" s="71">
        <f t="shared" ref="M119" si="331">1000*L119/I119</f>
        <v>-179.58112904438386</v>
      </c>
      <c r="N119" s="71">
        <f t="shared" ref="N119" si="332">J119-L119</f>
        <v>5.4314999999999998</v>
      </c>
      <c r="O119" s="71">
        <f t="shared" ref="O119" si="333">1000*N119/I119</f>
        <v>214.91569954931606</v>
      </c>
      <c r="P119" s="71">
        <f t="shared" si="163"/>
        <v>608.23068309070561</v>
      </c>
      <c r="Q119" s="84">
        <v>7.44</v>
      </c>
      <c r="R119" s="84"/>
      <c r="S119" s="84"/>
      <c r="T119" s="84"/>
      <c r="U119" s="84"/>
      <c r="V119" s="84"/>
      <c r="W119" s="84"/>
      <c r="X119" s="84">
        <f t="shared" si="289"/>
        <v>477.70940373999997</v>
      </c>
      <c r="Y119" s="84">
        <v>16.91</v>
      </c>
      <c r="Z119" s="84">
        <v>10.034000000000001</v>
      </c>
      <c r="AA119" s="84" t="s">
        <v>393</v>
      </c>
      <c r="AB119" s="84">
        <f t="shared" si="290"/>
        <v>509.55669732266665</v>
      </c>
      <c r="AC119" s="84">
        <f t="shared" si="323"/>
        <v>25.593513513513514</v>
      </c>
      <c r="AD119" s="84">
        <f t="shared" si="324"/>
        <v>18.243636363636366</v>
      </c>
      <c r="AE119" s="84">
        <f t="shared" si="325"/>
        <v>10.196078431372548</v>
      </c>
      <c r="AF119" s="84">
        <f t="shared" si="326"/>
        <v>563.58992563118909</v>
      </c>
      <c r="AG119" s="84"/>
      <c r="AH119" s="84"/>
      <c r="AI119" s="84"/>
      <c r="AJ119" s="84"/>
      <c r="AK119" s="84"/>
      <c r="AL119" s="84"/>
      <c r="AM119" s="84"/>
      <c r="AN119" s="84"/>
      <c r="AO119" s="84"/>
      <c r="AP119" s="84"/>
      <c r="AQ119" s="84"/>
      <c r="AR119" t="s">
        <v>427</v>
      </c>
      <c r="AW119">
        <v>550.21699999999998</v>
      </c>
    </row>
    <row r="120" spans="1:49" ht="15" customHeight="1" x14ac:dyDescent="0.25">
      <c r="A120" s="100" t="s">
        <v>248</v>
      </c>
      <c r="B120" s="100" t="s">
        <v>196</v>
      </c>
      <c r="C120" s="72" t="str">
        <f t="shared" si="248"/>
        <v>18-03-2024 16:00</v>
      </c>
      <c r="D120" s="82">
        <v>25</v>
      </c>
      <c r="E120" s="71"/>
      <c r="F120" s="71"/>
      <c r="G120" s="71"/>
      <c r="H120" s="71"/>
      <c r="I120" s="71"/>
      <c r="J120" s="71"/>
      <c r="K120" s="71"/>
      <c r="L120" s="71"/>
      <c r="M120" s="71"/>
      <c r="N120" s="71"/>
      <c r="O120" s="71"/>
      <c r="P120" s="71" t="e">
        <f t="shared" si="163"/>
        <v>#DIV/0!</v>
      </c>
      <c r="Q120" s="84">
        <v>7.39</v>
      </c>
      <c r="R120" s="84"/>
      <c r="S120" s="84"/>
      <c r="T120" s="84"/>
      <c r="U120" s="84"/>
      <c r="V120" s="84"/>
      <c r="W120" s="84"/>
      <c r="X120" s="84">
        <f t="shared" si="289"/>
        <v>907.47309442000005</v>
      </c>
      <c r="Y120" s="84">
        <v>72.314999999999998</v>
      </c>
      <c r="Z120" s="84">
        <v>14.074999999999999</v>
      </c>
      <c r="AA120" s="84" t="s">
        <v>393</v>
      </c>
      <c r="AB120" s="84">
        <f t="shared" si="290"/>
        <v>967.97130071466677</v>
      </c>
      <c r="AC120" s="84">
        <f t="shared" si="323"/>
        <v>109.44972972972973</v>
      </c>
      <c r="AD120" s="84">
        <f t="shared" si="324"/>
        <v>25.59090909090909</v>
      </c>
      <c r="AE120" s="84">
        <f t="shared" si="325"/>
        <v>10.196078431372548</v>
      </c>
      <c r="AF120" s="84">
        <f t="shared" si="326"/>
        <v>1113.2080179666782</v>
      </c>
      <c r="AG120" s="84"/>
      <c r="AH120" s="84"/>
      <c r="AI120" s="84"/>
      <c r="AJ120" s="84"/>
      <c r="AK120" s="84"/>
      <c r="AL120" s="84"/>
      <c r="AM120" s="84"/>
      <c r="AN120" s="84"/>
      <c r="AO120" s="84"/>
      <c r="AP120" s="84"/>
      <c r="AQ120" s="84"/>
      <c r="AW120">
        <v>1045.211</v>
      </c>
    </row>
    <row r="121" spans="1:49" ht="15" customHeight="1" x14ac:dyDescent="0.25">
      <c r="A121" s="100" t="s">
        <v>248</v>
      </c>
      <c r="B121" s="100" t="s">
        <v>163</v>
      </c>
      <c r="C121" s="72" t="str">
        <f t="shared" si="248"/>
        <v>18-03-2024 17:00</v>
      </c>
      <c r="D121" s="82">
        <v>25</v>
      </c>
      <c r="E121" s="71"/>
      <c r="F121" s="71"/>
      <c r="G121" s="71"/>
      <c r="H121" s="71"/>
      <c r="I121" s="71"/>
      <c r="J121" s="71"/>
      <c r="K121" s="71"/>
      <c r="L121" s="71"/>
      <c r="M121" s="71"/>
      <c r="N121" s="71"/>
      <c r="O121" s="71"/>
      <c r="P121" s="71" t="e">
        <f t="shared" si="163"/>
        <v>#DIV/0!</v>
      </c>
      <c r="Q121" s="84">
        <v>7.39</v>
      </c>
      <c r="R121" s="84"/>
      <c r="S121" s="84"/>
      <c r="T121" s="84"/>
      <c r="U121" s="84"/>
      <c r="V121" s="84"/>
      <c r="W121" s="84"/>
      <c r="X121" s="84">
        <f t="shared" si="289"/>
        <v>1035.68487826</v>
      </c>
      <c r="Y121" s="84">
        <v>100.053</v>
      </c>
      <c r="Z121" s="84">
        <v>22.584</v>
      </c>
      <c r="AA121" s="84" t="s">
        <v>393</v>
      </c>
      <c r="AB121" s="84">
        <f t="shared" si="290"/>
        <v>1104.7305368106668</v>
      </c>
      <c r="AC121" s="84">
        <f t="shared" si="323"/>
        <v>151.43156756756755</v>
      </c>
      <c r="AD121" s="84">
        <f t="shared" si="324"/>
        <v>41.061818181818182</v>
      </c>
      <c r="AE121" s="84">
        <f t="shared" si="325"/>
        <v>10.196078431372548</v>
      </c>
      <c r="AF121" s="84">
        <f t="shared" si="326"/>
        <v>1307.420000991425</v>
      </c>
      <c r="AG121" s="84"/>
      <c r="AH121" s="84"/>
      <c r="AI121" s="84"/>
      <c r="AJ121" s="84"/>
      <c r="AK121" s="84"/>
      <c r="AL121" s="84"/>
      <c r="AM121" s="84"/>
      <c r="AN121" s="84"/>
      <c r="AO121" s="84"/>
      <c r="AP121" s="84"/>
      <c r="AQ121" s="84"/>
      <c r="AW121">
        <v>1192.883</v>
      </c>
    </row>
    <row r="122" spans="1:49" ht="15" customHeight="1" x14ac:dyDescent="0.25">
      <c r="A122" s="100" t="s">
        <v>276</v>
      </c>
      <c r="B122" s="100" t="s">
        <v>167</v>
      </c>
      <c r="C122" s="72" t="str">
        <f t="shared" si="248"/>
        <v>25-03-2024 11:00</v>
      </c>
      <c r="D122" s="82">
        <v>100</v>
      </c>
      <c r="E122" s="71">
        <v>4.3489000000000004</v>
      </c>
      <c r="F122" s="71">
        <v>36.183</v>
      </c>
      <c r="G122" s="71">
        <v>5.5578000000000003</v>
      </c>
      <c r="H122" s="71"/>
      <c r="I122" s="71">
        <f t="shared" ref="I122" si="334">F122-E122</f>
        <v>31.834099999999999</v>
      </c>
      <c r="J122" s="71">
        <f t="shared" ref="J122" si="335">G122-E122</f>
        <v>1.2088999999999999</v>
      </c>
      <c r="K122" s="71">
        <f t="shared" ref="K122" si="336">1000*J122/I122</f>
        <v>37.975001649174935</v>
      </c>
      <c r="L122" s="71">
        <f t="shared" ref="L122" si="337">H122-E122</f>
        <v>-4.3489000000000004</v>
      </c>
      <c r="M122" s="71">
        <f t="shared" ref="M122" si="338">1000*L122/I122</f>
        <v>-136.61136956910988</v>
      </c>
      <c r="N122" s="71">
        <f t="shared" ref="N122" si="339">J122-L122</f>
        <v>5.5578000000000003</v>
      </c>
      <c r="O122" s="71">
        <f t="shared" ref="O122" si="340">1000*N122/I122</f>
        <v>174.5863712182848</v>
      </c>
      <c r="P122" s="71">
        <f t="shared" si="163"/>
        <v>459.74025974025983</v>
      </c>
      <c r="Q122" s="84">
        <v>7.45</v>
      </c>
      <c r="R122" s="84">
        <f>4675*2</f>
        <v>9350</v>
      </c>
      <c r="S122" s="84">
        <v>0.224</v>
      </c>
      <c r="T122" s="84"/>
      <c r="U122" s="84">
        <f>22.5*50</f>
        <v>1125</v>
      </c>
      <c r="V122" s="84">
        <f>4.91*50</f>
        <v>245.5</v>
      </c>
      <c r="W122" s="129">
        <f>30.2*500</f>
        <v>15100</v>
      </c>
      <c r="X122" s="84">
        <f t="shared" si="289"/>
        <v>212.55848861999999</v>
      </c>
      <c r="Y122" s="84">
        <v>0</v>
      </c>
      <c r="Z122" s="84">
        <v>12.693</v>
      </c>
      <c r="AA122" s="84">
        <v>0</v>
      </c>
      <c r="AB122" s="84">
        <f t="shared" ref="AB122:AB126" si="341">IF(X122="&lt; 10 ppm",5*64/60,X122*64/60)</f>
        <v>226.72905452799998</v>
      </c>
      <c r="AC122" s="84">
        <f t="shared" ref="AC122:AC126" si="342">IF(Y122="&lt; 10 ppm",5*112/74,Y122*112/74)</f>
        <v>0</v>
      </c>
      <c r="AD122" s="84">
        <f t="shared" ref="AD122:AD125" si="343">IF(Z122="&lt; 10 ppm",5*160/88,Z122*160/88)</f>
        <v>23.078181818181818</v>
      </c>
      <c r="AE122" s="84">
        <f t="shared" ref="AE122:AE125" si="344">IF(AA122="&lt; 10 ppm",5*208/102,AA122*208/102)</f>
        <v>0</v>
      </c>
      <c r="AF122" s="84">
        <f t="shared" ref="AF122:AF125" si="345">SUM(AB122:AE122)</f>
        <v>249.80723634618181</v>
      </c>
      <c r="AG122" s="129">
        <f>110*500</f>
        <v>55000</v>
      </c>
      <c r="AH122" s="84"/>
      <c r="AI122" s="84"/>
      <c r="AJ122" s="84"/>
      <c r="AK122" s="84"/>
      <c r="AL122" s="84"/>
      <c r="AM122" s="84"/>
      <c r="AN122" s="129">
        <f>84.6*50</f>
        <v>4230</v>
      </c>
      <c r="AO122" s="84"/>
      <c r="AP122" s="84"/>
      <c r="AQ122" s="84"/>
      <c r="AW122">
        <v>244.821</v>
      </c>
    </row>
    <row r="123" spans="1:49" ht="15" customHeight="1" x14ac:dyDescent="0.25">
      <c r="A123" s="100" t="s">
        <v>282</v>
      </c>
      <c r="B123" s="100" t="s">
        <v>167</v>
      </c>
      <c r="C123" s="72" t="str">
        <f t="shared" si="248"/>
        <v>26-03-2024 11:00</v>
      </c>
      <c r="D123" s="82">
        <v>100</v>
      </c>
      <c r="E123" s="71">
        <v>4.4120999999999997</v>
      </c>
      <c r="F123" s="71">
        <v>23.727799999999998</v>
      </c>
      <c r="G123" s="71">
        <v>5.3292999999999999</v>
      </c>
      <c r="H123" s="71"/>
      <c r="I123" s="71">
        <f t="shared" ref="I123:I125" si="346">F123-E123</f>
        <v>19.3157</v>
      </c>
      <c r="J123" s="71">
        <f t="shared" ref="J123:J125" si="347">G123-E123</f>
        <v>0.91720000000000024</v>
      </c>
      <c r="K123" s="71">
        <f t="shared" ref="K123:K125" si="348">1000*J123/I123</f>
        <v>47.484688621173461</v>
      </c>
      <c r="L123" s="71">
        <f t="shared" ref="L123:L125" si="349">H123-E123</f>
        <v>-4.4120999999999997</v>
      </c>
      <c r="M123" s="71">
        <f t="shared" ref="M123:M125" si="350">1000*L123/I123</f>
        <v>-228.42040412721255</v>
      </c>
      <c r="N123" s="71">
        <f t="shared" ref="N123:N125" si="351">J123-L123</f>
        <v>5.3292999999999999</v>
      </c>
      <c r="O123" s="71">
        <f t="shared" ref="O123:O125" si="352">1000*N123/I123</f>
        <v>275.90509274838604</v>
      </c>
      <c r="P123" s="71">
        <f t="shared" si="163"/>
        <v>581.04012211077179</v>
      </c>
      <c r="Q123" s="84">
        <v>7.24</v>
      </c>
      <c r="R123" s="84"/>
      <c r="S123" s="84"/>
      <c r="T123" s="84"/>
      <c r="U123" s="84"/>
      <c r="V123" s="84"/>
      <c r="W123" s="84"/>
      <c r="X123" s="84">
        <f t="shared" si="289"/>
        <v>1034.2089042600001</v>
      </c>
      <c r="Y123" s="84">
        <v>111.758</v>
      </c>
      <c r="Z123" s="84" t="s">
        <v>393</v>
      </c>
      <c r="AA123" s="84" t="s">
        <v>393</v>
      </c>
      <c r="AB123" s="84">
        <f t="shared" si="341"/>
        <v>1103.1561645440001</v>
      </c>
      <c r="AC123" s="84">
        <f t="shared" si="342"/>
        <v>169.14724324324322</v>
      </c>
      <c r="AD123" s="84">
        <f t="shared" si="343"/>
        <v>9.0909090909090917</v>
      </c>
      <c r="AE123" s="84">
        <f t="shared" si="344"/>
        <v>10.196078431372548</v>
      </c>
      <c r="AF123" s="84">
        <f t="shared" si="345"/>
        <v>1291.5903953095251</v>
      </c>
      <c r="AG123" s="84"/>
      <c r="AH123" s="84"/>
      <c r="AI123" s="84"/>
      <c r="AJ123" s="84"/>
      <c r="AK123" s="84"/>
      <c r="AL123" s="84"/>
      <c r="AM123" s="84"/>
      <c r="AN123" s="84"/>
      <c r="AO123" s="84"/>
      <c r="AP123" s="84"/>
      <c r="AQ123" s="84"/>
      <c r="AR123" t="s">
        <v>4712</v>
      </c>
      <c r="AW123">
        <v>1191.183</v>
      </c>
    </row>
    <row r="124" spans="1:49" ht="15" customHeight="1" x14ac:dyDescent="0.25">
      <c r="A124" s="100" t="s">
        <v>282</v>
      </c>
      <c r="B124" s="100" t="s">
        <v>283</v>
      </c>
      <c r="C124" s="72" t="str">
        <f t="shared" si="248"/>
        <v>26-03-2024 12:45</v>
      </c>
      <c r="D124" s="82">
        <v>100</v>
      </c>
      <c r="E124" s="71">
        <v>4.4664000000000001</v>
      </c>
      <c r="F124" s="71">
        <v>29.757000000000001</v>
      </c>
      <c r="G124" s="71">
        <v>6.2760999999999996</v>
      </c>
      <c r="H124" s="71"/>
      <c r="I124" s="71">
        <f t="shared" si="346"/>
        <v>25.290600000000001</v>
      </c>
      <c r="J124" s="71">
        <f t="shared" si="347"/>
        <v>1.8096999999999994</v>
      </c>
      <c r="K124" s="71">
        <f t="shared" si="348"/>
        <v>71.556230378085104</v>
      </c>
      <c r="L124" s="71">
        <f t="shared" si="349"/>
        <v>-4.4664000000000001</v>
      </c>
      <c r="M124" s="71">
        <f t="shared" si="350"/>
        <v>-176.60316481222273</v>
      </c>
      <c r="N124" s="71">
        <f t="shared" si="351"/>
        <v>6.2760999999999996</v>
      </c>
      <c r="O124" s="71">
        <f t="shared" si="352"/>
        <v>248.15939519030783</v>
      </c>
      <c r="P124" s="71">
        <f t="shared" si="163"/>
        <v>346.80333756976307</v>
      </c>
      <c r="Q124" s="84">
        <v>7.26</v>
      </c>
      <c r="R124" s="84"/>
      <c r="S124" s="84">
        <v>0.38700000000000001</v>
      </c>
      <c r="T124" s="84">
        <v>2984</v>
      </c>
      <c r="U124" s="84">
        <f>15.4*50</f>
        <v>770</v>
      </c>
      <c r="V124" s="84"/>
      <c r="W124" s="84">
        <f>21.3*500</f>
        <v>10650</v>
      </c>
      <c r="X124" s="84">
        <f t="shared" si="289"/>
        <v>804.42232618000003</v>
      </c>
      <c r="Y124" s="84">
        <v>174.91800000000001</v>
      </c>
      <c r="Z124" s="84">
        <v>17.204999999999998</v>
      </c>
      <c r="AA124" s="84">
        <v>0</v>
      </c>
      <c r="AB124" s="84">
        <f t="shared" si="341"/>
        <v>858.05048125866665</v>
      </c>
      <c r="AC124" s="84">
        <f t="shared" si="342"/>
        <v>264.74075675675675</v>
      </c>
      <c r="AD124" s="84">
        <f t="shared" si="343"/>
        <v>31.281818181818178</v>
      </c>
      <c r="AE124" s="84">
        <f t="shared" si="344"/>
        <v>0</v>
      </c>
      <c r="AF124" s="84">
        <f t="shared" si="345"/>
        <v>1154.0730561972416</v>
      </c>
      <c r="AG124" s="84">
        <f>79.7*500</f>
        <v>39850</v>
      </c>
      <c r="AH124" s="84"/>
      <c r="AI124" s="84"/>
      <c r="AJ124" s="84"/>
      <c r="AK124" s="84"/>
      <c r="AL124" s="84"/>
      <c r="AM124" s="84"/>
      <c r="AN124" s="84">
        <f>40.6*50</f>
        <v>2030</v>
      </c>
      <c r="AO124" s="84"/>
      <c r="AP124" s="84"/>
      <c r="AQ124" s="84"/>
      <c r="AW124">
        <v>926.51900000000001</v>
      </c>
    </row>
    <row r="125" spans="1:49" ht="15" customHeight="1" x14ac:dyDescent="0.25">
      <c r="A125" s="100" t="s">
        <v>282</v>
      </c>
      <c r="B125" s="100" t="s">
        <v>196</v>
      </c>
      <c r="C125" s="72" t="str">
        <f t="shared" si="248"/>
        <v>26-03-2024 16:00</v>
      </c>
      <c r="D125" s="82">
        <v>100</v>
      </c>
      <c r="E125" s="71">
        <v>4.4337</v>
      </c>
      <c r="F125" s="71">
        <v>30.78</v>
      </c>
      <c r="G125" s="71">
        <v>5.5621</v>
      </c>
      <c r="H125" s="71"/>
      <c r="I125" s="71">
        <f t="shared" si="346"/>
        <v>26.346299999999999</v>
      </c>
      <c r="J125" s="71">
        <f t="shared" si="347"/>
        <v>1.1284000000000001</v>
      </c>
      <c r="K125" s="71">
        <f t="shared" si="348"/>
        <v>42.829543427350337</v>
      </c>
      <c r="L125" s="71">
        <f t="shared" si="349"/>
        <v>-4.4337</v>
      </c>
      <c r="M125" s="71">
        <f t="shared" si="350"/>
        <v>-168.28548980312226</v>
      </c>
      <c r="N125" s="71">
        <f t="shared" si="351"/>
        <v>5.5621</v>
      </c>
      <c r="O125" s="71">
        <f t="shared" si="352"/>
        <v>211.11503323047262</v>
      </c>
      <c r="P125" s="71">
        <f t="shared" ref="P125:P136" si="353">100*O125/K125</f>
        <v>492.91917759659691</v>
      </c>
      <c r="Q125" s="84">
        <v>7.31</v>
      </c>
      <c r="R125" s="84"/>
      <c r="S125" s="84"/>
      <c r="T125" s="84"/>
      <c r="U125" s="84">
        <f>14.9*50</f>
        <v>745</v>
      </c>
      <c r="V125" s="84"/>
      <c r="W125" s="84"/>
      <c r="X125" s="84">
        <f t="shared" si="289"/>
        <v>769.46952541999997</v>
      </c>
      <c r="Y125" s="84">
        <v>189.22399999999999</v>
      </c>
      <c r="Z125" s="84">
        <v>13.252000000000001</v>
      </c>
      <c r="AA125" s="84">
        <v>13.561</v>
      </c>
      <c r="AB125" s="84">
        <f t="shared" si="341"/>
        <v>820.76749378133331</v>
      </c>
      <c r="AC125" s="84">
        <f t="shared" si="342"/>
        <v>286.39308108108105</v>
      </c>
      <c r="AD125" s="84">
        <f t="shared" si="343"/>
        <v>24.094545454545457</v>
      </c>
      <c r="AE125" s="84">
        <f t="shared" si="344"/>
        <v>27.653803921568628</v>
      </c>
      <c r="AF125" s="84">
        <f t="shared" si="345"/>
        <v>1158.9089242385282</v>
      </c>
      <c r="AG125" s="84"/>
      <c r="AH125" s="84"/>
      <c r="AI125" s="84"/>
      <c r="AJ125" s="84"/>
      <c r="AK125" s="84"/>
      <c r="AL125" s="84"/>
      <c r="AM125" s="84"/>
      <c r="AN125" s="84"/>
      <c r="AO125" s="84"/>
      <c r="AP125" s="84"/>
      <c r="AQ125" s="84"/>
      <c r="AW125">
        <v>886.26099999999997</v>
      </c>
    </row>
    <row r="126" spans="1:49" ht="15" customHeight="1" x14ac:dyDescent="0.25">
      <c r="A126" s="100" t="s">
        <v>284</v>
      </c>
      <c r="B126" s="100" t="s">
        <v>185</v>
      </c>
      <c r="C126" s="72" t="str">
        <f t="shared" si="248"/>
        <v>27-03-2024 10:30</v>
      </c>
      <c r="D126" s="82">
        <v>100</v>
      </c>
      <c r="E126" s="71">
        <v>4.4535</v>
      </c>
      <c r="F126" s="71">
        <v>19.185400000000001</v>
      </c>
      <c r="G126" s="71">
        <v>5.0033000000000003</v>
      </c>
      <c r="H126" s="71"/>
      <c r="I126" s="71">
        <f t="shared" ref="I126:I127" si="354">F126-E126</f>
        <v>14.731900000000001</v>
      </c>
      <c r="J126" s="71">
        <f t="shared" ref="J126:J127" si="355">G126-E126</f>
        <v>0.54980000000000029</v>
      </c>
      <c r="K126" s="71">
        <f t="shared" ref="K126:K127" si="356">1000*J126/I126</f>
        <v>37.320372796448538</v>
      </c>
      <c r="L126" s="71">
        <f t="shared" ref="L126:L127" si="357">H126-E126</f>
        <v>-4.4535</v>
      </c>
      <c r="M126" s="71">
        <f t="shared" ref="M126:M127" si="358">1000*L126/I126</f>
        <v>-302.30316524005724</v>
      </c>
      <c r="N126" s="71">
        <f t="shared" ref="N126:N127" si="359">J126-L126</f>
        <v>5.0033000000000003</v>
      </c>
      <c r="O126" s="71">
        <f t="shared" ref="O126:O127" si="360">1000*N126/I126</f>
        <v>339.62353803650581</v>
      </c>
      <c r="P126" s="71">
        <f t="shared" si="353"/>
        <v>910.02182611858814</v>
      </c>
      <c r="Q126" s="84">
        <v>7.29</v>
      </c>
      <c r="R126" s="84">
        <f>4271*2</f>
        <v>8542</v>
      </c>
      <c r="S126" s="84">
        <v>0.45800000000000002</v>
      </c>
      <c r="T126" s="84"/>
      <c r="U126" s="84">
        <f>20.5*50</f>
        <v>1025</v>
      </c>
      <c r="V126" s="84"/>
      <c r="W126" s="84">
        <f>38.6*500</f>
        <v>19300</v>
      </c>
      <c r="X126" s="84">
        <f t="shared" si="289"/>
        <v>1290.1358501</v>
      </c>
      <c r="Y126" s="84">
        <v>186.46700000000001</v>
      </c>
      <c r="Z126" s="84">
        <f>40.854+70.545</f>
        <v>111.399</v>
      </c>
      <c r="AA126" s="84">
        <v>39.673999999999999</v>
      </c>
      <c r="AB126" s="84">
        <f t="shared" si="341"/>
        <v>1376.1449067733333</v>
      </c>
      <c r="AC126" s="84">
        <f t="shared" si="342"/>
        <v>282.22032432432434</v>
      </c>
      <c r="AD126" s="84">
        <f t="shared" ref="AD126:AD127" si="361">IF(Z126="&lt; 10 ppm",5*160/88,Z126*160/88)</f>
        <v>202.54363636363635</v>
      </c>
      <c r="AE126" s="84">
        <f t="shared" ref="AE126:AE127" si="362">IF(AA126="&lt; 10 ppm",5*208/102,AA126*208/102)</f>
        <v>80.903843137254896</v>
      </c>
      <c r="AF126" s="84">
        <f t="shared" ref="AF126" si="363">SUM(AB126:AE126)</f>
        <v>1941.8127105985488</v>
      </c>
      <c r="AG126" s="84">
        <f>76*500</f>
        <v>38000</v>
      </c>
      <c r="AH126" s="84"/>
      <c r="AI126" s="84"/>
      <c r="AJ126" s="84"/>
      <c r="AK126" s="84"/>
      <c r="AL126" s="84"/>
      <c r="AM126" s="84"/>
      <c r="AN126" s="84"/>
      <c r="AO126" s="84"/>
      <c r="AP126" s="84"/>
      <c r="AQ126" s="84"/>
      <c r="AW126">
        <v>1485.9549999999999</v>
      </c>
    </row>
    <row r="127" spans="1:49" ht="15" customHeight="1" x14ac:dyDescent="0.25">
      <c r="A127" s="100" t="s">
        <v>284</v>
      </c>
      <c r="B127" s="100" t="s">
        <v>196</v>
      </c>
      <c r="C127" s="72" t="str">
        <f t="shared" si="248"/>
        <v>27-03-2024 16:00</v>
      </c>
      <c r="D127" s="82">
        <v>100</v>
      </c>
      <c r="E127" s="71">
        <v>4.4233000000000002</v>
      </c>
      <c r="F127" s="71">
        <v>27.531199999999998</v>
      </c>
      <c r="G127" s="71">
        <v>5.2991999999999999</v>
      </c>
      <c r="H127" s="71"/>
      <c r="I127" s="71">
        <f t="shared" si="354"/>
        <v>23.107899999999997</v>
      </c>
      <c r="J127" s="71">
        <f t="shared" si="355"/>
        <v>0.87589999999999968</v>
      </c>
      <c r="K127" s="71">
        <f t="shared" si="356"/>
        <v>37.90478580918213</v>
      </c>
      <c r="L127" s="71">
        <f t="shared" si="357"/>
        <v>-4.4233000000000002</v>
      </c>
      <c r="M127" s="71">
        <f t="shared" si="358"/>
        <v>-191.41938471258749</v>
      </c>
      <c r="N127" s="71">
        <f t="shared" si="359"/>
        <v>5.2991999999999999</v>
      </c>
      <c r="O127" s="71">
        <f t="shared" si="360"/>
        <v>229.32417052176964</v>
      </c>
      <c r="P127" s="71">
        <f t="shared" si="353"/>
        <v>605.00057084142054</v>
      </c>
      <c r="Q127" s="84">
        <v>7.29</v>
      </c>
      <c r="R127" s="84"/>
      <c r="S127" s="84"/>
      <c r="T127" s="84"/>
      <c r="U127" s="84"/>
      <c r="V127" s="84"/>
      <c r="W127" s="84"/>
      <c r="X127" s="84">
        <f t="shared" si="289"/>
        <v>1360.60318996</v>
      </c>
      <c r="Y127" s="84">
        <v>148.46199999999999</v>
      </c>
      <c r="Z127" s="84">
        <f>39.1+39.8</f>
        <v>78.900000000000006</v>
      </c>
      <c r="AA127" s="84">
        <v>26.122</v>
      </c>
      <c r="AB127" s="84">
        <f t="shared" ref="AB127:AB136" si="364">IF(X127="&lt; 10 ppm",5*64/60,X127*64/60)</f>
        <v>1451.3100692906667</v>
      </c>
      <c r="AC127" s="84">
        <f t="shared" ref="AC127:AC136" si="365">IF(Y127="&lt; 10 ppm",5*112/74,Y127*112/74)</f>
        <v>224.69924324324322</v>
      </c>
      <c r="AD127" s="84">
        <f t="shared" ref="AD127:AD136" si="366">IF(Z127="&lt; 10 ppm",5*160/88,Z127*160/88)</f>
        <v>143.45454545454547</v>
      </c>
      <c r="AE127" s="84">
        <f t="shared" ref="AE127:AE136" si="367">IF(AA127="&lt; 10 ppm",5*208/102,AA127*208/102)</f>
        <v>53.268392156862745</v>
      </c>
      <c r="AF127" s="84">
        <f t="shared" ref="AF127:AF136" si="368">SUM(AB127:AE127)</f>
        <v>1872.7322501453182</v>
      </c>
      <c r="AG127" s="84"/>
      <c r="AH127" s="84"/>
      <c r="AI127" s="84"/>
      <c r="AJ127" s="84"/>
      <c r="AK127" s="84"/>
      <c r="AL127" s="84"/>
      <c r="AM127" s="84"/>
      <c r="AN127" s="84"/>
      <c r="AO127" s="84"/>
      <c r="AP127" s="84"/>
      <c r="AQ127" s="84"/>
      <c r="AW127">
        <v>1567.1179999999999</v>
      </c>
    </row>
    <row r="128" spans="1:49" ht="15" customHeight="1" x14ac:dyDescent="0.25">
      <c r="A128" s="100" t="s">
        <v>285</v>
      </c>
      <c r="B128" s="100" t="s">
        <v>185</v>
      </c>
      <c r="C128" s="72" t="str">
        <f t="shared" si="248"/>
        <v>29-03-2024 10:30</v>
      </c>
      <c r="D128" s="82">
        <v>100</v>
      </c>
      <c r="E128" s="71">
        <v>4.4832000000000001</v>
      </c>
      <c r="F128" s="71">
        <v>26.47</v>
      </c>
      <c r="G128" s="71">
        <v>5.3540999999999999</v>
      </c>
      <c r="H128" s="71">
        <v>4.7182000000000004</v>
      </c>
      <c r="I128" s="71">
        <f t="shared" ref="I128:I136" si="369">F128-E128</f>
        <v>21.986799999999999</v>
      </c>
      <c r="J128" s="71">
        <f t="shared" ref="J128:J136" si="370">G128-E128</f>
        <v>0.87089999999999979</v>
      </c>
      <c r="K128" s="71">
        <f t="shared" ref="K128:K136" si="371">1000*J128/I128</f>
        <v>39.610129714192141</v>
      </c>
      <c r="L128" s="71">
        <f>H128-E128</f>
        <v>0.23500000000000032</v>
      </c>
      <c r="M128" s="71">
        <f>1000*L128/I128</f>
        <v>10.688231120490491</v>
      </c>
      <c r="N128" s="71">
        <f>J128-L128</f>
        <v>0.63589999999999947</v>
      </c>
      <c r="O128" s="71">
        <f>1000*N128/I128</f>
        <v>28.921898593701652</v>
      </c>
      <c r="P128" s="71">
        <f t="shared" si="353"/>
        <v>73.0164197956137</v>
      </c>
      <c r="Q128" s="84">
        <v>7.47</v>
      </c>
      <c r="R128" s="84"/>
      <c r="S128" s="84">
        <v>0.35</v>
      </c>
      <c r="T128" s="84"/>
      <c r="U128" s="84">
        <f xml:space="preserve"> 18.3*50</f>
        <v>915</v>
      </c>
      <c r="V128" s="84">
        <f>4.09*50</f>
        <v>204.5</v>
      </c>
      <c r="W128" s="84">
        <f>27.1*500</f>
        <v>13550</v>
      </c>
      <c r="X128" s="84">
        <f t="shared" si="289"/>
        <v>912.50703397999996</v>
      </c>
      <c r="Y128" s="84">
        <v>32.6</v>
      </c>
      <c r="Z128" s="84">
        <v>16.5</v>
      </c>
      <c r="AA128" s="84" t="s">
        <v>393</v>
      </c>
      <c r="AB128" s="84">
        <f t="shared" si="364"/>
        <v>973.34083624533332</v>
      </c>
      <c r="AC128" s="84">
        <f t="shared" si="365"/>
        <v>49.340540540540545</v>
      </c>
      <c r="AD128" s="84">
        <f t="shared" si="366"/>
        <v>30</v>
      </c>
      <c r="AE128" s="84">
        <f t="shared" si="367"/>
        <v>10.196078431372548</v>
      </c>
      <c r="AF128" s="84">
        <f t="shared" si="368"/>
        <v>1062.8774552172465</v>
      </c>
      <c r="AG128" s="84">
        <f>69.2*500</f>
        <v>34600</v>
      </c>
      <c r="AH128" s="84"/>
      <c r="AI128" s="84"/>
      <c r="AJ128" s="84"/>
      <c r="AK128" s="84"/>
      <c r="AL128" s="84"/>
      <c r="AM128" s="84"/>
      <c r="AN128" s="84">
        <f>42.2*50</f>
        <v>2110</v>
      </c>
      <c r="AO128" s="84"/>
      <c r="AP128" s="84"/>
      <c r="AQ128" s="84"/>
      <c r="AW128">
        <v>1051.009</v>
      </c>
    </row>
    <row r="129" spans="1:49" ht="15" customHeight="1" x14ac:dyDescent="0.25">
      <c r="A129" s="100" t="s">
        <v>285</v>
      </c>
      <c r="B129" s="100" t="s">
        <v>185</v>
      </c>
      <c r="C129" s="72"/>
      <c r="D129" s="82"/>
      <c r="E129" s="71">
        <v>4.4478</v>
      </c>
      <c r="F129" s="71">
        <v>26.5855</v>
      </c>
      <c r="G129" s="71">
        <v>5.3051000000000004</v>
      </c>
      <c r="H129" s="71">
        <v>4.6887999999999996</v>
      </c>
      <c r="I129" s="71">
        <f t="shared" si="369"/>
        <v>22.137699999999999</v>
      </c>
      <c r="J129" s="71">
        <f t="shared" si="370"/>
        <v>0.8573000000000004</v>
      </c>
      <c r="K129" s="71">
        <f t="shared" si="371"/>
        <v>38.725793555789465</v>
      </c>
      <c r="L129" s="71">
        <f t="shared" ref="L129:L136" si="372">H129-E129</f>
        <v>0.24099999999999966</v>
      </c>
      <c r="M129" s="71">
        <f t="shared" ref="M129:M136" si="373">1000*L129/I129</f>
        <v>10.886406446920848</v>
      </c>
      <c r="N129" s="71">
        <f t="shared" ref="N129:N136" si="374">J129-L129</f>
        <v>0.61630000000000074</v>
      </c>
      <c r="O129" s="71">
        <f t="shared" ref="O129:O136" si="375">1000*N129/I129</f>
        <v>27.839387108868618</v>
      </c>
      <c r="P129" s="71">
        <f t="shared" si="353"/>
        <v>71.888487110696431</v>
      </c>
      <c r="Q129" s="84"/>
      <c r="R129" s="84"/>
      <c r="S129" s="84"/>
      <c r="T129" s="84"/>
      <c r="U129" s="84"/>
      <c r="V129" s="84"/>
      <c r="W129" s="84"/>
      <c r="X129" s="84"/>
      <c r="Y129" s="84"/>
      <c r="Z129" s="84"/>
      <c r="AA129" s="84"/>
      <c r="AB129" s="84"/>
      <c r="AC129" s="84"/>
      <c r="AD129" s="84"/>
      <c r="AE129" s="84"/>
      <c r="AF129" s="84"/>
      <c r="AG129" s="84"/>
      <c r="AH129" s="84"/>
      <c r="AI129" s="84"/>
      <c r="AJ129" s="84"/>
      <c r="AK129" s="84"/>
      <c r="AL129" s="84"/>
      <c r="AM129" s="84"/>
      <c r="AN129" s="84"/>
      <c r="AO129" s="84"/>
      <c r="AP129" s="84"/>
      <c r="AQ129" s="84"/>
    </row>
    <row r="130" spans="1:49" ht="15" customHeight="1" x14ac:dyDescent="0.25">
      <c r="A130" s="100" t="s">
        <v>286</v>
      </c>
      <c r="B130" s="100" t="s">
        <v>287</v>
      </c>
      <c r="C130" s="72" t="str">
        <f t="shared" si="248"/>
        <v>02-04-2024 10:40</v>
      </c>
      <c r="D130" s="82">
        <v>100</v>
      </c>
      <c r="E130" s="71">
        <v>4.4192</v>
      </c>
      <c r="F130" s="71">
        <v>31.5304</v>
      </c>
      <c r="G130" s="71">
        <v>5.3388</v>
      </c>
      <c r="H130" s="71"/>
      <c r="I130" s="71">
        <f t="shared" si="369"/>
        <v>27.1112</v>
      </c>
      <c r="J130" s="71">
        <f t="shared" si="370"/>
        <v>0.91959999999999997</v>
      </c>
      <c r="K130" s="71">
        <f t="shared" si="371"/>
        <v>33.919560919472396</v>
      </c>
      <c r="L130" s="71">
        <f t="shared" si="372"/>
        <v>-4.4192</v>
      </c>
      <c r="M130" s="71">
        <f t="shared" si="373"/>
        <v>-163.00274425329752</v>
      </c>
      <c r="N130" s="71">
        <f t="shared" si="374"/>
        <v>5.3388</v>
      </c>
      <c r="O130" s="71">
        <f t="shared" si="375"/>
        <v>196.92230517276994</v>
      </c>
      <c r="P130" s="71">
        <f t="shared" si="353"/>
        <v>580.55676381035232</v>
      </c>
      <c r="Q130" s="84">
        <v>7.52</v>
      </c>
      <c r="R130" s="84"/>
      <c r="S130" s="84">
        <v>0.29399999999999998</v>
      </c>
      <c r="T130" s="84"/>
      <c r="U130" s="84">
        <f xml:space="preserve">  21*50</f>
        <v>1050</v>
      </c>
      <c r="V130" s="84"/>
      <c r="W130" s="84">
        <f>33.5*500</f>
        <v>16750</v>
      </c>
      <c r="X130" s="84">
        <f t="shared" si="289"/>
        <v>282.61081931999996</v>
      </c>
      <c r="Y130" s="84" t="s">
        <v>393</v>
      </c>
      <c r="Z130" s="84" t="s">
        <v>393</v>
      </c>
      <c r="AA130" s="84">
        <v>0</v>
      </c>
      <c r="AB130" s="84">
        <f t="shared" si="364"/>
        <v>301.45154060799996</v>
      </c>
      <c r="AC130" s="84">
        <f t="shared" si="365"/>
        <v>7.5675675675675675</v>
      </c>
      <c r="AD130" s="84">
        <f t="shared" si="366"/>
        <v>9.0909090909090917</v>
      </c>
      <c r="AE130" s="84">
        <f t="shared" si="367"/>
        <v>0</v>
      </c>
      <c r="AF130" s="84">
        <f t="shared" si="368"/>
        <v>318.11001726647658</v>
      </c>
      <c r="AG130" s="84">
        <f>73.8*500</f>
        <v>36900</v>
      </c>
      <c r="AH130" s="84"/>
      <c r="AI130" s="84"/>
      <c r="AJ130" s="84"/>
      <c r="AK130" s="84"/>
      <c r="AL130" s="84"/>
      <c r="AM130" s="84"/>
      <c r="AN130" s="84">
        <f>44.9*50</f>
        <v>2245</v>
      </c>
      <c r="AO130" s="84"/>
      <c r="AP130" s="84"/>
      <c r="AQ130" s="84"/>
      <c r="AW130">
        <v>325.50599999999997</v>
      </c>
    </row>
    <row r="131" spans="1:49" ht="15" customHeight="1" x14ac:dyDescent="0.25">
      <c r="A131" s="100" t="s">
        <v>286</v>
      </c>
      <c r="B131" s="100" t="s">
        <v>287</v>
      </c>
      <c r="C131" s="72"/>
      <c r="D131" s="82"/>
      <c r="E131" s="71">
        <v>4.4602000000000004</v>
      </c>
      <c r="F131" s="71">
        <v>31.541399999999999</v>
      </c>
      <c r="G131" s="71">
        <v>5.3880999999999997</v>
      </c>
      <c r="H131" s="71"/>
      <c r="I131" s="71">
        <f t="shared" si="369"/>
        <v>27.081199999999999</v>
      </c>
      <c r="J131" s="71">
        <f t="shared" si="370"/>
        <v>0.92789999999999928</v>
      </c>
      <c r="K131" s="71">
        <f t="shared" si="371"/>
        <v>34.263621996071052</v>
      </c>
      <c r="L131" s="71">
        <f t="shared" si="372"/>
        <v>-4.4602000000000004</v>
      </c>
      <c r="M131" s="71">
        <f t="shared" si="373"/>
        <v>-164.69728077042379</v>
      </c>
      <c r="N131" s="71">
        <f t="shared" si="374"/>
        <v>5.3880999999999997</v>
      </c>
      <c r="O131" s="71">
        <f t="shared" si="375"/>
        <v>198.96090276649483</v>
      </c>
      <c r="P131" s="71">
        <f t="shared" si="353"/>
        <v>580.67679706864999</v>
      </c>
      <c r="Q131" s="84"/>
      <c r="R131" s="84"/>
      <c r="S131" s="84"/>
      <c r="T131" s="84"/>
      <c r="U131" s="84"/>
      <c r="V131" s="84"/>
      <c r="W131" s="84"/>
      <c r="X131" s="84"/>
      <c r="Y131" s="84"/>
      <c r="Z131" s="84"/>
      <c r="AA131" s="84"/>
      <c r="AB131" s="84"/>
      <c r="AC131" s="84"/>
      <c r="AD131" s="84"/>
      <c r="AE131" s="84"/>
      <c r="AF131" s="84"/>
      <c r="AG131" s="84"/>
      <c r="AH131" s="84"/>
      <c r="AI131" s="84"/>
      <c r="AJ131" s="84"/>
      <c r="AK131" s="84"/>
      <c r="AL131" s="84"/>
      <c r="AM131" s="84"/>
      <c r="AN131" s="84"/>
      <c r="AO131" s="84"/>
      <c r="AP131" s="84"/>
      <c r="AQ131" s="84"/>
    </row>
    <row r="132" spans="1:49" ht="15" customHeight="1" x14ac:dyDescent="0.25">
      <c r="A132" s="100" t="s">
        <v>289</v>
      </c>
      <c r="B132" s="100" t="s">
        <v>185</v>
      </c>
      <c r="C132" s="72" t="str">
        <f>TEXT(DATEVALUE(A132) + TIMEVALUE(B132), "gg-mm-aaaa hh:mm")</f>
        <v>05-04-2024 10:30</v>
      </c>
      <c r="D132" s="82">
        <v>100</v>
      </c>
      <c r="E132" s="71">
        <v>4.3532999999999999</v>
      </c>
      <c r="F132" s="71">
        <v>28.841200000000001</v>
      </c>
      <c r="G132" s="71">
        <v>5.2084999999999999</v>
      </c>
      <c r="H132" s="71"/>
      <c r="I132" s="71">
        <f t="shared" si="369"/>
        <v>24.4879</v>
      </c>
      <c r="J132" s="71">
        <f t="shared" si="370"/>
        <v>0.85519999999999996</v>
      </c>
      <c r="K132" s="71">
        <f t="shared" si="371"/>
        <v>34.923370317585416</v>
      </c>
      <c r="L132" s="71">
        <f t="shared" si="372"/>
        <v>-4.3532999999999999</v>
      </c>
      <c r="M132" s="71">
        <f t="shared" si="373"/>
        <v>-177.77351263276967</v>
      </c>
      <c r="N132" s="71">
        <f t="shared" si="374"/>
        <v>5.2084999999999999</v>
      </c>
      <c r="O132" s="71">
        <f t="shared" si="375"/>
        <v>212.69688295035508</v>
      </c>
      <c r="P132" s="71">
        <f t="shared" si="353"/>
        <v>609.03882132834428</v>
      </c>
      <c r="Q132" s="84">
        <v>7.47</v>
      </c>
      <c r="R132" s="84"/>
      <c r="S132" s="84">
        <v>0.253</v>
      </c>
      <c r="T132" s="84"/>
      <c r="U132" s="84">
        <f xml:space="preserve">  22*50</f>
        <v>1100</v>
      </c>
      <c r="V132" s="84"/>
      <c r="W132" s="84">
        <f>26*500</f>
        <v>13000</v>
      </c>
      <c r="X132" s="84">
        <f t="shared" si="289"/>
        <v>179.2136313</v>
      </c>
      <c r="Y132" s="84" t="s">
        <v>393</v>
      </c>
      <c r="Z132" s="84" t="s">
        <v>393</v>
      </c>
      <c r="AA132" s="84">
        <v>0</v>
      </c>
      <c r="AB132" s="84">
        <f t="shared" si="364"/>
        <v>191.16120672</v>
      </c>
      <c r="AC132" s="84">
        <f t="shared" si="365"/>
        <v>7.5675675675675675</v>
      </c>
      <c r="AD132" s="84">
        <f t="shared" si="366"/>
        <v>9.0909090909090917</v>
      </c>
      <c r="AE132" s="84">
        <f t="shared" si="367"/>
        <v>0</v>
      </c>
      <c r="AF132" s="84">
        <f t="shared" si="368"/>
        <v>207.81968337847667</v>
      </c>
      <c r="AG132" s="84">
        <f>61.1*500</f>
        <v>30550</v>
      </c>
      <c r="AH132" s="84"/>
      <c r="AI132" s="84"/>
      <c r="AJ132" s="84"/>
      <c r="AK132" s="84"/>
      <c r="AL132" s="84"/>
      <c r="AM132" s="84"/>
      <c r="AN132" s="84">
        <f>49.3*50</f>
        <v>2465</v>
      </c>
      <c r="AO132" s="84"/>
      <c r="AP132" s="84"/>
      <c r="AQ132" s="84"/>
      <c r="AW132">
        <v>206.41499999999999</v>
      </c>
    </row>
    <row r="133" spans="1:49" ht="15" customHeight="1" x14ac:dyDescent="0.25">
      <c r="A133" s="100" t="s">
        <v>289</v>
      </c>
      <c r="B133" s="100" t="s">
        <v>185</v>
      </c>
      <c r="C133" s="72"/>
      <c r="D133" s="82"/>
      <c r="E133" s="71">
        <v>4.3998999999999997</v>
      </c>
      <c r="F133" s="71">
        <v>30.624199999999998</v>
      </c>
      <c r="G133" s="71">
        <v>5.2952000000000004</v>
      </c>
      <c r="H133" s="71"/>
      <c r="I133" s="71">
        <f t="shared" si="369"/>
        <v>26.224299999999999</v>
      </c>
      <c r="J133" s="71">
        <f t="shared" si="370"/>
        <v>0.89530000000000065</v>
      </c>
      <c r="K133" s="71">
        <f t="shared" si="371"/>
        <v>34.140091441906961</v>
      </c>
      <c r="L133" s="71">
        <f t="shared" si="372"/>
        <v>-4.3998999999999997</v>
      </c>
      <c r="M133" s="71">
        <f t="shared" si="373"/>
        <v>-167.77950221740903</v>
      </c>
      <c r="N133" s="71">
        <f t="shared" si="374"/>
        <v>5.2952000000000004</v>
      </c>
      <c r="O133" s="71">
        <f t="shared" si="375"/>
        <v>201.91959365931601</v>
      </c>
      <c r="P133" s="71">
        <f t="shared" si="353"/>
        <v>591.44420864514655</v>
      </c>
      <c r="Q133" s="84"/>
      <c r="R133" s="84"/>
      <c r="S133" s="84"/>
      <c r="T133" s="84"/>
      <c r="U133" s="84"/>
      <c r="V133" s="84"/>
      <c r="W133" s="84"/>
      <c r="X133" s="84"/>
      <c r="Y133" s="84"/>
      <c r="Z133" s="84"/>
      <c r="AA133" s="84"/>
      <c r="AB133" s="84"/>
      <c r="AC133" s="84"/>
      <c r="AD133" s="84"/>
      <c r="AE133" s="84"/>
      <c r="AF133" s="84"/>
      <c r="AG133" s="84"/>
      <c r="AH133" s="84"/>
      <c r="AI133" s="84"/>
      <c r="AJ133" s="84"/>
      <c r="AK133" s="84"/>
      <c r="AL133" s="84"/>
      <c r="AM133" s="84"/>
      <c r="AN133" s="84"/>
      <c r="AO133" s="84"/>
      <c r="AP133" s="84"/>
      <c r="AQ133" s="84"/>
    </row>
    <row r="134" spans="1:49" ht="15" customHeight="1" x14ac:dyDescent="0.25">
      <c r="A134" s="100" t="s">
        <v>290</v>
      </c>
      <c r="B134" s="100" t="s">
        <v>185</v>
      </c>
      <c r="C134" s="72" t="str">
        <f>TEXT(DATEVALUE(A134) + TIMEVALUE(B134), "dd-mm-yyyy hh:mm")</f>
        <v>08-04-2024 10:30</v>
      </c>
      <c r="D134" s="82">
        <v>100</v>
      </c>
      <c r="E134" s="71">
        <v>4.3973000000000004</v>
      </c>
      <c r="F134" s="71">
        <v>29.285699999999999</v>
      </c>
      <c r="G134" s="71">
        <v>5.2279999999999998</v>
      </c>
      <c r="H134" s="71"/>
      <c r="I134" s="71">
        <f t="shared" si="369"/>
        <v>24.888399999999997</v>
      </c>
      <c r="J134" s="71">
        <f t="shared" si="370"/>
        <v>0.83069999999999933</v>
      </c>
      <c r="K134" s="71">
        <f t="shared" si="371"/>
        <v>33.376994905257042</v>
      </c>
      <c r="L134" s="71">
        <f t="shared" si="372"/>
        <v>-4.3973000000000004</v>
      </c>
      <c r="M134" s="71">
        <f t="shared" si="373"/>
        <v>-176.68070265665935</v>
      </c>
      <c r="N134" s="71">
        <f t="shared" si="374"/>
        <v>5.2279999999999998</v>
      </c>
      <c r="O134" s="71">
        <f t="shared" si="375"/>
        <v>210.05769756191643</v>
      </c>
      <c r="P134" s="71">
        <f t="shared" si="353"/>
        <v>629.34874202479898</v>
      </c>
      <c r="Q134" s="84">
        <v>7.53</v>
      </c>
      <c r="R134" s="84"/>
      <c r="S134" s="84">
        <v>0.33600000000000002</v>
      </c>
      <c r="T134" s="84"/>
      <c r="U134" s="84">
        <f xml:space="preserve">  22.9*50</f>
        <v>1145</v>
      </c>
      <c r="V134" s="84"/>
      <c r="W134" s="84">
        <f>32.4*500</f>
        <v>16200</v>
      </c>
      <c r="X134" s="84">
        <f t="shared" si="289"/>
        <v>273.32781108</v>
      </c>
      <c r="Y134" s="84" t="s">
        <v>393</v>
      </c>
      <c r="Z134" s="84" t="s">
        <v>393</v>
      </c>
      <c r="AA134" s="84">
        <v>0</v>
      </c>
      <c r="AB134" s="84">
        <f t="shared" si="364"/>
        <v>291.54966515199999</v>
      </c>
      <c r="AC134" s="84">
        <f t="shared" si="365"/>
        <v>7.5675675675675675</v>
      </c>
      <c r="AD134" s="84">
        <f t="shared" si="366"/>
        <v>9.0909090909090917</v>
      </c>
      <c r="AE134" s="84">
        <f t="shared" si="367"/>
        <v>0</v>
      </c>
      <c r="AF134" s="84">
        <f t="shared" si="368"/>
        <v>308.2081418104766</v>
      </c>
      <c r="AG134" s="84">
        <f>67.8*500</f>
        <v>33900</v>
      </c>
      <c r="AH134" s="84"/>
      <c r="AI134" s="84"/>
      <c r="AJ134" s="84"/>
      <c r="AK134" s="84"/>
      <c r="AL134" s="84"/>
      <c r="AM134" s="84"/>
      <c r="AN134" s="84">
        <f>48.8*50</f>
        <v>2440</v>
      </c>
      <c r="AO134" s="84"/>
      <c r="AP134" s="84"/>
      <c r="AQ134" s="84"/>
      <c r="AW134">
        <v>314.81400000000002</v>
      </c>
    </row>
    <row r="135" spans="1:49" ht="15" customHeight="1" x14ac:dyDescent="0.25">
      <c r="A135" s="100" t="s">
        <v>290</v>
      </c>
      <c r="B135" s="100" t="s">
        <v>185</v>
      </c>
      <c r="C135" s="72" t="str">
        <f t="shared" ref="C135:C136" si="376">TEXT(DATEVALUE(A135) + TIMEVALUE(B135), "dd-mm-yyyy hh:mm")</f>
        <v>08-04-2024 10:30</v>
      </c>
      <c r="D135" s="82"/>
      <c r="E135" s="71">
        <v>4.4508999999999999</v>
      </c>
      <c r="F135" s="71">
        <v>27.5885</v>
      </c>
      <c r="G135" s="71">
        <v>5.2237999999999998</v>
      </c>
      <c r="H135" s="71"/>
      <c r="I135" s="71">
        <f t="shared" si="369"/>
        <v>23.137599999999999</v>
      </c>
      <c r="J135" s="71">
        <f t="shared" si="370"/>
        <v>0.77289999999999992</v>
      </c>
      <c r="K135" s="71">
        <f t="shared" si="371"/>
        <v>33.404501763363527</v>
      </c>
      <c r="L135" s="71">
        <f t="shared" si="372"/>
        <v>-4.4508999999999999</v>
      </c>
      <c r="M135" s="71">
        <f t="shared" si="373"/>
        <v>-192.3665375838462</v>
      </c>
      <c r="N135" s="71">
        <f t="shared" si="374"/>
        <v>5.2237999999999998</v>
      </c>
      <c r="O135" s="71">
        <f t="shared" si="375"/>
        <v>225.77103934720975</v>
      </c>
      <c r="P135" s="71">
        <f t="shared" si="353"/>
        <v>675.87009962478976</v>
      </c>
      <c r="Q135" s="84"/>
      <c r="R135" s="84"/>
      <c r="S135" s="84"/>
      <c r="T135" s="84"/>
      <c r="U135" s="84"/>
      <c r="V135" s="84"/>
      <c r="W135" s="84"/>
      <c r="X135" s="84"/>
      <c r="Y135" s="84"/>
      <c r="Z135" s="84"/>
      <c r="AA135" s="84"/>
      <c r="AB135" s="84"/>
      <c r="AC135" s="84"/>
      <c r="AD135" s="84"/>
      <c r="AE135" s="84"/>
      <c r="AF135" s="84"/>
      <c r="AG135" s="82"/>
      <c r="AH135" s="84"/>
      <c r="AI135" s="84"/>
      <c r="AJ135" s="84"/>
      <c r="AK135" s="84"/>
      <c r="AL135" s="84"/>
      <c r="AM135" s="84"/>
      <c r="AN135" s="84"/>
      <c r="AO135" s="84"/>
      <c r="AP135" s="84"/>
      <c r="AQ135" s="84"/>
    </row>
    <row r="136" spans="1:49" ht="15" customHeight="1" x14ac:dyDescent="0.25">
      <c r="A136" s="100" t="s">
        <v>291</v>
      </c>
      <c r="B136" s="100" t="s">
        <v>185</v>
      </c>
      <c r="C136" s="72" t="str">
        <f t="shared" si="376"/>
        <v>10-04-2024 10:30</v>
      </c>
      <c r="D136" s="82">
        <v>100</v>
      </c>
      <c r="E136" s="71">
        <v>4.4303999999999997</v>
      </c>
      <c r="F136" s="71">
        <v>27.134899999999998</v>
      </c>
      <c r="G136" s="71">
        <v>5.1532999999999998</v>
      </c>
      <c r="H136" s="71"/>
      <c r="I136" s="71">
        <f t="shared" si="369"/>
        <v>22.704499999999999</v>
      </c>
      <c r="J136" s="71">
        <f t="shared" si="370"/>
        <v>0.7229000000000001</v>
      </c>
      <c r="K136" s="71">
        <f t="shared" si="371"/>
        <v>31.839503182188558</v>
      </c>
      <c r="L136" s="71">
        <f t="shared" si="372"/>
        <v>-4.4303999999999997</v>
      </c>
      <c r="M136" s="71">
        <f t="shared" si="373"/>
        <v>-195.13312338963641</v>
      </c>
      <c r="N136" s="71">
        <f t="shared" si="374"/>
        <v>5.1532999999999998</v>
      </c>
      <c r="O136" s="71">
        <f t="shared" si="375"/>
        <v>226.97262657182497</v>
      </c>
      <c r="P136" s="71">
        <f t="shared" si="353"/>
        <v>712.86484991008433</v>
      </c>
      <c r="Q136" s="84">
        <v>7.54</v>
      </c>
      <c r="R136" s="84"/>
      <c r="S136" s="84">
        <v>0.20200000000000001</v>
      </c>
      <c r="T136" s="84"/>
      <c r="U136" s="84">
        <f xml:space="preserve">  17*50</f>
        <v>850</v>
      </c>
      <c r="V136" s="84"/>
      <c r="W136" s="84">
        <f>24.8*500</f>
        <v>12400</v>
      </c>
      <c r="X136" s="84">
        <f t="shared" si="289"/>
        <v>98.867684279999992</v>
      </c>
      <c r="Y136" s="84" t="s">
        <v>393</v>
      </c>
      <c r="Z136" s="84" t="s">
        <v>393</v>
      </c>
      <c r="AA136" s="84">
        <v>0</v>
      </c>
      <c r="AB136" s="84">
        <f t="shared" si="364"/>
        <v>105.45886323199998</v>
      </c>
      <c r="AC136" s="84">
        <f t="shared" si="365"/>
        <v>7.5675675675675675</v>
      </c>
      <c r="AD136" s="84">
        <f t="shared" si="366"/>
        <v>9.0909090909090917</v>
      </c>
      <c r="AE136" s="84">
        <f t="shared" si="367"/>
        <v>0</v>
      </c>
      <c r="AF136" s="84">
        <f t="shared" si="368"/>
        <v>122.11733989047664</v>
      </c>
      <c r="AG136" s="84">
        <f>64.4*500</f>
        <v>32200.000000000004</v>
      </c>
      <c r="AH136" s="84"/>
      <c r="AI136" s="84"/>
      <c r="AJ136" s="84"/>
      <c r="AK136" s="84"/>
      <c r="AL136" s="84"/>
      <c r="AM136" s="84"/>
      <c r="AN136" s="84">
        <f>49.3*50</f>
        <v>2465</v>
      </c>
      <c r="AO136" s="84"/>
      <c r="AP136" s="84"/>
      <c r="AQ136" s="84"/>
      <c r="AW136">
        <v>113.874</v>
      </c>
    </row>
    <row r="145" spans="4:16" ht="15" customHeight="1" x14ac:dyDescent="0.25">
      <c r="D145" t="s">
        <v>451</v>
      </c>
      <c r="E145" s="71">
        <v>4.5736999999999997</v>
      </c>
      <c r="F145" s="71">
        <v>35.306800000000003</v>
      </c>
      <c r="G145" s="71">
        <v>6.2504</v>
      </c>
      <c r="H145" s="71"/>
      <c r="I145" s="71">
        <f t="shared" ref="I145:I146" si="377">F145-E145</f>
        <v>30.733100000000004</v>
      </c>
      <c r="J145" s="71">
        <f t="shared" ref="J145:J146" si="378">G145-E145</f>
        <v>1.6767000000000003</v>
      </c>
      <c r="K145" s="71">
        <f t="shared" ref="K145:K146" si="379">1000*J145/I145</f>
        <v>54.55681333806222</v>
      </c>
      <c r="L145" s="71">
        <f t="shared" ref="L145:L146" si="380">H145-E145</f>
        <v>-4.5736999999999997</v>
      </c>
      <c r="M145" s="71">
        <f t="shared" ref="M145:M146" si="381">1000*L145/I145</f>
        <v>-148.82000188721605</v>
      </c>
      <c r="N145" s="71">
        <f t="shared" ref="N145:N146" si="382">J145-L145</f>
        <v>6.2504</v>
      </c>
      <c r="O145" s="71">
        <f t="shared" ref="O145:O146" si="383">1000*N145/I145</f>
        <v>203.37681522527825</v>
      </c>
      <c r="P145" s="128">
        <f>100*O145/K145</f>
        <v>372.77986521142714</v>
      </c>
    </row>
    <row r="146" spans="4:16" ht="15" customHeight="1" x14ac:dyDescent="0.25">
      <c r="D146" t="s">
        <v>451</v>
      </c>
      <c r="E146" s="71">
        <v>4.5538999999999996</v>
      </c>
      <c r="F146" s="71">
        <v>29.950399999999998</v>
      </c>
      <c r="G146" s="71">
        <v>5.9455</v>
      </c>
      <c r="H146" s="71">
        <v>4.6943000000000001</v>
      </c>
      <c r="I146" s="71">
        <f t="shared" si="377"/>
        <v>25.3965</v>
      </c>
      <c r="J146" s="71">
        <f t="shared" si="378"/>
        <v>1.3916000000000004</v>
      </c>
      <c r="K146" s="71">
        <f t="shared" si="379"/>
        <v>54.79495206032329</v>
      </c>
      <c r="L146" s="71">
        <f t="shared" si="380"/>
        <v>0.14040000000000052</v>
      </c>
      <c r="M146" s="71">
        <f t="shared" si="381"/>
        <v>5.5283208316106753</v>
      </c>
      <c r="N146" s="71">
        <f t="shared" si="382"/>
        <v>1.2511999999999999</v>
      </c>
      <c r="O146" s="71">
        <f t="shared" si="383"/>
        <v>49.266631228712612</v>
      </c>
      <c r="P146" s="128">
        <f t="shared" ref="P146:P160" si="384">100*O146/K146</f>
        <v>89.910893935038771</v>
      </c>
    </row>
    <row r="147" spans="4:16" ht="15" customHeight="1" x14ac:dyDescent="0.25">
      <c r="D147" t="s">
        <v>451</v>
      </c>
      <c r="E147" s="71">
        <v>4.6310000000000002</v>
      </c>
      <c r="F147" s="71">
        <v>24.4924</v>
      </c>
      <c r="G147" s="71">
        <v>5.3826000000000001</v>
      </c>
      <c r="H147" s="71">
        <v>4.6638000000000002</v>
      </c>
      <c r="I147" s="71">
        <f t="shared" ref="I147:I148" si="385">F147-E147</f>
        <v>19.8614</v>
      </c>
      <c r="J147" s="71">
        <f t="shared" ref="J147:J148" si="386">G147-E147</f>
        <v>0.75159999999999982</v>
      </c>
      <c r="K147" s="71">
        <f t="shared" ref="K147:K148" si="387">1000*J147/I147</f>
        <v>37.842246770116901</v>
      </c>
      <c r="L147" s="71">
        <f t="shared" ref="L147:L148" si="388">H147-E147</f>
        <v>3.279999999999994E-2</v>
      </c>
      <c r="M147" s="71">
        <f t="shared" ref="M147:M148" si="389">1000*L147/I147</f>
        <v>1.6514445104574673</v>
      </c>
      <c r="N147" s="71">
        <f t="shared" ref="N147:N148" si="390">J147-L147</f>
        <v>0.71879999999999988</v>
      </c>
      <c r="O147" s="71">
        <f t="shared" ref="O147:O148" si="391">1000*N147/I147</f>
        <v>36.190802259659435</v>
      </c>
      <c r="P147" s="128">
        <f t="shared" si="384"/>
        <v>95.635976583288993</v>
      </c>
    </row>
    <row r="148" spans="4:16" ht="15" customHeight="1" x14ac:dyDescent="0.25">
      <c r="D148" t="s">
        <v>451</v>
      </c>
      <c r="E148" s="71">
        <v>4.6386000000000003</v>
      </c>
      <c r="F148" s="71">
        <v>27.501899999999999</v>
      </c>
      <c r="G148" s="71">
        <v>5.4898999999999996</v>
      </c>
      <c r="H148" s="71">
        <v>4.6959999999999997</v>
      </c>
      <c r="I148" s="71">
        <f t="shared" si="385"/>
        <v>22.863299999999999</v>
      </c>
      <c r="J148" s="71">
        <f t="shared" si="386"/>
        <v>0.85129999999999928</v>
      </c>
      <c r="K148" s="71">
        <f t="shared" si="387"/>
        <v>37.234344998316047</v>
      </c>
      <c r="L148" s="71">
        <f t="shared" si="388"/>
        <v>5.7399999999999451E-2</v>
      </c>
      <c r="M148" s="71">
        <f t="shared" si="389"/>
        <v>2.5105737142057118</v>
      </c>
      <c r="N148" s="71">
        <f t="shared" si="390"/>
        <v>0.79389999999999983</v>
      </c>
      <c r="O148" s="71">
        <f t="shared" si="391"/>
        <v>34.723771284110342</v>
      </c>
      <c r="P148" s="128">
        <f t="shared" si="384"/>
        <v>93.257371079525512</v>
      </c>
    </row>
    <row r="149" spans="4:16" ht="15" customHeight="1" x14ac:dyDescent="0.25">
      <c r="D149" t="s">
        <v>451</v>
      </c>
      <c r="E149" s="71">
        <v>4.6233000000000004</v>
      </c>
      <c r="F149" s="71">
        <v>30.4664</v>
      </c>
      <c r="G149" s="71">
        <v>5.9138999999999999</v>
      </c>
      <c r="H149" s="71">
        <v>4.7526999999999999</v>
      </c>
      <c r="I149" s="71">
        <f t="shared" ref="I149:I150" si="392">F149-E149</f>
        <v>25.8431</v>
      </c>
      <c r="J149" s="71">
        <f t="shared" ref="J149:J150" si="393">G149-E149</f>
        <v>1.2905999999999995</v>
      </c>
      <c r="K149" s="71">
        <f t="shared" ref="K149:K150" si="394">1000*J149/I149</f>
        <v>49.939829200057247</v>
      </c>
      <c r="L149" s="71">
        <f t="shared" ref="L149:L150" si="395">H149-E149</f>
        <v>0.12939999999999952</v>
      </c>
      <c r="M149" s="71">
        <f t="shared" ref="M149:M150" si="396">1000*L149/I149</f>
        <v>5.0071392363919003</v>
      </c>
      <c r="N149" s="71">
        <f t="shared" ref="N149:N150" si="397">J149-L149</f>
        <v>1.1612</v>
      </c>
      <c r="O149" s="71">
        <f t="shared" ref="O149:O150" si="398">1000*N149/I149</f>
        <v>44.932689963665354</v>
      </c>
      <c r="P149" s="128">
        <f t="shared" si="384"/>
        <v>89.973655664032279</v>
      </c>
    </row>
    <row r="150" spans="4:16" ht="15" customHeight="1" x14ac:dyDescent="0.25">
      <c r="D150" t="s">
        <v>451</v>
      </c>
      <c r="E150" s="71">
        <v>4.5983999999999998</v>
      </c>
      <c r="F150" s="71">
        <v>26.3278</v>
      </c>
      <c r="G150" s="71">
        <v>5.7306999999999997</v>
      </c>
      <c r="H150" s="71">
        <v>4.6929999999999996</v>
      </c>
      <c r="I150" s="71">
        <f t="shared" si="392"/>
        <v>21.729399999999998</v>
      </c>
      <c r="J150" s="71">
        <f t="shared" si="393"/>
        <v>1.1322999999999999</v>
      </c>
      <c r="K150" s="71">
        <f t="shared" si="394"/>
        <v>52.109124043922058</v>
      </c>
      <c r="L150" s="71">
        <f t="shared" si="395"/>
        <v>9.4599999999999795E-2</v>
      </c>
      <c r="M150" s="71">
        <f t="shared" si="396"/>
        <v>4.3535486483750034</v>
      </c>
      <c r="N150" s="71">
        <f t="shared" si="397"/>
        <v>1.0377000000000001</v>
      </c>
      <c r="O150" s="71">
        <f t="shared" si="398"/>
        <v>47.755575395547055</v>
      </c>
      <c r="P150" s="128">
        <f t="shared" si="384"/>
        <v>91.645323677470657</v>
      </c>
    </row>
    <row r="151" spans="4:16" ht="15" customHeight="1" x14ac:dyDescent="0.25">
      <c r="E151" s="71">
        <v>4.4421999999999997</v>
      </c>
      <c r="F151" s="71">
        <v>26.9986</v>
      </c>
      <c r="G151" s="71">
        <v>5.4626999999999999</v>
      </c>
      <c r="H151" s="71">
        <v>4.6845999999999997</v>
      </c>
      <c r="I151" s="71">
        <f t="shared" ref="I151:I152" si="399">F151-E151</f>
        <v>22.5564</v>
      </c>
      <c r="J151" s="71">
        <f t="shared" ref="J151:J152" si="400">G151-E151</f>
        <v>1.0205000000000002</v>
      </c>
      <c r="K151" s="71">
        <f t="shared" ref="K151:K152" si="401">1000*J151/I151</f>
        <v>45.242148569807249</v>
      </c>
      <c r="L151" s="71">
        <f t="shared" ref="L151:L152" si="402">H151-E151</f>
        <v>0.24239999999999995</v>
      </c>
      <c r="M151" s="71">
        <f t="shared" ref="M151:M152" si="403">1000*L151/I151</f>
        <v>10.746395701441717</v>
      </c>
      <c r="N151" s="71">
        <f t="shared" ref="N151:N152" si="404">J151-L151</f>
        <v>0.77810000000000024</v>
      </c>
      <c r="O151" s="71">
        <f t="shared" ref="O151:O152" si="405">1000*N151/I151</f>
        <v>34.495752868365528</v>
      </c>
      <c r="P151" s="128">
        <f t="shared" si="384"/>
        <v>76.246937775600202</v>
      </c>
    </row>
    <row r="152" spans="4:16" ht="15" customHeight="1" x14ac:dyDescent="0.25">
      <c r="E152" s="71">
        <v>4.3715000000000002</v>
      </c>
      <c r="F152" s="71">
        <v>26.212499999999999</v>
      </c>
      <c r="G152" s="71">
        <v>5.3068999999999997</v>
      </c>
      <c r="H152" s="71"/>
      <c r="I152" s="71">
        <f t="shared" si="399"/>
        <v>21.840999999999998</v>
      </c>
      <c r="J152" s="71">
        <f t="shared" si="400"/>
        <v>0.93539999999999957</v>
      </c>
      <c r="K152" s="71">
        <f t="shared" si="401"/>
        <v>42.827709353967293</v>
      </c>
      <c r="L152" s="71">
        <f t="shared" si="402"/>
        <v>-4.3715000000000002</v>
      </c>
      <c r="M152" s="71">
        <f t="shared" si="403"/>
        <v>-200.15109198296784</v>
      </c>
      <c r="N152" s="71">
        <f t="shared" si="404"/>
        <v>5.3068999999999997</v>
      </c>
      <c r="O152" s="71">
        <f t="shared" si="405"/>
        <v>242.97880133693513</v>
      </c>
      <c r="P152" s="128">
        <f t="shared" si="384"/>
        <v>567.34017532606401</v>
      </c>
    </row>
    <row r="153" spans="4:16" ht="15" customHeight="1" x14ac:dyDescent="0.25">
      <c r="D153" t="s">
        <v>451</v>
      </c>
      <c r="E153" s="71">
        <v>4.4263000000000003</v>
      </c>
      <c r="F153" s="71">
        <v>33.522300000000001</v>
      </c>
      <c r="G153" s="71">
        <v>6.6893000000000002</v>
      </c>
      <c r="H153" s="71">
        <v>4.8449</v>
      </c>
      <c r="I153" s="71">
        <f t="shared" ref="I153:I154" si="406">F153-E153</f>
        <v>29.096</v>
      </c>
      <c r="J153" s="71">
        <f t="shared" ref="J153:J154" si="407">G153-E153</f>
        <v>2.2629999999999999</v>
      </c>
      <c r="K153" s="71">
        <f t="shared" ref="K153:K154" si="408">1000*J153/I153</f>
        <v>77.777014022546055</v>
      </c>
      <c r="L153" s="71">
        <f t="shared" ref="L153:L154" si="409">H153-E153</f>
        <v>0.41859999999999964</v>
      </c>
      <c r="M153" s="71">
        <f t="shared" ref="M153:M154" si="410">1000*L153/I153</f>
        <v>14.386857299972492</v>
      </c>
      <c r="N153" s="71">
        <f t="shared" ref="N153:N154" si="411">J153-L153</f>
        <v>1.8444000000000003</v>
      </c>
      <c r="O153" s="71">
        <f t="shared" ref="O153:O154" si="412">1000*N153/I153</f>
        <v>63.390156722573558</v>
      </c>
      <c r="P153" s="128">
        <f t="shared" si="384"/>
        <v>81.502430402121092</v>
      </c>
    </row>
    <row r="154" spans="4:16" ht="15" customHeight="1" x14ac:dyDescent="0.25">
      <c r="D154" t="s">
        <v>451</v>
      </c>
      <c r="E154" s="71">
        <v>4.3457999999999997</v>
      </c>
      <c r="F154" s="71">
        <v>40.655099999999997</v>
      </c>
      <c r="G154" s="71">
        <v>7.1116000000000001</v>
      </c>
      <c r="H154" s="71">
        <v>4.8564999999999996</v>
      </c>
      <c r="I154" s="71">
        <f t="shared" si="406"/>
        <v>36.3093</v>
      </c>
      <c r="J154" s="71">
        <f t="shared" si="407"/>
        <v>2.7658000000000005</v>
      </c>
      <c r="K154" s="71">
        <f t="shared" si="408"/>
        <v>76.173321986378156</v>
      </c>
      <c r="L154" s="71">
        <f t="shared" si="409"/>
        <v>0.51069999999999993</v>
      </c>
      <c r="M154" s="71">
        <f t="shared" si="410"/>
        <v>14.065267025252481</v>
      </c>
      <c r="N154" s="71">
        <f t="shared" si="411"/>
        <v>2.2551000000000005</v>
      </c>
      <c r="O154" s="71">
        <f t="shared" si="412"/>
        <v>62.108054961125674</v>
      </c>
      <c r="P154" s="128">
        <f t="shared" si="384"/>
        <v>81.535179694844174</v>
      </c>
    </row>
    <row r="155" spans="4:16" ht="15" customHeight="1" x14ac:dyDescent="0.25">
      <c r="E155" s="71">
        <v>4.3388</v>
      </c>
      <c r="F155" s="71">
        <v>29.9773</v>
      </c>
      <c r="G155" s="71">
        <v>6.3033000000000001</v>
      </c>
      <c r="H155" s="71">
        <v>4.8221999999999996</v>
      </c>
      <c r="I155" s="71">
        <f t="shared" ref="I155:I160" si="413">F155-E155</f>
        <v>25.638500000000001</v>
      </c>
      <c r="J155" s="71">
        <f t="shared" ref="J155:J160" si="414">G155-E155</f>
        <v>1.9645000000000001</v>
      </c>
      <c r="K155" s="71">
        <f t="shared" ref="K155:K160" si="415">1000*J155/I155</f>
        <v>76.623047370165963</v>
      </c>
      <c r="L155" s="71">
        <f t="shared" ref="L155:L160" si="416">H155-E155</f>
        <v>0.48339999999999961</v>
      </c>
      <c r="M155" s="71">
        <f t="shared" ref="M155:M160" si="417">1000*L155/I155</f>
        <v>18.854457164030642</v>
      </c>
      <c r="N155" s="71">
        <f t="shared" ref="N155:N160" si="418">J155-L155</f>
        <v>1.4811000000000005</v>
      </c>
      <c r="O155" s="71">
        <f t="shared" ref="O155:O160" si="419">1000*N155/I155</f>
        <v>57.768590206135329</v>
      </c>
      <c r="P155" s="128">
        <f t="shared" si="384"/>
        <v>75.393229829473185</v>
      </c>
    </row>
    <row r="156" spans="4:16" ht="15" customHeight="1" x14ac:dyDescent="0.25">
      <c r="E156" s="71">
        <v>4.4405000000000001</v>
      </c>
      <c r="F156" s="71">
        <v>31.708200000000001</v>
      </c>
      <c r="G156" s="71">
        <v>6.5465999999999998</v>
      </c>
      <c r="H156" s="71">
        <v>4.6940999999999997</v>
      </c>
      <c r="I156" s="71">
        <f t="shared" si="413"/>
        <v>27.267700000000001</v>
      </c>
      <c r="J156" s="71">
        <f t="shared" si="414"/>
        <v>2.1060999999999996</v>
      </c>
      <c r="K156" s="71">
        <f t="shared" si="415"/>
        <v>77.237904187005114</v>
      </c>
      <c r="L156" s="71">
        <f t="shared" si="416"/>
        <v>0.2535999999999996</v>
      </c>
      <c r="M156" s="71">
        <f t="shared" si="417"/>
        <v>9.3003810369044544</v>
      </c>
      <c r="N156" s="71">
        <f t="shared" si="418"/>
        <v>1.8525</v>
      </c>
      <c r="O156" s="71">
        <f t="shared" si="419"/>
        <v>67.93752315010066</v>
      </c>
      <c r="P156" s="128">
        <f t="shared" si="384"/>
        <v>87.95878638241301</v>
      </c>
    </row>
    <row r="157" spans="4:16" ht="15" customHeight="1" x14ac:dyDescent="0.25">
      <c r="D157" t="s">
        <v>452</v>
      </c>
      <c r="E157" s="85">
        <v>4.4069000000000003</v>
      </c>
      <c r="F157" s="85">
        <v>11.517200000000001</v>
      </c>
      <c r="G157" s="85">
        <v>6.3879999999999999</v>
      </c>
      <c r="H157" s="82">
        <v>4.5027999999999997</v>
      </c>
      <c r="I157" s="85">
        <f t="shared" si="413"/>
        <v>7.1103000000000005</v>
      </c>
      <c r="J157" s="85">
        <f t="shared" si="414"/>
        <v>1.9810999999999996</v>
      </c>
      <c r="K157" s="85">
        <f t="shared" si="415"/>
        <v>278.62396804635523</v>
      </c>
      <c r="L157" s="85">
        <f t="shared" si="416"/>
        <v>9.589999999999943E-2</v>
      </c>
      <c r="M157" s="85">
        <f t="shared" si="417"/>
        <v>13.4874759152215</v>
      </c>
      <c r="N157" s="85">
        <f t="shared" si="418"/>
        <v>1.8852000000000002</v>
      </c>
      <c r="O157" s="85">
        <f t="shared" si="419"/>
        <v>265.13649213113371</v>
      </c>
      <c r="P157" s="128">
        <f t="shared" si="384"/>
        <v>95.159254959366024</v>
      </c>
    </row>
    <row r="158" spans="4:16" ht="15" customHeight="1" x14ac:dyDescent="0.25">
      <c r="D158" t="s">
        <v>452</v>
      </c>
      <c r="E158" s="85">
        <v>4.5209999999999999</v>
      </c>
      <c r="F158" s="85">
        <v>10.248900000000001</v>
      </c>
      <c r="G158" s="85">
        <v>5.9451000000000001</v>
      </c>
      <c r="H158" s="82">
        <v>4.6009000000000002</v>
      </c>
      <c r="I158" s="85">
        <f t="shared" si="413"/>
        <v>5.7279000000000009</v>
      </c>
      <c r="J158" s="85">
        <f t="shared" si="414"/>
        <v>1.4241000000000001</v>
      </c>
      <c r="K158" s="85">
        <f t="shared" si="415"/>
        <v>248.62515057874612</v>
      </c>
      <c r="L158" s="85">
        <f t="shared" si="416"/>
        <v>7.9900000000000304E-2</v>
      </c>
      <c r="M158" s="85">
        <f t="shared" si="417"/>
        <v>13.949265874055115</v>
      </c>
      <c r="N158" s="85">
        <f t="shared" si="418"/>
        <v>1.3441999999999998</v>
      </c>
      <c r="O158" s="85">
        <f t="shared" si="419"/>
        <v>234.67588470469101</v>
      </c>
      <c r="P158" s="128">
        <f t="shared" si="384"/>
        <v>94.389438943894376</v>
      </c>
    </row>
    <row r="159" spans="4:16" ht="15" customHeight="1" x14ac:dyDescent="0.25">
      <c r="E159" s="85">
        <v>4.5118999999999998</v>
      </c>
      <c r="F159" s="85">
        <v>29.303799999999999</v>
      </c>
      <c r="G159" s="85">
        <v>6.2023999999999999</v>
      </c>
      <c r="H159" s="82">
        <v>4.8421000000000003</v>
      </c>
      <c r="I159" s="85">
        <f t="shared" si="413"/>
        <v>24.791899999999998</v>
      </c>
      <c r="J159" s="85">
        <f t="shared" si="414"/>
        <v>1.6905000000000001</v>
      </c>
      <c r="K159" s="85">
        <f t="shared" si="415"/>
        <v>68.187593528531508</v>
      </c>
      <c r="L159" s="85">
        <f t="shared" si="416"/>
        <v>0.33020000000000049</v>
      </c>
      <c r="M159" s="85">
        <f t="shared" si="417"/>
        <v>13.318866242603452</v>
      </c>
      <c r="N159" s="85">
        <f t="shared" si="418"/>
        <v>1.3602999999999996</v>
      </c>
      <c r="O159" s="85">
        <f t="shared" si="419"/>
        <v>54.86872728592806</v>
      </c>
      <c r="P159" s="128">
        <f t="shared" si="384"/>
        <v>80.467317361727282</v>
      </c>
    </row>
    <row r="160" spans="4:16" ht="15" customHeight="1" x14ac:dyDescent="0.25">
      <c r="E160" s="85">
        <v>4.3512000000000004</v>
      </c>
      <c r="F160" s="85">
        <v>31.248899999999999</v>
      </c>
      <c r="G160" s="85">
        <v>6.2243000000000004</v>
      </c>
      <c r="H160" s="82">
        <v>4.7061999999999999</v>
      </c>
      <c r="I160" s="85">
        <f t="shared" si="413"/>
        <v>26.8977</v>
      </c>
      <c r="J160" s="85">
        <f t="shared" si="414"/>
        <v>1.8731</v>
      </c>
      <c r="K160" s="85">
        <f t="shared" si="415"/>
        <v>69.637924432200521</v>
      </c>
      <c r="L160" s="85">
        <f t="shared" si="416"/>
        <v>0.35499999999999954</v>
      </c>
      <c r="M160" s="85">
        <f t="shared" si="417"/>
        <v>13.198154489045514</v>
      </c>
      <c r="N160" s="85">
        <f t="shared" si="418"/>
        <v>1.5181000000000004</v>
      </c>
      <c r="O160" s="85">
        <f t="shared" si="419"/>
        <v>56.439769943155007</v>
      </c>
      <c r="P160" s="128">
        <f t="shared" si="384"/>
        <v>81.047461427579975</v>
      </c>
    </row>
    <row r="161" spans="4:16" ht="15" customHeight="1" x14ac:dyDescent="0.25">
      <c r="D161" t="s">
        <v>452</v>
      </c>
      <c r="E161" s="85">
        <v>4.5599999999999996</v>
      </c>
      <c r="F161" s="85">
        <v>13.08</v>
      </c>
      <c r="G161" s="85">
        <v>7.05</v>
      </c>
      <c r="H161" s="85"/>
      <c r="I161" s="85">
        <f t="shared" ref="I161:I165" si="420">F161-E161</f>
        <v>8.52</v>
      </c>
      <c r="J161" s="85">
        <f t="shared" ref="J161:J165" si="421">G161-E161</f>
        <v>2.4900000000000002</v>
      </c>
      <c r="K161" s="85">
        <f t="shared" ref="K161:K165" si="422">1000*J161/I161</f>
        <v>292.25352112676057</v>
      </c>
      <c r="L161" s="85">
        <f t="shared" ref="L161:L165" si="423">H161-E161</f>
        <v>-4.5599999999999996</v>
      </c>
      <c r="M161" s="85">
        <f t="shared" ref="M161:M165" si="424">1000*L161/I161</f>
        <v>-535.21126760563379</v>
      </c>
      <c r="N161" s="85">
        <f t="shared" ref="N161:N165" si="425">J161-L161</f>
        <v>7.05</v>
      </c>
      <c r="O161" s="85">
        <f t="shared" ref="O161:O165" si="426">1000*N161/I161</f>
        <v>827.46478873239437</v>
      </c>
      <c r="P161" s="128">
        <f t="shared" ref="P161:P165" si="427">100*O161/K161</f>
        <v>283.13253012048193</v>
      </c>
    </row>
    <row r="162" spans="4:16" ht="15" customHeight="1" x14ac:dyDescent="0.25">
      <c r="D162" t="s">
        <v>452</v>
      </c>
      <c r="E162" s="85">
        <v>4.63</v>
      </c>
      <c r="F162" s="85">
        <v>13.96</v>
      </c>
      <c r="G162" s="85">
        <v>7.37</v>
      </c>
      <c r="H162" s="85"/>
      <c r="I162" s="85">
        <f t="shared" si="420"/>
        <v>9.3300000000000018</v>
      </c>
      <c r="J162" s="85">
        <f t="shared" si="421"/>
        <v>2.74</v>
      </c>
      <c r="K162" s="85">
        <f t="shared" si="422"/>
        <v>293.67631296891739</v>
      </c>
      <c r="L162" s="85">
        <f t="shared" si="423"/>
        <v>-4.63</v>
      </c>
      <c r="M162" s="85">
        <f t="shared" si="424"/>
        <v>-496.24866023579841</v>
      </c>
      <c r="N162" s="85">
        <f t="shared" si="425"/>
        <v>7.37</v>
      </c>
      <c r="O162" s="85">
        <f t="shared" si="426"/>
        <v>789.9249732047158</v>
      </c>
      <c r="P162" s="128">
        <f t="shared" si="427"/>
        <v>268.97810218978105</v>
      </c>
    </row>
    <row r="163" spans="4:16" ht="15" customHeight="1" x14ac:dyDescent="0.25">
      <c r="D163" t="s">
        <v>453</v>
      </c>
      <c r="E163" s="71">
        <v>4.4114000000000004</v>
      </c>
      <c r="F163" s="71">
        <v>13.7141</v>
      </c>
      <c r="G163" s="71">
        <v>4.5685000000000002</v>
      </c>
      <c r="H163" s="71"/>
      <c r="I163" s="71">
        <f t="shared" si="420"/>
        <v>9.3026999999999997</v>
      </c>
      <c r="J163" s="71">
        <f t="shared" si="421"/>
        <v>0.1570999999999998</v>
      </c>
      <c r="K163" s="71">
        <f t="shared" si="422"/>
        <v>16.887570275296397</v>
      </c>
      <c r="L163" s="71">
        <f t="shared" si="423"/>
        <v>-4.4114000000000004</v>
      </c>
      <c r="M163" s="71">
        <f t="shared" si="424"/>
        <v>-474.2064131918691</v>
      </c>
      <c r="N163" s="71">
        <f t="shared" si="425"/>
        <v>4.5685000000000002</v>
      </c>
      <c r="O163" s="71">
        <f t="shared" si="426"/>
        <v>491.09398346716546</v>
      </c>
      <c r="P163" s="128">
        <f t="shared" si="427"/>
        <v>2908.0203691916017</v>
      </c>
    </row>
    <row r="164" spans="4:16" ht="15" customHeight="1" x14ac:dyDescent="0.25">
      <c r="D164" t="s">
        <v>451</v>
      </c>
      <c r="E164" s="71">
        <v>4.4177</v>
      </c>
      <c r="F164" s="71">
        <v>28.529</v>
      </c>
      <c r="G164" s="71">
        <v>6.6336000000000004</v>
      </c>
      <c r="H164" s="71"/>
      <c r="I164" s="71">
        <f t="shared" si="420"/>
        <v>24.1113</v>
      </c>
      <c r="J164" s="71">
        <f t="shared" si="421"/>
        <v>2.2159000000000004</v>
      </c>
      <c r="K164" s="71">
        <f t="shared" si="422"/>
        <v>91.902966658786568</v>
      </c>
      <c r="L164" s="71">
        <f t="shared" si="423"/>
        <v>-4.4177</v>
      </c>
      <c r="M164" s="71">
        <f t="shared" si="424"/>
        <v>-183.22114527213381</v>
      </c>
      <c r="N164" s="71">
        <f t="shared" si="425"/>
        <v>6.6336000000000004</v>
      </c>
      <c r="O164" s="71">
        <f t="shared" si="426"/>
        <v>275.12411193092038</v>
      </c>
      <c r="P164" s="128">
        <f t="shared" si="427"/>
        <v>299.36368969718842</v>
      </c>
    </row>
    <row r="165" spans="4:16" ht="15" customHeight="1" x14ac:dyDescent="0.25">
      <c r="D165" t="s">
        <v>451</v>
      </c>
      <c r="E165" s="71">
        <v>4.3432000000000004</v>
      </c>
      <c r="F165" s="71">
        <v>31.988900000000001</v>
      </c>
      <c r="G165" s="71">
        <v>6.9227999999999996</v>
      </c>
      <c r="H165" s="71"/>
      <c r="I165" s="71">
        <f t="shared" si="420"/>
        <v>27.645700000000001</v>
      </c>
      <c r="J165" s="71">
        <f t="shared" si="421"/>
        <v>2.5795999999999992</v>
      </c>
      <c r="K165" s="71">
        <f t="shared" si="422"/>
        <v>93.30926690226687</v>
      </c>
      <c r="L165" s="71">
        <f t="shared" si="423"/>
        <v>-4.3432000000000004</v>
      </c>
      <c r="M165" s="71">
        <f t="shared" si="424"/>
        <v>-157.10218949058986</v>
      </c>
      <c r="N165" s="71">
        <f t="shared" si="425"/>
        <v>6.9227999999999996</v>
      </c>
      <c r="O165" s="71">
        <f t="shared" si="426"/>
        <v>250.41145639285671</v>
      </c>
      <c r="P165" s="128">
        <f t="shared" si="427"/>
        <v>268.36718871142818</v>
      </c>
    </row>
  </sheetData>
  <autoFilter ref="T1:T101" xr:uid="{DB4A8E70-4F64-476D-9A59-4B117CF47802}"/>
  <phoneticPr fontId="16" type="noConversion"/>
  <conditionalFormatting sqref="E3:H108">
    <cfRule type="containsBlanks" dxfId="37" priority="33">
      <formula>LEN(TRIM(E3))=0</formula>
    </cfRule>
  </conditionalFormatting>
  <conditionalFormatting sqref="E122:H124 E125:O136">
    <cfRule type="containsBlanks" dxfId="33" priority="23">
      <formula>LEN(TRIM(E122))=0</formula>
    </cfRule>
  </conditionalFormatting>
  <conditionalFormatting sqref="E145:H165">
    <cfRule type="containsBlanks" dxfId="32" priority="15">
      <formula>LEN(TRIM(E145))=0</formula>
    </cfRule>
  </conditionalFormatting>
  <conditionalFormatting sqref="P60:P110 Q96:AA110 P111:W136">
    <cfRule type="containsBlanks" dxfId="31" priority="34">
      <formula>LEN(TRIM(P60))=0</formula>
    </cfRule>
  </conditionalFormatting>
  <conditionalFormatting sqref="P28:S60 U53:AE67 P60:Q61 Q62:Q93 W68:Y68 Z68:AE84 U68:V90 W68:X95 Y69:Y73 W74:Y74 Y75:Y79 W80:Y80 Y81:Y84 W85:Y85 Z85:AA95 Y86:Y90 R86:V93 W91:Y91 Y92:Y95 Q94:V95 AB85:AE116">
    <cfRule type="containsBlanks" dxfId="30" priority="86">
      <formula>LEN(TRIM(P28))=0</formula>
    </cfRule>
  </conditionalFormatting>
  <conditionalFormatting sqref="Q11">
    <cfRule type="containsBlanks" dxfId="29" priority="184">
      <formula>LEN(TRIM(Q11))=0</formula>
    </cfRule>
  </conditionalFormatting>
  <conditionalFormatting sqref="Q12:S27 U16:V17">
    <cfRule type="containsBlanks" dxfId="28" priority="156">
      <formula>LEN(TRIM(Q12))=0</formula>
    </cfRule>
  </conditionalFormatting>
  <conditionalFormatting sqref="Q3:T10">
    <cfRule type="containsBlanks" dxfId="27" priority="83">
      <formula>LEN(TRIM(Q3))=0</formula>
    </cfRule>
  </conditionalFormatting>
  <conditionalFormatting sqref="T12:T90 V60:V67 X60:X67 Z60:Z67 R60:S90 W68:W101 Y68:Z108">
    <cfRule type="containsBlanks" dxfId="26" priority="74">
      <formula>LEN(TRIM(R12))=0</formula>
    </cfRule>
  </conditionalFormatting>
  <conditionalFormatting sqref="U93:V93">
    <cfRule type="containsBlanks" dxfId="25" priority="70">
      <formula>LEN(TRIM(U93))=0</formula>
    </cfRule>
  </conditionalFormatting>
  <conditionalFormatting sqref="U18:AA52">
    <cfRule type="containsBlanks" dxfId="23" priority="110">
      <formula>LEN(TRIM(U18))=0</formula>
    </cfRule>
  </conditionalFormatting>
  <conditionalFormatting sqref="U12:AE12">
    <cfRule type="containsBlanks" dxfId="22" priority="172">
      <formula>LEN(TRIM(U12))=0</formula>
    </cfRule>
  </conditionalFormatting>
  <conditionalFormatting sqref="U3:AO3 AG4:AO9 U4:AA10 AB4:AE11 AK8:AQ17 AG10:AM15 U13:AA15 W17:AA17">
    <cfRule type="containsBlanks" dxfId="21" priority="179">
      <formula>LEN(TRIM(U3))=0</formula>
    </cfRule>
  </conditionalFormatting>
  <conditionalFormatting sqref="X11:AA11">
    <cfRule type="containsBlanks" dxfId="20" priority="178">
      <formula>LEN(TRIM(X11))=0</formula>
    </cfRule>
  </conditionalFormatting>
  <conditionalFormatting sqref="X16:AA16">
    <cfRule type="containsBlanks" dxfId="19" priority="177">
      <formula>LEN(TRIM(X16))=0</formula>
    </cfRule>
  </conditionalFormatting>
  <conditionalFormatting sqref="X111:AA116">
    <cfRule type="containsBlanks" dxfId="18" priority="25">
      <formula>LEN(TRIM(X111))=0</formula>
    </cfRule>
  </conditionalFormatting>
  <conditionalFormatting sqref="AF4:AF116">
    <cfRule type="containsBlanks" dxfId="11" priority="87">
      <formula>LEN(TRIM(AF4))=0</formula>
    </cfRule>
  </conditionalFormatting>
  <conditionalFormatting sqref="AG128:AG136">
    <cfRule type="containsBlanks" dxfId="10" priority="18">
      <formula>LEN(TRIM(AG128))=0</formula>
    </cfRule>
  </conditionalFormatting>
  <conditionalFormatting sqref="AG20:AQ127">
    <cfRule type="containsBlanks" dxfId="9" priority="22">
      <formula>LEN(TRIM(AG20))=0</formula>
    </cfRule>
  </conditionalFormatting>
  <conditionalFormatting sqref="AN13:AO15 AG16:AO19">
    <cfRule type="containsBlanks" dxfId="7" priority="138">
      <formula>LEN(TRIM(AG13))=0</formula>
    </cfRule>
  </conditionalFormatting>
  <conditionalFormatting sqref="AN11:AQ12">
    <cfRule type="containsBlanks" dxfId="6" priority="171">
      <formula>LEN(TRIM(AN11))=0</formula>
    </cfRule>
  </conditionalFormatting>
  <conditionalFormatting sqref="AP3:AQ10 AP13:AQ19">
    <cfRule type="containsBlanks" dxfId="5" priority="186">
      <formula>LEN(TRIM(AP3))=0</formula>
    </cfRule>
  </conditionalFormatting>
  <conditionalFormatting sqref="AS2:AS93 AB13:AE52">
    <cfRule type="containsBlanks" dxfId="4" priority="131">
      <formula>LEN(TRIM(AB2))=0</formula>
    </cfRule>
  </conditionalFormatting>
  <conditionalFormatting sqref="X117:AF136">
    <cfRule type="containsBlanks" dxfId="2" priority="3">
      <formula>LEN(TRIM(X117))=0</formula>
    </cfRule>
  </conditionalFormatting>
  <conditionalFormatting sqref="AH128:AQ136">
    <cfRule type="containsBlanks" dxfId="1" priority="2">
      <formula>LEN(TRIM(AH128))=0</formula>
    </cfRule>
  </conditionalFormatting>
  <conditionalFormatting sqref="E109:O121">
    <cfRule type="containsBlanks" dxfId="0" priority="1">
      <formula>LEN(TRIM(E109))=0</formula>
    </cfRule>
  </conditionalFormatting>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52ADAC-1D3E-48C0-87B8-2BDC70372CE3}">
  <dimension ref="A1:AH48"/>
  <sheetViews>
    <sheetView zoomScale="85" zoomScaleNormal="85" workbookViewId="0">
      <pane xSplit="4" ySplit="1" topLeftCell="K27" activePane="bottomRight" state="frozen"/>
      <selection pane="topRight" activeCell="E1" sqref="E1"/>
      <selection pane="bottomLeft" activeCell="A2" sqref="A2"/>
      <selection pane="bottomRight" activeCell="T38" sqref="T38"/>
    </sheetView>
  </sheetViews>
  <sheetFormatPr defaultRowHeight="15" x14ac:dyDescent="0.25"/>
  <cols>
    <col min="1" max="1" width="28.140625" bestFit="1" customWidth="1"/>
    <col min="4" max="4" width="12.7109375" bestFit="1" customWidth="1"/>
    <col min="5" max="5" width="16.5703125" bestFit="1" customWidth="1"/>
    <col min="6" max="7" width="16.5703125" customWidth="1"/>
    <col min="8" max="13" width="12.7109375" customWidth="1"/>
    <col min="18" max="18" width="12.28515625" bestFit="1" customWidth="1"/>
    <col min="19" max="20" width="12" bestFit="1" customWidth="1"/>
    <col min="25" max="25" width="12" bestFit="1" customWidth="1"/>
    <col min="28" max="28" width="13.140625" bestFit="1" customWidth="1"/>
    <col min="30" max="30" width="12" bestFit="1" customWidth="1"/>
    <col min="32" max="32" width="11" bestFit="1" customWidth="1"/>
    <col min="34" max="34" width="13.28515625" bestFit="1" customWidth="1"/>
  </cols>
  <sheetData>
    <row r="1" spans="1:34" ht="75" x14ac:dyDescent="0.25">
      <c r="E1" s="38" t="s">
        <v>454</v>
      </c>
      <c r="F1" s="38" t="s">
        <v>455</v>
      </c>
      <c r="G1" s="38" t="s">
        <v>456</v>
      </c>
      <c r="H1" s="38" t="s">
        <v>457</v>
      </c>
      <c r="I1" s="38" t="s">
        <v>458</v>
      </c>
      <c r="J1" s="38" t="s">
        <v>459</v>
      </c>
      <c r="K1" s="38" t="s">
        <v>457</v>
      </c>
      <c r="L1" s="38" t="s">
        <v>460</v>
      </c>
      <c r="M1" s="38"/>
      <c r="N1" s="105" t="s">
        <v>42</v>
      </c>
      <c r="O1" s="106" t="s">
        <v>461</v>
      </c>
      <c r="P1" s="106" t="s">
        <v>7</v>
      </c>
      <c r="Q1" s="106" t="s">
        <v>12</v>
      </c>
      <c r="R1" s="106" t="s">
        <v>12</v>
      </c>
      <c r="S1" s="106" t="s">
        <v>462</v>
      </c>
      <c r="T1" s="107" t="s">
        <v>463</v>
      </c>
      <c r="U1" s="108"/>
      <c r="V1" s="106" t="s">
        <v>464</v>
      </c>
      <c r="W1" s="109" t="s">
        <v>465</v>
      </c>
      <c r="X1" s="106" t="s">
        <v>464</v>
      </c>
      <c r="Y1" s="110" t="s">
        <v>460</v>
      </c>
      <c r="Z1" s="105" t="s">
        <v>466</v>
      </c>
      <c r="AA1" s="106"/>
      <c r="AB1" s="107" t="s">
        <v>463</v>
      </c>
      <c r="AC1" s="28"/>
      <c r="AD1" s="28"/>
      <c r="AE1" s="115"/>
      <c r="AF1" s="120" t="s">
        <v>467</v>
      </c>
      <c r="AG1" s="109" t="s">
        <v>468</v>
      </c>
      <c r="AH1" s="115"/>
    </row>
    <row r="2" spans="1:34" ht="30" x14ac:dyDescent="0.25">
      <c r="B2" t="s">
        <v>469</v>
      </c>
      <c r="E2" t="s">
        <v>470</v>
      </c>
      <c r="F2" t="s">
        <v>471</v>
      </c>
      <c r="G2" t="s">
        <v>472</v>
      </c>
      <c r="H2" t="s">
        <v>473</v>
      </c>
      <c r="K2" t="s">
        <v>474</v>
      </c>
      <c r="N2" s="111" t="s">
        <v>475</v>
      </c>
      <c r="O2" s="37" t="s">
        <v>82</v>
      </c>
      <c r="P2" s="37" t="s">
        <v>79</v>
      </c>
      <c r="Q2" s="37" t="s">
        <v>70</v>
      </c>
      <c r="R2" s="37" t="s">
        <v>81</v>
      </c>
      <c r="S2" s="37" t="s">
        <v>476</v>
      </c>
      <c r="T2" s="37" t="s">
        <v>470</v>
      </c>
      <c r="U2" s="37" t="s">
        <v>477</v>
      </c>
      <c r="V2" s="37" t="s">
        <v>478</v>
      </c>
      <c r="W2" s="37"/>
      <c r="X2" t="s">
        <v>479</v>
      </c>
      <c r="Y2" s="112"/>
      <c r="Z2" s="111" t="s">
        <v>478</v>
      </c>
      <c r="AA2" t="s">
        <v>479</v>
      </c>
      <c r="AB2" s="37" t="s">
        <v>470</v>
      </c>
      <c r="AC2" s="37" t="s">
        <v>477</v>
      </c>
      <c r="AE2" s="112"/>
      <c r="AF2" s="111" t="s">
        <v>477</v>
      </c>
      <c r="AG2" s="37" t="s">
        <v>478</v>
      </c>
      <c r="AH2" s="112" t="s">
        <v>479</v>
      </c>
    </row>
    <row r="3" spans="1:34" x14ac:dyDescent="0.25">
      <c r="A3" t="s">
        <v>480</v>
      </c>
      <c r="B3">
        <v>0.15</v>
      </c>
      <c r="C3" t="s">
        <v>68</v>
      </c>
      <c r="D3" t="s">
        <v>481</v>
      </c>
      <c r="E3">
        <v>0</v>
      </c>
      <c r="F3">
        <v>47</v>
      </c>
      <c r="G3">
        <v>68</v>
      </c>
      <c r="H3">
        <v>0</v>
      </c>
      <c r="I3" s="13">
        <f>H3/$H$7</f>
        <v>0</v>
      </c>
      <c r="J3">
        <v>0.99</v>
      </c>
      <c r="K3" s="13">
        <f>H3*J3</f>
        <v>0</v>
      </c>
      <c r="L3" s="13">
        <f>E3/$E$7</f>
        <v>0</v>
      </c>
      <c r="N3" s="111">
        <v>65.7</v>
      </c>
      <c r="O3" s="37">
        <v>1.43</v>
      </c>
      <c r="P3" s="113">
        <f>N3*O3</f>
        <v>93.950999999999993</v>
      </c>
      <c r="Q3" s="37">
        <v>363</v>
      </c>
      <c r="R3" s="132">
        <f>Q3/O3</f>
        <v>253.84615384615387</v>
      </c>
      <c r="S3" s="114">
        <f>R3/330</f>
        <v>0.76923076923076927</v>
      </c>
      <c r="T3">
        <f>$H$7*$B$3/P3*$B$6</f>
        <v>9.5815309315773261E-5</v>
      </c>
      <c r="U3" s="13">
        <f>T3*1000000</f>
        <v>95.815309315773263</v>
      </c>
      <c r="V3" s="13">
        <f>T3/$B$6*P3</f>
        <v>0.75016201046051778</v>
      </c>
      <c r="W3" s="13">
        <f>V3/$V$7</f>
        <v>0.1843258615089437</v>
      </c>
      <c r="X3" s="13">
        <f>V3*S3</f>
        <v>0.57704770035424446</v>
      </c>
      <c r="Y3" s="15">
        <f>U3/$U$7</f>
        <v>0.23953827328943317</v>
      </c>
      <c r="Z3" s="116">
        <f>V3</f>
        <v>0.75016201046051778</v>
      </c>
      <c r="AA3" s="13">
        <f>Z3*S3</f>
        <v>0.57704770035424446</v>
      </c>
      <c r="AB3">
        <f>Z3*$B$6/P3</f>
        <v>9.5815309315773275E-5</v>
      </c>
      <c r="AC3">
        <f>AB3*1000000</f>
        <v>95.815309315773277</v>
      </c>
      <c r="AD3" s="117">
        <f>AB3*P3/B6/Z7</f>
        <v>0.2304073268861796</v>
      </c>
      <c r="AE3" s="112" t="s">
        <v>480</v>
      </c>
      <c r="AF3" s="12">
        <f>AC3+102</f>
        <v>197.81530931577328</v>
      </c>
      <c r="AG3">
        <f>AF3*P3/1000/B6/1000</f>
        <v>1.5487455104605179</v>
      </c>
      <c r="AH3" s="112">
        <f>AG3*S3</f>
        <v>1.1913427003542445</v>
      </c>
    </row>
    <row r="4" spans="1:34" x14ac:dyDescent="0.25">
      <c r="A4" t="s">
        <v>482</v>
      </c>
      <c r="B4">
        <v>0.2</v>
      </c>
      <c r="C4" t="s">
        <v>68</v>
      </c>
      <c r="D4" t="s">
        <v>483</v>
      </c>
      <c r="E4">
        <v>130</v>
      </c>
      <c r="F4">
        <v>58</v>
      </c>
      <c r="G4">
        <v>89</v>
      </c>
      <c r="H4" s="13">
        <f>G4*E4/B5</f>
        <v>1.9679380873410723</v>
      </c>
      <c r="I4" s="13">
        <f>H4/$H$7</f>
        <v>0.39350261541496334</v>
      </c>
      <c r="J4" s="13">
        <v>0.82</v>
      </c>
      <c r="K4" s="13">
        <f>H4*J4</f>
        <v>1.6137092316196793</v>
      </c>
      <c r="L4" s="13">
        <f>E4/$E$7</f>
        <v>0.7230255839822024</v>
      </c>
      <c r="N4" s="111">
        <v>52</v>
      </c>
      <c r="O4" s="37">
        <v>1.53</v>
      </c>
      <c r="P4" s="37">
        <f t="shared" ref="P4:P5" si="0">N4*O4</f>
        <v>79.56</v>
      </c>
      <c r="Q4" s="37">
        <v>214</v>
      </c>
      <c r="R4" s="132">
        <f t="shared" ref="R4:R5" si="1">Q4/O4</f>
        <v>139.86928104575162</v>
      </c>
      <c r="S4" s="114">
        <f t="shared" ref="S4:S5" si="2">R4/330</f>
        <v>0.42384630619924735</v>
      </c>
      <c r="T4">
        <f>(1-B4)*(B10-T3)</f>
        <v>2.4334775254738141E-4</v>
      </c>
      <c r="U4" s="13">
        <f>T4*1000000</f>
        <v>243.34775254738142</v>
      </c>
      <c r="V4" s="13">
        <f t="shared" ref="V4:V5" si="3">T4/$B$6*P4</f>
        <v>1.6133955993891389</v>
      </c>
      <c r="W4" s="13">
        <f t="shared" ref="W4:W6" si="4">V4/$V$7</f>
        <v>0.3964350762438319</v>
      </c>
      <c r="X4" s="13">
        <f t="shared" ref="X4:X6" si="5">V4*S4</f>
        <v>0.68383176523920719</v>
      </c>
      <c r="Y4" s="15">
        <f t="shared" ref="Y4:Y6" si="6">U4/$U$7</f>
        <v>0.60836938136845353</v>
      </c>
      <c r="Z4" s="116">
        <f>V4</f>
        <v>1.6133955993891389</v>
      </c>
      <c r="AA4" s="13">
        <f t="shared" ref="AA4:AA5" si="7">Z4*S4</f>
        <v>0.68383176523920719</v>
      </c>
      <c r="AB4">
        <f t="shared" ref="AB4:AB5" si="8">Z4*$B$6/P4</f>
        <v>2.4334775254738141E-4</v>
      </c>
      <c r="AC4">
        <f t="shared" ref="AC4:AC5" si="9">AB4*1000000</f>
        <v>243.34775254738142</v>
      </c>
      <c r="AD4" s="14">
        <f>AC5/AC4</f>
        <v>0.13073630416977922</v>
      </c>
      <c r="AE4" s="112" t="s">
        <v>482</v>
      </c>
      <c r="AF4" s="12">
        <f>AC4-67</f>
        <v>176.34775254738142</v>
      </c>
      <c r="AG4">
        <f>AF4*P4/1000/B6/1000</f>
        <v>1.1691855993891389</v>
      </c>
      <c r="AH4" s="112">
        <f>AG4*S4</f>
        <v>0.49555499756243954</v>
      </c>
    </row>
    <row r="5" spans="1:34" x14ac:dyDescent="0.25">
      <c r="A5" t="s">
        <v>484</v>
      </c>
      <c r="B5">
        <v>5879.25</v>
      </c>
      <c r="C5" t="s">
        <v>485</v>
      </c>
      <c r="D5" t="s">
        <v>486</v>
      </c>
      <c r="E5">
        <v>37</v>
      </c>
      <c r="F5">
        <v>333</v>
      </c>
      <c r="G5">
        <v>419</v>
      </c>
      <c r="H5" s="13">
        <f>E5*G5/B5</f>
        <v>2.6369009652591742</v>
      </c>
      <c r="I5" s="13">
        <f>H5/$H$7</f>
        <v>0.52726629617788912</v>
      </c>
      <c r="J5" s="13">
        <v>0.54</v>
      </c>
      <c r="K5" s="13">
        <f>H5*J5</f>
        <v>1.4239265212399541</v>
      </c>
      <c r="L5" s="13">
        <f>E5/$E$7</f>
        <v>0.2057842046718576</v>
      </c>
      <c r="N5" s="111">
        <v>267.10000000000002</v>
      </c>
      <c r="O5" s="37">
        <v>1.26</v>
      </c>
      <c r="P5" s="37">
        <f t="shared" si="0"/>
        <v>336.54600000000005</v>
      </c>
      <c r="Q5" s="37">
        <v>400</v>
      </c>
      <c r="R5" s="132">
        <f t="shared" si="1"/>
        <v>317.46031746031747</v>
      </c>
      <c r="S5" s="114">
        <f t="shared" si="2"/>
        <v>0.96200096200096208</v>
      </c>
      <c r="T5">
        <f>B4*(B10-T3)</f>
        <v>6.0836938136845353E-5</v>
      </c>
      <c r="U5" s="13">
        <f>T5*1000000</f>
        <v>60.836938136845355</v>
      </c>
      <c r="V5" s="13">
        <f t="shared" si="3"/>
        <v>1.7062023485168967</v>
      </c>
      <c r="W5" s="13">
        <f t="shared" si="4"/>
        <v>0.41923906224722435</v>
      </c>
      <c r="X5" s="13">
        <f t="shared" si="5"/>
        <v>1.6413683006415554</v>
      </c>
      <c r="Y5" s="15">
        <f t="shared" si="6"/>
        <v>0.15209234534211338</v>
      </c>
      <c r="Z5" s="12">
        <f>V7*0.8-Z3-Z4</f>
        <v>0.89225035684358645</v>
      </c>
      <c r="AA5" s="13">
        <f t="shared" si="7"/>
        <v>0.85834570162923185</v>
      </c>
      <c r="AB5">
        <f t="shared" si="8"/>
        <v>3.181438579606662E-5</v>
      </c>
      <c r="AC5">
        <f t="shared" si="9"/>
        <v>31.81438579606662</v>
      </c>
      <c r="AD5">
        <f>B6/AC7*1000000</f>
        <v>32.34697978466648</v>
      </c>
      <c r="AE5" s="112" t="s">
        <v>487</v>
      </c>
      <c r="AF5" s="12">
        <f>AC5+17</f>
        <v>48.814385796066617</v>
      </c>
      <c r="AG5">
        <f>AF5*P5/1000/B6/1000</f>
        <v>1.3690238568435864</v>
      </c>
      <c r="AH5" s="112">
        <f>AG5*S5</f>
        <v>1.3170022672857975</v>
      </c>
    </row>
    <row r="6" spans="1:34" x14ac:dyDescent="0.25">
      <c r="A6" t="s">
        <v>488</v>
      </c>
      <c r="B6">
        <v>1.2E-2</v>
      </c>
      <c r="C6" t="s">
        <v>485</v>
      </c>
      <c r="D6" t="s">
        <v>489</v>
      </c>
      <c r="E6">
        <v>12.8</v>
      </c>
      <c r="F6">
        <v>138</v>
      </c>
      <c r="G6">
        <v>182</v>
      </c>
      <c r="H6" s="13">
        <f>E6*G6/B5</f>
        <v>0.39624101713653953</v>
      </c>
      <c r="I6" s="13">
        <f>H6/$H$7</f>
        <v>7.9231088407147682E-2</v>
      </c>
      <c r="J6" s="13">
        <v>0.48</v>
      </c>
      <c r="K6" s="13">
        <f>H6*J6</f>
        <v>0.19019568822553898</v>
      </c>
      <c r="L6" s="13">
        <f>E6/$E$7</f>
        <v>7.1190211345939933E-2</v>
      </c>
      <c r="N6" s="12">
        <f>N3*T3+N4*T4+N5*T5</f>
        <v>3.5198695130861532E-2</v>
      </c>
      <c r="P6">
        <f>P3*T3+P4*T4+P5*T5</f>
        <v>4.8837119500398637E-2</v>
      </c>
      <c r="T6">
        <v>0</v>
      </c>
      <c r="U6">
        <v>0</v>
      </c>
      <c r="V6">
        <v>0</v>
      </c>
      <c r="W6" s="13">
        <f t="shared" si="4"/>
        <v>0</v>
      </c>
      <c r="X6" s="13">
        <f t="shared" si="5"/>
        <v>0</v>
      </c>
      <c r="Y6" s="15">
        <f t="shared" si="6"/>
        <v>0</v>
      </c>
      <c r="Z6" s="12">
        <f t="shared" ref="Z6" si="10">V6*0.8</f>
        <v>0</v>
      </c>
      <c r="AD6" s="13">
        <f>Z7</f>
        <v>3.2558079666932431</v>
      </c>
      <c r="AE6" s="112" t="s">
        <v>490</v>
      </c>
      <c r="AF6" s="12"/>
      <c r="AH6" s="112"/>
    </row>
    <row r="7" spans="1:34" x14ac:dyDescent="0.25">
      <c r="A7" t="s">
        <v>491</v>
      </c>
      <c r="B7">
        <v>33</v>
      </c>
      <c r="C7" t="s">
        <v>492</v>
      </c>
      <c r="E7">
        <f>SUM(E4:E6)</f>
        <v>179.8</v>
      </c>
      <c r="H7" s="13">
        <f>SUM(H3+H5+H4+H6)</f>
        <v>5.0010800697367852</v>
      </c>
      <c r="I7" s="13">
        <f>I5+I6</f>
        <v>0.60649738458503677</v>
      </c>
      <c r="J7" s="13"/>
      <c r="K7" s="13">
        <f t="shared" ref="K7" si="11">SUM(K3+K5+K4+K6)</f>
        <v>3.2278314410851721</v>
      </c>
      <c r="L7" s="13">
        <f>L5+L6</f>
        <v>0.27697441601779754</v>
      </c>
      <c r="N7" s="19"/>
      <c r="O7" s="53"/>
      <c r="P7" s="53">
        <f>P6/N6</f>
        <v>1.3874696013256242</v>
      </c>
      <c r="Q7" s="53"/>
      <c r="R7" s="53"/>
      <c r="S7" s="53"/>
      <c r="T7" s="53"/>
      <c r="U7" s="53">
        <f>SUM(U3:U5)</f>
        <v>400</v>
      </c>
      <c r="V7" s="20">
        <f>SUM(V3:V5)</f>
        <v>4.0697599583665536</v>
      </c>
      <c r="W7" s="20">
        <f>W5+W3</f>
        <v>0.60356492375616799</v>
      </c>
      <c r="X7" s="20">
        <f>SUM(X3:X5)</f>
        <v>2.902247766235007</v>
      </c>
      <c r="Y7" s="22">
        <f>Y5+Y3</f>
        <v>0.39163061863154658</v>
      </c>
      <c r="Z7" s="118">
        <f>SUM(Z3:Z5)</f>
        <v>3.2558079666932431</v>
      </c>
      <c r="AA7" s="20">
        <f>SUM(AA3:AA5)</f>
        <v>2.1192251672226834</v>
      </c>
      <c r="AB7" s="53"/>
      <c r="AC7" s="53">
        <f>SUM(AC3:AC5)</f>
        <v>370.9774476592213</v>
      </c>
      <c r="AD7" s="53"/>
      <c r="AE7" s="119"/>
      <c r="AF7" s="19">
        <f>SUM(AF3:AF5)</f>
        <v>422.9774476592213</v>
      </c>
      <c r="AG7" s="53">
        <f>SUM(AG3:AG5)</f>
        <v>4.0869549666932432</v>
      </c>
      <c r="AH7" s="119">
        <f>SUM(AH3:AH5)</f>
        <v>3.0038999652024816</v>
      </c>
    </row>
    <row r="8" spans="1:34" x14ac:dyDescent="0.25">
      <c r="A8" t="s">
        <v>493</v>
      </c>
      <c r="B8">
        <v>30</v>
      </c>
      <c r="C8" t="s">
        <v>492</v>
      </c>
      <c r="N8">
        <f>V3/O3</f>
        <v>0.52458881850385863</v>
      </c>
      <c r="O8" s="88">
        <f>N8/$N$11</f>
        <v>0.17884372698029116</v>
      </c>
      <c r="V8">
        <f>V5/V4</f>
        <v>1.0575226244343892</v>
      </c>
      <c r="Y8" s="13"/>
      <c r="Z8">
        <f>Z5/Z4</f>
        <v>0.55302639797790987</v>
      </c>
      <c r="AG8">
        <f>AG5/AG4</f>
        <v>1.1709209021722953</v>
      </c>
    </row>
    <row r="9" spans="1:34" x14ac:dyDescent="0.25">
      <c r="A9" t="s">
        <v>454</v>
      </c>
      <c r="B9">
        <f>B5/B7</f>
        <v>178.15909090909091</v>
      </c>
      <c r="C9" t="s">
        <v>470</v>
      </c>
      <c r="N9">
        <f>V4/O4</f>
        <v>1.0545069277053196</v>
      </c>
      <c r="O9" s="88">
        <f>N9/$N$11</f>
        <v>0.35950432495916534</v>
      </c>
      <c r="Q9" s="123" t="s">
        <v>494</v>
      </c>
      <c r="AF9" s="13">
        <f>Z4-AG4</f>
        <v>0.44420999999999999</v>
      </c>
      <c r="AG9" s="13">
        <f>AA4-AH4</f>
        <v>0.18827676767676765</v>
      </c>
    </row>
    <row r="10" spans="1:34" x14ac:dyDescent="0.25">
      <c r="A10" t="s">
        <v>463</v>
      </c>
      <c r="B10">
        <f>B6/B8</f>
        <v>4.0000000000000002E-4</v>
      </c>
      <c r="C10" t="s">
        <v>470</v>
      </c>
      <c r="N10">
        <f>V5/O5</f>
        <v>1.354128848029283</v>
      </c>
      <c r="O10" s="88">
        <f>N10/$N$11</f>
        <v>0.46165194806054355</v>
      </c>
      <c r="Q10" s="39" t="s">
        <v>42</v>
      </c>
      <c r="R10" s="39" t="s">
        <v>7</v>
      </c>
      <c r="S10" s="39" t="s">
        <v>462</v>
      </c>
      <c r="T10" s="40" t="s">
        <v>463</v>
      </c>
      <c r="U10" s="38"/>
      <c r="V10" s="39" t="s">
        <v>464</v>
      </c>
      <c r="W10" s="38" t="s">
        <v>465</v>
      </c>
      <c r="X10" s="39" t="s">
        <v>464</v>
      </c>
      <c r="Y10" s="38" t="s">
        <v>460</v>
      </c>
      <c r="AC10" s="13"/>
      <c r="AF10" s="13">
        <f>Z5-AG5</f>
        <v>-0.47677349999999996</v>
      </c>
      <c r="AG10" s="13">
        <f>AA5-AH5</f>
        <v>-0.45865656565656565</v>
      </c>
    </row>
    <row r="11" spans="1:34" ht="30" x14ac:dyDescent="0.25">
      <c r="N11">
        <f>V7/P7</f>
        <v>2.9332245942384612</v>
      </c>
      <c r="Q11" s="37" t="s">
        <v>475</v>
      </c>
      <c r="R11" s="37" t="s">
        <v>79</v>
      </c>
      <c r="S11" s="37" t="s">
        <v>476</v>
      </c>
      <c r="T11" s="37" t="s">
        <v>470</v>
      </c>
      <c r="U11" s="37" t="s">
        <v>477</v>
      </c>
      <c r="V11" s="37" t="s">
        <v>478</v>
      </c>
      <c r="W11" s="37"/>
      <c r="X11" t="s">
        <v>479</v>
      </c>
      <c r="AB11">
        <f>Z3/$Z$7</f>
        <v>0.2304073268861796</v>
      </c>
      <c r="AC11" s="13"/>
      <c r="AE11" s="13"/>
    </row>
    <row r="12" spans="1:34" x14ac:dyDescent="0.25">
      <c r="P12" t="s">
        <v>481</v>
      </c>
      <c r="Q12">
        <v>47</v>
      </c>
      <c r="R12">
        <v>68</v>
      </c>
      <c r="S12">
        <v>0.99</v>
      </c>
      <c r="T12">
        <f>$H$7*$B$3/R12*$B$6</f>
        <v>1.3238153125773842E-4</v>
      </c>
      <c r="U12" s="13">
        <f>T12*1000000</f>
        <v>132.38153125773843</v>
      </c>
      <c r="V12" s="13">
        <f>T12/$B$6*R12</f>
        <v>0.75016201046051778</v>
      </c>
      <c r="W12" s="13">
        <f>V12/$V$16</f>
        <v>0.17831702909572983</v>
      </c>
      <c r="X12" s="13">
        <f>V12*S12</f>
        <v>0.74266039035591258</v>
      </c>
      <c r="Y12" s="13">
        <f>U12/$U$16</f>
        <v>0.33095382814434604</v>
      </c>
      <c r="AB12">
        <f t="shared" ref="AB12:AB13" si="12">Z4/$Z$7</f>
        <v>0.49554384530478984</v>
      </c>
      <c r="AC12" s="13"/>
      <c r="AE12" s="13"/>
    </row>
    <row r="13" spans="1:34" x14ac:dyDescent="0.25">
      <c r="P13" t="s">
        <v>483</v>
      </c>
      <c r="Q13">
        <v>58</v>
      </c>
      <c r="R13">
        <v>89</v>
      </c>
      <c r="S13" s="13">
        <v>0.82</v>
      </c>
      <c r="T13">
        <f>(1-B4)*(B10-T12)</f>
        <v>2.1409477499380929E-4</v>
      </c>
      <c r="U13" s="13">
        <f>T13*1000000</f>
        <v>214.0947749938093</v>
      </c>
      <c r="V13" s="13">
        <f>T13/$B$6*R13</f>
        <v>1.5878695812040855</v>
      </c>
      <c r="W13" s="13">
        <f t="shared" ref="W13:W15" si="13">V13/$V$16</f>
        <v>0.37744404857021957</v>
      </c>
      <c r="X13" s="13">
        <f t="shared" ref="X13:X15" si="14">V13*S13</f>
        <v>1.30205305658735</v>
      </c>
      <c r="Y13" s="13">
        <f t="shared" ref="Y13:Y15" si="15">U13/$U$16</f>
        <v>0.53523693748452317</v>
      </c>
      <c r="AB13">
        <f t="shared" si="12"/>
        <v>0.27404882780903056</v>
      </c>
      <c r="AC13" s="13"/>
    </row>
    <row r="14" spans="1:34" x14ac:dyDescent="0.25">
      <c r="P14" t="s">
        <v>486</v>
      </c>
      <c r="Q14">
        <v>333</v>
      </c>
      <c r="R14">
        <v>419</v>
      </c>
      <c r="S14" s="13">
        <v>0.54</v>
      </c>
      <c r="T14">
        <f>B4*(B10-T12)</f>
        <v>5.3523693748452324E-5</v>
      </c>
      <c r="U14" s="13">
        <f>T14*1000000</f>
        <v>53.523693748452324</v>
      </c>
      <c r="V14" s="13">
        <f>T14/$B$6*R14</f>
        <v>1.86886897338346</v>
      </c>
      <c r="W14" s="13">
        <f t="shared" si="13"/>
        <v>0.44423892233405055</v>
      </c>
      <c r="X14" s="13">
        <f t="shared" si="14"/>
        <v>1.0091892456270686</v>
      </c>
      <c r="Y14" s="13">
        <f t="shared" si="15"/>
        <v>0.13380923437113079</v>
      </c>
    </row>
    <row r="15" spans="1:34" x14ac:dyDescent="0.25">
      <c r="T15">
        <v>0</v>
      </c>
      <c r="U15">
        <v>0</v>
      </c>
      <c r="V15" s="13">
        <f t="shared" ref="V15" si="16">T15/$B$6*P15</f>
        <v>0</v>
      </c>
      <c r="W15" s="13">
        <f t="shared" si="13"/>
        <v>0</v>
      </c>
      <c r="X15" s="13">
        <f t="shared" si="14"/>
        <v>0</v>
      </c>
      <c r="Y15" s="13">
        <f t="shared" si="15"/>
        <v>0</v>
      </c>
      <c r="AC15" s="13"/>
    </row>
    <row r="16" spans="1:34" x14ac:dyDescent="0.25">
      <c r="U16">
        <f>SUM(U12:U14)</f>
        <v>400.00000000000006</v>
      </c>
      <c r="V16" s="13">
        <f>SUM(V12:V14)</f>
        <v>4.2069005650480635</v>
      </c>
      <c r="W16" s="13">
        <f>W14+W12</f>
        <v>0.62255595142978037</v>
      </c>
      <c r="X16" s="13">
        <f>SUM(X12:X14)</f>
        <v>3.0539026925703312</v>
      </c>
      <c r="Y16" s="13">
        <f>Y14+Y12</f>
        <v>0.46476306251547683</v>
      </c>
    </row>
    <row r="17" spans="16:27" x14ac:dyDescent="0.25">
      <c r="Q17" s="123" t="s">
        <v>495</v>
      </c>
    </row>
    <row r="18" spans="16:27" x14ac:dyDescent="0.25">
      <c r="Q18" s="39" t="s">
        <v>42</v>
      </c>
      <c r="R18" s="39" t="s">
        <v>7</v>
      </c>
      <c r="S18" s="39" t="s">
        <v>462</v>
      </c>
      <c r="T18" s="40" t="s">
        <v>463</v>
      </c>
      <c r="U18" s="38"/>
      <c r="V18" s="39" t="s">
        <v>464</v>
      </c>
      <c r="W18" s="38" t="s">
        <v>465</v>
      </c>
      <c r="X18" s="39" t="s">
        <v>464</v>
      </c>
      <c r="Y18" s="38" t="s">
        <v>460</v>
      </c>
    </row>
    <row r="19" spans="16:27" ht="30" x14ac:dyDescent="0.25">
      <c r="Q19" s="37" t="s">
        <v>475</v>
      </c>
      <c r="R19" s="37" t="s">
        <v>79</v>
      </c>
      <c r="S19" s="37" t="s">
        <v>476</v>
      </c>
      <c r="T19" s="37" t="s">
        <v>470</v>
      </c>
      <c r="U19" s="37" t="s">
        <v>477</v>
      </c>
      <c r="V19" s="37" t="s">
        <v>478</v>
      </c>
      <c r="W19" s="37"/>
      <c r="X19" t="s">
        <v>479</v>
      </c>
    </row>
    <row r="20" spans="16:27" x14ac:dyDescent="0.25">
      <c r="P20" t="s">
        <v>481</v>
      </c>
      <c r="Q20">
        <v>47</v>
      </c>
      <c r="R20">
        <v>68</v>
      </c>
      <c r="S20">
        <v>0.99</v>
      </c>
      <c r="T20" s="44">
        <v>4.0000000000000003E-5</v>
      </c>
      <c r="U20" s="13">
        <f>T20*1000000</f>
        <v>40</v>
      </c>
      <c r="V20" s="13">
        <f>T20/$B$6*R20</f>
        <v>0.22666666666666668</v>
      </c>
      <c r="W20" s="13">
        <f>V20/$V$16</f>
        <v>5.387973002021193E-2</v>
      </c>
      <c r="X20" s="13">
        <f>V20*S20</f>
        <v>0.22440000000000002</v>
      </c>
      <c r="Y20" s="13">
        <f>U20/$U$16</f>
        <v>9.9999999999999992E-2</v>
      </c>
    </row>
    <row r="21" spans="16:27" x14ac:dyDescent="0.25">
      <c r="P21" t="s">
        <v>483</v>
      </c>
      <c r="Q21">
        <v>58</v>
      </c>
      <c r="R21">
        <v>89</v>
      </c>
      <c r="S21" s="13">
        <v>0.82</v>
      </c>
      <c r="T21" s="44">
        <v>3.168E-4</v>
      </c>
      <c r="U21" s="13">
        <f>T21*1000000</f>
        <v>316.8</v>
      </c>
      <c r="V21" s="13">
        <f>T21/$B$6*R21</f>
        <v>2.3496000000000001</v>
      </c>
      <c r="W21" s="13">
        <f t="shared" ref="W21:W23" si="17">V21/$V$16</f>
        <v>0.5585109425977498</v>
      </c>
      <c r="X21" s="13">
        <f t="shared" ref="X21:X23" si="18">V21*S21</f>
        <v>1.9266719999999999</v>
      </c>
      <c r="Y21" s="13">
        <f t="shared" ref="Y21:Y23" si="19">U21/$U$16</f>
        <v>0.79199999999999993</v>
      </c>
    </row>
    <row r="22" spans="16:27" x14ac:dyDescent="0.25">
      <c r="P22" t="s">
        <v>486</v>
      </c>
      <c r="Q22">
        <v>333</v>
      </c>
      <c r="R22">
        <v>419</v>
      </c>
      <c r="S22" s="13">
        <v>0.54</v>
      </c>
      <c r="T22" s="44">
        <v>4.32E-5</v>
      </c>
      <c r="U22" s="13">
        <f>T22*1000000</f>
        <v>43.2</v>
      </c>
      <c r="V22" s="13">
        <f>T22/$B$6*R22</f>
        <v>1.5084</v>
      </c>
      <c r="W22" s="13">
        <f t="shared" si="17"/>
        <v>0.35855375630509267</v>
      </c>
      <c r="X22" s="13">
        <f t="shared" si="18"/>
        <v>0.81453600000000004</v>
      </c>
      <c r="Y22" s="13">
        <f t="shared" si="19"/>
        <v>0.10799999999999998</v>
      </c>
      <c r="Z22" s="44"/>
      <c r="AA22" s="44"/>
    </row>
    <row r="23" spans="16:27" x14ac:dyDescent="0.25">
      <c r="T23">
        <v>0</v>
      </c>
      <c r="U23">
        <v>0</v>
      </c>
      <c r="V23" s="13">
        <f t="shared" ref="V23" si="20">T23/$B$6*P23</f>
        <v>0</v>
      </c>
      <c r="W23" s="13">
        <f t="shared" si="17"/>
        <v>0</v>
      </c>
      <c r="X23" s="13">
        <f t="shared" si="18"/>
        <v>0</v>
      </c>
      <c r="Y23" s="13">
        <f t="shared" si="19"/>
        <v>0</v>
      </c>
    </row>
    <row r="24" spans="16:27" x14ac:dyDescent="0.25">
      <c r="U24">
        <f>SUM(U20:U22)</f>
        <v>400</v>
      </c>
      <c r="V24" s="13">
        <f>SUM(V20:V22)</f>
        <v>4.0846666666666671</v>
      </c>
      <c r="W24" s="13">
        <f>W22+W20</f>
        <v>0.41243348632530463</v>
      </c>
      <c r="X24" s="13">
        <f>SUM(X20:X22)</f>
        <v>2.965608</v>
      </c>
      <c r="Y24" s="13">
        <f>Y22+Y20</f>
        <v>0.20799999999999996</v>
      </c>
    </row>
    <row r="25" spans="16:27" x14ac:dyDescent="0.25">
      <c r="Q25" s="123" t="s">
        <v>496</v>
      </c>
    </row>
    <row r="26" spans="16:27" x14ac:dyDescent="0.25">
      <c r="Q26" s="39" t="s">
        <v>42</v>
      </c>
      <c r="R26" s="39" t="s">
        <v>7</v>
      </c>
      <c r="S26" s="39" t="s">
        <v>462</v>
      </c>
      <c r="T26" s="40" t="s">
        <v>463</v>
      </c>
      <c r="U26" s="38"/>
      <c r="V26" s="39" t="s">
        <v>464</v>
      </c>
      <c r="W26" s="38" t="s">
        <v>465</v>
      </c>
      <c r="X26" s="39" t="s">
        <v>464</v>
      </c>
      <c r="Y26" s="38" t="s">
        <v>460</v>
      </c>
    </row>
    <row r="27" spans="16:27" ht="30" x14ac:dyDescent="0.25">
      <c r="Q27" s="37" t="s">
        <v>475</v>
      </c>
      <c r="R27" s="37" t="s">
        <v>79</v>
      </c>
      <c r="S27" s="37" t="s">
        <v>476</v>
      </c>
      <c r="T27" s="37" t="s">
        <v>470</v>
      </c>
      <c r="U27" s="37" t="s">
        <v>477</v>
      </c>
      <c r="V27" s="37" t="s">
        <v>478</v>
      </c>
      <c r="W27" s="37"/>
      <c r="X27" t="s">
        <v>479</v>
      </c>
    </row>
    <row r="28" spans="16:27" x14ac:dyDescent="0.25">
      <c r="P28" t="s">
        <v>481</v>
      </c>
      <c r="Q28">
        <f>N3</f>
        <v>65.7</v>
      </c>
      <c r="R28">
        <f>P3</f>
        <v>93.950999999999993</v>
      </c>
      <c r="S28" s="13">
        <f>S3</f>
        <v>0.76923076923076927</v>
      </c>
      <c r="T28" s="44">
        <f>0.1*B10</f>
        <v>4.0000000000000003E-5</v>
      </c>
      <c r="U28" s="13">
        <f>T28*1000000</f>
        <v>40</v>
      </c>
      <c r="V28" s="13">
        <f>T28/$B$6*R28</f>
        <v>0.31317</v>
      </c>
      <c r="W28" s="13">
        <f>V28/$V$16</f>
        <v>7.4441978163660744E-2</v>
      </c>
      <c r="X28" s="13">
        <f>V28*S28</f>
        <v>0.2409</v>
      </c>
      <c r="Y28" s="13">
        <f>U28/$U$16</f>
        <v>9.9999999999999992E-2</v>
      </c>
    </row>
    <row r="29" spans="16:27" x14ac:dyDescent="0.25">
      <c r="P29" t="s">
        <v>483</v>
      </c>
      <c r="Q29">
        <f t="shared" ref="Q29:Q30" si="21">N4</f>
        <v>52</v>
      </c>
      <c r="R29">
        <f t="shared" ref="R29:R30" si="22">P4</f>
        <v>79.56</v>
      </c>
      <c r="S29" s="13">
        <f t="shared" ref="S29:S30" si="23">S4</f>
        <v>0.42384630619924735</v>
      </c>
      <c r="T29" s="44">
        <f>(1-B4)*(B10-T28)</f>
        <v>2.8800000000000001E-4</v>
      </c>
      <c r="U29" s="13">
        <f>T29*1000000</f>
        <v>288</v>
      </c>
      <c r="V29" s="13">
        <f>T29/$B$6*R29</f>
        <v>1.90944</v>
      </c>
      <c r="W29" s="13">
        <f t="shared" ref="W29:W31" si="24">V29/$V$16</f>
        <v>0.45388284569026527</v>
      </c>
      <c r="X29" s="13">
        <f t="shared" ref="X29:X31" si="25">V29*S29</f>
        <v>0.80930909090909087</v>
      </c>
      <c r="Y29" s="13">
        <f t="shared" ref="Y29:Y31" si="26">U29/$U$16</f>
        <v>0.71999999999999986</v>
      </c>
    </row>
    <row r="30" spans="16:27" x14ac:dyDescent="0.25">
      <c r="P30" t="s">
        <v>486</v>
      </c>
      <c r="Q30">
        <f t="shared" si="21"/>
        <v>267.10000000000002</v>
      </c>
      <c r="R30">
        <f t="shared" si="22"/>
        <v>336.54600000000005</v>
      </c>
      <c r="S30" s="13">
        <f t="shared" si="23"/>
        <v>0.96200096200096208</v>
      </c>
      <c r="T30" s="44">
        <f>B4*(B10-T28)</f>
        <v>7.2000000000000002E-5</v>
      </c>
      <c r="U30" s="13">
        <f>T30*1000000</f>
        <v>72</v>
      </c>
      <c r="V30" s="13">
        <f>T30/$B$6*R30</f>
        <v>2.0192760000000005</v>
      </c>
      <c r="W30" s="13">
        <f t="shared" si="24"/>
        <v>0.47999137816011833</v>
      </c>
      <c r="X30" s="13">
        <f t="shared" si="25"/>
        <v>1.9425454545454552</v>
      </c>
      <c r="Y30" s="13">
        <f t="shared" si="26"/>
        <v>0.17999999999999997</v>
      </c>
    </row>
    <row r="31" spans="16:27" x14ac:dyDescent="0.25">
      <c r="T31">
        <v>0</v>
      </c>
      <c r="U31">
        <v>0</v>
      </c>
      <c r="V31" s="13">
        <f t="shared" ref="V31" si="27">T31/$B$6*P31</f>
        <v>0</v>
      </c>
      <c r="W31" s="13">
        <f t="shared" si="24"/>
        <v>0</v>
      </c>
      <c r="X31" s="13">
        <f t="shared" si="25"/>
        <v>0</v>
      </c>
      <c r="Y31" s="13">
        <f t="shared" si="26"/>
        <v>0</v>
      </c>
    </row>
    <row r="32" spans="16:27" x14ac:dyDescent="0.25">
      <c r="U32">
        <f>SUM(U28:U30)</f>
        <v>400</v>
      </c>
      <c r="V32" s="13">
        <f>SUM(V28:V30)</f>
        <v>4.2418860000000009</v>
      </c>
      <c r="W32" s="13">
        <f>W30+W28</f>
        <v>0.5544333563237791</v>
      </c>
      <c r="X32" s="13">
        <f>SUM(X28:X30)</f>
        <v>2.9927545454545461</v>
      </c>
      <c r="Y32" s="13">
        <f>Y30+Y28</f>
        <v>0.27999999999999997</v>
      </c>
    </row>
    <row r="33" spans="13:25" x14ac:dyDescent="0.25">
      <c r="N33" s="123" t="s">
        <v>497</v>
      </c>
    </row>
    <row r="34" spans="13:25" ht="45" x14ac:dyDescent="0.25">
      <c r="N34" s="39" t="s">
        <v>42</v>
      </c>
      <c r="O34" s="39" t="s">
        <v>461</v>
      </c>
      <c r="P34" s="39" t="s">
        <v>7</v>
      </c>
      <c r="Q34" s="39" t="s">
        <v>12</v>
      </c>
      <c r="R34" s="39" t="s">
        <v>12</v>
      </c>
      <c r="S34" s="39" t="s">
        <v>462</v>
      </c>
      <c r="T34" s="40" t="s">
        <v>463</v>
      </c>
      <c r="U34" s="38"/>
      <c r="V34" s="39" t="s">
        <v>464</v>
      </c>
      <c r="W34" s="121" t="s">
        <v>465</v>
      </c>
      <c r="X34" s="39" t="s">
        <v>464</v>
      </c>
      <c r="Y34" s="121" t="s">
        <v>460</v>
      </c>
    </row>
    <row r="35" spans="13:25" ht="30" x14ac:dyDescent="0.25">
      <c r="N35" s="37" t="s">
        <v>475</v>
      </c>
      <c r="O35" s="37" t="s">
        <v>82</v>
      </c>
      <c r="P35" s="37" t="s">
        <v>79</v>
      </c>
      <c r="Q35" s="37" t="s">
        <v>70</v>
      </c>
      <c r="R35" s="37" t="s">
        <v>81</v>
      </c>
      <c r="S35" s="37" t="s">
        <v>476</v>
      </c>
      <c r="T35" s="37" t="s">
        <v>470</v>
      </c>
      <c r="U35" s="37" t="s">
        <v>477</v>
      </c>
      <c r="V35" s="37" t="s">
        <v>478</v>
      </c>
      <c r="W35" s="37"/>
      <c r="X35" t="s">
        <v>479</v>
      </c>
    </row>
    <row r="36" spans="13:25" x14ac:dyDescent="0.25">
      <c r="M36" t="s">
        <v>481</v>
      </c>
      <c r="N36" s="37">
        <v>65.7</v>
      </c>
      <c r="O36" s="37">
        <v>1.21</v>
      </c>
      <c r="P36" s="122">
        <f>N36*O36</f>
        <v>79.497</v>
      </c>
      <c r="Q36" s="37">
        <v>363</v>
      </c>
      <c r="R36" s="132">
        <f>Q36/O36</f>
        <v>300</v>
      </c>
      <c r="S36" s="114">
        <f>R36/330</f>
        <v>0.90909090909090906</v>
      </c>
      <c r="T36">
        <f>96/1000000</f>
        <v>9.6000000000000002E-5</v>
      </c>
      <c r="U36" s="13">
        <f>T36*1000000</f>
        <v>96</v>
      </c>
      <c r="V36" s="13">
        <f>T36/$B$6*P36</f>
        <v>0.63597599999999999</v>
      </c>
      <c r="W36" s="13">
        <f>V36/$V$7</f>
        <v>0.15626867591848254</v>
      </c>
      <c r="X36" s="13">
        <f>V36*S36</f>
        <v>0.57816000000000001</v>
      </c>
      <c r="Y36" s="13">
        <f>U36/$U$7</f>
        <v>0.24</v>
      </c>
    </row>
    <row r="37" spans="13:25" x14ac:dyDescent="0.25">
      <c r="M37" t="s">
        <v>483</v>
      </c>
      <c r="N37" s="37">
        <v>44</v>
      </c>
      <c r="O37" s="37">
        <v>1.38</v>
      </c>
      <c r="P37" s="37">
        <f t="shared" ref="P37:P38" si="28">N37*O37</f>
        <v>60.72</v>
      </c>
      <c r="Q37" s="37">
        <v>214</v>
      </c>
      <c r="R37" s="132">
        <f t="shared" ref="R37:R38" si="29">Q37/O37</f>
        <v>155.07246376811597</v>
      </c>
      <c r="S37" s="114">
        <f t="shared" ref="S37:S38" si="30">R37/330</f>
        <v>0.46991655687307871</v>
      </c>
      <c r="T37">
        <f>243/1000000</f>
        <v>2.43E-4</v>
      </c>
      <c r="U37" s="13">
        <f>T37*1000000</f>
        <v>243</v>
      </c>
      <c r="V37" s="13">
        <f t="shared" ref="V37:V38" si="31">T37/$B$6*P37</f>
        <v>1.2295800000000001</v>
      </c>
      <c r="W37" s="13">
        <f t="shared" ref="W37:W39" si="32">V37/$V$7</f>
        <v>0.30212592697813723</v>
      </c>
      <c r="X37" s="13">
        <f t="shared" ref="X37:X39" si="33">V37*S37</f>
        <v>0.5778000000000002</v>
      </c>
      <c r="Y37" s="13">
        <f t="shared" ref="Y37:Y39" si="34">U37/$U$7</f>
        <v>0.60750000000000004</v>
      </c>
    </row>
    <row r="38" spans="13:25" x14ac:dyDescent="0.25">
      <c r="M38" t="s">
        <v>486</v>
      </c>
      <c r="N38" s="37">
        <v>267.10000000000002</v>
      </c>
      <c r="O38" s="37">
        <v>1.3</v>
      </c>
      <c r="P38" s="37">
        <f t="shared" si="28"/>
        <v>347.23</v>
      </c>
      <c r="Q38" s="37">
        <v>400</v>
      </c>
      <c r="R38" s="132">
        <f t="shared" si="29"/>
        <v>307.69230769230768</v>
      </c>
      <c r="S38" s="114">
        <f t="shared" si="30"/>
        <v>0.93240093240093236</v>
      </c>
      <c r="T38">
        <f>31/1000000</f>
        <v>3.1000000000000001E-5</v>
      </c>
      <c r="U38" s="13">
        <f>T38*1000000</f>
        <v>31</v>
      </c>
      <c r="V38" s="13">
        <f t="shared" si="31"/>
        <v>0.89701083333333342</v>
      </c>
      <c r="W38" s="13">
        <f t="shared" si="32"/>
        <v>0.22040878147844359</v>
      </c>
      <c r="X38" s="13">
        <f t="shared" si="33"/>
        <v>0.83637373737373744</v>
      </c>
      <c r="Y38" s="13">
        <f t="shared" si="34"/>
        <v>7.7499999999999999E-2</v>
      </c>
    </row>
    <row r="39" spans="13:25" x14ac:dyDescent="0.25">
      <c r="N39">
        <f>N36*T36+N37*T37+N38*T38</f>
        <v>2.5279299999999998E-2</v>
      </c>
      <c r="P39">
        <f>P36*T36+P37*T37+P38*T38</f>
        <v>3.3150802E-2</v>
      </c>
      <c r="T39">
        <v>0</v>
      </c>
      <c r="U39">
        <v>0</v>
      </c>
      <c r="V39">
        <v>0</v>
      </c>
      <c r="W39" s="13">
        <f t="shared" si="32"/>
        <v>0</v>
      </c>
      <c r="X39" s="13">
        <f t="shared" si="33"/>
        <v>0</v>
      </c>
      <c r="Y39" s="13">
        <f t="shared" si="34"/>
        <v>0</v>
      </c>
    </row>
    <row r="40" spans="13:25" x14ac:dyDescent="0.25">
      <c r="P40">
        <f>P39/N39</f>
        <v>1.3113813278057542</v>
      </c>
      <c r="U40">
        <f>SUM(U36:U38)</f>
        <v>370</v>
      </c>
      <c r="V40" s="13">
        <f>SUM(V36:V38)</f>
        <v>2.7625668333333335</v>
      </c>
      <c r="W40" s="13">
        <f>W38+W36</f>
        <v>0.37667745739692615</v>
      </c>
      <c r="X40" s="13">
        <f>SUM(X36:X38)</f>
        <v>1.9923337373737378</v>
      </c>
      <c r="Y40" s="13">
        <f>Y38+Y36</f>
        <v>0.3175</v>
      </c>
    </row>
    <row r="41" spans="13:25" x14ac:dyDescent="0.25">
      <c r="N41" s="123" t="s">
        <v>498</v>
      </c>
    </row>
    <row r="42" spans="13:25" ht="45" x14ac:dyDescent="0.25">
      <c r="N42" s="39" t="s">
        <v>42</v>
      </c>
      <c r="O42" s="39" t="s">
        <v>461</v>
      </c>
      <c r="P42" s="39" t="s">
        <v>7</v>
      </c>
      <c r="Q42" s="39" t="s">
        <v>12</v>
      </c>
      <c r="R42" s="39" t="s">
        <v>12</v>
      </c>
      <c r="S42" s="39" t="s">
        <v>462</v>
      </c>
      <c r="T42" s="40" t="s">
        <v>463</v>
      </c>
      <c r="U42" s="38"/>
      <c r="V42" s="39" t="s">
        <v>464</v>
      </c>
      <c r="W42" s="121" t="s">
        <v>465</v>
      </c>
      <c r="X42" s="39" t="s">
        <v>464</v>
      </c>
      <c r="Y42" s="121" t="s">
        <v>460</v>
      </c>
    </row>
    <row r="43" spans="13:25" ht="30" x14ac:dyDescent="0.25">
      <c r="N43" s="37" t="s">
        <v>475</v>
      </c>
      <c r="O43" s="37" t="s">
        <v>82</v>
      </c>
      <c r="P43" s="37" t="s">
        <v>79</v>
      </c>
      <c r="Q43" s="37" t="s">
        <v>70</v>
      </c>
      <c r="R43" s="37" t="s">
        <v>81</v>
      </c>
      <c r="S43" s="37" t="s">
        <v>476</v>
      </c>
      <c r="T43" s="37" t="s">
        <v>470</v>
      </c>
      <c r="U43" s="37" t="s">
        <v>477</v>
      </c>
      <c r="V43" s="37" t="s">
        <v>478</v>
      </c>
      <c r="W43" s="37"/>
      <c r="X43" t="s">
        <v>479</v>
      </c>
    </row>
    <row r="44" spans="13:25" x14ac:dyDescent="0.25">
      <c r="M44" t="s">
        <v>481</v>
      </c>
      <c r="N44" s="37">
        <v>62</v>
      </c>
      <c r="O44" s="37">
        <v>1.54</v>
      </c>
      <c r="P44" s="122">
        <f>N44*O44</f>
        <v>95.48</v>
      </c>
      <c r="Q44" s="37">
        <v>363</v>
      </c>
      <c r="R44" s="132">
        <f>Q44/O44</f>
        <v>235.71428571428572</v>
      </c>
      <c r="S44" s="114">
        <f>R44/330</f>
        <v>0.7142857142857143</v>
      </c>
      <c r="T44">
        <f>96/1000000</f>
        <v>9.6000000000000002E-5</v>
      </c>
      <c r="U44" s="13">
        <f>T44*1000000</f>
        <v>96</v>
      </c>
      <c r="V44" s="13">
        <f>T44/$B$6*P44</f>
        <v>0.76384000000000007</v>
      </c>
      <c r="W44" s="13">
        <f>V44/$V$7</f>
        <v>0.18768674511864242</v>
      </c>
      <c r="X44" s="13">
        <f>V44*S44</f>
        <v>0.54560000000000008</v>
      </c>
      <c r="Y44" s="13">
        <f>U44/$U$7</f>
        <v>0.24</v>
      </c>
    </row>
    <row r="45" spans="13:25" x14ac:dyDescent="0.25">
      <c r="M45" t="s">
        <v>483</v>
      </c>
      <c r="N45" s="37">
        <f>54.6*0.775</f>
        <v>42.315000000000005</v>
      </c>
      <c r="O45" s="37">
        <v>1.98</v>
      </c>
      <c r="P45" s="37">
        <f t="shared" ref="P45:P46" si="35">N45*O45</f>
        <v>83.78370000000001</v>
      </c>
      <c r="Q45" s="37">
        <v>214</v>
      </c>
      <c r="R45" s="132">
        <f t="shared" ref="R45:R46" si="36">Q45/O45</f>
        <v>108.08080808080808</v>
      </c>
      <c r="S45" s="114">
        <f t="shared" ref="S45:S46" si="37">R45/330</f>
        <v>0.32751760024487298</v>
      </c>
      <c r="T45">
        <f>243/1000000</f>
        <v>2.43E-4</v>
      </c>
      <c r="U45" s="13">
        <f>T45*1000000</f>
        <v>243</v>
      </c>
      <c r="V45" s="13">
        <f t="shared" ref="V45:V46" si="38">T45/$B$6*P45</f>
        <v>1.6966199250000003</v>
      </c>
      <c r="W45" s="13">
        <f t="shared" ref="W45:W47" si="39">V45/$V$7</f>
        <v>0.41688451956782208</v>
      </c>
      <c r="X45" s="13">
        <f t="shared" ref="X45:X47" si="40">V45*S45</f>
        <v>0.55567288636363643</v>
      </c>
      <c r="Y45" s="13">
        <f t="shared" ref="Y45:Y47" si="41">U45/$U$7</f>
        <v>0.60750000000000004</v>
      </c>
    </row>
    <row r="46" spans="13:25" x14ac:dyDescent="0.25">
      <c r="M46" t="s">
        <v>486</v>
      </c>
      <c r="N46" s="37">
        <v>267.10000000000002</v>
      </c>
      <c r="O46" s="37">
        <v>1.1200000000000001</v>
      </c>
      <c r="P46" s="37">
        <f t="shared" si="35"/>
        <v>299.15200000000004</v>
      </c>
      <c r="Q46" s="37">
        <v>400</v>
      </c>
      <c r="R46" s="132">
        <f t="shared" si="36"/>
        <v>357.14285714285711</v>
      </c>
      <c r="S46" s="114">
        <f t="shared" si="37"/>
        <v>1.0822510822510822</v>
      </c>
      <c r="T46">
        <f>32/1000000</f>
        <v>3.1999999999999999E-5</v>
      </c>
      <c r="U46" s="13">
        <f>T46*1000000</f>
        <v>32</v>
      </c>
      <c r="V46" s="13">
        <f t="shared" si="38"/>
        <v>0.79773866666666671</v>
      </c>
      <c r="W46" s="13">
        <f t="shared" si="39"/>
        <v>0.19601614710142476</v>
      </c>
      <c r="X46" s="13">
        <f t="shared" si="40"/>
        <v>0.86335353535353543</v>
      </c>
      <c r="Y46" s="13">
        <f t="shared" si="41"/>
        <v>0.08</v>
      </c>
    </row>
    <row r="47" spans="13:25" x14ac:dyDescent="0.25">
      <c r="N47">
        <f>N44*T44+N45*T45+N46*T46</f>
        <v>2.4781745000000001E-2</v>
      </c>
      <c r="P47">
        <f>P44*T44+P45*T45+P46*T46</f>
        <v>3.9098383100000002E-2</v>
      </c>
      <c r="T47">
        <v>0</v>
      </c>
      <c r="U47">
        <v>0</v>
      </c>
      <c r="V47">
        <v>0</v>
      </c>
      <c r="W47" s="13">
        <f t="shared" si="39"/>
        <v>0</v>
      </c>
      <c r="X47" s="13">
        <f t="shared" si="40"/>
        <v>0</v>
      </c>
      <c r="Y47" s="13">
        <f t="shared" si="41"/>
        <v>0</v>
      </c>
    </row>
    <row r="48" spans="13:25" x14ac:dyDescent="0.25">
      <c r="P48">
        <f>P47/N47</f>
        <v>1.5777090394562612</v>
      </c>
      <c r="U48">
        <f>SUM(U44:U46)</f>
        <v>371</v>
      </c>
      <c r="V48" s="13">
        <f>SUM(V44:V46)</f>
        <v>3.2581985916666669</v>
      </c>
      <c r="W48" s="13">
        <f>W46+W44</f>
        <v>0.38370289222006715</v>
      </c>
      <c r="X48" s="13">
        <f>SUM(X44:X46)</f>
        <v>1.9646264217171718</v>
      </c>
      <c r="Y48" s="13">
        <f>Y46+Y44</f>
        <v>0.32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BCD54B-EE3A-4C42-B817-328B3E9BA1E8}">
  <dimension ref="A1:AW2625"/>
  <sheetViews>
    <sheetView topLeftCell="A21" zoomScale="70" zoomScaleNormal="70" workbookViewId="0">
      <selection activeCell="Z5" sqref="Z5"/>
    </sheetView>
  </sheetViews>
  <sheetFormatPr defaultRowHeight="15" x14ac:dyDescent="0.25"/>
  <cols>
    <col min="11" max="11" width="11" bestFit="1" customWidth="1"/>
    <col min="24" max="24" width="20.140625" bestFit="1" customWidth="1"/>
  </cols>
  <sheetData>
    <row r="1" spans="1:49" x14ac:dyDescent="0.25">
      <c r="A1" t="s">
        <v>499</v>
      </c>
      <c r="E1" t="s">
        <v>500</v>
      </c>
      <c r="I1" t="s">
        <v>499</v>
      </c>
      <c r="Q1" t="s">
        <v>500</v>
      </c>
      <c r="Z1" t="s">
        <v>501</v>
      </c>
      <c r="AA1" t="s">
        <v>500</v>
      </c>
      <c r="AN1" t="s">
        <v>500</v>
      </c>
    </row>
    <row r="2" spans="1:49" x14ac:dyDescent="0.25">
      <c r="A2" t="s">
        <v>119</v>
      </c>
      <c r="B2" t="s">
        <v>502</v>
      </c>
      <c r="C2" t="s">
        <v>503</v>
      </c>
      <c r="E2" t="s">
        <v>119</v>
      </c>
      <c r="F2" t="s">
        <v>504</v>
      </c>
      <c r="G2" t="s">
        <v>505</v>
      </c>
      <c r="K2" t="s">
        <v>506</v>
      </c>
      <c r="L2" t="s">
        <v>507</v>
      </c>
      <c r="M2" t="s">
        <v>508</v>
      </c>
      <c r="N2" t="s">
        <v>509</v>
      </c>
      <c r="O2" t="s">
        <v>510</v>
      </c>
      <c r="S2" t="s">
        <v>506</v>
      </c>
      <c r="T2" t="s">
        <v>507</v>
      </c>
      <c r="U2" t="s">
        <v>508</v>
      </c>
      <c r="V2" t="s">
        <v>509</v>
      </c>
      <c r="W2" t="s">
        <v>510</v>
      </c>
      <c r="X2" s="141" t="s">
        <v>511</v>
      </c>
      <c r="Y2" t="s">
        <v>512</v>
      </c>
      <c r="Z2">
        <v>11.116666666666799</v>
      </c>
      <c r="AA2">
        <v>11.083333333333464</v>
      </c>
      <c r="AC2" t="s">
        <v>119</v>
      </c>
      <c r="AD2" t="s">
        <v>502</v>
      </c>
      <c r="AE2" t="s">
        <v>503</v>
      </c>
      <c r="AI2" t="s">
        <v>506</v>
      </c>
      <c r="AJ2" t="s">
        <v>507</v>
      </c>
      <c r="AK2" t="s">
        <v>508</v>
      </c>
      <c r="AL2" t="s">
        <v>509</v>
      </c>
      <c r="AN2" t="s">
        <v>119</v>
      </c>
      <c r="AO2" t="s">
        <v>504</v>
      </c>
      <c r="AP2" t="s">
        <v>505</v>
      </c>
      <c r="AT2" t="s">
        <v>506</v>
      </c>
      <c r="AU2" t="s">
        <v>507</v>
      </c>
      <c r="AV2" t="s">
        <v>508</v>
      </c>
      <c r="AW2" t="s">
        <v>509</v>
      </c>
    </row>
    <row r="3" spans="1:49" x14ac:dyDescent="0.25">
      <c r="A3" t="s">
        <v>513</v>
      </c>
      <c r="B3">
        <v>0</v>
      </c>
      <c r="C3">
        <v>14.32</v>
      </c>
      <c r="E3" t="s">
        <v>513</v>
      </c>
      <c r="F3">
        <v>0.3</v>
      </c>
      <c r="G3">
        <v>78.599999999999994</v>
      </c>
      <c r="I3" t="str" cm="1">
        <f t="array" ref="I3:J3">_xlfn.TEXTSPLIT(A3," ")</f>
        <v>27.10.2023</v>
      </c>
      <c r="J3" t="str">
        <v>00:00:31</v>
      </c>
      <c r="K3">
        <f>0</f>
        <v>0</v>
      </c>
      <c r="L3">
        <f>C3-14.32</f>
        <v>0</v>
      </c>
      <c r="M3">
        <f>B3</f>
        <v>0</v>
      </c>
      <c r="Q3" t="str" cm="1">
        <f t="array" ref="Q3:R3">_xlfn.TEXTSPLIT(E3," ")</f>
        <v>27.10.2023</v>
      </c>
      <c r="R3" t="str">
        <v>00:00:31</v>
      </c>
      <c r="S3">
        <f>0</f>
        <v>0</v>
      </c>
      <c r="T3">
        <f t="shared" ref="T3:T66" si="0">G3-78.6</f>
        <v>0</v>
      </c>
      <c r="U3">
        <f>F3</f>
        <v>0.3</v>
      </c>
      <c r="X3" s="141"/>
      <c r="Y3" t="s">
        <v>514</v>
      </c>
      <c r="Z3">
        <f>Z2+24</f>
        <v>35.116666666666802</v>
      </c>
      <c r="AA3">
        <f>AA2+24</f>
        <v>35.083333333333464</v>
      </c>
      <c r="AC3" t="s">
        <v>515</v>
      </c>
      <c r="AD3">
        <v>0</v>
      </c>
      <c r="AE3">
        <v>4.53</v>
      </c>
      <c r="AG3" t="str" cm="1">
        <f t="array" ref="AG3:AH3">_xlfn.TEXTSPLIT(AC4," ")</f>
        <v>26.10.2023</v>
      </c>
      <c r="AH3" t="str">
        <v>00:01:47</v>
      </c>
      <c r="AI3">
        <v>0</v>
      </c>
      <c r="AJ3">
        <f>AE3-4.53</f>
        <v>0</v>
      </c>
      <c r="AK3">
        <f>AD3</f>
        <v>0</v>
      </c>
      <c r="AN3" t="s">
        <v>515</v>
      </c>
      <c r="AO3">
        <v>0.3</v>
      </c>
      <c r="AP3">
        <v>61.31</v>
      </c>
      <c r="AR3" t="str" cm="1">
        <f t="array" ref="AR3:AS3">_xlfn.TEXTSPLIT(AN3," ")</f>
        <v>26.10.2023</v>
      </c>
      <c r="AS3" t="str">
        <v>00:00:47</v>
      </c>
      <c r="AT3">
        <v>0</v>
      </c>
      <c r="AU3">
        <f>AP3-61.31</f>
        <v>0</v>
      </c>
      <c r="AV3">
        <f>AO3</f>
        <v>0.3</v>
      </c>
    </row>
    <row r="4" spans="1:49" x14ac:dyDescent="0.25">
      <c r="A4" t="s">
        <v>516</v>
      </c>
      <c r="B4">
        <v>0</v>
      </c>
      <c r="C4">
        <v>14.32</v>
      </c>
      <c r="E4" t="s">
        <v>516</v>
      </c>
      <c r="F4">
        <v>0.15</v>
      </c>
      <c r="G4">
        <v>78.599999999999994</v>
      </c>
      <c r="I4" t="str" cm="1">
        <f t="array" ref="I4:J4">_xlfn.TEXTSPLIT(A4," ")</f>
        <v>27.10.2023</v>
      </c>
      <c r="J4" t="str">
        <v>00:01:31</v>
      </c>
      <c r="K4">
        <f>1/60+K3</f>
        <v>1.6666666666666666E-2</v>
      </c>
      <c r="L4">
        <f t="shared" ref="L4:L67" si="1">C4-14.32</f>
        <v>0</v>
      </c>
      <c r="M4">
        <f t="shared" ref="M4:M67" si="2">B4</f>
        <v>0</v>
      </c>
      <c r="Q4" t="str" cm="1">
        <f t="array" ref="Q4:R4">_xlfn.TEXTSPLIT(E4," ")</f>
        <v>27.10.2023</v>
      </c>
      <c r="R4" t="str">
        <v>00:01:31</v>
      </c>
      <c r="S4">
        <f>1/60+S3</f>
        <v>1.6666666666666666E-2</v>
      </c>
      <c r="T4">
        <f t="shared" si="0"/>
        <v>0</v>
      </c>
      <c r="U4">
        <f t="shared" ref="U4:U67" si="3">F4</f>
        <v>0.15</v>
      </c>
      <c r="X4" s="141"/>
      <c r="AC4" t="s">
        <v>517</v>
      </c>
      <c r="AD4">
        <v>0</v>
      </c>
      <c r="AE4">
        <v>4.53</v>
      </c>
      <c r="AG4" t="str" cm="1">
        <f t="array" ref="AG4:AH4">_xlfn.TEXTSPLIT(AC5," ")</f>
        <v>26.10.2023</v>
      </c>
      <c r="AH4" t="str">
        <v>00:02:47</v>
      </c>
      <c r="AI4">
        <f>1/60+AI3</f>
        <v>1.6666666666666666E-2</v>
      </c>
      <c r="AJ4">
        <f t="shared" ref="AJ4:AJ67" si="4">AE4-4.53</f>
        <v>0</v>
      </c>
      <c r="AK4">
        <f t="shared" ref="AK4:AK67" si="5">AD4</f>
        <v>0</v>
      </c>
      <c r="AN4" t="s">
        <v>517</v>
      </c>
      <c r="AO4">
        <v>0.45</v>
      </c>
      <c r="AP4">
        <v>61.31</v>
      </c>
      <c r="AR4" t="str" cm="1">
        <f t="array" ref="AR4:AS4">_xlfn.TEXTSPLIT(AN4," ")</f>
        <v>26.10.2023</v>
      </c>
      <c r="AS4" t="str">
        <v>00:01:47</v>
      </c>
      <c r="AT4">
        <f>1/60+AT3</f>
        <v>1.6666666666666666E-2</v>
      </c>
      <c r="AU4">
        <f t="shared" ref="AU4:AU67" si="6">AP4-61.31</f>
        <v>0</v>
      </c>
      <c r="AV4">
        <f t="shared" ref="AV4:AV67" si="7">AO4</f>
        <v>0.45</v>
      </c>
    </row>
    <row r="5" spans="1:49" x14ac:dyDescent="0.25">
      <c r="A5" t="s">
        <v>518</v>
      </c>
      <c r="B5">
        <v>0</v>
      </c>
      <c r="C5">
        <v>14.32</v>
      </c>
      <c r="E5" t="s">
        <v>518</v>
      </c>
      <c r="F5">
        <v>0.3</v>
      </c>
      <c r="G5">
        <v>78.599999999999994</v>
      </c>
      <c r="I5" t="str" cm="1">
        <f t="array" ref="I5:J5">_xlfn.TEXTSPLIT(A5," ")</f>
        <v>27.10.2023</v>
      </c>
      <c r="J5" t="str">
        <v>00:02:32</v>
      </c>
      <c r="K5">
        <f t="shared" ref="K5:K68" si="8">1/60+K4</f>
        <v>3.3333333333333333E-2</v>
      </c>
      <c r="L5">
        <f t="shared" si="1"/>
        <v>0</v>
      </c>
      <c r="M5">
        <f t="shared" si="2"/>
        <v>0</v>
      </c>
      <c r="Q5" t="str" cm="1">
        <f t="array" ref="Q5:R5">_xlfn.TEXTSPLIT(E5," ")</f>
        <v>27.10.2023</v>
      </c>
      <c r="R5" t="str">
        <v>00:02:32</v>
      </c>
      <c r="S5">
        <f t="shared" ref="S5:S68" si="9">1/60+S4</f>
        <v>3.3333333333333333E-2</v>
      </c>
      <c r="T5">
        <f t="shared" si="0"/>
        <v>0</v>
      </c>
      <c r="U5">
        <f t="shared" si="3"/>
        <v>0.3</v>
      </c>
      <c r="X5" s="141"/>
      <c r="Y5" t="s">
        <v>519</v>
      </c>
      <c r="Z5">
        <f>VLOOKUP(Z2,K3:N2624,2,FALSE)+C3</f>
        <v>19.399999999999999</v>
      </c>
      <c r="AA5">
        <f>VLOOKUP(AA2,S3:V2624,2,FALSE)+G3</f>
        <v>86.25</v>
      </c>
      <c r="AC5" t="s">
        <v>520</v>
      </c>
      <c r="AD5">
        <v>0</v>
      </c>
      <c r="AE5">
        <v>4.53</v>
      </c>
      <c r="AG5" t="str" cm="1">
        <f t="array" ref="AG5:AH5">_xlfn.TEXTSPLIT(AC6," ")</f>
        <v>26.10.2023</v>
      </c>
      <c r="AH5" t="str">
        <v>00:03:47</v>
      </c>
      <c r="AI5">
        <f t="shared" ref="AI5:AI68" si="10">1/60+AI4</f>
        <v>3.3333333333333333E-2</v>
      </c>
      <c r="AJ5">
        <f t="shared" si="4"/>
        <v>0</v>
      </c>
      <c r="AK5">
        <f t="shared" si="5"/>
        <v>0</v>
      </c>
      <c r="AN5" t="s">
        <v>520</v>
      </c>
      <c r="AO5">
        <v>0.45</v>
      </c>
      <c r="AP5">
        <v>61.32</v>
      </c>
      <c r="AR5" t="str" cm="1">
        <f t="array" ref="AR5:AS5">_xlfn.TEXTSPLIT(AN5," ")</f>
        <v>26.10.2023</v>
      </c>
      <c r="AS5" t="str">
        <v>00:02:47</v>
      </c>
      <c r="AT5">
        <f t="shared" ref="AT5:AT68" si="11">1/60+AT4</f>
        <v>3.3333333333333333E-2</v>
      </c>
      <c r="AU5">
        <f t="shared" si="6"/>
        <v>9.9999999999980105E-3</v>
      </c>
      <c r="AV5">
        <f t="shared" si="7"/>
        <v>0.45</v>
      </c>
    </row>
    <row r="6" spans="1:49" x14ac:dyDescent="0.25">
      <c r="A6" t="s">
        <v>521</v>
      </c>
      <c r="B6">
        <v>0</v>
      </c>
      <c r="C6">
        <v>14.32</v>
      </c>
      <c r="E6" t="s">
        <v>521</v>
      </c>
      <c r="F6">
        <v>0.45</v>
      </c>
      <c r="G6">
        <v>78.61</v>
      </c>
      <c r="I6" t="str" cm="1">
        <f t="array" ref="I6:J6">_xlfn.TEXTSPLIT(A6," ")</f>
        <v>27.10.2023</v>
      </c>
      <c r="J6" t="str">
        <v>00:03:32</v>
      </c>
      <c r="K6">
        <f t="shared" si="8"/>
        <v>0.05</v>
      </c>
      <c r="L6">
        <f t="shared" si="1"/>
        <v>0</v>
      </c>
      <c r="M6">
        <f t="shared" si="2"/>
        <v>0</v>
      </c>
      <c r="Q6" t="str" cm="1">
        <f t="array" ref="Q6:R6">_xlfn.TEXTSPLIT(E6," ")</f>
        <v>27.10.2023</v>
      </c>
      <c r="R6" t="str">
        <v>00:03:32</v>
      </c>
      <c r="S6">
        <f t="shared" si="9"/>
        <v>0.05</v>
      </c>
      <c r="T6">
        <f t="shared" si="0"/>
        <v>1.0000000000005116E-2</v>
      </c>
      <c r="U6">
        <f t="shared" si="3"/>
        <v>0.45</v>
      </c>
      <c r="X6" s="141"/>
      <c r="Y6" t="s">
        <v>522</v>
      </c>
      <c r="Z6">
        <f>VLOOKUP(Z3,K3:N2624,2,TRUE)+C3</f>
        <v>34.840000000000003</v>
      </c>
      <c r="AA6">
        <f>VLOOKUP(AA3,S3:V2624,2,TRUE)+G3</f>
        <v>113.95</v>
      </c>
      <c r="AC6" t="s">
        <v>523</v>
      </c>
      <c r="AD6">
        <v>0</v>
      </c>
      <c r="AE6">
        <v>4.53</v>
      </c>
      <c r="AG6" t="str" cm="1">
        <f t="array" ref="AG6:AH6">_xlfn.TEXTSPLIT(AC7," ")</f>
        <v>26.10.2023</v>
      </c>
      <c r="AH6" t="str">
        <v>00:04:47</v>
      </c>
      <c r="AI6">
        <f t="shared" si="10"/>
        <v>0.05</v>
      </c>
      <c r="AJ6">
        <f t="shared" si="4"/>
        <v>0</v>
      </c>
      <c r="AK6">
        <f t="shared" si="5"/>
        <v>0</v>
      </c>
      <c r="AN6" t="s">
        <v>523</v>
      </c>
      <c r="AO6">
        <v>0.9</v>
      </c>
      <c r="AP6">
        <v>61.34</v>
      </c>
      <c r="AR6" t="str" cm="1">
        <f t="array" ref="AR6:AS6">_xlfn.TEXTSPLIT(AN6," ")</f>
        <v>26.10.2023</v>
      </c>
      <c r="AS6" t="str">
        <v>00:03:47</v>
      </c>
      <c r="AT6">
        <f t="shared" si="11"/>
        <v>0.05</v>
      </c>
      <c r="AU6">
        <f t="shared" si="6"/>
        <v>3.0000000000001137E-2</v>
      </c>
      <c r="AV6">
        <f t="shared" si="7"/>
        <v>0.9</v>
      </c>
    </row>
    <row r="7" spans="1:49" x14ac:dyDescent="0.25">
      <c r="A7" t="s">
        <v>524</v>
      </c>
      <c r="B7">
        <v>0</v>
      </c>
      <c r="C7">
        <v>14.32</v>
      </c>
      <c r="E7" t="s">
        <v>524</v>
      </c>
      <c r="F7">
        <v>0.45</v>
      </c>
      <c r="G7">
        <v>78.62</v>
      </c>
      <c r="I7" t="str" cm="1">
        <f t="array" ref="I7:J7">_xlfn.TEXTSPLIT(A7," ")</f>
        <v>27.10.2023</v>
      </c>
      <c r="J7" t="str">
        <v>00:04:32</v>
      </c>
      <c r="K7">
        <f t="shared" si="8"/>
        <v>6.6666666666666666E-2</v>
      </c>
      <c r="L7">
        <f t="shared" si="1"/>
        <v>0</v>
      </c>
      <c r="M7">
        <f t="shared" si="2"/>
        <v>0</v>
      </c>
      <c r="Q7" t="str" cm="1">
        <f t="array" ref="Q7:R7">_xlfn.TEXTSPLIT(E7," ")</f>
        <v>27.10.2023</v>
      </c>
      <c r="R7" t="str">
        <v>00:04:32</v>
      </c>
      <c r="S7">
        <f t="shared" si="9"/>
        <v>6.6666666666666666E-2</v>
      </c>
      <c r="T7">
        <f t="shared" si="0"/>
        <v>2.0000000000010232E-2</v>
      </c>
      <c r="U7">
        <f t="shared" si="3"/>
        <v>0.45</v>
      </c>
      <c r="X7" s="141"/>
      <c r="Y7" t="s">
        <v>525</v>
      </c>
      <c r="Z7">
        <f>Z6-Z5</f>
        <v>15.440000000000005</v>
      </c>
      <c r="AA7">
        <f>AA6-AA5</f>
        <v>27.700000000000003</v>
      </c>
      <c r="AC7" t="s">
        <v>526</v>
      </c>
      <c r="AD7">
        <v>0</v>
      </c>
      <c r="AE7">
        <v>4.53</v>
      </c>
      <c r="AG7" t="str" cm="1">
        <f t="array" ref="AG7:AH7">_xlfn.TEXTSPLIT(AC8," ")</f>
        <v>26.10.2023</v>
      </c>
      <c r="AH7" t="str">
        <v>00:05:47</v>
      </c>
      <c r="AI7">
        <f t="shared" si="10"/>
        <v>6.6666666666666666E-2</v>
      </c>
      <c r="AJ7">
        <f t="shared" si="4"/>
        <v>0</v>
      </c>
      <c r="AK7">
        <f t="shared" si="5"/>
        <v>0</v>
      </c>
      <c r="AN7" t="s">
        <v>526</v>
      </c>
      <c r="AO7">
        <v>0.75</v>
      </c>
      <c r="AP7">
        <v>61.35</v>
      </c>
      <c r="AR7" t="str" cm="1">
        <f t="array" ref="AR7:AS7">_xlfn.TEXTSPLIT(AN7," ")</f>
        <v>26.10.2023</v>
      </c>
      <c r="AS7" t="str">
        <v>00:04:47</v>
      </c>
      <c r="AT7">
        <f t="shared" si="11"/>
        <v>6.6666666666666666E-2</v>
      </c>
      <c r="AU7">
        <f t="shared" si="6"/>
        <v>3.9999999999999147E-2</v>
      </c>
      <c r="AV7">
        <f t="shared" si="7"/>
        <v>0.75</v>
      </c>
    </row>
    <row r="8" spans="1:49" x14ac:dyDescent="0.25">
      <c r="A8" t="s">
        <v>527</v>
      </c>
      <c r="B8">
        <v>0</v>
      </c>
      <c r="C8">
        <v>14.32</v>
      </c>
      <c r="E8" t="s">
        <v>527</v>
      </c>
      <c r="F8">
        <v>0.45</v>
      </c>
      <c r="G8">
        <v>78.62</v>
      </c>
      <c r="I8" t="str" cm="1">
        <f t="array" ref="I8:J8">_xlfn.TEXTSPLIT(A8," ")</f>
        <v>27.10.2023</v>
      </c>
      <c r="J8" t="str">
        <v>00:05:32</v>
      </c>
      <c r="K8">
        <f t="shared" si="8"/>
        <v>8.3333333333333329E-2</v>
      </c>
      <c r="L8">
        <f t="shared" si="1"/>
        <v>0</v>
      </c>
      <c r="M8">
        <f t="shared" si="2"/>
        <v>0</v>
      </c>
      <c r="Q8" t="str" cm="1">
        <f t="array" ref="Q8:R8">_xlfn.TEXTSPLIT(E8," ")</f>
        <v>27.10.2023</v>
      </c>
      <c r="R8" t="str">
        <v>00:05:32</v>
      </c>
      <c r="S8">
        <f t="shared" si="9"/>
        <v>8.3333333333333329E-2</v>
      </c>
      <c r="T8">
        <f t="shared" si="0"/>
        <v>2.0000000000010232E-2</v>
      </c>
      <c r="U8">
        <f t="shared" si="3"/>
        <v>0.45</v>
      </c>
      <c r="X8" s="141"/>
      <c r="Y8" t="s">
        <v>528</v>
      </c>
      <c r="Z8">
        <f>Z7/24</f>
        <v>0.64333333333333353</v>
      </c>
      <c r="AA8">
        <f>AA7/24</f>
        <v>1.1541666666666668</v>
      </c>
      <c r="AC8" t="s">
        <v>529</v>
      </c>
      <c r="AD8">
        <v>0</v>
      </c>
      <c r="AE8">
        <v>4.53</v>
      </c>
      <c r="AG8" t="str" cm="1">
        <f t="array" ref="AG8:AH8">_xlfn.TEXTSPLIT(AC9," ")</f>
        <v>26.10.2023</v>
      </c>
      <c r="AH8" t="str">
        <v>00:06:47</v>
      </c>
      <c r="AI8">
        <f t="shared" si="10"/>
        <v>8.3333333333333329E-2</v>
      </c>
      <c r="AJ8">
        <f t="shared" si="4"/>
        <v>0</v>
      </c>
      <c r="AK8">
        <f t="shared" si="5"/>
        <v>0</v>
      </c>
      <c r="AN8" t="s">
        <v>529</v>
      </c>
      <c r="AO8">
        <v>0.75</v>
      </c>
      <c r="AP8">
        <v>61.36</v>
      </c>
      <c r="AR8" t="str" cm="1">
        <f t="array" ref="AR8:AS8">_xlfn.TEXTSPLIT(AN8," ")</f>
        <v>26.10.2023</v>
      </c>
      <c r="AS8" t="str">
        <v>00:05:47</v>
      </c>
      <c r="AT8">
        <f t="shared" si="11"/>
        <v>8.3333333333333329E-2</v>
      </c>
      <c r="AU8">
        <f t="shared" si="6"/>
        <v>4.9999999999997158E-2</v>
      </c>
      <c r="AV8">
        <f t="shared" si="7"/>
        <v>0.75</v>
      </c>
    </row>
    <row r="9" spans="1:49" x14ac:dyDescent="0.25">
      <c r="A9" t="s">
        <v>530</v>
      </c>
      <c r="B9">
        <v>0</v>
      </c>
      <c r="C9">
        <v>14.32</v>
      </c>
      <c r="E9" t="s">
        <v>530</v>
      </c>
      <c r="F9">
        <v>0.45</v>
      </c>
      <c r="G9">
        <v>78.650000000000006</v>
      </c>
      <c r="I9" t="str" cm="1">
        <f t="array" ref="I9:J9">_xlfn.TEXTSPLIT(A9," ")</f>
        <v>27.10.2023</v>
      </c>
      <c r="J9" t="str">
        <v>00:06:32</v>
      </c>
      <c r="K9">
        <f t="shared" si="8"/>
        <v>9.9999999999999992E-2</v>
      </c>
      <c r="L9">
        <f t="shared" si="1"/>
        <v>0</v>
      </c>
      <c r="M9">
        <f t="shared" si="2"/>
        <v>0</v>
      </c>
      <c r="Q9" t="str" cm="1">
        <f t="array" ref="Q9:R9">_xlfn.TEXTSPLIT(E9," ")</f>
        <v>27.10.2023</v>
      </c>
      <c r="R9" t="str">
        <v>00:06:32</v>
      </c>
      <c r="S9">
        <f t="shared" si="9"/>
        <v>9.9999999999999992E-2</v>
      </c>
      <c r="T9">
        <f t="shared" si="0"/>
        <v>5.0000000000011369E-2</v>
      </c>
      <c r="U9">
        <f t="shared" si="3"/>
        <v>0.45</v>
      </c>
      <c r="AC9" t="s">
        <v>531</v>
      </c>
      <c r="AD9">
        <v>0</v>
      </c>
      <c r="AE9">
        <v>4.53</v>
      </c>
      <c r="AG9" t="str" cm="1">
        <f t="array" ref="AG9:AH9">_xlfn.TEXTSPLIT(AC10," ")</f>
        <v>26.10.2023</v>
      </c>
      <c r="AH9" t="str">
        <v>00:07:47</v>
      </c>
      <c r="AI9">
        <f t="shared" si="10"/>
        <v>9.9999999999999992E-2</v>
      </c>
      <c r="AJ9">
        <f t="shared" si="4"/>
        <v>0</v>
      </c>
      <c r="AK9">
        <f t="shared" si="5"/>
        <v>0</v>
      </c>
      <c r="AN9" t="s">
        <v>531</v>
      </c>
      <c r="AO9">
        <v>0.3</v>
      </c>
      <c r="AP9">
        <v>61.38</v>
      </c>
      <c r="AR9" t="str" cm="1">
        <f t="array" ref="AR9:AS9">_xlfn.TEXTSPLIT(AN9," ")</f>
        <v>26.10.2023</v>
      </c>
      <c r="AS9" t="str">
        <v>00:06:47</v>
      </c>
      <c r="AT9">
        <f t="shared" si="11"/>
        <v>9.9999999999999992E-2</v>
      </c>
      <c r="AU9">
        <f t="shared" si="6"/>
        <v>7.0000000000000284E-2</v>
      </c>
      <c r="AV9">
        <f t="shared" si="7"/>
        <v>0.3</v>
      </c>
    </row>
    <row r="10" spans="1:49" x14ac:dyDescent="0.25">
      <c r="A10" t="s">
        <v>532</v>
      </c>
      <c r="B10">
        <v>0</v>
      </c>
      <c r="C10">
        <v>14.32</v>
      </c>
      <c r="E10" t="s">
        <v>532</v>
      </c>
      <c r="F10">
        <v>2.1</v>
      </c>
      <c r="G10">
        <v>78.680000000000007</v>
      </c>
      <c r="I10" t="str" cm="1">
        <f t="array" ref="I10:J10">_xlfn.TEXTSPLIT(A10," ")</f>
        <v>27.10.2023</v>
      </c>
      <c r="J10" t="str">
        <v>00:07:32</v>
      </c>
      <c r="K10">
        <f t="shared" si="8"/>
        <v>0.11666666666666665</v>
      </c>
      <c r="L10">
        <f t="shared" si="1"/>
        <v>0</v>
      </c>
      <c r="M10">
        <f t="shared" si="2"/>
        <v>0</v>
      </c>
      <c r="Q10" t="str" cm="1">
        <f t="array" ref="Q10:R10">_xlfn.TEXTSPLIT(E10," ")</f>
        <v>27.10.2023</v>
      </c>
      <c r="R10" t="str">
        <v>00:07:32</v>
      </c>
      <c r="S10">
        <f t="shared" si="9"/>
        <v>0.11666666666666665</v>
      </c>
      <c r="T10">
        <f t="shared" si="0"/>
        <v>8.0000000000012506E-2</v>
      </c>
      <c r="U10">
        <f t="shared" si="3"/>
        <v>2.1</v>
      </c>
      <c r="Z10" t="s">
        <v>501</v>
      </c>
      <c r="AA10" t="s">
        <v>500</v>
      </c>
      <c r="AC10" t="s">
        <v>533</v>
      </c>
      <c r="AD10">
        <v>0</v>
      </c>
      <c r="AE10">
        <v>4.53</v>
      </c>
      <c r="AG10" t="str" cm="1">
        <f t="array" ref="AG10:AH10">_xlfn.TEXTSPLIT(AC11," ")</f>
        <v>26.10.2023</v>
      </c>
      <c r="AH10" t="str">
        <v>00:08:47</v>
      </c>
      <c r="AI10">
        <f t="shared" si="10"/>
        <v>0.11666666666666665</v>
      </c>
      <c r="AJ10">
        <f t="shared" si="4"/>
        <v>0</v>
      </c>
      <c r="AK10">
        <f t="shared" si="5"/>
        <v>0</v>
      </c>
      <c r="AN10" t="s">
        <v>533</v>
      </c>
      <c r="AO10">
        <v>1.35</v>
      </c>
      <c r="AP10">
        <v>61.4</v>
      </c>
      <c r="AR10" t="str" cm="1">
        <f t="array" ref="AR10:AS10">_xlfn.TEXTSPLIT(AN10," ")</f>
        <v>26.10.2023</v>
      </c>
      <c r="AS10" t="str">
        <v>00:07:47</v>
      </c>
      <c r="AT10">
        <f t="shared" si="11"/>
        <v>0.11666666666666665</v>
      </c>
      <c r="AU10">
        <f t="shared" si="6"/>
        <v>8.9999999999996305E-2</v>
      </c>
      <c r="AV10">
        <f t="shared" si="7"/>
        <v>1.35</v>
      </c>
    </row>
    <row r="11" spans="1:49" x14ac:dyDescent="0.25">
      <c r="A11" t="s">
        <v>534</v>
      </c>
      <c r="B11">
        <v>1.2</v>
      </c>
      <c r="C11">
        <v>14.36</v>
      </c>
      <c r="E11" t="s">
        <v>534</v>
      </c>
      <c r="F11">
        <v>1.65</v>
      </c>
      <c r="G11">
        <v>78.7</v>
      </c>
      <c r="I11" t="str" cm="1">
        <f t="array" ref="I11:J11">_xlfn.TEXTSPLIT(A11," ")</f>
        <v>27.10.2023</v>
      </c>
      <c r="J11" t="str">
        <v>00:08:32</v>
      </c>
      <c r="K11">
        <f t="shared" si="8"/>
        <v>0.13333333333333333</v>
      </c>
      <c r="L11">
        <f t="shared" si="1"/>
        <v>3.9999999999999147E-2</v>
      </c>
      <c r="M11">
        <f t="shared" si="2"/>
        <v>1.2</v>
      </c>
      <c r="Q11" t="str" cm="1">
        <f t="array" ref="Q11:R11">_xlfn.TEXTSPLIT(E11," ")</f>
        <v>27.10.2023</v>
      </c>
      <c r="R11" t="str">
        <v>00:08:32</v>
      </c>
      <c r="S11">
        <f t="shared" si="9"/>
        <v>0.13333333333333333</v>
      </c>
      <c r="T11">
        <f t="shared" si="0"/>
        <v>0.10000000000000853</v>
      </c>
      <c r="U11">
        <f t="shared" si="3"/>
        <v>1.65</v>
      </c>
      <c r="X11" s="141" t="s">
        <v>535</v>
      </c>
      <c r="Y11" t="s">
        <v>512</v>
      </c>
      <c r="Z11">
        <v>11.116666666666799</v>
      </c>
      <c r="AA11">
        <v>11.083333333333464</v>
      </c>
      <c r="AC11" t="s">
        <v>536</v>
      </c>
      <c r="AD11">
        <v>0</v>
      </c>
      <c r="AE11">
        <v>4.53</v>
      </c>
      <c r="AG11" t="str" cm="1">
        <f t="array" ref="AG11:AH11">_xlfn.TEXTSPLIT(AC12," ")</f>
        <v>26.10.2023</v>
      </c>
      <c r="AH11" t="str">
        <v>00:09:47</v>
      </c>
      <c r="AI11">
        <f t="shared" si="10"/>
        <v>0.13333333333333333</v>
      </c>
      <c r="AJ11">
        <f t="shared" si="4"/>
        <v>0</v>
      </c>
      <c r="AK11">
        <f t="shared" si="5"/>
        <v>0</v>
      </c>
      <c r="AN11" t="s">
        <v>536</v>
      </c>
      <c r="AO11">
        <v>1.8</v>
      </c>
      <c r="AP11">
        <v>61.44</v>
      </c>
      <c r="AR11" t="str" cm="1">
        <f t="array" ref="AR11:AS11">_xlfn.TEXTSPLIT(AN11," ")</f>
        <v>26.10.2023</v>
      </c>
      <c r="AS11" t="str">
        <v>00:08:47</v>
      </c>
      <c r="AT11">
        <f t="shared" si="11"/>
        <v>0.13333333333333333</v>
      </c>
      <c r="AU11">
        <f t="shared" si="6"/>
        <v>0.12999999999999545</v>
      </c>
      <c r="AV11">
        <f t="shared" si="7"/>
        <v>1.8</v>
      </c>
    </row>
    <row r="12" spans="1:49" x14ac:dyDescent="0.25">
      <c r="A12" t="s">
        <v>537</v>
      </c>
      <c r="B12">
        <v>1.8</v>
      </c>
      <c r="C12">
        <v>14.38</v>
      </c>
      <c r="E12" t="s">
        <v>537</v>
      </c>
      <c r="F12">
        <v>1.35</v>
      </c>
      <c r="G12">
        <v>78.72</v>
      </c>
      <c r="I12" t="str" cm="1">
        <f t="array" ref="I12:J12">_xlfn.TEXTSPLIT(A12," ")</f>
        <v>27.10.2023</v>
      </c>
      <c r="J12" t="str">
        <v>00:09:32</v>
      </c>
      <c r="K12">
        <f t="shared" si="8"/>
        <v>0.15</v>
      </c>
      <c r="L12">
        <f t="shared" si="1"/>
        <v>6.0000000000000497E-2</v>
      </c>
      <c r="M12">
        <f t="shared" si="2"/>
        <v>1.8</v>
      </c>
      <c r="Q12" t="str" cm="1">
        <f t="array" ref="Q12:R12">_xlfn.TEXTSPLIT(E12," ")</f>
        <v>27.10.2023</v>
      </c>
      <c r="R12" t="str">
        <v>00:09:32</v>
      </c>
      <c r="S12">
        <f t="shared" si="9"/>
        <v>0.15</v>
      </c>
      <c r="T12">
        <f t="shared" si="0"/>
        <v>0.12000000000000455</v>
      </c>
      <c r="U12">
        <f t="shared" si="3"/>
        <v>1.35</v>
      </c>
      <c r="X12" s="141"/>
      <c r="AC12" t="s">
        <v>538</v>
      </c>
      <c r="AD12">
        <v>0.15</v>
      </c>
      <c r="AE12">
        <v>4.55</v>
      </c>
      <c r="AG12" t="str" cm="1">
        <f t="array" ref="AG12:AH12">_xlfn.TEXTSPLIT(AC13," ")</f>
        <v>26.10.2023</v>
      </c>
      <c r="AH12" t="str">
        <v>00:10:48</v>
      </c>
      <c r="AI12">
        <f t="shared" si="10"/>
        <v>0.15</v>
      </c>
      <c r="AJ12">
        <f t="shared" si="4"/>
        <v>1.9999999999999574E-2</v>
      </c>
      <c r="AK12">
        <f t="shared" si="5"/>
        <v>0.15</v>
      </c>
      <c r="AN12" t="s">
        <v>538</v>
      </c>
      <c r="AO12">
        <v>2.5499999999999998</v>
      </c>
      <c r="AP12">
        <v>61.49</v>
      </c>
      <c r="AR12" t="str" cm="1">
        <f t="array" ref="AR12:AS12">_xlfn.TEXTSPLIT(AN12," ")</f>
        <v>26.10.2023</v>
      </c>
      <c r="AS12" t="str">
        <v>00:09:47</v>
      </c>
      <c r="AT12">
        <f t="shared" si="11"/>
        <v>0.15</v>
      </c>
      <c r="AU12">
        <f t="shared" si="6"/>
        <v>0.17999999999999972</v>
      </c>
      <c r="AV12">
        <f t="shared" si="7"/>
        <v>2.5499999999999998</v>
      </c>
    </row>
    <row r="13" spans="1:49" x14ac:dyDescent="0.25">
      <c r="A13" t="s">
        <v>539</v>
      </c>
      <c r="B13">
        <v>1.05</v>
      </c>
      <c r="C13">
        <v>14.4</v>
      </c>
      <c r="E13" t="s">
        <v>539</v>
      </c>
      <c r="F13">
        <v>1.2</v>
      </c>
      <c r="G13">
        <v>78.75</v>
      </c>
      <c r="I13" t="str" cm="1">
        <f t="array" ref="I13:J13">_xlfn.TEXTSPLIT(A13," ")</f>
        <v>27.10.2023</v>
      </c>
      <c r="J13" t="str">
        <v>00:10:32</v>
      </c>
      <c r="K13">
        <f t="shared" si="8"/>
        <v>0.16666666666666666</v>
      </c>
      <c r="L13">
        <f t="shared" si="1"/>
        <v>8.0000000000000071E-2</v>
      </c>
      <c r="M13">
        <f t="shared" si="2"/>
        <v>1.05</v>
      </c>
      <c r="Q13" t="str" cm="1">
        <f t="array" ref="Q13:R13">_xlfn.TEXTSPLIT(E13," ")</f>
        <v>27.10.2023</v>
      </c>
      <c r="R13" t="str">
        <v>00:10:32</v>
      </c>
      <c r="S13">
        <f t="shared" si="9"/>
        <v>0.16666666666666666</v>
      </c>
      <c r="T13">
        <f t="shared" si="0"/>
        <v>0.15000000000000568</v>
      </c>
      <c r="U13">
        <f t="shared" si="3"/>
        <v>1.2</v>
      </c>
      <c r="X13" s="141"/>
      <c r="Y13" t="s">
        <v>519</v>
      </c>
      <c r="Z13">
        <f>VLOOKUP(Z11,AI3:AL2624,2,FALSE)+AE3</f>
        <v>7.42</v>
      </c>
      <c r="AA13">
        <f>VLOOKUP(AA11,AT3:AW2624,2,FALSE)+AP3</f>
        <v>69.260000000000005</v>
      </c>
      <c r="AC13" t="s">
        <v>540</v>
      </c>
      <c r="AD13">
        <v>1.2</v>
      </c>
      <c r="AE13">
        <v>4.57</v>
      </c>
      <c r="AG13" t="str" cm="1">
        <f t="array" ref="AG13:AH13">_xlfn.TEXTSPLIT(AC14," ")</f>
        <v>26.10.2023</v>
      </c>
      <c r="AH13" t="str">
        <v>00:11:48</v>
      </c>
      <c r="AI13">
        <f t="shared" si="10"/>
        <v>0.16666666666666666</v>
      </c>
      <c r="AJ13">
        <f t="shared" si="4"/>
        <v>4.0000000000000036E-2</v>
      </c>
      <c r="AK13">
        <f t="shared" si="5"/>
        <v>1.2</v>
      </c>
      <c r="AN13" t="s">
        <v>540</v>
      </c>
      <c r="AO13">
        <v>2.25</v>
      </c>
      <c r="AP13">
        <v>61.51</v>
      </c>
      <c r="AR13" t="str" cm="1">
        <f t="array" ref="AR13:AS13">_xlfn.TEXTSPLIT(AN13," ")</f>
        <v>26.10.2023</v>
      </c>
      <c r="AS13" t="str">
        <v>00:10:48</v>
      </c>
      <c r="AT13">
        <f t="shared" si="11"/>
        <v>0.16666666666666666</v>
      </c>
      <c r="AU13">
        <f t="shared" si="6"/>
        <v>0.19999999999999574</v>
      </c>
      <c r="AV13">
        <f t="shared" si="7"/>
        <v>2.25</v>
      </c>
    </row>
    <row r="14" spans="1:49" x14ac:dyDescent="0.25">
      <c r="A14" t="s">
        <v>541</v>
      </c>
      <c r="B14">
        <v>1.05</v>
      </c>
      <c r="C14">
        <v>14.41</v>
      </c>
      <c r="E14" t="s">
        <v>541</v>
      </c>
      <c r="F14">
        <v>1.5</v>
      </c>
      <c r="G14">
        <v>78.77</v>
      </c>
      <c r="I14" t="str" cm="1">
        <f t="array" ref="I14:J14">_xlfn.TEXTSPLIT(A14," ")</f>
        <v>27.10.2023</v>
      </c>
      <c r="J14" t="str">
        <v>00:11:32</v>
      </c>
      <c r="K14">
        <f t="shared" si="8"/>
        <v>0.18333333333333332</v>
      </c>
      <c r="L14">
        <f t="shared" si="1"/>
        <v>8.9999999999999858E-2</v>
      </c>
      <c r="M14">
        <f t="shared" si="2"/>
        <v>1.05</v>
      </c>
      <c r="Q14" t="str" cm="1">
        <f t="array" ref="Q14:R14">_xlfn.TEXTSPLIT(E14," ")</f>
        <v>27.10.2023</v>
      </c>
      <c r="R14" t="str">
        <v>00:11:32</v>
      </c>
      <c r="S14">
        <f t="shared" si="9"/>
        <v>0.18333333333333332</v>
      </c>
      <c r="T14">
        <f t="shared" si="0"/>
        <v>0.17000000000000171</v>
      </c>
      <c r="U14">
        <f t="shared" si="3"/>
        <v>1.5</v>
      </c>
      <c r="X14" s="141"/>
      <c r="Y14" t="s">
        <v>525</v>
      </c>
      <c r="Z14">
        <f>Z5-Z13-2</f>
        <v>9.9799999999999986</v>
      </c>
      <c r="AA14">
        <f>AA5-AA13-1</f>
        <v>15.989999999999995</v>
      </c>
      <c r="AC14" t="s">
        <v>542</v>
      </c>
      <c r="AD14">
        <v>1.2</v>
      </c>
      <c r="AE14">
        <v>4.59</v>
      </c>
      <c r="AG14" t="str" cm="1">
        <f t="array" ref="AG14:AH14">_xlfn.TEXTSPLIT(AC15," ")</f>
        <v>26.10.2023</v>
      </c>
      <c r="AH14" t="str">
        <v>00:12:48</v>
      </c>
      <c r="AI14">
        <f t="shared" si="10"/>
        <v>0.18333333333333332</v>
      </c>
      <c r="AJ14">
        <f t="shared" si="4"/>
        <v>5.9999999999999609E-2</v>
      </c>
      <c r="AK14">
        <f t="shared" si="5"/>
        <v>1.2</v>
      </c>
      <c r="AN14" t="s">
        <v>542</v>
      </c>
      <c r="AO14">
        <v>1.35</v>
      </c>
      <c r="AP14">
        <v>61.53</v>
      </c>
      <c r="AR14" t="str" cm="1">
        <f t="array" ref="AR14:AS14">_xlfn.TEXTSPLIT(AN14," ")</f>
        <v>26.10.2023</v>
      </c>
      <c r="AS14" t="str">
        <v>00:11:48</v>
      </c>
      <c r="AT14">
        <f t="shared" si="11"/>
        <v>0.18333333333333332</v>
      </c>
      <c r="AU14">
        <f t="shared" si="6"/>
        <v>0.21999999999999886</v>
      </c>
      <c r="AV14">
        <f t="shared" si="7"/>
        <v>1.35</v>
      </c>
    </row>
    <row r="15" spans="1:49" x14ac:dyDescent="0.25">
      <c r="A15" t="s">
        <v>543</v>
      </c>
      <c r="B15">
        <v>0.45</v>
      </c>
      <c r="C15">
        <v>14.42</v>
      </c>
      <c r="E15" t="s">
        <v>543</v>
      </c>
      <c r="F15">
        <v>1.65</v>
      </c>
      <c r="G15">
        <v>78.790000000000006</v>
      </c>
      <c r="I15" t="str" cm="1">
        <f t="array" ref="I15:J15">_xlfn.TEXTSPLIT(A15," ")</f>
        <v>27.10.2023</v>
      </c>
      <c r="J15" t="str">
        <v>00:12:33</v>
      </c>
      <c r="K15">
        <f t="shared" si="8"/>
        <v>0.19999999999999998</v>
      </c>
      <c r="L15">
        <f t="shared" si="1"/>
        <v>9.9999999999999645E-2</v>
      </c>
      <c r="M15">
        <f t="shared" si="2"/>
        <v>0.45</v>
      </c>
      <c r="Q15" t="str" cm="1">
        <f t="array" ref="Q15:R15">_xlfn.TEXTSPLIT(E15," ")</f>
        <v>27.10.2023</v>
      </c>
      <c r="R15" t="str">
        <v>00:12:33</v>
      </c>
      <c r="S15">
        <f t="shared" si="9"/>
        <v>0.19999999999999998</v>
      </c>
      <c r="T15">
        <f t="shared" si="0"/>
        <v>0.19000000000001194</v>
      </c>
      <c r="U15">
        <f t="shared" si="3"/>
        <v>1.65</v>
      </c>
      <c r="Y15" t="s">
        <v>528</v>
      </c>
      <c r="Z15">
        <f>Z14/24</f>
        <v>0.41583333333333328</v>
      </c>
      <c r="AA15">
        <f>AA14/24</f>
        <v>0.66624999999999979</v>
      </c>
      <c r="AC15" t="s">
        <v>544</v>
      </c>
      <c r="AD15">
        <v>0.9</v>
      </c>
      <c r="AE15">
        <v>4.5999999999999996</v>
      </c>
      <c r="AG15" t="str" cm="1">
        <f t="array" ref="AG15:AH15">_xlfn.TEXTSPLIT(AC16," ")</f>
        <v>26.10.2023</v>
      </c>
      <c r="AH15" t="str">
        <v>00:13:48</v>
      </c>
      <c r="AI15">
        <f t="shared" si="10"/>
        <v>0.19999999999999998</v>
      </c>
      <c r="AJ15">
        <f t="shared" si="4"/>
        <v>6.9999999999999396E-2</v>
      </c>
      <c r="AK15">
        <f t="shared" si="5"/>
        <v>0.9</v>
      </c>
      <c r="AN15" t="s">
        <v>544</v>
      </c>
      <c r="AO15">
        <v>1.2</v>
      </c>
      <c r="AP15">
        <v>61.56</v>
      </c>
      <c r="AR15" t="str" cm="1">
        <f t="array" ref="AR15:AS15">_xlfn.TEXTSPLIT(AN15," ")</f>
        <v>26.10.2023</v>
      </c>
      <c r="AS15" t="str">
        <v>00:12:48</v>
      </c>
      <c r="AT15">
        <f t="shared" si="11"/>
        <v>0.19999999999999998</v>
      </c>
      <c r="AU15">
        <f t="shared" si="6"/>
        <v>0.25</v>
      </c>
      <c r="AV15">
        <f t="shared" si="7"/>
        <v>1.2</v>
      </c>
    </row>
    <row r="16" spans="1:49" x14ac:dyDescent="0.25">
      <c r="A16" t="s">
        <v>545</v>
      </c>
      <c r="B16">
        <v>0.45</v>
      </c>
      <c r="C16">
        <v>14.44</v>
      </c>
      <c r="E16" t="s">
        <v>545</v>
      </c>
      <c r="F16">
        <v>0.6</v>
      </c>
      <c r="G16">
        <v>78.8</v>
      </c>
      <c r="I16" t="str" cm="1">
        <f t="array" ref="I16:J16">_xlfn.TEXTSPLIT(A16," ")</f>
        <v>27.10.2023</v>
      </c>
      <c r="J16" t="str">
        <v>00:13:33</v>
      </c>
      <c r="K16">
        <f t="shared" si="8"/>
        <v>0.21666666666666665</v>
      </c>
      <c r="L16">
        <f t="shared" si="1"/>
        <v>0.11999999999999922</v>
      </c>
      <c r="M16">
        <f t="shared" si="2"/>
        <v>0.45</v>
      </c>
      <c r="Q16" t="str" cm="1">
        <f t="array" ref="Q16:R16">_xlfn.TEXTSPLIT(E16," ")</f>
        <v>27.10.2023</v>
      </c>
      <c r="R16" t="str">
        <v>00:13:33</v>
      </c>
      <c r="S16">
        <f t="shared" si="9"/>
        <v>0.21666666666666665</v>
      </c>
      <c r="T16">
        <f t="shared" si="0"/>
        <v>0.20000000000000284</v>
      </c>
      <c r="U16">
        <f t="shared" si="3"/>
        <v>0.6</v>
      </c>
      <c r="AC16" t="s">
        <v>546</v>
      </c>
      <c r="AD16">
        <v>0.6</v>
      </c>
      <c r="AE16">
        <v>4.6100000000000003</v>
      </c>
      <c r="AG16" t="str" cm="1">
        <f t="array" ref="AG16:AH16">_xlfn.TEXTSPLIT(AC17," ")</f>
        <v>26.10.2023</v>
      </c>
      <c r="AH16" t="str">
        <v>00:14:48</v>
      </c>
      <c r="AI16">
        <f t="shared" si="10"/>
        <v>0.21666666666666665</v>
      </c>
      <c r="AJ16">
        <f t="shared" si="4"/>
        <v>8.0000000000000071E-2</v>
      </c>
      <c r="AK16">
        <f t="shared" si="5"/>
        <v>0.6</v>
      </c>
      <c r="AN16" t="s">
        <v>546</v>
      </c>
      <c r="AO16">
        <v>1.5</v>
      </c>
      <c r="AP16">
        <v>61.59</v>
      </c>
      <c r="AR16" t="str" cm="1">
        <f t="array" ref="AR16:AS16">_xlfn.TEXTSPLIT(AN16," ")</f>
        <v>26.10.2023</v>
      </c>
      <c r="AS16" t="str">
        <v>00:13:48</v>
      </c>
      <c r="AT16">
        <f t="shared" si="11"/>
        <v>0.21666666666666665</v>
      </c>
      <c r="AU16">
        <f t="shared" si="6"/>
        <v>0.28000000000000114</v>
      </c>
      <c r="AV16">
        <f t="shared" si="7"/>
        <v>1.5</v>
      </c>
    </row>
    <row r="17" spans="1:48" x14ac:dyDescent="0.25">
      <c r="A17" t="s">
        <v>547</v>
      </c>
      <c r="B17">
        <v>0.6</v>
      </c>
      <c r="C17">
        <v>14.44</v>
      </c>
      <c r="E17" t="s">
        <v>547</v>
      </c>
      <c r="F17">
        <v>0.6</v>
      </c>
      <c r="G17">
        <v>78.81</v>
      </c>
      <c r="I17" t="str" cm="1">
        <f t="array" ref="I17:J17">_xlfn.TEXTSPLIT(A17," ")</f>
        <v>27.10.2023</v>
      </c>
      <c r="J17" t="str">
        <v>00:14:33</v>
      </c>
      <c r="K17">
        <f t="shared" si="8"/>
        <v>0.23333333333333331</v>
      </c>
      <c r="L17">
        <f t="shared" si="1"/>
        <v>0.11999999999999922</v>
      </c>
      <c r="M17">
        <f t="shared" si="2"/>
        <v>0.6</v>
      </c>
      <c r="Q17" t="str" cm="1">
        <f t="array" ref="Q17:R17">_xlfn.TEXTSPLIT(E17," ")</f>
        <v>27.10.2023</v>
      </c>
      <c r="R17" t="str">
        <v>00:14:33</v>
      </c>
      <c r="S17">
        <f t="shared" si="9"/>
        <v>0.23333333333333331</v>
      </c>
      <c r="T17">
        <f t="shared" si="0"/>
        <v>0.21000000000000796</v>
      </c>
      <c r="U17">
        <f t="shared" si="3"/>
        <v>0.6</v>
      </c>
      <c r="Y17" t="s">
        <v>548</v>
      </c>
      <c r="Z17">
        <f>Z7-Z14</f>
        <v>5.4600000000000062</v>
      </c>
      <c r="AA17">
        <f>AA7-AA14</f>
        <v>11.710000000000008</v>
      </c>
      <c r="AC17" t="s">
        <v>549</v>
      </c>
      <c r="AD17">
        <v>0.75</v>
      </c>
      <c r="AE17">
        <v>4.62</v>
      </c>
      <c r="AG17" t="str" cm="1">
        <f t="array" ref="AG17:AH17">_xlfn.TEXTSPLIT(AC18," ")</f>
        <v>26.10.2023</v>
      </c>
      <c r="AH17" t="str">
        <v>00:15:48</v>
      </c>
      <c r="AI17">
        <f t="shared" si="10"/>
        <v>0.23333333333333331</v>
      </c>
      <c r="AJ17">
        <f t="shared" si="4"/>
        <v>8.9999999999999858E-2</v>
      </c>
      <c r="AK17">
        <f t="shared" si="5"/>
        <v>0.75</v>
      </c>
      <c r="AN17" t="s">
        <v>549</v>
      </c>
      <c r="AO17">
        <v>1.8</v>
      </c>
      <c r="AP17">
        <v>61.61</v>
      </c>
      <c r="AR17" t="str" cm="1">
        <f t="array" ref="AR17:AS17">_xlfn.TEXTSPLIT(AN17," ")</f>
        <v>26.10.2023</v>
      </c>
      <c r="AS17" t="str">
        <v>00:14:48</v>
      </c>
      <c r="AT17">
        <f t="shared" si="11"/>
        <v>0.23333333333333331</v>
      </c>
      <c r="AU17">
        <f t="shared" si="6"/>
        <v>0.29999999999999716</v>
      </c>
      <c r="AV17">
        <f t="shared" si="7"/>
        <v>1.8</v>
      </c>
    </row>
    <row r="18" spans="1:48" x14ac:dyDescent="0.25">
      <c r="A18" t="s">
        <v>550</v>
      </c>
      <c r="B18">
        <v>0</v>
      </c>
      <c r="C18">
        <v>14.45</v>
      </c>
      <c r="E18" t="s">
        <v>550</v>
      </c>
      <c r="F18">
        <v>0.6</v>
      </c>
      <c r="G18">
        <v>78.81</v>
      </c>
      <c r="I18" t="str" cm="1">
        <f t="array" ref="I18:J18">_xlfn.TEXTSPLIT(A18," ")</f>
        <v>27.10.2023</v>
      </c>
      <c r="J18" t="str">
        <v>00:15:33</v>
      </c>
      <c r="K18">
        <f t="shared" si="8"/>
        <v>0.24999999999999997</v>
      </c>
      <c r="L18">
        <f t="shared" si="1"/>
        <v>0.12999999999999901</v>
      </c>
      <c r="M18">
        <f t="shared" si="2"/>
        <v>0</v>
      </c>
      <c r="Q18" t="str" cm="1">
        <f t="array" ref="Q18:R18">_xlfn.TEXTSPLIT(E18," ")</f>
        <v>27.10.2023</v>
      </c>
      <c r="R18" t="str">
        <v>00:15:33</v>
      </c>
      <c r="S18">
        <f t="shared" si="9"/>
        <v>0.24999999999999997</v>
      </c>
      <c r="T18">
        <f t="shared" si="0"/>
        <v>0.21000000000000796</v>
      </c>
      <c r="U18">
        <f t="shared" si="3"/>
        <v>0.6</v>
      </c>
      <c r="Y18" t="s">
        <v>551</v>
      </c>
      <c r="Z18">
        <f>Z8-Z15</f>
        <v>0.22750000000000026</v>
      </c>
      <c r="AA18">
        <f>AA8-AA15</f>
        <v>0.487916666666667</v>
      </c>
      <c r="AC18" t="s">
        <v>552</v>
      </c>
      <c r="AD18">
        <v>0.9</v>
      </c>
      <c r="AE18">
        <v>4.63</v>
      </c>
      <c r="AG18" t="str" cm="1">
        <f t="array" ref="AG18:AH18">_xlfn.TEXTSPLIT(AC19," ")</f>
        <v>26.10.2023</v>
      </c>
      <c r="AH18" t="str">
        <v>00:16:48</v>
      </c>
      <c r="AI18">
        <f t="shared" si="10"/>
        <v>0.24999999999999997</v>
      </c>
      <c r="AJ18">
        <f t="shared" si="4"/>
        <v>9.9999999999999645E-2</v>
      </c>
      <c r="AK18">
        <f t="shared" si="5"/>
        <v>0.9</v>
      </c>
      <c r="AN18" t="s">
        <v>552</v>
      </c>
      <c r="AO18">
        <v>1.65</v>
      </c>
      <c r="AP18">
        <v>61.63</v>
      </c>
      <c r="AR18" t="str" cm="1">
        <f t="array" ref="AR18:AS18">_xlfn.TEXTSPLIT(AN18," ")</f>
        <v>26.10.2023</v>
      </c>
      <c r="AS18" t="str">
        <v>00:15:48</v>
      </c>
      <c r="AT18">
        <f t="shared" si="11"/>
        <v>0.24999999999999997</v>
      </c>
      <c r="AU18">
        <f t="shared" si="6"/>
        <v>0.32000000000000028</v>
      </c>
      <c r="AV18">
        <f t="shared" si="7"/>
        <v>1.65</v>
      </c>
    </row>
    <row r="19" spans="1:48" x14ac:dyDescent="0.25">
      <c r="A19" t="s">
        <v>553</v>
      </c>
      <c r="B19">
        <v>0.45</v>
      </c>
      <c r="C19">
        <v>14.46</v>
      </c>
      <c r="E19" t="s">
        <v>553</v>
      </c>
      <c r="F19">
        <v>0.45</v>
      </c>
      <c r="G19">
        <v>78.819999999999993</v>
      </c>
      <c r="I19" t="str" cm="1">
        <f t="array" ref="I19:J19">_xlfn.TEXTSPLIT(A19," ")</f>
        <v>27.10.2023</v>
      </c>
      <c r="J19" t="str">
        <v>00:16:33</v>
      </c>
      <c r="K19">
        <f t="shared" si="8"/>
        <v>0.26666666666666666</v>
      </c>
      <c r="L19">
        <f t="shared" si="1"/>
        <v>0.14000000000000057</v>
      </c>
      <c r="M19">
        <f t="shared" si="2"/>
        <v>0.45</v>
      </c>
      <c r="Q19" t="str" cm="1">
        <f t="array" ref="Q19:R19">_xlfn.TEXTSPLIT(E19," ")</f>
        <v>27.10.2023</v>
      </c>
      <c r="R19" t="str">
        <v>00:16:33</v>
      </c>
      <c r="S19">
        <f t="shared" si="9"/>
        <v>0.26666666666666666</v>
      </c>
      <c r="T19">
        <f t="shared" si="0"/>
        <v>0.21999999999999886</v>
      </c>
      <c r="U19">
        <f t="shared" si="3"/>
        <v>0.45</v>
      </c>
      <c r="AC19" t="s">
        <v>554</v>
      </c>
      <c r="AD19">
        <v>0.3</v>
      </c>
      <c r="AE19">
        <v>4.6399999999999997</v>
      </c>
      <c r="AG19" t="str" cm="1">
        <f t="array" ref="AG19:AH19">_xlfn.TEXTSPLIT(AC20," ")</f>
        <v>26.10.2023</v>
      </c>
      <c r="AH19" t="str">
        <v>00:17:48</v>
      </c>
      <c r="AI19">
        <f t="shared" si="10"/>
        <v>0.26666666666666666</v>
      </c>
      <c r="AJ19">
        <f t="shared" si="4"/>
        <v>0.10999999999999943</v>
      </c>
      <c r="AK19">
        <f t="shared" si="5"/>
        <v>0.3</v>
      </c>
      <c r="AN19" t="s">
        <v>554</v>
      </c>
      <c r="AO19">
        <v>0.9</v>
      </c>
      <c r="AP19">
        <v>61.65</v>
      </c>
      <c r="AR19" t="str" cm="1">
        <f t="array" ref="AR19:AS19">_xlfn.TEXTSPLIT(AN19," ")</f>
        <v>26.10.2023</v>
      </c>
      <c r="AS19" t="str">
        <v>00:16:48</v>
      </c>
      <c r="AT19">
        <f t="shared" si="11"/>
        <v>0.26666666666666666</v>
      </c>
      <c r="AU19">
        <f t="shared" si="6"/>
        <v>0.33999999999999631</v>
      </c>
      <c r="AV19">
        <f t="shared" si="7"/>
        <v>0.9</v>
      </c>
    </row>
    <row r="20" spans="1:48" x14ac:dyDescent="0.25">
      <c r="A20" t="s">
        <v>555</v>
      </c>
      <c r="B20">
        <v>0.6</v>
      </c>
      <c r="C20">
        <v>14.47</v>
      </c>
      <c r="E20" t="s">
        <v>555</v>
      </c>
      <c r="F20">
        <v>0.6</v>
      </c>
      <c r="G20">
        <v>78.83</v>
      </c>
      <c r="I20" t="str" cm="1">
        <f t="array" ref="I20:J20">_xlfn.TEXTSPLIT(A20," ")</f>
        <v>27.10.2023</v>
      </c>
      <c r="J20" t="str">
        <v>00:17:33</v>
      </c>
      <c r="K20">
        <f t="shared" si="8"/>
        <v>0.28333333333333333</v>
      </c>
      <c r="L20">
        <f t="shared" si="1"/>
        <v>0.15000000000000036</v>
      </c>
      <c r="M20">
        <f t="shared" si="2"/>
        <v>0.6</v>
      </c>
      <c r="Q20" t="str" cm="1">
        <f t="array" ref="Q20:R20">_xlfn.TEXTSPLIT(E20," ")</f>
        <v>27.10.2023</v>
      </c>
      <c r="R20" t="str">
        <v>00:17:33</v>
      </c>
      <c r="S20">
        <f t="shared" si="9"/>
        <v>0.28333333333333333</v>
      </c>
      <c r="T20">
        <f t="shared" si="0"/>
        <v>0.23000000000000398</v>
      </c>
      <c r="U20">
        <f t="shared" si="3"/>
        <v>0.6</v>
      </c>
      <c r="X20" t="s">
        <v>556</v>
      </c>
      <c r="Y20">
        <f>(48.6/0.43)/(5.9/0.43)</f>
        <v>8.2372881355932197</v>
      </c>
      <c r="Z20">
        <f>(1-0.15)*1000*(Z17/12)/(86/12)/2</f>
        <v>26.982558139534916</v>
      </c>
      <c r="AA20">
        <f>(1-0.15)*1000*(AA17/12)/(86/12)/2</f>
        <v>57.869186046511665</v>
      </c>
      <c r="AC20" t="s">
        <v>557</v>
      </c>
      <c r="AD20">
        <v>0.9</v>
      </c>
      <c r="AE20">
        <v>4.66</v>
      </c>
      <c r="AG20" t="str" cm="1">
        <f t="array" ref="AG20:AH20">_xlfn.TEXTSPLIT(AC21," ")</f>
        <v>26.10.2023</v>
      </c>
      <c r="AH20" t="str">
        <v>00:18:48</v>
      </c>
      <c r="AI20">
        <f t="shared" si="10"/>
        <v>0.28333333333333333</v>
      </c>
      <c r="AJ20">
        <f t="shared" si="4"/>
        <v>0.12999999999999989</v>
      </c>
      <c r="AK20">
        <f t="shared" si="5"/>
        <v>0.9</v>
      </c>
      <c r="AN20" t="s">
        <v>557</v>
      </c>
      <c r="AO20">
        <v>0.75</v>
      </c>
      <c r="AP20">
        <v>61.66</v>
      </c>
      <c r="AR20" t="str" cm="1">
        <f t="array" ref="AR20:AS20">_xlfn.TEXTSPLIT(AN20," ")</f>
        <v>26.10.2023</v>
      </c>
      <c r="AS20" t="str">
        <v>00:17:48</v>
      </c>
      <c r="AT20">
        <f t="shared" si="11"/>
        <v>0.28333333333333333</v>
      </c>
      <c r="AU20">
        <f t="shared" si="6"/>
        <v>0.34999999999999432</v>
      </c>
      <c r="AV20">
        <f t="shared" si="7"/>
        <v>0.75</v>
      </c>
    </row>
    <row r="21" spans="1:48" x14ac:dyDescent="0.25">
      <c r="A21" t="s">
        <v>558</v>
      </c>
      <c r="B21">
        <v>0.6</v>
      </c>
      <c r="C21">
        <v>14.48</v>
      </c>
      <c r="E21" t="s">
        <v>558</v>
      </c>
      <c r="F21">
        <v>0.45</v>
      </c>
      <c r="G21">
        <v>78.84</v>
      </c>
      <c r="I21" t="str" cm="1">
        <f t="array" ref="I21:J21">_xlfn.TEXTSPLIT(A21," ")</f>
        <v>27.10.2023</v>
      </c>
      <c r="J21" t="str">
        <v>00:18:33</v>
      </c>
      <c r="K21">
        <f t="shared" si="8"/>
        <v>0.3</v>
      </c>
      <c r="L21">
        <f t="shared" si="1"/>
        <v>0.16000000000000014</v>
      </c>
      <c r="M21">
        <f t="shared" si="2"/>
        <v>0.6</v>
      </c>
      <c r="Q21" t="str" cm="1">
        <f t="array" ref="Q21:R21">_xlfn.TEXTSPLIT(E21," ")</f>
        <v>27.10.2023</v>
      </c>
      <c r="R21" t="str">
        <v>00:18:33</v>
      </c>
      <c r="S21">
        <f t="shared" si="9"/>
        <v>0.3</v>
      </c>
      <c r="T21">
        <f t="shared" si="0"/>
        <v>0.24000000000000909</v>
      </c>
      <c r="U21">
        <f t="shared" si="3"/>
        <v>0.45</v>
      </c>
      <c r="AC21" t="s">
        <v>559</v>
      </c>
      <c r="AD21">
        <v>1.05</v>
      </c>
      <c r="AE21">
        <v>4.67</v>
      </c>
      <c r="AG21" t="str" cm="1">
        <f t="array" ref="AG21:AH21">_xlfn.TEXTSPLIT(AC22," ")</f>
        <v>26.10.2023</v>
      </c>
      <c r="AH21" t="str">
        <v>00:19:48</v>
      </c>
      <c r="AI21">
        <f t="shared" si="10"/>
        <v>0.3</v>
      </c>
      <c r="AJ21">
        <f t="shared" si="4"/>
        <v>0.13999999999999968</v>
      </c>
      <c r="AK21">
        <f t="shared" si="5"/>
        <v>1.05</v>
      </c>
      <c r="AN21" t="s">
        <v>559</v>
      </c>
      <c r="AO21">
        <v>0.75</v>
      </c>
      <c r="AP21">
        <v>61.67</v>
      </c>
      <c r="AR21" t="str" cm="1">
        <f t="array" ref="AR21:AS21">_xlfn.TEXTSPLIT(AN21," ")</f>
        <v>26.10.2023</v>
      </c>
      <c r="AS21" t="str">
        <v>00:18:48</v>
      </c>
      <c r="AT21">
        <f t="shared" si="11"/>
        <v>0.3</v>
      </c>
      <c r="AU21">
        <f t="shared" si="6"/>
        <v>0.35999999999999943</v>
      </c>
      <c r="AV21">
        <f t="shared" si="7"/>
        <v>0.75</v>
      </c>
    </row>
    <row r="22" spans="1:48" x14ac:dyDescent="0.25">
      <c r="A22" t="s">
        <v>560</v>
      </c>
      <c r="B22">
        <v>0.45</v>
      </c>
      <c r="C22">
        <v>14.48</v>
      </c>
      <c r="E22" t="s">
        <v>560</v>
      </c>
      <c r="F22">
        <v>0.6</v>
      </c>
      <c r="G22">
        <v>78.849999999999994</v>
      </c>
      <c r="I22" t="str" cm="1">
        <f t="array" ref="I22:J22">_xlfn.TEXTSPLIT(A22," ")</f>
        <v>27.10.2023</v>
      </c>
      <c r="J22" t="str">
        <v>00:19:33</v>
      </c>
      <c r="K22">
        <f t="shared" si="8"/>
        <v>0.31666666666666665</v>
      </c>
      <c r="L22">
        <f t="shared" si="1"/>
        <v>0.16000000000000014</v>
      </c>
      <c r="M22">
        <f t="shared" si="2"/>
        <v>0.45</v>
      </c>
      <c r="Q22" t="str" cm="1">
        <f t="array" ref="Q22:R22">_xlfn.TEXTSPLIT(E22," ")</f>
        <v>27.10.2023</v>
      </c>
      <c r="R22" t="str">
        <v>00:19:33</v>
      </c>
      <c r="S22">
        <f t="shared" si="9"/>
        <v>0.31666666666666665</v>
      </c>
      <c r="T22">
        <f t="shared" si="0"/>
        <v>0.25</v>
      </c>
      <c r="U22">
        <f t="shared" si="3"/>
        <v>0.6</v>
      </c>
      <c r="AC22" t="s">
        <v>561</v>
      </c>
      <c r="AD22">
        <v>0.45</v>
      </c>
      <c r="AE22">
        <v>4.67</v>
      </c>
      <c r="AG22" t="str" cm="1">
        <f t="array" ref="AG22:AH22">_xlfn.TEXTSPLIT(AC23," ")</f>
        <v>26.10.2023</v>
      </c>
      <c r="AH22" t="str">
        <v>00:20:49</v>
      </c>
      <c r="AI22">
        <f t="shared" si="10"/>
        <v>0.31666666666666665</v>
      </c>
      <c r="AJ22">
        <f t="shared" si="4"/>
        <v>0.13999999999999968</v>
      </c>
      <c r="AK22">
        <f t="shared" si="5"/>
        <v>0.45</v>
      </c>
      <c r="AN22" t="s">
        <v>561</v>
      </c>
      <c r="AO22">
        <v>0.75</v>
      </c>
      <c r="AP22">
        <v>61.68</v>
      </c>
      <c r="AR22" t="str" cm="1">
        <f t="array" ref="AR22:AS22">_xlfn.TEXTSPLIT(AN22," ")</f>
        <v>26.10.2023</v>
      </c>
      <c r="AS22" t="str">
        <v>00:19:48</v>
      </c>
      <c r="AT22">
        <f t="shared" si="11"/>
        <v>0.31666666666666665</v>
      </c>
      <c r="AU22">
        <f t="shared" si="6"/>
        <v>0.36999999999999744</v>
      </c>
      <c r="AV22">
        <f t="shared" si="7"/>
        <v>0.75</v>
      </c>
    </row>
    <row r="23" spans="1:48" x14ac:dyDescent="0.25">
      <c r="A23" t="s">
        <v>562</v>
      </c>
      <c r="B23">
        <v>0.3</v>
      </c>
      <c r="C23">
        <v>14.49</v>
      </c>
      <c r="E23" t="s">
        <v>562</v>
      </c>
      <c r="F23">
        <v>0.6</v>
      </c>
      <c r="G23">
        <v>78.86</v>
      </c>
      <c r="I23" t="str" cm="1">
        <f t="array" ref="I23:J23">_xlfn.TEXTSPLIT(A23," ")</f>
        <v>27.10.2023</v>
      </c>
      <c r="J23" t="str">
        <v>00:20:33</v>
      </c>
      <c r="K23">
        <f t="shared" si="8"/>
        <v>0.33333333333333331</v>
      </c>
      <c r="L23">
        <f t="shared" si="1"/>
        <v>0.16999999999999993</v>
      </c>
      <c r="M23">
        <f t="shared" si="2"/>
        <v>0.3</v>
      </c>
      <c r="Q23" t="str" cm="1">
        <f t="array" ref="Q23:R23">_xlfn.TEXTSPLIT(E23," ")</f>
        <v>27.10.2023</v>
      </c>
      <c r="R23" t="str">
        <v>00:20:33</v>
      </c>
      <c r="S23">
        <f t="shared" si="9"/>
        <v>0.33333333333333331</v>
      </c>
      <c r="T23">
        <f t="shared" si="0"/>
        <v>0.26000000000000512</v>
      </c>
      <c r="U23">
        <f t="shared" si="3"/>
        <v>0.6</v>
      </c>
      <c r="AC23" t="s">
        <v>563</v>
      </c>
      <c r="AD23">
        <v>0.15</v>
      </c>
      <c r="AE23">
        <v>4.68</v>
      </c>
      <c r="AG23" t="str" cm="1">
        <f t="array" ref="AG23:AH23">_xlfn.TEXTSPLIT(AC24," ")</f>
        <v>26.10.2023</v>
      </c>
      <c r="AH23" t="str">
        <v>00:21:49</v>
      </c>
      <c r="AI23">
        <f t="shared" si="10"/>
        <v>0.33333333333333331</v>
      </c>
      <c r="AJ23">
        <f t="shared" si="4"/>
        <v>0.14999999999999947</v>
      </c>
      <c r="AK23">
        <f t="shared" si="5"/>
        <v>0.15</v>
      </c>
      <c r="AN23" t="s">
        <v>563</v>
      </c>
      <c r="AO23">
        <v>0.75</v>
      </c>
      <c r="AP23">
        <v>61.7</v>
      </c>
      <c r="AR23" t="str" cm="1">
        <f t="array" ref="AR23:AS23">_xlfn.TEXTSPLIT(AN23," ")</f>
        <v>26.10.2023</v>
      </c>
      <c r="AS23" t="str">
        <v>00:20:49</v>
      </c>
      <c r="AT23">
        <f t="shared" si="11"/>
        <v>0.33333333333333331</v>
      </c>
      <c r="AU23">
        <f t="shared" si="6"/>
        <v>0.39000000000000057</v>
      </c>
      <c r="AV23">
        <f t="shared" si="7"/>
        <v>0.75</v>
      </c>
    </row>
    <row r="24" spans="1:48" x14ac:dyDescent="0.25">
      <c r="A24" t="s">
        <v>564</v>
      </c>
      <c r="B24">
        <v>0.3</v>
      </c>
      <c r="C24">
        <v>14.49</v>
      </c>
      <c r="E24" t="s">
        <v>564</v>
      </c>
      <c r="F24">
        <v>0.75</v>
      </c>
      <c r="G24">
        <v>78.87</v>
      </c>
      <c r="I24" t="str" cm="1">
        <f t="array" ref="I24:J24">_xlfn.TEXTSPLIT(A24," ")</f>
        <v>27.10.2023</v>
      </c>
      <c r="J24" t="str">
        <v>00:21:34</v>
      </c>
      <c r="K24">
        <f t="shared" si="8"/>
        <v>0.35</v>
      </c>
      <c r="L24">
        <f t="shared" si="1"/>
        <v>0.16999999999999993</v>
      </c>
      <c r="M24">
        <f t="shared" si="2"/>
        <v>0.3</v>
      </c>
      <c r="Q24" t="str" cm="1">
        <f t="array" ref="Q24:R24">_xlfn.TEXTSPLIT(E24," ")</f>
        <v>27.10.2023</v>
      </c>
      <c r="R24" t="str">
        <v>00:21:34</v>
      </c>
      <c r="S24">
        <f t="shared" si="9"/>
        <v>0.35</v>
      </c>
      <c r="T24">
        <f t="shared" si="0"/>
        <v>0.27000000000001023</v>
      </c>
      <c r="U24">
        <f t="shared" si="3"/>
        <v>0.75</v>
      </c>
      <c r="AC24" t="s">
        <v>565</v>
      </c>
      <c r="AD24">
        <v>0.3</v>
      </c>
      <c r="AE24">
        <v>4.68</v>
      </c>
      <c r="AG24" t="str" cm="1">
        <f t="array" ref="AG24:AH24">_xlfn.TEXTSPLIT(AC25," ")</f>
        <v>26.10.2023</v>
      </c>
      <c r="AH24" t="str">
        <v>00:22:49</v>
      </c>
      <c r="AI24">
        <f t="shared" si="10"/>
        <v>0.35</v>
      </c>
      <c r="AJ24">
        <f t="shared" si="4"/>
        <v>0.14999999999999947</v>
      </c>
      <c r="AK24">
        <f t="shared" si="5"/>
        <v>0.3</v>
      </c>
      <c r="AN24" t="s">
        <v>565</v>
      </c>
      <c r="AO24">
        <v>1.05</v>
      </c>
      <c r="AP24">
        <v>61.72</v>
      </c>
      <c r="AR24" t="str" cm="1">
        <f t="array" ref="AR24:AS24">_xlfn.TEXTSPLIT(AN24," ")</f>
        <v>26.10.2023</v>
      </c>
      <c r="AS24" t="str">
        <v>00:21:49</v>
      </c>
      <c r="AT24">
        <f t="shared" si="11"/>
        <v>0.35</v>
      </c>
      <c r="AU24">
        <f t="shared" si="6"/>
        <v>0.40999999999999659</v>
      </c>
      <c r="AV24">
        <f t="shared" si="7"/>
        <v>1.05</v>
      </c>
    </row>
    <row r="25" spans="1:48" x14ac:dyDescent="0.25">
      <c r="A25" t="s">
        <v>566</v>
      </c>
      <c r="B25">
        <v>0.3</v>
      </c>
      <c r="C25">
        <v>14.5</v>
      </c>
      <c r="E25" t="s">
        <v>566</v>
      </c>
      <c r="F25">
        <v>0.15</v>
      </c>
      <c r="G25">
        <v>78.87</v>
      </c>
      <c r="I25" t="str" cm="1">
        <f t="array" ref="I25:J25">_xlfn.TEXTSPLIT(A25," ")</f>
        <v>27.10.2023</v>
      </c>
      <c r="J25" t="str">
        <v>00:22:34</v>
      </c>
      <c r="K25">
        <f t="shared" si="8"/>
        <v>0.36666666666666664</v>
      </c>
      <c r="L25">
        <f t="shared" si="1"/>
        <v>0.17999999999999972</v>
      </c>
      <c r="M25">
        <f t="shared" si="2"/>
        <v>0.3</v>
      </c>
      <c r="Q25" t="str" cm="1">
        <f t="array" ref="Q25:R25">_xlfn.TEXTSPLIT(E25," ")</f>
        <v>27.10.2023</v>
      </c>
      <c r="R25" t="str">
        <v>00:22:34</v>
      </c>
      <c r="S25">
        <f t="shared" si="9"/>
        <v>0.36666666666666664</v>
      </c>
      <c r="T25">
        <f t="shared" si="0"/>
        <v>0.27000000000001023</v>
      </c>
      <c r="U25">
        <f t="shared" si="3"/>
        <v>0.15</v>
      </c>
      <c r="AC25" t="s">
        <v>567</v>
      </c>
      <c r="AD25">
        <v>0.15</v>
      </c>
      <c r="AE25">
        <v>4.68</v>
      </c>
      <c r="AG25" t="str" cm="1">
        <f t="array" ref="AG25:AH25">_xlfn.TEXTSPLIT(AC26," ")</f>
        <v>26.10.2023</v>
      </c>
      <c r="AH25" t="str">
        <v>00:23:49</v>
      </c>
      <c r="AI25">
        <f t="shared" si="10"/>
        <v>0.36666666666666664</v>
      </c>
      <c r="AJ25">
        <f t="shared" si="4"/>
        <v>0.14999999999999947</v>
      </c>
      <c r="AK25">
        <f t="shared" si="5"/>
        <v>0.15</v>
      </c>
      <c r="AN25" t="s">
        <v>567</v>
      </c>
      <c r="AO25">
        <v>0.9</v>
      </c>
      <c r="AP25">
        <v>61.72</v>
      </c>
      <c r="AR25" t="str" cm="1">
        <f t="array" ref="AR25:AS25">_xlfn.TEXTSPLIT(AN25," ")</f>
        <v>26.10.2023</v>
      </c>
      <c r="AS25" t="str">
        <v>00:22:49</v>
      </c>
      <c r="AT25">
        <f t="shared" si="11"/>
        <v>0.36666666666666664</v>
      </c>
      <c r="AU25">
        <f t="shared" si="6"/>
        <v>0.40999999999999659</v>
      </c>
      <c r="AV25">
        <f t="shared" si="7"/>
        <v>0.9</v>
      </c>
    </row>
    <row r="26" spans="1:48" x14ac:dyDescent="0.25">
      <c r="A26" t="s">
        <v>568</v>
      </c>
      <c r="B26">
        <v>0</v>
      </c>
      <c r="C26">
        <v>14.5</v>
      </c>
      <c r="E26" t="s">
        <v>568</v>
      </c>
      <c r="F26">
        <v>0</v>
      </c>
      <c r="G26">
        <v>78.87</v>
      </c>
      <c r="I26" t="str" cm="1">
        <f t="array" ref="I26:J26">_xlfn.TEXTSPLIT(A26," ")</f>
        <v>27.10.2023</v>
      </c>
      <c r="J26" t="str">
        <v>00:23:34</v>
      </c>
      <c r="K26">
        <f t="shared" si="8"/>
        <v>0.3833333333333333</v>
      </c>
      <c r="L26">
        <f t="shared" si="1"/>
        <v>0.17999999999999972</v>
      </c>
      <c r="M26">
        <f t="shared" si="2"/>
        <v>0</v>
      </c>
      <c r="Q26" t="str" cm="1">
        <f t="array" ref="Q26:R26">_xlfn.TEXTSPLIT(E26," ")</f>
        <v>27.10.2023</v>
      </c>
      <c r="R26" t="str">
        <v>00:23:34</v>
      </c>
      <c r="S26">
        <f t="shared" si="9"/>
        <v>0.3833333333333333</v>
      </c>
      <c r="T26">
        <f t="shared" si="0"/>
        <v>0.27000000000001023</v>
      </c>
      <c r="U26">
        <f t="shared" si="3"/>
        <v>0</v>
      </c>
      <c r="AC26" t="s">
        <v>569</v>
      </c>
      <c r="AD26">
        <v>0.15</v>
      </c>
      <c r="AE26">
        <v>4.68</v>
      </c>
      <c r="AG26" t="str" cm="1">
        <f t="array" ref="AG26:AH26">_xlfn.TEXTSPLIT(AC27," ")</f>
        <v>26.10.2023</v>
      </c>
      <c r="AH26" t="str">
        <v>00:24:49</v>
      </c>
      <c r="AI26">
        <f t="shared" si="10"/>
        <v>0.3833333333333333</v>
      </c>
      <c r="AJ26">
        <f t="shared" si="4"/>
        <v>0.14999999999999947</v>
      </c>
      <c r="AK26">
        <f t="shared" si="5"/>
        <v>0.15</v>
      </c>
      <c r="AN26" t="s">
        <v>569</v>
      </c>
      <c r="AO26">
        <v>0.45</v>
      </c>
      <c r="AP26">
        <v>61.73</v>
      </c>
      <c r="AR26" t="str" cm="1">
        <f t="array" ref="AR26:AS26">_xlfn.TEXTSPLIT(AN26," ")</f>
        <v>26.10.2023</v>
      </c>
      <c r="AS26" t="str">
        <v>00:23:49</v>
      </c>
      <c r="AT26">
        <f t="shared" si="11"/>
        <v>0.3833333333333333</v>
      </c>
      <c r="AU26">
        <f t="shared" si="6"/>
        <v>0.4199999999999946</v>
      </c>
      <c r="AV26">
        <f t="shared" si="7"/>
        <v>0.45</v>
      </c>
    </row>
    <row r="27" spans="1:48" x14ac:dyDescent="0.25">
      <c r="A27" t="s">
        <v>570</v>
      </c>
      <c r="B27">
        <v>0</v>
      </c>
      <c r="C27">
        <v>14.5</v>
      </c>
      <c r="E27" t="s">
        <v>570</v>
      </c>
      <c r="F27">
        <v>0.15</v>
      </c>
      <c r="G27">
        <v>78.87</v>
      </c>
      <c r="I27" t="str" cm="1">
        <f t="array" ref="I27:J27">_xlfn.TEXTSPLIT(A27," ")</f>
        <v>27.10.2023</v>
      </c>
      <c r="J27" t="str">
        <v>00:24:34</v>
      </c>
      <c r="K27">
        <f t="shared" si="8"/>
        <v>0.39999999999999997</v>
      </c>
      <c r="L27">
        <f t="shared" si="1"/>
        <v>0.17999999999999972</v>
      </c>
      <c r="M27">
        <f t="shared" si="2"/>
        <v>0</v>
      </c>
      <c r="Q27" t="str" cm="1">
        <f t="array" ref="Q27:R27">_xlfn.TEXTSPLIT(E27," ")</f>
        <v>27.10.2023</v>
      </c>
      <c r="R27" t="str">
        <v>00:24:34</v>
      </c>
      <c r="S27">
        <f t="shared" si="9"/>
        <v>0.39999999999999997</v>
      </c>
      <c r="T27">
        <f t="shared" si="0"/>
        <v>0.27000000000001023</v>
      </c>
      <c r="U27">
        <f t="shared" si="3"/>
        <v>0.15</v>
      </c>
      <c r="AC27" t="s">
        <v>571</v>
      </c>
      <c r="AD27">
        <v>0</v>
      </c>
      <c r="AE27">
        <v>4.68</v>
      </c>
      <c r="AG27" t="str" cm="1">
        <f t="array" ref="AG27:AH27">_xlfn.TEXTSPLIT(AC28," ")</f>
        <v>26.10.2023</v>
      </c>
      <c r="AH27" t="str">
        <v>00:25:49</v>
      </c>
      <c r="AI27">
        <f t="shared" si="10"/>
        <v>0.39999999999999997</v>
      </c>
      <c r="AJ27">
        <f t="shared" si="4"/>
        <v>0.14999999999999947</v>
      </c>
      <c r="AK27">
        <f t="shared" si="5"/>
        <v>0</v>
      </c>
      <c r="AN27" t="s">
        <v>571</v>
      </c>
      <c r="AO27">
        <v>0.3</v>
      </c>
      <c r="AP27">
        <v>61.73</v>
      </c>
      <c r="AR27" t="str" cm="1">
        <f t="array" ref="AR27:AS27">_xlfn.TEXTSPLIT(AN27," ")</f>
        <v>26.10.2023</v>
      </c>
      <c r="AS27" t="str">
        <v>00:24:49</v>
      </c>
      <c r="AT27">
        <f t="shared" si="11"/>
        <v>0.39999999999999997</v>
      </c>
      <c r="AU27">
        <f t="shared" si="6"/>
        <v>0.4199999999999946</v>
      </c>
      <c r="AV27">
        <f t="shared" si="7"/>
        <v>0.3</v>
      </c>
    </row>
    <row r="28" spans="1:48" x14ac:dyDescent="0.25">
      <c r="A28" t="s">
        <v>572</v>
      </c>
      <c r="B28">
        <v>0</v>
      </c>
      <c r="C28">
        <v>14.5</v>
      </c>
      <c r="E28" t="s">
        <v>572</v>
      </c>
      <c r="F28">
        <v>0.15</v>
      </c>
      <c r="G28">
        <v>78.87</v>
      </c>
      <c r="I28" t="str" cm="1">
        <f t="array" ref="I28:J28">_xlfn.TEXTSPLIT(A28," ")</f>
        <v>27.10.2023</v>
      </c>
      <c r="J28" t="str">
        <v>00:25:34</v>
      </c>
      <c r="K28">
        <f t="shared" si="8"/>
        <v>0.41666666666666663</v>
      </c>
      <c r="L28">
        <f t="shared" si="1"/>
        <v>0.17999999999999972</v>
      </c>
      <c r="M28">
        <f t="shared" si="2"/>
        <v>0</v>
      </c>
      <c r="Q28" t="str" cm="1">
        <f t="array" ref="Q28:R28">_xlfn.TEXTSPLIT(E28," ")</f>
        <v>27.10.2023</v>
      </c>
      <c r="R28" t="str">
        <v>00:25:34</v>
      </c>
      <c r="S28">
        <f t="shared" si="9"/>
        <v>0.41666666666666663</v>
      </c>
      <c r="T28">
        <f t="shared" si="0"/>
        <v>0.27000000000001023</v>
      </c>
      <c r="U28">
        <f t="shared" si="3"/>
        <v>0.15</v>
      </c>
      <c r="AC28" t="s">
        <v>573</v>
      </c>
      <c r="AD28">
        <v>0</v>
      </c>
      <c r="AE28">
        <v>4.68</v>
      </c>
      <c r="AG28" t="str" cm="1">
        <f t="array" ref="AG28:AH28">_xlfn.TEXTSPLIT(AC29," ")</f>
        <v>26.10.2023</v>
      </c>
      <c r="AH28" t="str">
        <v>00:26:49</v>
      </c>
      <c r="AI28">
        <f t="shared" si="10"/>
        <v>0.41666666666666663</v>
      </c>
      <c r="AJ28">
        <f t="shared" si="4"/>
        <v>0.14999999999999947</v>
      </c>
      <c r="AK28">
        <f t="shared" si="5"/>
        <v>0</v>
      </c>
      <c r="AN28" t="s">
        <v>573</v>
      </c>
      <c r="AO28">
        <v>0.15</v>
      </c>
      <c r="AP28">
        <v>61.74</v>
      </c>
      <c r="AR28" t="str" cm="1">
        <f t="array" ref="AR28:AS28">_xlfn.TEXTSPLIT(AN28," ")</f>
        <v>26.10.2023</v>
      </c>
      <c r="AS28" t="str">
        <v>00:25:49</v>
      </c>
      <c r="AT28">
        <f t="shared" si="11"/>
        <v>0.41666666666666663</v>
      </c>
      <c r="AU28">
        <f t="shared" si="6"/>
        <v>0.42999999999999972</v>
      </c>
      <c r="AV28">
        <f t="shared" si="7"/>
        <v>0.15</v>
      </c>
    </row>
    <row r="29" spans="1:48" x14ac:dyDescent="0.25">
      <c r="A29" t="s">
        <v>574</v>
      </c>
      <c r="B29">
        <v>0</v>
      </c>
      <c r="C29">
        <v>14.5</v>
      </c>
      <c r="E29" t="s">
        <v>574</v>
      </c>
      <c r="F29">
        <v>0.15</v>
      </c>
      <c r="G29">
        <v>78.87</v>
      </c>
      <c r="I29" t="str" cm="1">
        <f t="array" ref="I29:J29">_xlfn.TEXTSPLIT(A29," ")</f>
        <v>27.10.2023</v>
      </c>
      <c r="J29" t="str">
        <v>00:26:34</v>
      </c>
      <c r="K29">
        <f t="shared" si="8"/>
        <v>0.43333333333333329</v>
      </c>
      <c r="L29">
        <f t="shared" si="1"/>
        <v>0.17999999999999972</v>
      </c>
      <c r="M29">
        <f t="shared" si="2"/>
        <v>0</v>
      </c>
      <c r="Q29" t="str" cm="1">
        <f t="array" ref="Q29:R29">_xlfn.TEXTSPLIT(E29," ")</f>
        <v>27.10.2023</v>
      </c>
      <c r="R29" t="str">
        <v>00:26:34</v>
      </c>
      <c r="S29">
        <f t="shared" si="9"/>
        <v>0.43333333333333329</v>
      </c>
      <c r="T29">
        <f t="shared" si="0"/>
        <v>0.27000000000001023</v>
      </c>
      <c r="U29">
        <f t="shared" si="3"/>
        <v>0.15</v>
      </c>
      <c r="AC29" t="s">
        <v>575</v>
      </c>
      <c r="AD29">
        <v>0</v>
      </c>
      <c r="AE29">
        <v>4.68</v>
      </c>
      <c r="AG29" t="str" cm="1">
        <f t="array" ref="AG29:AH29">_xlfn.TEXTSPLIT(AC30," ")</f>
        <v>26.10.2023</v>
      </c>
      <c r="AH29" t="str">
        <v>00:27:49</v>
      </c>
      <c r="AI29">
        <f t="shared" si="10"/>
        <v>0.43333333333333329</v>
      </c>
      <c r="AJ29">
        <f t="shared" si="4"/>
        <v>0.14999999999999947</v>
      </c>
      <c r="AK29">
        <f t="shared" si="5"/>
        <v>0</v>
      </c>
      <c r="AN29" t="s">
        <v>575</v>
      </c>
      <c r="AO29">
        <v>0.3</v>
      </c>
      <c r="AP29">
        <v>61.74</v>
      </c>
      <c r="AR29" t="str" cm="1">
        <f t="array" ref="AR29:AS29">_xlfn.TEXTSPLIT(AN29," ")</f>
        <v>26.10.2023</v>
      </c>
      <c r="AS29" t="str">
        <v>00:26:49</v>
      </c>
      <c r="AT29">
        <f t="shared" si="11"/>
        <v>0.43333333333333329</v>
      </c>
      <c r="AU29">
        <f t="shared" si="6"/>
        <v>0.42999999999999972</v>
      </c>
      <c r="AV29">
        <f t="shared" si="7"/>
        <v>0.3</v>
      </c>
    </row>
    <row r="30" spans="1:48" x14ac:dyDescent="0.25">
      <c r="A30" t="s">
        <v>576</v>
      </c>
      <c r="B30">
        <v>0</v>
      </c>
      <c r="C30">
        <v>14.5</v>
      </c>
      <c r="E30" t="s">
        <v>576</v>
      </c>
      <c r="F30">
        <v>0.15</v>
      </c>
      <c r="G30">
        <v>78.88</v>
      </c>
      <c r="I30" t="str" cm="1">
        <f t="array" ref="I30:J30">_xlfn.TEXTSPLIT(A30," ")</f>
        <v>27.10.2023</v>
      </c>
      <c r="J30" t="str">
        <v>00:27:34</v>
      </c>
      <c r="K30">
        <f t="shared" si="8"/>
        <v>0.44999999999999996</v>
      </c>
      <c r="L30">
        <f t="shared" si="1"/>
        <v>0.17999999999999972</v>
      </c>
      <c r="M30">
        <f t="shared" si="2"/>
        <v>0</v>
      </c>
      <c r="Q30" t="str" cm="1">
        <f t="array" ref="Q30:R30">_xlfn.TEXTSPLIT(E30," ")</f>
        <v>27.10.2023</v>
      </c>
      <c r="R30" t="str">
        <v>00:27:34</v>
      </c>
      <c r="S30">
        <f t="shared" si="9"/>
        <v>0.44999999999999996</v>
      </c>
      <c r="T30">
        <f t="shared" si="0"/>
        <v>0.28000000000000114</v>
      </c>
      <c r="U30">
        <f t="shared" si="3"/>
        <v>0.15</v>
      </c>
      <c r="AC30" t="s">
        <v>577</v>
      </c>
      <c r="AD30">
        <v>0</v>
      </c>
      <c r="AE30">
        <v>4.68</v>
      </c>
      <c r="AG30" t="str" cm="1">
        <f t="array" ref="AG30:AH30">_xlfn.TEXTSPLIT(AC31," ")</f>
        <v>26.10.2023</v>
      </c>
      <c r="AH30" t="str">
        <v>00:28:49</v>
      </c>
      <c r="AI30">
        <f t="shared" si="10"/>
        <v>0.44999999999999996</v>
      </c>
      <c r="AJ30">
        <f t="shared" si="4"/>
        <v>0.14999999999999947</v>
      </c>
      <c r="AK30">
        <f t="shared" si="5"/>
        <v>0</v>
      </c>
      <c r="AN30" t="s">
        <v>577</v>
      </c>
      <c r="AO30">
        <v>0.3</v>
      </c>
      <c r="AP30">
        <v>61.74</v>
      </c>
      <c r="AR30" t="str" cm="1">
        <f t="array" ref="AR30:AS30">_xlfn.TEXTSPLIT(AN30," ")</f>
        <v>26.10.2023</v>
      </c>
      <c r="AS30" t="str">
        <v>00:27:49</v>
      </c>
      <c r="AT30">
        <f t="shared" si="11"/>
        <v>0.44999999999999996</v>
      </c>
      <c r="AU30">
        <f t="shared" si="6"/>
        <v>0.42999999999999972</v>
      </c>
      <c r="AV30">
        <f t="shared" si="7"/>
        <v>0.3</v>
      </c>
    </row>
    <row r="31" spans="1:48" x14ac:dyDescent="0.25">
      <c r="A31" t="s">
        <v>578</v>
      </c>
      <c r="B31">
        <v>0</v>
      </c>
      <c r="C31">
        <v>14.5</v>
      </c>
      <c r="E31" t="s">
        <v>578</v>
      </c>
      <c r="F31">
        <v>0.3</v>
      </c>
      <c r="G31">
        <v>78.88</v>
      </c>
      <c r="I31" t="str" cm="1">
        <f t="array" ref="I31:J31">_xlfn.TEXTSPLIT(A31," ")</f>
        <v>27.10.2023</v>
      </c>
      <c r="J31" t="str">
        <v>00:28:34</v>
      </c>
      <c r="K31">
        <f t="shared" si="8"/>
        <v>0.46666666666666662</v>
      </c>
      <c r="L31">
        <f t="shared" si="1"/>
        <v>0.17999999999999972</v>
      </c>
      <c r="M31">
        <f t="shared" si="2"/>
        <v>0</v>
      </c>
      <c r="Q31" t="str" cm="1">
        <f t="array" ref="Q31:R31">_xlfn.TEXTSPLIT(E31," ")</f>
        <v>27.10.2023</v>
      </c>
      <c r="R31" t="str">
        <v>00:28:34</v>
      </c>
      <c r="S31">
        <f t="shared" si="9"/>
        <v>0.46666666666666662</v>
      </c>
      <c r="T31">
        <f t="shared" si="0"/>
        <v>0.28000000000000114</v>
      </c>
      <c r="U31">
        <f t="shared" si="3"/>
        <v>0.3</v>
      </c>
      <c r="AC31" t="s">
        <v>579</v>
      </c>
      <c r="AD31">
        <v>0</v>
      </c>
      <c r="AE31">
        <v>4.68</v>
      </c>
      <c r="AG31" t="str" cm="1">
        <f t="array" ref="AG31:AH31">_xlfn.TEXTSPLIT(AC32," ")</f>
        <v>26.10.2023</v>
      </c>
      <c r="AH31" t="str">
        <v>00:29:49</v>
      </c>
      <c r="AI31">
        <f t="shared" si="10"/>
        <v>0.46666666666666662</v>
      </c>
      <c r="AJ31">
        <f t="shared" si="4"/>
        <v>0.14999999999999947</v>
      </c>
      <c r="AK31">
        <f t="shared" si="5"/>
        <v>0</v>
      </c>
      <c r="AN31" t="s">
        <v>579</v>
      </c>
      <c r="AO31">
        <v>0.3</v>
      </c>
      <c r="AP31">
        <v>61.75</v>
      </c>
      <c r="AR31" t="str" cm="1">
        <f t="array" ref="AR31:AS31">_xlfn.TEXTSPLIT(AN31," ")</f>
        <v>26.10.2023</v>
      </c>
      <c r="AS31" t="str">
        <v>00:28:49</v>
      </c>
      <c r="AT31">
        <f t="shared" si="11"/>
        <v>0.46666666666666662</v>
      </c>
      <c r="AU31">
        <f t="shared" si="6"/>
        <v>0.43999999999999773</v>
      </c>
      <c r="AV31">
        <f t="shared" si="7"/>
        <v>0.3</v>
      </c>
    </row>
    <row r="32" spans="1:48" x14ac:dyDescent="0.25">
      <c r="A32" t="s">
        <v>580</v>
      </c>
      <c r="B32">
        <v>0</v>
      </c>
      <c r="C32">
        <v>14.5</v>
      </c>
      <c r="E32" t="s">
        <v>580</v>
      </c>
      <c r="F32">
        <v>0.15</v>
      </c>
      <c r="G32">
        <v>78.89</v>
      </c>
      <c r="I32" t="str" cm="1">
        <f t="array" ref="I32:J32">_xlfn.TEXTSPLIT(A32," ")</f>
        <v>27.10.2023</v>
      </c>
      <c r="J32" t="str">
        <v>00:29:34</v>
      </c>
      <c r="K32">
        <f t="shared" si="8"/>
        <v>0.48333333333333328</v>
      </c>
      <c r="L32">
        <f t="shared" si="1"/>
        <v>0.17999999999999972</v>
      </c>
      <c r="M32">
        <f t="shared" si="2"/>
        <v>0</v>
      </c>
      <c r="Q32" t="str" cm="1">
        <f t="array" ref="Q32:R32">_xlfn.TEXTSPLIT(E32," ")</f>
        <v>27.10.2023</v>
      </c>
      <c r="R32" t="str">
        <v>00:29:34</v>
      </c>
      <c r="S32">
        <f t="shared" si="9"/>
        <v>0.48333333333333328</v>
      </c>
      <c r="T32">
        <f t="shared" si="0"/>
        <v>0.29000000000000625</v>
      </c>
      <c r="U32">
        <f t="shared" si="3"/>
        <v>0.15</v>
      </c>
      <c r="AC32" t="s">
        <v>581</v>
      </c>
      <c r="AD32">
        <v>0</v>
      </c>
      <c r="AE32">
        <v>4.68</v>
      </c>
      <c r="AG32" t="str" cm="1">
        <f t="array" ref="AG32:AH32">_xlfn.TEXTSPLIT(AC33," ")</f>
        <v>26.10.2023</v>
      </c>
      <c r="AH32" t="str">
        <v>00:30:50</v>
      </c>
      <c r="AI32">
        <f t="shared" si="10"/>
        <v>0.48333333333333328</v>
      </c>
      <c r="AJ32">
        <f t="shared" si="4"/>
        <v>0.14999999999999947</v>
      </c>
      <c r="AK32">
        <f t="shared" si="5"/>
        <v>0</v>
      </c>
      <c r="AN32" t="s">
        <v>581</v>
      </c>
      <c r="AO32">
        <v>0.3</v>
      </c>
      <c r="AP32">
        <v>61.75</v>
      </c>
      <c r="AR32" t="str" cm="1">
        <f t="array" ref="AR32:AS32">_xlfn.TEXTSPLIT(AN32," ")</f>
        <v>26.10.2023</v>
      </c>
      <c r="AS32" t="str">
        <v>00:29:49</v>
      </c>
      <c r="AT32">
        <f t="shared" si="11"/>
        <v>0.48333333333333328</v>
      </c>
      <c r="AU32">
        <f t="shared" si="6"/>
        <v>0.43999999999999773</v>
      </c>
      <c r="AV32">
        <f t="shared" si="7"/>
        <v>0.3</v>
      </c>
    </row>
    <row r="33" spans="1:48" x14ac:dyDescent="0.25">
      <c r="A33" t="s">
        <v>582</v>
      </c>
      <c r="B33">
        <v>0</v>
      </c>
      <c r="C33">
        <v>14.5</v>
      </c>
      <c r="E33" t="s">
        <v>582</v>
      </c>
      <c r="F33">
        <v>0.3</v>
      </c>
      <c r="G33">
        <v>78.89</v>
      </c>
      <c r="I33" t="str" cm="1">
        <f t="array" ref="I33:J33">_xlfn.TEXTSPLIT(A33," ")</f>
        <v>27.10.2023</v>
      </c>
      <c r="J33" t="str">
        <v>00:30:35</v>
      </c>
      <c r="K33">
        <f t="shared" si="8"/>
        <v>0.49999999999999994</v>
      </c>
      <c r="L33">
        <f t="shared" si="1"/>
        <v>0.17999999999999972</v>
      </c>
      <c r="M33">
        <f t="shared" si="2"/>
        <v>0</v>
      </c>
      <c r="Q33" t="str" cm="1">
        <f t="array" ref="Q33:R33">_xlfn.TEXTSPLIT(E33," ")</f>
        <v>27.10.2023</v>
      </c>
      <c r="R33" t="str">
        <v>00:30:35</v>
      </c>
      <c r="S33">
        <f t="shared" si="9"/>
        <v>0.49999999999999994</v>
      </c>
      <c r="T33">
        <f t="shared" si="0"/>
        <v>0.29000000000000625</v>
      </c>
      <c r="U33">
        <f t="shared" si="3"/>
        <v>0.3</v>
      </c>
      <c r="AC33" t="s">
        <v>583</v>
      </c>
      <c r="AD33">
        <v>0</v>
      </c>
      <c r="AE33">
        <v>4.68</v>
      </c>
      <c r="AG33" t="str" cm="1">
        <f t="array" ref="AG33:AH33">_xlfn.TEXTSPLIT(AC34," ")</f>
        <v>26.10.2023</v>
      </c>
      <c r="AH33" t="str">
        <v>00:31:50</v>
      </c>
      <c r="AI33">
        <f t="shared" si="10"/>
        <v>0.49999999999999994</v>
      </c>
      <c r="AJ33">
        <f t="shared" si="4"/>
        <v>0.14999999999999947</v>
      </c>
      <c r="AK33">
        <f t="shared" si="5"/>
        <v>0</v>
      </c>
      <c r="AN33" t="s">
        <v>583</v>
      </c>
      <c r="AO33">
        <v>0.15</v>
      </c>
      <c r="AP33">
        <v>61.76</v>
      </c>
      <c r="AR33" t="str" cm="1">
        <f t="array" ref="AR33:AS33">_xlfn.TEXTSPLIT(AN33," ")</f>
        <v>26.10.2023</v>
      </c>
      <c r="AS33" t="str">
        <v>00:30:50</v>
      </c>
      <c r="AT33">
        <f t="shared" si="11"/>
        <v>0.49999999999999994</v>
      </c>
      <c r="AU33">
        <f t="shared" si="6"/>
        <v>0.44999999999999574</v>
      </c>
      <c r="AV33">
        <f t="shared" si="7"/>
        <v>0.15</v>
      </c>
    </row>
    <row r="34" spans="1:48" x14ac:dyDescent="0.25">
      <c r="A34" t="s">
        <v>584</v>
      </c>
      <c r="B34">
        <v>0</v>
      </c>
      <c r="C34">
        <v>14.5</v>
      </c>
      <c r="E34" t="s">
        <v>584</v>
      </c>
      <c r="F34">
        <v>0.3</v>
      </c>
      <c r="G34">
        <v>78.900000000000006</v>
      </c>
      <c r="I34" t="str" cm="1">
        <f t="array" ref="I34:J34">_xlfn.TEXTSPLIT(A34," ")</f>
        <v>27.10.2023</v>
      </c>
      <c r="J34" t="str">
        <v>00:31:35</v>
      </c>
      <c r="K34">
        <f t="shared" si="8"/>
        <v>0.51666666666666661</v>
      </c>
      <c r="L34">
        <f t="shared" si="1"/>
        <v>0.17999999999999972</v>
      </c>
      <c r="M34">
        <f t="shared" si="2"/>
        <v>0</v>
      </c>
      <c r="Q34" t="str" cm="1">
        <f t="array" ref="Q34:R34">_xlfn.TEXTSPLIT(E34," ")</f>
        <v>27.10.2023</v>
      </c>
      <c r="R34" t="str">
        <v>00:31:35</v>
      </c>
      <c r="S34">
        <f t="shared" si="9"/>
        <v>0.51666666666666661</v>
      </c>
      <c r="T34">
        <f t="shared" si="0"/>
        <v>0.30000000000001137</v>
      </c>
      <c r="U34">
        <f t="shared" si="3"/>
        <v>0.3</v>
      </c>
      <c r="AC34" t="s">
        <v>585</v>
      </c>
      <c r="AD34">
        <v>0</v>
      </c>
      <c r="AE34">
        <v>4.68</v>
      </c>
      <c r="AG34" t="str" cm="1">
        <f t="array" ref="AG34:AH34">_xlfn.TEXTSPLIT(AC35," ")</f>
        <v>26.10.2023</v>
      </c>
      <c r="AH34" t="str">
        <v>00:32:50</v>
      </c>
      <c r="AI34">
        <f t="shared" si="10"/>
        <v>0.51666666666666661</v>
      </c>
      <c r="AJ34">
        <f t="shared" si="4"/>
        <v>0.14999999999999947</v>
      </c>
      <c r="AK34">
        <f t="shared" si="5"/>
        <v>0</v>
      </c>
      <c r="AN34" t="s">
        <v>585</v>
      </c>
      <c r="AO34">
        <v>0.3</v>
      </c>
      <c r="AP34">
        <v>61.76</v>
      </c>
      <c r="AR34" t="str" cm="1">
        <f t="array" ref="AR34:AS34">_xlfn.TEXTSPLIT(AN34," ")</f>
        <v>26.10.2023</v>
      </c>
      <c r="AS34" t="str">
        <v>00:31:50</v>
      </c>
      <c r="AT34">
        <f t="shared" si="11"/>
        <v>0.51666666666666661</v>
      </c>
      <c r="AU34">
        <f t="shared" si="6"/>
        <v>0.44999999999999574</v>
      </c>
      <c r="AV34">
        <f t="shared" si="7"/>
        <v>0.3</v>
      </c>
    </row>
    <row r="35" spans="1:48" x14ac:dyDescent="0.25">
      <c r="A35" t="s">
        <v>586</v>
      </c>
      <c r="B35">
        <v>0</v>
      </c>
      <c r="C35">
        <v>14.5</v>
      </c>
      <c r="E35" t="s">
        <v>586</v>
      </c>
      <c r="F35">
        <v>0.3</v>
      </c>
      <c r="G35">
        <v>78.900000000000006</v>
      </c>
      <c r="I35" t="str" cm="1">
        <f t="array" ref="I35:J35">_xlfn.TEXTSPLIT(A35," ")</f>
        <v>27.10.2023</v>
      </c>
      <c r="J35" t="str">
        <v>00:32:35</v>
      </c>
      <c r="K35">
        <f t="shared" si="8"/>
        <v>0.53333333333333333</v>
      </c>
      <c r="L35">
        <f t="shared" si="1"/>
        <v>0.17999999999999972</v>
      </c>
      <c r="M35">
        <f t="shared" si="2"/>
        <v>0</v>
      </c>
      <c r="Q35" t="str" cm="1">
        <f t="array" ref="Q35:R35">_xlfn.TEXTSPLIT(E35," ")</f>
        <v>27.10.2023</v>
      </c>
      <c r="R35" t="str">
        <v>00:32:35</v>
      </c>
      <c r="S35">
        <f t="shared" si="9"/>
        <v>0.53333333333333333</v>
      </c>
      <c r="T35">
        <f t="shared" si="0"/>
        <v>0.30000000000001137</v>
      </c>
      <c r="U35">
        <f t="shared" si="3"/>
        <v>0.3</v>
      </c>
      <c r="AC35" t="s">
        <v>587</v>
      </c>
      <c r="AD35">
        <v>0</v>
      </c>
      <c r="AE35">
        <v>4.68</v>
      </c>
      <c r="AG35" t="str" cm="1">
        <f t="array" ref="AG35:AH35">_xlfn.TEXTSPLIT(AC36," ")</f>
        <v>26.10.2023</v>
      </c>
      <c r="AH35" t="str">
        <v>00:33:50</v>
      </c>
      <c r="AI35">
        <f t="shared" si="10"/>
        <v>0.53333333333333333</v>
      </c>
      <c r="AJ35">
        <f t="shared" si="4"/>
        <v>0.14999999999999947</v>
      </c>
      <c r="AK35">
        <f t="shared" si="5"/>
        <v>0</v>
      </c>
      <c r="AN35" t="s">
        <v>587</v>
      </c>
      <c r="AO35">
        <v>0.3</v>
      </c>
      <c r="AP35">
        <v>61.77</v>
      </c>
      <c r="AR35" t="str" cm="1">
        <f t="array" ref="AR35:AS35">_xlfn.TEXTSPLIT(AN35," ")</f>
        <v>26.10.2023</v>
      </c>
      <c r="AS35" t="str">
        <v>00:32:50</v>
      </c>
      <c r="AT35">
        <f t="shared" si="11"/>
        <v>0.53333333333333333</v>
      </c>
      <c r="AU35">
        <f t="shared" si="6"/>
        <v>0.46000000000000085</v>
      </c>
      <c r="AV35">
        <f t="shared" si="7"/>
        <v>0.3</v>
      </c>
    </row>
    <row r="36" spans="1:48" x14ac:dyDescent="0.25">
      <c r="A36" t="s">
        <v>588</v>
      </c>
      <c r="B36">
        <v>0</v>
      </c>
      <c r="C36">
        <v>14.5</v>
      </c>
      <c r="E36" t="s">
        <v>588</v>
      </c>
      <c r="F36">
        <v>0.3</v>
      </c>
      <c r="G36">
        <v>78.91</v>
      </c>
      <c r="I36" t="str" cm="1">
        <f t="array" ref="I36:J36">_xlfn.TEXTSPLIT(A36," ")</f>
        <v>27.10.2023</v>
      </c>
      <c r="J36" t="str">
        <v>00:33:35</v>
      </c>
      <c r="K36">
        <f t="shared" si="8"/>
        <v>0.55000000000000004</v>
      </c>
      <c r="L36">
        <f t="shared" si="1"/>
        <v>0.17999999999999972</v>
      </c>
      <c r="M36">
        <f t="shared" si="2"/>
        <v>0</v>
      </c>
      <c r="Q36" t="str" cm="1">
        <f t="array" ref="Q36:R36">_xlfn.TEXTSPLIT(E36," ")</f>
        <v>27.10.2023</v>
      </c>
      <c r="R36" t="str">
        <v>00:33:35</v>
      </c>
      <c r="S36">
        <f t="shared" si="9"/>
        <v>0.55000000000000004</v>
      </c>
      <c r="T36">
        <f t="shared" si="0"/>
        <v>0.31000000000000227</v>
      </c>
      <c r="U36">
        <f t="shared" si="3"/>
        <v>0.3</v>
      </c>
      <c r="AC36" t="s">
        <v>589</v>
      </c>
      <c r="AD36">
        <v>0</v>
      </c>
      <c r="AE36">
        <v>4.68</v>
      </c>
      <c r="AG36" t="str" cm="1">
        <f t="array" ref="AG36:AH36">_xlfn.TEXTSPLIT(AC37," ")</f>
        <v>26.10.2023</v>
      </c>
      <c r="AH36" t="str">
        <v>00:34:50</v>
      </c>
      <c r="AI36">
        <f t="shared" si="10"/>
        <v>0.55000000000000004</v>
      </c>
      <c r="AJ36">
        <f t="shared" si="4"/>
        <v>0.14999999999999947</v>
      </c>
      <c r="AK36">
        <f t="shared" si="5"/>
        <v>0</v>
      </c>
      <c r="AN36" t="s">
        <v>589</v>
      </c>
      <c r="AO36">
        <v>0.45</v>
      </c>
      <c r="AP36">
        <v>61.77</v>
      </c>
      <c r="AR36" t="str" cm="1">
        <f t="array" ref="AR36:AS36">_xlfn.TEXTSPLIT(AN36," ")</f>
        <v>26.10.2023</v>
      </c>
      <c r="AS36" t="str">
        <v>00:33:50</v>
      </c>
      <c r="AT36">
        <f t="shared" si="11"/>
        <v>0.55000000000000004</v>
      </c>
      <c r="AU36">
        <f t="shared" si="6"/>
        <v>0.46000000000000085</v>
      </c>
      <c r="AV36">
        <f t="shared" si="7"/>
        <v>0.45</v>
      </c>
    </row>
    <row r="37" spans="1:48" x14ac:dyDescent="0.25">
      <c r="A37" t="s">
        <v>590</v>
      </c>
      <c r="B37">
        <v>0</v>
      </c>
      <c r="C37">
        <v>14.5</v>
      </c>
      <c r="E37" t="s">
        <v>590</v>
      </c>
      <c r="F37">
        <v>0.45</v>
      </c>
      <c r="G37">
        <v>78.92</v>
      </c>
      <c r="I37" t="str" cm="1">
        <f t="array" ref="I37:J37">_xlfn.TEXTSPLIT(A37," ")</f>
        <v>27.10.2023</v>
      </c>
      <c r="J37" t="str">
        <v>00:34:35</v>
      </c>
      <c r="K37">
        <f t="shared" si="8"/>
        <v>0.56666666666666676</v>
      </c>
      <c r="L37">
        <f t="shared" si="1"/>
        <v>0.17999999999999972</v>
      </c>
      <c r="M37">
        <f t="shared" si="2"/>
        <v>0</v>
      </c>
      <c r="Q37" t="str" cm="1">
        <f t="array" ref="Q37:R37">_xlfn.TEXTSPLIT(E37," ")</f>
        <v>27.10.2023</v>
      </c>
      <c r="R37" t="str">
        <v>00:34:35</v>
      </c>
      <c r="S37">
        <f t="shared" si="9"/>
        <v>0.56666666666666676</v>
      </c>
      <c r="T37">
        <f t="shared" si="0"/>
        <v>0.32000000000000739</v>
      </c>
      <c r="U37">
        <f t="shared" si="3"/>
        <v>0.45</v>
      </c>
      <c r="AC37" t="s">
        <v>591</v>
      </c>
      <c r="AD37">
        <v>0</v>
      </c>
      <c r="AE37">
        <v>4.68</v>
      </c>
      <c r="AG37" t="str" cm="1">
        <f t="array" ref="AG37:AH37">_xlfn.TEXTSPLIT(AC38," ")</f>
        <v>26.10.2023</v>
      </c>
      <c r="AH37" t="str">
        <v>00:35:50</v>
      </c>
      <c r="AI37">
        <f t="shared" si="10"/>
        <v>0.56666666666666676</v>
      </c>
      <c r="AJ37">
        <f t="shared" si="4"/>
        <v>0.14999999999999947</v>
      </c>
      <c r="AK37">
        <f t="shared" si="5"/>
        <v>0</v>
      </c>
      <c r="AN37" t="s">
        <v>591</v>
      </c>
      <c r="AO37">
        <v>0.15</v>
      </c>
      <c r="AP37">
        <v>61.78</v>
      </c>
      <c r="AR37" t="str" cm="1">
        <f t="array" ref="AR37:AS37">_xlfn.TEXTSPLIT(AN37," ")</f>
        <v>26.10.2023</v>
      </c>
      <c r="AS37" t="str">
        <v>00:34:50</v>
      </c>
      <c r="AT37">
        <f t="shared" si="11"/>
        <v>0.56666666666666676</v>
      </c>
      <c r="AU37">
        <f t="shared" si="6"/>
        <v>0.46999999999999886</v>
      </c>
      <c r="AV37">
        <f t="shared" si="7"/>
        <v>0.15</v>
      </c>
    </row>
    <row r="38" spans="1:48" x14ac:dyDescent="0.25">
      <c r="A38" t="s">
        <v>592</v>
      </c>
      <c r="B38">
        <v>0</v>
      </c>
      <c r="C38">
        <v>14.5</v>
      </c>
      <c r="E38" t="s">
        <v>592</v>
      </c>
      <c r="F38">
        <v>0.3</v>
      </c>
      <c r="G38">
        <v>78.92</v>
      </c>
      <c r="I38" t="str" cm="1">
        <f t="array" ref="I38:J38">_xlfn.TEXTSPLIT(A38," ")</f>
        <v>27.10.2023</v>
      </c>
      <c r="J38" t="str">
        <v>00:35:35</v>
      </c>
      <c r="K38">
        <f t="shared" si="8"/>
        <v>0.58333333333333348</v>
      </c>
      <c r="L38">
        <f t="shared" si="1"/>
        <v>0.17999999999999972</v>
      </c>
      <c r="M38">
        <f t="shared" si="2"/>
        <v>0</v>
      </c>
      <c r="Q38" t="str" cm="1">
        <f t="array" ref="Q38:R38">_xlfn.TEXTSPLIT(E38," ")</f>
        <v>27.10.2023</v>
      </c>
      <c r="R38" t="str">
        <v>00:35:35</v>
      </c>
      <c r="S38">
        <f t="shared" si="9"/>
        <v>0.58333333333333348</v>
      </c>
      <c r="T38">
        <f t="shared" si="0"/>
        <v>0.32000000000000739</v>
      </c>
      <c r="U38">
        <f t="shared" si="3"/>
        <v>0.3</v>
      </c>
      <c r="AC38" t="s">
        <v>593</v>
      </c>
      <c r="AD38">
        <v>0</v>
      </c>
      <c r="AE38">
        <v>4.68</v>
      </c>
      <c r="AG38" t="str" cm="1">
        <f t="array" ref="AG38:AH38">_xlfn.TEXTSPLIT(AC39," ")</f>
        <v>26.10.2023</v>
      </c>
      <c r="AH38" t="str">
        <v>00:36:50</v>
      </c>
      <c r="AI38">
        <f t="shared" si="10"/>
        <v>0.58333333333333348</v>
      </c>
      <c r="AJ38">
        <f t="shared" si="4"/>
        <v>0.14999999999999947</v>
      </c>
      <c r="AK38">
        <f t="shared" si="5"/>
        <v>0</v>
      </c>
      <c r="AN38" t="s">
        <v>593</v>
      </c>
      <c r="AO38">
        <v>0.45</v>
      </c>
      <c r="AP38">
        <v>61.79</v>
      </c>
      <c r="AR38" t="str" cm="1">
        <f t="array" ref="AR38:AS38">_xlfn.TEXTSPLIT(AN38," ")</f>
        <v>26.10.2023</v>
      </c>
      <c r="AS38" t="str">
        <v>00:35:50</v>
      </c>
      <c r="AT38">
        <f t="shared" si="11"/>
        <v>0.58333333333333348</v>
      </c>
      <c r="AU38">
        <f t="shared" si="6"/>
        <v>0.47999999999999687</v>
      </c>
      <c r="AV38">
        <f t="shared" si="7"/>
        <v>0.45</v>
      </c>
    </row>
    <row r="39" spans="1:48" x14ac:dyDescent="0.25">
      <c r="A39" t="s">
        <v>594</v>
      </c>
      <c r="B39">
        <v>0.15</v>
      </c>
      <c r="C39">
        <v>14.5</v>
      </c>
      <c r="E39" t="s">
        <v>594</v>
      </c>
      <c r="F39">
        <v>0.3</v>
      </c>
      <c r="G39">
        <v>78.930000000000007</v>
      </c>
      <c r="I39" t="str" cm="1">
        <f t="array" ref="I39:J39">_xlfn.TEXTSPLIT(A39," ")</f>
        <v>27.10.2023</v>
      </c>
      <c r="J39" t="str">
        <v>00:36:35</v>
      </c>
      <c r="K39">
        <f t="shared" si="8"/>
        <v>0.6000000000000002</v>
      </c>
      <c r="L39">
        <f t="shared" si="1"/>
        <v>0.17999999999999972</v>
      </c>
      <c r="M39">
        <f t="shared" si="2"/>
        <v>0.15</v>
      </c>
      <c r="Q39" t="str" cm="1">
        <f t="array" ref="Q39:R39">_xlfn.TEXTSPLIT(E39," ")</f>
        <v>27.10.2023</v>
      </c>
      <c r="R39" t="str">
        <v>00:36:35</v>
      </c>
      <c r="S39">
        <f t="shared" si="9"/>
        <v>0.6000000000000002</v>
      </c>
      <c r="T39">
        <f t="shared" si="0"/>
        <v>0.33000000000001251</v>
      </c>
      <c r="U39">
        <f t="shared" si="3"/>
        <v>0.3</v>
      </c>
      <c r="AC39" t="s">
        <v>595</v>
      </c>
      <c r="AD39">
        <v>0</v>
      </c>
      <c r="AE39">
        <v>4.68</v>
      </c>
      <c r="AG39" t="str" cm="1">
        <f t="array" ref="AG39:AH39">_xlfn.TEXTSPLIT(AC40," ")</f>
        <v>26.10.2023</v>
      </c>
      <c r="AH39" t="str">
        <v>00:37:50</v>
      </c>
      <c r="AI39">
        <f t="shared" si="10"/>
        <v>0.6000000000000002</v>
      </c>
      <c r="AJ39">
        <f t="shared" si="4"/>
        <v>0.14999999999999947</v>
      </c>
      <c r="AK39">
        <f t="shared" si="5"/>
        <v>0</v>
      </c>
      <c r="AN39" t="s">
        <v>595</v>
      </c>
      <c r="AO39">
        <v>0.6</v>
      </c>
      <c r="AP39">
        <v>61.8</v>
      </c>
      <c r="AR39" t="str" cm="1">
        <f t="array" ref="AR39:AS39">_xlfn.TEXTSPLIT(AN39," ")</f>
        <v>26.10.2023</v>
      </c>
      <c r="AS39" t="str">
        <v>00:36:50</v>
      </c>
      <c r="AT39">
        <f t="shared" si="11"/>
        <v>0.6000000000000002</v>
      </c>
      <c r="AU39">
        <f t="shared" si="6"/>
        <v>0.48999999999999488</v>
      </c>
      <c r="AV39">
        <f t="shared" si="7"/>
        <v>0.6</v>
      </c>
    </row>
    <row r="40" spans="1:48" x14ac:dyDescent="0.25">
      <c r="A40" t="s">
        <v>596</v>
      </c>
      <c r="B40">
        <v>0.15</v>
      </c>
      <c r="C40">
        <v>14.5</v>
      </c>
      <c r="E40" t="s">
        <v>596</v>
      </c>
      <c r="F40">
        <v>1.05</v>
      </c>
      <c r="G40">
        <v>78.959999999999994</v>
      </c>
      <c r="I40" t="str" cm="1">
        <f t="array" ref="I40:J40">_xlfn.TEXTSPLIT(A40," ")</f>
        <v>27.10.2023</v>
      </c>
      <c r="J40" t="str">
        <v>00:37:35</v>
      </c>
      <c r="K40">
        <f t="shared" si="8"/>
        <v>0.61666666666666692</v>
      </c>
      <c r="L40">
        <f t="shared" si="1"/>
        <v>0.17999999999999972</v>
      </c>
      <c r="M40">
        <f t="shared" si="2"/>
        <v>0.15</v>
      </c>
      <c r="Q40" t="str" cm="1">
        <f t="array" ref="Q40:R40">_xlfn.TEXTSPLIT(E40," ")</f>
        <v>27.10.2023</v>
      </c>
      <c r="R40" t="str">
        <v>00:37:35</v>
      </c>
      <c r="S40">
        <f t="shared" si="9"/>
        <v>0.61666666666666692</v>
      </c>
      <c r="T40">
        <f t="shared" si="0"/>
        <v>0.35999999999999943</v>
      </c>
      <c r="U40">
        <f t="shared" si="3"/>
        <v>1.05</v>
      </c>
      <c r="AC40" t="s">
        <v>597</v>
      </c>
      <c r="AD40">
        <v>0</v>
      </c>
      <c r="AE40">
        <v>4.68</v>
      </c>
      <c r="AG40" t="str" cm="1">
        <f t="array" ref="AG40:AH40">_xlfn.TEXTSPLIT(AC41," ")</f>
        <v>26.10.2023</v>
      </c>
      <c r="AH40" t="str">
        <v>00:38:50</v>
      </c>
      <c r="AI40">
        <f t="shared" si="10"/>
        <v>0.61666666666666692</v>
      </c>
      <c r="AJ40">
        <f t="shared" si="4"/>
        <v>0.14999999999999947</v>
      </c>
      <c r="AK40">
        <f t="shared" si="5"/>
        <v>0</v>
      </c>
      <c r="AN40" t="s">
        <v>597</v>
      </c>
      <c r="AO40">
        <v>1.05</v>
      </c>
      <c r="AP40">
        <v>61.84</v>
      </c>
      <c r="AR40" t="str" cm="1">
        <f t="array" ref="AR40:AS40">_xlfn.TEXTSPLIT(AN40," ")</f>
        <v>26.10.2023</v>
      </c>
      <c r="AS40" t="str">
        <v>00:37:50</v>
      </c>
      <c r="AT40">
        <f t="shared" si="11"/>
        <v>0.61666666666666692</v>
      </c>
      <c r="AU40">
        <f t="shared" si="6"/>
        <v>0.53000000000000114</v>
      </c>
      <c r="AV40">
        <f t="shared" si="7"/>
        <v>1.05</v>
      </c>
    </row>
    <row r="41" spans="1:48" x14ac:dyDescent="0.25">
      <c r="A41" t="s">
        <v>598</v>
      </c>
      <c r="B41">
        <v>0.9</v>
      </c>
      <c r="C41">
        <v>14.53</v>
      </c>
      <c r="E41" t="s">
        <v>598</v>
      </c>
      <c r="F41">
        <v>1.95</v>
      </c>
      <c r="G41">
        <v>79</v>
      </c>
      <c r="I41" t="str" cm="1">
        <f t="array" ref="I41:J41">_xlfn.TEXTSPLIT(A41," ")</f>
        <v>27.10.2023</v>
      </c>
      <c r="J41" t="str">
        <v>00:38:36</v>
      </c>
      <c r="K41">
        <f t="shared" si="8"/>
        <v>0.63333333333333364</v>
      </c>
      <c r="L41">
        <f t="shared" si="1"/>
        <v>0.20999999999999908</v>
      </c>
      <c r="M41">
        <f t="shared" si="2"/>
        <v>0.9</v>
      </c>
      <c r="Q41" t="str" cm="1">
        <f t="array" ref="Q41:R41">_xlfn.TEXTSPLIT(E41," ")</f>
        <v>27.10.2023</v>
      </c>
      <c r="R41" t="str">
        <v>00:38:36</v>
      </c>
      <c r="S41">
        <f t="shared" si="9"/>
        <v>0.63333333333333364</v>
      </c>
      <c r="T41">
        <f t="shared" si="0"/>
        <v>0.40000000000000568</v>
      </c>
      <c r="U41">
        <f t="shared" si="3"/>
        <v>1.95</v>
      </c>
      <c r="AC41" t="s">
        <v>599</v>
      </c>
      <c r="AD41">
        <v>0</v>
      </c>
      <c r="AE41">
        <v>4.68</v>
      </c>
      <c r="AG41" t="str" cm="1">
        <f t="array" ref="AG41:AH41">_xlfn.TEXTSPLIT(AC42," ")</f>
        <v>26.10.2023</v>
      </c>
      <c r="AH41" t="str">
        <v>00:39:50</v>
      </c>
      <c r="AI41">
        <f t="shared" si="10"/>
        <v>0.63333333333333364</v>
      </c>
      <c r="AJ41">
        <f t="shared" si="4"/>
        <v>0.14999999999999947</v>
      </c>
      <c r="AK41">
        <f t="shared" si="5"/>
        <v>0</v>
      </c>
      <c r="AN41" t="s">
        <v>599</v>
      </c>
      <c r="AO41">
        <v>2.4</v>
      </c>
      <c r="AP41">
        <v>61.88</v>
      </c>
      <c r="AR41" t="str" cm="1">
        <f t="array" ref="AR41:AS41">_xlfn.TEXTSPLIT(AN41," ")</f>
        <v>26.10.2023</v>
      </c>
      <c r="AS41" t="str">
        <v>00:38:50</v>
      </c>
      <c r="AT41">
        <f t="shared" si="11"/>
        <v>0.63333333333333364</v>
      </c>
      <c r="AU41">
        <f t="shared" si="6"/>
        <v>0.57000000000000028</v>
      </c>
      <c r="AV41">
        <f t="shared" si="7"/>
        <v>2.4</v>
      </c>
    </row>
    <row r="42" spans="1:48" x14ac:dyDescent="0.25">
      <c r="A42" t="s">
        <v>600</v>
      </c>
      <c r="B42">
        <v>1.95</v>
      </c>
      <c r="C42">
        <v>14.57</v>
      </c>
      <c r="E42" t="s">
        <v>600</v>
      </c>
      <c r="F42">
        <v>2.25</v>
      </c>
      <c r="G42">
        <v>79.03</v>
      </c>
      <c r="I42" t="str" cm="1">
        <f t="array" ref="I42:J42">_xlfn.TEXTSPLIT(A42," ")</f>
        <v>27.10.2023</v>
      </c>
      <c r="J42" t="str">
        <v>00:39:36</v>
      </c>
      <c r="K42">
        <f t="shared" si="8"/>
        <v>0.65000000000000036</v>
      </c>
      <c r="L42">
        <f t="shared" si="1"/>
        <v>0.25</v>
      </c>
      <c r="M42">
        <f t="shared" si="2"/>
        <v>1.95</v>
      </c>
      <c r="Q42" t="str" cm="1">
        <f t="array" ref="Q42:R42">_xlfn.TEXTSPLIT(E42," ")</f>
        <v>27.10.2023</v>
      </c>
      <c r="R42" t="str">
        <v>00:39:36</v>
      </c>
      <c r="S42">
        <f t="shared" si="9"/>
        <v>0.65000000000000036</v>
      </c>
      <c r="T42">
        <f t="shared" si="0"/>
        <v>0.43000000000000682</v>
      </c>
      <c r="U42">
        <f t="shared" si="3"/>
        <v>2.25</v>
      </c>
      <c r="AC42" t="s">
        <v>601</v>
      </c>
      <c r="AD42">
        <v>0</v>
      </c>
      <c r="AE42">
        <v>4.7</v>
      </c>
      <c r="AG42" t="str" cm="1">
        <f t="array" ref="AG42:AH42">_xlfn.TEXTSPLIT(AC43," ")</f>
        <v>26.10.2023</v>
      </c>
      <c r="AH42" t="str">
        <v>00:40:51</v>
      </c>
      <c r="AI42">
        <f t="shared" si="10"/>
        <v>0.65000000000000036</v>
      </c>
      <c r="AJ42">
        <f t="shared" si="4"/>
        <v>0.16999999999999993</v>
      </c>
      <c r="AK42">
        <f t="shared" si="5"/>
        <v>0</v>
      </c>
      <c r="AN42" t="s">
        <v>601</v>
      </c>
      <c r="AO42">
        <v>1.8</v>
      </c>
      <c r="AP42">
        <v>61.91</v>
      </c>
      <c r="AR42" t="str" cm="1">
        <f t="array" ref="AR42:AS42">_xlfn.TEXTSPLIT(AN42," ")</f>
        <v>26.10.2023</v>
      </c>
      <c r="AS42" t="str">
        <v>00:39:50</v>
      </c>
      <c r="AT42">
        <f t="shared" si="11"/>
        <v>0.65000000000000036</v>
      </c>
      <c r="AU42">
        <f t="shared" si="6"/>
        <v>0.59999999999999432</v>
      </c>
      <c r="AV42">
        <f t="shared" si="7"/>
        <v>1.8</v>
      </c>
    </row>
    <row r="43" spans="1:48" x14ac:dyDescent="0.25">
      <c r="A43" t="s">
        <v>602</v>
      </c>
      <c r="B43">
        <v>1.65</v>
      </c>
      <c r="C43">
        <v>14.59</v>
      </c>
      <c r="E43" t="s">
        <v>602</v>
      </c>
      <c r="F43">
        <v>1.2</v>
      </c>
      <c r="G43">
        <v>79.05</v>
      </c>
      <c r="I43" t="str" cm="1">
        <f t="array" ref="I43:J43">_xlfn.TEXTSPLIT(A43," ")</f>
        <v>27.10.2023</v>
      </c>
      <c r="J43" t="str">
        <v>00:40:36</v>
      </c>
      <c r="K43">
        <f t="shared" si="8"/>
        <v>0.66666666666666707</v>
      </c>
      <c r="L43">
        <f t="shared" si="1"/>
        <v>0.26999999999999957</v>
      </c>
      <c r="M43">
        <f t="shared" si="2"/>
        <v>1.65</v>
      </c>
      <c r="Q43" t="str" cm="1">
        <f t="array" ref="Q43:R43">_xlfn.TEXTSPLIT(E43," ")</f>
        <v>27.10.2023</v>
      </c>
      <c r="R43" t="str">
        <v>00:40:36</v>
      </c>
      <c r="S43">
        <f t="shared" si="9"/>
        <v>0.66666666666666707</v>
      </c>
      <c r="T43">
        <f t="shared" si="0"/>
        <v>0.45000000000000284</v>
      </c>
      <c r="U43">
        <f t="shared" si="3"/>
        <v>1.2</v>
      </c>
      <c r="AC43" t="s">
        <v>603</v>
      </c>
      <c r="AD43">
        <v>1.2</v>
      </c>
      <c r="AE43">
        <v>4.72</v>
      </c>
      <c r="AG43" t="str" cm="1">
        <f t="array" ref="AG43:AH43">_xlfn.TEXTSPLIT(AC44," ")</f>
        <v>26.10.2023</v>
      </c>
      <c r="AH43" t="str">
        <v>00:41:51</v>
      </c>
      <c r="AI43">
        <f t="shared" si="10"/>
        <v>0.66666666666666707</v>
      </c>
      <c r="AJ43">
        <f t="shared" si="4"/>
        <v>0.1899999999999995</v>
      </c>
      <c r="AK43">
        <f t="shared" si="5"/>
        <v>1.2</v>
      </c>
      <c r="AN43" t="s">
        <v>603</v>
      </c>
      <c r="AO43">
        <v>1.8</v>
      </c>
      <c r="AP43">
        <v>61.94</v>
      </c>
      <c r="AR43" t="str" cm="1">
        <f t="array" ref="AR43:AS43">_xlfn.TEXTSPLIT(AN43," ")</f>
        <v>26.10.2023</v>
      </c>
      <c r="AS43" t="str">
        <v>00:40:51</v>
      </c>
      <c r="AT43">
        <f t="shared" si="11"/>
        <v>0.66666666666666707</v>
      </c>
      <c r="AU43">
        <f t="shared" si="6"/>
        <v>0.62999999999999545</v>
      </c>
      <c r="AV43">
        <f t="shared" si="7"/>
        <v>1.8</v>
      </c>
    </row>
    <row r="44" spans="1:48" x14ac:dyDescent="0.25">
      <c r="A44" t="s">
        <v>604</v>
      </c>
      <c r="B44">
        <v>1.5</v>
      </c>
      <c r="C44">
        <v>14.61</v>
      </c>
      <c r="E44" t="s">
        <v>604</v>
      </c>
      <c r="F44">
        <v>1.05</v>
      </c>
      <c r="G44">
        <v>79.06</v>
      </c>
      <c r="I44" t="str" cm="1">
        <f t="array" ref="I44:J44">_xlfn.TEXTSPLIT(A44," ")</f>
        <v>27.10.2023</v>
      </c>
      <c r="J44" t="str">
        <v>00:41:36</v>
      </c>
      <c r="K44">
        <f t="shared" si="8"/>
        <v>0.68333333333333379</v>
      </c>
      <c r="L44">
        <f t="shared" si="1"/>
        <v>0.28999999999999915</v>
      </c>
      <c r="M44">
        <f t="shared" si="2"/>
        <v>1.5</v>
      </c>
      <c r="Q44" t="str" cm="1">
        <f t="array" ref="Q44:R44">_xlfn.TEXTSPLIT(E44," ")</f>
        <v>27.10.2023</v>
      </c>
      <c r="R44" t="str">
        <v>00:41:36</v>
      </c>
      <c r="S44">
        <f t="shared" si="9"/>
        <v>0.68333333333333379</v>
      </c>
      <c r="T44">
        <f t="shared" si="0"/>
        <v>0.46000000000000796</v>
      </c>
      <c r="U44">
        <f t="shared" si="3"/>
        <v>1.05</v>
      </c>
      <c r="AC44" t="s">
        <v>605</v>
      </c>
      <c r="AD44">
        <v>1.05</v>
      </c>
      <c r="AE44">
        <v>4.74</v>
      </c>
      <c r="AG44" t="str" cm="1">
        <f t="array" ref="AG44:AH44">_xlfn.TEXTSPLIT(AC45," ")</f>
        <v>26.10.2023</v>
      </c>
      <c r="AH44" t="str">
        <v>00:42:51</v>
      </c>
      <c r="AI44">
        <f t="shared" si="10"/>
        <v>0.68333333333333379</v>
      </c>
      <c r="AJ44">
        <f t="shared" si="4"/>
        <v>0.20999999999999996</v>
      </c>
      <c r="AK44">
        <f t="shared" si="5"/>
        <v>1.05</v>
      </c>
      <c r="AN44" t="s">
        <v>605</v>
      </c>
      <c r="AO44">
        <v>1.5</v>
      </c>
      <c r="AP44">
        <v>61.96</v>
      </c>
      <c r="AR44" t="str" cm="1">
        <f t="array" ref="AR44:AS44">_xlfn.TEXTSPLIT(AN44," ")</f>
        <v>26.10.2023</v>
      </c>
      <c r="AS44" t="str">
        <v>00:41:51</v>
      </c>
      <c r="AT44">
        <f t="shared" si="11"/>
        <v>0.68333333333333379</v>
      </c>
      <c r="AU44">
        <f t="shared" si="6"/>
        <v>0.64999999999999858</v>
      </c>
      <c r="AV44">
        <f t="shared" si="7"/>
        <v>1.5</v>
      </c>
    </row>
    <row r="45" spans="1:48" x14ac:dyDescent="0.25">
      <c r="A45" t="s">
        <v>606</v>
      </c>
      <c r="B45">
        <v>0.6</v>
      </c>
      <c r="C45">
        <v>14.62</v>
      </c>
      <c r="E45" t="s">
        <v>606</v>
      </c>
      <c r="F45">
        <v>0.75</v>
      </c>
      <c r="G45">
        <v>79.069999999999993</v>
      </c>
      <c r="I45" t="str" cm="1">
        <f t="array" ref="I45:J45">_xlfn.TEXTSPLIT(A45," ")</f>
        <v>27.10.2023</v>
      </c>
      <c r="J45" t="str">
        <v>00:42:36</v>
      </c>
      <c r="K45">
        <f t="shared" si="8"/>
        <v>0.70000000000000051</v>
      </c>
      <c r="L45">
        <f t="shared" si="1"/>
        <v>0.29999999999999893</v>
      </c>
      <c r="M45">
        <f t="shared" si="2"/>
        <v>0.6</v>
      </c>
      <c r="Q45" t="str" cm="1">
        <f t="array" ref="Q45:R45">_xlfn.TEXTSPLIT(E45," ")</f>
        <v>27.10.2023</v>
      </c>
      <c r="R45" t="str">
        <v>00:42:36</v>
      </c>
      <c r="S45">
        <f t="shared" si="9"/>
        <v>0.70000000000000051</v>
      </c>
      <c r="T45">
        <f t="shared" si="0"/>
        <v>0.46999999999999886</v>
      </c>
      <c r="U45">
        <f t="shared" si="3"/>
        <v>0.75</v>
      </c>
      <c r="AC45" t="s">
        <v>607</v>
      </c>
      <c r="AD45">
        <v>0.75</v>
      </c>
      <c r="AE45">
        <v>4.75</v>
      </c>
      <c r="AG45" t="str" cm="1">
        <f t="array" ref="AG45:AH45">_xlfn.TEXTSPLIT(AC46," ")</f>
        <v>26.10.2023</v>
      </c>
      <c r="AH45" t="str">
        <v>00:43:51</v>
      </c>
      <c r="AI45">
        <f t="shared" si="10"/>
        <v>0.70000000000000051</v>
      </c>
      <c r="AJ45">
        <f t="shared" si="4"/>
        <v>0.21999999999999975</v>
      </c>
      <c r="AK45">
        <f t="shared" si="5"/>
        <v>0.75</v>
      </c>
      <c r="AN45" t="s">
        <v>607</v>
      </c>
      <c r="AO45">
        <v>1.35</v>
      </c>
      <c r="AP45">
        <v>61.98</v>
      </c>
      <c r="AR45" t="str" cm="1">
        <f t="array" ref="AR45:AS45">_xlfn.TEXTSPLIT(AN45," ")</f>
        <v>26.10.2023</v>
      </c>
      <c r="AS45" t="str">
        <v>00:42:51</v>
      </c>
      <c r="AT45">
        <f t="shared" si="11"/>
        <v>0.70000000000000051</v>
      </c>
      <c r="AU45">
        <f t="shared" si="6"/>
        <v>0.6699999999999946</v>
      </c>
      <c r="AV45">
        <f t="shared" si="7"/>
        <v>1.35</v>
      </c>
    </row>
    <row r="46" spans="1:48" x14ac:dyDescent="0.25">
      <c r="A46" t="s">
        <v>608</v>
      </c>
      <c r="B46">
        <v>0.75</v>
      </c>
      <c r="C46">
        <v>14.63</v>
      </c>
      <c r="E46" t="s">
        <v>608</v>
      </c>
      <c r="F46">
        <v>0.75</v>
      </c>
      <c r="G46">
        <v>79.08</v>
      </c>
      <c r="I46" t="str" cm="1">
        <f t="array" ref="I46:J46">_xlfn.TEXTSPLIT(A46," ")</f>
        <v>27.10.2023</v>
      </c>
      <c r="J46" t="str">
        <v>00:43:36</v>
      </c>
      <c r="K46">
        <f t="shared" si="8"/>
        <v>0.71666666666666723</v>
      </c>
      <c r="L46">
        <f t="shared" si="1"/>
        <v>0.3100000000000005</v>
      </c>
      <c r="M46">
        <f t="shared" si="2"/>
        <v>0.75</v>
      </c>
      <c r="Q46" t="str" cm="1">
        <f t="array" ref="Q46:R46">_xlfn.TEXTSPLIT(E46," ")</f>
        <v>27.10.2023</v>
      </c>
      <c r="R46" t="str">
        <v>00:43:36</v>
      </c>
      <c r="S46">
        <f t="shared" si="9"/>
        <v>0.71666666666666723</v>
      </c>
      <c r="T46">
        <f t="shared" si="0"/>
        <v>0.48000000000000398</v>
      </c>
      <c r="U46">
        <f t="shared" si="3"/>
        <v>0.75</v>
      </c>
      <c r="AC46" t="s">
        <v>609</v>
      </c>
      <c r="AD46">
        <v>0.6</v>
      </c>
      <c r="AE46">
        <v>4.76</v>
      </c>
      <c r="AG46" t="str" cm="1">
        <f t="array" ref="AG46:AH46">_xlfn.TEXTSPLIT(AC47," ")</f>
        <v>26.10.2023</v>
      </c>
      <c r="AH46" t="str">
        <v>00:44:51</v>
      </c>
      <c r="AI46">
        <f t="shared" si="10"/>
        <v>0.71666666666666723</v>
      </c>
      <c r="AJ46">
        <f t="shared" si="4"/>
        <v>0.22999999999999954</v>
      </c>
      <c r="AK46">
        <f t="shared" si="5"/>
        <v>0.6</v>
      </c>
      <c r="AN46" t="s">
        <v>609</v>
      </c>
      <c r="AO46">
        <v>1.05</v>
      </c>
      <c r="AP46">
        <v>61.99</v>
      </c>
      <c r="AR46" t="str" cm="1">
        <f t="array" ref="AR46:AS46">_xlfn.TEXTSPLIT(AN46," ")</f>
        <v>26.10.2023</v>
      </c>
      <c r="AS46" t="str">
        <v>00:43:51</v>
      </c>
      <c r="AT46">
        <f t="shared" si="11"/>
        <v>0.71666666666666723</v>
      </c>
      <c r="AU46">
        <f t="shared" si="6"/>
        <v>0.67999999999999972</v>
      </c>
      <c r="AV46">
        <f t="shared" si="7"/>
        <v>1.05</v>
      </c>
    </row>
    <row r="47" spans="1:48" x14ac:dyDescent="0.25">
      <c r="A47" t="s">
        <v>610</v>
      </c>
      <c r="B47">
        <v>0.3</v>
      </c>
      <c r="C47">
        <v>14.64</v>
      </c>
      <c r="E47" t="s">
        <v>610</v>
      </c>
      <c r="F47">
        <v>0.6</v>
      </c>
      <c r="G47">
        <v>79.099999999999994</v>
      </c>
      <c r="I47" t="str" cm="1">
        <f t="array" ref="I47:J47">_xlfn.TEXTSPLIT(A47," ")</f>
        <v>27.10.2023</v>
      </c>
      <c r="J47" t="str">
        <v>00:44:36</v>
      </c>
      <c r="K47">
        <f t="shared" si="8"/>
        <v>0.73333333333333395</v>
      </c>
      <c r="L47">
        <f t="shared" si="1"/>
        <v>0.32000000000000028</v>
      </c>
      <c r="M47">
        <f t="shared" si="2"/>
        <v>0.3</v>
      </c>
      <c r="Q47" t="str" cm="1">
        <f t="array" ref="Q47:R47">_xlfn.TEXTSPLIT(E47," ")</f>
        <v>27.10.2023</v>
      </c>
      <c r="R47" t="str">
        <v>00:44:36</v>
      </c>
      <c r="S47">
        <f t="shared" si="9"/>
        <v>0.73333333333333395</v>
      </c>
      <c r="T47">
        <f t="shared" si="0"/>
        <v>0.5</v>
      </c>
      <c r="U47">
        <f t="shared" si="3"/>
        <v>0.6</v>
      </c>
      <c r="AC47" t="s">
        <v>611</v>
      </c>
      <c r="AD47">
        <v>0.6</v>
      </c>
      <c r="AE47">
        <v>4.76</v>
      </c>
      <c r="AG47" t="str" cm="1">
        <f t="array" ref="AG47:AH47">_xlfn.TEXTSPLIT(AC48," ")</f>
        <v>26.10.2023</v>
      </c>
      <c r="AH47" t="str">
        <v>00:45:51</v>
      </c>
      <c r="AI47">
        <f t="shared" si="10"/>
        <v>0.73333333333333395</v>
      </c>
      <c r="AJ47">
        <f t="shared" si="4"/>
        <v>0.22999999999999954</v>
      </c>
      <c r="AK47">
        <f t="shared" si="5"/>
        <v>0.6</v>
      </c>
      <c r="AN47" t="s">
        <v>611</v>
      </c>
      <c r="AO47">
        <v>0.75</v>
      </c>
      <c r="AP47">
        <v>62.01</v>
      </c>
      <c r="AR47" t="str" cm="1">
        <f t="array" ref="AR47:AS47">_xlfn.TEXTSPLIT(AN47," ")</f>
        <v>26.10.2023</v>
      </c>
      <c r="AS47" t="str">
        <v>00:44:51</v>
      </c>
      <c r="AT47">
        <f t="shared" si="11"/>
        <v>0.73333333333333395</v>
      </c>
      <c r="AU47">
        <f t="shared" si="6"/>
        <v>0.69999999999999574</v>
      </c>
      <c r="AV47">
        <f t="shared" si="7"/>
        <v>0.75</v>
      </c>
    </row>
    <row r="48" spans="1:48" x14ac:dyDescent="0.25">
      <c r="A48" t="s">
        <v>612</v>
      </c>
      <c r="B48">
        <v>0.6</v>
      </c>
      <c r="C48">
        <v>14.64</v>
      </c>
      <c r="E48" t="s">
        <v>612</v>
      </c>
      <c r="F48">
        <v>0.75</v>
      </c>
      <c r="G48">
        <v>79.099999999999994</v>
      </c>
      <c r="I48" t="str" cm="1">
        <f t="array" ref="I48:J48">_xlfn.TEXTSPLIT(A48," ")</f>
        <v>27.10.2023</v>
      </c>
      <c r="J48" t="str">
        <v>00:45:36</v>
      </c>
      <c r="K48">
        <f t="shared" si="8"/>
        <v>0.75000000000000067</v>
      </c>
      <c r="L48">
        <f t="shared" si="1"/>
        <v>0.32000000000000028</v>
      </c>
      <c r="M48">
        <f t="shared" si="2"/>
        <v>0.6</v>
      </c>
      <c r="Q48" t="str" cm="1">
        <f t="array" ref="Q48:R48">_xlfn.TEXTSPLIT(E48," ")</f>
        <v>27.10.2023</v>
      </c>
      <c r="R48" t="str">
        <v>00:45:36</v>
      </c>
      <c r="S48">
        <f t="shared" si="9"/>
        <v>0.75000000000000067</v>
      </c>
      <c r="T48">
        <f t="shared" si="0"/>
        <v>0.5</v>
      </c>
      <c r="U48">
        <f t="shared" si="3"/>
        <v>0.75</v>
      </c>
      <c r="AC48" t="s">
        <v>613</v>
      </c>
      <c r="AD48">
        <v>0.3</v>
      </c>
      <c r="AE48">
        <v>4.7699999999999996</v>
      </c>
      <c r="AG48" t="str" cm="1">
        <f t="array" ref="AG48:AH48">_xlfn.TEXTSPLIT(AC49," ")</f>
        <v>26.10.2023</v>
      </c>
      <c r="AH48" t="str">
        <v>00:46:51</v>
      </c>
      <c r="AI48">
        <f t="shared" si="10"/>
        <v>0.75000000000000067</v>
      </c>
      <c r="AJ48">
        <f t="shared" si="4"/>
        <v>0.23999999999999932</v>
      </c>
      <c r="AK48">
        <f t="shared" si="5"/>
        <v>0.3</v>
      </c>
      <c r="AN48" t="s">
        <v>613</v>
      </c>
      <c r="AO48">
        <v>0.6</v>
      </c>
      <c r="AP48">
        <v>62.02</v>
      </c>
      <c r="AR48" t="str" cm="1">
        <f t="array" ref="AR48:AS48">_xlfn.TEXTSPLIT(AN48," ")</f>
        <v>26.10.2023</v>
      </c>
      <c r="AS48" t="str">
        <v>00:45:51</v>
      </c>
      <c r="AT48">
        <f t="shared" si="11"/>
        <v>0.75000000000000067</v>
      </c>
      <c r="AU48">
        <f t="shared" si="6"/>
        <v>0.71000000000000085</v>
      </c>
      <c r="AV48">
        <f t="shared" si="7"/>
        <v>0.6</v>
      </c>
    </row>
    <row r="49" spans="1:49" x14ac:dyDescent="0.25">
      <c r="A49" t="s">
        <v>614</v>
      </c>
      <c r="B49">
        <v>0.15</v>
      </c>
      <c r="C49">
        <v>14.65</v>
      </c>
      <c r="E49" t="s">
        <v>614</v>
      </c>
      <c r="F49">
        <v>0.45</v>
      </c>
      <c r="G49">
        <v>79.12</v>
      </c>
      <c r="I49" t="str" cm="1">
        <f t="array" ref="I49:J49">_xlfn.TEXTSPLIT(A49," ")</f>
        <v>27.10.2023</v>
      </c>
      <c r="J49" t="str">
        <v>00:46:36</v>
      </c>
      <c r="K49">
        <f t="shared" si="8"/>
        <v>0.76666666666666738</v>
      </c>
      <c r="L49">
        <f t="shared" si="1"/>
        <v>0.33000000000000007</v>
      </c>
      <c r="M49">
        <f t="shared" si="2"/>
        <v>0.15</v>
      </c>
      <c r="Q49" t="str" cm="1">
        <f t="array" ref="Q49:R49">_xlfn.TEXTSPLIT(E49," ")</f>
        <v>27.10.2023</v>
      </c>
      <c r="R49" t="str">
        <v>00:46:36</v>
      </c>
      <c r="S49">
        <f t="shared" si="9"/>
        <v>0.76666666666666738</v>
      </c>
      <c r="T49">
        <f t="shared" si="0"/>
        <v>0.52000000000001023</v>
      </c>
      <c r="U49">
        <f t="shared" si="3"/>
        <v>0.45</v>
      </c>
      <c r="AC49" t="s">
        <v>615</v>
      </c>
      <c r="AD49">
        <v>0.45</v>
      </c>
      <c r="AE49">
        <v>4.78</v>
      </c>
      <c r="AG49" t="str" cm="1">
        <f t="array" ref="AG49:AH49">_xlfn.TEXTSPLIT(AC50," ")</f>
        <v>26.10.2023</v>
      </c>
      <c r="AH49" t="str">
        <v>00:47:51</v>
      </c>
      <c r="AI49">
        <f t="shared" si="10"/>
        <v>0.76666666666666738</v>
      </c>
      <c r="AJ49">
        <f t="shared" si="4"/>
        <v>0.25</v>
      </c>
      <c r="AK49">
        <f t="shared" si="5"/>
        <v>0.45</v>
      </c>
      <c r="AN49" t="s">
        <v>615</v>
      </c>
      <c r="AO49">
        <v>0.6</v>
      </c>
      <c r="AP49">
        <v>62.03</v>
      </c>
      <c r="AR49" t="str" cm="1">
        <f t="array" ref="AR49:AS49">_xlfn.TEXTSPLIT(AN49," ")</f>
        <v>26.10.2023</v>
      </c>
      <c r="AS49" t="str">
        <v>00:46:51</v>
      </c>
      <c r="AT49">
        <f t="shared" si="11"/>
        <v>0.76666666666666738</v>
      </c>
      <c r="AU49">
        <f t="shared" si="6"/>
        <v>0.71999999999999886</v>
      </c>
      <c r="AV49">
        <f t="shared" si="7"/>
        <v>0.6</v>
      </c>
    </row>
    <row r="50" spans="1:49" x14ac:dyDescent="0.25">
      <c r="A50" t="s">
        <v>616</v>
      </c>
      <c r="B50">
        <v>0.45</v>
      </c>
      <c r="C50">
        <v>14.66</v>
      </c>
      <c r="E50" t="s">
        <v>616</v>
      </c>
      <c r="F50">
        <v>0.75</v>
      </c>
      <c r="G50">
        <v>79.13</v>
      </c>
      <c r="I50" t="str" cm="1">
        <f t="array" ref="I50:J50">_xlfn.TEXTSPLIT(A50," ")</f>
        <v>27.10.2023</v>
      </c>
      <c r="J50" t="str">
        <v>00:47:37</v>
      </c>
      <c r="K50">
        <f t="shared" si="8"/>
        <v>0.7833333333333341</v>
      </c>
      <c r="L50">
        <f t="shared" si="1"/>
        <v>0.33999999999999986</v>
      </c>
      <c r="M50">
        <f t="shared" si="2"/>
        <v>0.45</v>
      </c>
      <c r="Q50" t="str" cm="1">
        <f t="array" ref="Q50:R50">_xlfn.TEXTSPLIT(E50," ")</f>
        <v>27.10.2023</v>
      </c>
      <c r="R50" t="str">
        <v>00:47:37</v>
      </c>
      <c r="S50">
        <f t="shared" si="9"/>
        <v>0.7833333333333341</v>
      </c>
      <c r="T50">
        <f t="shared" si="0"/>
        <v>0.53000000000000114</v>
      </c>
      <c r="U50">
        <f t="shared" si="3"/>
        <v>0.75</v>
      </c>
      <c r="AC50" t="s">
        <v>617</v>
      </c>
      <c r="AD50">
        <v>0.3</v>
      </c>
      <c r="AE50">
        <v>4.78</v>
      </c>
      <c r="AG50" t="str" cm="1">
        <f t="array" ref="AG50:AH50">_xlfn.TEXTSPLIT(AC51," ")</f>
        <v>26.10.2023</v>
      </c>
      <c r="AH50" t="str">
        <v>00:48:51</v>
      </c>
      <c r="AI50">
        <f t="shared" si="10"/>
        <v>0.7833333333333341</v>
      </c>
      <c r="AJ50">
        <f t="shared" si="4"/>
        <v>0.25</v>
      </c>
      <c r="AK50">
        <f t="shared" si="5"/>
        <v>0.3</v>
      </c>
      <c r="AN50" t="s">
        <v>617</v>
      </c>
      <c r="AO50">
        <v>0.45</v>
      </c>
      <c r="AP50">
        <v>62.04</v>
      </c>
      <c r="AR50" t="str" cm="1">
        <f t="array" ref="AR50:AS50">_xlfn.TEXTSPLIT(AN50," ")</f>
        <v>26.10.2023</v>
      </c>
      <c r="AS50" t="str">
        <v>00:47:51</v>
      </c>
      <c r="AT50">
        <f t="shared" si="11"/>
        <v>0.7833333333333341</v>
      </c>
      <c r="AU50">
        <f t="shared" si="6"/>
        <v>0.72999999999999687</v>
      </c>
      <c r="AV50">
        <f t="shared" si="7"/>
        <v>0.45</v>
      </c>
    </row>
    <row r="51" spans="1:49" x14ac:dyDescent="0.25">
      <c r="A51" t="s">
        <v>618</v>
      </c>
      <c r="B51">
        <v>0.45</v>
      </c>
      <c r="C51">
        <v>14.66</v>
      </c>
      <c r="E51" t="s">
        <v>618</v>
      </c>
      <c r="F51">
        <v>0.75</v>
      </c>
      <c r="G51">
        <v>79.14</v>
      </c>
      <c r="I51" t="str" cm="1">
        <f t="array" ref="I51:J51">_xlfn.TEXTSPLIT(A51," ")</f>
        <v>27.10.2023</v>
      </c>
      <c r="J51" t="str">
        <v>00:48:37</v>
      </c>
      <c r="K51">
        <f t="shared" si="8"/>
        <v>0.80000000000000082</v>
      </c>
      <c r="L51">
        <f t="shared" si="1"/>
        <v>0.33999999999999986</v>
      </c>
      <c r="M51">
        <f t="shared" si="2"/>
        <v>0.45</v>
      </c>
      <c r="Q51" t="str" cm="1">
        <f t="array" ref="Q51:R51">_xlfn.TEXTSPLIT(E51," ")</f>
        <v>27.10.2023</v>
      </c>
      <c r="R51" t="str">
        <v>00:48:37</v>
      </c>
      <c r="S51">
        <f t="shared" si="9"/>
        <v>0.80000000000000082</v>
      </c>
      <c r="T51">
        <f t="shared" si="0"/>
        <v>0.54000000000000625</v>
      </c>
      <c r="U51">
        <f t="shared" si="3"/>
        <v>0.75</v>
      </c>
      <c r="AC51" t="s">
        <v>619</v>
      </c>
      <c r="AD51">
        <v>0</v>
      </c>
      <c r="AE51">
        <v>4.78</v>
      </c>
      <c r="AG51" t="str" cm="1">
        <f t="array" ref="AG51:AH51">_xlfn.TEXTSPLIT(AC52," ")</f>
        <v>26.10.2023</v>
      </c>
      <c r="AH51" t="str">
        <v>00:49:51</v>
      </c>
      <c r="AI51">
        <f t="shared" si="10"/>
        <v>0.80000000000000082</v>
      </c>
      <c r="AJ51">
        <f t="shared" si="4"/>
        <v>0.25</v>
      </c>
      <c r="AK51">
        <f t="shared" si="5"/>
        <v>0</v>
      </c>
      <c r="AN51" t="s">
        <v>619</v>
      </c>
      <c r="AO51">
        <v>0.75</v>
      </c>
      <c r="AP51">
        <v>62.05</v>
      </c>
      <c r="AR51" t="str" cm="1">
        <f t="array" ref="AR51:AS51">_xlfn.TEXTSPLIT(AN51," ")</f>
        <v>26.10.2023</v>
      </c>
      <c r="AS51" t="str">
        <v>00:48:51</v>
      </c>
      <c r="AT51">
        <f t="shared" si="11"/>
        <v>0.80000000000000082</v>
      </c>
      <c r="AU51">
        <f t="shared" si="6"/>
        <v>0.73999999999999488</v>
      </c>
      <c r="AV51">
        <f t="shared" si="7"/>
        <v>0.75</v>
      </c>
    </row>
    <row r="52" spans="1:49" x14ac:dyDescent="0.25">
      <c r="A52" t="s">
        <v>620</v>
      </c>
      <c r="B52">
        <v>0.3</v>
      </c>
      <c r="C52">
        <v>14.67</v>
      </c>
      <c r="E52" t="s">
        <v>620</v>
      </c>
      <c r="F52">
        <v>0.75</v>
      </c>
      <c r="G52">
        <v>79.150000000000006</v>
      </c>
      <c r="I52" t="str" cm="1">
        <f t="array" ref="I52:J52">_xlfn.TEXTSPLIT(A52," ")</f>
        <v>27.10.2023</v>
      </c>
      <c r="J52" t="str">
        <v>00:49:37</v>
      </c>
      <c r="K52">
        <f t="shared" si="8"/>
        <v>0.81666666666666754</v>
      </c>
      <c r="L52">
        <f t="shared" si="1"/>
        <v>0.34999999999999964</v>
      </c>
      <c r="M52">
        <f t="shared" si="2"/>
        <v>0.3</v>
      </c>
      <c r="Q52" t="str" cm="1">
        <f t="array" ref="Q52:R52">_xlfn.TEXTSPLIT(E52," ")</f>
        <v>27.10.2023</v>
      </c>
      <c r="R52" t="str">
        <v>00:49:37</v>
      </c>
      <c r="S52">
        <f t="shared" si="9"/>
        <v>0.81666666666666754</v>
      </c>
      <c r="T52">
        <f t="shared" si="0"/>
        <v>0.55000000000001137</v>
      </c>
      <c r="U52">
        <f t="shared" si="3"/>
        <v>0.75</v>
      </c>
      <c r="AC52" t="s">
        <v>621</v>
      </c>
      <c r="AD52">
        <v>0.3</v>
      </c>
      <c r="AE52">
        <v>4.79</v>
      </c>
      <c r="AG52" t="str" cm="1">
        <f t="array" ref="AG52:AH52">_xlfn.TEXTSPLIT(AC53," ")</f>
        <v>26.10.2023</v>
      </c>
      <c r="AH52" t="str">
        <v>00:50:52</v>
      </c>
      <c r="AI52">
        <f t="shared" si="10"/>
        <v>0.81666666666666754</v>
      </c>
      <c r="AJ52">
        <f t="shared" si="4"/>
        <v>0.25999999999999979</v>
      </c>
      <c r="AK52">
        <f t="shared" si="5"/>
        <v>0.3</v>
      </c>
      <c r="AN52" t="s">
        <v>621</v>
      </c>
      <c r="AO52">
        <v>0.75</v>
      </c>
      <c r="AP52">
        <v>62.07</v>
      </c>
      <c r="AR52" t="str" cm="1">
        <f t="array" ref="AR52:AS52">_xlfn.TEXTSPLIT(AN52," ")</f>
        <v>26.10.2023</v>
      </c>
      <c r="AS52" t="str">
        <v>00:49:51</v>
      </c>
      <c r="AT52">
        <f t="shared" si="11"/>
        <v>0.81666666666666754</v>
      </c>
      <c r="AU52">
        <f t="shared" si="6"/>
        <v>0.75999999999999801</v>
      </c>
      <c r="AV52">
        <f t="shared" si="7"/>
        <v>0.75</v>
      </c>
    </row>
    <row r="53" spans="1:49" x14ac:dyDescent="0.25">
      <c r="A53" t="s">
        <v>622</v>
      </c>
      <c r="B53">
        <v>0.3</v>
      </c>
      <c r="C53">
        <v>14.67</v>
      </c>
      <c r="E53" t="s">
        <v>622</v>
      </c>
      <c r="F53">
        <v>0.45</v>
      </c>
      <c r="G53">
        <v>79.16</v>
      </c>
      <c r="I53" t="str" cm="1">
        <f t="array" ref="I53:J53">_xlfn.TEXTSPLIT(A53," ")</f>
        <v>27.10.2023</v>
      </c>
      <c r="J53" t="str">
        <v>00:50:37</v>
      </c>
      <c r="K53">
        <f t="shared" si="8"/>
        <v>0.83333333333333426</v>
      </c>
      <c r="L53">
        <f t="shared" si="1"/>
        <v>0.34999999999999964</v>
      </c>
      <c r="M53">
        <f t="shared" si="2"/>
        <v>0.3</v>
      </c>
      <c r="Q53" t="str" cm="1">
        <f t="array" ref="Q53:R53">_xlfn.TEXTSPLIT(E53," ")</f>
        <v>27.10.2023</v>
      </c>
      <c r="R53" t="str">
        <v>00:50:37</v>
      </c>
      <c r="S53">
        <f t="shared" si="9"/>
        <v>0.83333333333333426</v>
      </c>
      <c r="T53">
        <f t="shared" si="0"/>
        <v>0.56000000000000227</v>
      </c>
      <c r="U53">
        <f t="shared" si="3"/>
        <v>0.45</v>
      </c>
      <c r="AC53" t="s">
        <v>623</v>
      </c>
      <c r="AD53">
        <v>0.3</v>
      </c>
      <c r="AE53">
        <v>4.79</v>
      </c>
      <c r="AG53" t="str" cm="1">
        <f t="array" ref="AG53:AH53">_xlfn.TEXTSPLIT(AC54," ")</f>
        <v>26.10.2023</v>
      </c>
      <c r="AH53" t="str">
        <v>00:51:52</v>
      </c>
      <c r="AI53">
        <f t="shared" si="10"/>
        <v>0.83333333333333426</v>
      </c>
      <c r="AJ53">
        <f t="shared" si="4"/>
        <v>0.25999999999999979</v>
      </c>
      <c r="AK53">
        <f t="shared" si="5"/>
        <v>0.3</v>
      </c>
      <c r="AN53" t="s">
        <v>623</v>
      </c>
      <c r="AO53">
        <v>1.35</v>
      </c>
      <c r="AP53">
        <v>62.08</v>
      </c>
      <c r="AR53" t="str" cm="1">
        <f t="array" ref="AR53:AS53">_xlfn.TEXTSPLIT(AN53," ")</f>
        <v>26.10.2023</v>
      </c>
      <c r="AS53" t="str">
        <v>00:50:52</v>
      </c>
      <c r="AT53">
        <f t="shared" si="11"/>
        <v>0.83333333333333426</v>
      </c>
      <c r="AU53">
        <f t="shared" si="6"/>
        <v>0.76999999999999602</v>
      </c>
      <c r="AV53">
        <f t="shared" si="7"/>
        <v>1.35</v>
      </c>
    </row>
    <row r="54" spans="1:49" x14ac:dyDescent="0.25">
      <c r="A54" t="s">
        <v>624</v>
      </c>
      <c r="B54">
        <v>0.3</v>
      </c>
      <c r="C54">
        <v>14.68</v>
      </c>
      <c r="E54" t="s">
        <v>624</v>
      </c>
      <c r="F54">
        <v>0.3</v>
      </c>
      <c r="G54">
        <v>79.16</v>
      </c>
      <c r="I54" t="str" cm="1">
        <f t="array" ref="I54:J54">_xlfn.TEXTSPLIT(A54," ")</f>
        <v>27.10.2023</v>
      </c>
      <c r="J54" t="str">
        <v>00:51:37</v>
      </c>
      <c r="K54">
        <f t="shared" si="8"/>
        <v>0.85000000000000098</v>
      </c>
      <c r="L54">
        <f t="shared" si="1"/>
        <v>0.35999999999999943</v>
      </c>
      <c r="M54">
        <f t="shared" si="2"/>
        <v>0.3</v>
      </c>
      <c r="Q54" t="str" cm="1">
        <f t="array" ref="Q54:R54">_xlfn.TEXTSPLIT(E54," ")</f>
        <v>27.10.2023</v>
      </c>
      <c r="R54" t="str">
        <v>00:51:37</v>
      </c>
      <c r="S54">
        <f t="shared" si="9"/>
        <v>0.85000000000000098</v>
      </c>
      <c r="T54">
        <f t="shared" si="0"/>
        <v>0.56000000000000227</v>
      </c>
      <c r="U54">
        <f t="shared" si="3"/>
        <v>0.3</v>
      </c>
      <c r="AC54" t="s">
        <v>625</v>
      </c>
      <c r="AD54">
        <v>0</v>
      </c>
      <c r="AE54">
        <v>4.79</v>
      </c>
      <c r="AG54" t="str" cm="1">
        <f t="array" ref="AG54:AH54">_xlfn.TEXTSPLIT(AC55," ")</f>
        <v>26.10.2023</v>
      </c>
      <c r="AH54" t="str">
        <v>00:52:52</v>
      </c>
      <c r="AI54">
        <f t="shared" si="10"/>
        <v>0.85000000000000098</v>
      </c>
      <c r="AJ54">
        <f t="shared" si="4"/>
        <v>0.25999999999999979</v>
      </c>
      <c r="AK54">
        <f t="shared" si="5"/>
        <v>0</v>
      </c>
      <c r="AN54" t="s">
        <v>625</v>
      </c>
      <c r="AO54">
        <v>0.9</v>
      </c>
      <c r="AP54">
        <v>62.1</v>
      </c>
      <c r="AR54" t="str" cm="1">
        <f t="array" ref="AR54:AS54">_xlfn.TEXTSPLIT(AN54," ")</f>
        <v>26.10.2023</v>
      </c>
      <c r="AS54" t="str">
        <v>00:51:52</v>
      </c>
      <c r="AT54">
        <f t="shared" si="11"/>
        <v>0.85000000000000098</v>
      </c>
      <c r="AU54">
        <f t="shared" si="6"/>
        <v>0.78999999999999915</v>
      </c>
      <c r="AV54">
        <f t="shared" si="7"/>
        <v>0.9</v>
      </c>
    </row>
    <row r="55" spans="1:49" x14ac:dyDescent="0.25">
      <c r="A55" t="s">
        <v>626</v>
      </c>
      <c r="B55">
        <v>0.15</v>
      </c>
      <c r="C55">
        <v>14.68</v>
      </c>
      <c r="E55" t="s">
        <v>626</v>
      </c>
      <c r="F55">
        <v>0.15</v>
      </c>
      <c r="G55">
        <v>79.16</v>
      </c>
      <c r="I55" t="str" cm="1">
        <f t="array" ref="I55:J55">_xlfn.TEXTSPLIT(A55," ")</f>
        <v>27.10.2023</v>
      </c>
      <c r="J55" t="str">
        <v>00:52:37</v>
      </c>
      <c r="K55">
        <f t="shared" si="8"/>
        <v>0.8666666666666677</v>
      </c>
      <c r="L55">
        <f t="shared" si="1"/>
        <v>0.35999999999999943</v>
      </c>
      <c r="M55">
        <f t="shared" si="2"/>
        <v>0.15</v>
      </c>
      <c r="Q55" t="str" cm="1">
        <f t="array" ref="Q55:R55">_xlfn.TEXTSPLIT(E55," ")</f>
        <v>27.10.2023</v>
      </c>
      <c r="R55" t="str">
        <v>00:52:37</v>
      </c>
      <c r="S55">
        <f t="shared" si="9"/>
        <v>0.8666666666666677</v>
      </c>
      <c r="T55">
        <f t="shared" si="0"/>
        <v>0.56000000000000227</v>
      </c>
      <c r="U55">
        <f t="shared" si="3"/>
        <v>0.15</v>
      </c>
      <c r="AC55" t="s">
        <v>627</v>
      </c>
      <c r="AD55">
        <v>0.15</v>
      </c>
      <c r="AE55">
        <v>4.79</v>
      </c>
      <c r="AG55" t="str" cm="1">
        <f t="array" ref="AG55:AH55">_xlfn.TEXTSPLIT(AC56," ")</f>
        <v>26.10.2023</v>
      </c>
      <c r="AH55" t="str">
        <v>00:53:52</v>
      </c>
      <c r="AI55">
        <f t="shared" si="10"/>
        <v>0.8666666666666677</v>
      </c>
      <c r="AJ55">
        <f t="shared" si="4"/>
        <v>0.25999999999999979</v>
      </c>
      <c r="AK55">
        <f t="shared" si="5"/>
        <v>0.15</v>
      </c>
      <c r="AN55" t="s">
        <v>627</v>
      </c>
      <c r="AO55">
        <v>0.9</v>
      </c>
      <c r="AP55">
        <v>62.1</v>
      </c>
      <c r="AR55" t="str" cm="1">
        <f t="array" ref="AR55:AS55">_xlfn.TEXTSPLIT(AN55," ")</f>
        <v>26.10.2023</v>
      </c>
      <c r="AS55" t="str">
        <v>00:52:52</v>
      </c>
      <c r="AT55">
        <f t="shared" si="11"/>
        <v>0.8666666666666677</v>
      </c>
      <c r="AU55">
        <f t="shared" si="6"/>
        <v>0.78999999999999915</v>
      </c>
      <c r="AV55">
        <f t="shared" si="7"/>
        <v>0.9</v>
      </c>
    </row>
    <row r="56" spans="1:49" x14ac:dyDescent="0.25">
      <c r="A56" t="s">
        <v>628</v>
      </c>
      <c r="B56">
        <v>0.15</v>
      </c>
      <c r="C56">
        <v>14.68</v>
      </c>
      <c r="E56" t="s">
        <v>628</v>
      </c>
      <c r="F56">
        <v>0</v>
      </c>
      <c r="G56">
        <v>79.16</v>
      </c>
      <c r="I56" t="str" cm="1">
        <f t="array" ref="I56:J56">_xlfn.TEXTSPLIT(A56," ")</f>
        <v>27.10.2023</v>
      </c>
      <c r="J56" t="str">
        <v>00:53:37</v>
      </c>
      <c r="K56">
        <f t="shared" si="8"/>
        <v>0.88333333333333441</v>
      </c>
      <c r="L56">
        <f t="shared" si="1"/>
        <v>0.35999999999999943</v>
      </c>
      <c r="M56">
        <f t="shared" si="2"/>
        <v>0.15</v>
      </c>
      <c r="Q56" t="str" cm="1">
        <f t="array" ref="Q56:R56">_xlfn.TEXTSPLIT(E56," ")</f>
        <v>27.10.2023</v>
      </c>
      <c r="R56" t="str">
        <v>00:53:37</v>
      </c>
      <c r="S56">
        <f t="shared" si="9"/>
        <v>0.88333333333333441</v>
      </c>
      <c r="T56">
        <f t="shared" si="0"/>
        <v>0.56000000000000227</v>
      </c>
      <c r="U56">
        <f t="shared" si="3"/>
        <v>0</v>
      </c>
      <c r="AC56" t="s">
        <v>629</v>
      </c>
      <c r="AD56">
        <v>0</v>
      </c>
      <c r="AE56">
        <v>4.79</v>
      </c>
      <c r="AG56" t="str" cm="1">
        <f t="array" ref="AG56:AH56">_xlfn.TEXTSPLIT(AC57," ")</f>
        <v>26.10.2023</v>
      </c>
      <c r="AH56" t="str">
        <v>00:54:52</v>
      </c>
      <c r="AI56">
        <f t="shared" si="10"/>
        <v>0.88333333333333441</v>
      </c>
      <c r="AJ56">
        <f t="shared" si="4"/>
        <v>0.25999999999999979</v>
      </c>
      <c r="AK56">
        <f t="shared" si="5"/>
        <v>0</v>
      </c>
      <c r="AN56" t="s">
        <v>629</v>
      </c>
      <c r="AO56">
        <v>0</v>
      </c>
      <c r="AP56">
        <v>62.1</v>
      </c>
      <c r="AR56" t="str" cm="1">
        <f t="array" ref="AR56:AS56">_xlfn.TEXTSPLIT(AN56," ")</f>
        <v>26.10.2023</v>
      </c>
      <c r="AS56" t="str">
        <v>00:53:52</v>
      </c>
      <c r="AT56">
        <f t="shared" si="11"/>
        <v>0.88333333333333441</v>
      </c>
      <c r="AU56">
        <f t="shared" si="6"/>
        <v>0.78999999999999915</v>
      </c>
      <c r="AV56">
        <f t="shared" si="7"/>
        <v>0</v>
      </c>
    </row>
    <row r="57" spans="1:49" x14ac:dyDescent="0.25">
      <c r="A57" t="s">
        <v>630</v>
      </c>
      <c r="B57">
        <v>0</v>
      </c>
      <c r="C57">
        <v>14.68</v>
      </c>
      <c r="E57" t="s">
        <v>630</v>
      </c>
      <c r="F57">
        <v>0</v>
      </c>
      <c r="G57">
        <v>79.16</v>
      </c>
      <c r="I57" t="str" cm="1">
        <f t="array" ref="I57:J57">_xlfn.TEXTSPLIT(A57," ")</f>
        <v>27.10.2023</v>
      </c>
      <c r="J57" t="str">
        <v>00:54:37</v>
      </c>
      <c r="K57">
        <f t="shared" si="8"/>
        <v>0.90000000000000113</v>
      </c>
      <c r="L57">
        <f t="shared" si="1"/>
        <v>0.35999999999999943</v>
      </c>
      <c r="M57">
        <f t="shared" si="2"/>
        <v>0</v>
      </c>
      <c r="Q57" t="str" cm="1">
        <f t="array" ref="Q57:R57">_xlfn.TEXTSPLIT(E57," ")</f>
        <v>27.10.2023</v>
      </c>
      <c r="R57" t="str">
        <v>00:54:37</v>
      </c>
      <c r="S57">
        <f t="shared" si="9"/>
        <v>0.90000000000000113</v>
      </c>
      <c r="T57">
        <f t="shared" si="0"/>
        <v>0.56000000000000227</v>
      </c>
      <c r="U57">
        <f t="shared" si="3"/>
        <v>0</v>
      </c>
      <c r="AC57" t="s">
        <v>631</v>
      </c>
      <c r="AD57">
        <v>0</v>
      </c>
      <c r="AE57">
        <v>4.79</v>
      </c>
      <c r="AG57" t="str" cm="1">
        <f t="array" ref="AG57:AH57">_xlfn.TEXTSPLIT(AC58," ")</f>
        <v>26.10.2023</v>
      </c>
      <c r="AH57" t="str">
        <v>00:55:52</v>
      </c>
      <c r="AI57">
        <f t="shared" si="10"/>
        <v>0.90000000000000113</v>
      </c>
      <c r="AJ57">
        <f t="shared" si="4"/>
        <v>0.25999999999999979</v>
      </c>
      <c r="AK57">
        <f t="shared" si="5"/>
        <v>0</v>
      </c>
      <c r="AN57" t="s">
        <v>631</v>
      </c>
      <c r="AO57">
        <v>0.15</v>
      </c>
      <c r="AP57">
        <v>62.11</v>
      </c>
      <c r="AR57" t="str" cm="1">
        <f t="array" ref="AR57:AS57">_xlfn.TEXTSPLIT(AN57," ")</f>
        <v>26.10.2023</v>
      </c>
      <c r="AS57" t="str">
        <v>00:54:52</v>
      </c>
      <c r="AT57">
        <f t="shared" si="11"/>
        <v>0.90000000000000113</v>
      </c>
      <c r="AU57">
        <f t="shared" si="6"/>
        <v>0.79999999999999716</v>
      </c>
      <c r="AV57">
        <f t="shared" si="7"/>
        <v>0.15</v>
      </c>
    </row>
    <row r="58" spans="1:49" x14ac:dyDescent="0.25">
      <c r="A58" t="s">
        <v>632</v>
      </c>
      <c r="B58">
        <v>0</v>
      </c>
      <c r="C58">
        <v>14.68</v>
      </c>
      <c r="E58" t="s">
        <v>632</v>
      </c>
      <c r="F58">
        <v>0</v>
      </c>
      <c r="G58">
        <v>79.16</v>
      </c>
      <c r="I58" t="str" cm="1">
        <f t="array" ref="I58:J58">_xlfn.TEXTSPLIT(A58," ")</f>
        <v>27.10.2023</v>
      </c>
      <c r="J58" t="str">
        <v>00:55:37</v>
      </c>
      <c r="K58">
        <f t="shared" si="8"/>
        <v>0.91666666666666785</v>
      </c>
      <c r="L58">
        <f t="shared" si="1"/>
        <v>0.35999999999999943</v>
      </c>
      <c r="M58">
        <f t="shared" si="2"/>
        <v>0</v>
      </c>
      <c r="Q58" t="str" cm="1">
        <f t="array" ref="Q58:R58">_xlfn.TEXTSPLIT(E58," ")</f>
        <v>27.10.2023</v>
      </c>
      <c r="R58" t="str">
        <v>00:55:37</v>
      </c>
      <c r="S58">
        <f t="shared" si="9"/>
        <v>0.91666666666666785</v>
      </c>
      <c r="T58">
        <f t="shared" si="0"/>
        <v>0.56000000000000227</v>
      </c>
      <c r="U58">
        <f t="shared" si="3"/>
        <v>0</v>
      </c>
      <c r="AC58" t="s">
        <v>633</v>
      </c>
      <c r="AD58">
        <v>0</v>
      </c>
      <c r="AE58">
        <v>4.79</v>
      </c>
      <c r="AG58" t="str" cm="1">
        <f t="array" ref="AG58:AH58">_xlfn.TEXTSPLIT(AC59," ")</f>
        <v>26.10.2023</v>
      </c>
      <c r="AH58" t="str">
        <v>00:56:52</v>
      </c>
      <c r="AI58">
        <f t="shared" si="10"/>
        <v>0.91666666666666785</v>
      </c>
      <c r="AJ58">
        <f t="shared" si="4"/>
        <v>0.25999999999999979</v>
      </c>
      <c r="AK58">
        <f t="shared" si="5"/>
        <v>0</v>
      </c>
      <c r="AN58" t="s">
        <v>633</v>
      </c>
      <c r="AO58">
        <v>0.15</v>
      </c>
      <c r="AP58">
        <v>62.11</v>
      </c>
      <c r="AR58" t="str" cm="1">
        <f t="array" ref="AR58:AS58">_xlfn.TEXTSPLIT(AN58," ")</f>
        <v>26.10.2023</v>
      </c>
      <c r="AS58" t="str">
        <v>00:55:52</v>
      </c>
      <c r="AT58">
        <f t="shared" si="11"/>
        <v>0.91666666666666785</v>
      </c>
      <c r="AU58">
        <f t="shared" si="6"/>
        <v>0.79999999999999716</v>
      </c>
      <c r="AV58">
        <f t="shared" si="7"/>
        <v>0.15</v>
      </c>
    </row>
    <row r="59" spans="1:49" x14ac:dyDescent="0.25">
      <c r="A59" t="s">
        <v>634</v>
      </c>
      <c r="B59">
        <v>0</v>
      </c>
      <c r="C59">
        <v>14.68</v>
      </c>
      <c r="E59" t="s">
        <v>634</v>
      </c>
      <c r="F59">
        <v>0</v>
      </c>
      <c r="G59">
        <v>79.17</v>
      </c>
      <c r="I59" t="str" cm="1">
        <f t="array" ref="I59:J59">_xlfn.TEXTSPLIT(A59," ")</f>
        <v>27.10.2023</v>
      </c>
      <c r="J59" t="str">
        <v>00:56:38</v>
      </c>
      <c r="K59">
        <f t="shared" si="8"/>
        <v>0.93333333333333457</v>
      </c>
      <c r="L59">
        <f t="shared" si="1"/>
        <v>0.35999999999999943</v>
      </c>
      <c r="M59">
        <f t="shared" si="2"/>
        <v>0</v>
      </c>
      <c r="Q59" t="str" cm="1">
        <f t="array" ref="Q59:R59">_xlfn.TEXTSPLIT(E59," ")</f>
        <v>27.10.2023</v>
      </c>
      <c r="R59" t="str">
        <v>00:56:38</v>
      </c>
      <c r="S59">
        <f t="shared" si="9"/>
        <v>0.93333333333333457</v>
      </c>
      <c r="T59">
        <f t="shared" si="0"/>
        <v>0.57000000000000739</v>
      </c>
      <c r="U59">
        <f t="shared" si="3"/>
        <v>0</v>
      </c>
      <c r="AC59" t="s">
        <v>635</v>
      </c>
      <c r="AD59">
        <v>0</v>
      </c>
      <c r="AE59">
        <v>4.79</v>
      </c>
      <c r="AG59" t="str" cm="1">
        <f t="array" ref="AG59:AH59">_xlfn.TEXTSPLIT(AC60," ")</f>
        <v>26.10.2023</v>
      </c>
      <c r="AH59" t="str">
        <v>00:57:52</v>
      </c>
      <c r="AI59">
        <f t="shared" si="10"/>
        <v>0.93333333333333457</v>
      </c>
      <c r="AJ59">
        <f t="shared" si="4"/>
        <v>0.25999999999999979</v>
      </c>
      <c r="AK59">
        <f t="shared" si="5"/>
        <v>0</v>
      </c>
      <c r="AN59" t="s">
        <v>635</v>
      </c>
      <c r="AO59">
        <v>0.15</v>
      </c>
      <c r="AP59">
        <v>62.11</v>
      </c>
      <c r="AR59" t="str" cm="1">
        <f t="array" ref="AR59:AS59">_xlfn.TEXTSPLIT(AN59," ")</f>
        <v>26.10.2023</v>
      </c>
      <c r="AS59" t="str">
        <v>00:56:52</v>
      </c>
      <c r="AT59">
        <f t="shared" si="11"/>
        <v>0.93333333333333457</v>
      </c>
      <c r="AU59">
        <f t="shared" si="6"/>
        <v>0.79999999999999716</v>
      </c>
      <c r="AV59">
        <f t="shared" si="7"/>
        <v>0.15</v>
      </c>
    </row>
    <row r="60" spans="1:49" x14ac:dyDescent="0.25">
      <c r="A60" t="s">
        <v>636</v>
      </c>
      <c r="B60">
        <v>0</v>
      </c>
      <c r="C60">
        <v>14.68</v>
      </c>
      <c r="E60" t="s">
        <v>636</v>
      </c>
      <c r="F60">
        <v>0.15</v>
      </c>
      <c r="G60">
        <v>79.17</v>
      </c>
      <c r="I60" t="str" cm="1">
        <f t="array" ref="I60:J60">_xlfn.TEXTSPLIT(A60," ")</f>
        <v>27.10.2023</v>
      </c>
      <c r="J60" t="str">
        <v>00:57:38</v>
      </c>
      <c r="K60">
        <f t="shared" si="8"/>
        <v>0.95000000000000129</v>
      </c>
      <c r="L60">
        <f t="shared" si="1"/>
        <v>0.35999999999999943</v>
      </c>
      <c r="M60">
        <f t="shared" si="2"/>
        <v>0</v>
      </c>
      <c r="Q60" t="str" cm="1">
        <f t="array" ref="Q60:R60">_xlfn.TEXTSPLIT(E60," ")</f>
        <v>27.10.2023</v>
      </c>
      <c r="R60" t="str">
        <v>00:57:38</v>
      </c>
      <c r="S60">
        <f t="shared" si="9"/>
        <v>0.95000000000000129</v>
      </c>
      <c r="T60">
        <f t="shared" si="0"/>
        <v>0.57000000000000739</v>
      </c>
      <c r="U60">
        <f t="shared" si="3"/>
        <v>0.15</v>
      </c>
      <c r="AC60" t="s">
        <v>637</v>
      </c>
      <c r="AD60">
        <v>0</v>
      </c>
      <c r="AE60">
        <v>4.79</v>
      </c>
      <c r="AG60" t="str" cm="1">
        <f t="array" ref="AG60:AH60">_xlfn.TEXTSPLIT(AC61," ")</f>
        <v>26.10.2023</v>
      </c>
      <c r="AH60" t="str">
        <v>00:58:52</v>
      </c>
      <c r="AI60">
        <f t="shared" si="10"/>
        <v>0.95000000000000129</v>
      </c>
      <c r="AJ60">
        <f t="shared" si="4"/>
        <v>0.25999999999999979</v>
      </c>
      <c r="AK60">
        <f t="shared" si="5"/>
        <v>0</v>
      </c>
      <c r="AN60" t="s">
        <v>637</v>
      </c>
      <c r="AO60">
        <v>0.15</v>
      </c>
      <c r="AP60">
        <v>62.11</v>
      </c>
      <c r="AR60" t="str" cm="1">
        <f t="array" ref="AR60:AS60">_xlfn.TEXTSPLIT(AN60," ")</f>
        <v>26.10.2023</v>
      </c>
      <c r="AS60" t="str">
        <v>00:57:52</v>
      </c>
      <c r="AT60">
        <f t="shared" si="11"/>
        <v>0.95000000000000129</v>
      </c>
      <c r="AU60">
        <f t="shared" si="6"/>
        <v>0.79999999999999716</v>
      </c>
      <c r="AV60">
        <f t="shared" si="7"/>
        <v>0.15</v>
      </c>
    </row>
    <row r="61" spans="1:49" x14ac:dyDescent="0.25">
      <c r="A61" t="s">
        <v>638</v>
      </c>
      <c r="B61">
        <v>0</v>
      </c>
      <c r="C61">
        <v>14.68</v>
      </c>
      <c r="E61" t="s">
        <v>638</v>
      </c>
      <c r="F61">
        <v>0</v>
      </c>
      <c r="G61">
        <v>79.17</v>
      </c>
      <c r="I61" t="str" cm="1">
        <f t="array" ref="I61:J61">_xlfn.TEXTSPLIT(A61," ")</f>
        <v>27.10.2023</v>
      </c>
      <c r="J61" t="str">
        <v>00:58:38</v>
      </c>
      <c r="K61">
        <f t="shared" si="8"/>
        <v>0.96666666666666801</v>
      </c>
      <c r="L61">
        <f t="shared" si="1"/>
        <v>0.35999999999999943</v>
      </c>
      <c r="M61">
        <f t="shared" si="2"/>
        <v>0</v>
      </c>
      <c r="Q61" t="str" cm="1">
        <f t="array" ref="Q61:R61">_xlfn.TEXTSPLIT(E61," ")</f>
        <v>27.10.2023</v>
      </c>
      <c r="R61" t="str">
        <v>00:58:38</v>
      </c>
      <c r="S61">
        <f t="shared" si="9"/>
        <v>0.96666666666666801</v>
      </c>
      <c r="T61">
        <f t="shared" si="0"/>
        <v>0.57000000000000739</v>
      </c>
      <c r="U61">
        <f t="shared" si="3"/>
        <v>0</v>
      </c>
      <c r="AC61" t="s">
        <v>639</v>
      </c>
      <c r="AD61">
        <v>0</v>
      </c>
      <c r="AE61">
        <v>4.79</v>
      </c>
      <c r="AG61" t="str" cm="1">
        <f t="array" ref="AG61:AH61">_xlfn.TEXTSPLIT(AC62," ")</f>
        <v>26.10.2023</v>
      </c>
      <c r="AH61" t="str">
        <v>00:59:52</v>
      </c>
      <c r="AI61">
        <f t="shared" si="10"/>
        <v>0.96666666666666801</v>
      </c>
      <c r="AJ61">
        <f t="shared" si="4"/>
        <v>0.25999999999999979</v>
      </c>
      <c r="AK61">
        <f t="shared" si="5"/>
        <v>0</v>
      </c>
      <c r="AN61" t="s">
        <v>639</v>
      </c>
      <c r="AO61">
        <v>0.15</v>
      </c>
      <c r="AP61">
        <v>62.12</v>
      </c>
      <c r="AR61" t="str" cm="1">
        <f t="array" ref="AR61:AS61">_xlfn.TEXTSPLIT(AN61," ")</f>
        <v>26.10.2023</v>
      </c>
      <c r="AS61" t="str">
        <v>00:58:52</v>
      </c>
      <c r="AT61">
        <f t="shared" si="11"/>
        <v>0.96666666666666801</v>
      </c>
      <c r="AU61">
        <f t="shared" si="6"/>
        <v>0.80999999999999517</v>
      </c>
      <c r="AV61">
        <f t="shared" si="7"/>
        <v>0.15</v>
      </c>
    </row>
    <row r="62" spans="1:49" x14ac:dyDescent="0.25">
      <c r="A62" t="s">
        <v>640</v>
      </c>
      <c r="B62">
        <v>0</v>
      </c>
      <c r="C62">
        <v>14.68</v>
      </c>
      <c r="E62" t="s">
        <v>640</v>
      </c>
      <c r="F62">
        <v>0.15</v>
      </c>
      <c r="G62">
        <v>79.17</v>
      </c>
      <c r="I62" t="str" cm="1">
        <f t="array" ref="I62:J62">_xlfn.TEXTSPLIT(A62," ")</f>
        <v>27.10.2023</v>
      </c>
      <c r="J62" t="str">
        <v>00:59:38</v>
      </c>
      <c r="K62">
        <f t="shared" si="8"/>
        <v>0.98333333333333472</v>
      </c>
      <c r="L62">
        <f t="shared" si="1"/>
        <v>0.35999999999999943</v>
      </c>
      <c r="M62">
        <f t="shared" si="2"/>
        <v>0</v>
      </c>
      <c r="N62">
        <f>AVERAGE(M3:M62)</f>
        <v>0.34</v>
      </c>
      <c r="Q62" t="str" cm="1">
        <f t="array" ref="Q62:R62">_xlfn.TEXTSPLIT(E62," ")</f>
        <v>27.10.2023</v>
      </c>
      <c r="R62" t="str">
        <v>00:59:38</v>
      </c>
      <c r="S62">
        <f t="shared" si="9"/>
        <v>0.98333333333333472</v>
      </c>
      <c r="T62">
        <f t="shared" si="0"/>
        <v>0.57000000000000739</v>
      </c>
      <c r="U62">
        <f t="shared" si="3"/>
        <v>0.15</v>
      </c>
      <c r="V62">
        <f>AVERAGE(U3:U62)</f>
        <v>0.5824999999999998</v>
      </c>
      <c r="AC62" t="s">
        <v>641</v>
      </c>
      <c r="AD62">
        <v>0</v>
      </c>
      <c r="AE62">
        <v>4.79</v>
      </c>
      <c r="AG62" t="str" cm="1">
        <f t="array" ref="AG62:AH62">_xlfn.TEXTSPLIT(AC63," ")</f>
        <v>26.10.2023</v>
      </c>
      <c r="AH62" t="str">
        <v>01:00:53</v>
      </c>
      <c r="AI62">
        <f t="shared" si="10"/>
        <v>0.98333333333333472</v>
      </c>
      <c r="AJ62">
        <f t="shared" si="4"/>
        <v>0.25999999999999979</v>
      </c>
      <c r="AK62">
        <f t="shared" si="5"/>
        <v>0</v>
      </c>
      <c r="AL62">
        <f>AVERAGE(AK3:AK62)</f>
        <v>0.25250000000000006</v>
      </c>
      <c r="AN62" t="s">
        <v>641</v>
      </c>
      <c r="AO62">
        <v>0.3</v>
      </c>
      <c r="AP62">
        <v>62.12</v>
      </c>
      <c r="AR62" t="str" cm="1">
        <f t="array" ref="AR62:AS62">_xlfn.TEXTSPLIT(AN62," ")</f>
        <v>26.10.2023</v>
      </c>
      <c r="AS62" t="str">
        <v>00:59:52</v>
      </c>
      <c r="AT62">
        <f t="shared" si="11"/>
        <v>0.98333333333333472</v>
      </c>
      <c r="AU62">
        <f t="shared" si="6"/>
        <v>0.80999999999999517</v>
      </c>
      <c r="AV62">
        <f t="shared" si="7"/>
        <v>0.3</v>
      </c>
      <c r="AW62">
        <f>AVERAGE(AV3:AV62)</f>
        <v>0.81249999999999978</v>
      </c>
    </row>
    <row r="63" spans="1:49" x14ac:dyDescent="0.25">
      <c r="A63" t="s">
        <v>642</v>
      </c>
      <c r="B63">
        <v>0</v>
      </c>
      <c r="C63">
        <v>14.68</v>
      </c>
      <c r="E63" t="s">
        <v>642</v>
      </c>
      <c r="F63">
        <v>0.15</v>
      </c>
      <c r="G63">
        <v>79.17</v>
      </c>
      <c r="I63" t="str" cm="1">
        <f t="array" ref="I63:J63">_xlfn.TEXTSPLIT(A63," ")</f>
        <v>27.10.2023</v>
      </c>
      <c r="J63" t="str">
        <v>01:00:38</v>
      </c>
      <c r="K63">
        <f t="shared" si="8"/>
        <v>1.0000000000000013</v>
      </c>
      <c r="L63">
        <f t="shared" si="1"/>
        <v>0.35999999999999943</v>
      </c>
      <c r="M63">
        <f t="shared" si="2"/>
        <v>0</v>
      </c>
      <c r="N63">
        <f t="shared" ref="N63:N126" si="12">AVERAGE(M4:M63)</f>
        <v>0.34</v>
      </c>
      <c r="Q63" t="str" cm="1">
        <f t="array" ref="Q63:R63">_xlfn.TEXTSPLIT(E63," ")</f>
        <v>27.10.2023</v>
      </c>
      <c r="R63" t="str">
        <v>01:00:38</v>
      </c>
      <c r="S63">
        <f t="shared" si="9"/>
        <v>1.0000000000000013</v>
      </c>
      <c r="T63">
        <f t="shared" si="0"/>
        <v>0.57000000000000739</v>
      </c>
      <c r="U63">
        <f t="shared" si="3"/>
        <v>0.15</v>
      </c>
      <c r="V63">
        <f t="shared" ref="V63:V126" si="13">AVERAGE(U4:U63)</f>
        <v>0.57999999999999974</v>
      </c>
      <c r="AC63" t="s">
        <v>643</v>
      </c>
      <c r="AD63">
        <v>0</v>
      </c>
      <c r="AE63">
        <v>4.79</v>
      </c>
      <c r="AG63" t="str" cm="1">
        <f t="array" ref="AG63:AH63">_xlfn.TEXTSPLIT(AC64," ")</f>
        <v>26.10.2023</v>
      </c>
      <c r="AH63" t="str">
        <v>01:01:53</v>
      </c>
      <c r="AI63">
        <f t="shared" si="10"/>
        <v>1.0000000000000013</v>
      </c>
      <c r="AJ63">
        <f t="shared" si="4"/>
        <v>0.25999999999999979</v>
      </c>
      <c r="AK63">
        <f t="shared" si="5"/>
        <v>0</v>
      </c>
      <c r="AL63">
        <f t="shared" ref="AL63:AL126" si="14">AVERAGE(AK4:AK63)</f>
        <v>0.25250000000000006</v>
      </c>
      <c r="AN63" t="s">
        <v>643</v>
      </c>
      <c r="AO63">
        <v>0.3</v>
      </c>
      <c r="AP63">
        <v>62.13</v>
      </c>
      <c r="AR63" t="str" cm="1">
        <f t="array" ref="AR63:AS63">_xlfn.TEXTSPLIT(AN63," ")</f>
        <v>26.10.2023</v>
      </c>
      <c r="AS63" t="str">
        <v>01:00:53</v>
      </c>
      <c r="AT63">
        <f t="shared" si="11"/>
        <v>1.0000000000000013</v>
      </c>
      <c r="AU63">
        <f t="shared" si="6"/>
        <v>0.82000000000000028</v>
      </c>
      <c r="AV63">
        <f t="shared" si="7"/>
        <v>0.3</v>
      </c>
      <c r="AW63">
        <f t="shared" ref="AW63:AW126" si="15">AVERAGE(AV4:AV63)</f>
        <v>0.81249999999999967</v>
      </c>
    </row>
    <row r="64" spans="1:49" x14ac:dyDescent="0.25">
      <c r="A64" t="s">
        <v>644</v>
      </c>
      <c r="B64">
        <v>0</v>
      </c>
      <c r="C64">
        <v>14.68</v>
      </c>
      <c r="E64" t="s">
        <v>644</v>
      </c>
      <c r="F64">
        <v>0.15</v>
      </c>
      <c r="G64">
        <v>79.17</v>
      </c>
      <c r="I64" t="str" cm="1">
        <f t="array" ref="I64:J64">_xlfn.TEXTSPLIT(A64," ")</f>
        <v>27.10.2023</v>
      </c>
      <c r="J64" t="str">
        <v>01:01:38</v>
      </c>
      <c r="K64">
        <f t="shared" si="8"/>
        <v>1.0166666666666679</v>
      </c>
      <c r="L64">
        <f t="shared" si="1"/>
        <v>0.35999999999999943</v>
      </c>
      <c r="M64">
        <f t="shared" si="2"/>
        <v>0</v>
      </c>
      <c r="N64">
        <f t="shared" si="12"/>
        <v>0.34</v>
      </c>
      <c r="Q64" t="str" cm="1">
        <f t="array" ref="Q64:R64">_xlfn.TEXTSPLIT(E64," ")</f>
        <v>27.10.2023</v>
      </c>
      <c r="R64" t="str">
        <v>01:01:38</v>
      </c>
      <c r="S64">
        <f t="shared" si="9"/>
        <v>1.0166666666666679</v>
      </c>
      <c r="T64">
        <f t="shared" si="0"/>
        <v>0.57000000000000739</v>
      </c>
      <c r="U64">
        <f t="shared" si="3"/>
        <v>0.15</v>
      </c>
      <c r="V64">
        <f t="shared" si="13"/>
        <v>0.57999999999999985</v>
      </c>
      <c r="AC64" t="s">
        <v>645</v>
      </c>
      <c r="AD64">
        <v>0</v>
      </c>
      <c r="AE64">
        <v>4.79</v>
      </c>
      <c r="AG64" t="str" cm="1">
        <f t="array" ref="AG64:AH64">_xlfn.TEXTSPLIT(AC65," ")</f>
        <v>26.10.2023</v>
      </c>
      <c r="AH64" t="str">
        <v>01:02:53</v>
      </c>
      <c r="AI64">
        <f t="shared" si="10"/>
        <v>1.0166666666666679</v>
      </c>
      <c r="AJ64">
        <f t="shared" si="4"/>
        <v>0.25999999999999979</v>
      </c>
      <c r="AK64">
        <f t="shared" si="5"/>
        <v>0</v>
      </c>
      <c r="AL64">
        <f t="shared" si="14"/>
        <v>0.25250000000000006</v>
      </c>
      <c r="AN64" t="s">
        <v>645</v>
      </c>
      <c r="AO64">
        <v>0.45</v>
      </c>
      <c r="AP64">
        <v>62.14</v>
      </c>
      <c r="AR64" t="str" cm="1">
        <f t="array" ref="AR64:AS64">_xlfn.TEXTSPLIT(AN64," ")</f>
        <v>26.10.2023</v>
      </c>
      <c r="AS64" t="str">
        <v>01:01:53</v>
      </c>
      <c r="AT64">
        <f t="shared" si="11"/>
        <v>1.0166666666666679</v>
      </c>
      <c r="AU64">
        <f t="shared" si="6"/>
        <v>0.82999999999999829</v>
      </c>
      <c r="AV64">
        <f t="shared" si="7"/>
        <v>0.45</v>
      </c>
      <c r="AW64">
        <f t="shared" si="15"/>
        <v>0.81249999999999978</v>
      </c>
    </row>
    <row r="65" spans="1:49" x14ac:dyDescent="0.25">
      <c r="A65" t="s">
        <v>646</v>
      </c>
      <c r="B65">
        <v>0</v>
      </c>
      <c r="C65">
        <v>14.68</v>
      </c>
      <c r="E65" t="s">
        <v>646</v>
      </c>
      <c r="F65">
        <v>0.15</v>
      </c>
      <c r="G65">
        <v>79.180000000000007</v>
      </c>
      <c r="I65" t="str" cm="1">
        <f t="array" ref="I65:J65">_xlfn.TEXTSPLIT(A65," ")</f>
        <v>27.10.2023</v>
      </c>
      <c r="J65" t="str">
        <v>01:02:38</v>
      </c>
      <c r="K65">
        <f t="shared" si="8"/>
        <v>1.0333333333333345</v>
      </c>
      <c r="L65">
        <f t="shared" si="1"/>
        <v>0.35999999999999943</v>
      </c>
      <c r="M65">
        <f t="shared" si="2"/>
        <v>0</v>
      </c>
      <c r="N65">
        <f t="shared" si="12"/>
        <v>0.34</v>
      </c>
      <c r="Q65" t="str" cm="1">
        <f t="array" ref="Q65:R65">_xlfn.TEXTSPLIT(E65," ")</f>
        <v>27.10.2023</v>
      </c>
      <c r="R65" t="str">
        <v>01:02:38</v>
      </c>
      <c r="S65">
        <f t="shared" si="9"/>
        <v>1.0333333333333345</v>
      </c>
      <c r="T65">
        <f t="shared" si="0"/>
        <v>0.58000000000001251</v>
      </c>
      <c r="U65">
        <f t="shared" si="3"/>
        <v>0.15</v>
      </c>
      <c r="V65">
        <f t="shared" si="13"/>
        <v>0.57749999999999979</v>
      </c>
      <c r="AC65" t="s">
        <v>647</v>
      </c>
      <c r="AD65">
        <v>0</v>
      </c>
      <c r="AE65">
        <v>4.79</v>
      </c>
      <c r="AG65" t="str" cm="1">
        <f t="array" ref="AG65:AH65">_xlfn.TEXTSPLIT(AC66," ")</f>
        <v>26.10.2023</v>
      </c>
      <c r="AH65" t="str">
        <v>01:03:53</v>
      </c>
      <c r="AI65">
        <f t="shared" si="10"/>
        <v>1.0333333333333345</v>
      </c>
      <c r="AJ65">
        <f t="shared" si="4"/>
        <v>0.25999999999999979</v>
      </c>
      <c r="AK65">
        <f t="shared" si="5"/>
        <v>0</v>
      </c>
      <c r="AL65">
        <f t="shared" si="14"/>
        <v>0.25250000000000006</v>
      </c>
      <c r="AN65" t="s">
        <v>647</v>
      </c>
      <c r="AO65">
        <v>0.3</v>
      </c>
      <c r="AP65">
        <v>62.15</v>
      </c>
      <c r="AR65" t="str" cm="1">
        <f t="array" ref="AR65:AS65">_xlfn.TEXTSPLIT(AN65," ")</f>
        <v>26.10.2023</v>
      </c>
      <c r="AS65" t="str">
        <v>01:02:53</v>
      </c>
      <c r="AT65">
        <f t="shared" si="11"/>
        <v>1.0333333333333345</v>
      </c>
      <c r="AU65">
        <f t="shared" si="6"/>
        <v>0.83999999999999631</v>
      </c>
      <c r="AV65">
        <f t="shared" si="7"/>
        <v>0.3</v>
      </c>
      <c r="AW65">
        <f t="shared" si="15"/>
        <v>0.80999999999999972</v>
      </c>
    </row>
    <row r="66" spans="1:49" x14ac:dyDescent="0.25">
      <c r="A66" t="s">
        <v>648</v>
      </c>
      <c r="B66">
        <v>0</v>
      </c>
      <c r="C66">
        <v>14.68</v>
      </c>
      <c r="E66" t="s">
        <v>648</v>
      </c>
      <c r="F66">
        <v>0.3</v>
      </c>
      <c r="G66">
        <v>79.180000000000007</v>
      </c>
      <c r="I66" t="str" cm="1">
        <f t="array" ref="I66:J66">_xlfn.TEXTSPLIT(A66," ")</f>
        <v>27.10.2023</v>
      </c>
      <c r="J66" t="str">
        <v>01:03:38</v>
      </c>
      <c r="K66">
        <f t="shared" si="8"/>
        <v>1.0500000000000012</v>
      </c>
      <c r="L66">
        <f t="shared" si="1"/>
        <v>0.35999999999999943</v>
      </c>
      <c r="M66">
        <f t="shared" si="2"/>
        <v>0</v>
      </c>
      <c r="N66">
        <f t="shared" si="12"/>
        <v>0.34</v>
      </c>
      <c r="Q66" t="str" cm="1">
        <f t="array" ref="Q66:R66">_xlfn.TEXTSPLIT(E66," ")</f>
        <v>27.10.2023</v>
      </c>
      <c r="R66" t="str">
        <v>01:03:38</v>
      </c>
      <c r="S66">
        <f t="shared" si="9"/>
        <v>1.0500000000000012</v>
      </c>
      <c r="T66">
        <f t="shared" si="0"/>
        <v>0.58000000000001251</v>
      </c>
      <c r="U66">
        <f t="shared" si="3"/>
        <v>0.3</v>
      </c>
      <c r="V66">
        <f t="shared" si="13"/>
        <v>0.57499999999999973</v>
      </c>
      <c r="AC66" t="s">
        <v>649</v>
      </c>
      <c r="AD66">
        <v>0</v>
      </c>
      <c r="AE66">
        <v>4.79</v>
      </c>
      <c r="AG66" t="str" cm="1">
        <f t="array" ref="AG66:AH66">_xlfn.TEXTSPLIT(AC67," ")</f>
        <v>26.10.2023</v>
      </c>
      <c r="AH66" t="str">
        <v>01:04:53</v>
      </c>
      <c r="AI66">
        <f t="shared" si="10"/>
        <v>1.0500000000000012</v>
      </c>
      <c r="AJ66">
        <f t="shared" si="4"/>
        <v>0.25999999999999979</v>
      </c>
      <c r="AK66">
        <f t="shared" si="5"/>
        <v>0</v>
      </c>
      <c r="AL66">
        <f t="shared" si="14"/>
        <v>0.25250000000000006</v>
      </c>
      <c r="AN66" t="s">
        <v>649</v>
      </c>
      <c r="AO66">
        <v>0.45</v>
      </c>
      <c r="AP66">
        <v>62.15</v>
      </c>
      <c r="AR66" t="str" cm="1">
        <f t="array" ref="AR66:AS66">_xlfn.TEXTSPLIT(AN66," ")</f>
        <v>26.10.2023</v>
      </c>
      <c r="AS66" t="str">
        <v>01:03:53</v>
      </c>
      <c r="AT66">
        <f t="shared" si="11"/>
        <v>1.0500000000000012</v>
      </c>
      <c r="AU66">
        <f t="shared" si="6"/>
        <v>0.83999999999999631</v>
      </c>
      <c r="AV66">
        <f t="shared" si="7"/>
        <v>0.45</v>
      </c>
      <c r="AW66">
        <f t="shared" si="15"/>
        <v>0.80249999999999977</v>
      </c>
    </row>
    <row r="67" spans="1:49" x14ac:dyDescent="0.25">
      <c r="A67" t="s">
        <v>650</v>
      </c>
      <c r="B67">
        <v>0</v>
      </c>
      <c r="C67">
        <v>14.68</v>
      </c>
      <c r="E67" t="s">
        <v>650</v>
      </c>
      <c r="F67">
        <v>0.3</v>
      </c>
      <c r="G67">
        <v>79.19</v>
      </c>
      <c r="I67" t="str" cm="1">
        <f t="array" ref="I67:J67">_xlfn.TEXTSPLIT(A67," ")</f>
        <v>27.10.2023</v>
      </c>
      <c r="J67" t="str">
        <v>01:04:39</v>
      </c>
      <c r="K67">
        <f t="shared" si="8"/>
        <v>1.0666666666666678</v>
      </c>
      <c r="L67">
        <f t="shared" si="1"/>
        <v>0.35999999999999943</v>
      </c>
      <c r="M67">
        <f t="shared" si="2"/>
        <v>0</v>
      </c>
      <c r="N67">
        <f t="shared" si="12"/>
        <v>0.34</v>
      </c>
      <c r="Q67" t="str" cm="1">
        <f t="array" ref="Q67:R67">_xlfn.TEXTSPLIT(E67," ")</f>
        <v>27.10.2023</v>
      </c>
      <c r="R67" t="str">
        <v>01:04:39</v>
      </c>
      <c r="S67">
        <f t="shared" si="9"/>
        <v>1.0666666666666678</v>
      </c>
      <c r="T67">
        <f t="shared" ref="T67:T130" si="16">G67-78.6</f>
        <v>0.59000000000000341</v>
      </c>
      <c r="U67">
        <f t="shared" si="3"/>
        <v>0.3</v>
      </c>
      <c r="V67">
        <f t="shared" si="13"/>
        <v>0.57249999999999968</v>
      </c>
      <c r="AC67" t="s">
        <v>651</v>
      </c>
      <c r="AD67">
        <v>0</v>
      </c>
      <c r="AE67">
        <v>4.79</v>
      </c>
      <c r="AG67" t="str" cm="1">
        <f t="array" ref="AG67:AH67">_xlfn.TEXTSPLIT(AC68," ")</f>
        <v>26.10.2023</v>
      </c>
      <c r="AH67" t="str">
        <v>01:05:53</v>
      </c>
      <c r="AI67">
        <f t="shared" si="10"/>
        <v>1.0666666666666678</v>
      </c>
      <c r="AJ67">
        <f t="shared" si="4"/>
        <v>0.25999999999999979</v>
      </c>
      <c r="AK67">
        <f t="shared" si="5"/>
        <v>0</v>
      </c>
      <c r="AL67">
        <f t="shared" si="14"/>
        <v>0.25250000000000006</v>
      </c>
      <c r="AN67" t="s">
        <v>651</v>
      </c>
      <c r="AO67">
        <v>0.6</v>
      </c>
      <c r="AP67">
        <v>62.16</v>
      </c>
      <c r="AR67" t="str" cm="1">
        <f t="array" ref="AR67:AS67">_xlfn.TEXTSPLIT(AN67," ")</f>
        <v>26.10.2023</v>
      </c>
      <c r="AS67" t="str">
        <v>01:04:53</v>
      </c>
      <c r="AT67">
        <f t="shared" si="11"/>
        <v>1.0666666666666678</v>
      </c>
      <c r="AU67">
        <f t="shared" si="6"/>
        <v>0.84999999999999432</v>
      </c>
      <c r="AV67">
        <f t="shared" si="7"/>
        <v>0.6</v>
      </c>
      <c r="AW67">
        <f t="shared" si="15"/>
        <v>0.79999999999999971</v>
      </c>
    </row>
    <row r="68" spans="1:49" x14ac:dyDescent="0.25">
      <c r="A68" t="s">
        <v>652</v>
      </c>
      <c r="B68">
        <v>0</v>
      </c>
      <c r="C68">
        <v>14.68</v>
      </c>
      <c r="E68" t="s">
        <v>652</v>
      </c>
      <c r="F68">
        <v>0.3</v>
      </c>
      <c r="G68">
        <v>79.19</v>
      </c>
      <c r="I68" t="str" cm="1">
        <f t="array" ref="I68:J68">_xlfn.TEXTSPLIT(A68," ")</f>
        <v>27.10.2023</v>
      </c>
      <c r="J68" t="str">
        <v>01:05:39</v>
      </c>
      <c r="K68">
        <f t="shared" si="8"/>
        <v>1.0833333333333344</v>
      </c>
      <c r="L68">
        <f t="shared" ref="L68:L131" si="17">C68-14.32</f>
        <v>0.35999999999999943</v>
      </c>
      <c r="M68">
        <f t="shared" ref="M68:M131" si="18">B68</f>
        <v>0</v>
      </c>
      <c r="N68">
        <f t="shared" si="12"/>
        <v>0.34</v>
      </c>
      <c r="Q68" t="str" cm="1">
        <f t="array" ref="Q68:R68">_xlfn.TEXTSPLIT(E68," ")</f>
        <v>27.10.2023</v>
      </c>
      <c r="R68" t="str">
        <v>01:05:39</v>
      </c>
      <c r="S68">
        <f t="shared" si="9"/>
        <v>1.0833333333333344</v>
      </c>
      <c r="T68">
        <f t="shared" si="16"/>
        <v>0.59000000000000341</v>
      </c>
      <c r="U68">
        <f t="shared" ref="U68:U131" si="19">F68</f>
        <v>0.3</v>
      </c>
      <c r="V68">
        <f t="shared" si="13"/>
        <v>0.56999999999999973</v>
      </c>
      <c r="AC68" t="s">
        <v>653</v>
      </c>
      <c r="AD68">
        <v>0</v>
      </c>
      <c r="AE68">
        <v>4.79</v>
      </c>
      <c r="AG68" t="str" cm="1">
        <f t="array" ref="AG68:AH68">_xlfn.TEXTSPLIT(AC69," ")</f>
        <v>26.10.2023</v>
      </c>
      <c r="AH68" t="str">
        <v>01:06:53</v>
      </c>
      <c r="AI68">
        <f t="shared" si="10"/>
        <v>1.0833333333333344</v>
      </c>
      <c r="AJ68">
        <f t="shared" ref="AJ68:AJ131" si="20">AE68-4.53</f>
        <v>0.25999999999999979</v>
      </c>
      <c r="AK68">
        <f t="shared" ref="AK68:AK131" si="21">AD68</f>
        <v>0</v>
      </c>
      <c r="AL68">
        <f t="shared" si="14"/>
        <v>0.25250000000000006</v>
      </c>
      <c r="AN68" t="s">
        <v>653</v>
      </c>
      <c r="AO68">
        <v>0.6</v>
      </c>
      <c r="AP68">
        <v>62.17</v>
      </c>
      <c r="AR68" t="str" cm="1">
        <f t="array" ref="AR68:AS68">_xlfn.TEXTSPLIT(AN68," ")</f>
        <v>26.10.2023</v>
      </c>
      <c r="AS68" t="str">
        <v>01:05:53</v>
      </c>
      <c r="AT68">
        <f t="shared" si="11"/>
        <v>1.0833333333333344</v>
      </c>
      <c r="AU68">
        <f t="shared" ref="AU68:AU131" si="22">AP68-61.31</f>
        <v>0.85999999999999943</v>
      </c>
      <c r="AV68">
        <f t="shared" ref="AV68:AV131" si="23">AO68</f>
        <v>0.6</v>
      </c>
      <c r="AW68">
        <f t="shared" si="15"/>
        <v>0.79749999999999988</v>
      </c>
    </row>
    <row r="69" spans="1:49" x14ac:dyDescent="0.25">
      <c r="A69" t="s">
        <v>654</v>
      </c>
      <c r="B69">
        <v>0</v>
      </c>
      <c r="C69">
        <v>14.68</v>
      </c>
      <c r="E69" t="s">
        <v>654</v>
      </c>
      <c r="F69">
        <v>0.45</v>
      </c>
      <c r="G69">
        <v>79.209999999999994</v>
      </c>
      <c r="I69" t="str" cm="1">
        <f t="array" ref="I69:J69">_xlfn.TEXTSPLIT(A69," ")</f>
        <v>27.10.2023</v>
      </c>
      <c r="J69" t="str">
        <v>01:06:39</v>
      </c>
      <c r="K69">
        <f t="shared" ref="K69:K132" si="24">1/60+K68</f>
        <v>1.100000000000001</v>
      </c>
      <c r="L69">
        <f t="shared" si="17"/>
        <v>0.35999999999999943</v>
      </c>
      <c r="M69">
        <f t="shared" si="18"/>
        <v>0</v>
      </c>
      <c r="N69">
        <f t="shared" si="12"/>
        <v>0.34</v>
      </c>
      <c r="Q69" t="str" cm="1">
        <f t="array" ref="Q69:R69">_xlfn.TEXTSPLIT(E69," ")</f>
        <v>27.10.2023</v>
      </c>
      <c r="R69" t="str">
        <v>01:06:39</v>
      </c>
      <c r="S69">
        <f t="shared" ref="S69:S132" si="25">1/60+S68</f>
        <v>1.100000000000001</v>
      </c>
      <c r="T69">
        <f t="shared" si="16"/>
        <v>0.60999999999999943</v>
      </c>
      <c r="U69">
        <f t="shared" si="19"/>
        <v>0.45</v>
      </c>
      <c r="V69">
        <f t="shared" si="13"/>
        <v>0.56999999999999984</v>
      </c>
      <c r="AC69" t="s">
        <v>655</v>
      </c>
      <c r="AD69">
        <v>0</v>
      </c>
      <c r="AE69">
        <v>4.79</v>
      </c>
      <c r="AG69" t="str" cm="1">
        <f t="array" ref="AG69:AH69">_xlfn.TEXTSPLIT(AC70," ")</f>
        <v>26.10.2023</v>
      </c>
      <c r="AH69" t="str">
        <v>01:07:53</v>
      </c>
      <c r="AI69">
        <f t="shared" ref="AI69:AI132" si="26">1/60+AI68</f>
        <v>1.100000000000001</v>
      </c>
      <c r="AJ69">
        <f t="shared" si="20"/>
        <v>0.25999999999999979</v>
      </c>
      <c r="AK69">
        <f t="shared" si="21"/>
        <v>0</v>
      </c>
      <c r="AL69">
        <f t="shared" si="14"/>
        <v>0.25250000000000006</v>
      </c>
      <c r="AN69" t="s">
        <v>655</v>
      </c>
      <c r="AO69">
        <v>0.6</v>
      </c>
      <c r="AP69">
        <v>62.18</v>
      </c>
      <c r="AR69" t="str" cm="1">
        <f t="array" ref="AR69:AS69">_xlfn.TEXTSPLIT(AN69," ")</f>
        <v>26.10.2023</v>
      </c>
      <c r="AS69" t="str">
        <v>01:06:53</v>
      </c>
      <c r="AT69">
        <f t="shared" ref="AT69:AT132" si="27">1/60+AT68</f>
        <v>1.100000000000001</v>
      </c>
      <c r="AU69">
        <f t="shared" si="22"/>
        <v>0.86999999999999744</v>
      </c>
      <c r="AV69">
        <f t="shared" si="23"/>
        <v>0.6</v>
      </c>
      <c r="AW69">
        <f t="shared" si="15"/>
        <v>0.80249999999999999</v>
      </c>
    </row>
    <row r="70" spans="1:49" x14ac:dyDescent="0.25">
      <c r="A70" t="s">
        <v>656</v>
      </c>
      <c r="B70">
        <v>0</v>
      </c>
      <c r="C70">
        <v>14.68</v>
      </c>
      <c r="E70" t="s">
        <v>656</v>
      </c>
      <c r="F70">
        <v>1.65</v>
      </c>
      <c r="G70">
        <v>79.260000000000005</v>
      </c>
      <c r="I70" t="str" cm="1">
        <f t="array" ref="I70:J70">_xlfn.TEXTSPLIT(A70," ")</f>
        <v>27.10.2023</v>
      </c>
      <c r="J70" t="str">
        <v>01:07:39</v>
      </c>
      <c r="K70">
        <f t="shared" si="24"/>
        <v>1.1166666666666676</v>
      </c>
      <c r="L70">
        <f t="shared" si="17"/>
        <v>0.35999999999999943</v>
      </c>
      <c r="M70">
        <f t="shared" si="18"/>
        <v>0</v>
      </c>
      <c r="N70">
        <f t="shared" si="12"/>
        <v>0.34</v>
      </c>
      <c r="Q70" t="str" cm="1">
        <f t="array" ref="Q70:R70">_xlfn.TEXTSPLIT(E70," ")</f>
        <v>27.10.2023</v>
      </c>
      <c r="R70" t="str">
        <v>01:07:39</v>
      </c>
      <c r="S70">
        <f t="shared" si="25"/>
        <v>1.1166666666666676</v>
      </c>
      <c r="T70">
        <f t="shared" si="16"/>
        <v>0.6600000000000108</v>
      </c>
      <c r="U70">
        <f t="shared" si="19"/>
        <v>1.65</v>
      </c>
      <c r="V70">
        <f t="shared" si="13"/>
        <v>0.56249999999999989</v>
      </c>
      <c r="AC70" t="s">
        <v>657</v>
      </c>
      <c r="AD70">
        <v>0</v>
      </c>
      <c r="AE70">
        <v>4.79</v>
      </c>
      <c r="AG70" t="str" cm="1">
        <f t="array" ref="AG70:AH70">_xlfn.TEXTSPLIT(AC71," ")</f>
        <v>26.10.2023</v>
      </c>
      <c r="AH70" t="str">
        <v>01:08:53</v>
      </c>
      <c r="AI70">
        <f t="shared" si="26"/>
        <v>1.1166666666666676</v>
      </c>
      <c r="AJ70">
        <f t="shared" si="20"/>
        <v>0.25999999999999979</v>
      </c>
      <c r="AK70">
        <f t="shared" si="21"/>
        <v>0</v>
      </c>
      <c r="AL70">
        <f t="shared" si="14"/>
        <v>0.25250000000000006</v>
      </c>
      <c r="AN70" t="s">
        <v>657</v>
      </c>
      <c r="AO70">
        <v>1.2</v>
      </c>
      <c r="AP70">
        <v>62.23</v>
      </c>
      <c r="AR70" t="str" cm="1">
        <f t="array" ref="AR70:AS70">_xlfn.TEXTSPLIT(AN70," ")</f>
        <v>26.10.2023</v>
      </c>
      <c r="AS70" t="str">
        <v>01:07:53</v>
      </c>
      <c r="AT70">
        <f t="shared" si="27"/>
        <v>1.1166666666666676</v>
      </c>
      <c r="AU70">
        <f t="shared" si="22"/>
        <v>0.9199999999999946</v>
      </c>
      <c r="AV70">
        <f t="shared" si="23"/>
        <v>1.2</v>
      </c>
      <c r="AW70">
        <f t="shared" si="15"/>
        <v>0.8</v>
      </c>
    </row>
    <row r="71" spans="1:49" x14ac:dyDescent="0.25">
      <c r="A71" t="s">
        <v>658</v>
      </c>
      <c r="B71">
        <v>0.6</v>
      </c>
      <c r="C71">
        <v>14.69</v>
      </c>
      <c r="E71" t="s">
        <v>658</v>
      </c>
      <c r="F71">
        <v>3</v>
      </c>
      <c r="G71">
        <v>79.290000000000006</v>
      </c>
      <c r="I71" t="str" cm="1">
        <f t="array" ref="I71:J71">_xlfn.TEXTSPLIT(A71," ")</f>
        <v>27.10.2023</v>
      </c>
      <c r="J71" t="str">
        <v>01:08:39</v>
      </c>
      <c r="K71">
        <f t="shared" si="24"/>
        <v>1.1333333333333342</v>
      </c>
      <c r="L71">
        <f t="shared" si="17"/>
        <v>0.36999999999999922</v>
      </c>
      <c r="M71">
        <f t="shared" si="18"/>
        <v>0.6</v>
      </c>
      <c r="N71">
        <f t="shared" si="12"/>
        <v>0.33</v>
      </c>
      <c r="Q71" t="str" cm="1">
        <f t="array" ref="Q71:R71">_xlfn.TEXTSPLIT(E71," ")</f>
        <v>27.10.2023</v>
      </c>
      <c r="R71" t="str">
        <v>01:08:39</v>
      </c>
      <c r="S71">
        <f t="shared" si="25"/>
        <v>1.1333333333333342</v>
      </c>
      <c r="T71">
        <f t="shared" si="16"/>
        <v>0.69000000000001194</v>
      </c>
      <c r="U71">
        <f t="shared" si="19"/>
        <v>3</v>
      </c>
      <c r="V71">
        <f t="shared" si="13"/>
        <v>0.58500000000000008</v>
      </c>
      <c r="AC71" t="s">
        <v>659</v>
      </c>
      <c r="AD71">
        <v>0</v>
      </c>
      <c r="AE71">
        <v>4.79</v>
      </c>
      <c r="AG71" t="str" cm="1">
        <f t="array" ref="AG71:AH71">_xlfn.TEXTSPLIT(AC72," ")</f>
        <v>26.10.2023</v>
      </c>
      <c r="AH71" t="str">
        <v>01:09:53</v>
      </c>
      <c r="AI71">
        <f t="shared" si="26"/>
        <v>1.1333333333333342</v>
      </c>
      <c r="AJ71">
        <f t="shared" si="20"/>
        <v>0.25999999999999979</v>
      </c>
      <c r="AK71">
        <f t="shared" si="21"/>
        <v>0</v>
      </c>
      <c r="AL71">
        <f t="shared" si="14"/>
        <v>0.25250000000000006</v>
      </c>
      <c r="AN71" t="s">
        <v>659</v>
      </c>
      <c r="AO71">
        <v>2.25</v>
      </c>
      <c r="AP71">
        <v>62.25</v>
      </c>
      <c r="AR71" t="str" cm="1">
        <f t="array" ref="AR71:AS71">_xlfn.TEXTSPLIT(AN71," ")</f>
        <v>26.10.2023</v>
      </c>
      <c r="AS71" t="str">
        <v>01:08:53</v>
      </c>
      <c r="AT71">
        <f t="shared" si="27"/>
        <v>1.1333333333333342</v>
      </c>
      <c r="AU71">
        <f t="shared" si="22"/>
        <v>0.93999999999999773</v>
      </c>
      <c r="AV71">
        <f t="shared" si="23"/>
        <v>2.25</v>
      </c>
      <c r="AW71">
        <f t="shared" si="15"/>
        <v>0.8075</v>
      </c>
    </row>
    <row r="72" spans="1:49" x14ac:dyDescent="0.25">
      <c r="A72" t="s">
        <v>660</v>
      </c>
      <c r="B72">
        <v>0.15</v>
      </c>
      <c r="C72">
        <v>14.72</v>
      </c>
      <c r="E72" t="s">
        <v>660</v>
      </c>
      <c r="F72">
        <v>1.8</v>
      </c>
      <c r="G72">
        <v>79.31</v>
      </c>
      <c r="I72" t="str" cm="1">
        <f t="array" ref="I72:J72">_xlfn.TEXTSPLIT(A72," ")</f>
        <v>27.10.2023</v>
      </c>
      <c r="J72" t="str">
        <v>01:09:39</v>
      </c>
      <c r="K72">
        <f t="shared" si="24"/>
        <v>1.1500000000000008</v>
      </c>
      <c r="L72">
        <f t="shared" si="17"/>
        <v>0.40000000000000036</v>
      </c>
      <c r="M72">
        <f t="shared" si="18"/>
        <v>0.15</v>
      </c>
      <c r="N72">
        <f t="shared" si="12"/>
        <v>0.30249999999999999</v>
      </c>
      <c r="Q72" t="str" cm="1">
        <f t="array" ref="Q72:R72">_xlfn.TEXTSPLIT(E72," ")</f>
        <v>27.10.2023</v>
      </c>
      <c r="R72" t="str">
        <v>01:09:39</v>
      </c>
      <c r="S72">
        <f t="shared" si="25"/>
        <v>1.1500000000000008</v>
      </c>
      <c r="T72">
        <f t="shared" si="16"/>
        <v>0.71000000000000796</v>
      </c>
      <c r="U72">
        <f t="shared" si="19"/>
        <v>1.8</v>
      </c>
      <c r="V72">
        <f t="shared" si="13"/>
        <v>0.59249999999999992</v>
      </c>
      <c r="AC72" t="s">
        <v>661</v>
      </c>
      <c r="AD72">
        <v>0</v>
      </c>
      <c r="AE72">
        <v>4.8099999999999996</v>
      </c>
      <c r="AG72" t="str" cm="1">
        <f t="array" ref="AG72:AH72">_xlfn.TEXTSPLIT(AC73," ")</f>
        <v>26.10.2023</v>
      </c>
      <c r="AH72" t="str">
        <v>01:10:54</v>
      </c>
      <c r="AI72">
        <f t="shared" si="26"/>
        <v>1.1500000000000008</v>
      </c>
      <c r="AJ72">
        <f t="shared" si="20"/>
        <v>0.27999999999999936</v>
      </c>
      <c r="AK72">
        <f t="shared" si="21"/>
        <v>0</v>
      </c>
      <c r="AL72">
        <f t="shared" si="14"/>
        <v>0.25000000000000006</v>
      </c>
      <c r="AN72" t="s">
        <v>661</v>
      </c>
      <c r="AO72">
        <v>1.65</v>
      </c>
      <c r="AP72">
        <v>62.28</v>
      </c>
      <c r="AR72" t="str" cm="1">
        <f t="array" ref="AR72:AS72">_xlfn.TEXTSPLIT(AN72," ")</f>
        <v>26.10.2023</v>
      </c>
      <c r="AS72" t="str">
        <v>01:09:53</v>
      </c>
      <c r="AT72">
        <f t="shared" si="27"/>
        <v>1.1500000000000008</v>
      </c>
      <c r="AU72">
        <f t="shared" si="22"/>
        <v>0.96999999999999886</v>
      </c>
      <c r="AV72">
        <f t="shared" si="23"/>
        <v>1.65</v>
      </c>
      <c r="AW72">
        <f t="shared" si="15"/>
        <v>0.79250000000000009</v>
      </c>
    </row>
    <row r="73" spans="1:49" x14ac:dyDescent="0.25">
      <c r="A73" t="s">
        <v>662</v>
      </c>
      <c r="B73">
        <v>1.95</v>
      </c>
      <c r="C73">
        <v>14.74</v>
      </c>
      <c r="E73" t="s">
        <v>662</v>
      </c>
      <c r="F73">
        <v>1.2</v>
      </c>
      <c r="G73">
        <v>79.33</v>
      </c>
      <c r="I73" t="str" cm="1">
        <f t="array" ref="I73:J73">_xlfn.TEXTSPLIT(A73," ")</f>
        <v>27.10.2023</v>
      </c>
      <c r="J73" t="str">
        <v>01:10:39</v>
      </c>
      <c r="K73">
        <f t="shared" si="24"/>
        <v>1.1666666666666674</v>
      </c>
      <c r="L73">
        <f t="shared" si="17"/>
        <v>0.41999999999999993</v>
      </c>
      <c r="M73">
        <f t="shared" si="18"/>
        <v>1.95</v>
      </c>
      <c r="N73">
        <f t="shared" si="12"/>
        <v>0.31749999999999995</v>
      </c>
      <c r="Q73" t="str" cm="1">
        <f t="array" ref="Q73:R73">_xlfn.TEXTSPLIT(E73," ")</f>
        <v>27.10.2023</v>
      </c>
      <c r="R73" t="str">
        <v>01:10:39</v>
      </c>
      <c r="S73">
        <f t="shared" si="25"/>
        <v>1.1666666666666674</v>
      </c>
      <c r="T73">
        <f t="shared" si="16"/>
        <v>0.73000000000000398</v>
      </c>
      <c r="U73">
        <f t="shared" si="19"/>
        <v>1.2</v>
      </c>
      <c r="V73">
        <f t="shared" si="13"/>
        <v>0.59249999999999992</v>
      </c>
      <c r="AC73" t="s">
        <v>663</v>
      </c>
      <c r="AD73">
        <v>1.5</v>
      </c>
      <c r="AE73">
        <v>4.82</v>
      </c>
      <c r="AG73" t="str" cm="1">
        <f t="array" ref="AG73:AH73">_xlfn.TEXTSPLIT(AC74," ")</f>
        <v>26.10.2023</v>
      </c>
      <c r="AH73" t="str">
        <v>01:11:54</v>
      </c>
      <c r="AI73">
        <f t="shared" si="26"/>
        <v>1.1666666666666674</v>
      </c>
      <c r="AJ73">
        <f t="shared" si="20"/>
        <v>0.29000000000000004</v>
      </c>
      <c r="AK73">
        <f t="shared" si="21"/>
        <v>1.5</v>
      </c>
      <c r="AL73">
        <f t="shared" si="14"/>
        <v>0.25500000000000006</v>
      </c>
      <c r="AN73" t="s">
        <v>663</v>
      </c>
      <c r="AO73">
        <v>1.65</v>
      </c>
      <c r="AP73">
        <v>62.31</v>
      </c>
      <c r="AR73" t="str" cm="1">
        <f t="array" ref="AR73:AS73">_xlfn.TEXTSPLIT(AN73," ")</f>
        <v>26.10.2023</v>
      </c>
      <c r="AS73" t="str">
        <v>01:10:54</v>
      </c>
      <c r="AT73">
        <f t="shared" si="27"/>
        <v>1.1666666666666674</v>
      </c>
      <c r="AU73">
        <f t="shared" si="22"/>
        <v>1</v>
      </c>
      <c r="AV73">
        <f t="shared" si="23"/>
        <v>1.65</v>
      </c>
      <c r="AW73">
        <f t="shared" si="15"/>
        <v>0.78250000000000008</v>
      </c>
    </row>
    <row r="74" spans="1:49" x14ac:dyDescent="0.25">
      <c r="A74" t="s">
        <v>664</v>
      </c>
      <c r="B74">
        <v>1.35</v>
      </c>
      <c r="C74">
        <v>14.76</v>
      </c>
      <c r="E74" t="s">
        <v>664</v>
      </c>
      <c r="F74">
        <v>1.5</v>
      </c>
      <c r="G74">
        <v>79.36</v>
      </c>
      <c r="I74" t="str" cm="1">
        <f t="array" ref="I74:J74">_xlfn.TEXTSPLIT(A74," ")</f>
        <v>27.10.2023</v>
      </c>
      <c r="J74" t="str">
        <v>01:11:39</v>
      </c>
      <c r="K74">
        <f t="shared" si="24"/>
        <v>1.183333333333334</v>
      </c>
      <c r="L74">
        <f t="shared" si="17"/>
        <v>0.4399999999999995</v>
      </c>
      <c r="M74">
        <f t="shared" si="18"/>
        <v>1.35</v>
      </c>
      <c r="N74">
        <f t="shared" si="12"/>
        <v>0.32250000000000001</v>
      </c>
      <c r="Q74" t="str" cm="1">
        <f t="array" ref="Q74:R74">_xlfn.TEXTSPLIT(E74," ")</f>
        <v>27.10.2023</v>
      </c>
      <c r="R74" t="str">
        <v>01:11:39</v>
      </c>
      <c r="S74">
        <f t="shared" si="25"/>
        <v>1.183333333333334</v>
      </c>
      <c r="T74">
        <f t="shared" si="16"/>
        <v>0.76000000000000512</v>
      </c>
      <c r="U74">
        <f t="shared" si="19"/>
        <v>1.5</v>
      </c>
      <c r="V74">
        <f t="shared" si="13"/>
        <v>0.59249999999999992</v>
      </c>
      <c r="AC74" t="s">
        <v>665</v>
      </c>
      <c r="AD74">
        <v>0.45</v>
      </c>
      <c r="AE74">
        <v>4.84</v>
      </c>
      <c r="AG74" t="str" cm="1">
        <f t="array" ref="AG74:AH74">_xlfn.TEXTSPLIT(AC75," ")</f>
        <v>26.10.2023</v>
      </c>
      <c r="AH74" t="str">
        <v>01:12:54</v>
      </c>
      <c r="AI74">
        <f t="shared" si="26"/>
        <v>1.183333333333334</v>
      </c>
      <c r="AJ74">
        <f t="shared" si="20"/>
        <v>0.30999999999999961</v>
      </c>
      <c r="AK74">
        <f t="shared" si="21"/>
        <v>0.45</v>
      </c>
      <c r="AL74">
        <f t="shared" si="14"/>
        <v>0.24250000000000005</v>
      </c>
      <c r="AN74" t="s">
        <v>665</v>
      </c>
      <c r="AO74">
        <v>1.8</v>
      </c>
      <c r="AP74">
        <v>62.34</v>
      </c>
      <c r="AR74" t="str" cm="1">
        <f t="array" ref="AR74:AS74">_xlfn.TEXTSPLIT(AN74," ")</f>
        <v>26.10.2023</v>
      </c>
      <c r="AS74" t="str">
        <v>01:11:54</v>
      </c>
      <c r="AT74">
        <f t="shared" si="27"/>
        <v>1.183333333333334</v>
      </c>
      <c r="AU74">
        <f t="shared" si="22"/>
        <v>1.0300000000000011</v>
      </c>
      <c r="AV74">
        <f t="shared" si="23"/>
        <v>1.8</v>
      </c>
      <c r="AW74">
        <f t="shared" si="15"/>
        <v>0.78999999999999992</v>
      </c>
    </row>
    <row r="75" spans="1:49" x14ac:dyDescent="0.25">
      <c r="A75" t="s">
        <v>666</v>
      </c>
      <c r="B75">
        <v>0.9</v>
      </c>
      <c r="C75">
        <v>14.78</v>
      </c>
      <c r="E75" t="s">
        <v>666</v>
      </c>
      <c r="F75">
        <v>1.8</v>
      </c>
      <c r="G75">
        <v>79.39</v>
      </c>
      <c r="I75" t="str" cm="1">
        <f t="array" ref="I75:J75">_xlfn.TEXTSPLIT(A75," ")</f>
        <v>27.10.2023</v>
      </c>
      <c r="J75" t="str">
        <v>01:12:40</v>
      </c>
      <c r="K75">
        <f t="shared" si="24"/>
        <v>1.2000000000000006</v>
      </c>
      <c r="L75">
        <f t="shared" si="17"/>
        <v>0.45999999999999908</v>
      </c>
      <c r="M75">
        <f t="shared" si="18"/>
        <v>0.9</v>
      </c>
      <c r="N75">
        <f t="shared" si="12"/>
        <v>0.33000000000000007</v>
      </c>
      <c r="Q75" t="str" cm="1">
        <f t="array" ref="Q75:R75">_xlfn.TEXTSPLIT(E75," ")</f>
        <v>27.10.2023</v>
      </c>
      <c r="R75" t="str">
        <v>01:12:40</v>
      </c>
      <c r="S75">
        <f t="shared" si="25"/>
        <v>1.2000000000000006</v>
      </c>
      <c r="T75">
        <f t="shared" si="16"/>
        <v>0.79000000000000625</v>
      </c>
      <c r="U75">
        <f t="shared" si="19"/>
        <v>1.8</v>
      </c>
      <c r="V75">
        <f t="shared" si="13"/>
        <v>0.59499999999999997</v>
      </c>
      <c r="AC75" t="s">
        <v>667</v>
      </c>
      <c r="AD75">
        <v>0.9</v>
      </c>
      <c r="AE75">
        <v>4.8499999999999996</v>
      </c>
      <c r="AG75" t="str" cm="1">
        <f t="array" ref="AG75:AH75">_xlfn.TEXTSPLIT(AC76," ")</f>
        <v>26.10.2023</v>
      </c>
      <c r="AH75" t="str">
        <v>01:13:54</v>
      </c>
      <c r="AI75">
        <f t="shared" si="26"/>
        <v>1.2000000000000006</v>
      </c>
      <c r="AJ75">
        <f t="shared" si="20"/>
        <v>0.3199999999999994</v>
      </c>
      <c r="AK75">
        <f t="shared" si="21"/>
        <v>0.9</v>
      </c>
      <c r="AL75">
        <f t="shared" si="14"/>
        <v>0.24250000000000005</v>
      </c>
      <c r="AN75" t="s">
        <v>667</v>
      </c>
      <c r="AO75">
        <v>1.65</v>
      </c>
      <c r="AP75">
        <v>62.35</v>
      </c>
      <c r="AR75" t="str" cm="1">
        <f t="array" ref="AR75:AS75">_xlfn.TEXTSPLIT(AN75," ")</f>
        <v>26.10.2023</v>
      </c>
      <c r="AS75" t="str">
        <v>01:12:54</v>
      </c>
      <c r="AT75">
        <f t="shared" si="27"/>
        <v>1.2000000000000006</v>
      </c>
      <c r="AU75">
        <f t="shared" si="22"/>
        <v>1.0399999999999991</v>
      </c>
      <c r="AV75">
        <f t="shared" si="23"/>
        <v>1.65</v>
      </c>
      <c r="AW75">
        <f t="shared" si="15"/>
        <v>0.79749999999999999</v>
      </c>
    </row>
    <row r="76" spans="1:49" x14ac:dyDescent="0.25">
      <c r="A76" t="s">
        <v>668</v>
      </c>
      <c r="B76">
        <v>0.9</v>
      </c>
      <c r="C76">
        <v>14.8</v>
      </c>
      <c r="E76" t="s">
        <v>668</v>
      </c>
      <c r="F76">
        <v>1.35</v>
      </c>
      <c r="G76">
        <v>79.400000000000006</v>
      </c>
      <c r="I76" t="str" cm="1">
        <f t="array" ref="I76:J76">_xlfn.TEXTSPLIT(A76," ")</f>
        <v>27.10.2023</v>
      </c>
      <c r="J76" t="str">
        <v>01:13:40</v>
      </c>
      <c r="K76">
        <f t="shared" si="24"/>
        <v>1.2166666666666672</v>
      </c>
      <c r="L76">
        <f t="shared" si="17"/>
        <v>0.48000000000000043</v>
      </c>
      <c r="M76">
        <f t="shared" si="18"/>
        <v>0.9</v>
      </c>
      <c r="N76">
        <f t="shared" si="12"/>
        <v>0.33750000000000002</v>
      </c>
      <c r="Q76" t="str" cm="1">
        <f t="array" ref="Q76:R76">_xlfn.TEXTSPLIT(E76," ")</f>
        <v>27.10.2023</v>
      </c>
      <c r="R76" t="str">
        <v>01:13:40</v>
      </c>
      <c r="S76">
        <f t="shared" si="25"/>
        <v>1.2166666666666672</v>
      </c>
      <c r="T76">
        <f t="shared" si="16"/>
        <v>0.80000000000001137</v>
      </c>
      <c r="U76">
        <f t="shared" si="19"/>
        <v>1.35</v>
      </c>
      <c r="V76">
        <f t="shared" si="13"/>
        <v>0.60749999999999993</v>
      </c>
      <c r="AC76" t="s">
        <v>669</v>
      </c>
      <c r="AD76">
        <v>0.6</v>
      </c>
      <c r="AE76">
        <v>4.8600000000000003</v>
      </c>
      <c r="AG76" t="str" cm="1">
        <f t="array" ref="AG76:AH76">_xlfn.TEXTSPLIT(AC77," ")</f>
        <v>26.10.2023</v>
      </c>
      <c r="AH76" t="str">
        <v>01:14:54</v>
      </c>
      <c r="AI76">
        <f t="shared" si="26"/>
        <v>1.2166666666666672</v>
      </c>
      <c r="AJ76">
        <f t="shared" si="20"/>
        <v>0.33000000000000007</v>
      </c>
      <c r="AK76">
        <f t="shared" si="21"/>
        <v>0.6</v>
      </c>
      <c r="AL76">
        <f t="shared" si="14"/>
        <v>0.24250000000000005</v>
      </c>
      <c r="AN76" t="s">
        <v>669</v>
      </c>
      <c r="AO76">
        <v>1.05</v>
      </c>
      <c r="AP76">
        <v>62.37</v>
      </c>
      <c r="AR76" t="str" cm="1">
        <f t="array" ref="AR76:AS76">_xlfn.TEXTSPLIT(AN76," ")</f>
        <v>26.10.2023</v>
      </c>
      <c r="AS76" t="str">
        <v>01:13:54</v>
      </c>
      <c r="AT76">
        <f t="shared" si="27"/>
        <v>1.2166666666666672</v>
      </c>
      <c r="AU76">
        <f t="shared" si="22"/>
        <v>1.0599999999999952</v>
      </c>
      <c r="AV76">
        <f t="shared" si="23"/>
        <v>1.05</v>
      </c>
      <c r="AW76">
        <f t="shared" si="15"/>
        <v>0.78999999999999992</v>
      </c>
    </row>
    <row r="77" spans="1:49" x14ac:dyDescent="0.25">
      <c r="A77" t="s">
        <v>670</v>
      </c>
      <c r="B77">
        <v>0.9</v>
      </c>
      <c r="C77">
        <v>14.81</v>
      </c>
      <c r="E77" t="s">
        <v>670</v>
      </c>
      <c r="F77">
        <v>0.9</v>
      </c>
      <c r="G77">
        <v>79.42</v>
      </c>
      <c r="I77" t="str" cm="1">
        <f t="array" ref="I77:J77">_xlfn.TEXTSPLIT(A77," ")</f>
        <v>27.10.2023</v>
      </c>
      <c r="J77" t="str">
        <v>01:14:40</v>
      </c>
      <c r="K77">
        <f t="shared" si="24"/>
        <v>1.2333333333333338</v>
      </c>
      <c r="L77">
        <f t="shared" si="17"/>
        <v>0.49000000000000021</v>
      </c>
      <c r="M77">
        <f t="shared" si="18"/>
        <v>0.9</v>
      </c>
      <c r="N77">
        <f t="shared" si="12"/>
        <v>0.34249999999999997</v>
      </c>
      <c r="Q77" t="str" cm="1">
        <f t="array" ref="Q77:R77">_xlfn.TEXTSPLIT(E77," ")</f>
        <v>27.10.2023</v>
      </c>
      <c r="R77" t="str">
        <v>01:14:40</v>
      </c>
      <c r="S77">
        <f t="shared" si="25"/>
        <v>1.2333333333333338</v>
      </c>
      <c r="T77">
        <f t="shared" si="16"/>
        <v>0.82000000000000739</v>
      </c>
      <c r="U77">
        <f t="shared" si="19"/>
        <v>0.9</v>
      </c>
      <c r="V77">
        <f t="shared" si="13"/>
        <v>0.61249999999999971</v>
      </c>
      <c r="AC77" t="s">
        <v>671</v>
      </c>
      <c r="AD77">
        <v>0.45</v>
      </c>
      <c r="AE77">
        <v>4.8600000000000003</v>
      </c>
      <c r="AG77" t="str" cm="1">
        <f t="array" ref="AG77:AH77">_xlfn.TEXTSPLIT(AC78," ")</f>
        <v>26.10.2023</v>
      </c>
      <c r="AH77" t="str">
        <v>01:15:54</v>
      </c>
      <c r="AI77">
        <f t="shared" si="26"/>
        <v>1.2333333333333338</v>
      </c>
      <c r="AJ77">
        <f t="shared" si="20"/>
        <v>0.33000000000000007</v>
      </c>
      <c r="AK77">
        <f t="shared" si="21"/>
        <v>0.45</v>
      </c>
      <c r="AL77">
        <f t="shared" si="14"/>
        <v>0.23750000000000002</v>
      </c>
      <c r="AN77" t="s">
        <v>671</v>
      </c>
      <c r="AO77">
        <v>0.75</v>
      </c>
      <c r="AP77">
        <v>62.38</v>
      </c>
      <c r="AR77" t="str" cm="1">
        <f t="array" ref="AR77:AS77">_xlfn.TEXTSPLIT(AN77," ")</f>
        <v>26.10.2023</v>
      </c>
      <c r="AS77" t="str">
        <v>01:14:54</v>
      </c>
      <c r="AT77">
        <f t="shared" si="27"/>
        <v>1.2333333333333338</v>
      </c>
      <c r="AU77">
        <f t="shared" si="22"/>
        <v>1.0700000000000003</v>
      </c>
      <c r="AV77">
        <f t="shared" si="23"/>
        <v>0.75</v>
      </c>
      <c r="AW77">
        <f t="shared" si="15"/>
        <v>0.77250000000000008</v>
      </c>
    </row>
    <row r="78" spans="1:49" x14ac:dyDescent="0.25">
      <c r="A78" t="s">
        <v>672</v>
      </c>
      <c r="B78">
        <v>1.2</v>
      </c>
      <c r="C78">
        <v>14.83</v>
      </c>
      <c r="E78" t="s">
        <v>672</v>
      </c>
      <c r="F78">
        <v>0.75</v>
      </c>
      <c r="G78">
        <v>79.430000000000007</v>
      </c>
      <c r="I78" t="str" cm="1">
        <f t="array" ref="I78:J78">_xlfn.TEXTSPLIT(A78," ")</f>
        <v>27.10.2023</v>
      </c>
      <c r="J78" t="str">
        <v>01:15:40</v>
      </c>
      <c r="K78">
        <f t="shared" si="24"/>
        <v>1.2500000000000004</v>
      </c>
      <c r="L78">
        <f t="shared" si="17"/>
        <v>0.50999999999999979</v>
      </c>
      <c r="M78">
        <f t="shared" si="18"/>
        <v>1.2</v>
      </c>
      <c r="N78">
        <f t="shared" si="12"/>
        <v>0.36249999999999993</v>
      </c>
      <c r="Q78" t="str" cm="1">
        <f t="array" ref="Q78:R78">_xlfn.TEXTSPLIT(E78," ")</f>
        <v>27.10.2023</v>
      </c>
      <c r="R78" t="str">
        <v>01:15:40</v>
      </c>
      <c r="S78">
        <f t="shared" si="25"/>
        <v>1.2500000000000004</v>
      </c>
      <c r="T78">
        <f t="shared" si="16"/>
        <v>0.83000000000001251</v>
      </c>
      <c r="U78">
        <f t="shared" si="19"/>
        <v>0.75</v>
      </c>
      <c r="V78">
        <f t="shared" si="13"/>
        <v>0.61499999999999988</v>
      </c>
      <c r="AC78" t="s">
        <v>673</v>
      </c>
      <c r="AD78">
        <v>0.45</v>
      </c>
      <c r="AE78">
        <v>4.8600000000000003</v>
      </c>
      <c r="AG78" t="str" cm="1">
        <f t="array" ref="AG78:AH78">_xlfn.TEXTSPLIT(AC79," ")</f>
        <v>26.10.2023</v>
      </c>
      <c r="AH78" t="str">
        <v>01:16:54</v>
      </c>
      <c r="AI78">
        <f t="shared" si="26"/>
        <v>1.2500000000000004</v>
      </c>
      <c r="AJ78">
        <f t="shared" si="20"/>
        <v>0.33000000000000007</v>
      </c>
      <c r="AK78">
        <f t="shared" si="21"/>
        <v>0.45</v>
      </c>
      <c r="AL78">
        <f t="shared" si="14"/>
        <v>0.22999999999999998</v>
      </c>
      <c r="AN78" t="s">
        <v>673</v>
      </c>
      <c r="AO78">
        <v>0.6</v>
      </c>
      <c r="AP78">
        <v>62.4</v>
      </c>
      <c r="AR78" t="str" cm="1">
        <f t="array" ref="AR78:AS78">_xlfn.TEXTSPLIT(AN78," ")</f>
        <v>26.10.2023</v>
      </c>
      <c r="AS78" t="str">
        <v>01:15:54</v>
      </c>
      <c r="AT78">
        <f t="shared" si="27"/>
        <v>1.2500000000000004</v>
      </c>
      <c r="AU78">
        <f t="shared" si="22"/>
        <v>1.0899999999999963</v>
      </c>
      <c r="AV78">
        <f t="shared" si="23"/>
        <v>0.6</v>
      </c>
      <c r="AW78">
        <f t="shared" si="15"/>
        <v>0.755</v>
      </c>
    </row>
    <row r="79" spans="1:49" x14ac:dyDescent="0.25">
      <c r="A79" t="s">
        <v>674</v>
      </c>
      <c r="B79">
        <v>0.9</v>
      </c>
      <c r="C79">
        <v>14.84</v>
      </c>
      <c r="E79" t="s">
        <v>674</v>
      </c>
      <c r="F79">
        <v>0.75</v>
      </c>
      <c r="G79">
        <v>79.44</v>
      </c>
      <c r="I79" t="str" cm="1">
        <f t="array" ref="I79:J79">_xlfn.TEXTSPLIT(A79," ")</f>
        <v>27.10.2023</v>
      </c>
      <c r="J79" t="str">
        <v>01:16:40</v>
      </c>
      <c r="K79">
        <f t="shared" si="24"/>
        <v>1.2666666666666671</v>
      </c>
      <c r="L79">
        <f t="shared" si="17"/>
        <v>0.51999999999999957</v>
      </c>
      <c r="M79">
        <f t="shared" si="18"/>
        <v>0.9</v>
      </c>
      <c r="N79">
        <f t="shared" si="12"/>
        <v>0.36999999999999994</v>
      </c>
      <c r="Q79" t="str" cm="1">
        <f t="array" ref="Q79:R79">_xlfn.TEXTSPLIT(E79," ")</f>
        <v>27.10.2023</v>
      </c>
      <c r="R79" t="str">
        <v>01:16:40</v>
      </c>
      <c r="S79">
        <f t="shared" si="25"/>
        <v>1.2666666666666671</v>
      </c>
      <c r="T79">
        <f t="shared" si="16"/>
        <v>0.84000000000000341</v>
      </c>
      <c r="U79">
        <f t="shared" si="19"/>
        <v>0.75</v>
      </c>
      <c r="V79">
        <f t="shared" si="13"/>
        <v>0.61999999999999977</v>
      </c>
      <c r="AC79" t="s">
        <v>675</v>
      </c>
      <c r="AD79">
        <v>0.15</v>
      </c>
      <c r="AE79">
        <v>4.87</v>
      </c>
      <c r="AG79" t="str" cm="1">
        <f t="array" ref="AG79:AH79">_xlfn.TEXTSPLIT(AC80," ")</f>
        <v>26.10.2023</v>
      </c>
      <c r="AH79" t="str">
        <v>01:17:54</v>
      </c>
      <c r="AI79">
        <f t="shared" si="26"/>
        <v>1.2666666666666671</v>
      </c>
      <c r="AJ79">
        <f t="shared" si="20"/>
        <v>0.33999999999999986</v>
      </c>
      <c r="AK79">
        <f t="shared" si="21"/>
        <v>0.15</v>
      </c>
      <c r="AL79">
        <f t="shared" si="14"/>
        <v>0.22749999999999998</v>
      </c>
      <c r="AN79" t="s">
        <v>675</v>
      </c>
      <c r="AO79">
        <v>0.75</v>
      </c>
      <c r="AP79">
        <v>62.41</v>
      </c>
      <c r="AR79" t="str" cm="1">
        <f t="array" ref="AR79:AS79">_xlfn.TEXTSPLIT(AN79," ")</f>
        <v>26.10.2023</v>
      </c>
      <c r="AS79" t="str">
        <v>01:16:54</v>
      </c>
      <c r="AT79">
        <f t="shared" si="27"/>
        <v>1.2666666666666671</v>
      </c>
      <c r="AU79">
        <f t="shared" si="22"/>
        <v>1.0999999999999943</v>
      </c>
      <c r="AV79">
        <f t="shared" si="23"/>
        <v>0.75</v>
      </c>
      <c r="AW79">
        <f t="shared" si="15"/>
        <v>0.75249999999999984</v>
      </c>
    </row>
    <row r="80" spans="1:49" x14ac:dyDescent="0.25">
      <c r="A80" t="s">
        <v>676</v>
      </c>
      <c r="B80">
        <v>0.6</v>
      </c>
      <c r="C80">
        <v>14.85</v>
      </c>
      <c r="E80" t="s">
        <v>676</v>
      </c>
      <c r="F80">
        <v>0.6</v>
      </c>
      <c r="G80">
        <v>79.44</v>
      </c>
      <c r="I80" t="str" cm="1">
        <f t="array" ref="I80:J80">_xlfn.TEXTSPLIT(A80," ")</f>
        <v>27.10.2023</v>
      </c>
      <c r="J80" t="str">
        <v>01:17:40</v>
      </c>
      <c r="K80">
        <f t="shared" si="24"/>
        <v>1.2833333333333337</v>
      </c>
      <c r="L80">
        <f t="shared" si="17"/>
        <v>0.52999999999999936</v>
      </c>
      <c r="M80">
        <f t="shared" si="18"/>
        <v>0.6</v>
      </c>
      <c r="N80">
        <f t="shared" si="12"/>
        <v>0.36999999999999994</v>
      </c>
      <c r="Q80" t="str" cm="1">
        <f t="array" ref="Q80:R80">_xlfn.TEXTSPLIT(E80," ")</f>
        <v>27.10.2023</v>
      </c>
      <c r="R80" t="str">
        <v>01:17:40</v>
      </c>
      <c r="S80">
        <f t="shared" si="25"/>
        <v>1.2833333333333337</v>
      </c>
      <c r="T80">
        <f t="shared" si="16"/>
        <v>0.84000000000000341</v>
      </c>
      <c r="U80">
        <f t="shared" si="19"/>
        <v>0.6</v>
      </c>
      <c r="V80">
        <f t="shared" si="13"/>
        <v>0.61999999999999977</v>
      </c>
      <c r="AC80" t="s">
        <v>677</v>
      </c>
      <c r="AD80">
        <v>0.15</v>
      </c>
      <c r="AE80">
        <v>4.87</v>
      </c>
      <c r="AG80" t="str" cm="1">
        <f t="array" ref="AG80:AH80">_xlfn.TEXTSPLIT(AC81," ")</f>
        <v>26.10.2023</v>
      </c>
      <c r="AH80" t="str">
        <v>01:18:54</v>
      </c>
      <c r="AI80">
        <f t="shared" si="26"/>
        <v>1.2833333333333337</v>
      </c>
      <c r="AJ80">
        <f t="shared" si="20"/>
        <v>0.33999999999999986</v>
      </c>
      <c r="AK80">
        <f t="shared" si="21"/>
        <v>0.15</v>
      </c>
      <c r="AL80">
        <f t="shared" si="14"/>
        <v>0.21499999999999997</v>
      </c>
      <c r="AN80" t="s">
        <v>677</v>
      </c>
      <c r="AO80">
        <v>0.9</v>
      </c>
      <c r="AP80">
        <v>62.42</v>
      </c>
      <c r="AR80" t="str" cm="1">
        <f t="array" ref="AR80:AS80">_xlfn.TEXTSPLIT(AN80," ")</f>
        <v>26.10.2023</v>
      </c>
      <c r="AS80" t="str">
        <v>01:17:54</v>
      </c>
      <c r="AT80">
        <f t="shared" si="27"/>
        <v>1.2833333333333337</v>
      </c>
      <c r="AU80">
        <f t="shared" si="22"/>
        <v>1.1099999999999994</v>
      </c>
      <c r="AV80">
        <f t="shared" si="23"/>
        <v>0.9</v>
      </c>
      <c r="AW80">
        <f t="shared" si="15"/>
        <v>0.75499999999999978</v>
      </c>
    </row>
    <row r="81" spans="1:49" x14ac:dyDescent="0.25">
      <c r="A81" t="s">
        <v>678</v>
      </c>
      <c r="B81">
        <v>0.45</v>
      </c>
      <c r="C81">
        <v>14.86</v>
      </c>
      <c r="E81" t="s">
        <v>678</v>
      </c>
      <c r="F81">
        <v>0.6</v>
      </c>
      <c r="G81">
        <v>79.459999999999994</v>
      </c>
      <c r="I81" t="str" cm="1">
        <f t="array" ref="I81:J81">_xlfn.TEXTSPLIT(A81," ")</f>
        <v>27.10.2023</v>
      </c>
      <c r="J81" t="str">
        <v>01:18:40</v>
      </c>
      <c r="K81">
        <f t="shared" si="24"/>
        <v>1.3000000000000003</v>
      </c>
      <c r="L81">
        <f t="shared" si="17"/>
        <v>0.53999999999999915</v>
      </c>
      <c r="M81">
        <f t="shared" si="18"/>
        <v>0.45</v>
      </c>
      <c r="N81">
        <f t="shared" si="12"/>
        <v>0.36749999999999994</v>
      </c>
      <c r="Q81" t="str" cm="1">
        <f t="array" ref="Q81:R81">_xlfn.TEXTSPLIT(E81," ")</f>
        <v>27.10.2023</v>
      </c>
      <c r="R81" t="str">
        <v>01:18:40</v>
      </c>
      <c r="S81">
        <f t="shared" si="25"/>
        <v>1.3000000000000003</v>
      </c>
      <c r="T81">
        <f t="shared" si="16"/>
        <v>0.85999999999999943</v>
      </c>
      <c r="U81">
        <f t="shared" si="19"/>
        <v>0.6</v>
      </c>
      <c r="V81">
        <f t="shared" si="13"/>
        <v>0.62249999999999994</v>
      </c>
      <c r="AC81" t="s">
        <v>679</v>
      </c>
      <c r="AD81">
        <v>0.15</v>
      </c>
      <c r="AE81">
        <v>4.87</v>
      </c>
      <c r="AG81" t="str" cm="1">
        <f t="array" ref="AG81:AH81">_xlfn.TEXTSPLIT(AC82," ")</f>
        <v>26.10.2023</v>
      </c>
      <c r="AH81" t="str">
        <v>01:19:54</v>
      </c>
      <c r="AI81">
        <f t="shared" si="26"/>
        <v>1.3000000000000003</v>
      </c>
      <c r="AJ81">
        <f t="shared" si="20"/>
        <v>0.33999999999999986</v>
      </c>
      <c r="AK81">
        <f t="shared" si="21"/>
        <v>0.15</v>
      </c>
      <c r="AL81">
        <f t="shared" si="14"/>
        <v>0.19999999999999998</v>
      </c>
      <c r="AN81" t="s">
        <v>679</v>
      </c>
      <c r="AO81">
        <v>0.9</v>
      </c>
      <c r="AP81">
        <v>62.43</v>
      </c>
      <c r="AR81" t="str" cm="1">
        <f t="array" ref="AR81:AS81">_xlfn.TEXTSPLIT(AN81," ")</f>
        <v>26.10.2023</v>
      </c>
      <c r="AS81" t="str">
        <v>01:18:54</v>
      </c>
      <c r="AT81">
        <f t="shared" si="27"/>
        <v>1.3000000000000003</v>
      </c>
      <c r="AU81">
        <f t="shared" si="22"/>
        <v>1.1199999999999974</v>
      </c>
      <c r="AV81">
        <f t="shared" si="23"/>
        <v>0.9</v>
      </c>
      <c r="AW81">
        <f t="shared" si="15"/>
        <v>0.75749999999999984</v>
      </c>
    </row>
    <row r="82" spans="1:49" x14ac:dyDescent="0.25">
      <c r="A82" t="s">
        <v>680</v>
      </c>
      <c r="B82">
        <v>0.3</v>
      </c>
      <c r="C82">
        <v>14.86</v>
      </c>
      <c r="E82" t="s">
        <v>680</v>
      </c>
      <c r="F82">
        <v>0.75</v>
      </c>
      <c r="G82">
        <v>79.47</v>
      </c>
      <c r="I82" t="str" cm="1">
        <f t="array" ref="I82:J82">_xlfn.TEXTSPLIT(A82," ")</f>
        <v>27.10.2023</v>
      </c>
      <c r="J82" t="str">
        <v>01:19:40</v>
      </c>
      <c r="K82">
        <f t="shared" si="24"/>
        <v>1.3166666666666669</v>
      </c>
      <c r="L82">
        <f t="shared" si="17"/>
        <v>0.53999999999999915</v>
      </c>
      <c r="M82">
        <f t="shared" si="18"/>
        <v>0.3</v>
      </c>
      <c r="N82">
        <f t="shared" si="12"/>
        <v>0.36499999999999994</v>
      </c>
      <c r="Q82" t="str" cm="1">
        <f t="array" ref="Q82:R82">_xlfn.TEXTSPLIT(E82," ")</f>
        <v>27.10.2023</v>
      </c>
      <c r="R82" t="str">
        <v>01:19:40</v>
      </c>
      <c r="S82">
        <f t="shared" si="25"/>
        <v>1.3166666666666669</v>
      </c>
      <c r="T82">
        <f t="shared" si="16"/>
        <v>0.87000000000000455</v>
      </c>
      <c r="U82">
        <f t="shared" si="19"/>
        <v>0.75</v>
      </c>
      <c r="V82">
        <f t="shared" si="13"/>
        <v>0.62499999999999978</v>
      </c>
      <c r="AC82" t="s">
        <v>681</v>
      </c>
      <c r="AD82">
        <v>0</v>
      </c>
      <c r="AE82">
        <v>4.87</v>
      </c>
      <c r="AG82" t="str" cm="1">
        <f t="array" ref="AG82:AH82">_xlfn.TEXTSPLIT(AC83," ")</f>
        <v>26.10.2023</v>
      </c>
      <c r="AH82" t="str">
        <v>01:20:55</v>
      </c>
      <c r="AI82">
        <f t="shared" si="26"/>
        <v>1.3166666666666669</v>
      </c>
      <c r="AJ82">
        <f t="shared" si="20"/>
        <v>0.33999999999999986</v>
      </c>
      <c r="AK82">
        <f t="shared" si="21"/>
        <v>0</v>
      </c>
      <c r="AL82">
        <f t="shared" si="14"/>
        <v>0.19249999999999998</v>
      </c>
      <c r="AN82" t="s">
        <v>681</v>
      </c>
      <c r="AO82">
        <v>0.9</v>
      </c>
      <c r="AP82">
        <v>62.45</v>
      </c>
      <c r="AR82" t="str" cm="1">
        <f t="array" ref="AR82:AS82">_xlfn.TEXTSPLIT(AN82," ")</f>
        <v>26.10.2023</v>
      </c>
      <c r="AS82" t="str">
        <v>01:19:54</v>
      </c>
      <c r="AT82">
        <f t="shared" si="27"/>
        <v>1.3166666666666669</v>
      </c>
      <c r="AU82">
        <f t="shared" si="22"/>
        <v>1.1400000000000006</v>
      </c>
      <c r="AV82">
        <f t="shared" si="23"/>
        <v>0.9</v>
      </c>
      <c r="AW82">
        <f t="shared" si="15"/>
        <v>0.75999999999999979</v>
      </c>
    </row>
    <row r="83" spans="1:49" x14ac:dyDescent="0.25">
      <c r="A83" t="s">
        <v>682</v>
      </c>
      <c r="B83">
        <v>0.45</v>
      </c>
      <c r="C83">
        <v>14.86</v>
      </c>
      <c r="E83" t="s">
        <v>682</v>
      </c>
      <c r="F83">
        <v>0.75</v>
      </c>
      <c r="G83">
        <v>79.489999999999995</v>
      </c>
      <c r="I83" t="str" cm="1">
        <f t="array" ref="I83:J83">_xlfn.TEXTSPLIT(A83," ")</f>
        <v>27.10.2023</v>
      </c>
      <c r="J83" t="str">
        <v>01:20:41</v>
      </c>
      <c r="K83">
        <f t="shared" si="24"/>
        <v>1.3333333333333335</v>
      </c>
      <c r="L83">
        <f t="shared" si="17"/>
        <v>0.53999999999999915</v>
      </c>
      <c r="M83">
        <f t="shared" si="18"/>
        <v>0.45</v>
      </c>
      <c r="N83">
        <f t="shared" si="12"/>
        <v>0.36749999999999994</v>
      </c>
      <c r="Q83" t="str" cm="1">
        <f t="array" ref="Q83:R83">_xlfn.TEXTSPLIT(E83," ")</f>
        <v>27.10.2023</v>
      </c>
      <c r="R83" t="str">
        <v>01:20:41</v>
      </c>
      <c r="S83">
        <f t="shared" si="25"/>
        <v>1.3333333333333335</v>
      </c>
      <c r="T83">
        <f t="shared" si="16"/>
        <v>0.89000000000000057</v>
      </c>
      <c r="U83">
        <f t="shared" si="19"/>
        <v>0.75</v>
      </c>
      <c r="V83">
        <f t="shared" si="13"/>
        <v>0.62749999999999984</v>
      </c>
      <c r="AC83" t="s">
        <v>683</v>
      </c>
      <c r="AD83">
        <v>0</v>
      </c>
      <c r="AE83">
        <v>4.87</v>
      </c>
      <c r="AG83" t="str" cm="1">
        <f t="array" ref="AG83:AH83">_xlfn.TEXTSPLIT(AC84," ")</f>
        <v>26.10.2023</v>
      </c>
      <c r="AH83" t="str">
        <v>01:21:55</v>
      </c>
      <c r="AI83">
        <f t="shared" si="26"/>
        <v>1.3333333333333335</v>
      </c>
      <c r="AJ83">
        <f t="shared" si="20"/>
        <v>0.33999999999999986</v>
      </c>
      <c r="AK83">
        <f t="shared" si="21"/>
        <v>0</v>
      </c>
      <c r="AL83">
        <f t="shared" si="14"/>
        <v>0.18999999999999995</v>
      </c>
      <c r="AN83" t="s">
        <v>683</v>
      </c>
      <c r="AO83">
        <v>0.9</v>
      </c>
      <c r="AP83">
        <v>62.46</v>
      </c>
      <c r="AR83" t="str" cm="1">
        <f t="array" ref="AR83:AS83">_xlfn.TEXTSPLIT(AN83," ")</f>
        <v>26.10.2023</v>
      </c>
      <c r="AS83" t="str">
        <v>01:20:55</v>
      </c>
      <c r="AT83">
        <f t="shared" si="27"/>
        <v>1.3333333333333335</v>
      </c>
      <c r="AU83">
        <f t="shared" si="22"/>
        <v>1.1499999999999986</v>
      </c>
      <c r="AV83">
        <f t="shared" si="23"/>
        <v>0.9</v>
      </c>
      <c r="AW83">
        <f t="shared" si="15"/>
        <v>0.76249999999999973</v>
      </c>
    </row>
    <row r="84" spans="1:49" x14ac:dyDescent="0.25">
      <c r="A84" t="s">
        <v>684</v>
      </c>
      <c r="B84">
        <v>0.3</v>
      </c>
      <c r="C84">
        <v>14.87</v>
      </c>
      <c r="E84" t="s">
        <v>684</v>
      </c>
      <c r="F84">
        <v>1.05</v>
      </c>
      <c r="G84">
        <v>79.489999999999995</v>
      </c>
      <c r="I84" t="str" cm="1">
        <f t="array" ref="I84:J84">_xlfn.TEXTSPLIT(A84," ")</f>
        <v>27.10.2023</v>
      </c>
      <c r="J84" t="str">
        <v>01:21:41</v>
      </c>
      <c r="K84">
        <f t="shared" si="24"/>
        <v>1.35</v>
      </c>
      <c r="L84">
        <f t="shared" si="17"/>
        <v>0.54999999999999893</v>
      </c>
      <c r="M84">
        <f t="shared" si="18"/>
        <v>0.3</v>
      </c>
      <c r="N84">
        <f t="shared" si="12"/>
        <v>0.36749999999999994</v>
      </c>
      <c r="Q84" t="str" cm="1">
        <f t="array" ref="Q84:R84">_xlfn.TEXTSPLIT(E84," ")</f>
        <v>27.10.2023</v>
      </c>
      <c r="R84" t="str">
        <v>01:21:41</v>
      </c>
      <c r="S84">
        <f t="shared" si="25"/>
        <v>1.35</v>
      </c>
      <c r="T84">
        <f t="shared" si="16"/>
        <v>0.89000000000000057</v>
      </c>
      <c r="U84">
        <f t="shared" si="19"/>
        <v>1.05</v>
      </c>
      <c r="V84">
        <f t="shared" si="13"/>
        <v>0.63249999999999995</v>
      </c>
      <c r="AC84" t="s">
        <v>685</v>
      </c>
      <c r="AD84">
        <v>0</v>
      </c>
      <c r="AE84">
        <v>4.87</v>
      </c>
      <c r="AG84" t="str" cm="1">
        <f t="array" ref="AG84:AH84">_xlfn.TEXTSPLIT(AC85," ")</f>
        <v>26.10.2023</v>
      </c>
      <c r="AH84" t="str">
        <v>01:22:55</v>
      </c>
      <c r="AI84">
        <f t="shared" si="26"/>
        <v>1.35</v>
      </c>
      <c r="AJ84">
        <f t="shared" si="20"/>
        <v>0.33999999999999986</v>
      </c>
      <c r="AK84">
        <f t="shared" si="21"/>
        <v>0</v>
      </c>
      <c r="AL84">
        <f t="shared" si="14"/>
        <v>0.185</v>
      </c>
      <c r="AN84" t="s">
        <v>685</v>
      </c>
      <c r="AO84">
        <v>0.75</v>
      </c>
      <c r="AP84">
        <v>62.47</v>
      </c>
      <c r="AR84" t="str" cm="1">
        <f t="array" ref="AR84:AS84">_xlfn.TEXTSPLIT(AN84," ")</f>
        <v>26.10.2023</v>
      </c>
      <c r="AS84" t="str">
        <v>01:21:55</v>
      </c>
      <c r="AT84">
        <f t="shared" si="27"/>
        <v>1.35</v>
      </c>
      <c r="AU84">
        <f t="shared" si="22"/>
        <v>1.1599999999999966</v>
      </c>
      <c r="AV84">
        <f t="shared" si="23"/>
        <v>0.75</v>
      </c>
      <c r="AW84">
        <f t="shared" si="15"/>
        <v>0.75749999999999984</v>
      </c>
    </row>
    <row r="85" spans="1:49" x14ac:dyDescent="0.25">
      <c r="A85" t="s">
        <v>686</v>
      </c>
      <c r="B85">
        <v>0.45</v>
      </c>
      <c r="C85">
        <v>14.88</v>
      </c>
      <c r="E85" t="s">
        <v>686</v>
      </c>
      <c r="F85">
        <v>0.15</v>
      </c>
      <c r="G85">
        <v>79.489999999999995</v>
      </c>
      <c r="I85" t="str" cm="1">
        <f t="array" ref="I85:J85">_xlfn.TEXTSPLIT(A85," ")</f>
        <v>27.10.2023</v>
      </c>
      <c r="J85" t="str">
        <v>01:22:41</v>
      </c>
      <c r="K85">
        <f t="shared" si="24"/>
        <v>1.3666666666666667</v>
      </c>
      <c r="L85">
        <f t="shared" si="17"/>
        <v>0.5600000000000005</v>
      </c>
      <c r="M85">
        <f t="shared" si="18"/>
        <v>0.45</v>
      </c>
      <c r="N85">
        <f t="shared" si="12"/>
        <v>0.36999999999999994</v>
      </c>
      <c r="Q85" t="str" cm="1">
        <f t="array" ref="Q85:R85">_xlfn.TEXTSPLIT(E85," ")</f>
        <v>27.10.2023</v>
      </c>
      <c r="R85" t="str">
        <v>01:22:41</v>
      </c>
      <c r="S85">
        <f t="shared" si="25"/>
        <v>1.3666666666666667</v>
      </c>
      <c r="T85">
        <f t="shared" si="16"/>
        <v>0.89000000000000057</v>
      </c>
      <c r="U85">
        <f t="shared" si="19"/>
        <v>0.15</v>
      </c>
      <c r="V85">
        <f t="shared" si="13"/>
        <v>0.63249999999999995</v>
      </c>
      <c r="AC85" t="s">
        <v>687</v>
      </c>
      <c r="AD85">
        <v>0</v>
      </c>
      <c r="AE85">
        <v>4.87</v>
      </c>
      <c r="AG85" t="str" cm="1">
        <f t="array" ref="AG85:AH85">_xlfn.TEXTSPLIT(AC86," ")</f>
        <v>26.10.2023</v>
      </c>
      <c r="AH85" t="str">
        <v>01:23:55</v>
      </c>
      <c r="AI85">
        <f t="shared" si="26"/>
        <v>1.3666666666666667</v>
      </c>
      <c r="AJ85">
        <f t="shared" si="20"/>
        <v>0.33999999999999986</v>
      </c>
      <c r="AK85">
        <f t="shared" si="21"/>
        <v>0</v>
      </c>
      <c r="AL85">
        <f t="shared" si="14"/>
        <v>0.1825</v>
      </c>
      <c r="AN85" t="s">
        <v>687</v>
      </c>
      <c r="AO85">
        <v>0.45</v>
      </c>
      <c r="AP85">
        <v>62.47</v>
      </c>
      <c r="AR85" t="str" cm="1">
        <f t="array" ref="AR85:AS85">_xlfn.TEXTSPLIT(AN85," ")</f>
        <v>26.10.2023</v>
      </c>
      <c r="AS85" t="str">
        <v>01:22:55</v>
      </c>
      <c r="AT85">
        <f t="shared" si="27"/>
        <v>1.3666666666666667</v>
      </c>
      <c r="AU85">
        <f t="shared" si="22"/>
        <v>1.1599999999999966</v>
      </c>
      <c r="AV85">
        <f t="shared" si="23"/>
        <v>0.45</v>
      </c>
      <c r="AW85">
        <f t="shared" si="15"/>
        <v>0.74999999999999989</v>
      </c>
    </row>
    <row r="86" spans="1:49" x14ac:dyDescent="0.25">
      <c r="A86" t="s">
        <v>688</v>
      </c>
      <c r="B86">
        <v>0.15</v>
      </c>
      <c r="C86">
        <v>14.88</v>
      </c>
      <c r="E86" t="s">
        <v>688</v>
      </c>
      <c r="F86">
        <v>0</v>
      </c>
      <c r="G86">
        <v>79.489999999999995</v>
      </c>
      <c r="I86" t="str" cm="1">
        <f t="array" ref="I86:J86">_xlfn.TEXTSPLIT(A86," ")</f>
        <v>27.10.2023</v>
      </c>
      <c r="J86" t="str">
        <v>01:23:41</v>
      </c>
      <c r="K86">
        <f t="shared" si="24"/>
        <v>1.3833333333333333</v>
      </c>
      <c r="L86">
        <f t="shared" si="17"/>
        <v>0.5600000000000005</v>
      </c>
      <c r="M86">
        <f t="shared" si="18"/>
        <v>0.15</v>
      </c>
      <c r="N86">
        <f t="shared" si="12"/>
        <v>0.37249999999999989</v>
      </c>
      <c r="Q86" t="str" cm="1">
        <f t="array" ref="Q86:R86">_xlfn.TEXTSPLIT(E86," ")</f>
        <v>27.10.2023</v>
      </c>
      <c r="R86" t="str">
        <v>01:23:41</v>
      </c>
      <c r="S86">
        <f t="shared" si="25"/>
        <v>1.3833333333333333</v>
      </c>
      <c r="T86">
        <f t="shared" si="16"/>
        <v>0.89000000000000057</v>
      </c>
      <c r="U86">
        <f t="shared" si="19"/>
        <v>0</v>
      </c>
      <c r="V86">
        <f t="shared" si="13"/>
        <v>0.63249999999999995</v>
      </c>
      <c r="AC86" t="s">
        <v>689</v>
      </c>
      <c r="AD86">
        <v>0</v>
      </c>
      <c r="AE86">
        <v>4.87</v>
      </c>
      <c r="AG86" t="str" cm="1">
        <f t="array" ref="AG86:AH86">_xlfn.TEXTSPLIT(AC87," ")</f>
        <v>26.10.2023</v>
      </c>
      <c r="AH86" t="str">
        <v>01:24:55</v>
      </c>
      <c r="AI86">
        <f t="shared" si="26"/>
        <v>1.3833333333333333</v>
      </c>
      <c r="AJ86">
        <f t="shared" si="20"/>
        <v>0.33999999999999986</v>
      </c>
      <c r="AK86">
        <f t="shared" si="21"/>
        <v>0</v>
      </c>
      <c r="AL86">
        <f t="shared" si="14"/>
        <v>0.18</v>
      </c>
      <c r="AN86" t="s">
        <v>689</v>
      </c>
      <c r="AO86">
        <v>0</v>
      </c>
      <c r="AP86">
        <v>62.47</v>
      </c>
      <c r="AR86" t="str" cm="1">
        <f t="array" ref="AR86:AS86">_xlfn.TEXTSPLIT(AN86," ")</f>
        <v>26.10.2023</v>
      </c>
      <c r="AS86" t="str">
        <v>01:23:55</v>
      </c>
      <c r="AT86">
        <f t="shared" si="27"/>
        <v>1.3833333333333333</v>
      </c>
      <c r="AU86">
        <f t="shared" si="22"/>
        <v>1.1599999999999966</v>
      </c>
      <c r="AV86">
        <f t="shared" si="23"/>
        <v>0</v>
      </c>
      <c r="AW86">
        <f t="shared" si="15"/>
        <v>0.74249999999999983</v>
      </c>
    </row>
    <row r="87" spans="1:49" x14ac:dyDescent="0.25">
      <c r="A87" t="s">
        <v>690</v>
      </c>
      <c r="B87">
        <v>0</v>
      </c>
      <c r="C87">
        <v>14.88</v>
      </c>
      <c r="E87" t="s">
        <v>690</v>
      </c>
      <c r="F87">
        <v>0</v>
      </c>
      <c r="G87">
        <v>79.489999999999995</v>
      </c>
      <c r="I87" t="str" cm="1">
        <f t="array" ref="I87:J87">_xlfn.TEXTSPLIT(A87," ")</f>
        <v>27.10.2023</v>
      </c>
      <c r="J87" t="str">
        <v>01:24:41</v>
      </c>
      <c r="K87">
        <f t="shared" si="24"/>
        <v>1.4</v>
      </c>
      <c r="L87">
        <f t="shared" si="17"/>
        <v>0.5600000000000005</v>
      </c>
      <c r="M87">
        <f t="shared" si="18"/>
        <v>0</v>
      </c>
      <c r="N87">
        <f t="shared" si="12"/>
        <v>0.37249999999999989</v>
      </c>
      <c r="Q87" t="str" cm="1">
        <f t="array" ref="Q87:R87">_xlfn.TEXTSPLIT(E87," ")</f>
        <v>27.10.2023</v>
      </c>
      <c r="R87" t="str">
        <v>01:24:41</v>
      </c>
      <c r="S87">
        <f t="shared" si="25"/>
        <v>1.4</v>
      </c>
      <c r="T87">
        <f t="shared" si="16"/>
        <v>0.89000000000000057</v>
      </c>
      <c r="U87">
        <f t="shared" si="19"/>
        <v>0</v>
      </c>
      <c r="V87">
        <f t="shared" si="13"/>
        <v>0.62999999999999978</v>
      </c>
      <c r="AC87" t="s">
        <v>691</v>
      </c>
      <c r="AD87">
        <v>0</v>
      </c>
      <c r="AE87">
        <v>4.87</v>
      </c>
      <c r="AG87" t="str" cm="1">
        <f t="array" ref="AG87:AH87">_xlfn.TEXTSPLIT(AC88," ")</f>
        <v>26.10.2023</v>
      </c>
      <c r="AH87" t="str">
        <v>01:25:55</v>
      </c>
      <c r="AI87">
        <f t="shared" si="26"/>
        <v>1.4</v>
      </c>
      <c r="AJ87">
        <f t="shared" si="20"/>
        <v>0.33999999999999986</v>
      </c>
      <c r="AK87">
        <f t="shared" si="21"/>
        <v>0</v>
      </c>
      <c r="AL87">
        <f t="shared" si="14"/>
        <v>0.18</v>
      </c>
      <c r="AN87" t="s">
        <v>691</v>
      </c>
      <c r="AO87">
        <v>0.15</v>
      </c>
      <c r="AP87">
        <v>62.48</v>
      </c>
      <c r="AR87" t="str" cm="1">
        <f t="array" ref="AR87:AS87">_xlfn.TEXTSPLIT(AN87," ")</f>
        <v>26.10.2023</v>
      </c>
      <c r="AS87" t="str">
        <v>01:24:55</v>
      </c>
      <c r="AT87">
        <f t="shared" si="27"/>
        <v>1.4</v>
      </c>
      <c r="AU87">
        <f t="shared" si="22"/>
        <v>1.1699999999999946</v>
      </c>
      <c r="AV87">
        <f t="shared" si="23"/>
        <v>0.15</v>
      </c>
      <c r="AW87">
        <f t="shared" si="15"/>
        <v>0.73999999999999988</v>
      </c>
    </row>
    <row r="88" spans="1:49" x14ac:dyDescent="0.25">
      <c r="A88" t="s">
        <v>692</v>
      </c>
      <c r="B88">
        <v>0</v>
      </c>
      <c r="C88">
        <v>14.88</v>
      </c>
      <c r="E88" t="s">
        <v>692</v>
      </c>
      <c r="F88">
        <v>0.15</v>
      </c>
      <c r="G88">
        <v>79.5</v>
      </c>
      <c r="I88" t="str" cm="1">
        <f t="array" ref="I88:J88">_xlfn.TEXTSPLIT(A88," ")</f>
        <v>27.10.2023</v>
      </c>
      <c r="J88" t="str">
        <v>01:25:41</v>
      </c>
      <c r="K88">
        <f t="shared" si="24"/>
        <v>1.4166666666666665</v>
      </c>
      <c r="L88">
        <f t="shared" si="17"/>
        <v>0.5600000000000005</v>
      </c>
      <c r="M88">
        <f t="shared" si="18"/>
        <v>0</v>
      </c>
      <c r="N88">
        <f t="shared" si="12"/>
        <v>0.37249999999999989</v>
      </c>
      <c r="Q88" t="str" cm="1">
        <f t="array" ref="Q88:R88">_xlfn.TEXTSPLIT(E88," ")</f>
        <v>27.10.2023</v>
      </c>
      <c r="R88" t="str">
        <v>01:25:41</v>
      </c>
      <c r="S88">
        <f t="shared" si="25"/>
        <v>1.4166666666666665</v>
      </c>
      <c r="T88">
        <f t="shared" si="16"/>
        <v>0.90000000000000568</v>
      </c>
      <c r="U88">
        <f t="shared" si="19"/>
        <v>0.15</v>
      </c>
      <c r="V88">
        <f t="shared" si="13"/>
        <v>0.62999999999999978</v>
      </c>
      <c r="AC88" t="s">
        <v>693</v>
      </c>
      <c r="AD88">
        <v>0</v>
      </c>
      <c r="AE88">
        <v>4.87</v>
      </c>
      <c r="AG88" t="str" cm="1">
        <f t="array" ref="AG88:AH88">_xlfn.TEXTSPLIT(AC89," ")</f>
        <v>26.10.2023</v>
      </c>
      <c r="AH88" t="str">
        <v>01:26:55</v>
      </c>
      <c r="AI88">
        <f t="shared" si="26"/>
        <v>1.4166666666666665</v>
      </c>
      <c r="AJ88">
        <f t="shared" si="20"/>
        <v>0.33999999999999986</v>
      </c>
      <c r="AK88">
        <f t="shared" si="21"/>
        <v>0</v>
      </c>
      <c r="AL88">
        <f t="shared" si="14"/>
        <v>0.18</v>
      </c>
      <c r="AN88" t="s">
        <v>693</v>
      </c>
      <c r="AO88">
        <v>0.15</v>
      </c>
      <c r="AP88">
        <v>62.48</v>
      </c>
      <c r="AR88" t="str" cm="1">
        <f t="array" ref="AR88:AS88">_xlfn.TEXTSPLIT(AN88," ")</f>
        <v>26.10.2023</v>
      </c>
      <c r="AS88" t="str">
        <v>01:25:55</v>
      </c>
      <c r="AT88">
        <f t="shared" si="27"/>
        <v>1.4166666666666665</v>
      </c>
      <c r="AU88">
        <f t="shared" si="22"/>
        <v>1.1699999999999946</v>
      </c>
      <c r="AV88">
        <f t="shared" si="23"/>
        <v>0.15</v>
      </c>
      <c r="AW88">
        <f t="shared" si="15"/>
        <v>0.73999999999999977</v>
      </c>
    </row>
    <row r="89" spans="1:49" x14ac:dyDescent="0.25">
      <c r="A89" t="s">
        <v>694</v>
      </c>
      <c r="B89">
        <v>0</v>
      </c>
      <c r="C89">
        <v>14.88</v>
      </c>
      <c r="E89" t="s">
        <v>694</v>
      </c>
      <c r="F89">
        <v>0.15</v>
      </c>
      <c r="G89">
        <v>79.5</v>
      </c>
      <c r="I89" t="str" cm="1">
        <f t="array" ref="I89:J89">_xlfn.TEXTSPLIT(A89," ")</f>
        <v>27.10.2023</v>
      </c>
      <c r="J89" t="str">
        <v>01:26:41</v>
      </c>
      <c r="K89">
        <f t="shared" si="24"/>
        <v>1.4333333333333331</v>
      </c>
      <c r="L89">
        <f t="shared" si="17"/>
        <v>0.5600000000000005</v>
      </c>
      <c r="M89">
        <f t="shared" si="18"/>
        <v>0</v>
      </c>
      <c r="N89">
        <f t="shared" si="12"/>
        <v>0.37249999999999989</v>
      </c>
      <c r="Q89" t="str" cm="1">
        <f t="array" ref="Q89:R89">_xlfn.TEXTSPLIT(E89," ")</f>
        <v>27.10.2023</v>
      </c>
      <c r="R89" t="str">
        <v>01:26:41</v>
      </c>
      <c r="S89">
        <f t="shared" si="25"/>
        <v>1.4333333333333331</v>
      </c>
      <c r="T89">
        <f t="shared" si="16"/>
        <v>0.90000000000000568</v>
      </c>
      <c r="U89">
        <f t="shared" si="19"/>
        <v>0.15</v>
      </c>
      <c r="V89">
        <f t="shared" si="13"/>
        <v>0.62999999999999978</v>
      </c>
      <c r="AC89" t="s">
        <v>695</v>
      </c>
      <c r="AD89">
        <v>0</v>
      </c>
      <c r="AE89">
        <v>4.87</v>
      </c>
      <c r="AG89" t="str" cm="1">
        <f t="array" ref="AG89:AH89">_xlfn.TEXTSPLIT(AC90," ")</f>
        <v>26.10.2023</v>
      </c>
      <c r="AH89" t="str">
        <v>01:27:55</v>
      </c>
      <c r="AI89">
        <f t="shared" si="26"/>
        <v>1.4333333333333331</v>
      </c>
      <c r="AJ89">
        <f t="shared" si="20"/>
        <v>0.33999999999999986</v>
      </c>
      <c r="AK89">
        <f t="shared" si="21"/>
        <v>0</v>
      </c>
      <c r="AL89">
        <f t="shared" si="14"/>
        <v>0.18</v>
      </c>
      <c r="AN89" t="s">
        <v>695</v>
      </c>
      <c r="AO89">
        <v>0</v>
      </c>
      <c r="AP89">
        <v>62.48</v>
      </c>
      <c r="AR89" t="str" cm="1">
        <f t="array" ref="AR89:AS89">_xlfn.TEXTSPLIT(AN89," ")</f>
        <v>26.10.2023</v>
      </c>
      <c r="AS89" t="str">
        <v>01:26:55</v>
      </c>
      <c r="AT89">
        <f t="shared" si="27"/>
        <v>1.4333333333333331</v>
      </c>
      <c r="AU89">
        <f t="shared" si="22"/>
        <v>1.1699999999999946</v>
      </c>
      <c r="AV89">
        <f t="shared" si="23"/>
        <v>0</v>
      </c>
      <c r="AW89">
        <f t="shared" si="15"/>
        <v>0.73499999999999976</v>
      </c>
    </row>
    <row r="90" spans="1:49" x14ac:dyDescent="0.25">
      <c r="A90" t="s">
        <v>696</v>
      </c>
      <c r="B90">
        <v>0</v>
      </c>
      <c r="C90">
        <v>14.88</v>
      </c>
      <c r="E90" t="s">
        <v>696</v>
      </c>
      <c r="F90">
        <v>0</v>
      </c>
      <c r="G90">
        <v>79.5</v>
      </c>
      <c r="I90" t="str" cm="1">
        <f t="array" ref="I90:J90">_xlfn.TEXTSPLIT(A90," ")</f>
        <v>27.10.2023</v>
      </c>
      <c r="J90" t="str">
        <v>01:27:42</v>
      </c>
      <c r="K90">
        <f t="shared" si="24"/>
        <v>1.4499999999999997</v>
      </c>
      <c r="L90">
        <f t="shared" si="17"/>
        <v>0.5600000000000005</v>
      </c>
      <c r="M90">
        <f t="shared" si="18"/>
        <v>0</v>
      </c>
      <c r="N90">
        <f t="shared" si="12"/>
        <v>0.37249999999999989</v>
      </c>
      <c r="Q90" t="str" cm="1">
        <f t="array" ref="Q90:R90">_xlfn.TEXTSPLIT(E90," ")</f>
        <v>27.10.2023</v>
      </c>
      <c r="R90" t="str">
        <v>01:27:42</v>
      </c>
      <c r="S90">
        <f t="shared" si="25"/>
        <v>1.4499999999999997</v>
      </c>
      <c r="T90">
        <f t="shared" si="16"/>
        <v>0.90000000000000568</v>
      </c>
      <c r="U90">
        <f t="shared" si="19"/>
        <v>0</v>
      </c>
      <c r="V90">
        <f t="shared" si="13"/>
        <v>0.62749999999999972</v>
      </c>
      <c r="AC90" t="s">
        <v>697</v>
      </c>
      <c r="AD90">
        <v>0.15</v>
      </c>
      <c r="AE90">
        <v>4.87</v>
      </c>
      <c r="AG90" t="str" cm="1">
        <f t="array" ref="AG90:AH90">_xlfn.TEXTSPLIT(AC91," ")</f>
        <v>26.10.2023</v>
      </c>
      <c r="AH90" t="str">
        <v>01:28:55</v>
      </c>
      <c r="AI90">
        <f t="shared" si="26"/>
        <v>1.4499999999999997</v>
      </c>
      <c r="AJ90">
        <f t="shared" si="20"/>
        <v>0.33999999999999986</v>
      </c>
      <c r="AK90">
        <f t="shared" si="21"/>
        <v>0.15</v>
      </c>
      <c r="AL90">
        <f t="shared" si="14"/>
        <v>0.1825</v>
      </c>
      <c r="AN90" t="s">
        <v>697</v>
      </c>
      <c r="AO90">
        <v>0.15</v>
      </c>
      <c r="AP90">
        <v>62.48</v>
      </c>
      <c r="AR90" t="str" cm="1">
        <f t="array" ref="AR90:AS90">_xlfn.TEXTSPLIT(AN90," ")</f>
        <v>26.10.2023</v>
      </c>
      <c r="AS90" t="str">
        <v>01:27:55</v>
      </c>
      <c r="AT90">
        <f t="shared" si="27"/>
        <v>1.4499999999999997</v>
      </c>
      <c r="AU90">
        <f t="shared" si="22"/>
        <v>1.1699999999999946</v>
      </c>
      <c r="AV90">
        <f t="shared" si="23"/>
        <v>0.15</v>
      </c>
      <c r="AW90">
        <f t="shared" si="15"/>
        <v>0.73249999999999971</v>
      </c>
    </row>
    <row r="91" spans="1:49" x14ac:dyDescent="0.25">
      <c r="A91" t="s">
        <v>698</v>
      </c>
      <c r="B91">
        <v>0</v>
      </c>
      <c r="C91">
        <v>14.88</v>
      </c>
      <c r="E91" t="s">
        <v>698</v>
      </c>
      <c r="F91">
        <v>0.15</v>
      </c>
      <c r="G91">
        <v>79.5</v>
      </c>
      <c r="I91" t="str" cm="1">
        <f t="array" ref="I91:J91">_xlfn.TEXTSPLIT(A91," ")</f>
        <v>27.10.2023</v>
      </c>
      <c r="J91" t="str">
        <v>01:28:42</v>
      </c>
      <c r="K91">
        <f t="shared" si="24"/>
        <v>1.4666666666666663</v>
      </c>
      <c r="L91">
        <f t="shared" si="17"/>
        <v>0.5600000000000005</v>
      </c>
      <c r="M91">
        <f t="shared" si="18"/>
        <v>0</v>
      </c>
      <c r="N91">
        <f t="shared" si="12"/>
        <v>0.37249999999999989</v>
      </c>
      <c r="Q91" t="str" cm="1">
        <f t="array" ref="Q91:R91">_xlfn.TEXTSPLIT(E91," ")</f>
        <v>27.10.2023</v>
      </c>
      <c r="R91" t="str">
        <v>01:28:42</v>
      </c>
      <c r="S91">
        <f t="shared" si="25"/>
        <v>1.4666666666666663</v>
      </c>
      <c r="T91">
        <f t="shared" si="16"/>
        <v>0.90000000000000568</v>
      </c>
      <c r="U91">
        <f t="shared" si="19"/>
        <v>0.15</v>
      </c>
      <c r="V91">
        <f t="shared" si="13"/>
        <v>0.62499999999999978</v>
      </c>
      <c r="AC91" t="s">
        <v>699</v>
      </c>
      <c r="AD91">
        <v>0</v>
      </c>
      <c r="AE91">
        <v>4.87</v>
      </c>
      <c r="AG91" t="str" cm="1">
        <f t="array" ref="AG91:AH91">_xlfn.TEXTSPLIT(AC92," ")</f>
        <v>26.10.2023</v>
      </c>
      <c r="AH91" t="str">
        <v>01:29:55</v>
      </c>
      <c r="AI91">
        <f t="shared" si="26"/>
        <v>1.4666666666666663</v>
      </c>
      <c r="AJ91">
        <f t="shared" si="20"/>
        <v>0.33999999999999986</v>
      </c>
      <c r="AK91">
        <f t="shared" si="21"/>
        <v>0</v>
      </c>
      <c r="AL91">
        <f t="shared" si="14"/>
        <v>0.1825</v>
      </c>
      <c r="AN91" t="s">
        <v>699</v>
      </c>
      <c r="AO91">
        <v>0.3</v>
      </c>
      <c r="AP91">
        <v>62.48</v>
      </c>
      <c r="AR91" t="str" cm="1">
        <f t="array" ref="AR91:AS91">_xlfn.TEXTSPLIT(AN91," ")</f>
        <v>26.10.2023</v>
      </c>
      <c r="AS91" t="str">
        <v>01:28:55</v>
      </c>
      <c r="AT91">
        <f t="shared" si="27"/>
        <v>1.4666666666666663</v>
      </c>
      <c r="AU91">
        <f t="shared" si="22"/>
        <v>1.1699999999999946</v>
      </c>
      <c r="AV91">
        <f t="shared" si="23"/>
        <v>0.3</v>
      </c>
      <c r="AW91">
        <f t="shared" si="15"/>
        <v>0.73249999999999971</v>
      </c>
    </row>
    <row r="92" spans="1:49" x14ac:dyDescent="0.25">
      <c r="A92" t="s">
        <v>700</v>
      </c>
      <c r="B92">
        <v>0</v>
      </c>
      <c r="C92">
        <v>14.88</v>
      </c>
      <c r="E92" t="s">
        <v>700</v>
      </c>
      <c r="F92">
        <v>0.3</v>
      </c>
      <c r="G92">
        <v>79.510000000000005</v>
      </c>
      <c r="I92" t="str" cm="1">
        <f t="array" ref="I92:J92">_xlfn.TEXTSPLIT(A92," ")</f>
        <v>27.10.2023</v>
      </c>
      <c r="J92" t="str">
        <v>01:29:42</v>
      </c>
      <c r="K92">
        <f t="shared" si="24"/>
        <v>1.4833333333333329</v>
      </c>
      <c r="L92">
        <f t="shared" si="17"/>
        <v>0.5600000000000005</v>
      </c>
      <c r="M92">
        <f t="shared" si="18"/>
        <v>0</v>
      </c>
      <c r="N92">
        <f t="shared" si="12"/>
        <v>0.37249999999999989</v>
      </c>
      <c r="Q92" t="str" cm="1">
        <f t="array" ref="Q92:R92">_xlfn.TEXTSPLIT(E92," ")</f>
        <v>27.10.2023</v>
      </c>
      <c r="R92" t="str">
        <v>01:29:42</v>
      </c>
      <c r="S92">
        <f t="shared" si="25"/>
        <v>1.4833333333333329</v>
      </c>
      <c r="T92">
        <f t="shared" si="16"/>
        <v>0.9100000000000108</v>
      </c>
      <c r="U92">
        <f t="shared" si="19"/>
        <v>0.3</v>
      </c>
      <c r="V92">
        <f t="shared" si="13"/>
        <v>0.62749999999999961</v>
      </c>
      <c r="AC92" t="s">
        <v>701</v>
      </c>
      <c r="AD92">
        <v>0</v>
      </c>
      <c r="AE92">
        <v>4.87</v>
      </c>
      <c r="AG92" t="str" cm="1">
        <f t="array" ref="AG92:AH92">_xlfn.TEXTSPLIT(AC93," ")</f>
        <v>26.10.2023</v>
      </c>
      <c r="AH92" t="str">
        <v>01:30:56</v>
      </c>
      <c r="AI92">
        <f t="shared" si="26"/>
        <v>1.4833333333333329</v>
      </c>
      <c r="AJ92">
        <f t="shared" si="20"/>
        <v>0.33999999999999986</v>
      </c>
      <c r="AK92">
        <f t="shared" si="21"/>
        <v>0</v>
      </c>
      <c r="AL92">
        <f t="shared" si="14"/>
        <v>0.1825</v>
      </c>
      <c r="AN92" t="s">
        <v>701</v>
      </c>
      <c r="AO92">
        <v>0.15</v>
      </c>
      <c r="AP92">
        <v>62.49</v>
      </c>
      <c r="AR92" t="str" cm="1">
        <f t="array" ref="AR92:AS92">_xlfn.TEXTSPLIT(AN92," ")</f>
        <v>26.10.2023</v>
      </c>
      <c r="AS92" t="str">
        <v>01:29:55</v>
      </c>
      <c r="AT92">
        <f t="shared" si="27"/>
        <v>1.4833333333333329</v>
      </c>
      <c r="AU92">
        <f t="shared" si="22"/>
        <v>1.1799999999999997</v>
      </c>
      <c r="AV92">
        <f t="shared" si="23"/>
        <v>0.15</v>
      </c>
      <c r="AW92">
        <f t="shared" si="15"/>
        <v>0.72999999999999965</v>
      </c>
    </row>
    <row r="93" spans="1:49" x14ac:dyDescent="0.25">
      <c r="A93" t="s">
        <v>702</v>
      </c>
      <c r="B93">
        <v>0</v>
      </c>
      <c r="C93">
        <v>14.88</v>
      </c>
      <c r="E93" t="s">
        <v>702</v>
      </c>
      <c r="F93">
        <v>0.3</v>
      </c>
      <c r="G93">
        <v>79.510000000000005</v>
      </c>
      <c r="I93" t="str" cm="1">
        <f t="array" ref="I93:J93">_xlfn.TEXTSPLIT(A93," ")</f>
        <v>27.10.2023</v>
      </c>
      <c r="J93" t="str">
        <v>01:30:42</v>
      </c>
      <c r="K93">
        <f t="shared" si="24"/>
        <v>1.4999999999999996</v>
      </c>
      <c r="L93">
        <f t="shared" si="17"/>
        <v>0.5600000000000005</v>
      </c>
      <c r="M93">
        <f t="shared" si="18"/>
        <v>0</v>
      </c>
      <c r="N93">
        <f t="shared" si="12"/>
        <v>0.37249999999999989</v>
      </c>
      <c r="Q93" t="str" cm="1">
        <f t="array" ref="Q93:R93">_xlfn.TEXTSPLIT(E93," ")</f>
        <v>27.10.2023</v>
      </c>
      <c r="R93" t="str">
        <v>01:30:42</v>
      </c>
      <c r="S93">
        <f t="shared" si="25"/>
        <v>1.4999999999999996</v>
      </c>
      <c r="T93">
        <f t="shared" si="16"/>
        <v>0.9100000000000108</v>
      </c>
      <c r="U93">
        <f t="shared" si="19"/>
        <v>0.3</v>
      </c>
      <c r="V93">
        <f t="shared" si="13"/>
        <v>0.62749999999999972</v>
      </c>
      <c r="AC93" t="s">
        <v>703</v>
      </c>
      <c r="AD93">
        <v>0</v>
      </c>
      <c r="AE93">
        <v>4.87</v>
      </c>
      <c r="AG93" t="str" cm="1">
        <f t="array" ref="AG93:AH93">_xlfn.TEXTSPLIT(AC94," ")</f>
        <v>26.10.2023</v>
      </c>
      <c r="AH93" t="str">
        <v>01:31:56</v>
      </c>
      <c r="AI93">
        <f t="shared" si="26"/>
        <v>1.4999999999999996</v>
      </c>
      <c r="AJ93">
        <f t="shared" si="20"/>
        <v>0.33999999999999986</v>
      </c>
      <c r="AK93">
        <f t="shared" si="21"/>
        <v>0</v>
      </c>
      <c r="AL93">
        <f t="shared" si="14"/>
        <v>0.1825</v>
      </c>
      <c r="AN93" t="s">
        <v>703</v>
      </c>
      <c r="AO93">
        <v>0.3</v>
      </c>
      <c r="AP93">
        <v>62.49</v>
      </c>
      <c r="AR93" t="str" cm="1">
        <f t="array" ref="AR93:AS93">_xlfn.TEXTSPLIT(AN93," ")</f>
        <v>26.10.2023</v>
      </c>
      <c r="AS93" t="str">
        <v>01:30:56</v>
      </c>
      <c r="AT93">
        <f t="shared" si="27"/>
        <v>1.4999999999999996</v>
      </c>
      <c r="AU93">
        <f t="shared" si="22"/>
        <v>1.1799999999999997</v>
      </c>
      <c r="AV93">
        <f t="shared" si="23"/>
        <v>0.3</v>
      </c>
      <c r="AW93">
        <f t="shared" si="15"/>
        <v>0.7324999999999996</v>
      </c>
    </row>
    <row r="94" spans="1:49" x14ac:dyDescent="0.25">
      <c r="A94" t="s">
        <v>704</v>
      </c>
      <c r="B94">
        <v>0</v>
      </c>
      <c r="C94">
        <v>14.88</v>
      </c>
      <c r="E94" t="s">
        <v>704</v>
      </c>
      <c r="F94">
        <v>0.3</v>
      </c>
      <c r="G94">
        <v>79.52</v>
      </c>
      <c r="I94" t="str" cm="1">
        <f t="array" ref="I94:J94">_xlfn.TEXTSPLIT(A94," ")</f>
        <v>27.10.2023</v>
      </c>
      <c r="J94" t="str">
        <v>01:31:42</v>
      </c>
      <c r="K94">
        <f t="shared" si="24"/>
        <v>1.5166666666666662</v>
      </c>
      <c r="L94">
        <f t="shared" si="17"/>
        <v>0.5600000000000005</v>
      </c>
      <c r="M94">
        <f t="shared" si="18"/>
        <v>0</v>
      </c>
      <c r="N94">
        <f t="shared" si="12"/>
        <v>0.37249999999999989</v>
      </c>
      <c r="Q94" t="str" cm="1">
        <f t="array" ref="Q94:R94">_xlfn.TEXTSPLIT(E94," ")</f>
        <v>27.10.2023</v>
      </c>
      <c r="R94" t="str">
        <v>01:31:42</v>
      </c>
      <c r="S94">
        <f t="shared" si="25"/>
        <v>1.5166666666666662</v>
      </c>
      <c r="T94">
        <f t="shared" si="16"/>
        <v>0.92000000000000171</v>
      </c>
      <c r="U94">
        <f t="shared" si="19"/>
        <v>0.3</v>
      </c>
      <c r="V94">
        <f t="shared" si="13"/>
        <v>0.62749999999999972</v>
      </c>
      <c r="AC94" t="s">
        <v>705</v>
      </c>
      <c r="AD94">
        <v>0</v>
      </c>
      <c r="AE94">
        <v>4.87</v>
      </c>
      <c r="AG94" t="str" cm="1">
        <f t="array" ref="AG94:AH94">_xlfn.TEXTSPLIT(AC95," ")</f>
        <v>26.10.2023</v>
      </c>
      <c r="AH94" t="str">
        <v>01:32:56</v>
      </c>
      <c r="AI94">
        <f t="shared" si="26"/>
        <v>1.5166666666666662</v>
      </c>
      <c r="AJ94">
        <f t="shared" si="20"/>
        <v>0.33999999999999986</v>
      </c>
      <c r="AK94">
        <f t="shared" si="21"/>
        <v>0</v>
      </c>
      <c r="AL94">
        <f t="shared" si="14"/>
        <v>0.1825</v>
      </c>
      <c r="AN94" t="s">
        <v>705</v>
      </c>
      <c r="AO94">
        <v>0.45</v>
      </c>
      <c r="AP94">
        <v>62.5</v>
      </c>
      <c r="AR94" t="str" cm="1">
        <f t="array" ref="AR94:AS94">_xlfn.TEXTSPLIT(AN94," ")</f>
        <v>26.10.2023</v>
      </c>
      <c r="AS94" t="str">
        <v>01:31:56</v>
      </c>
      <c r="AT94">
        <f t="shared" si="27"/>
        <v>1.5166666666666662</v>
      </c>
      <c r="AU94">
        <f t="shared" si="22"/>
        <v>1.1899999999999977</v>
      </c>
      <c r="AV94">
        <f t="shared" si="23"/>
        <v>0.45</v>
      </c>
      <c r="AW94">
        <f t="shared" si="15"/>
        <v>0.73499999999999954</v>
      </c>
    </row>
    <row r="95" spans="1:49" x14ac:dyDescent="0.25">
      <c r="A95" t="s">
        <v>706</v>
      </c>
      <c r="B95">
        <v>0</v>
      </c>
      <c r="C95">
        <v>14.88</v>
      </c>
      <c r="E95" t="s">
        <v>706</v>
      </c>
      <c r="F95">
        <v>0.15</v>
      </c>
      <c r="G95">
        <v>79.53</v>
      </c>
      <c r="I95" t="str" cm="1">
        <f t="array" ref="I95:J95">_xlfn.TEXTSPLIT(A95," ")</f>
        <v>27.10.2023</v>
      </c>
      <c r="J95" t="str">
        <v>01:32:42</v>
      </c>
      <c r="K95">
        <f t="shared" si="24"/>
        <v>1.5333333333333328</v>
      </c>
      <c r="L95">
        <f t="shared" si="17"/>
        <v>0.5600000000000005</v>
      </c>
      <c r="M95">
        <f t="shared" si="18"/>
        <v>0</v>
      </c>
      <c r="N95">
        <f t="shared" si="12"/>
        <v>0.37249999999999989</v>
      </c>
      <c r="Q95" t="str" cm="1">
        <f t="array" ref="Q95:R95">_xlfn.TEXTSPLIT(E95," ")</f>
        <v>27.10.2023</v>
      </c>
      <c r="R95" t="str">
        <v>01:32:42</v>
      </c>
      <c r="S95">
        <f t="shared" si="25"/>
        <v>1.5333333333333328</v>
      </c>
      <c r="T95">
        <f t="shared" si="16"/>
        <v>0.93000000000000682</v>
      </c>
      <c r="U95">
        <f t="shared" si="19"/>
        <v>0.15</v>
      </c>
      <c r="V95">
        <f t="shared" si="13"/>
        <v>0.62499999999999978</v>
      </c>
      <c r="AC95" t="s">
        <v>707</v>
      </c>
      <c r="AD95">
        <v>0</v>
      </c>
      <c r="AE95">
        <v>4.87</v>
      </c>
      <c r="AG95" t="str" cm="1">
        <f t="array" ref="AG95:AH95">_xlfn.TEXTSPLIT(AC96," ")</f>
        <v>26.10.2023</v>
      </c>
      <c r="AH95" t="str">
        <v>01:33:56</v>
      </c>
      <c r="AI95">
        <f t="shared" si="26"/>
        <v>1.5333333333333328</v>
      </c>
      <c r="AJ95">
        <f t="shared" si="20"/>
        <v>0.33999999999999986</v>
      </c>
      <c r="AK95">
        <f t="shared" si="21"/>
        <v>0</v>
      </c>
      <c r="AL95">
        <f t="shared" si="14"/>
        <v>0.1825</v>
      </c>
      <c r="AN95" t="s">
        <v>707</v>
      </c>
      <c r="AO95">
        <v>0.15</v>
      </c>
      <c r="AP95">
        <v>62.5</v>
      </c>
      <c r="AR95" t="str" cm="1">
        <f t="array" ref="AR95:AS95">_xlfn.TEXTSPLIT(AN95," ")</f>
        <v>26.10.2023</v>
      </c>
      <c r="AS95" t="str">
        <v>01:32:56</v>
      </c>
      <c r="AT95">
        <f t="shared" si="27"/>
        <v>1.5333333333333328</v>
      </c>
      <c r="AU95">
        <f t="shared" si="22"/>
        <v>1.1899999999999977</v>
      </c>
      <c r="AV95">
        <f t="shared" si="23"/>
        <v>0.15</v>
      </c>
      <c r="AW95">
        <f t="shared" si="15"/>
        <v>0.7324999999999996</v>
      </c>
    </row>
    <row r="96" spans="1:49" x14ac:dyDescent="0.25">
      <c r="A96" t="s">
        <v>708</v>
      </c>
      <c r="B96">
        <v>0</v>
      </c>
      <c r="C96">
        <v>14.88</v>
      </c>
      <c r="E96" t="s">
        <v>708</v>
      </c>
      <c r="F96">
        <v>0.3</v>
      </c>
      <c r="G96">
        <v>79.53</v>
      </c>
      <c r="I96" t="str" cm="1">
        <f t="array" ref="I96:J96">_xlfn.TEXTSPLIT(A96," ")</f>
        <v>27.10.2023</v>
      </c>
      <c r="J96" t="str">
        <v>01:33:42</v>
      </c>
      <c r="K96">
        <f t="shared" si="24"/>
        <v>1.5499999999999994</v>
      </c>
      <c r="L96">
        <f t="shared" si="17"/>
        <v>0.5600000000000005</v>
      </c>
      <c r="M96">
        <f t="shared" si="18"/>
        <v>0</v>
      </c>
      <c r="N96">
        <f t="shared" si="12"/>
        <v>0.37249999999999989</v>
      </c>
      <c r="Q96" t="str" cm="1">
        <f t="array" ref="Q96:R96">_xlfn.TEXTSPLIT(E96," ")</f>
        <v>27.10.2023</v>
      </c>
      <c r="R96" t="str">
        <v>01:33:42</v>
      </c>
      <c r="S96">
        <f t="shared" si="25"/>
        <v>1.5499999999999994</v>
      </c>
      <c r="T96">
        <f t="shared" si="16"/>
        <v>0.93000000000000682</v>
      </c>
      <c r="U96">
        <f t="shared" si="19"/>
        <v>0.3</v>
      </c>
      <c r="V96">
        <f t="shared" si="13"/>
        <v>0.62499999999999967</v>
      </c>
      <c r="AC96" t="s">
        <v>709</v>
      </c>
      <c r="AD96">
        <v>0</v>
      </c>
      <c r="AE96">
        <v>4.87</v>
      </c>
      <c r="AG96" t="str" cm="1">
        <f t="array" ref="AG96:AH96">_xlfn.TEXTSPLIT(AC97," ")</f>
        <v>26.10.2023</v>
      </c>
      <c r="AH96" t="str">
        <v>01:34:56</v>
      </c>
      <c r="AI96">
        <f t="shared" si="26"/>
        <v>1.5499999999999994</v>
      </c>
      <c r="AJ96">
        <f t="shared" si="20"/>
        <v>0.33999999999999986</v>
      </c>
      <c r="AK96">
        <f t="shared" si="21"/>
        <v>0</v>
      </c>
      <c r="AL96">
        <f t="shared" si="14"/>
        <v>0.1825</v>
      </c>
      <c r="AN96" t="s">
        <v>709</v>
      </c>
      <c r="AO96">
        <v>0.45</v>
      </c>
      <c r="AP96">
        <v>62.51</v>
      </c>
      <c r="AR96" t="str" cm="1">
        <f t="array" ref="AR96:AS96">_xlfn.TEXTSPLIT(AN96," ")</f>
        <v>26.10.2023</v>
      </c>
      <c r="AS96" t="str">
        <v>01:33:56</v>
      </c>
      <c r="AT96">
        <f t="shared" si="27"/>
        <v>1.5499999999999994</v>
      </c>
      <c r="AU96">
        <f t="shared" si="22"/>
        <v>1.1999999999999957</v>
      </c>
      <c r="AV96">
        <f t="shared" si="23"/>
        <v>0.45</v>
      </c>
      <c r="AW96">
        <f t="shared" si="15"/>
        <v>0.7324999999999996</v>
      </c>
    </row>
    <row r="97" spans="1:49" x14ac:dyDescent="0.25">
      <c r="A97" t="s">
        <v>710</v>
      </c>
      <c r="B97">
        <v>0</v>
      </c>
      <c r="C97">
        <v>14.88</v>
      </c>
      <c r="E97" t="s">
        <v>710</v>
      </c>
      <c r="F97">
        <v>0.45</v>
      </c>
      <c r="G97">
        <v>79.53</v>
      </c>
      <c r="I97" t="str" cm="1">
        <f t="array" ref="I97:J97">_xlfn.TEXTSPLIT(A97," ")</f>
        <v>27.10.2023</v>
      </c>
      <c r="J97" t="str">
        <v>01:34:42</v>
      </c>
      <c r="K97">
        <f t="shared" si="24"/>
        <v>1.566666666666666</v>
      </c>
      <c r="L97">
        <f t="shared" si="17"/>
        <v>0.5600000000000005</v>
      </c>
      <c r="M97">
        <f t="shared" si="18"/>
        <v>0</v>
      </c>
      <c r="N97">
        <f t="shared" si="12"/>
        <v>0.37249999999999989</v>
      </c>
      <c r="Q97" t="str" cm="1">
        <f t="array" ref="Q97:R97">_xlfn.TEXTSPLIT(E97," ")</f>
        <v>27.10.2023</v>
      </c>
      <c r="R97" t="str">
        <v>01:34:42</v>
      </c>
      <c r="S97">
        <f t="shared" si="25"/>
        <v>1.566666666666666</v>
      </c>
      <c r="T97">
        <f t="shared" si="16"/>
        <v>0.93000000000000682</v>
      </c>
      <c r="U97">
        <f t="shared" si="19"/>
        <v>0.45</v>
      </c>
      <c r="V97">
        <f t="shared" si="13"/>
        <v>0.62499999999999978</v>
      </c>
      <c r="AC97" t="s">
        <v>711</v>
      </c>
      <c r="AD97">
        <v>0</v>
      </c>
      <c r="AE97">
        <v>4.87</v>
      </c>
      <c r="AG97" t="str" cm="1">
        <f t="array" ref="AG97:AH97">_xlfn.TEXTSPLIT(AC98," ")</f>
        <v>26.10.2023</v>
      </c>
      <c r="AH97" t="str">
        <v>01:35:56</v>
      </c>
      <c r="AI97">
        <f t="shared" si="26"/>
        <v>1.566666666666666</v>
      </c>
      <c r="AJ97">
        <f t="shared" si="20"/>
        <v>0.33999999999999986</v>
      </c>
      <c r="AK97">
        <f t="shared" si="21"/>
        <v>0</v>
      </c>
      <c r="AL97">
        <f t="shared" si="14"/>
        <v>0.1825</v>
      </c>
      <c r="AN97" t="s">
        <v>711</v>
      </c>
      <c r="AO97">
        <v>0.45</v>
      </c>
      <c r="AP97">
        <v>62.52</v>
      </c>
      <c r="AR97" t="str" cm="1">
        <f t="array" ref="AR97:AS97">_xlfn.TEXTSPLIT(AN97," ")</f>
        <v>26.10.2023</v>
      </c>
      <c r="AS97" t="str">
        <v>01:34:56</v>
      </c>
      <c r="AT97">
        <f t="shared" si="27"/>
        <v>1.566666666666666</v>
      </c>
      <c r="AU97">
        <f t="shared" si="22"/>
        <v>1.2100000000000009</v>
      </c>
      <c r="AV97">
        <f t="shared" si="23"/>
        <v>0.45</v>
      </c>
      <c r="AW97">
        <f t="shared" si="15"/>
        <v>0.73749999999999971</v>
      </c>
    </row>
    <row r="98" spans="1:49" x14ac:dyDescent="0.25">
      <c r="A98" t="s">
        <v>712</v>
      </c>
      <c r="B98">
        <v>0</v>
      </c>
      <c r="C98">
        <v>14.88</v>
      </c>
      <c r="E98" t="s">
        <v>712</v>
      </c>
      <c r="F98">
        <v>0.45</v>
      </c>
      <c r="G98">
        <v>79.540000000000006</v>
      </c>
      <c r="I98" t="str" cm="1">
        <f t="array" ref="I98:J98">_xlfn.TEXTSPLIT(A98," ")</f>
        <v>27.10.2023</v>
      </c>
      <c r="J98" t="str">
        <v>01:35:43</v>
      </c>
      <c r="K98">
        <f t="shared" si="24"/>
        <v>1.5833333333333326</v>
      </c>
      <c r="L98">
        <f t="shared" si="17"/>
        <v>0.5600000000000005</v>
      </c>
      <c r="M98">
        <f t="shared" si="18"/>
        <v>0</v>
      </c>
      <c r="N98">
        <f t="shared" si="12"/>
        <v>0.37249999999999989</v>
      </c>
      <c r="Q98" t="str" cm="1">
        <f t="array" ref="Q98:R98">_xlfn.TEXTSPLIT(E98," ")</f>
        <v>27.10.2023</v>
      </c>
      <c r="R98" t="str">
        <v>01:35:43</v>
      </c>
      <c r="S98">
        <f t="shared" si="25"/>
        <v>1.5833333333333326</v>
      </c>
      <c r="T98">
        <f t="shared" si="16"/>
        <v>0.94000000000001194</v>
      </c>
      <c r="U98">
        <f t="shared" si="19"/>
        <v>0.45</v>
      </c>
      <c r="V98">
        <f t="shared" si="13"/>
        <v>0.62749999999999984</v>
      </c>
      <c r="AC98" t="s">
        <v>713</v>
      </c>
      <c r="AD98">
        <v>0</v>
      </c>
      <c r="AE98">
        <v>4.87</v>
      </c>
      <c r="AG98" t="str" cm="1">
        <f t="array" ref="AG98:AH98">_xlfn.TEXTSPLIT(AC99," ")</f>
        <v>26.10.2023</v>
      </c>
      <c r="AH98" t="str">
        <v>01:36:56</v>
      </c>
      <c r="AI98">
        <f t="shared" si="26"/>
        <v>1.5833333333333326</v>
      </c>
      <c r="AJ98">
        <f t="shared" si="20"/>
        <v>0.33999999999999986</v>
      </c>
      <c r="AK98">
        <f t="shared" si="21"/>
        <v>0</v>
      </c>
      <c r="AL98">
        <f t="shared" si="14"/>
        <v>0.1825</v>
      </c>
      <c r="AN98" t="s">
        <v>713</v>
      </c>
      <c r="AO98">
        <v>0.45</v>
      </c>
      <c r="AP98">
        <v>62.53</v>
      </c>
      <c r="AR98" t="str" cm="1">
        <f t="array" ref="AR98:AS98">_xlfn.TEXTSPLIT(AN98," ")</f>
        <v>26.10.2023</v>
      </c>
      <c r="AS98" t="str">
        <v>01:35:56</v>
      </c>
      <c r="AT98">
        <f t="shared" si="27"/>
        <v>1.5833333333333326</v>
      </c>
      <c r="AU98">
        <f t="shared" si="22"/>
        <v>1.2199999999999989</v>
      </c>
      <c r="AV98">
        <f t="shared" si="23"/>
        <v>0.45</v>
      </c>
      <c r="AW98">
        <f t="shared" si="15"/>
        <v>0.73749999999999971</v>
      </c>
    </row>
    <row r="99" spans="1:49" x14ac:dyDescent="0.25">
      <c r="A99" t="s">
        <v>714</v>
      </c>
      <c r="B99">
        <v>0</v>
      </c>
      <c r="C99">
        <v>14.88</v>
      </c>
      <c r="E99" t="s">
        <v>714</v>
      </c>
      <c r="F99">
        <v>0.45</v>
      </c>
      <c r="G99">
        <v>79.56</v>
      </c>
      <c r="I99" t="str" cm="1">
        <f t="array" ref="I99:J99">_xlfn.TEXTSPLIT(A99," ")</f>
        <v>27.10.2023</v>
      </c>
      <c r="J99" t="str">
        <v>01:36:43</v>
      </c>
      <c r="K99">
        <f t="shared" si="24"/>
        <v>1.5999999999999992</v>
      </c>
      <c r="L99">
        <f t="shared" si="17"/>
        <v>0.5600000000000005</v>
      </c>
      <c r="M99">
        <f t="shared" si="18"/>
        <v>0</v>
      </c>
      <c r="N99">
        <f t="shared" si="12"/>
        <v>0.36999999999999994</v>
      </c>
      <c r="Q99" t="str" cm="1">
        <f t="array" ref="Q99:R99">_xlfn.TEXTSPLIT(E99," ")</f>
        <v>27.10.2023</v>
      </c>
      <c r="R99" t="str">
        <v>01:36:43</v>
      </c>
      <c r="S99">
        <f t="shared" si="25"/>
        <v>1.5999999999999992</v>
      </c>
      <c r="T99">
        <f t="shared" si="16"/>
        <v>0.96000000000000796</v>
      </c>
      <c r="U99">
        <f t="shared" si="19"/>
        <v>0.45</v>
      </c>
      <c r="V99">
        <f t="shared" si="13"/>
        <v>0.62999999999999978</v>
      </c>
      <c r="AC99" t="s">
        <v>715</v>
      </c>
      <c r="AD99">
        <v>0</v>
      </c>
      <c r="AE99">
        <v>4.87</v>
      </c>
      <c r="AG99" t="str" cm="1">
        <f t="array" ref="AG99:AH99">_xlfn.TEXTSPLIT(AC100," ")</f>
        <v>26.10.2023</v>
      </c>
      <c r="AH99" t="str">
        <v>01:37:56</v>
      </c>
      <c r="AI99">
        <f t="shared" si="26"/>
        <v>1.5999999999999992</v>
      </c>
      <c r="AJ99">
        <f t="shared" si="20"/>
        <v>0.33999999999999986</v>
      </c>
      <c r="AK99">
        <f t="shared" si="21"/>
        <v>0</v>
      </c>
      <c r="AL99">
        <f t="shared" si="14"/>
        <v>0.1825</v>
      </c>
      <c r="AN99" t="s">
        <v>715</v>
      </c>
      <c r="AO99">
        <v>0.6</v>
      </c>
      <c r="AP99">
        <v>62.56</v>
      </c>
      <c r="AR99" t="str" cm="1">
        <f t="array" ref="AR99:AS99">_xlfn.TEXTSPLIT(AN99," ")</f>
        <v>26.10.2023</v>
      </c>
      <c r="AS99" t="str">
        <v>01:36:56</v>
      </c>
      <c r="AT99">
        <f t="shared" si="27"/>
        <v>1.5999999999999992</v>
      </c>
      <c r="AU99">
        <f t="shared" si="22"/>
        <v>1.25</v>
      </c>
      <c r="AV99">
        <f t="shared" si="23"/>
        <v>0.6</v>
      </c>
      <c r="AW99">
        <f t="shared" si="15"/>
        <v>0.73749999999999971</v>
      </c>
    </row>
    <row r="100" spans="1:49" x14ac:dyDescent="0.25">
      <c r="A100" t="s">
        <v>716</v>
      </c>
      <c r="B100">
        <v>0</v>
      </c>
      <c r="C100">
        <v>14.88</v>
      </c>
      <c r="E100" t="s">
        <v>716</v>
      </c>
      <c r="F100">
        <v>1.5</v>
      </c>
      <c r="G100">
        <v>79.599999999999994</v>
      </c>
      <c r="I100" t="str" cm="1">
        <f t="array" ref="I100:J100">_xlfn.TEXTSPLIT(A100," ")</f>
        <v>27.10.2023</v>
      </c>
      <c r="J100" t="str">
        <v>01:37:43</v>
      </c>
      <c r="K100">
        <f t="shared" si="24"/>
        <v>1.6166666666666658</v>
      </c>
      <c r="L100">
        <f t="shared" si="17"/>
        <v>0.5600000000000005</v>
      </c>
      <c r="M100">
        <f t="shared" si="18"/>
        <v>0</v>
      </c>
      <c r="N100">
        <f t="shared" si="12"/>
        <v>0.36749999999999994</v>
      </c>
      <c r="Q100" t="str" cm="1">
        <f t="array" ref="Q100:R100">_xlfn.TEXTSPLIT(E100," ")</f>
        <v>27.10.2023</v>
      </c>
      <c r="R100" t="str">
        <v>01:37:43</v>
      </c>
      <c r="S100">
        <f t="shared" si="25"/>
        <v>1.6166666666666658</v>
      </c>
      <c r="T100">
        <f t="shared" si="16"/>
        <v>1</v>
      </c>
      <c r="U100">
        <f t="shared" si="19"/>
        <v>1.5</v>
      </c>
      <c r="V100">
        <f t="shared" si="13"/>
        <v>0.63749999999999984</v>
      </c>
      <c r="AC100" t="s">
        <v>717</v>
      </c>
      <c r="AD100">
        <v>0</v>
      </c>
      <c r="AE100">
        <v>4.87</v>
      </c>
      <c r="AG100" t="str" cm="1">
        <f t="array" ref="AG100:AH100">_xlfn.TEXTSPLIT(AC101," ")</f>
        <v>26.10.2023</v>
      </c>
      <c r="AH100" t="str">
        <v>01:38:56</v>
      </c>
      <c r="AI100">
        <f t="shared" si="26"/>
        <v>1.6166666666666658</v>
      </c>
      <c r="AJ100">
        <f t="shared" si="20"/>
        <v>0.33999999999999986</v>
      </c>
      <c r="AK100">
        <f t="shared" si="21"/>
        <v>0</v>
      </c>
      <c r="AL100">
        <f t="shared" si="14"/>
        <v>0.1825</v>
      </c>
      <c r="AN100" t="s">
        <v>717</v>
      </c>
      <c r="AO100">
        <v>1.5</v>
      </c>
      <c r="AP100">
        <v>62.59</v>
      </c>
      <c r="AR100" t="str" cm="1">
        <f t="array" ref="AR100:AS100">_xlfn.TEXTSPLIT(AN100," ")</f>
        <v>26.10.2023</v>
      </c>
      <c r="AS100" t="str">
        <v>01:37:56</v>
      </c>
      <c r="AT100">
        <f t="shared" si="27"/>
        <v>1.6166666666666658</v>
      </c>
      <c r="AU100">
        <f t="shared" si="22"/>
        <v>1.2800000000000011</v>
      </c>
      <c r="AV100">
        <f t="shared" si="23"/>
        <v>1.5</v>
      </c>
      <c r="AW100">
        <f t="shared" si="15"/>
        <v>0.74499999999999977</v>
      </c>
    </row>
    <row r="101" spans="1:49" x14ac:dyDescent="0.25">
      <c r="A101" t="s">
        <v>718</v>
      </c>
      <c r="B101">
        <v>0.75</v>
      </c>
      <c r="C101">
        <v>14.91</v>
      </c>
      <c r="E101" t="s">
        <v>718</v>
      </c>
      <c r="F101">
        <v>2.5499999999999998</v>
      </c>
      <c r="G101">
        <v>79.63</v>
      </c>
      <c r="I101" t="str" cm="1">
        <f t="array" ref="I101:J101">_xlfn.TEXTSPLIT(A101," ")</f>
        <v>27.10.2023</v>
      </c>
      <c r="J101" t="str">
        <v>01:38:43</v>
      </c>
      <c r="K101">
        <f t="shared" si="24"/>
        <v>1.6333333333333324</v>
      </c>
      <c r="L101">
        <f t="shared" si="17"/>
        <v>0.58999999999999986</v>
      </c>
      <c r="M101">
        <f t="shared" si="18"/>
        <v>0.75</v>
      </c>
      <c r="N101">
        <f t="shared" si="12"/>
        <v>0.36499999999999999</v>
      </c>
      <c r="Q101" t="str" cm="1">
        <f t="array" ref="Q101:R101">_xlfn.TEXTSPLIT(E101," ")</f>
        <v>27.10.2023</v>
      </c>
      <c r="R101" t="str">
        <v>01:38:43</v>
      </c>
      <c r="S101">
        <f t="shared" si="25"/>
        <v>1.6333333333333324</v>
      </c>
      <c r="T101">
        <f t="shared" si="16"/>
        <v>1.0300000000000011</v>
      </c>
      <c r="U101">
        <f t="shared" si="19"/>
        <v>2.5499999999999998</v>
      </c>
      <c r="V101">
        <f t="shared" si="13"/>
        <v>0.64749999999999985</v>
      </c>
      <c r="AC101" t="s">
        <v>719</v>
      </c>
      <c r="AD101">
        <v>0</v>
      </c>
      <c r="AE101">
        <v>4.87</v>
      </c>
      <c r="AG101" t="str" cm="1">
        <f t="array" ref="AG101:AH101">_xlfn.TEXTSPLIT(AC102," ")</f>
        <v>26.10.2023</v>
      </c>
      <c r="AH101" t="str">
        <v>01:39:56</v>
      </c>
      <c r="AI101">
        <f t="shared" si="26"/>
        <v>1.6333333333333324</v>
      </c>
      <c r="AJ101">
        <f t="shared" si="20"/>
        <v>0.33999999999999986</v>
      </c>
      <c r="AK101">
        <f t="shared" si="21"/>
        <v>0</v>
      </c>
      <c r="AL101">
        <f t="shared" si="14"/>
        <v>0.1825</v>
      </c>
      <c r="AN101" t="s">
        <v>719</v>
      </c>
      <c r="AO101">
        <v>2.4</v>
      </c>
      <c r="AP101">
        <v>62.63</v>
      </c>
      <c r="AR101" t="str" cm="1">
        <f t="array" ref="AR101:AS101">_xlfn.TEXTSPLIT(AN101," ")</f>
        <v>26.10.2023</v>
      </c>
      <c r="AS101" t="str">
        <v>01:38:56</v>
      </c>
      <c r="AT101">
        <f t="shared" si="27"/>
        <v>1.6333333333333324</v>
      </c>
      <c r="AU101">
        <f t="shared" si="22"/>
        <v>1.3200000000000003</v>
      </c>
      <c r="AV101">
        <f t="shared" si="23"/>
        <v>2.4</v>
      </c>
      <c r="AW101">
        <f t="shared" si="15"/>
        <v>0.74499999999999988</v>
      </c>
    </row>
    <row r="102" spans="1:49" x14ac:dyDescent="0.25">
      <c r="A102" t="s">
        <v>720</v>
      </c>
      <c r="B102">
        <v>1.8</v>
      </c>
      <c r="C102">
        <v>14.94</v>
      </c>
      <c r="E102" t="s">
        <v>720</v>
      </c>
      <c r="F102">
        <v>1.5</v>
      </c>
      <c r="G102">
        <v>79.650000000000006</v>
      </c>
      <c r="I102" t="str" cm="1">
        <f t="array" ref="I102:J102">_xlfn.TEXTSPLIT(A102," ")</f>
        <v>27.10.2023</v>
      </c>
      <c r="J102" t="str">
        <v>01:39:43</v>
      </c>
      <c r="K102">
        <f t="shared" si="24"/>
        <v>1.649999999999999</v>
      </c>
      <c r="L102">
        <f t="shared" si="17"/>
        <v>0.61999999999999922</v>
      </c>
      <c r="M102">
        <f t="shared" si="18"/>
        <v>1.8</v>
      </c>
      <c r="N102">
        <f t="shared" si="12"/>
        <v>0.36249999999999999</v>
      </c>
      <c r="Q102" t="str" cm="1">
        <f t="array" ref="Q102:R102">_xlfn.TEXTSPLIT(E102," ")</f>
        <v>27.10.2023</v>
      </c>
      <c r="R102" t="str">
        <v>01:39:43</v>
      </c>
      <c r="S102">
        <f t="shared" si="25"/>
        <v>1.649999999999999</v>
      </c>
      <c r="T102">
        <f t="shared" si="16"/>
        <v>1.0500000000000114</v>
      </c>
      <c r="U102">
        <f t="shared" si="19"/>
        <v>1.5</v>
      </c>
      <c r="V102">
        <f t="shared" si="13"/>
        <v>0.63500000000000001</v>
      </c>
      <c r="AC102" t="s">
        <v>721</v>
      </c>
      <c r="AD102">
        <v>0</v>
      </c>
      <c r="AE102">
        <v>4.9000000000000004</v>
      </c>
      <c r="AG102" t="str" cm="1">
        <f t="array" ref="AG102:AH102">_xlfn.TEXTSPLIT(AC103," ")</f>
        <v>26.10.2023</v>
      </c>
      <c r="AH102" t="str">
        <v>01:40:57</v>
      </c>
      <c r="AI102">
        <f t="shared" si="26"/>
        <v>1.649999999999999</v>
      </c>
      <c r="AJ102">
        <f t="shared" si="20"/>
        <v>0.37000000000000011</v>
      </c>
      <c r="AK102">
        <f t="shared" si="21"/>
        <v>0</v>
      </c>
      <c r="AL102">
        <f t="shared" si="14"/>
        <v>0.1825</v>
      </c>
      <c r="AN102" t="s">
        <v>721</v>
      </c>
      <c r="AO102">
        <v>1.8</v>
      </c>
      <c r="AP102">
        <v>62.66</v>
      </c>
      <c r="AR102" t="str" cm="1">
        <f t="array" ref="AR102:AS102">_xlfn.TEXTSPLIT(AN102," ")</f>
        <v>26.10.2023</v>
      </c>
      <c r="AS102" t="str">
        <v>01:39:56</v>
      </c>
      <c r="AT102">
        <f t="shared" si="27"/>
        <v>1.649999999999999</v>
      </c>
      <c r="AU102">
        <f t="shared" si="22"/>
        <v>1.3499999999999943</v>
      </c>
      <c r="AV102">
        <f t="shared" si="23"/>
        <v>1.8</v>
      </c>
      <c r="AW102">
        <f t="shared" si="15"/>
        <v>0.74499999999999988</v>
      </c>
    </row>
    <row r="103" spans="1:49" x14ac:dyDescent="0.25">
      <c r="A103" t="s">
        <v>722</v>
      </c>
      <c r="B103">
        <v>1.2</v>
      </c>
      <c r="C103">
        <v>14.96</v>
      </c>
      <c r="E103" t="s">
        <v>722</v>
      </c>
      <c r="F103">
        <v>0.9</v>
      </c>
      <c r="G103">
        <v>79.66</v>
      </c>
      <c r="I103" t="str" cm="1">
        <f t="array" ref="I103:J103">_xlfn.TEXTSPLIT(A103," ")</f>
        <v>27.10.2023</v>
      </c>
      <c r="J103" t="str">
        <v>01:40:43</v>
      </c>
      <c r="K103">
        <f t="shared" si="24"/>
        <v>1.6666666666666656</v>
      </c>
      <c r="L103">
        <f t="shared" si="17"/>
        <v>0.64000000000000057</v>
      </c>
      <c r="M103">
        <f t="shared" si="18"/>
        <v>1.2</v>
      </c>
      <c r="N103">
        <f t="shared" si="12"/>
        <v>0.35499999999999993</v>
      </c>
      <c r="Q103" t="str" cm="1">
        <f t="array" ref="Q103:R103">_xlfn.TEXTSPLIT(E103," ")</f>
        <v>27.10.2023</v>
      </c>
      <c r="R103" t="str">
        <v>01:40:43</v>
      </c>
      <c r="S103">
        <f t="shared" si="25"/>
        <v>1.6666666666666656</v>
      </c>
      <c r="T103">
        <f t="shared" si="16"/>
        <v>1.0600000000000023</v>
      </c>
      <c r="U103">
        <f t="shared" si="19"/>
        <v>0.9</v>
      </c>
      <c r="V103">
        <f t="shared" si="13"/>
        <v>0.63</v>
      </c>
      <c r="AC103" t="s">
        <v>723</v>
      </c>
      <c r="AD103">
        <v>1.5</v>
      </c>
      <c r="AE103">
        <v>4.91</v>
      </c>
      <c r="AG103" t="str" cm="1">
        <f t="array" ref="AG103:AH103">_xlfn.TEXTSPLIT(AC104," ")</f>
        <v>26.10.2023</v>
      </c>
      <c r="AH103" t="str">
        <v>01:41:57</v>
      </c>
      <c r="AI103">
        <f t="shared" si="26"/>
        <v>1.6666666666666656</v>
      </c>
      <c r="AJ103">
        <f t="shared" si="20"/>
        <v>0.37999999999999989</v>
      </c>
      <c r="AK103">
        <f t="shared" si="21"/>
        <v>1.5</v>
      </c>
      <c r="AL103">
        <f t="shared" si="14"/>
        <v>0.1875</v>
      </c>
      <c r="AN103" t="s">
        <v>723</v>
      </c>
      <c r="AO103">
        <v>1.95</v>
      </c>
      <c r="AP103">
        <v>62.69</v>
      </c>
      <c r="AR103" t="str" cm="1">
        <f t="array" ref="AR103:AS103">_xlfn.TEXTSPLIT(AN103," ")</f>
        <v>26.10.2023</v>
      </c>
      <c r="AS103" t="str">
        <v>01:40:57</v>
      </c>
      <c r="AT103">
        <f t="shared" si="27"/>
        <v>1.6666666666666656</v>
      </c>
      <c r="AU103">
        <f t="shared" si="22"/>
        <v>1.3799999999999955</v>
      </c>
      <c r="AV103">
        <f t="shared" si="23"/>
        <v>1.95</v>
      </c>
      <c r="AW103">
        <f t="shared" si="15"/>
        <v>0.74750000000000005</v>
      </c>
    </row>
    <row r="104" spans="1:49" x14ac:dyDescent="0.25">
      <c r="A104" t="s">
        <v>724</v>
      </c>
      <c r="B104">
        <v>1.35</v>
      </c>
      <c r="C104">
        <v>14.97</v>
      </c>
      <c r="E104" t="s">
        <v>724</v>
      </c>
      <c r="F104">
        <v>0.9</v>
      </c>
      <c r="G104">
        <v>79.67</v>
      </c>
      <c r="I104" t="str" cm="1">
        <f t="array" ref="I104:J104">_xlfn.TEXTSPLIT(A104," ")</f>
        <v>27.10.2023</v>
      </c>
      <c r="J104" t="str">
        <v>01:41:43</v>
      </c>
      <c r="K104">
        <f t="shared" si="24"/>
        <v>1.6833333333333322</v>
      </c>
      <c r="L104">
        <f t="shared" si="17"/>
        <v>0.65000000000000036</v>
      </c>
      <c r="M104">
        <f t="shared" si="18"/>
        <v>1.35</v>
      </c>
      <c r="N104">
        <f t="shared" si="12"/>
        <v>0.35250000000000004</v>
      </c>
      <c r="Q104" t="str" cm="1">
        <f t="array" ref="Q104:R104">_xlfn.TEXTSPLIT(E104," ")</f>
        <v>27.10.2023</v>
      </c>
      <c r="R104" t="str">
        <v>01:41:43</v>
      </c>
      <c r="S104">
        <f t="shared" si="25"/>
        <v>1.6833333333333322</v>
      </c>
      <c r="T104">
        <f t="shared" si="16"/>
        <v>1.0700000000000074</v>
      </c>
      <c r="U104">
        <f t="shared" si="19"/>
        <v>0.9</v>
      </c>
      <c r="V104">
        <f t="shared" si="13"/>
        <v>0.62749999999999995</v>
      </c>
      <c r="AC104" t="s">
        <v>725</v>
      </c>
      <c r="AD104">
        <v>0.6</v>
      </c>
      <c r="AE104">
        <v>4.92</v>
      </c>
      <c r="AG104" t="str" cm="1">
        <f t="array" ref="AG104:AH104">_xlfn.TEXTSPLIT(AC105," ")</f>
        <v>26.10.2023</v>
      </c>
      <c r="AH104" t="str">
        <v>01:42:57</v>
      </c>
      <c r="AI104">
        <f t="shared" si="26"/>
        <v>1.6833333333333322</v>
      </c>
      <c r="AJ104">
        <f t="shared" si="20"/>
        <v>0.38999999999999968</v>
      </c>
      <c r="AK104">
        <f t="shared" si="21"/>
        <v>0.6</v>
      </c>
      <c r="AL104">
        <f t="shared" si="14"/>
        <v>0.18000000000000002</v>
      </c>
      <c r="AN104" t="s">
        <v>725</v>
      </c>
      <c r="AO104">
        <v>1.95</v>
      </c>
      <c r="AP104">
        <v>62.72</v>
      </c>
      <c r="AR104" t="str" cm="1">
        <f t="array" ref="AR104:AS104">_xlfn.TEXTSPLIT(AN104," ")</f>
        <v>26.10.2023</v>
      </c>
      <c r="AS104" t="str">
        <v>01:41:57</v>
      </c>
      <c r="AT104">
        <f t="shared" si="27"/>
        <v>1.6833333333333322</v>
      </c>
      <c r="AU104">
        <f t="shared" si="22"/>
        <v>1.4099999999999966</v>
      </c>
      <c r="AV104">
        <f t="shared" si="23"/>
        <v>1.95</v>
      </c>
      <c r="AW104">
        <f t="shared" si="15"/>
        <v>0.755</v>
      </c>
    </row>
    <row r="105" spans="1:49" x14ac:dyDescent="0.25">
      <c r="A105" t="s">
        <v>726</v>
      </c>
      <c r="B105">
        <v>0.9</v>
      </c>
      <c r="C105">
        <v>14.99</v>
      </c>
      <c r="E105" t="s">
        <v>726</v>
      </c>
      <c r="F105">
        <v>0.6</v>
      </c>
      <c r="G105">
        <v>79.69</v>
      </c>
      <c r="I105" t="str" cm="1">
        <f t="array" ref="I105:J105">_xlfn.TEXTSPLIT(A105," ")</f>
        <v>27.10.2023</v>
      </c>
      <c r="J105" t="str">
        <v>01:42:43</v>
      </c>
      <c r="K105">
        <f t="shared" si="24"/>
        <v>1.6999999999999988</v>
      </c>
      <c r="L105">
        <f t="shared" si="17"/>
        <v>0.66999999999999993</v>
      </c>
      <c r="M105">
        <f t="shared" si="18"/>
        <v>0.9</v>
      </c>
      <c r="N105">
        <f t="shared" si="12"/>
        <v>0.35749999999999998</v>
      </c>
      <c r="Q105" t="str" cm="1">
        <f t="array" ref="Q105:R105">_xlfn.TEXTSPLIT(E105," ")</f>
        <v>27.10.2023</v>
      </c>
      <c r="R105" t="str">
        <v>01:42:43</v>
      </c>
      <c r="S105">
        <f t="shared" si="25"/>
        <v>1.6999999999999988</v>
      </c>
      <c r="T105">
        <f t="shared" si="16"/>
        <v>1.0900000000000034</v>
      </c>
      <c r="U105">
        <f t="shared" si="19"/>
        <v>0.6</v>
      </c>
      <c r="V105">
        <f t="shared" si="13"/>
        <v>0.625</v>
      </c>
      <c r="AC105" t="s">
        <v>727</v>
      </c>
      <c r="AD105">
        <v>0.6</v>
      </c>
      <c r="AE105">
        <v>4.93</v>
      </c>
      <c r="AG105" t="str" cm="1">
        <f t="array" ref="AG105:AH105">_xlfn.TEXTSPLIT(AC106," ")</f>
        <v>26.10.2023</v>
      </c>
      <c r="AH105" t="str">
        <v>01:43:57</v>
      </c>
      <c r="AI105">
        <f t="shared" si="26"/>
        <v>1.6999999999999988</v>
      </c>
      <c r="AJ105">
        <f t="shared" si="20"/>
        <v>0.39999999999999947</v>
      </c>
      <c r="AK105">
        <f t="shared" si="21"/>
        <v>0.6</v>
      </c>
      <c r="AL105">
        <f t="shared" si="14"/>
        <v>0.17750000000000005</v>
      </c>
      <c r="AN105" t="s">
        <v>727</v>
      </c>
      <c r="AO105">
        <v>1.2</v>
      </c>
      <c r="AP105">
        <v>62.73</v>
      </c>
      <c r="AR105" t="str" cm="1">
        <f t="array" ref="AR105:AS105">_xlfn.TEXTSPLIT(AN105," ")</f>
        <v>26.10.2023</v>
      </c>
      <c r="AS105" t="str">
        <v>01:42:57</v>
      </c>
      <c r="AT105">
        <f t="shared" si="27"/>
        <v>1.6999999999999988</v>
      </c>
      <c r="AU105">
        <f t="shared" si="22"/>
        <v>1.4199999999999946</v>
      </c>
      <c r="AV105">
        <f t="shared" si="23"/>
        <v>1.2</v>
      </c>
      <c r="AW105">
        <f t="shared" si="15"/>
        <v>0.75250000000000006</v>
      </c>
    </row>
    <row r="106" spans="1:49" x14ac:dyDescent="0.25">
      <c r="A106" t="s">
        <v>728</v>
      </c>
      <c r="B106">
        <v>0.75</v>
      </c>
      <c r="C106">
        <v>15</v>
      </c>
      <c r="E106" t="s">
        <v>728</v>
      </c>
      <c r="F106">
        <v>0.75</v>
      </c>
      <c r="G106">
        <v>79.7</v>
      </c>
      <c r="I106" t="str" cm="1">
        <f t="array" ref="I106:J106">_xlfn.TEXTSPLIT(A106," ")</f>
        <v>27.10.2023</v>
      </c>
      <c r="J106" t="str">
        <v>01:43:44</v>
      </c>
      <c r="K106">
        <f t="shared" si="24"/>
        <v>1.7166666666666655</v>
      </c>
      <c r="L106">
        <f t="shared" si="17"/>
        <v>0.67999999999999972</v>
      </c>
      <c r="M106">
        <f t="shared" si="18"/>
        <v>0.75</v>
      </c>
      <c r="N106">
        <f t="shared" si="12"/>
        <v>0.35749999999999998</v>
      </c>
      <c r="Q106" t="str" cm="1">
        <f t="array" ref="Q106:R106">_xlfn.TEXTSPLIT(E106," ")</f>
        <v>27.10.2023</v>
      </c>
      <c r="R106" t="str">
        <v>01:43:44</v>
      </c>
      <c r="S106">
        <f t="shared" si="25"/>
        <v>1.7166666666666655</v>
      </c>
      <c r="T106">
        <f t="shared" si="16"/>
        <v>1.1000000000000085</v>
      </c>
      <c r="U106">
        <f t="shared" si="19"/>
        <v>0.75</v>
      </c>
      <c r="V106">
        <f t="shared" si="13"/>
        <v>0.625</v>
      </c>
      <c r="AC106" t="s">
        <v>729</v>
      </c>
      <c r="AD106">
        <v>0.45</v>
      </c>
      <c r="AE106">
        <v>4.93</v>
      </c>
      <c r="AG106" t="str" cm="1">
        <f t="array" ref="AG106:AH106">_xlfn.TEXTSPLIT(AC107," ")</f>
        <v>26.10.2023</v>
      </c>
      <c r="AH106" t="str">
        <v>01:44:57</v>
      </c>
      <c r="AI106">
        <f t="shared" si="26"/>
        <v>1.7166666666666655</v>
      </c>
      <c r="AJ106">
        <f t="shared" si="20"/>
        <v>0.39999999999999947</v>
      </c>
      <c r="AK106">
        <f t="shared" si="21"/>
        <v>0.45</v>
      </c>
      <c r="AL106">
        <f t="shared" si="14"/>
        <v>0.17499999999999999</v>
      </c>
      <c r="AN106" t="s">
        <v>729</v>
      </c>
      <c r="AO106">
        <v>0.9</v>
      </c>
      <c r="AP106">
        <v>62.74</v>
      </c>
      <c r="AR106" t="str" cm="1">
        <f t="array" ref="AR106:AS106">_xlfn.TEXTSPLIT(AN106," ")</f>
        <v>26.10.2023</v>
      </c>
      <c r="AS106" t="str">
        <v>01:43:57</v>
      </c>
      <c r="AT106">
        <f t="shared" si="27"/>
        <v>1.7166666666666655</v>
      </c>
      <c r="AU106">
        <f t="shared" si="22"/>
        <v>1.4299999999999997</v>
      </c>
      <c r="AV106">
        <f t="shared" si="23"/>
        <v>0.9</v>
      </c>
      <c r="AW106">
        <f t="shared" si="15"/>
        <v>0.74999999999999989</v>
      </c>
    </row>
    <row r="107" spans="1:49" x14ac:dyDescent="0.25">
      <c r="A107" t="s">
        <v>730</v>
      </c>
      <c r="B107">
        <v>0.6</v>
      </c>
      <c r="C107">
        <v>15</v>
      </c>
      <c r="E107" t="s">
        <v>730</v>
      </c>
      <c r="F107">
        <v>0.9</v>
      </c>
      <c r="G107">
        <v>79.72</v>
      </c>
      <c r="I107" t="str" cm="1">
        <f t="array" ref="I107:J107">_xlfn.TEXTSPLIT(A107," ")</f>
        <v>27.10.2023</v>
      </c>
      <c r="J107" t="str">
        <v>01:44:44</v>
      </c>
      <c r="K107">
        <f t="shared" si="24"/>
        <v>1.7333333333333321</v>
      </c>
      <c r="L107">
        <f t="shared" si="17"/>
        <v>0.67999999999999972</v>
      </c>
      <c r="M107">
        <f t="shared" si="18"/>
        <v>0.6</v>
      </c>
      <c r="N107">
        <f t="shared" si="12"/>
        <v>0.36249999999999999</v>
      </c>
      <c r="Q107" t="str" cm="1">
        <f t="array" ref="Q107:R107">_xlfn.TEXTSPLIT(E107," ")</f>
        <v>27.10.2023</v>
      </c>
      <c r="R107" t="str">
        <v>01:44:44</v>
      </c>
      <c r="S107">
        <f t="shared" si="25"/>
        <v>1.7333333333333321</v>
      </c>
      <c r="T107">
        <f t="shared" si="16"/>
        <v>1.1200000000000045</v>
      </c>
      <c r="U107">
        <f t="shared" si="19"/>
        <v>0.9</v>
      </c>
      <c r="V107">
        <f t="shared" si="13"/>
        <v>0.63</v>
      </c>
      <c r="AC107" t="s">
        <v>731</v>
      </c>
      <c r="AD107">
        <v>0.15</v>
      </c>
      <c r="AE107">
        <v>4.93</v>
      </c>
      <c r="AG107" t="str" cm="1">
        <f t="array" ref="AG107:AH107">_xlfn.TEXTSPLIT(AC108," ")</f>
        <v>26.10.2023</v>
      </c>
      <c r="AH107" t="str">
        <v>01:45:57</v>
      </c>
      <c r="AI107">
        <f t="shared" si="26"/>
        <v>1.7333333333333321</v>
      </c>
      <c r="AJ107">
        <f t="shared" si="20"/>
        <v>0.39999999999999947</v>
      </c>
      <c r="AK107">
        <f t="shared" si="21"/>
        <v>0.15</v>
      </c>
      <c r="AL107">
        <f t="shared" si="14"/>
        <v>0.16750000000000001</v>
      </c>
      <c r="AN107" t="s">
        <v>731</v>
      </c>
      <c r="AO107">
        <v>0.6</v>
      </c>
      <c r="AP107">
        <v>62.75</v>
      </c>
      <c r="AR107" t="str" cm="1">
        <f t="array" ref="AR107:AS107">_xlfn.TEXTSPLIT(AN107," ")</f>
        <v>26.10.2023</v>
      </c>
      <c r="AS107" t="str">
        <v>01:44:57</v>
      </c>
      <c r="AT107">
        <f t="shared" si="27"/>
        <v>1.7333333333333321</v>
      </c>
      <c r="AU107">
        <f t="shared" si="22"/>
        <v>1.4399999999999977</v>
      </c>
      <c r="AV107">
        <f t="shared" si="23"/>
        <v>0.6</v>
      </c>
      <c r="AW107">
        <f t="shared" si="15"/>
        <v>0.74749999999999983</v>
      </c>
    </row>
    <row r="108" spans="1:49" x14ac:dyDescent="0.25">
      <c r="A108" t="s">
        <v>732</v>
      </c>
      <c r="B108">
        <v>0.3</v>
      </c>
      <c r="C108">
        <v>15.01</v>
      </c>
      <c r="E108" t="s">
        <v>732</v>
      </c>
      <c r="F108">
        <v>1.2</v>
      </c>
      <c r="G108">
        <v>79.739999999999995</v>
      </c>
      <c r="I108" t="str" cm="1">
        <f t="array" ref="I108:J108">_xlfn.TEXTSPLIT(A108," ")</f>
        <v>27.10.2023</v>
      </c>
      <c r="J108" t="str">
        <v>01:45:44</v>
      </c>
      <c r="K108">
        <f t="shared" si="24"/>
        <v>1.7499999999999987</v>
      </c>
      <c r="L108">
        <f t="shared" si="17"/>
        <v>0.6899999999999995</v>
      </c>
      <c r="M108">
        <f t="shared" si="18"/>
        <v>0.3</v>
      </c>
      <c r="N108">
        <f t="shared" si="12"/>
        <v>0.35750000000000004</v>
      </c>
      <c r="Q108" t="str" cm="1">
        <f t="array" ref="Q108:R108">_xlfn.TEXTSPLIT(E108," ")</f>
        <v>27.10.2023</v>
      </c>
      <c r="R108" t="str">
        <v>01:45:44</v>
      </c>
      <c r="S108">
        <f t="shared" si="25"/>
        <v>1.7499999999999987</v>
      </c>
      <c r="T108">
        <f t="shared" si="16"/>
        <v>1.1400000000000006</v>
      </c>
      <c r="U108">
        <f t="shared" si="19"/>
        <v>1.2</v>
      </c>
      <c r="V108">
        <f t="shared" si="13"/>
        <v>0.63749999999999996</v>
      </c>
      <c r="AC108" t="s">
        <v>733</v>
      </c>
      <c r="AD108">
        <v>0</v>
      </c>
      <c r="AE108">
        <v>4.9400000000000004</v>
      </c>
      <c r="AG108" t="str" cm="1">
        <f t="array" ref="AG108:AH108">_xlfn.TEXTSPLIT(AC109," ")</f>
        <v>26.10.2023</v>
      </c>
      <c r="AH108" t="str">
        <v>01:46:57</v>
      </c>
      <c r="AI108">
        <f t="shared" si="26"/>
        <v>1.7499999999999987</v>
      </c>
      <c r="AJ108">
        <f t="shared" si="20"/>
        <v>0.41000000000000014</v>
      </c>
      <c r="AK108">
        <f t="shared" si="21"/>
        <v>0</v>
      </c>
      <c r="AL108">
        <f t="shared" si="14"/>
        <v>0.16250000000000003</v>
      </c>
      <c r="AN108" t="s">
        <v>733</v>
      </c>
      <c r="AO108">
        <v>0.75</v>
      </c>
      <c r="AP108">
        <v>62.76</v>
      </c>
      <c r="AR108" t="str" cm="1">
        <f t="array" ref="AR108:AS108">_xlfn.TEXTSPLIT(AN108," ")</f>
        <v>26.10.2023</v>
      </c>
      <c r="AS108" t="str">
        <v>01:45:57</v>
      </c>
      <c r="AT108">
        <f t="shared" si="27"/>
        <v>1.7499999999999987</v>
      </c>
      <c r="AU108">
        <f t="shared" si="22"/>
        <v>1.4499999999999957</v>
      </c>
      <c r="AV108">
        <f t="shared" si="23"/>
        <v>0.75</v>
      </c>
      <c r="AW108">
        <f t="shared" si="15"/>
        <v>0.74999999999999989</v>
      </c>
    </row>
    <row r="109" spans="1:49" x14ac:dyDescent="0.25">
      <c r="A109" t="s">
        <v>734</v>
      </c>
      <c r="B109">
        <v>0.45</v>
      </c>
      <c r="C109">
        <v>15.01</v>
      </c>
      <c r="E109" t="s">
        <v>734</v>
      </c>
      <c r="F109">
        <v>1.2</v>
      </c>
      <c r="G109">
        <v>79.75</v>
      </c>
      <c r="I109" t="str" cm="1">
        <f t="array" ref="I109:J109">_xlfn.TEXTSPLIT(A109," ")</f>
        <v>27.10.2023</v>
      </c>
      <c r="J109" t="str">
        <v>01:46:44</v>
      </c>
      <c r="K109">
        <f t="shared" si="24"/>
        <v>1.7666666666666653</v>
      </c>
      <c r="L109">
        <f t="shared" si="17"/>
        <v>0.6899999999999995</v>
      </c>
      <c r="M109">
        <f t="shared" si="18"/>
        <v>0.45</v>
      </c>
      <c r="N109">
        <f t="shared" si="12"/>
        <v>0.36249999999999999</v>
      </c>
      <c r="Q109" t="str" cm="1">
        <f t="array" ref="Q109:R109">_xlfn.TEXTSPLIT(E109," ")</f>
        <v>27.10.2023</v>
      </c>
      <c r="R109" t="str">
        <v>01:46:44</v>
      </c>
      <c r="S109">
        <f t="shared" si="25"/>
        <v>1.7666666666666653</v>
      </c>
      <c r="T109">
        <f t="shared" si="16"/>
        <v>1.1500000000000057</v>
      </c>
      <c r="U109">
        <f t="shared" si="19"/>
        <v>1.2</v>
      </c>
      <c r="V109">
        <f t="shared" si="13"/>
        <v>0.65</v>
      </c>
      <c r="AC109" t="s">
        <v>735</v>
      </c>
      <c r="AD109">
        <v>0.15</v>
      </c>
      <c r="AE109">
        <v>4.9400000000000004</v>
      </c>
      <c r="AG109" t="str" cm="1">
        <f t="array" ref="AG109:AH109">_xlfn.TEXTSPLIT(AC110," ")</f>
        <v>26.10.2023</v>
      </c>
      <c r="AH109" t="str">
        <v>01:47:57</v>
      </c>
      <c r="AI109">
        <f t="shared" si="26"/>
        <v>1.7666666666666653</v>
      </c>
      <c r="AJ109">
        <f t="shared" si="20"/>
        <v>0.41000000000000014</v>
      </c>
      <c r="AK109">
        <f t="shared" si="21"/>
        <v>0.15</v>
      </c>
      <c r="AL109">
        <f t="shared" si="14"/>
        <v>0.15750000000000003</v>
      </c>
      <c r="AN109" t="s">
        <v>735</v>
      </c>
      <c r="AO109">
        <v>0.6</v>
      </c>
      <c r="AP109">
        <v>62.77</v>
      </c>
      <c r="AR109" t="str" cm="1">
        <f t="array" ref="AR109:AS109">_xlfn.TEXTSPLIT(AN109," ")</f>
        <v>26.10.2023</v>
      </c>
      <c r="AS109" t="str">
        <v>01:46:57</v>
      </c>
      <c r="AT109">
        <f t="shared" si="27"/>
        <v>1.7666666666666653</v>
      </c>
      <c r="AU109">
        <f t="shared" si="22"/>
        <v>1.4600000000000009</v>
      </c>
      <c r="AV109">
        <f t="shared" si="23"/>
        <v>0.6</v>
      </c>
      <c r="AW109">
        <f t="shared" si="15"/>
        <v>0.74999999999999989</v>
      </c>
    </row>
    <row r="110" spans="1:49" x14ac:dyDescent="0.25">
      <c r="A110" t="s">
        <v>736</v>
      </c>
      <c r="B110">
        <v>0.15</v>
      </c>
      <c r="C110">
        <v>15.02</v>
      </c>
      <c r="E110" t="s">
        <v>736</v>
      </c>
      <c r="F110">
        <v>0.6</v>
      </c>
      <c r="G110">
        <v>79.760000000000005</v>
      </c>
      <c r="I110" t="str" cm="1">
        <f t="array" ref="I110:J110">_xlfn.TEXTSPLIT(A110," ")</f>
        <v>27.10.2023</v>
      </c>
      <c r="J110" t="str">
        <v>01:47:44</v>
      </c>
      <c r="K110">
        <f t="shared" si="24"/>
        <v>1.7833333333333319</v>
      </c>
      <c r="L110">
        <f t="shared" si="17"/>
        <v>0.69999999999999929</v>
      </c>
      <c r="M110">
        <f t="shared" si="18"/>
        <v>0.15</v>
      </c>
      <c r="N110">
        <f t="shared" si="12"/>
        <v>0.35749999999999998</v>
      </c>
      <c r="Q110" t="str" cm="1">
        <f t="array" ref="Q110:R110">_xlfn.TEXTSPLIT(E110," ")</f>
        <v>27.10.2023</v>
      </c>
      <c r="R110" t="str">
        <v>01:47:44</v>
      </c>
      <c r="S110">
        <f t="shared" si="25"/>
        <v>1.7833333333333319</v>
      </c>
      <c r="T110">
        <f t="shared" si="16"/>
        <v>1.1600000000000108</v>
      </c>
      <c r="U110">
        <f t="shared" si="19"/>
        <v>0.6</v>
      </c>
      <c r="V110">
        <f t="shared" si="13"/>
        <v>0.64750000000000008</v>
      </c>
      <c r="AC110" t="s">
        <v>737</v>
      </c>
      <c r="AD110">
        <v>0</v>
      </c>
      <c r="AE110">
        <v>4.9400000000000004</v>
      </c>
      <c r="AG110" t="str" cm="1">
        <f t="array" ref="AG110:AH110">_xlfn.TEXTSPLIT(AC111," ")</f>
        <v>26.10.2023</v>
      </c>
      <c r="AH110" t="str">
        <v>01:48:57</v>
      </c>
      <c r="AI110">
        <f t="shared" si="26"/>
        <v>1.7833333333333319</v>
      </c>
      <c r="AJ110">
        <f t="shared" si="20"/>
        <v>0.41000000000000014</v>
      </c>
      <c r="AK110">
        <f t="shared" si="21"/>
        <v>0</v>
      </c>
      <c r="AL110">
        <f t="shared" si="14"/>
        <v>0.15250000000000002</v>
      </c>
      <c r="AN110" t="s">
        <v>737</v>
      </c>
      <c r="AO110">
        <v>0.6</v>
      </c>
      <c r="AP110">
        <v>62.78</v>
      </c>
      <c r="AR110" t="str" cm="1">
        <f t="array" ref="AR110:AS110">_xlfn.TEXTSPLIT(AN110," ")</f>
        <v>26.10.2023</v>
      </c>
      <c r="AS110" t="str">
        <v>01:47:57</v>
      </c>
      <c r="AT110">
        <f t="shared" si="27"/>
        <v>1.7833333333333319</v>
      </c>
      <c r="AU110">
        <f t="shared" si="22"/>
        <v>1.4699999999999989</v>
      </c>
      <c r="AV110">
        <f t="shared" si="23"/>
        <v>0.6</v>
      </c>
      <c r="AW110">
        <f t="shared" si="15"/>
        <v>0.75249999999999995</v>
      </c>
    </row>
    <row r="111" spans="1:49" x14ac:dyDescent="0.25">
      <c r="A111" t="s">
        <v>738</v>
      </c>
      <c r="B111">
        <v>0.45</v>
      </c>
      <c r="C111">
        <v>15.02</v>
      </c>
      <c r="E111" t="s">
        <v>738</v>
      </c>
      <c r="F111">
        <v>0.6</v>
      </c>
      <c r="G111">
        <v>79.77</v>
      </c>
      <c r="I111" t="str" cm="1">
        <f t="array" ref="I111:J111">_xlfn.TEXTSPLIT(A111," ")</f>
        <v>27.10.2023</v>
      </c>
      <c r="J111" t="str">
        <v>01:48:44</v>
      </c>
      <c r="K111">
        <f t="shared" si="24"/>
        <v>1.7999999999999985</v>
      </c>
      <c r="L111">
        <f t="shared" si="17"/>
        <v>0.69999999999999929</v>
      </c>
      <c r="M111">
        <f t="shared" si="18"/>
        <v>0.45</v>
      </c>
      <c r="N111">
        <f t="shared" si="12"/>
        <v>0.35749999999999998</v>
      </c>
      <c r="Q111" t="str" cm="1">
        <f t="array" ref="Q111:R111">_xlfn.TEXTSPLIT(E111," ")</f>
        <v>27.10.2023</v>
      </c>
      <c r="R111" t="str">
        <v>01:48:44</v>
      </c>
      <c r="S111">
        <f t="shared" si="25"/>
        <v>1.7999999999999985</v>
      </c>
      <c r="T111">
        <f t="shared" si="16"/>
        <v>1.1700000000000017</v>
      </c>
      <c r="U111">
        <f t="shared" si="19"/>
        <v>0.6</v>
      </c>
      <c r="V111">
        <f t="shared" si="13"/>
        <v>0.64500000000000002</v>
      </c>
      <c r="AC111" t="s">
        <v>739</v>
      </c>
      <c r="AD111">
        <v>0</v>
      </c>
      <c r="AE111">
        <v>4.9400000000000004</v>
      </c>
      <c r="AG111" t="str" cm="1">
        <f t="array" ref="AG111:AH111">_xlfn.TEXTSPLIT(AC112," ")</f>
        <v>26.10.2023</v>
      </c>
      <c r="AH111" t="str">
        <v>01:49:57</v>
      </c>
      <c r="AI111">
        <f t="shared" si="26"/>
        <v>1.7999999999999985</v>
      </c>
      <c r="AJ111">
        <f t="shared" si="20"/>
        <v>0.41000000000000014</v>
      </c>
      <c r="AK111">
        <f t="shared" si="21"/>
        <v>0</v>
      </c>
      <c r="AL111">
        <f t="shared" si="14"/>
        <v>0.15250000000000002</v>
      </c>
      <c r="AN111" t="s">
        <v>739</v>
      </c>
      <c r="AO111">
        <v>0.9</v>
      </c>
      <c r="AP111">
        <v>62.81</v>
      </c>
      <c r="AR111" t="str" cm="1">
        <f t="array" ref="AR111:AS111">_xlfn.TEXTSPLIT(AN111," ")</f>
        <v>26.10.2023</v>
      </c>
      <c r="AS111" t="str">
        <v>01:48:57</v>
      </c>
      <c r="AT111">
        <f t="shared" si="27"/>
        <v>1.7999999999999985</v>
      </c>
      <c r="AU111">
        <f t="shared" si="22"/>
        <v>1.5</v>
      </c>
      <c r="AV111">
        <f t="shared" si="23"/>
        <v>0.9</v>
      </c>
      <c r="AW111">
        <f t="shared" si="15"/>
        <v>0.755</v>
      </c>
    </row>
    <row r="112" spans="1:49" x14ac:dyDescent="0.25">
      <c r="A112" t="s">
        <v>740</v>
      </c>
      <c r="B112">
        <v>0.3</v>
      </c>
      <c r="C112">
        <v>15.03</v>
      </c>
      <c r="E112" t="s">
        <v>740</v>
      </c>
      <c r="F112">
        <v>0.45</v>
      </c>
      <c r="G112">
        <v>79.78</v>
      </c>
      <c r="I112" t="str" cm="1">
        <f t="array" ref="I112:J112">_xlfn.TEXTSPLIT(A112," ")</f>
        <v>27.10.2023</v>
      </c>
      <c r="J112" t="str">
        <v>01:49:44</v>
      </c>
      <c r="K112">
        <f t="shared" si="24"/>
        <v>1.8166666666666651</v>
      </c>
      <c r="L112">
        <f t="shared" si="17"/>
        <v>0.70999999999999908</v>
      </c>
      <c r="M112">
        <f t="shared" si="18"/>
        <v>0.3</v>
      </c>
      <c r="N112">
        <f t="shared" si="12"/>
        <v>0.35749999999999998</v>
      </c>
      <c r="Q112" t="str" cm="1">
        <f t="array" ref="Q112:R112">_xlfn.TEXTSPLIT(E112," ")</f>
        <v>27.10.2023</v>
      </c>
      <c r="R112" t="str">
        <v>01:49:44</v>
      </c>
      <c r="S112">
        <f t="shared" si="25"/>
        <v>1.8166666666666651</v>
      </c>
      <c r="T112">
        <f t="shared" si="16"/>
        <v>1.1800000000000068</v>
      </c>
      <c r="U112">
        <f t="shared" si="19"/>
        <v>0.45</v>
      </c>
      <c r="V112">
        <f t="shared" si="13"/>
        <v>0.64000000000000012</v>
      </c>
      <c r="AC112" t="s">
        <v>741</v>
      </c>
      <c r="AD112">
        <v>0.15</v>
      </c>
      <c r="AE112">
        <v>4.9400000000000004</v>
      </c>
      <c r="AG112" t="str" cm="1">
        <f t="array" ref="AG112:AH112">_xlfn.TEXTSPLIT(AC113," ")</f>
        <v>26.10.2023</v>
      </c>
      <c r="AH112" t="str">
        <v>01:50:58</v>
      </c>
      <c r="AI112">
        <f t="shared" si="26"/>
        <v>1.8166666666666651</v>
      </c>
      <c r="AJ112">
        <f t="shared" si="20"/>
        <v>0.41000000000000014</v>
      </c>
      <c r="AK112">
        <f t="shared" si="21"/>
        <v>0.15</v>
      </c>
      <c r="AL112">
        <f t="shared" si="14"/>
        <v>0.15000000000000002</v>
      </c>
      <c r="AN112" t="s">
        <v>741</v>
      </c>
      <c r="AO112">
        <v>1.05</v>
      </c>
      <c r="AP112">
        <v>62.82</v>
      </c>
      <c r="AR112" t="str" cm="1">
        <f t="array" ref="AR112:AS112">_xlfn.TEXTSPLIT(AN112," ")</f>
        <v>26.10.2023</v>
      </c>
      <c r="AS112" t="str">
        <v>01:49:57</v>
      </c>
      <c r="AT112">
        <f t="shared" si="27"/>
        <v>1.8166666666666651</v>
      </c>
      <c r="AU112">
        <f t="shared" si="22"/>
        <v>1.509999999999998</v>
      </c>
      <c r="AV112">
        <f t="shared" si="23"/>
        <v>1.05</v>
      </c>
      <c r="AW112">
        <f t="shared" si="15"/>
        <v>0.75999999999999979</v>
      </c>
    </row>
    <row r="113" spans="1:49" x14ac:dyDescent="0.25">
      <c r="A113" t="s">
        <v>742</v>
      </c>
      <c r="B113">
        <v>0.3</v>
      </c>
      <c r="C113">
        <v>15.03</v>
      </c>
      <c r="E113" t="s">
        <v>742</v>
      </c>
      <c r="F113">
        <v>0.6</v>
      </c>
      <c r="G113">
        <v>79.78</v>
      </c>
      <c r="I113" t="str" cm="1">
        <f t="array" ref="I113:J113">_xlfn.TEXTSPLIT(A113," ")</f>
        <v>27.10.2023</v>
      </c>
      <c r="J113" t="str">
        <v>01:50:45</v>
      </c>
      <c r="K113">
        <f t="shared" si="24"/>
        <v>1.8333333333333317</v>
      </c>
      <c r="L113">
        <f t="shared" si="17"/>
        <v>0.70999999999999908</v>
      </c>
      <c r="M113">
        <f t="shared" si="18"/>
        <v>0.3</v>
      </c>
      <c r="N113">
        <f t="shared" si="12"/>
        <v>0.35749999999999998</v>
      </c>
      <c r="Q113" t="str" cm="1">
        <f t="array" ref="Q113:R113">_xlfn.TEXTSPLIT(E113," ")</f>
        <v>27.10.2023</v>
      </c>
      <c r="R113" t="str">
        <v>01:50:45</v>
      </c>
      <c r="S113">
        <f t="shared" si="25"/>
        <v>1.8333333333333317</v>
      </c>
      <c r="T113">
        <f t="shared" si="16"/>
        <v>1.1800000000000068</v>
      </c>
      <c r="U113">
        <f t="shared" si="19"/>
        <v>0.6</v>
      </c>
      <c r="V113">
        <f t="shared" si="13"/>
        <v>0.64250000000000007</v>
      </c>
      <c r="AC113" t="s">
        <v>743</v>
      </c>
      <c r="AD113">
        <v>0</v>
      </c>
      <c r="AE113">
        <v>4.9400000000000004</v>
      </c>
      <c r="AG113" t="str" cm="1">
        <f t="array" ref="AG113:AH113">_xlfn.TEXTSPLIT(AC114," ")</f>
        <v>26.10.2023</v>
      </c>
      <c r="AH113" t="str">
        <v>01:51:58</v>
      </c>
      <c r="AI113">
        <f t="shared" si="26"/>
        <v>1.8333333333333317</v>
      </c>
      <c r="AJ113">
        <f t="shared" si="20"/>
        <v>0.41000000000000014</v>
      </c>
      <c r="AK113">
        <f t="shared" si="21"/>
        <v>0</v>
      </c>
      <c r="AL113">
        <f t="shared" si="14"/>
        <v>0.14500000000000002</v>
      </c>
      <c r="AN113" t="s">
        <v>743</v>
      </c>
      <c r="AO113">
        <v>0.9</v>
      </c>
      <c r="AP113">
        <v>62.83</v>
      </c>
      <c r="AR113" t="str" cm="1">
        <f t="array" ref="AR113:AS113">_xlfn.TEXTSPLIT(AN113," ")</f>
        <v>26.10.2023</v>
      </c>
      <c r="AS113" t="str">
        <v>01:50:58</v>
      </c>
      <c r="AT113">
        <f t="shared" si="27"/>
        <v>1.8333333333333317</v>
      </c>
      <c r="AU113">
        <f t="shared" si="22"/>
        <v>1.519999999999996</v>
      </c>
      <c r="AV113">
        <f t="shared" si="23"/>
        <v>0.9</v>
      </c>
      <c r="AW113">
        <f t="shared" si="15"/>
        <v>0.75249999999999984</v>
      </c>
    </row>
    <row r="114" spans="1:49" x14ac:dyDescent="0.25">
      <c r="A114" t="s">
        <v>744</v>
      </c>
      <c r="B114">
        <v>0.45</v>
      </c>
      <c r="C114">
        <v>15.04</v>
      </c>
      <c r="E114" t="s">
        <v>744</v>
      </c>
      <c r="F114">
        <v>0.45</v>
      </c>
      <c r="G114">
        <v>79.790000000000006</v>
      </c>
      <c r="I114" t="str" cm="1">
        <f t="array" ref="I114:J114">_xlfn.TEXTSPLIT(A114," ")</f>
        <v>27.10.2023</v>
      </c>
      <c r="J114" t="str">
        <v>01:51:45</v>
      </c>
      <c r="K114">
        <f t="shared" si="24"/>
        <v>1.8499999999999983</v>
      </c>
      <c r="L114">
        <f t="shared" si="17"/>
        <v>0.71999999999999886</v>
      </c>
      <c r="M114">
        <f t="shared" si="18"/>
        <v>0.45</v>
      </c>
      <c r="N114">
        <f t="shared" si="12"/>
        <v>0.36</v>
      </c>
      <c r="Q114" t="str" cm="1">
        <f t="array" ref="Q114:R114">_xlfn.TEXTSPLIT(E114," ")</f>
        <v>27.10.2023</v>
      </c>
      <c r="R114" t="str">
        <v>01:51:45</v>
      </c>
      <c r="S114">
        <f t="shared" si="25"/>
        <v>1.8499999999999983</v>
      </c>
      <c r="T114">
        <f t="shared" si="16"/>
        <v>1.1900000000000119</v>
      </c>
      <c r="U114">
        <f t="shared" si="19"/>
        <v>0.45</v>
      </c>
      <c r="V114">
        <f t="shared" si="13"/>
        <v>0.64500000000000024</v>
      </c>
      <c r="AC114" t="s">
        <v>745</v>
      </c>
      <c r="AD114">
        <v>0</v>
      </c>
      <c r="AE114">
        <v>4.9400000000000004</v>
      </c>
      <c r="AG114" t="str" cm="1">
        <f t="array" ref="AG114:AH114">_xlfn.TEXTSPLIT(AC115," ")</f>
        <v>26.10.2023</v>
      </c>
      <c r="AH114" t="str">
        <v>01:52:58</v>
      </c>
      <c r="AI114">
        <f t="shared" si="26"/>
        <v>1.8499999999999983</v>
      </c>
      <c r="AJ114">
        <f t="shared" si="20"/>
        <v>0.41000000000000014</v>
      </c>
      <c r="AK114">
        <f t="shared" si="21"/>
        <v>0</v>
      </c>
      <c r="AL114">
        <f t="shared" si="14"/>
        <v>0.14500000000000002</v>
      </c>
      <c r="AN114" t="s">
        <v>745</v>
      </c>
      <c r="AO114">
        <v>0.75</v>
      </c>
      <c r="AP114">
        <v>62.85</v>
      </c>
      <c r="AR114" t="str" cm="1">
        <f t="array" ref="AR114:AS114">_xlfn.TEXTSPLIT(AN114," ")</f>
        <v>26.10.2023</v>
      </c>
      <c r="AS114" t="str">
        <v>01:51:58</v>
      </c>
      <c r="AT114">
        <f t="shared" si="27"/>
        <v>1.8499999999999983</v>
      </c>
      <c r="AU114">
        <f t="shared" si="22"/>
        <v>1.5399999999999991</v>
      </c>
      <c r="AV114">
        <f t="shared" si="23"/>
        <v>0.75</v>
      </c>
      <c r="AW114">
        <f t="shared" si="15"/>
        <v>0.74999999999999989</v>
      </c>
    </row>
    <row r="115" spans="1:49" x14ac:dyDescent="0.25">
      <c r="A115" t="s">
        <v>746</v>
      </c>
      <c r="B115">
        <v>0.15</v>
      </c>
      <c r="C115">
        <v>15.04</v>
      </c>
      <c r="E115" t="s">
        <v>746</v>
      </c>
      <c r="F115">
        <v>0.15</v>
      </c>
      <c r="G115">
        <v>79.790000000000006</v>
      </c>
      <c r="I115" t="str" cm="1">
        <f t="array" ref="I115:J115">_xlfn.TEXTSPLIT(A115," ")</f>
        <v>27.10.2023</v>
      </c>
      <c r="J115" t="str">
        <v>01:52:45</v>
      </c>
      <c r="K115">
        <f t="shared" si="24"/>
        <v>1.8666666666666649</v>
      </c>
      <c r="L115">
        <f t="shared" si="17"/>
        <v>0.71999999999999886</v>
      </c>
      <c r="M115">
        <f t="shared" si="18"/>
        <v>0.15</v>
      </c>
      <c r="N115">
        <f t="shared" si="12"/>
        <v>0.36</v>
      </c>
      <c r="Q115" t="str" cm="1">
        <f t="array" ref="Q115:R115">_xlfn.TEXTSPLIT(E115," ")</f>
        <v>27.10.2023</v>
      </c>
      <c r="R115" t="str">
        <v>01:52:45</v>
      </c>
      <c r="S115">
        <f t="shared" si="25"/>
        <v>1.8666666666666649</v>
      </c>
      <c r="T115">
        <f t="shared" si="16"/>
        <v>1.1900000000000119</v>
      </c>
      <c r="U115">
        <f t="shared" si="19"/>
        <v>0.15</v>
      </c>
      <c r="V115">
        <f t="shared" si="13"/>
        <v>0.64500000000000013</v>
      </c>
      <c r="AC115" t="s">
        <v>747</v>
      </c>
      <c r="AD115">
        <v>0</v>
      </c>
      <c r="AE115">
        <v>4.9400000000000004</v>
      </c>
      <c r="AG115" t="str" cm="1">
        <f t="array" ref="AG115:AH115">_xlfn.TEXTSPLIT(AC116," ")</f>
        <v>26.10.2023</v>
      </c>
      <c r="AH115" t="str">
        <v>01:53:58</v>
      </c>
      <c r="AI115">
        <f t="shared" si="26"/>
        <v>1.8666666666666649</v>
      </c>
      <c r="AJ115">
        <f t="shared" si="20"/>
        <v>0.41000000000000014</v>
      </c>
      <c r="AK115">
        <f t="shared" si="21"/>
        <v>0</v>
      </c>
      <c r="AL115">
        <f t="shared" si="14"/>
        <v>0.14250000000000004</v>
      </c>
      <c r="AN115" t="s">
        <v>747</v>
      </c>
      <c r="AO115">
        <v>0.9</v>
      </c>
      <c r="AP115">
        <v>62.85</v>
      </c>
      <c r="AR115" t="str" cm="1">
        <f t="array" ref="AR115:AS115">_xlfn.TEXTSPLIT(AN115," ")</f>
        <v>26.10.2023</v>
      </c>
      <c r="AS115" t="str">
        <v>01:52:58</v>
      </c>
      <c r="AT115">
        <f t="shared" si="27"/>
        <v>1.8666666666666649</v>
      </c>
      <c r="AU115">
        <f t="shared" si="22"/>
        <v>1.5399999999999991</v>
      </c>
      <c r="AV115">
        <f t="shared" si="23"/>
        <v>0.9</v>
      </c>
      <c r="AW115">
        <f t="shared" si="15"/>
        <v>0.74999999999999989</v>
      </c>
    </row>
    <row r="116" spans="1:49" x14ac:dyDescent="0.25">
      <c r="A116" t="s">
        <v>748</v>
      </c>
      <c r="B116">
        <v>0.15</v>
      </c>
      <c r="C116">
        <v>15.04</v>
      </c>
      <c r="E116" t="s">
        <v>748</v>
      </c>
      <c r="F116">
        <v>0.15</v>
      </c>
      <c r="G116">
        <v>79.790000000000006</v>
      </c>
      <c r="I116" t="str" cm="1">
        <f t="array" ref="I116:J116">_xlfn.TEXTSPLIT(A116," ")</f>
        <v>27.10.2023</v>
      </c>
      <c r="J116" t="str">
        <v>01:53:45</v>
      </c>
      <c r="K116">
        <f t="shared" si="24"/>
        <v>1.8833333333333315</v>
      </c>
      <c r="L116">
        <f t="shared" si="17"/>
        <v>0.71999999999999886</v>
      </c>
      <c r="M116">
        <f t="shared" si="18"/>
        <v>0.15</v>
      </c>
      <c r="N116">
        <f t="shared" si="12"/>
        <v>0.36</v>
      </c>
      <c r="Q116" t="str" cm="1">
        <f t="array" ref="Q116:R116">_xlfn.TEXTSPLIT(E116," ")</f>
        <v>27.10.2023</v>
      </c>
      <c r="R116" t="str">
        <v>01:53:45</v>
      </c>
      <c r="S116">
        <f t="shared" si="25"/>
        <v>1.8833333333333315</v>
      </c>
      <c r="T116">
        <f t="shared" si="16"/>
        <v>1.1900000000000119</v>
      </c>
      <c r="U116">
        <f t="shared" si="19"/>
        <v>0.15</v>
      </c>
      <c r="V116">
        <f t="shared" si="13"/>
        <v>0.64750000000000019</v>
      </c>
      <c r="AC116" t="s">
        <v>749</v>
      </c>
      <c r="AD116">
        <v>0</v>
      </c>
      <c r="AE116">
        <v>4.9400000000000004</v>
      </c>
      <c r="AG116" t="str" cm="1">
        <f t="array" ref="AG116:AH116">_xlfn.TEXTSPLIT(AC117," ")</f>
        <v>26.10.2023</v>
      </c>
      <c r="AH116" t="str">
        <v>01:54:58</v>
      </c>
      <c r="AI116">
        <f t="shared" si="26"/>
        <v>1.8833333333333315</v>
      </c>
      <c r="AJ116">
        <f t="shared" si="20"/>
        <v>0.41000000000000014</v>
      </c>
      <c r="AK116">
        <f t="shared" si="21"/>
        <v>0</v>
      </c>
      <c r="AL116">
        <f t="shared" si="14"/>
        <v>0.14250000000000004</v>
      </c>
      <c r="AN116" t="s">
        <v>749</v>
      </c>
      <c r="AO116">
        <v>0</v>
      </c>
      <c r="AP116">
        <v>62.85</v>
      </c>
      <c r="AR116" t="str" cm="1">
        <f t="array" ref="AR116:AS116">_xlfn.TEXTSPLIT(AN116," ")</f>
        <v>26.10.2023</v>
      </c>
      <c r="AS116" t="str">
        <v>01:53:58</v>
      </c>
      <c r="AT116">
        <f t="shared" si="27"/>
        <v>1.8833333333333315</v>
      </c>
      <c r="AU116">
        <f t="shared" si="22"/>
        <v>1.5399999999999991</v>
      </c>
      <c r="AV116">
        <f t="shared" si="23"/>
        <v>0</v>
      </c>
      <c r="AW116">
        <f t="shared" si="15"/>
        <v>0.74999999999999989</v>
      </c>
    </row>
    <row r="117" spans="1:49" x14ac:dyDescent="0.25">
      <c r="A117" t="s">
        <v>750</v>
      </c>
      <c r="B117">
        <v>0</v>
      </c>
      <c r="C117">
        <v>15.04</v>
      </c>
      <c r="E117" t="s">
        <v>750</v>
      </c>
      <c r="F117">
        <v>0</v>
      </c>
      <c r="G117">
        <v>79.790000000000006</v>
      </c>
      <c r="I117" t="str" cm="1">
        <f t="array" ref="I117:J117">_xlfn.TEXTSPLIT(A117," ")</f>
        <v>27.10.2023</v>
      </c>
      <c r="J117" t="str">
        <v>01:54:45</v>
      </c>
      <c r="K117">
        <f t="shared" si="24"/>
        <v>1.8999999999999981</v>
      </c>
      <c r="L117">
        <f t="shared" si="17"/>
        <v>0.71999999999999886</v>
      </c>
      <c r="M117">
        <f t="shared" si="18"/>
        <v>0</v>
      </c>
      <c r="N117">
        <f t="shared" si="12"/>
        <v>0.36</v>
      </c>
      <c r="Q117" t="str" cm="1">
        <f t="array" ref="Q117:R117">_xlfn.TEXTSPLIT(E117," ")</f>
        <v>27.10.2023</v>
      </c>
      <c r="R117" t="str">
        <v>01:54:45</v>
      </c>
      <c r="S117">
        <f t="shared" si="25"/>
        <v>1.8999999999999981</v>
      </c>
      <c r="T117">
        <f t="shared" si="16"/>
        <v>1.1900000000000119</v>
      </c>
      <c r="U117">
        <f t="shared" si="19"/>
        <v>0</v>
      </c>
      <c r="V117">
        <f t="shared" si="13"/>
        <v>0.64750000000000019</v>
      </c>
      <c r="AC117" t="s">
        <v>751</v>
      </c>
      <c r="AD117">
        <v>0</v>
      </c>
      <c r="AE117">
        <v>4.9400000000000004</v>
      </c>
      <c r="AG117" t="str" cm="1">
        <f t="array" ref="AG117:AH117">_xlfn.TEXTSPLIT(AC118," ")</f>
        <v>26.10.2023</v>
      </c>
      <c r="AH117" t="str">
        <v>01:55:58</v>
      </c>
      <c r="AI117">
        <f t="shared" si="26"/>
        <v>1.8999999999999981</v>
      </c>
      <c r="AJ117">
        <f t="shared" si="20"/>
        <v>0.41000000000000014</v>
      </c>
      <c r="AK117">
        <f t="shared" si="21"/>
        <v>0</v>
      </c>
      <c r="AL117">
        <f t="shared" si="14"/>
        <v>0.14250000000000004</v>
      </c>
      <c r="AN117" t="s">
        <v>751</v>
      </c>
      <c r="AO117">
        <v>0</v>
      </c>
      <c r="AP117">
        <v>62.85</v>
      </c>
      <c r="AR117" t="str" cm="1">
        <f t="array" ref="AR117:AS117">_xlfn.TEXTSPLIT(AN117," ")</f>
        <v>26.10.2023</v>
      </c>
      <c r="AS117" t="str">
        <v>01:54:58</v>
      </c>
      <c r="AT117">
        <f t="shared" si="27"/>
        <v>1.8999999999999981</v>
      </c>
      <c r="AU117">
        <f t="shared" si="22"/>
        <v>1.5399999999999991</v>
      </c>
      <c r="AV117">
        <f t="shared" si="23"/>
        <v>0</v>
      </c>
      <c r="AW117">
        <f t="shared" si="15"/>
        <v>0.74749999999999994</v>
      </c>
    </row>
    <row r="118" spans="1:49" x14ac:dyDescent="0.25">
      <c r="A118" t="s">
        <v>752</v>
      </c>
      <c r="B118">
        <v>0</v>
      </c>
      <c r="C118">
        <v>15.04</v>
      </c>
      <c r="E118" t="s">
        <v>752</v>
      </c>
      <c r="F118">
        <v>0.15</v>
      </c>
      <c r="G118">
        <v>79.790000000000006</v>
      </c>
      <c r="I118" t="str" cm="1">
        <f t="array" ref="I118:J118">_xlfn.TEXTSPLIT(A118," ")</f>
        <v>27.10.2023</v>
      </c>
      <c r="J118" t="str">
        <v>01:55:45</v>
      </c>
      <c r="K118">
        <f t="shared" si="24"/>
        <v>1.9166666666666647</v>
      </c>
      <c r="L118">
        <f t="shared" si="17"/>
        <v>0.71999999999999886</v>
      </c>
      <c r="M118">
        <f t="shared" si="18"/>
        <v>0</v>
      </c>
      <c r="N118">
        <f t="shared" si="12"/>
        <v>0.36</v>
      </c>
      <c r="Q118" t="str" cm="1">
        <f t="array" ref="Q118:R118">_xlfn.TEXTSPLIT(E118," ")</f>
        <v>27.10.2023</v>
      </c>
      <c r="R118" t="str">
        <v>01:55:45</v>
      </c>
      <c r="S118">
        <f t="shared" si="25"/>
        <v>1.9166666666666647</v>
      </c>
      <c r="T118">
        <f t="shared" si="16"/>
        <v>1.1900000000000119</v>
      </c>
      <c r="U118">
        <f t="shared" si="19"/>
        <v>0.15</v>
      </c>
      <c r="V118">
        <f t="shared" si="13"/>
        <v>0.65000000000000013</v>
      </c>
      <c r="AC118" t="s">
        <v>753</v>
      </c>
      <c r="AD118">
        <v>0</v>
      </c>
      <c r="AE118">
        <v>4.9400000000000004</v>
      </c>
      <c r="AG118" t="str" cm="1">
        <f t="array" ref="AG118:AH118">_xlfn.TEXTSPLIT(AC119," ")</f>
        <v>26.10.2023</v>
      </c>
      <c r="AH118" t="str">
        <v>01:56:58</v>
      </c>
      <c r="AI118">
        <f t="shared" si="26"/>
        <v>1.9166666666666647</v>
      </c>
      <c r="AJ118">
        <f t="shared" si="20"/>
        <v>0.41000000000000014</v>
      </c>
      <c r="AK118">
        <f t="shared" si="21"/>
        <v>0</v>
      </c>
      <c r="AL118">
        <f t="shared" si="14"/>
        <v>0.14250000000000004</v>
      </c>
      <c r="AN118" t="s">
        <v>753</v>
      </c>
      <c r="AO118">
        <v>0</v>
      </c>
      <c r="AP118">
        <v>62.85</v>
      </c>
      <c r="AR118" t="str" cm="1">
        <f t="array" ref="AR118:AS118">_xlfn.TEXTSPLIT(AN118," ")</f>
        <v>26.10.2023</v>
      </c>
      <c r="AS118" t="str">
        <v>01:55:58</v>
      </c>
      <c r="AT118">
        <f t="shared" si="27"/>
        <v>1.9166666666666647</v>
      </c>
      <c r="AU118">
        <f t="shared" si="22"/>
        <v>1.5399999999999991</v>
      </c>
      <c r="AV118">
        <f t="shared" si="23"/>
        <v>0</v>
      </c>
      <c r="AW118">
        <f t="shared" si="15"/>
        <v>0.74499999999999988</v>
      </c>
    </row>
    <row r="119" spans="1:49" x14ac:dyDescent="0.25">
      <c r="A119" t="s">
        <v>754</v>
      </c>
      <c r="B119">
        <v>0</v>
      </c>
      <c r="C119">
        <v>15.04</v>
      </c>
      <c r="E119" t="s">
        <v>754</v>
      </c>
      <c r="F119">
        <v>0</v>
      </c>
      <c r="G119">
        <v>79.790000000000006</v>
      </c>
      <c r="I119" t="str" cm="1">
        <f t="array" ref="I119:J119">_xlfn.TEXTSPLIT(A119," ")</f>
        <v>27.10.2023</v>
      </c>
      <c r="J119" t="str">
        <v>01:56:45</v>
      </c>
      <c r="K119">
        <f t="shared" si="24"/>
        <v>1.9333333333333313</v>
      </c>
      <c r="L119">
        <f t="shared" si="17"/>
        <v>0.71999999999999886</v>
      </c>
      <c r="M119">
        <f t="shared" si="18"/>
        <v>0</v>
      </c>
      <c r="N119">
        <f t="shared" si="12"/>
        <v>0.36</v>
      </c>
      <c r="Q119" t="str" cm="1">
        <f t="array" ref="Q119:R119">_xlfn.TEXTSPLIT(E119," ")</f>
        <v>27.10.2023</v>
      </c>
      <c r="R119" t="str">
        <v>01:56:45</v>
      </c>
      <c r="S119">
        <f t="shared" si="25"/>
        <v>1.9333333333333313</v>
      </c>
      <c r="T119">
        <f t="shared" si="16"/>
        <v>1.1900000000000119</v>
      </c>
      <c r="U119">
        <f t="shared" si="19"/>
        <v>0</v>
      </c>
      <c r="V119">
        <f t="shared" si="13"/>
        <v>0.65000000000000013</v>
      </c>
      <c r="AC119" t="s">
        <v>755</v>
      </c>
      <c r="AD119">
        <v>0</v>
      </c>
      <c r="AE119">
        <v>4.9400000000000004</v>
      </c>
      <c r="AG119" t="str" cm="1">
        <f t="array" ref="AG119:AH119">_xlfn.TEXTSPLIT(AC120," ")</f>
        <v>26.10.2023</v>
      </c>
      <c r="AH119" t="str">
        <v>01:57:58</v>
      </c>
      <c r="AI119">
        <f t="shared" si="26"/>
        <v>1.9333333333333313</v>
      </c>
      <c r="AJ119">
        <f t="shared" si="20"/>
        <v>0.41000000000000014</v>
      </c>
      <c r="AK119">
        <f t="shared" si="21"/>
        <v>0</v>
      </c>
      <c r="AL119">
        <f t="shared" si="14"/>
        <v>0.14250000000000004</v>
      </c>
      <c r="AN119" t="s">
        <v>755</v>
      </c>
      <c r="AO119">
        <v>0.15</v>
      </c>
      <c r="AP119">
        <v>62.85</v>
      </c>
      <c r="AR119" t="str" cm="1">
        <f t="array" ref="AR119:AS119">_xlfn.TEXTSPLIT(AN119," ")</f>
        <v>26.10.2023</v>
      </c>
      <c r="AS119" t="str">
        <v>01:56:58</v>
      </c>
      <c r="AT119">
        <f t="shared" si="27"/>
        <v>1.9333333333333313</v>
      </c>
      <c r="AU119">
        <f t="shared" si="22"/>
        <v>1.5399999999999991</v>
      </c>
      <c r="AV119">
        <f t="shared" si="23"/>
        <v>0.15</v>
      </c>
      <c r="AW119">
        <f t="shared" si="15"/>
        <v>0.74499999999999977</v>
      </c>
    </row>
    <row r="120" spans="1:49" x14ac:dyDescent="0.25">
      <c r="A120" t="s">
        <v>756</v>
      </c>
      <c r="B120">
        <v>0</v>
      </c>
      <c r="C120">
        <v>15.04</v>
      </c>
      <c r="E120" t="s">
        <v>756</v>
      </c>
      <c r="F120">
        <v>0.15</v>
      </c>
      <c r="G120">
        <v>79.8</v>
      </c>
      <c r="I120" t="str" cm="1">
        <f t="array" ref="I120:J120">_xlfn.TEXTSPLIT(A120," ")</f>
        <v>27.10.2023</v>
      </c>
      <c r="J120" t="str">
        <v>01:57:46</v>
      </c>
      <c r="K120">
        <f t="shared" si="24"/>
        <v>1.949999999999998</v>
      </c>
      <c r="L120">
        <f t="shared" si="17"/>
        <v>0.71999999999999886</v>
      </c>
      <c r="M120">
        <f t="shared" si="18"/>
        <v>0</v>
      </c>
      <c r="N120">
        <f t="shared" si="12"/>
        <v>0.36</v>
      </c>
      <c r="Q120" t="str" cm="1">
        <f t="array" ref="Q120:R120">_xlfn.TEXTSPLIT(E120," ")</f>
        <v>27.10.2023</v>
      </c>
      <c r="R120" t="str">
        <v>01:57:46</v>
      </c>
      <c r="S120">
        <f t="shared" si="25"/>
        <v>1.949999999999998</v>
      </c>
      <c r="T120">
        <f t="shared" si="16"/>
        <v>1.2000000000000028</v>
      </c>
      <c r="U120">
        <f t="shared" si="19"/>
        <v>0.15</v>
      </c>
      <c r="V120">
        <f t="shared" si="13"/>
        <v>0.65</v>
      </c>
      <c r="AC120" t="s">
        <v>757</v>
      </c>
      <c r="AD120">
        <v>0</v>
      </c>
      <c r="AE120">
        <v>4.9400000000000004</v>
      </c>
      <c r="AG120" t="str" cm="1">
        <f t="array" ref="AG120:AH120">_xlfn.TEXTSPLIT(AC121," ")</f>
        <v>26.10.2023</v>
      </c>
      <c r="AH120" t="str">
        <v>01:58:58</v>
      </c>
      <c r="AI120">
        <f t="shared" si="26"/>
        <v>1.949999999999998</v>
      </c>
      <c r="AJ120">
        <f t="shared" si="20"/>
        <v>0.41000000000000014</v>
      </c>
      <c r="AK120">
        <f t="shared" si="21"/>
        <v>0</v>
      </c>
      <c r="AL120">
        <f t="shared" si="14"/>
        <v>0.14250000000000004</v>
      </c>
      <c r="AN120" t="s">
        <v>757</v>
      </c>
      <c r="AO120">
        <v>0.15</v>
      </c>
      <c r="AP120">
        <v>62.85</v>
      </c>
      <c r="AR120" t="str" cm="1">
        <f t="array" ref="AR120:AS120">_xlfn.TEXTSPLIT(AN120," ")</f>
        <v>26.10.2023</v>
      </c>
      <c r="AS120" t="str">
        <v>01:57:58</v>
      </c>
      <c r="AT120">
        <f t="shared" si="27"/>
        <v>1.949999999999998</v>
      </c>
      <c r="AU120">
        <f t="shared" si="22"/>
        <v>1.5399999999999991</v>
      </c>
      <c r="AV120">
        <f t="shared" si="23"/>
        <v>0.15</v>
      </c>
      <c r="AW120">
        <f t="shared" si="15"/>
        <v>0.74499999999999977</v>
      </c>
    </row>
    <row r="121" spans="1:49" x14ac:dyDescent="0.25">
      <c r="A121" t="s">
        <v>758</v>
      </c>
      <c r="B121">
        <v>0</v>
      </c>
      <c r="C121">
        <v>15.04</v>
      </c>
      <c r="E121" t="s">
        <v>758</v>
      </c>
      <c r="F121">
        <v>0.15</v>
      </c>
      <c r="G121">
        <v>79.8</v>
      </c>
      <c r="I121" t="str" cm="1">
        <f t="array" ref="I121:J121">_xlfn.TEXTSPLIT(A121," ")</f>
        <v>27.10.2023</v>
      </c>
      <c r="J121" t="str">
        <v>01:58:46</v>
      </c>
      <c r="K121">
        <f t="shared" si="24"/>
        <v>1.9666666666666646</v>
      </c>
      <c r="L121">
        <f t="shared" si="17"/>
        <v>0.71999999999999886</v>
      </c>
      <c r="M121">
        <f t="shared" si="18"/>
        <v>0</v>
      </c>
      <c r="N121">
        <f t="shared" si="12"/>
        <v>0.36</v>
      </c>
      <c r="Q121" t="str" cm="1">
        <f t="array" ref="Q121:R121">_xlfn.TEXTSPLIT(E121," ")</f>
        <v>27.10.2023</v>
      </c>
      <c r="R121" t="str">
        <v>01:58:46</v>
      </c>
      <c r="S121">
        <f t="shared" si="25"/>
        <v>1.9666666666666646</v>
      </c>
      <c r="T121">
        <f t="shared" si="16"/>
        <v>1.2000000000000028</v>
      </c>
      <c r="U121">
        <f t="shared" si="19"/>
        <v>0.15</v>
      </c>
      <c r="V121">
        <f t="shared" si="13"/>
        <v>0.65249999999999997</v>
      </c>
      <c r="AC121" t="s">
        <v>759</v>
      </c>
      <c r="AD121">
        <v>0</v>
      </c>
      <c r="AE121">
        <v>4.9400000000000004</v>
      </c>
      <c r="AG121" t="str" cm="1">
        <f t="array" ref="AG121:AH121">_xlfn.TEXTSPLIT(AC122," ")</f>
        <v>26.10.2023</v>
      </c>
      <c r="AH121" t="str">
        <v>01:59:58</v>
      </c>
      <c r="AI121">
        <f t="shared" si="26"/>
        <v>1.9666666666666646</v>
      </c>
      <c r="AJ121">
        <f t="shared" si="20"/>
        <v>0.41000000000000014</v>
      </c>
      <c r="AK121">
        <f t="shared" si="21"/>
        <v>0</v>
      </c>
      <c r="AL121">
        <f t="shared" si="14"/>
        <v>0.14250000000000004</v>
      </c>
      <c r="AN121" t="s">
        <v>759</v>
      </c>
      <c r="AO121">
        <v>0.15</v>
      </c>
      <c r="AP121">
        <v>62.86</v>
      </c>
      <c r="AR121" t="str" cm="1">
        <f t="array" ref="AR121:AS121">_xlfn.TEXTSPLIT(AN121," ")</f>
        <v>26.10.2023</v>
      </c>
      <c r="AS121" t="str">
        <v>01:58:58</v>
      </c>
      <c r="AT121">
        <f t="shared" si="27"/>
        <v>1.9666666666666646</v>
      </c>
      <c r="AU121">
        <f t="shared" si="22"/>
        <v>1.5499999999999972</v>
      </c>
      <c r="AV121">
        <f t="shared" si="23"/>
        <v>0.15</v>
      </c>
      <c r="AW121">
        <f t="shared" si="15"/>
        <v>0.74499999999999977</v>
      </c>
    </row>
    <row r="122" spans="1:49" x14ac:dyDescent="0.25">
      <c r="A122" t="s">
        <v>760</v>
      </c>
      <c r="B122">
        <v>0</v>
      </c>
      <c r="C122">
        <v>15.04</v>
      </c>
      <c r="E122" t="s">
        <v>760</v>
      </c>
      <c r="F122">
        <v>0</v>
      </c>
      <c r="G122">
        <v>79.8</v>
      </c>
      <c r="I122" t="str" cm="1">
        <f t="array" ref="I122:J122">_xlfn.TEXTSPLIT(A122," ")</f>
        <v>27.10.2023</v>
      </c>
      <c r="J122" t="str">
        <v>01:59:46</v>
      </c>
      <c r="K122">
        <f t="shared" si="24"/>
        <v>1.9833333333333312</v>
      </c>
      <c r="L122">
        <f t="shared" si="17"/>
        <v>0.71999999999999886</v>
      </c>
      <c r="M122">
        <f t="shared" si="18"/>
        <v>0</v>
      </c>
      <c r="N122">
        <f t="shared" si="12"/>
        <v>0.36</v>
      </c>
      <c r="Q122" t="str" cm="1">
        <f t="array" ref="Q122:R122">_xlfn.TEXTSPLIT(E122," ")</f>
        <v>27.10.2023</v>
      </c>
      <c r="R122" t="str">
        <v>01:59:46</v>
      </c>
      <c r="S122">
        <f t="shared" si="25"/>
        <v>1.9833333333333312</v>
      </c>
      <c r="T122">
        <f t="shared" si="16"/>
        <v>1.2000000000000028</v>
      </c>
      <c r="U122">
        <f t="shared" si="19"/>
        <v>0</v>
      </c>
      <c r="V122">
        <f t="shared" si="13"/>
        <v>0.65000000000000013</v>
      </c>
      <c r="AC122" t="s">
        <v>761</v>
      </c>
      <c r="AD122">
        <v>0</v>
      </c>
      <c r="AE122">
        <v>4.9400000000000004</v>
      </c>
      <c r="AG122" t="str" cm="1">
        <f t="array" ref="AG122:AH122">_xlfn.TEXTSPLIT(AC123," ")</f>
        <v>26.10.2023</v>
      </c>
      <c r="AH122" t="str">
        <v>02:00:59</v>
      </c>
      <c r="AI122">
        <f t="shared" si="26"/>
        <v>1.9833333333333312</v>
      </c>
      <c r="AJ122">
        <f t="shared" si="20"/>
        <v>0.41000000000000014</v>
      </c>
      <c r="AK122">
        <f t="shared" si="21"/>
        <v>0</v>
      </c>
      <c r="AL122">
        <f t="shared" si="14"/>
        <v>0.14250000000000004</v>
      </c>
      <c r="AN122" t="s">
        <v>761</v>
      </c>
      <c r="AO122">
        <v>0.3</v>
      </c>
      <c r="AP122">
        <v>62.86</v>
      </c>
      <c r="AR122" t="str" cm="1">
        <f t="array" ref="AR122:AS122">_xlfn.TEXTSPLIT(AN122," ")</f>
        <v>26.10.2023</v>
      </c>
      <c r="AS122" t="str">
        <v>01:59:58</v>
      </c>
      <c r="AT122">
        <f t="shared" si="27"/>
        <v>1.9833333333333312</v>
      </c>
      <c r="AU122">
        <f t="shared" si="22"/>
        <v>1.5499999999999972</v>
      </c>
      <c r="AV122">
        <f t="shared" si="23"/>
        <v>0.3</v>
      </c>
      <c r="AW122">
        <f t="shared" si="15"/>
        <v>0.74499999999999966</v>
      </c>
    </row>
    <row r="123" spans="1:49" x14ac:dyDescent="0.25">
      <c r="A123" t="s">
        <v>762</v>
      </c>
      <c r="B123">
        <v>0</v>
      </c>
      <c r="C123">
        <v>15.04</v>
      </c>
      <c r="E123" t="s">
        <v>762</v>
      </c>
      <c r="F123">
        <v>0.15</v>
      </c>
      <c r="G123">
        <v>79.8</v>
      </c>
      <c r="I123" t="str" cm="1">
        <f t="array" ref="I123:J123">_xlfn.TEXTSPLIT(A123," ")</f>
        <v>27.10.2023</v>
      </c>
      <c r="J123" t="str">
        <v>02:00:46</v>
      </c>
      <c r="K123">
        <f t="shared" si="24"/>
        <v>1.9999999999999978</v>
      </c>
      <c r="L123">
        <f t="shared" si="17"/>
        <v>0.71999999999999886</v>
      </c>
      <c r="M123">
        <f t="shared" si="18"/>
        <v>0</v>
      </c>
      <c r="N123">
        <f t="shared" si="12"/>
        <v>0.36</v>
      </c>
      <c r="Q123" t="str" cm="1">
        <f t="array" ref="Q123:R123">_xlfn.TEXTSPLIT(E123," ")</f>
        <v>27.10.2023</v>
      </c>
      <c r="R123" t="str">
        <v>02:00:46</v>
      </c>
      <c r="S123">
        <f t="shared" si="25"/>
        <v>1.9999999999999978</v>
      </c>
      <c r="T123">
        <f t="shared" si="16"/>
        <v>1.2000000000000028</v>
      </c>
      <c r="U123">
        <f t="shared" si="19"/>
        <v>0.15</v>
      </c>
      <c r="V123">
        <f t="shared" si="13"/>
        <v>0.65</v>
      </c>
      <c r="AC123" t="s">
        <v>763</v>
      </c>
      <c r="AD123">
        <v>0</v>
      </c>
      <c r="AE123">
        <v>4.9400000000000004</v>
      </c>
      <c r="AG123" t="str" cm="1">
        <f t="array" ref="AG123:AH123">_xlfn.TEXTSPLIT(AC124," ")</f>
        <v>26.10.2023</v>
      </c>
      <c r="AH123" t="str">
        <v>02:01:59</v>
      </c>
      <c r="AI123">
        <f t="shared" si="26"/>
        <v>1.9999999999999978</v>
      </c>
      <c r="AJ123">
        <f t="shared" si="20"/>
        <v>0.41000000000000014</v>
      </c>
      <c r="AK123">
        <f t="shared" si="21"/>
        <v>0</v>
      </c>
      <c r="AL123">
        <f t="shared" si="14"/>
        <v>0.14250000000000004</v>
      </c>
      <c r="AN123" t="s">
        <v>763</v>
      </c>
      <c r="AO123">
        <v>0.15</v>
      </c>
      <c r="AP123">
        <v>62.87</v>
      </c>
      <c r="AR123" t="str" cm="1">
        <f t="array" ref="AR123:AS123">_xlfn.TEXTSPLIT(AN123," ")</f>
        <v>26.10.2023</v>
      </c>
      <c r="AS123" t="str">
        <v>02:00:59</v>
      </c>
      <c r="AT123">
        <f t="shared" si="27"/>
        <v>1.9999999999999978</v>
      </c>
      <c r="AU123">
        <f t="shared" si="22"/>
        <v>1.5599999999999952</v>
      </c>
      <c r="AV123">
        <f t="shared" si="23"/>
        <v>0.15</v>
      </c>
      <c r="AW123">
        <f t="shared" si="15"/>
        <v>0.74249999999999972</v>
      </c>
    </row>
    <row r="124" spans="1:49" x14ac:dyDescent="0.25">
      <c r="A124" t="s">
        <v>764</v>
      </c>
      <c r="B124">
        <v>0</v>
      </c>
      <c r="C124">
        <v>15.04</v>
      </c>
      <c r="E124" t="s">
        <v>764</v>
      </c>
      <c r="F124">
        <v>0.15</v>
      </c>
      <c r="G124">
        <v>79.81</v>
      </c>
      <c r="I124" t="str" cm="1">
        <f t="array" ref="I124:J124">_xlfn.TEXTSPLIT(A124," ")</f>
        <v>27.10.2023</v>
      </c>
      <c r="J124" t="str">
        <v>02:01:46</v>
      </c>
      <c r="K124">
        <f t="shared" si="24"/>
        <v>2.0166666666666644</v>
      </c>
      <c r="L124">
        <f t="shared" si="17"/>
        <v>0.71999999999999886</v>
      </c>
      <c r="M124">
        <f t="shared" si="18"/>
        <v>0</v>
      </c>
      <c r="N124">
        <f t="shared" si="12"/>
        <v>0.36</v>
      </c>
      <c r="Q124" t="str" cm="1">
        <f t="array" ref="Q124:R124">_xlfn.TEXTSPLIT(E124," ")</f>
        <v>27.10.2023</v>
      </c>
      <c r="R124" t="str">
        <v>02:01:46</v>
      </c>
      <c r="S124">
        <f t="shared" si="25"/>
        <v>2.0166666666666644</v>
      </c>
      <c r="T124">
        <f t="shared" si="16"/>
        <v>1.210000000000008</v>
      </c>
      <c r="U124">
        <f t="shared" si="19"/>
        <v>0.15</v>
      </c>
      <c r="V124">
        <f t="shared" si="13"/>
        <v>0.65000000000000013</v>
      </c>
      <c r="AC124" t="s">
        <v>765</v>
      </c>
      <c r="AD124">
        <v>0</v>
      </c>
      <c r="AE124">
        <v>4.9400000000000004</v>
      </c>
      <c r="AG124" t="str" cm="1">
        <f t="array" ref="AG124:AH124">_xlfn.TEXTSPLIT(AC125," ")</f>
        <v>26.10.2023</v>
      </c>
      <c r="AH124" t="str">
        <v>02:02:59</v>
      </c>
      <c r="AI124">
        <f t="shared" si="26"/>
        <v>2.0166666666666644</v>
      </c>
      <c r="AJ124">
        <f t="shared" si="20"/>
        <v>0.41000000000000014</v>
      </c>
      <c r="AK124">
        <f t="shared" si="21"/>
        <v>0</v>
      </c>
      <c r="AL124">
        <f t="shared" si="14"/>
        <v>0.14250000000000004</v>
      </c>
      <c r="AN124" t="s">
        <v>765</v>
      </c>
      <c r="AO124">
        <v>0.3</v>
      </c>
      <c r="AP124">
        <v>62.87</v>
      </c>
      <c r="AR124" t="str" cm="1">
        <f t="array" ref="AR124:AS124">_xlfn.TEXTSPLIT(AN124," ")</f>
        <v>26.10.2023</v>
      </c>
      <c r="AS124" t="str">
        <v>02:01:59</v>
      </c>
      <c r="AT124">
        <f t="shared" si="27"/>
        <v>2.0166666666666644</v>
      </c>
      <c r="AU124">
        <f t="shared" si="22"/>
        <v>1.5599999999999952</v>
      </c>
      <c r="AV124">
        <f t="shared" si="23"/>
        <v>0.3</v>
      </c>
      <c r="AW124">
        <f t="shared" si="15"/>
        <v>0.73999999999999966</v>
      </c>
    </row>
    <row r="125" spans="1:49" x14ac:dyDescent="0.25">
      <c r="A125" t="s">
        <v>766</v>
      </c>
      <c r="B125">
        <v>0</v>
      </c>
      <c r="C125">
        <v>15.04</v>
      </c>
      <c r="E125" t="s">
        <v>766</v>
      </c>
      <c r="F125">
        <v>0.3</v>
      </c>
      <c r="G125">
        <v>79.81</v>
      </c>
      <c r="I125" t="str" cm="1">
        <f t="array" ref="I125:J125">_xlfn.TEXTSPLIT(A125," ")</f>
        <v>27.10.2023</v>
      </c>
      <c r="J125" t="str">
        <v>02:02:46</v>
      </c>
      <c r="K125">
        <f t="shared" si="24"/>
        <v>2.033333333333331</v>
      </c>
      <c r="L125">
        <f t="shared" si="17"/>
        <v>0.71999999999999886</v>
      </c>
      <c r="M125">
        <f t="shared" si="18"/>
        <v>0</v>
      </c>
      <c r="N125">
        <f t="shared" si="12"/>
        <v>0.36</v>
      </c>
      <c r="Q125" t="str" cm="1">
        <f t="array" ref="Q125:R125">_xlfn.TEXTSPLIT(E125," ")</f>
        <v>27.10.2023</v>
      </c>
      <c r="R125" t="str">
        <v>02:02:46</v>
      </c>
      <c r="S125">
        <f t="shared" si="25"/>
        <v>2.033333333333331</v>
      </c>
      <c r="T125">
        <f t="shared" si="16"/>
        <v>1.210000000000008</v>
      </c>
      <c r="U125">
        <f t="shared" si="19"/>
        <v>0.3</v>
      </c>
      <c r="V125">
        <f t="shared" si="13"/>
        <v>0.65249999999999997</v>
      </c>
      <c r="AC125" t="s">
        <v>767</v>
      </c>
      <c r="AD125">
        <v>0</v>
      </c>
      <c r="AE125">
        <v>4.9400000000000004</v>
      </c>
      <c r="AG125" t="str" cm="1">
        <f t="array" ref="AG125:AH125">_xlfn.TEXTSPLIT(AC126," ")</f>
        <v>26.10.2023</v>
      </c>
      <c r="AH125" t="str">
        <v>02:03:59</v>
      </c>
      <c r="AI125">
        <f t="shared" si="26"/>
        <v>2.033333333333331</v>
      </c>
      <c r="AJ125">
        <f t="shared" si="20"/>
        <v>0.41000000000000014</v>
      </c>
      <c r="AK125">
        <f t="shared" si="21"/>
        <v>0</v>
      </c>
      <c r="AL125">
        <f t="shared" si="14"/>
        <v>0.14250000000000004</v>
      </c>
      <c r="AN125" t="s">
        <v>767</v>
      </c>
      <c r="AO125">
        <v>0.45</v>
      </c>
      <c r="AP125">
        <v>62.88</v>
      </c>
      <c r="AR125" t="str" cm="1">
        <f t="array" ref="AR125:AS125">_xlfn.TEXTSPLIT(AN125," ")</f>
        <v>26.10.2023</v>
      </c>
      <c r="AS125" t="str">
        <v>02:02:59</v>
      </c>
      <c r="AT125">
        <f t="shared" si="27"/>
        <v>2.033333333333331</v>
      </c>
      <c r="AU125">
        <f t="shared" si="22"/>
        <v>1.5700000000000003</v>
      </c>
      <c r="AV125">
        <f t="shared" si="23"/>
        <v>0.45</v>
      </c>
      <c r="AW125">
        <f t="shared" si="15"/>
        <v>0.7424999999999996</v>
      </c>
    </row>
    <row r="126" spans="1:49" x14ac:dyDescent="0.25">
      <c r="A126" t="s">
        <v>768</v>
      </c>
      <c r="B126">
        <v>0</v>
      </c>
      <c r="C126">
        <v>15.04</v>
      </c>
      <c r="E126" t="s">
        <v>768</v>
      </c>
      <c r="F126">
        <v>0.45</v>
      </c>
      <c r="G126">
        <v>79.819999999999993</v>
      </c>
      <c r="I126" t="str" cm="1">
        <f t="array" ref="I126:J126">_xlfn.TEXTSPLIT(A126," ")</f>
        <v>27.10.2023</v>
      </c>
      <c r="J126" t="str">
        <v>02:03:46</v>
      </c>
      <c r="K126">
        <f t="shared" si="24"/>
        <v>2.0499999999999976</v>
      </c>
      <c r="L126">
        <f t="shared" si="17"/>
        <v>0.71999999999999886</v>
      </c>
      <c r="M126">
        <f t="shared" si="18"/>
        <v>0</v>
      </c>
      <c r="N126">
        <f t="shared" si="12"/>
        <v>0.36</v>
      </c>
      <c r="Q126" t="str" cm="1">
        <f t="array" ref="Q126:R126">_xlfn.TEXTSPLIT(E126," ")</f>
        <v>27.10.2023</v>
      </c>
      <c r="R126" t="str">
        <v>02:03:46</v>
      </c>
      <c r="S126">
        <f t="shared" si="25"/>
        <v>2.0499999999999976</v>
      </c>
      <c r="T126">
        <f t="shared" si="16"/>
        <v>1.2199999999999989</v>
      </c>
      <c r="U126">
        <f t="shared" si="19"/>
        <v>0.45</v>
      </c>
      <c r="V126">
        <f t="shared" si="13"/>
        <v>0.65500000000000003</v>
      </c>
      <c r="AC126" t="s">
        <v>769</v>
      </c>
      <c r="AD126">
        <v>0</v>
      </c>
      <c r="AE126">
        <v>4.9400000000000004</v>
      </c>
      <c r="AG126" t="str" cm="1">
        <f t="array" ref="AG126:AH126">_xlfn.TEXTSPLIT(AC127," ")</f>
        <v>26.10.2023</v>
      </c>
      <c r="AH126" t="str">
        <v>02:04:59</v>
      </c>
      <c r="AI126">
        <f t="shared" si="26"/>
        <v>2.0499999999999976</v>
      </c>
      <c r="AJ126">
        <f t="shared" si="20"/>
        <v>0.41000000000000014</v>
      </c>
      <c r="AK126">
        <f t="shared" si="21"/>
        <v>0</v>
      </c>
      <c r="AL126">
        <f t="shared" si="14"/>
        <v>0.14250000000000004</v>
      </c>
      <c r="AN126" t="s">
        <v>769</v>
      </c>
      <c r="AO126">
        <v>0.45</v>
      </c>
      <c r="AP126">
        <v>62.89</v>
      </c>
      <c r="AR126" t="str" cm="1">
        <f t="array" ref="AR126:AS126">_xlfn.TEXTSPLIT(AN126," ")</f>
        <v>26.10.2023</v>
      </c>
      <c r="AS126" t="str">
        <v>02:03:59</v>
      </c>
      <c r="AT126">
        <f t="shared" si="27"/>
        <v>2.0499999999999976</v>
      </c>
      <c r="AU126">
        <f t="shared" si="22"/>
        <v>1.5799999999999983</v>
      </c>
      <c r="AV126">
        <f t="shared" si="23"/>
        <v>0.45</v>
      </c>
      <c r="AW126">
        <f t="shared" si="15"/>
        <v>0.74249999999999972</v>
      </c>
    </row>
    <row r="127" spans="1:49" x14ac:dyDescent="0.25">
      <c r="A127" t="s">
        <v>770</v>
      </c>
      <c r="B127">
        <v>0</v>
      </c>
      <c r="C127">
        <v>15.04</v>
      </c>
      <c r="E127" t="s">
        <v>770</v>
      </c>
      <c r="F127">
        <v>0.45</v>
      </c>
      <c r="G127">
        <v>79.83</v>
      </c>
      <c r="I127" t="str" cm="1">
        <f t="array" ref="I127:J127">_xlfn.TEXTSPLIT(A127," ")</f>
        <v>27.10.2023</v>
      </c>
      <c r="J127" t="str">
        <v>02:04:47</v>
      </c>
      <c r="K127">
        <f t="shared" si="24"/>
        <v>2.0666666666666642</v>
      </c>
      <c r="L127">
        <f t="shared" si="17"/>
        <v>0.71999999999999886</v>
      </c>
      <c r="M127">
        <f t="shared" si="18"/>
        <v>0</v>
      </c>
      <c r="N127">
        <f t="shared" ref="N127:N190" si="28">AVERAGE(M68:M127)</f>
        <v>0.36</v>
      </c>
      <c r="Q127" t="str" cm="1">
        <f t="array" ref="Q127:R127">_xlfn.TEXTSPLIT(E127," ")</f>
        <v>27.10.2023</v>
      </c>
      <c r="R127" t="str">
        <v>02:04:47</v>
      </c>
      <c r="S127">
        <f t="shared" si="25"/>
        <v>2.0666666666666642</v>
      </c>
      <c r="T127">
        <f t="shared" si="16"/>
        <v>1.230000000000004</v>
      </c>
      <c r="U127">
        <f t="shared" si="19"/>
        <v>0.45</v>
      </c>
      <c r="V127">
        <f t="shared" ref="V127:V190" si="29">AVERAGE(U68:U127)</f>
        <v>0.65750000000000008</v>
      </c>
      <c r="AC127" t="s">
        <v>771</v>
      </c>
      <c r="AD127">
        <v>0</v>
      </c>
      <c r="AE127">
        <v>4.9400000000000004</v>
      </c>
      <c r="AG127" t="str" cm="1">
        <f t="array" ref="AG127:AH127">_xlfn.TEXTSPLIT(AC128," ")</f>
        <v>26.10.2023</v>
      </c>
      <c r="AH127" t="str">
        <v>02:05:59</v>
      </c>
      <c r="AI127">
        <f t="shared" si="26"/>
        <v>2.0666666666666642</v>
      </c>
      <c r="AJ127">
        <f t="shared" si="20"/>
        <v>0.41000000000000014</v>
      </c>
      <c r="AK127">
        <f t="shared" si="21"/>
        <v>0</v>
      </c>
      <c r="AL127">
        <f t="shared" ref="AL127:AL190" si="30">AVERAGE(AK68:AK127)</f>
        <v>0.14250000000000004</v>
      </c>
      <c r="AN127" t="s">
        <v>771</v>
      </c>
      <c r="AO127">
        <v>0.6</v>
      </c>
      <c r="AP127">
        <v>62.9</v>
      </c>
      <c r="AR127" t="str" cm="1">
        <f t="array" ref="AR127:AS127">_xlfn.TEXTSPLIT(AN127," ")</f>
        <v>26.10.2023</v>
      </c>
      <c r="AS127" t="str">
        <v>02:04:59</v>
      </c>
      <c r="AT127">
        <f t="shared" si="27"/>
        <v>2.0666666666666642</v>
      </c>
      <c r="AU127">
        <f t="shared" si="22"/>
        <v>1.5899999999999963</v>
      </c>
      <c r="AV127">
        <f t="shared" si="23"/>
        <v>0.6</v>
      </c>
      <c r="AW127">
        <f t="shared" ref="AW127:AW190" si="31">AVERAGE(AV68:AV127)</f>
        <v>0.74249999999999972</v>
      </c>
    </row>
    <row r="128" spans="1:49" x14ac:dyDescent="0.25">
      <c r="A128" t="s">
        <v>772</v>
      </c>
      <c r="B128">
        <v>0</v>
      </c>
      <c r="C128">
        <v>15.04</v>
      </c>
      <c r="E128" t="s">
        <v>772</v>
      </c>
      <c r="F128">
        <v>0.45</v>
      </c>
      <c r="G128">
        <v>79.84</v>
      </c>
      <c r="I128" t="str" cm="1">
        <f t="array" ref="I128:J128">_xlfn.TEXTSPLIT(A128," ")</f>
        <v>27.10.2023</v>
      </c>
      <c r="J128" t="str">
        <v>02:05:47</v>
      </c>
      <c r="K128">
        <f t="shared" si="24"/>
        <v>2.0833333333333308</v>
      </c>
      <c r="L128">
        <f t="shared" si="17"/>
        <v>0.71999999999999886</v>
      </c>
      <c r="M128">
        <f t="shared" si="18"/>
        <v>0</v>
      </c>
      <c r="N128">
        <f t="shared" si="28"/>
        <v>0.36</v>
      </c>
      <c r="Q128" t="str" cm="1">
        <f t="array" ref="Q128:R128">_xlfn.TEXTSPLIT(E128," ")</f>
        <v>27.10.2023</v>
      </c>
      <c r="R128" t="str">
        <v>02:05:47</v>
      </c>
      <c r="S128">
        <f t="shared" si="25"/>
        <v>2.0833333333333308</v>
      </c>
      <c r="T128">
        <f t="shared" si="16"/>
        <v>1.2400000000000091</v>
      </c>
      <c r="U128">
        <f t="shared" si="19"/>
        <v>0.45</v>
      </c>
      <c r="V128">
        <f t="shared" si="29"/>
        <v>0.66</v>
      </c>
      <c r="AC128" t="s">
        <v>773</v>
      </c>
      <c r="AD128">
        <v>0</v>
      </c>
      <c r="AE128">
        <v>4.9400000000000004</v>
      </c>
      <c r="AG128" t="str" cm="1">
        <f t="array" ref="AG128:AH128">_xlfn.TEXTSPLIT(AC129," ")</f>
        <v>26.10.2023</v>
      </c>
      <c r="AH128" t="str">
        <v>02:06:59</v>
      </c>
      <c r="AI128">
        <f t="shared" si="26"/>
        <v>2.0833333333333308</v>
      </c>
      <c r="AJ128">
        <f t="shared" si="20"/>
        <v>0.41000000000000014</v>
      </c>
      <c r="AK128">
        <f t="shared" si="21"/>
        <v>0</v>
      </c>
      <c r="AL128">
        <f t="shared" si="30"/>
        <v>0.14250000000000004</v>
      </c>
      <c r="AN128" t="s">
        <v>773</v>
      </c>
      <c r="AO128">
        <v>0.6</v>
      </c>
      <c r="AP128">
        <v>62.91</v>
      </c>
      <c r="AR128" t="str" cm="1">
        <f t="array" ref="AR128:AS128">_xlfn.TEXTSPLIT(AN128," ")</f>
        <v>26.10.2023</v>
      </c>
      <c r="AS128" t="str">
        <v>02:05:59</v>
      </c>
      <c r="AT128">
        <f t="shared" si="27"/>
        <v>2.0833333333333308</v>
      </c>
      <c r="AU128">
        <f t="shared" si="22"/>
        <v>1.5999999999999943</v>
      </c>
      <c r="AV128">
        <f t="shared" si="23"/>
        <v>0.6</v>
      </c>
      <c r="AW128">
        <f t="shared" si="31"/>
        <v>0.74249999999999983</v>
      </c>
    </row>
    <row r="129" spans="1:49" x14ac:dyDescent="0.25">
      <c r="A129" t="s">
        <v>774</v>
      </c>
      <c r="B129">
        <v>0</v>
      </c>
      <c r="C129">
        <v>15.04</v>
      </c>
      <c r="E129" t="s">
        <v>774</v>
      </c>
      <c r="F129">
        <v>0.75</v>
      </c>
      <c r="G129">
        <v>79.87</v>
      </c>
      <c r="I129" t="str" cm="1">
        <f t="array" ref="I129:J129">_xlfn.TEXTSPLIT(A129," ")</f>
        <v>27.10.2023</v>
      </c>
      <c r="J129" t="str">
        <v>02:06:47</v>
      </c>
      <c r="K129">
        <f t="shared" si="24"/>
        <v>2.0999999999999974</v>
      </c>
      <c r="L129">
        <f t="shared" si="17"/>
        <v>0.71999999999999886</v>
      </c>
      <c r="M129">
        <f t="shared" si="18"/>
        <v>0</v>
      </c>
      <c r="N129">
        <f t="shared" si="28"/>
        <v>0.36</v>
      </c>
      <c r="Q129" t="str" cm="1">
        <f t="array" ref="Q129:R129">_xlfn.TEXTSPLIT(E129," ")</f>
        <v>27.10.2023</v>
      </c>
      <c r="R129" t="str">
        <v>02:06:47</v>
      </c>
      <c r="S129">
        <f t="shared" si="25"/>
        <v>2.0999999999999974</v>
      </c>
      <c r="T129">
        <f t="shared" si="16"/>
        <v>1.2700000000000102</v>
      </c>
      <c r="U129">
        <f t="shared" si="19"/>
        <v>0.75</v>
      </c>
      <c r="V129">
        <f t="shared" si="29"/>
        <v>0.66499999999999992</v>
      </c>
      <c r="AC129" t="s">
        <v>775</v>
      </c>
      <c r="AD129">
        <v>0</v>
      </c>
      <c r="AE129">
        <v>4.9400000000000004</v>
      </c>
      <c r="AG129" t="str" cm="1">
        <f t="array" ref="AG129:AH129">_xlfn.TEXTSPLIT(AC130," ")</f>
        <v>26.10.2023</v>
      </c>
      <c r="AH129" t="str">
        <v>02:07:59</v>
      </c>
      <c r="AI129">
        <f t="shared" si="26"/>
        <v>2.0999999999999974</v>
      </c>
      <c r="AJ129">
        <f t="shared" si="20"/>
        <v>0.41000000000000014</v>
      </c>
      <c r="AK129">
        <f t="shared" si="21"/>
        <v>0</v>
      </c>
      <c r="AL129">
        <f t="shared" si="30"/>
        <v>0.14250000000000004</v>
      </c>
      <c r="AN129" t="s">
        <v>775</v>
      </c>
      <c r="AO129">
        <v>0.45</v>
      </c>
      <c r="AP129">
        <v>62.93</v>
      </c>
      <c r="AR129" t="str" cm="1">
        <f t="array" ref="AR129:AS129">_xlfn.TEXTSPLIT(AN129," ")</f>
        <v>26.10.2023</v>
      </c>
      <c r="AS129" t="str">
        <v>02:06:59</v>
      </c>
      <c r="AT129">
        <f t="shared" si="27"/>
        <v>2.0999999999999974</v>
      </c>
      <c r="AU129">
        <f t="shared" si="22"/>
        <v>1.6199999999999974</v>
      </c>
      <c r="AV129">
        <f t="shared" si="23"/>
        <v>0.45</v>
      </c>
      <c r="AW129">
        <f t="shared" si="31"/>
        <v>0.73999999999999977</v>
      </c>
    </row>
    <row r="130" spans="1:49" x14ac:dyDescent="0.25">
      <c r="A130" t="s">
        <v>776</v>
      </c>
      <c r="B130">
        <v>0</v>
      </c>
      <c r="C130">
        <v>15.06</v>
      </c>
      <c r="E130" t="s">
        <v>776</v>
      </c>
      <c r="F130">
        <v>1.95</v>
      </c>
      <c r="G130">
        <v>79.89</v>
      </c>
      <c r="I130" t="str" cm="1">
        <f t="array" ref="I130:J130">_xlfn.TEXTSPLIT(A130," ")</f>
        <v>27.10.2023</v>
      </c>
      <c r="J130" t="str">
        <v>02:07:47</v>
      </c>
      <c r="K130">
        <f t="shared" si="24"/>
        <v>2.116666666666664</v>
      </c>
      <c r="L130">
        <f t="shared" si="17"/>
        <v>0.74000000000000021</v>
      </c>
      <c r="M130">
        <f t="shared" si="18"/>
        <v>0</v>
      </c>
      <c r="N130">
        <f t="shared" si="28"/>
        <v>0.36</v>
      </c>
      <c r="Q130" t="str" cm="1">
        <f t="array" ref="Q130:R130">_xlfn.TEXTSPLIT(E130," ")</f>
        <v>27.10.2023</v>
      </c>
      <c r="R130" t="str">
        <v>02:07:47</v>
      </c>
      <c r="S130">
        <f t="shared" si="25"/>
        <v>2.116666666666664</v>
      </c>
      <c r="T130">
        <f t="shared" si="16"/>
        <v>1.2900000000000063</v>
      </c>
      <c r="U130">
        <f t="shared" si="19"/>
        <v>1.95</v>
      </c>
      <c r="V130">
        <f t="shared" si="29"/>
        <v>0.67</v>
      </c>
      <c r="AC130" t="s">
        <v>777</v>
      </c>
      <c r="AD130">
        <v>0</v>
      </c>
      <c r="AE130">
        <v>4.9400000000000004</v>
      </c>
      <c r="AG130" t="str" cm="1">
        <f t="array" ref="AG130:AH130">_xlfn.TEXTSPLIT(AC131," ")</f>
        <v>26.10.2023</v>
      </c>
      <c r="AH130" t="str">
        <v>02:08:59</v>
      </c>
      <c r="AI130">
        <f t="shared" si="26"/>
        <v>2.116666666666664</v>
      </c>
      <c r="AJ130">
        <f t="shared" si="20"/>
        <v>0.41000000000000014</v>
      </c>
      <c r="AK130">
        <f t="shared" si="21"/>
        <v>0</v>
      </c>
      <c r="AL130">
        <f t="shared" si="30"/>
        <v>0.14250000000000004</v>
      </c>
      <c r="AN130" t="s">
        <v>777</v>
      </c>
      <c r="AO130">
        <v>1.65</v>
      </c>
      <c r="AP130">
        <v>62.97</v>
      </c>
      <c r="AR130" t="str" cm="1">
        <f t="array" ref="AR130:AS130">_xlfn.TEXTSPLIT(AN130," ")</f>
        <v>26.10.2023</v>
      </c>
      <c r="AS130" t="str">
        <v>02:07:59</v>
      </c>
      <c r="AT130">
        <f t="shared" si="27"/>
        <v>2.116666666666664</v>
      </c>
      <c r="AU130">
        <f t="shared" si="22"/>
        <v>1.6599999999999966</v>
      </c>
      <c r="AV130">
        <f t="shared" si="23"/>
        <v>1.65</v>
      </c>
      <c r="AW130">
        <f t="shared" si="31"/>
        <v>0.74749999999999983</v>
      </c>
    </row>
    <row r="131" spans="1:49" x14ac:dyDescent="0.25">
      <c r="A131" t="s">
        <v>778</v>
      </c>
      <c r="B131">
        <v>1.95</v>
      </c>
      <c r="C131">
        <v>15.1</v>
      </c>
      <c r="E131" t="s">
        <v>778</v>
      </c>
      <c r="F131">
        <v>1.5</v>
      </c>
      <c r="G131">
        <v>79.92</v>
      </c>
      <c r="I131" t="str" cm="1">
        <f t="array" ref="I131:J131">_xlfn.TEXTSPLIT(A131," ")</f>
        <v>27.10.2023</v>
      </c>
      <c r="J131" t="str">
        <v>02:08:47</v>
      </c>
      <c r="K131">
        <f t="shared" si="24"/>
        <v>2.1333333333333306</v>
      </c>
      <c r="L131">
        <f t="shared" si="17"/>
        <v>0.77999999999999936</v>
      </c>
      <c r="M131">
        <f t="shared" si="18"/>
        <v>1.95</v>
      </c>
      <c r="N131">
        <f t="shared" si="28"/>
        <v>0.38249999999999995</v>
      </c>
      <c r="Q131" t="str" cm="1">
        <f t="array" ref="Q131:R131">_xlfn.TEXTSPLIT(E131," ")</f>
        <v>27.10.2023</v>
      </c>
      <c r="R131" t="str">
        <v>02:08:47</v>
      </c>
      <c r="S131">
        <f t="shared" si="25"/>
        <v>2.1333333333333306</v>
      </c>
      <c r="T131">
        <f t="shared" ref="T131:T194" si="32">G131-78.6</f>
        <v>1.3200000000000074</v>
      </c>
      <c r="U131">
        <f t="shared" si="19"/>
        <v>1.5</v>
      </c>
      <c r="V131">
        <f t="shared" si="29"/>
        <v>0.64500000000000002</v>
      </c>
      <c r="AC131" t="s">
        <v>779</v>
      </c>
      <c r="AD131">
        <v>0</v>
      </c>
      <c r="AE131">
        <v>4.9400000000000004</v>
      </c>
      <c r="AG131" t="str" cm="1">
        <f t="array" ref="AG131:AH131">_xlfn.TEXTSPLIT(AC132," ")</f>
        <v>26.10.2023</v>
      </c>
      <c r="AH131" t="str">
        <v>02:09:59</v>
      </c>
      <c r="AI131">
        <f t="shared" si="26"/>
        <v>2.1333333333333306</v>
      </c>
      <c r="AJ131">
        <f t="shared" si="20"/>
        <v>0.41000000000000014</v>
      </c>
      <c r="AK131">
        <f t="shared" si="21"/>
        <v>0</v>
      </c>
      <c r="AL131">
        <f t="shared" si="30"/>
        <v>0.14250000000000004</v>
      </c>
      <c r="AN131" t="s">
        <v>779</v>
      </c>
      <c r="AO131">
        <v>2.25</v>
      </c>
      <c r="AP131">
        <v>63</v>
      </c>
      <c r="AR131" t="str" cm="1">
        <f t="array" ref="AR131:AS131">_xlfn.TEXTSPLIT(AN131," ")</f>
        <v>26.10.2023</v>
      </c>
      <c r="AS131" t="str">
        <v>02:08:59</v>
      </c>
      <c r="AT131">
        <f t="shared" si="27"/>
        <v>2.1333333333333306</v>
      </c>
      <c r="AU131">
        <f t="shared" si="22"/>
        <v>1.6899999999999977</v>
      </c>
      <c r="AV131">
        <f t="shared" si="23"/>
        <v>2.25</v>
      </c>
      <c r="AW131">
        <f t="shared" si="31"/>
        <v>0.74749999999999994</v>
      </c>
    </row>
    <row r="132" spans="1:49" x14ac:dyDescent="0.25">
      <c r="A132" t="s">
        <v>780</v>
      </c>
      <c r="B132">
        <v>1.8</v>
      </c>
      <c r="C132">
        <v>15.12</v>
      </c>
      <c r="E132" t="s">
        <v>780</v>
      </c>
      <c r="F132">
        <v>0.9</v>
      </c>
      <c r="G132">
        <v>79.94</v>
      </c>
      <c r="I132" t="str" cm="1">
        <f t="array" ref="I132:J132">_xlfn.TEXTSPLIT(A132," ")</f>
        <v>27.10.2023</v>
      </c>
      <c r="J132" t="str">
        <v>02:09:47</v>
      </c>
      <c r="K132">
        <f t="shared" si="24"/>
        <v>2.1499999999999972</v>
      </c>
      <c r="L132">
        <f t="shared" ref="L132:L195" si="33">C132-14.32</f>
        <v>0.79999999999999893</v>
      </c>
      <c r="M132">
        <f t="shared" ref="M132:M195" si="34">B132</f>
        <v>1.8</v>
      </c>
      <c r="N132">
        <f t="shared" si="28"/>
        <v>0.41</v>
      </c>
      <c r="Q132" t="str" cm="1">
        <f t="array" ref="Q132:R132">_xlfn.TEXTSPLIT(E132," ")</f>
        <v>27.10.2023</v>
      </c>
      <c r="R132" t="str">
        <v>02:09:47</v>
      </c>
      <c r="S132">
        <f t="shared" si="25"/>
        <v>2.1499999999999972</v>
      </c>
      <c r="T132">
        <f t="shared" si="32"/>
        <v>1.3400000000000034</v>
      </c>
      <c r="U132">
        <f t="shared" ref="U132:U195" si="35">F132</f>
        <v>0.9</v>
      </c>
      <c r="V132">
        <f t="shared" si="29"/>
        <v>0.63</v>
      </c>
      <c r="AC132" t="s">
        <v>781</v>
      </c>
      <c r="AD132">
        <v>0</v>
      </c>
      <c r="AE132">
        <v>4.96</v>
      </c>
      <c r="AG132" t="str" cm="1">
        <f t="array" ref="AG132:AH132">_xlfn.TEXTSPLIT(AC133," ")</f>
        <v>26.10.2023</v>
      </c>
      <c r="AH132" t="str">
        <v>02:11:00</v>
      </c>
      <c r="AI132">
        <f t="shared" si="26"/>
        <v>2.1499999999999972</v>
      </c>
      <c r="AJ132">
        <f t="shared" ref="AJ132:AJ195" si="36">AE132-4.53</f>
        <v>0.42999999999999972</v>
      </c>
      <c r="AK132">
        <f t="shared" ref="AK132:AK195" si="37">AD132</f>
        <v>0</v>
      </c>
      <c r="AL132">
        <f t="shared" si="30"/>
        <v>0.14250000000000004</v>
      </c>
      <c r="AN132" t="s">
        <v>781</v>
      </c>
      <c r="AO132">
        <v>1.5</v>
      </c>
      <c r="AP132">
        <v>63.03</v>
      </c>
      <c r="AR132" t="str" cm="1">
        <f t="array" ref="AR132:AS132">_xlfn.TEXTSPLIT(AN132," ")</f>
        <v>26.10.2023</v>
      </c>
      <c r="AS132" t="str">
        <v>02:09:59</v>
      </c>
      <c r="AT132">
        <f t="shared" si="27"/>
        <v>2.1499999999999972</v>
      </c>
      <c r="AU132">
        <f t="shared" ref="AU132:AU195" si="38">AP132-61.31</f>
        <v>1.7199999999999989</v>
      </c>
      <c r="AV132">
        <f t="shared" ref="AV132:AV195" si="39">AO132</f>
        <v>1.5</v>
      </c>
      <c r="AW132">
        <f t="shared" si="31"/>
        <v>0.74499999999999988</v>
      </c>
    </row>
    <row r="133" spans="1:49" x14ac:dyDescent="0.25">
      <c r="A133" t="s">
        <v>782</v>
      </c>
      <c r="B133">
        <v>1.2</v>
      </c>
      <c r="C133">
        <v>15.13</v>
      </c>
      <c r="E133" t="s">
        <v>782</v>
      </c>
      <c r="F133">
        <v>1.2</v>
      </c>
      <c r="G133">
        <v>79.959999999999994</v>
      </c>
      <c r="I133" t="str" cm="1">
        <f t="array" ref="I133:J133">_xlfn.TEXTSPLIT(A133," ")</f>
        <v>27.10.2023</v>
      </c>
      <c r="J133" t="str">
        <v>02:10:47</v>
      </c>
      <c r="K133">
        <f t="shared" ref="K133:K196" si="40">1/60+K132</f>
        <v>2.1666666666666639</v>
      </c>
      <c r="L133">
        <f t="shared" si="33"/>
        <v>0.8100000000000005</v>
      </c>
      <c r="M133">
        <f t="shared" si="34"/>
        <v>1.2</v>
      </c>
      <c r="N133">
        <f t="shared" si="28"/>
        <v>0.39749999999999991</v>
      </c>
      <c r="Q133" t="str" cm="1">
        <f t="array" ref="Q133:R133">_xlfn.TEXTSPLIT(E133," ")</f>
        <v>27.10.2023</v>
      </c>
      <c r="R133" t="str">
        <v>02:10:47</v>
      </c>
      <c r="S133">
        <f t="shared" ref="S133:S196" si="41">1/60+S132</f>
        <v>2.1666666666666639</v>
      </c>
      <c r="T133">
        <f t="shared" si="32"/>
        <v>1.3599999999999994</v>
      </c>
      <c r="U133">
        <f t="shared" si="35"/>
        <v>1.2</v>
      </c>
      <c r="V133">
        <f t="shared" si="29"/>
        <v>0.62999999999999978</v>
      </c>
      <c r="AC133" t="s">
        <v>783</v>
      </c>
      <c r="AD133">
        <v>1.2</v>
      </c>
      <c r="AE133">
        <v>4.97</v>
      </c>
      <c r="AG133" t="str" cm="1">
        <f t="array" ref="AG133:AH133">_xlfn.TEXTSPLIT(AC134," ")</f>
        <v>26.10.2023</v>
      </c>
      <c r="AH133" t="str">
        <v>02:12:00</v>
      </c>
      <c r="AI133">
        <f t="shared" ref="AI133:AI196" si="42">1/60+AI132</f>
        <v>2.1666666666666639</v>
      </c>
      <c r="AJ133">
        <f t="shared" si="36"/>
        <v>0.4399999999999995</v>
      </c>
      <c r="AK133">
        <f t="shared" si="37"/>
        <v>1.2</v>
      </c>
      <c r="AL133">
        <f t="shared" si="30"/>
        <v>0.13750000000000001</v>
      </c>
      <c r="AN133" t="s">
        <v>783</v>
      </c>
      <c r="AO133">
        <v>1.65</v>
      </c>
      <c r="AP133">
        <v>63.06</v>
      </c>
      <c r="AR133" t="str" cm="1">
        <f t="array" ref="AR133:AS133">_xlfn.TEXTSPLIT(AN133," ")</f>
        <v>26.10.2023</v>
      </c>
      <c r="AS133" t="str">
        <v>02:11:00</v>
      </c>
      <c r="AT133">
        <f t="shared" ref="AT133:AT196" si="43">1/60+AT132</f>
        <v>2.1666666666666639</v>
      </c>
      <c r="AU133">
        <f t="shared" si="38"/>
        <v>1.75</v>
      </c>
      <c r="AV133">
        <f t="shared" si="39"/>
        <v>1.65</v>
      </c>
      <c r="AW133">
        <f t="shared" si="31"/>
        <v>0.74499999999999988</v>
      </c>
    </row>
    <row r="134" spans="1:49" x14ac:dyDescent="0.25">
      <c r="A134" t="s">
        <v>784</v>
      </c>
      <c r="B134">
        <v>0.75</v>
      </c>
      <c r="C134">
        <v>15.15</v>
      </c>
      <c r="E134" t="s">
        <v>784</v>
      </c>
      <c r="F134">
        <v>1.5</v>
      </c>
      <c r="G134">
        <v>79.98</v>
      </c>
      <c r="I134" t="str" cm="1">
        <f t="array" ref="I134:J134">_xlfn.TEXTSPLIT(A134," ")</f>
        <v>27.10.2023</v>
      </c>
      <c r="J134" t="str">
        <v>02:11:48</v>
      </c>
      <c r="K134">
        <f t="shared" si="40"/>
        <v>2.1833333333333305</v>
      </c>
      <c r="L134">
        <f t="shared" si="33"/>
        <v>0.83000000000000007</v>
      </c>
      <c r="M134">
        <f t="shared" si="34"/>
        <v>0.75</v>
      </c>
      <c r="N134">
        <f t="shared" si="28"/>
        <v>0.38749999999999996</v>
      </c>
      <c r="Q134" t="str" cm="1">
        <f t="array" ref="Q134:R134">_xlfn.TEXTSPLIT(E134," ")</f>
        <v>27.10.2023</v>
      </c>
      <c r="R134" t="str">
        <v>02:11:48</v>
      </c>
      <c r="S134">
        <f t="shared" si="41"/>
        <v>2.1833333333333305</v>
      </c>
      <c r="T134">
        <f t="shared" si="32"/>
        <v>1.3800000000000097</v>
      </c>
      <c r="U134">
        <f t="shared" si="35"/>
        <v>1.5</v>
      </c>
      <c r="V134">
        <f t="shared" si="29"/>
        <v>0.62999999999999978</v>
      </c>
      <c r="AC134" t="s">
        <v>785</v>
      </c>
      <c r="AD134">
        <v>0.6</v>
      </c>
      <c r="AE134">
        <v>4.9800000000000004</v>
      </c>
      <c r="AG134" t="str" cm="1">
        <f t="array" ref="AG134:AH134">_xlfn.TEXTSPLIT(AC135," ")</f>
        <v>26.10.2023</v>
      </c>
      <c r="AH134" t="str">
        <v>02:13:00</v>
      </c>
      <c r="AI134">
        <f t="shared" si="42"/>
        <v>2.1833333333333305</v>
      </c>
      <c r="AJ134">
        <f t="shared" si="36"/>
        <v>0.45000000000000018</v>
      </c>
      <c r="AK134">
        <f t="shared" si="37"/>
        <v>0.6</v>
      </c>
      <c r="AL134">
        <f t="shared" si="30"/>
        <v>0.14000000000000001</v>
      </c>
      <c r="AN134" t="s">
        <v>785</v>
      </c>
      <c r="AO134">
        <v>1.8</v>
      </c>
      <c r="AP134">
        <v>63.08</v>
      </c>
      <c r="AR134" t="str" cm="1">
        <f t="array" ref="AR134:AS134">_xlfn.TEXTSPLIT(AN134," ")</f>
        <v>26.10.2023</v>
      </c>
      <c r="AS134" t="str">
        <v>02:12:00</v>
      </c>
      <c r="AT134">
        <f t="shared" si="43"/>
        <v>2.1833333333333305</v>
      </c>
      <c r="AU134">
        <f t="shared" si="38"/>
        <v>1.769999999999996</v>
      </c>
      <c r="AV134">
        <f t="shared" si="39"/>
        <v>1.8</v>
      </c>
      <c r="AW134">
        <f t="shared" si="31"/>
        <v>0.74499999999999988</v>
      </c>
    </row>
    <row r="135" spans="1:49" x14ac:dyDescent="0.25">
      <c r="A135" t="s">
        <v>786</v>
      </c>
      <c r="B135">
        <v>0.9</v>
      </c>
      <c r="C135">
        <v>15.16</v>
      </c>
      <c r="E135" t="s">
        <v>786</v>
      </c>
      <c r="F135">
        <v>0.9</v>
      </c>
      <c r="G135">
        <v>80</v>
      </c>
      <c r="I135" t="str" cm="1">
        <f t="array" ref="I135:J135">_xlfn.TEXTSPLIT(A135," ")</f>
        <v>27.10.2023</v>
      </c>
      <c r="J135" t="str">
        <v>02:12:48</v>
      </c>
      <c r="K135">
        <f t="shared" si="40"/>
        <v>2.1999999999999971</v>
      </c>
      <c r="L135">
        <f t="shared" si="33"/>
        <v>0.83999999999999986</v>
      </c>
      <c r="M135">
        <f t="shared" si="34"/>
        <v>0.9</v>
      </c>
      <c r="N135">
        <f t="shared" si="28"/>
        <v>0.38749999999999996</v>
      </c>
      <c r="Q135" t="str" cm="1">
        <f t="array" ref="Q135:R135">_xlfn.TEXTSPLIT(E135," ")</f>
        <v>27.10.2023</v>
      </c>
      <c r="R135" t="str">
        <v>02:12:48</v>
      </c>
      <c r="S135">
        <f t="shared" si="41"/>
        <v>2.1999999999999971</v>
      </c>
      <c r="T135">
        <f t="shared" si="32"/>
        <v>1.4000000000000057</v>
      </c>
      <c r="U135">
        <f t="shared" si="35"/>
        <v>0.9</v>
      </c>
      <c r="V135">
        <f t="shared" si="29"/>
        <v>0.61499999999999988</v>
      </c>
      <c r="AC135" t="s">
        <v>787</v>
      </c>
      <c r="AD135">
        <v>0.6</v>
      </c>
      <c r="AE135">
        <v>4.9800000000000004</v>
      </c>
      <c r="AG135" t="str" cm="1">
        <f t="array" ref="AG135:AH135">_xlfn.TEXTSPLIT(AC136," ")</f>
        <v>26.10.2023</v>
      </c>
      <c r="AH135" t="str">
        <v>02:14:00</v>
      </c>
      <c r="AI135">
        <f t="shared" si="42"/>
        <v>2.1999999999999971</v>
      </c>
      <c r="AJ135">
        <f t="shared" si="36"/>
        <v>0.45000000000000018</v>
      </c>
      <c r="AK135">
        <f t="shared" si="37"/>
        <v>0.6</v>
      </c>
      <c r="AL135">
        <f t="shared" si="30"/>
        <v>0.13499999999999998</v>
      </c>
      <c r="AN135" t="s">
        <v>787</v>
      </c>
      <c r="AO135">
        <v>1.65</v>
      </c>
      <c r="AP135">
        <v>63.1</v>
      </c>
      <c r="AR135" t="str" cm="1">
        <f t="array" ref="AR135:AS135">_xlfn.TEXTSPLIT(AN135," ")</f>
        <v>26.10.2023</v>
      </c>
      <c r="AS135" t="str">
        <v>02:13:00</v>
      </c>
      <c r="AT135">
        <f t="shared" si="43"/>
        <v>2.1999999999999971</v>
      </c>
      <c r="AU135">
        <f t="shared" si="38"/>
        <v>1.7899999999999991</v>
      </c>
      <c r="AV135">
        <f t="shared" si="39"/>
        <v>1.65</v>
      </c>
      <c r="AW135">
        <f t="shared" si="31"/>
        <v>0.74499999999999988</v>
      </c>
    </row>
    <row r="136" spans="1:49" x14ac:dyDescent="0.25">
      <c r="A136" t="s">
        <v>788</v>
      </c>
      <c r="B136">
        <v>0.75</v>
      </c>
      <c r="C136">
        <v>15.17</v>
      </c>
      <c r="E136" t="s">
        <v>788</v>
      </c>
      <c r="F136">
        <v>1.35</v>
      </c>
      <c r="G136">
        <v>80.010000000000005</v>
      </c>
      <c r="I136" t="str" cm="1">
        <f t="array" ref="I136:J136">_xlfn.TEXTSPLIT(A136," ")</f>
        <v>27.10.2023</v>
      </c>
      <c r="J136" t="str">
        <v>02:13:48</v>
      </c>
      <c r="K136">
        <f t="shared" si="40"/>
        <v>2.2166666666666637</v>
      </c>
      <c r="L136">
        <f t="shared" si="33"/>
        <v>0.84999999999999964</v>
      </c>
      <c r="M136">
        <f t="shared" si="34"/>
        <v>0.75</v>
      </c>
      <c r="N136">
        <f t="shared" si="28"/>
        <v>0.38499999999999995</v>
      </c>
      <c r="Q136" t="str" cm="1">
        <f t="array" ref="Q136:R136">_xlfn.TEXTSPLIT(E136," ")</f>
        <v>27.10.2023</v>
      </c>
      <c r="R136" t="str">
        <v>02:13:48</v>
      </c>
      <c r="S136">
        <f t="shared" si="41"/>
        <v>2.2166666666666637</v>
      </c>
      <c r="T136">
        <f t="shared" si="32"/>
        <v>1.4100000000000108</v>
      </c>
      <c r="U136">
        <f t="shared" si="35"/>
        <v>1.35</v>
      </c>
      <c r="V136">
        <f t="shared" si="29"/>
        <v>0.61499999999999988</v>
      </c>
      <c r="AC136" t="s">
        <v>789</v>
      </c>
      <c r="AD136">
        <v>0.15</v>
      </c>
      <c r="AE136">
        <v>4.99</v>
      </c>
      <c r="AG136" t="str" cm="1">
        <f t="array" ref="AG136:AH136">_xlfn.TEXTSPLIT(AC137," ")</f>
        <v>26.10.2023</v>
      </c>
      <c r="AH136" t="str">
        <v>02:15:00</v>
      </c>
      <c r="AI136">
        <f t="shared" si="42"/>
        <v>2.2166666666666637</v>
      </c>
      <c r="AJ136">
        <f t="shared" si="36"/>
        <v>0.45999999999999996</v>
      </c>
      <c r="AK136">
        <f t="shared" si="37"/>
        <v>0.15</v>
      </c>
      <c r="AL136">
        <f t="shared" si="30"/>
        <v>0.12750000000000003</v>
      </c>
      <c r="AN136" t="s">
        <v>789</v>
      </c>
      <c r="AO136">
        <v>0.75</v>
      </c>
      <c r="AP136">
        <v>63.11</v>
      </c>
      <c r="AR136" t="str" cm="1">
        <f t="array" ref="AR136:AS136">_xlfn.TEXTSPLIT(AN136," ")</f>
        <v>26.10.2023</v>
      </c>
      <c r="AS136" t="str">
        <v>02:14:00</v>
      </c>
      <c r="AT136">
        <f t="shared" si="43"/>
        <v>2.2166666666666637</v>
      </c>
      <c r="AU136">
        <f t="shared" si="38"/>
        <v>1.7999999999999972</v>
      </c>
      <c r="AV136">
        <f t="shared" si="39"/>
        <v>0.75</v>
      </c>
      <c r="AW136">
        <f t="shared" si="31"/>
        <v>0.73999999999999977</v>
      </c>
    </row>
    <row r="137" spans="1:49" x14ac:dyDescent="0.25">
      <c r="A137" t="s">
        <v>790</v>
      </c>
      <c r="B137">
        <v>0.45</v>
      </c>
      <c r="C137">
        <v>15.17</v>
      </c>
      <c r="E137" t="s">
        <v>790</v>
      </c>
      <c r="F137">
        <v>0.6</v>
      </c>
      <c r="G137">
        <v>80.02</v>
      </c>
      <c r="I137" t="str" cm="1">
        <f t="array" ref="I137:J137">_xlfn.TEXTSPLIT(A137," ")</f>
        <v>27.10.2023</v>
      </c>
      <c r="J137" t="str">
        <v>02:14:48</v>
      </c>
      <c r="K137">
        <f t="shared" si="40"/>
        <v>2.2333333333333303</v>
      </c>
      <c r="L137">
        <f t="shared" si="33"/>
        <v>0.84999999999999964</v>
      </c>
      <c r="M137">
        <f t="shared" si="34"/>
        <v>0.45</v>
      </c>
      <c r="N137">
        <f t="shared" si="28"/>
        <v>0.3775</v>
      </c>
      <c r="Q137" t="str" cm="1">
        <f t="array" ref="Q137:R137">_xlfn.TEXTSPLIT(E137," ")</f>
        <v>27.10.2023</v>
      </c>
      <c r="R137" t="str">
        <v>02:14:48</v>
      </c>
      <c r="S137">
        <f t="shared" si="41"/>
        <v>2.2333333333333303</v>
      </c>
      <c r="T137">
        <f t="shared" si="32"/>
        <v>1.4200000000000017</v>
      </c>
      <c r="U137">
        <f t="shared" si="35"/>
        <v>0.6</v>
      </c>
      <c r="V137">
        <f t="shared" si="29"/>
        <v>0.60999999999999988</v>
      </c>
      <c r="AC137" t="s">
        <v>791</v>
      </c>
      <c r="AD137">
        <v>0.6</v>
      </c>
      <c r="AE137">
        <v>5</v>
      </c>
      <c r="AG137" t="str" cm="1">
        <f t="array" ref="AG137:AH137">_xlfn.TEXTSPLIT(AC138," ")</f>
        <v>26.10.2023</v>
      </c>
      <c r="AH137" t="str">
        <v>02:16:00</v>
      </c>
      <c r="AI137">
        <f t="shared" si="42"/>
        <v>2.2333333333333303</v>
      </c>
      <c r="AJ137">
        <f t="shared" si="36"/>
        <v>0.46999999999999975</v>
      </c>
      <c r="AK137">
        <f t="shared" si="37"/>
        <v>0.6</v>
      </c>
      <c r="AL137">
        <f t="shared" si="30"/>
        <v>0.13</v>
      </c>
      <c r="AN137" t="s">
        <v>791</v>
      </c>
      <c r="AO137">
        <v>0.75</v>
      </c>
      <c r="AP137">
        <v>63.12</v>
      </c>
      <c r="AR137" t="str" cm="1">
        <f t="array" ref="AR137:AS137">_xlfn.TEXTSPLIT(AN137," ")</f>
        <v>26.10.2023</v>
      </c>
      <c r="AS137" t="str">
        <v>02:15:00</v>
      </c>
      <c r="AT137">
        <f t="shared" si="43"/>
        <v>2.2333333333333303</v>
      </c>
      <c r="AU137">
        <f t="shared" si="38"/>
        <v>1.8099999999999952</v>
      </c>
      <c r="AV137">
        <f t="shared" si="39"/>
        <v>0.75</v>
      </c>
      <c r="AW137">
        <f t="shared" si="31"/>
        <v>0.73999999999999988</v>
      </c>
    </row>
    <row r="138" spans="1:49" x14ac:dyDescent="0.25">
      <c r="A138" t="s">
        <v>792</v>
      </c>
      <c r="B138">
        <v>0.75</v>
      </c>
      <c r="C138">
        <v>15.18</v>
      </c>
      <c r="E138" t="s">
        <v>792</v>
      </c>
      <c r="F138">
        <v>0.75</v>
      </c>
      <c r="G138">
        <v>80.03</v>
      </c>
      <c r="I138" t="str" cm="1">
        <f t="array" ref="I138:J138">_xlfn.TEXTSPLIT(A138," ")</f>
        <v>27.10.2023</v>
      </c>
      <c r="J138" t="str">
        <v>02:15:48</v>
      </c>
      <c r="K138">
        <f t="shared" si="40"/>
        <v>2.2499999999999969</v>
      </c>
      <c r="L138">
        <f t="shared" si="33"/>
        <v>0.85999999999999943</v>
      </c>
      <c r="M138">
        <f t="shared" si="34"/>
        <v>0.75</v>
      </c>
      <c r="N138">
        <f t="shared" si="28"/>
        <v>0.36999999999999994</v>
      </c>
      <c r="Q138" t="str" cm="1">
        <f t="array" ref="Q138:R138">_xlfn.TEXTSPLIT(E138," ")</f>
        <v>27.10.2023</v>
      </c>
      <c r="R138" t="str">
        <v>02:15:48</v>
      </c>
      <c r="S138">
        <f t="shared" si="41"/>
        <v>2.2499999999999969</v>
      </c>
      <c r="T138">
        <f t="shared" si="32"/>
        <v>1.4300000000000068</v>
      </c>
      <c r="U138">
        <f t="shared" si="35"/>
        <v>0.75</v>
      </c>
      <c r="V138">
        <f t="shared" si="29"/>
        <v>0.60999999999999976</v>
      </c>
      <c r="AC138" t="s">
        <v>793</v>
      </c>
      <c r="AD138">
        <v>0.45</v>
      </c>
      <c r="AE138">
        <v>5.01</v>
      </c>
      <c r="AG138" t="str" cm="1">
        <f t="array" ref="AG138:AH138">_xlfn.TEXTSPLIT(AC139," ")</f>
        <v>26.10.2023</v>
      </c>
      <c r="AH138" t="str">
        <v>02:17:00</v>
      </c>
      <c r="AI138">
        <f t="shared" si="42"/>
        <v>2.2499999999999969</v>
      </c>
      <c r="AJ138">
        <f t="shared" si="36"/>
        <v>0.47999999999999954</v>
      </c>
      <c r="AK138">
        <f t="shared" si="37"/>
        <v>0.45</v>
      </c>
      <c r="AL138">
        <f t="shared" si="30"/>
        <v>0.13</v>
      </c>
      <c r="AN138" t="s">
        <v>793</v>
      </c>
      <c r="AO138">
        <v>0.6</v>
      </c>
      <c r="AP138">
        <v>63.13</v>
      </c>
      <c r="AR138" t="str" cm="1">
        <f t="array" ref="AR138:AS138">_xlfn.TEXTSPLIT(AN138," ")</f>
        <v>26.10.2023</v>
      </c>
      <c r="AS138" t="str">
        <v>02:16:00</v>
      </c>
      <c r="AT138">
        <f t="shared" si="43"/>
        <v>2.2499999999999969</v>
      </c>
      <c r="AU138">
        <f t="shared" si="38"/>
        <v>1.8200000000000003</v>
      </c>
      <c r="AV138">
        <f t="shared" si="39"/>
        <v>0.6</v>
      </c>
      <c r="AW138">
        <f t="shared" si="31"/>
        <v>0.73999999999999988</v>
      </c>
    </row>
    <row r="139" spans="1:49" x14ac:dyDescent="0.25">
      <c r="A139" t="s">
        <v>794</v>
      </c>
      <c r="B139">
        <v>0</v>
      </c>
      <c r="C139">
        <v>15.18</v>
      </c>
      <c r="E139" t="s">
        <v>794</v>
      </c>
      <c r="F139">
        <v>0.6</v>
      </c>
      <c r="G139">
        <v>80.040000000000006</v>
      </c>
      <c r="I139" t="str" cm="1">
        <f t="array" ref="I139:J139">_xlfn.TEXTSPLIT(A139," ")</f>
        <v>27.10.2023</v>
      </c>
      <c r="J139" t="str">
        <v>02:16:48</v>
      </c>
      <c r="K139">
        <f t="shared" si="40"/>
        <v>2.2666666666666635</v>
      </c>
      <c r="L139">
        <f t="shared" si="33"/>
        <v>0.85999999999999943</v>
      </c>
      <c r="M139">
        <f t="shared" si="34"/>
        <v>0</v>
      </c>
      <c r="N139">
        <f t="shared" si="28"/>
        <v>0.35499999999999993</v>
      </c>
      <c r="Q139" t="str" cm="1">
        <f t="array" ref="Q139:R139">_xlfn.TEXTSPLIT(E139," ")</f>
        <v>27.10.2023</v>
      </c>
      <c r="R139" t="str">
        <v>02:16:48</v>
      </c>
      <c r="S139">
        <f t="shared" si="41"/>
        <v>2.2666666666666635</v>
      </c>
      <c r="T139">
        <f t="shared" si="32"/>
        <v>1.4400000000000119</v>
      </c>
      <c r="U139">
        <f t="shared" si="35"/>
        <v>0.6</v>
      </c>
      <c r="V139">
        <f t="shared" si="29"/>
        <v>0.60749999999999982</v>
      </c>
      <c r="AC139" t="s">
        <v>795</v>
      </c>
      <c r="AD139">
        <v>0.15</v>
      </c>
      <c r="AE139">
        <v>5.01</v>
      </c>
      <c r="AG139" t="str" cm="1">
        <f t="array" ref="AG139:AH139">_xlfn.TEXTSPLIT(AC140," ")</f>
        <v>26.10.2023</v>
      </c>
      <c r="AH139" t="str">
        <v>02:18:00</v>
      </c>
      <c r="AI139">
        <f t="shared" si="42"/>
        <v>2.2666666666666635</v>
      </c>
      <c r="AJ139">
        <f t="shared" si="36"/>
        <v>0.47999999999999954</v>
      </c>
      <c r="AK139">
        <f t="shared" si="37"/>
        <v>0.15</v>
      </c>
      <c r="AL139">
        <f t="shared" si="30"/>
        <v>0.13</v>
      </c>
      <c r="AN139" t="s">
        <v>795</v>
      </c>
      <c r="AO139">
        <v>0.6</v>
      </c>
      <c r="AP139">
        <v>63.15</v>
      </c>
      <c r="AR139" t="str" cm="1">
        <f t="array" ref="AR139:AS139">_xlfn.TEXTSPLIT(AN139," ")</f>
        <v>26.10.2023</v>
      </c>
      <c r="AS139" t="str">
        <v>02:17:00</v>
      </c>
      <c r="AT139">
        <f t="shared" si="43"/>
        <v>2.2666666666666635</v>
      </c>
      <c r="AU139">
        <f t="shared" si="38"/>
        <v>1.8399999999999963</v>
      </c>
      <c r="AV139">
        <f t="shared" si="39"/>
        <v>0.6</v>
      </c>
      <c r="AW139">
        <f t="shared" si="31"/>
        <v>0.73749999999999993</v>
      </c>
    </row>
    <row r="140" spans="1:49" x14ac:dyDescent="0.25">
      <c r="A140" t="s">
        <v>796</v>
      </c>
      <c r="B140">
        <v>0.3</v>
      </c>
      <c r="C140">
        <v>15.19</v>
      </c>
      <c r="E140" t="s">
        <v>796</v>
      </c>
      <c r="F140">
        <v>0.6</v>
      </c>
      <c r="G140">
        <v>80.06</v>
      </c>
      <c r="I140" t="str" cm="1">
        <f t="array" ref="I140:J140">_xlfn.TEXTSPLIT(A140," ")</f>
        <v>27.10.2023</v>
      </c>
      <c r="J140" t="str">
        <v>02:17:48</v>
      </c>
      <c r="K140">
        <f t="shared" si="40"/>
        <v>2.2833333333333301</v>
      </c>
      <c r="L140">
        <f t="shared" si="33"/>
        <v>0.86999999999999922</v>
      </c>
      <c r="M140">
        <f t="shared" si="34"/>
        <v>0.3</v>
      </c>
      <c r="N140">
        <f t="shared" si="28"/>
        <v>0.35</v>
      </c>
      <c r="Q140" t="str" cm="1">
        <f t="array" ref="Q140:R140">_xlfn.TEXTSPLIT(E140," ")</f>
        <v>27.10.2023</v>
      </c>
      <c r="R140" t="str">
        <v>02:17:48</v>
      </c>
      <c r="S140">
        <f t="shared" si="41"/>
        <v>2.2833333333333301</v>
      </c>
      <c r="T140">
        <f t="shared" si="32"/>
        <v>1.460000000000008</v>
      </c>
      <c r="U140">
        <f t="shared" si="35"/>
        <v>0.6</v>
      </c>
      <c r="V140">
        <f t="shared" si="29"/>
        <v>0.60749999999999993</v>
      </c>
      <c r="AC140" t="s">
        <v>797</v>
      </c>
      <c r="AD140">
        <v>0</v>
      </c>
      <c r="AE140">
        <v>5.01</v>
      </c>
      <c r="AG140" t="str" cm="1">
        <f t="array" ref="AG140:AH140">_xlfn.TEXTSPLIT(AC141," ")</f>
        <v>26.10.2023</v>
      </c>
      <c r="AH140" t="str">
        <v>02:19:00</v>
      </c>
      <c r="AI140">
        <f t="shared" si="42"/>
        <v>2.2833333333333301</v>
      </c>
      <c r="AJ140">
        <f t="shared" si="36"/>
        <v>0.47999999999999954</v>
      </c>
      <c r="AK140">
        <f t="shared" si="37"/>
        <v>0</v>
      </c>
      <c r="AL140">
        <f t="shared" si="30"/>
        <v>0.1275</v>
      </c>
      <c r="AN140" t="s">
        <v>797</v>
      </c>
      <c r="AO140">
        <v>0.6</v>
      </c>
      <c r="AP140">
        <v>63.16</v>
      </c>
      <c r="AR140" t="str" cm="1">
        <f t="array" ref="AR140:AS140">_xlfn.TEXTSPLIT(AN140," ")</f>
        <v>26.10.2023</v>
      </c>
      <c r="AS140" t="str">
        <v>02:18:00</v>
      </c>
      <c r="AT140">
        <f t="shared" si="43"/>
        <v>2.2833333333333301</v>
      </c>
      <c r="AU140">
        <f t="shared" si="38"/>
        <v>1.8499999999999943</v>
      </c>
      <c r="AV140">
        <f t="shared" si="39"/>
        <v>0.6</v>
      </c>
      <c r="AW140">
        <f t="shared" si="31"/>
        <v>0.73249999999999993</v>
      </c>
    </row>
    <row r="141" spans="1:49" x14ac:dyDescent="0.25">
      <c r="A141" t="s">
        <v>798</v>
      </c>
      <c r="B141">
        <v>0.75</v>
      </c>
      <c r="C141">
        <v>15.2</v>
      </c>
      <c r="E141" t="s">
        <v>798</v>
      </c>
      <c r="F141">
        <v>0.6</v>
      </c>
      <c r="G141">
        <v>80.069999999999993</v>
      </c>
      <c r="I141" t="str" cm="1">
        <f t="array" ref="I141:J141">_xlfn.TEXTSPLIT(A141," ")</f>
        <v>27.10.2023</v>
      </c>
      <c r="J141" t="str">
        <v>02:18:49</v>
      </c>
      <c r="K141">
        <f t="shared" si="40"/>
        <v>2.2999999999999967</v>
      </c>
      <c r="L141">
        <f t="shared" si="33"/>
        <v>0.87999999999999901</v>
      </c>
      <c r="M141">
        <f t="shared" si="34"/>
        <v>0.75</v>
      </c>
      <c r="N141">
        <f t="shared" si="28"/>
        <v>0.35500000000000004</v>
      </c>
      <c r="Q141" t="str" cm="1">
        <f t="array" ref="Q141:R141">_xlfn.TEXTSPLIT(E141," ")</f>
        <v>27.10.2023</v>
      </c>
      <c r="R141" t="str">
        <v>02:18:49</v>
      </c>
      <c r="S141">
        <f t="shared" si="41"/>
        <v>2.2999999999999967</v>
      </c>
      <c r="T141">
        <f t="shared" si="32"/>
        <v>1.4699999999999989</v>
      </c>
      <c r="U141">
        <f t="shared" si="35"/>
        <v>0.6</v>
      </c>
      <c r="V141">
        <f t="shared" si="29"/>
        <v>0.60749999999999982</v>
      </c>
      <c r="AC141" t="s">
        <v>799</v>
      </c>
      <c r="AD141">
        <v>0</v>
      </c>
      <c r="AE141">
        <v>5.01</v>
      </c>
      <c r="AG141" t="str" cm="1">
        <f t="array" ref="AG141:AH141">_xlfn.TEXTSPLIT(AC142," ")</f>
        <v>26.10.2023</v>
      </c>
      <c r="AH141" t="str">
        <v>02:20:00</v>
      </c>
      <c r="AI141">
        <f t="shared" si="42"/>
        <v>2.2999999999999967</v>
      </c>
      <c r="AJ141">
        <f t="shared" si="36"/>
        <v>0.47999999999999954</v>
      </c>
      <c r="AK141">
        <f t="shared" si="37"/>
        <v>0</v>
      </c>
      <c r="AL141">
        <f t="shared" si="30"/>
        <v>0.125</v>
      </c>
      <c r="AN141" t="s">
        <v>799</v>
      </c>
      <c r="AO141">
        <v>0.75</v>
      </c>
      <c r="AP141">
        <v>63.17</v>
      </c>
      <c r="AR141" t="str" cm="1">
        <f t="array" ref="AR141:AS141">_xlfn.TEXTSPLIT(AN141," ")</f>
        <v>26.10.2023</v>
      </c>
      <c r="AS141" t="str">
        <v>02:19:00</v>
      </c>
      <c r="AT141">
        <f t="shared" si="43"/>
        <v>2.2999999999999967</v>
      </c>
      <c r="AU141">
        <f t="shared" si="38"/>
        <v>1.8599999999999994</v>
      </c>
      <c r="AV141">
        <f t="shared" si="39"/>
        <v>0.75</v>
      </c>
      <c r="AW141">
        <f t="shared" si="31"/>
        <v>0.72999999999999987</v>
      </c>
    </row>
    <row r="142" spans="1:49" x14ac:dyDescent="0.25">
      <c r="A142" t="s">
        <v>800</v>
      </c>
      <c r="B142">
        <v>0.3</v>
      </c>
      <c r="C142">
        <v>15.2</v>
      </c>
      <c r="E142" t="s">
        <v>800</v>
      </c>
      <c r="F142">
        <v>0.6</v>
      </c>
      <c r="G142">
        <v>80.08</v>
      </c>
      <c r="I142" t="str" cm="1">
        <f t="array" ref="I142:J142">_xlfn.TEXTSPLIT(A142," ")</f>
        <v>27.10.2023</v>
      </c>
      <c r="J142" t="str">
        <v>02:19:49</v>
      </c>
      <c r="K142">
        <f t="shared" si="40"/>
        <v>2.3166666666666633</v>
      </c>
      <c r="L142">
        <f t="shared" si="33"/>
        <v>0.87999999999999901</v>
      </c>
      <c r="M142">
        <f t="shared" si="34"/>
        <v>0.3</v>
      </c>
      <c r="N142">
        <f t="shared" si="28"/>
        <v>0.35500000000000004</v>
      </c>
      <c r="Q142" t="str" cm="1">
        <f t="array" ref="Q142:R142">_xlfn.TEXTSPLIT(E142," ")</f>
        <v>27.10.2023</v>
      </c>
      <c r="R142" t="str">
        <v>02:19:49</v>
      </c>
      <c r="S142">
        <f t="shared" si="41"/>
        <v>2.3166666666666633</v>
      </c>
      <c r="T142">
        <f t="shared" si="32"/>
        <v>1.480000000000004</v>
      </c>
      <c r="U142">
        <f t="shared" si="35"/>
        <v>0.6</v>
      </c>
      <c r="V142">
        <f t="shared" si="29"/>
        <v>0.60499999999999987</v>
      </c>
      <c r="AC142" t="s">
        <v>801</v>
      </c>
      <c r="AD142">
        <v>0</v>
      </c>
      <c r="AE142">
        <v>5.01</v>
      </c>
      <c r="AG142" t="str" cm="1">
        <f t="array" ref="AG142:AH142">_xlfn.TEXTSPLIT(AC143," ")</f>
        <v>26.10.2023</v>
      </c>
      <c r="AH142" t="str">
        <v>02:21:01</v>
      </c>
      <c r="AI142">
        <f t="shared" si="42"/>
        <v>2.3166666666666633</v>
      </c>
      <c r="AJ142">
        <f t="shared" si="36"/>
        <v>0.47999999999999954</v>
      </c>
      <c r="AK142">
        <f t="shared" si="37"/>
        <v>0</v>
      </c>
      <c r="AL142">
        <f t="shared" si="30"/>
        <v>0.125</v>
      </c>
      <c r="AN142" t="s">
        <v>801</v>
      </c>
      <c r="AO142">
        <v>0.9</v>
      </c>
      <c r="AP142">
        <v>63.18</v>
      </c>
      <c r="AR142" t="str" cm="1">
        <f t="array" ref="AR142:AS142">_xlfn.TEXTSPLIT(AN142," ")</f>
        <v>26.10.2023</v>
      </c>
      <c r="AS142" t="str">
        <v>02:20:00</v>
      </c>
      <c r="AT142">
        <f t="shared" si="43"/>
        <v>2.3166666666666633</v>
      </c>
      <c r="AU142">
        <f t="shared" si="38"/>
        <v>1.8699999999999974</v>
      </c>
      <c r="AV142">
        <f t="shared" si="39"/>
        <v>0.9</v>
      </c>
      <c r="AW142">
        <f t="shared" si="31"/>
        <v>0.72999999999999987</v>
      </c>
    </row>
    <row r="143" spans="1:49" x14ac:dyDescent="0.25">
      <c r="A143" t="s">
        <v>802</v>
      </c>
      <c r="B143">
        <v>0.3</v>
      </c>
      <c r="C143">
        <v>15.21</v>
      </c>
      <c r="E143" t="s">
        <v>802</v>
      </c>
      <c r="F143">
        <v>0.6</v>
      </c>
      <c r="G143">
        <v>80.09</v>
      </c>
      <c r="I143" t="str" cm="1">
        <f t="array" ref="I143:J143">_xlfn.TEXTSPLIT(A143," ")</f>
        <v>27.10.2023</v>
      </c>
      <c r="J143" t="str">
        <v>02:20:49</v>
      </c>
      <c r="K143">
        <f t="shared" si="40"/>
        <v>2.3333333333333299</v>
      </c>
      <c r="L143">
        <f t="shared" si="33"/>
        <v>0.89000000000000057</v>
      </c>
      <c r="M143">
        <f t="shared" si="34"/>
        <v>0.3</v>
      </c>
      <c r="N143">
        <f t="shared" si="28"/>
        <v>0.35249999999999998</v>
      </c>
      <c r="Q143" t="str" cm="1">
        <f t="array" ref="Q143:R143">_xlfn.TEXTSPLIT(E143," ")</f>
        <v>27.10.2023</v>
      </c>
      <c r="R143" t="str">
        <v>02:20:49</v>
      </c>
      <c r="S143">
        <f t="shared" si="41"/>
        <v>2.3333333333333299</v>
      </c>
      <c r="T143">
        <f t="shared" si="32"/>
        <v>1.4900000000000091</v>
      </c>
      <c r="U143">
        <f t="shared" si="35"/>
        <v>0.6</v>
      </c>
      <c r="V143">
        <f t="shared" si="29"/>
        <v>0.60249999999999981</v>
      </c>
      <c r="AC143" t="s">
        <v>803</v>
      </c>
      <c r="AD143">
        <v>0.15</v>
      </c>
      <c r="AE143">
        <v>5.01</v>
      </c>
      <c r="AG143" t="str" cm="1">
        <f t="array" ref="AG143:AH143">_xlfn.TEXTSPLIT(AC144," ")</f>
        <v>26.10.2023</v>
      </c>
      <c r="AH143" t="str">
        <v>02:22:01</v>
      </c>
      <c r="AI143">
        <f t="shared" si="42"/>
        <v>2.3333333333333299</v>
      </c>
      <c r="AJ143">
        <f t="shared" si="36"/>
        <v>0.47999999999999954</v>
      </c>
      <c r="AK143">
        <f t="shared" si="37"/>
        <v>0.15</v>
      </c>
      <c r="AL143">
        <f t="shared" si="30"/>
        <v>0.1275</v>
      </c>
      <c r="AN143" t="s">
        <v>803</v>
      </c>
      <c r="AO143">
        <v>0.75</v>
      </c>
      <c r="AP143">
        <v>63.2</v>
      </c>
      <c r="AR143" t="str" cm="1">
        <f t="array" ref="AR143:AS143">_xlfn.TEXTSPLIT(AN143," ")</f>
        <v>26.10.2023</v>
      </c>
      <c r="AS143" t="str">
        <v>02:21:01</v>
      </c>
      <c r="AT143">
        <f t="shared" si="43"/>
        <v>2.3333333333333299</v>
      </c>
      <c r="AU143">
        <f t="shared" si="38"/>
        <v>1.8900000000000006</v>
      </c>
      <c r="AV143">
        <f t="shared" si="39"/>
        <v>0.75</v>
      </c>
      <c r="AW143">
        <f t="shared" si="31"/>
        <v>0.72749999999999981</v>
      </c>
    </row>
    <row r="144" spans="1:49" x14ac:dyDescent="0.25">
      <c r="A144" t="s">
        <v>804</v>
      </c>
      <c r="B144">
        <v>0.3</v>
      </c>
      <c r="C144">
        <v>15.22</v>
      </c>
      <c r="E144" t="s">
        <v>804</v>
      </c>
      <c r="F144">
        <v>0.75</v>
      </c>
      <c r="G144">
        <v>80.099999999999994</v>
      </c>
      <c r="I144" t="str" cm="1">
        <f t="array" ref="I144:J144">_xlfn.TEXTSPLIT(A144," ")</f>
        <v>27.10.2023</v>
      </c>
      <c r="J144" t="str">
        <v>02:21:49</v>
      </c>
      <c r="K144">
        <f t="shared" si="40"/>
        <v>2.3499999999999965</v>
      </c>
      <c r="L144">
        <f t="shared" si="33"/>
        <v>0.90000000000000036</v>
      </c>
      <c r="M144">
        <f t="shared" si="34"/>
        <v>0.3</v>
      </c>
      <c r="N144">
        <f t="shared" si="28"/>
        <v>0.35250000000000004</v>
      </c>
      <c r="Q144" t="str" cm="1">
        <f t="array" ref="Q144:R144">_xlfn.TEXTSPLIT(E144," ")</f>
        <v>27.10.2023</v>
      </c>
      <c r="R144" t="str">
        <v>02:21:49</v>
      </c>
      <c r="S144">
        <f t="shared" si="41"/>
        <v>2.3499999999999965</v>
      </c>
      <c r="T144">
        <f t="shared" si="32"/>
        <v>1.5</v>
      </c>
      <c r="U144">
        <f t="shared" si="35"/>
        <v>0.75</v>
      </c>
      <c r="V144">
        <f t="shared" si="29"/>
        <v>0.59749999999999992</v>
      </c>
      <c r="AC144" t="s">
        <v>805</v>
      </c>
      <c r="AD144">
        <v>0</v>
      </c>
      <c r="AE144">
        <v>5.01</v>
      </c>
      <c r="AG144" t="str" cm="1">
        <f t="array" ref="AG144:AH144">_xlfn.TEXTSPLIT(AC145," ")</f>
        <v>26.10.2023</v>
      </c>
      <c r="AH144" t="str">
        <v>02:23:01</v>
      </c>
      <c r="AI144">
        <f t="shared" si="42"/>
        <v>2.3499999999999965</v>
      </c>
      <c r="AJ144">
        <f t="shared" si="36"/>
        <v>0.47999999999999954</v>
      </c>
      <c r="AK144">
        <f t="shared" si="37"/>
        <v>0</v>
      </c>
      <c r="AL144">
        <f t="shared" si="30"/>
        <v>0.1275</v>
      </c>
      <c r="AN144" t="s">
        <v>805</v>
      </c>
      <c r="AO144">
        <v>1.05</v>
      </c>
      <c r="AP144">
        <v>63.21</v>
      </c>
      <c r="AR144" t="str" cm="1">
        <f t="array" ref="AR144:AS144">_xlfn.TEXTSPLIT(AN144," ")</f>
        <v>26.10.2023</v>
      </c>
      <c r="AS144" t="str">
        <v>02:22:01</v>
      </c>
      <c r="AT144">
        <f t="shared" si="43"/>
        <v>2.3499999999999965</v>
      </c>
      <c r="AU144">
        <f t="shared" si="38"/>
        <v>1.8999999999999986</v>
      </c>
      <c r="AV144">
        <f t="shared" si="39"/>
        <v>1.05</v>
      </c>
      <c r="AW144">
        <f t="shared" si="31"/>
        <v>0.73249999999999982</v>
      </c>
    </row>
    <row r="145" spans="1:49" x14ac:dyDescent="0.25">
      <c r="A145" t="s">
        <v>806</v>
      </c>
      <c r="B145">
        <v>0.3</v>
      </c>
      <c r="C145">
        <v>15.22</v>
      </c>
      <c r="E145" t="s">
        <v>806</v>
      </c>
      <c r="F145">
        <v>0.15</v>
      </c>
      <c r="G145">
        <v>80.099999999999994</v>
      </c>
      <c r="I145" t="str" cm="1">
        <f t="array" ref="I145:J145">_xlfn.TEXTSPLIT(A145," ")</f>
        <v>27.10.2023</v>
      </c>
      <c r="J145" t="str">
        <v>02:22:49</v>
      </c>
      <c r="K145">
        <f t="shared" si="40"/>
        <v>2.3666666666666631</v>
      </c>
      <c r="L145">
        <f t="shared" si="33"/>
        <v>0.90000000000000036</v>
      </c>
      <c r="M145">
        <f t="shared" si="34"/>
        <v>0.3</v>
      </c>
      <c r="N145">
        <f t="shared" si="28"/>
        <v>0.35000000000000003</v>
      </c>
      <c r="Q145" t="str" cm="1">
        <f t="array" ref="Q145:R145">_xlfn.TEXTSPLIT(E145," ")</f>
        <v>27.10.2023</v>
      </c>
      <c r="R145" t="str">
        <v>02:22:49</v>
      </c>
      <c r="S145">
        <f t="shared" si="41"/>
        <v>2.3666666666666631</v>
      </c>
      <c r="T145">
        <f t="shared" si="32"/>
        <v>1.5</v>
      </c>
      <c r="U145">
        <f t="shared" si="35"/>
        <v>0.15</v>
      </c>
      <c r="V145">
        <f t="shared" si="29"/>
        <v>0.59749999999999981</v>
      </c>
      <c r="AC145" t="s">
        <v>807</v>
      </c>
      <c r="AD145">
        <v>0</v>
      </c>
      <c r="AE145">
        <v>5.01</v>
      </c>
      <c r="AG145" t="str" cm="1">
        <f t="array" ref="AG145:AH145">_xlfn.TEXTSPLIT(AC146," ")</f>
        <v>26.10.2023</v>
      </c>
      <c r="AH145" t="str">
        <v>02:24:01</v>
      </c>
      <c r="AI145">
        <f t="shared" si="42"/>
        <v>2.3666666666666631</v>
      </c>
      <c r="AJ145">
        <f t="shared" si="36"/>
        <v>0.47999999999999954</v>
      </c>
      <c r="AK145">
        <f t="shared" si="37"/>
        <v>0</v>
      </c>
      <c r="AL145">
        <f t="shared" si="30"/>
        <v>0.1275</v>
      </c>
      <c r="AN145" t="s">
        <v>807</v>
      </c>
      <c r="AO145">
        <v>0.45</v>
      </c>
      <c r="AP145">
        <v>63.21</v>
      </c>
      <c r="AR145" t="str" cm="1">
        <f t="array" ref="AR145:AS145">_xlfn.TEXTSPLIT(AN145," ")</f>
        <v>26.10.2023</v>
      </c>
      <c r="AS145" t="str">
        <v>02:23:01</v>
      </c>
      <c r="AT145">
        <f t="shared" si="43"/>
        <v>2.3666666666666631</v>
      </c>
      <c r="AU145">
        <f t="shared" si="38"/>
        <v>1.8999999999999986</v>
      </c>
      <c r="AV145">
        <f t="shared" si="39"/>
        <v>0.45</v>
      </c>
      <c r="AW145">
        <f t="shared" si="31"/>
        <v>0.73249999999999993</v>
      </c>
    </row>
    <row r="146" spans="1:49" x14ac:dyDescent="0.25">
      <c r="A146" t="s">
        <v>808</v>
      </c>
      <c r="B146">
        <v>0.15</v>
      </c>
      <c r="C146">
        <v>15.22</v>
      </c>
      <c r="E146" t="s">
        <v>808</v>
      </c>
      <c r="F146">
        <v>0.15</v>
      </c>
      <c r="G146">
        <v>80.099999999999994</v>
      </c>
      <c r="I146" t="str" cm="1">
        <f t="array" ref="I146:J146">_xlfn.TEXTSPLIT(A146," ")</f>
        <v>27.10.2023</v>
      </c>
      <c r="J146" t="str">
        <v>02:23:49</v>
      </c>
      <c r="K146">
        <f t="shared" si="40"/>
        <v>2.3833333333333298</v>
      </c>
      <c r="L146">
        <f t="shared" si="33"/>
        <v>0.90000000000000036</v>
      </c>
      <c r="M146">
        <f t="shared" si="34"/>
        <v>0.15</v>
      </c>
      <c r="N146">
        <f t="shared" si="28"/>
        <v>0.35</v>
      </c>
      <c r="Q146" t="str" cm="1">
        <f t="array" ref="Q146:R146">_xlfn.TEXTSPLIT(E146," ")</f>
        <v>27.10.2023</v>
      </c>
      <c r="R146" t="str">
        <v>02:23:49</v>
      </c>
      <c r="S146">
        <f t="shared" si="41"/>
        <v>2.3833333333333298</v>
      </c>
      <c r="T146">
        <f t="shared" si="32"/>
        <v>1.5</v>
      </c>
      <c r="U146">
        <f t="shared" si="35"/>
        <v>0.15</v>
      </c>
      <c r="V146">
        <f t="shared" si="29"/>
        <v>0.59999999999999976</v>
      </c>
      <c r="AC146" t="s">
        <v>809</v>
      </c>
      <c r="AD146">
        <v>0</v>
      </c>
      <c r="AE146">
        <v>5.01</v>
      </c>
      <c r="AG146" t="str" cm="1">
        <f t="array" ref="AG146:AH146">_xlfn.TEXTSPLIT(AC147," ")</f>
        <v>26.10.2023</v>
      </c>
      <c r="AH146" t="str">
        <v>02:25:01</v>
      </c>
      <c r="AI146">
        <f t="shared" si="42"/>
        <v>2.3833333333333298</v>
      </c>
      <c r="AJ146">
        <f t="shared" si="36"/>
        <v>0.47999999999999954</v>
      </c>
      <c r="AK146">
        <f t="shared" si="37"/>
        <v>0</v>
      </c>
      <c r="AL146">
        <f t="shared" si="30"/>
        <v>0.1275</v>
      </c>
      <c r="AN146" t="s">
        <v>809</v>
      </c>
      <c r="AO146">
        <v>0</v>
      </c>
      <c r="AP146">
        <v>63.21</v>
      </c>
      <c r="AR146" t="str" cm="1">
        <f t="array" ref="AR146:AS146">_xlfn.TEXTSPLIT(AN146," ")</f>
        <v>26.10.2023</v>
      </c>
      <c r="AS146" t="str">
        <v>02:24:01</v>
      </c>
      <c r="AT146">
        <f t="shared" si="43"/>
        <v>2.3833333333333298</v>
      </c>
      <c r="AU146">
        <f t="shared" si="38"/>
        <v>1.8999999999999986</v>
      </c>
      <c r="AV146">
        <f t="shared" si="39"/>
        <v>0</v>
      </c>
      <c r="AW146">
        <f t="shared" si="31"/>
        <v>0.73249999999999993</v>
      </c>
    </row>
    <row r="147" spans="1:49" x14ac:dyDescent="0.25">
      <c r="A147" t="s">
        <v>810</v>
      </c>
      <c r="B147">
        <v>0</v>
      </c>
      <c r="C147">
        <v>15.22</v>
      </c>
      <c r="E147" t="s">
        <v>810</v>
      </c>
      <c r="F147">
        <v>0.15</v>
      </c>
      <c r="G147">
        <v>80.099999999999994</v>
      </c>
      <c r="I147" t="str" cm="1">
        <f t="array" ref="I147:J147">_xlfn.TEXTSPLIT(A147," ")</f>
        <v>27.10.2023</v>
      </c>
      <c r="J147" t="str">
        <v>02:24:49</v>
      </c>
      <c r="K147">
        <f t="shared" si="40"/>
        <v>2.3999999999999964</v>
      </c>
      <c r="L147">
        <f t="shared" si="33"/>
        <v>0.90000000000000036</v>
      </c>
      <c r="M147">
        <f t="shared" si="34"/>
        <v>0</v>
      </c>
      <c r="N147">
        <f t="shared" si="28"/>
        <v>0.35</v>
      </c>
      <c r="Q147" t="str" cm="1">
        <f t="array" ref="Q147:R147">_xlfn.TEXTSPLIT(E147," ")</f>
        <v>27.10.2023</v>
      </c>
      <c r="R147" t="str">
        <v>02:24:49</v>
      </c>
      <c r="S147">
        <f t="shared" si="41"/>
        <v>2.3999999999999964</v>
      </c>
      <c r="T147">
        <f t="shared" si="32"/>
        <v>1.5</v>
      </c>
      <c r="U147">
        <f t="shared" si="35"/>
        <v>0.15</v>
      </c>
      <c r="V147">
        <f t="shared" si="29"/>
        <v>0.6024999999999997</v>
      </c>
      <c r="AC147" t="s">
        <v>811</v>
      </c>
      <c r="AD147">
        <v>0</v>
      </c>
      <c r="AE147">
        <v>5.01</v>
      </c>
      <c r="AG147" t="str" cm="1">
        <f t="array" ref="AG147:AH147">_xlfn.TEXTSPLIT(AC148," ")</f>
        <v>26.10.2023</v>
      </c>
      <c r="AH147" t="str">
        <v>02:26:01</v>
      </c>
      <c r="AI147">
        <f t="shared" si="42"/>
        <v>2.3999999999999964</v>
      </c>
      <c r="AJ147">
        <f t="shared" si="36"/>
        <v>0.47999999999999954</v>
      </c>
      <c r="AK147">
        <f t="shared" si="37"/>
        <v>0</v>
      </c>
      <c r="AL147">
        <f t="shared" si="30"/>
        <v>0.1275</v>
      </c>
      <c r="AN147" t="s">
        <v>811</v>
      </c>
      <c r="AO147">
        <v>0.15</v>
      </c>
      <c r="AP147">
        <v>63.21</v>
      </c>
      <c r="AR147" t="str" cm="1">
        <f t="array" ref="AR147:AS147">_xlfn.TEXTSPLIT(AN147," ")</f>
        <v>26.10.2023</v>
      </c>
      <c r="AS147" t="str">
        <v>02:25:01</v>
      </c>
      <c r="AT147">
        <f t="shared" si="43"/>
        <v>2.3999999999999964</v>
      </c>
      <c r="AU147">
        <f t="shared" si="38"/>
        <v>1.8999999999999986</v>
      </c>
      <c r="AV147">
        <f t="shared" si="39"/>
        <v>0.15</v>
      </c>
      <c r="AW147">
        <f t="shared" si="31"/>
        <v>0.73249999999999982</v>
      </c>
    </row>
    <row r="148" spans="1:49" x14ac:dyDescent="0.25">
      <c r="A148" t="s">
        <v>812</v>
      </c>
      <c r="B148">
        <v>0</v>
      </c>
      <c r="C148">
        <v>15.22</v>
      </c>
      <c r="E148" t="s">
        <v>812</v>
      </c>
      <c r="F148">
        <v>0</v>
      </c>
      <c r="G148">
        <v>80.099999999999994</v>
      </c>
      <c r="I148" t="str" cm="1">
        <f t="array" ref="I148:J148">_xlfn.TEXTSPLIT(A148," ")</f>
        <v>27.10.2023</v>
      </c>
      <c r="J148" t="str">
        <v>02:25:50</v>
      </c>
      <c r="K148">
        <f t="shared" si="40"/>
        <v>2.416666666666663</v>
      </c>
      <c r="L148">
        <f t="shared" si="33"/>
        <v>0.90000000000000036</v>
      </c>
      <c r="M148">
        <f t="shared" si="34"/>
        <v>0</v>
      </c>
      <c r="N148">
        <f t="shared" si="28"/>
        <v>0.35</v>
      </c>
      <c r="Q148" t="str" cm="1">
        <f t="array" ref="Q148:R148">_xlfn.TEXTSPLIT(E148," ")</f>
        <v>27.10.2023</v>
      </c>
      <c r="R148" t="str">
        <v>02:25:50</v>
      </c>
      <c r="S148">
        <f t="shared" si="41"/>
        <v>2.416666666666663</v>
      </c>
      <c r="T148">
        <f t="shared" si="32"/>
        <v>1.5</v>
      </c>
      <c r="U148">
        <f t="shared" si="35"/>
        <v>0</v>
      </c>
      <c r="V148">
        <f t="shared" si="29"/>
        <v>0.59999999999999976</v>
      </c>
      <c r="AC148" t="s">
        <v>813</v>
      </c>
      <c r="AD148">
        <v>0</v>
      </c>
      <c r="AE148">
        <v>5.01</v>
      </c>
      <c r="AG148" t="str" cm="1">
        <f t="array" ref="AG148:AH148">_xlfn.TEXTSPLIT(AC149," ")</f>
        <v>26.10.2023</v>
      </c>
      <c r="AH148" t="str">
        <v>02:27:01</v>
      </c>
      <c r="AI148">
        <f t="shared" si="42"/>
        <v>2.416666666666663</v>
      </c>
      <c r="AJ148">
        <f t="shared" si="36"/>
        <v>0.47999999999999954</v>
      </c>
      <c r="AK148">
        <f t="shared" si="37"/>
        <v>0</v>
      </c>
      <c r="AL148">
        <f t="shared" si="30"/>
        <v>0.1275</v>
      </c>
      <c r="AN148" t="s">
        <v>813</v>
      </c>
      <c r="AO148">
        <v>0.15</v>
      </c>
      <c r="AP148">
        <v>63.21</v>
      </c>
      <c r="AR148" t="str" cm="1">
        <f t="array" ref="AR148:AS148">_xlfn.TEXTSPLIT(AN148," ")</f>
        <v>26.10.2023</v>
      </c>
      <c r="AS148" t="str">
        <v>02:26:01</v>
      </c>
      <c r="AT148">
        <f t="shared" si="43"/>
        <v>2.416666666666663</v>
      </c>
      <c r="AU148">
        <f t="shared" si="38"/>
        <v>1.8999999999999986</v>
      </c>
      <c r="AV148">
        <f t="shared" si="39"/>
        <v>0.15</v>
      </c>
      <c r="AW148">
        <f t="shared" si="31"/>
        <v>0.73249999999999982</v>
      </c>
    </row>
    <row r="149" spans="1:49" x14ac:dyDescent="0.25">
      <c r="A149" t="s">
        <v>814</v>
      </c>
      <c r="B149">
        <v>0</v>
      </c>
      <c r="C149">
        <v>15.22</v>
      </c>
      <c r="E149" t="s">
        <v>814</v>
      </c>
      <c r="F149">
        <v>0.15</v>
      </c>
      <c r="G149">
        <v>80.099999999999994</v>
      </c>
      <c r="I149" t="str" cm="1">
        <f t="array" ref="I149:J149">_xlfn.TEXTSPLIT(A149," ")</f>
        <v>27.10.2023</v>
      </c>
      <c r="J149" t="str">
        <v>02:26:50</v>
      </c>
      <c r="K149">
        <f t="shared" si="40"/>
        <v>2.4333333333333296</v>
      </c>
      <c r="L149">
        <f t="shared" si="33"/>
        <v>0.90000000000000036</v>
      </c>
      <c r="M149">
        <f t="shared" si="34"/>
        <v>0</v>
      </c>
      <c r="N149">
        <f t="shared" si="28"/>
        <v>0.35</v>
      </c>
      <c r="Q149" t="str" cm="1">
        <f t="array" ref="Q149:R149">_xlfn.TEXTSPLIT(E149," ")</f>
        <v>27.10.2023</v>
      </c>
      <c r="R149" t="str">
        <v>02:26:50</v>
      </c>
      <c r="S149">
        <f t="shared" si="41"/>
        <v>2.4333333333333296</v>
      </c>
      <c r="T149">
        <f t="shared" si="32"/>
        <v>1.5</v>
      </c>
      <c r="U149">
        <f t="shared" si="35"/>
        <v>0.15</v>
      </c>
      <c r="V149">
        <f t="shared" si="29"/>
        <v>0.59999999999999976</v>
      </c>
      <c r="AC149" t="s">
        <v>815</v>
      </c>
      <c r="AD149">
        <v>0</v>
      </c>
      <c r="AE149">
        <v>5.01</v>
      </c>
      <c r="AG149" t="str" cm="1">
        <f t="array" ref="AG149:AH149">_xlfn.TEXTSPLIT(AC150," ")</f>
        <v>26.10.2023</v>
      </c>
      <c r="AH149" t="str">
        <v>02:28:01</v>
      </c>
      <c r="AI149">
        <f t="shared" si="42"/>
        <v>2.4333333333333296</v>
      </c>
      <c r="AJ149">
        <f t="shared" si="36"/>
        <v>0.47999999999999954</v>
      </c>
      <c r="AK149">
        <f t="shared" si="37"/>
        <v>0</v>
      </c>
      <c r="AL149">
        <f t="shared" si="30"/>
        <v>0.1275</v>
      </c>
      <c r="AN149" t="s">
        <v>815</v>
      </c>
      <c r="AO149">
        <v>0</v>
      </c>
      <c r="AP149">
        <v>63.22</v>
      </c>
      <c r="AR149" t="str" cm="1">
        <f t="array" ref="AR149:AS149">_xlfn.TEXTSPLIT(AN149," ")</f>
        <v>26.10.2023</v>
      </c>
      <c r="AS149" t="str">
        <v>02:27:01</v>
      </c>
      <c r="AT149">
        <f t="shared" si="43"/>
        <v>2.4333333333333296</v>
      </c>
      <c r="AU149">
        <f t="shared" si="38"/>
        <v>1.9099999999999966</v>
      </c>
      <c r="AV149">
        <f t="shared" si="39"/>
        <v>0</v>
      </c>
      <c r="AW149">
        <f t="shared" si="31"/>
        <v>0.73249999999999982</v>
      </c>
    </row>
    <row r="150" spans="1:49" x14ac:dyDescent="0.25">
      <c r="A150" t="s">
        <v>816</v>
      </c>
      <c r="B150">
        <v>0</v>
      </c>
      <c r="C150">
        <v>15.22</v>
      </c>
      <c r="E150" t="s">
        <v>816</v>
      </c>
      <c r="F150">
        <v>0.15</v>
      </c>
      <c r="G150">
        <v>80.099999999999994</v>
      </c>
      <c r="I150" t="str" cm="1">
        <f t="array" ref="I150:J150">_xlfn.TEXTSPLIT(A150," ")</f>
        <v>27.10.2023</v>
      </c>
      <c r="J150" t="str">
        <v>02:27:50</v>
      </c>
      <c r="K150">
        <f t="shared" si="40"/>
        <v>2.4499999999999962</v>
      </c>
      <c r="L150">
        <f t="shared" si="33"/>
        <v>0.90000000000000036</v>
      </c>
      <c r="M150">
        <f t="shared" si="34"/>
        <v>0</v>
      </c>
      <c r="N150">
        <f t="shared" si="28"/>
        <v>0.35</v>
      </c>
      <c r="Q150" t="str" cm="1">
        <f t="array" ref="Q150:R150">_xlfn.TEXTSPLIT(E150," ")</f>
        <v>27.10.2023</v>
      </c>
      <c r="R150" t="str">
        <v>02:27:50</v>
      </c>
      <c r="S150">
        <f t="shared" si="41"/>
        <v>2.4499999999999962</v>
      </c>
      <c r="T150">
        <f t="shared" si="32"/>
        <v>1.5</v>
      </c>
      <c r="U150">
        <f t="shared" si="35"/>
        <v>0.15</v>
      </c>
      <c r="V150">
        <f t="shared" si="29"/>
        <v>0.6024999999999997</v>
      </c>
      <c r="AC150" t="s">
        <v>817</v>
      </c>
      <c r="AD150">
        <v>0</v>
      </c>
      <c r="AE150">
        <v>5.01</v>
      </c>
      <c r="AG150" t="str" cm="1">
        <f t="array" ref="AG150:AH150">_xlfn.TEXTSPLIT(AC151," ")</f>
        <v>26.10.2023</v>
      </c>
      <c r="AH150" t="str">
        <v>02:29:01</v>
      </c>
      <c r="AI150">
        <f t="shared" si="42"/>
        <v>2.4499999999999962</v>
      </c>
      <c r="AJ150">
        <f t="shared" si="36"/>
        <v>0.47999999999999954</v>
      </c>
      <c r="AK150">
        <f t="shared" si="37"/>
        <v>0</v>
      </c>
      <c r="AL150">
        <f t="shared" si="30"/>
        <v>0.125</v>
      </c>
      <c r="AN150" t="s">
        <v>817</v>
      </c>
      <c r="AO150">
        <v>0.15</v>
      </c>
      <c r="AP150">
        <v>63.22</v>
      </c>
      <c r="AR150" t="str" cm="1">
        <f t="array" ref="AR150:AS150">_xlfn.TEXTSPLIT(AN150," ")</f>
        <v>26.10.2023</v>
      </c>
      <c r="AS150" t="str">
        <v>02:28:01</v>
      </c>
      <c r="AT150">
        <f t="shared" si="43"/>
        <v>2.4499999999999962</v>
      </c>
      <c r="AU150">
        <f t="shared" si="38"/>
        <v>1.9099999999999966</v>
      </c>
      <c r="AV150">
        <f t="shared" si="39"/>
        <v>0.15</v>
      </c>
      <c r="AW150">
        <f t="shared" si="31"/>
        <v>0.73249999999999982</v>
      </c>
    </row>
    <row r="151" spans="1:49" x14ac:dyDescent="0.25">
      <c r="A151" t="s">
        <v>818</v>
      </c>
      <c r="B151">
        <v>0</v>
      </c>
      <c r="C151">
        <v>15.22</v>
      </c>
      <c r="E151" t="s">
        <v>818</v>
      </c>
      <c r="F151">
        <v>0.15</v>
      </c>
      <c r="G151">
        <v>80.11</v>
      </c>
      <c r="I151" t="str" cm="1">
        <f t="array" ref="I151:J151">_xlfn.TEXTSPLIT(A151," ")</f>
        <v>27.10.2023</v>
      </c>
      <c r="J151" t="str">
        <v>02:28:50</v>
      </c>
      <c r="K151">
        <f t="shared" si="40"/>
        <v>2.4666666666666628</v>
      </c>
      <c r="L151">
        <f t="shared" si="33"/>
        <v>0.90000000000000036</v>
      </c>
      <c r="M151">
        <f t="shared" si="34"/>
        <v>0</v>
      </c>
      <c r="N151">
        <f t="shared" si="28"/>
        <v>0.35</v>
      </c>
      <c r="Q151" t="str" cm="1">
        <f t="array" ref="Q151:R151">_xlfn.TEXTSPLIT(E151," ")</f>
        <v>27.10.2023</v>
      </c>
      <c r="R151" t="str">
        <v>02:28:50</v>
      </c>
      <c r="S151">
        <f t="shared" si="41"/>
        <v>2.4666666666666628</v>
      </c>
      <c r="T151">
        <f t="shared" si="32"/>
        <v>1.5100000000000051</v>
      </c>
      <c r="U151">
        <f t="shared" si="35"/>
        <v>0.15</v>
      </c>
      <c r="V151">
        <f t="shared" si="29"/>
        <v>0.6024999999999997</v>
      </c>
      <c r="AC151" t="s">
        <v>819</v>
      </c>
      <c r="AD151">
        <v>0</v>
      </c>
      <c r="AE151">
        <v>5.01</v>
      </c>
      <c r="AG151" t="str" cm="1">
        <f t="array" ref="AG151:AH151">_xlfn.TEXTSPLIT(AC152," ")</f>
        <v>26.10.2023</v>
      </c>
      <c r="AH151" t="str">
        <v>02:30:01</v>
      </c>
      <c r="AI151">
        <f t="shared" si="42"/>
        <v>2.4666666666666628</v>
      </c>
      <c r="AJ151">
        <f t="shared" si="36"/>
        <v>0.47999999999999954</v>
      </c>
      <c r="AK151">
        <f t="shared" si="37"/>
        <v>0</v>
      </c>
      <c r="AL151">
        <f t="shared" si="30"/>
        <v>0.125</v>
      </c>
      <c r="AN151" t="s">
        <v>819</v>
      </c>
      <c r="AO151">
        <v>0.15</v>
      </c>
      <c r="AP151">
        <v>63.22</v>
      </c>
      <c r="AR151" t="str" cm="1">
        <f t="array" ref="AR151:AS151">_xlfn.TEXTSPLIT(AN151," ")</f>
        <v>26.10.2023</v>
      </c>
      <c r="AS151" t="str">
        <v>02:29:01</v>
      </c>
      <c r="AT151">
        <f t="shared" si="43"/>
        <v>2.4666666666666628</v>
      </c>
      <c r="AU151">
        <f t="shared" si="38"/>
        <v>1.9099999999999966</v>
      </c>
      <c r="AV151">
        <f t="shared" si="39"/>
        <v>0.15</v>
      </c>
      <c r="AW151">
        <f t="shared" si="31"/>
        <v>0.72999999999999976</v>
      </c>
    </row>
    <row r="152" spans="1:49" x14ac:dyDescent="0.25">
      <c r="A152" t="s">
        <v>820</v>
      </c>
      <c r="B152">
        <v>0</v>
      </c>
      <c r="C152">
        <v>15.22</v>
      </c>
      <c r="E152" t="s">
        <v>820</v>
      </c>
      <c r="F152">
        <v>0</v>
      </c>
      <c r="G152">
        <v>80.11</v>
      </c>
      <c r="I152" t="str" cm="1">
        <f t="array" ref="I152:J152">_xlfn.TEXTSPLIT(A152," ")</f>
        <v>27.10.2023</v>
      </c>
      <c r="J152" t="str">
        <v>02:29:50</v>
      </c>
      <c r="K152">
        <f t="shared" si="40"/>
        <v>2.4833333333333294</v>
      </c>
      <c r="L152">
        <f t="shared" si="33"/>
        <v>0.90000000000000036</v>
      </c>
      <c r="M152">
        <f t="shared" si="34"/>
        <v>0</v>
      </c>
      <c r="N152">
        <f t="shared" si="28"/>
        <v>0.35</v>
      </c>
      <c r="Q152" t="str" cm="1">
        <f t="array" ref="Q152:R152">_xlfn.TEXTSPLIT(E152," ")</f>
        <v>27.10.2023</v>
      </c>
      <c r="R152" t="str">
        <v>02:29:50</v>
      </c>
      <c r="S152">
        <f t="shared" si="41"/>
        <v>2.4833333333333294</v>
      </c>
      <c r="T152">
        <f t="shared" si="32"/>
        <v>1.5100000000000051</v>
      </c>
      <c r="U152">
        <f t="shared" si="35"/>
        <v>0</v>
      </c>
      <c r="V152">
        <f t="shared" si="29"/>
        <v>0.5974999999999997</v>
      </c>
      <c r="AC152" t="s">
        <v>821</v>
      </c>
      <c r="AD152">
        <v>0</v>
      </c>
      <c r="AE152">
        <v>5.01</v>
      </c>
      <c r="AG152" t="str" cm="1">
        <f t="array" ref="AG152:AH152">_xlfn.TEXTSPLIT(AC153," ")</f>
        <v>26.10.2023</v>
      </c>
      <c r="AH152" t="str">
        <v>02:31:02</v>
      </c>
      <c r="AI152">
        <f t="shared" si="42"/>
        <v>2.4833333333333294</v>
      </c>
      <c r="AJ152">
        <f t="shared" si="36"/>
        <v>0.47999999999999954</v>
      </c>
      <c r="AK152">
        <f t="shared" si="37"/>
        <v>0</v>
      </c>
      <c r="AL152">
        <f t="shared" si="30"/>
        <v>0.125</v>
      </c>
      <c r="AN152" t="s">
        <v>821</v>
      </c>
      <c r="AO152">
        <v>0.3</v>
      </c>
      <c r="AP152">
        <v>63.23</v>
      </c>
      <c r="AR152" t="str" cm="1">
        <f t="array" ref="AR152:AS152">_xlfn.TEXTSPLIT(AN152," ")</f>
        <v>26.10.2023</v>
      </c>
      <c r="AS152" t="str">
        <v>02:30:01</v>
      </c>
      <c r="AT152">
        <f t="shared" si="43"/>
        <v>2.4833333333333294</v>
      </c>
      <c r="AU152">
        <f t="shared" si="38"/>
        <v>1.9199999999999946</v>
      </c>
      <c r="AV152">
        <f t="shared" si="39"/>
        <v>0.3</v>
      </c>
      <c r="AW152">
        <f t="shared" si="31"/>
        <v>0.73249999999999971</v>
      </c>
    </row>
    <row r="153" spans="1:49" x14ac:dyDescent="0.25">
      <c r="A153" t="s">
        <v>822</v>
      </c>
      <c r="B153">
        <v>0</v>
      </c>
      <c r="C153">
        <v>15.22</v>
      </c>
      <c r="E153" t="s">
        <v>822</v>
      </c>
      <c r="F153">
        <v>0.45</v>
      </c>
      <c r="G153">
        <v>80.12</v>
      </c>
      <c r="I153" t="str" cm="1">
        <f t="array" ref="I153:J153">_xlfn.TEXTSPLIT(A153," ")</f>
        <v>27.10.2023</v>
      </c>
      <c r="J153" t="str">
        <v>02:30:50</v>
      </c>
      <c r="K153">
        <f t="shared" si="40"/>
        <v>2.499999999999996</v>
      </c>
      <c r="L153">
        <f t="shared" si="33"/>
        <v>0.90000000000000036</v>
      </c>
      <c r="M153">
        <f t="shared" si="34"/>
        <v>0</v>
      </c>
      <c r="N153">
        <f t="shared" si="28"/>
        <v>0.35</v>
      </c>
      <c r="Q153" t="str" cm="1">
        <f t="array" ref="Q153:R153">_xlfn.TEXTSPLIT(E153," ")</f>
        <v>27.10.2023</v>
      </c>
      <c r="R153" t="str">
        <v>02:30:50</v>
      </c>
      <c r="S153">
        <f t="shared" si="41"/>
        <v>2.499999999999996</v>
      </c>
      <c r="T153">
        <f t="shared" si="32"/>
        <v>1.5200000000000102</v>
      </c>
      <c r="U153">
        <f t="shared" si="35"/>
        <v>0.45</v>
      </c>
      <c r="V153">
        <f t="shared" si="29"/>
        <v>0.59999999999999976</v>
      </c>
      <c r="AC153" t="s">
        <v>823</v>
      </c>
      <c r="AD153">
        <v>0</v>
      </c>
      <c r="AE153">
        <v>5.01</v>
      </c>
      <c r="AG153" t="str" cm="1">
        <f t="array" ref="AG153:AH153">_xlfn.TEXTSPLIT(AC154," ")</f>
        <v>26.10.2023</v>
      </c>
      <c r="AH153" t="str">
        <v>02:32:02</v>
      </c>
      <c r="AI153">
        <f t="shared" si="42"/>
        <v>2.499999999999996</v>
      </c>
      <c r="AJ153">
        <f t="shared" si="36"/>
        <v>0.47999999999999954</v>
      </c>
      <c r="AK153">
        <f t="shared" si="37"/>
        <v>0</v>
      </c>
      <c r="AL153">
        <f t="shared" si="30"/>
        <v>0.125</v>
      </c>
      <c r="AN153" t="s">
        <v>823</v>
      </c>
      <c r="AO153">
        <v>0.3</v>
      </c>
      <c r="AP153">
        <v>63.23</v>
      </c>
      <c r="AR153" t="str" cm="1">
        <f t="array" ref="AR153:AS153">_xlfn.TEXTSPLIT(AN153," ")</f>
        <v>26.10.2023</v>
      </c>
      <c r="AS153" t="str">
        <v>02:31:02</v>
      </c>
      <c r="AT153">
        <f t="shared" si="43"/>
        <v>2.499999999999996</v>
      </c>
      <c r="AU153">
        <f t="shared" si="38"/>
        <v>1.9199999999999946</v>
      </c>
      <c r="AV153">
        <f t="shared" si="39"/>
        <v>0.3</v>
      </c>
      <c r="AW153">
        <f t="shared" si="31"/>
        <v>0.73249999999999971</v>
      </c>
    </row>
    <row r="154" spans="1:49" x14ac:dyDescent="0.25">
      <c r="A154" t="s">
        <v>824</v>
      </c>
      <c r="B154">
        <v>0</v>
      </c>
      <c r="C154">
        <v>15.22</v>
      </c>
      <c r="E154" t="s">
        <v>824</v>
      </c>
      <c r="F154">
        <v>0.3</v>
      </c>
      <c r="G154">
        <v>80.12</v>
      </c>
      <c r="I154" t="str" cm="1">
        <f t="array" ref="I154:J154">_xlfn.TEXTSPLIT(A154," ")</f>
        <v>27.10.2023</v>
      </c>
      <c r="J154" t="str">
        <v>02:31:50</v>
      </c>
      <c r="K154">
        <f t="shared" si="40"/>
        <v>2.5166666666666626</v>
      </c>
      <c r="L154">
        <f t="shared" si="33"/>
        <v>0.90000000000000036</v>
      </c>
      <c r="M154">
        <f t="shared" si="34"/>
        <v>0</v>
      </c>
      <c r="N154">
        <f t="shared" si="28"/>
        <v>0.35</v>
      </c>
      <c r="Q154" t="str" cm="1">
        <f t="array" ref="Q154:R154">_xlfn.TEXTSPLIT(E154," ")</f>
        <v>27.10.2023</v>
      </c>
      <c r="R154" t="str">
        <v>02:31:50</v>
      </c>
      <c r="S154">
        <f t="shared" si="41"/>
        <v>2.5166666666666626</v>
      </c>
      <c r="T154">
        <f t="shared" si="32"/>
        <v>1.5200000000000102</v>
      </c>
      <c r="U154">
        <f t="shared" si="35"/>
        <v>0.3</v>
      </c>
      <c r="V154">
        <f t="shared" si="29"/>
        <v>0.59999999999999964</v>
      </c>
      <c r="AC154" t="s">
        <v>825</v>
      </c>
      <c r="AD154">
        <v>0</v>
      </c>
      <c r="AE154">
        <v>5.01</v>
      </c>
      <c r="AG154" t="str" cm="1">
        <f t="array" ref="AG154:AH154">_xlfn.TEXTSPLIT(AC155," ")</f>
        <v>26.10.2023</v>
      </c>
      <c r="AH154" t="str">
        <v>02:33:02</v>
      </c>
      <c r="AI154">
        <f t="shared" si="42"/>
        <v>2.5166666666666626</v>
      </c>
      <c r="AJ154">
        <f t="shared" si="36"/>
        <v>0.47999999999999954</v>
      </c>
      <c r="AK154">
        <f t="shared" si="37"/>
        <v>0</v>
      </c>
      <c r="AL154">
        <f t="shared" si="30"/>
        <v>0.125</v>
      </c>
      <c r="AN154" t="s">
        <v>825</v>
      </c>
      <c r="AO154">
        <v>0.3</v>
      </c>
      <c r="AP154">
        <v>63.24</v>
      </c>
      <c r="AR154" t="str" cm="1">
        <f t="array" ref="AR154:AS154">_xlfn.TEXTSPLIT(AN154," ")</f>
        <v>26.10.2023</v>
      </c>
      <c r="AS154" t="str">
        <v>02:32:02</v>
      </c>
      <c r="AT154">
        <f t="shared" si="43"/>
        <v>2.5166666666666626</v>
      </c>
      <c r="AU154">
        <f t="shared" si="38"/>
        <v>1.9299999999999997</v>
      </c>
      <c r="AV154">
        <f t="shared" si="39"/>
        <v>0.3</v>
      </c>
      <c r="AW154">
        <f t="shared" si="31"/>
        <v>0.72999999999999965</v>
      </c>
    </row>
    <row r="155" spans="1:49" x14ac:dyDescent="0.25">
      <c r="A155" t="s">
        <v>826</v>
      </c>
      <c r="B155">
        <v>0</v>
      </c>
      <c r="C155">
        <v>15.22</v>
      </c>
      <c r="E155" t="s">
        <v>826</v>
      </c>
      <c r="F155">
        <v>0.3</v>
      </c>
      <c r="G155">
        <v>80.13</v>
      </c>
      <c r="I155" t="str" cm="1">
        <f t="array" ref="I155:J155">_xlfn.TEXTSPLIT(A155," ")</f>
        <v>27.10.2023</v>
      </c>
      <c r="J155" t="str">
        <v>02:32:51</v>
      </c>
      <c r="K155">
        <f t="shared" si="40"/>
        <v>2.5333333333333292</v>
      </c>
      <c r="L155">
        <f t="shared" si="33"/>
        <v>0.90000000000000036</v>
      </c>
      <c r="M155">
        <f t="shared" si="34"/>
        <v>0</v>
      </c>
      <c r="N155">
        <f t="shared" si="28"/>
        <v>0.35</v>
      </c>
      <c r="Q155" t="str" cm="1">
        <f t="array" ref="Q155:R155">_xlfn.TEXTSPLIT(E155," ")</f>
        <v>27.10.2023</v>
      </c>
      <c r="R155" t="str">
        <v>02:32:51</v>
      </c>
      <c r="S155">
        <f t="shared" si="41"/>
        <v>2.5333333333333292</v>
      </c>
      <c r="T155">
        <f t="shared" si="32"/>
        <v>1.5300000000000011</v>
      </c>
      <c r="U155">
        <f t="shared" si="35"/>
        <v>0.3</v>
      </c>
      <c r="V155">
        <f t="shared" si="29"/>
        <v>0.60249999999999959</v>
      </c>
      <c r="AC155" t="s">
        <v>827</v>
      </c>
      <c r="AD155">
        <v>0</v>
      </c>
      <c r="AE155">
        <v>5.01</v>
      </c>
      <c r="AG155" t="str" cm="1">
        <f t="array" ref="AG155:AH155">_xlfn.TEXTSPLIT(AC156," ")</f>
        <v>26.10.2023</v>
      </c>
      <c r="AH155" t="str">
        <v>02:34:02</v>
      </c>
      <c r="AI155">
        <f t="shared" si="42"/>
        <v>2.5333333333333292</v>
      </c>
      <c r="AJ155">
        <f t="shared" si="36"/>
        <v>0.47999999999999954</v>
      </c>
      <c r="AK155">
        <f t="shared" si="37"/>
        <v>0</v>
      </c>
      <c r="AL155">
        <f t="shared" si="30"/>
        <v>0.125</v>
      </c>
      <c r="AN155" t="s">
        <v>827</v>
      </c>
      <c r="AO155">
        <v>0.45</v>
      </c>
      <c r="AP155">
        <v>63.24</v>
      </c>
      <c r="AR155" t="str" cm="1">
        <f t="array" ref="AR155:AS155">_xlfn.TEXTSPLIT(AN155," ")</f>
        <v>26.10.2023</v>
      </c>
      <c r="AS155" t="str">
        <v>02:33:02</v>
      </c>
      <c r="AT155">
        <f t="shared" si="43"/>
        <v>2.5333333333333292</v>
      </c>
      <c r="AU155">
        <f t="shared" si="38"/>
        <v>1.9299999999999997</v>
      </c>
      <c r="AV155">
        <f t="shared" si="39"/>
        <v>0.45</v>
      </c>
      <c r="AW155">
        <f t="shared" si="31"/>
        <v>0.73499999999999965</v>
      </c>
    </row>
    <row r="156" spans="1:49" x14ac:dyDescent="0.25">
      <c r="A156" t="s">
        <v>828</v>
      </c>
      <c r="B156">
        <v>0</v>
      </c>
      <c r="C156">
        <v>15.22</v>
      </c>
      <c r="E156" t="s">
        <v>828</v>
      </c>
      <c r="F156">
        <v>0.15</v>
      </c>
      <c r="G156">
        <v>80.13</v>
      </c>
      <c r="I156" t="str" cm="1">
        <f t="array" ref="I156:J156">_xlfn.TEXTSPLIT(A156," ")</f>
        <v>27.10.2023</v>
      </c>
      <c r="J156" t="str">
        <v>02:33:51</v>
      </c>
      <c r="K156">
        <f t="shared" si="40"/>
        <v>2.5499999999999958</v>
      </c>
      <c r="L156">
        <f t="shared" si="33"/>
        <v>0.90000000000000036</v>
      </c>
      <c r="M156">
        <f t="shared" si="34"/>
        <v>0</v>
      </c>
      <c r="N156">
        <f t="shared" si="28"/>
        <v>0.35</v>
      </c>
      <c r="Q156" t="str" cm="1">
        <f t="array" ref="Q156:R156">_xlfn.TEXTSPLIT(E156," ")</f>
        <v>27.10.2023</v>
      </c>
      <c r="R156" t="str">
        <v>02:33:51</v>
      </c>
      <c r="S156">
        <f t="shared" si="41"/>
        <v>2.5499999999999958</v>
      </c>
      <c r="T156">
        <f t="shared" si="32"/>
        <v>1.5300000000000011</v>
      </c>
      <c r="U156">
        <f t="shared" si="35"/>
        <v>0.15</v>
      </c>
      <c r="V156">
        <f t="shared" si="29"/>
        <v>0.59999999999999964</v>
      </c>
      <c r="AC156" t="s">
        <v>829</v>
      </c>
      <c r="AD156">
        <v>0</v>
      </c>
      <c r="AE156">
        <v>5.01</v>
      </c>
      <c r="AG156" t="str" cm="1">
        <f t="array" ref="AG156:AH156">_xlfn.TEXTSPLIT(AC157," ")</f>
        <v>26.10.2023</v>
      </c>
      <c r="AH156" t="str">
        <v>02:35:02</v>
      </c>
      <c r="AI156">
        <f t="shared" si="42"/>
        <v>2.5499999999999958</v>
      </c>
      <c r="AJ156">
        <f t="shared" si="36"/>
        <v>0.47999999999999954</v>
      </c>
      <c r="AK156">
        <f t="shared" si="37"/>
        <v>0</v>
      </c>
      <c r="AL156">
        <f t="shared" si="30"/>
        <v>0.125</v>
      </c>
      <c r="AN156" t="s">
        <v>829</v>
      </c>
      <c r="AO156">
        <v>0.45</v>
      </c>
      <c r="AP156">
        <v>63.25</v>
      </c>
      <c r="AR156" t="str" cm="1">
        <f t="array" ref="AR156:AS156">_xlfn.TEXTSPLIT(AN156," ")</f>
        <v>26.10.2023</v>
      </c>
      <c r="AS156" t="str">
        <v>02:34:02</v>
      </c>
      <c r="AT156">
        <f t="shared" si="43"/>
        <v>2.5499999999999958</v>
      </c>
      <c r="AU156">
        <f t="shared" si="38"/>
        <v>1.9399999999999977</v>
      </c>
      <c r="AV156">
        <f t="shared" si="39"/>
        <v>0.45</v>
      </c>
      <c r="AW156">
        <f t="shared" si="31"/>
        <v>0.73499999999999965</v>
      </c>
    </row>
    <row r="157" spans="1:49" x14ac:dyDescent="0.25">
      <c r="A157" t="s">
        <v>830</v>
      </c>
      <c r="B157">
        <v>0</v>
      </c>
      <c r="C157">
        <v>15.22</v>
      </c>
      <c r="E157" t="s">
        <v>830</v>
      </c>
      <c r="F157">
        <v>0.3</v>
      </c>
      <c r="G157">
        <v>80.14</v>
      </c>
      <c r="I157" t="str" cm="1">
        <f t="array" ref="I157:J157">_xlfn.TEXTSPLIT(A157," ")</f>
        <v>27.10.2023</v>
      </c>
      <c r="J157" t="str">
        <v>02:34:51</v>
      </c>
      <c r="K157">
        <f t="shared" si="40"/>
        <v>2.5666666666666624</v>
      </c>
      <c r="L157">
        <f t="shared" si="33"/>
        <v>0.90000000000000036</v>
      </c>
      <c r="M157">
        <f t="shared" si="34"/>
        <v>0</v>
      </c>
      <c r="N157">
        <f t="shared" si="28"/>
        <v>0.35</v>
      </c>
      <c r="Q157" t="str" cm="1">
        <f t="array" ref="Q157:R157">_xlfn.TEXTSPLIT(E157," ")</f>
        <v>27.10.2023</v>
      </c>
      <c r="R157" t="str">
        <v>02:34:51</v>
      </c>
      <c r="S157">
        <f t="shared" si="41"/>
        <v>2.5666666666666624</v>
      </c>
      <c r="T157">
        <f t="shared" si="32"/>
        <v>1.5400000000000063</v>
      </c>
      <c r="U157">
        <f t="shared" si="35"/>
        <v>0.3</v>
      </c>
      <c r="V157">
        <f t="shared" si="29"/>
        <v>0.5974999999999997</v>
      </c>
      <c r="AC157" t="s">
        <v>831</v>
      </c>
      <c r="AD157">
        <v>0</v>
      </c>
      <c r="AE157">
        <v>5.01</v>
      </c>
      <c r="AG157" t="str" cm="1">
        <f t="array" ref="AG157:AH157">_xlfn.TEXTSPLIT(AC158," ")</f>
        <v>26.10.2023</v>
      </c>
      <c r="AH157" t="str">
        <v>02:36:02</v>
      </c>
      <c r="AI157">
        <f t="shared" si="42"/>
        <v>2.5666666666666624</v>
      </c>
      <c r="AJ157">
        <f t="shared" si="36"/>
        <v>0.47999999999999954</v>
      </c>
      <c r="AK157">
        <f t="shared" si="37"/>
        <v>0</v>
      </c>
      <c r="AL157">
        <f t="shared" si="30"/>
        <v>0.125</v>
      </c>
      <c r="AN157" t="s">
        <v>831</v>
      </c>
      <c r="AO157">
        <v>0.45</v>
      </c>
      <c r="AP157">
        <v>63.26</v>
      </c>
      <c r="AR157" t="str" cm="1">
        <f t="array" ref="AR157:AS157">_xlfn.TEXTSPLIT(AN157," ")</f>
        <v>26.10.2023</v>
      </c>
      <c r="AS157" t="str">
        <v>02:35:02</v>
      </c>
      <c r="AT157">
        <f t="shared" si="43"/>
        <v>2.5666666666666624</v>
      </c>
      <c r="AU157">
        <f t="shared" si="38"/>
        <v>1.9499999999999957</v>
      </c>
      <c r="AV157">
        <f t="shared" si="39"/>
        <v>0.45</v>
      </c>
      <c r="AW157">
        <f t="shared" si="31"/>
        <v>0.73499999999999965</v>
      </c>
    </row>
    <row r="158" spans="1:49" x14ac:dyDescent="0.25">
      <c r="A158" t="s">
        <v>832</v>
      </c>
      <c r="B158">
        <v>0</v>
      </c>
      <c r="C158">
        <v>15.22</v>
      </c>
      <c r="E158" t="s">
        <v>832</v>
      </c>
      <c r="F158">
        <v>0.3</v>
      </c>
      <c r="G158">
        <v>80.14</v>
      </c>
      <c r="I158" t="str" cm="1">
        <f t="array" ref="I158:J158">_xlfn.TEXTSPLIT(A158," ")</f>
        <v>27.10.2023</v>
      </c>
      <c r="J158" t="str">
        <v>02:35:51</v>
      </c>
      <c r="K158">
        <f t="shared" si="40"/>
        <v>2.583333333333329</v>
      </c>
      <c r="L158">
        <f t="shared" si="33"/>
        <v>0.90000000000000036</v>
      </c>
      <c r="M158">
        <f t="shared" si="34"/>
        <v>0</v>
      </c>
      <c r="N158">
        <f t="shared" si="28"/>
        <v>0.35</v>
      </c>
      <c r="Q158" t="str" cm="1">
        <f t="array" ref="Q158:R158">_xlfn.TEXTSPLIT(E158," ")</f>
        <v>27.10.2023</v>
      </c>
      <c r="R158" t="str">
        <v>02:35:51</v>
      </c>
      <c r="S158">
        <f t="shared" si="41"/>
        <v>2.583333333333329</v>
      </c>
      <c r="T158">
        <f t="shared" si="32"/>
        <v>1.5400000000000063</v>
      </c>
      <c r="U158">
        <f t="shared" si="35"/>
        <v>0.3</v>
      </c>
      <c r="V158">
        <f t="shared" si="29"/>
        <v>0.59499999999999964</v>
      </c>
      <c r="AC158" t="s">
        <v>833</v>
      </c>
      <c r="AD158">
        <v>0</v>
      </c>
      <c r="AE158">
        <v>5.01</v>
      </c>
      <c r="AG158" t="str" cm="1">
        <f t="array" ref="AG158:AH158">_xlfn.TEXTSPLIT(AC159," ")</f>
        <v>26.10.2023</v>
      </c>
      <c r="AH158" t="str">
        <v>02:37:02</v>
      </c>
      <c r="AI158">
        <f t="shared" si="42"/>
        <v>2.583333333333329</v>
      </c>
      <c r="AJ158">
        <f t="shared" si="36"/>
        <v>0.47999999999999954</v>
      </c>
      <c r="AK158">
        <f t="shared" si="37"/>
        <v>0</v>
      </c>
      <c r="AL158">
        <f t="shared" si="30"/>
        <v>0.125</v>
      </c>
      <c r="AN158" t="s">
        <v>833</v>
      </c>
      <c r="AO158">
        <v>0.45</v>
      </c>
      <c r="AP158">
        <v>63.27</v>
      </c>
      <c r="AR158" t="str" cm="1">
        <f t="array" ref="AR158:AS158">_xlfn.TEXTSPLIT(AN158," ")</f>
        <v>26.10.2023</v>
      </c>
      <c r="AS158" t="str">
        <v>02:36:02</v>
      </c>
      <c r="AT158">
        <f t="shared" si="43"/>
        <v>2.583333333333329</v>
      </c>
      <c r="AU158">
        <f t="shared" si="38"/>
        <v>1.9600000000000009</v>
      </c>
      <c r="AV158">
        <f t="shared" si="39"/>
        <v>0.45</v>
      </c>
      <c r="AW158">
        <f t="shared" si="31"/>
        <v>0.73499999999999976</v>
      </c>
    </row>
    <row r="159" spans="1:49" x14ac:dyDescent="0.25">
      <c r="A159" t="s">
        <v>834</v>
      </c>
      <c r="B159">
        <v>0</v>
      </c>
      <c r="C159">
        <v>15.22</v>
      </c>
      <c r="E159" t="s">
        <v>834</v>
      </c>
      <c r="F159">
        <v>0.3</v>
      </c>
      <c r="G159">
        <v>80.16</v>
      </c>
      <c r="I159" t="str" cm="1">
        <f t="array" ref="I159:J159">_xlfn.TEXTSPLIT(A159," ")</f>
        <v>27.10.2023</v>
      </c>
      <c r="J159" t="str">
        <v>02:36:51</v>
      </c>
      <c r="K159">
        <f t="shared" si="40"/>
        <v>2.5999999999999956</v>
      </c>
      <c r="L159">
        <f t="shared" si="33"/>
        <v>0.90000000000000036</v>
      </c>
      <c r="M159">
        <f t="shared" si="34"/>
        <v>0</v>
      </c>
      <c r="N159">
        <f t="shared" si="28"/>
        <v>0.35</v>
      </c>
      <c r="Q159" t="str" cm="1">
        <f t="array" ref="Q159:R159">_xlfn.TEXTSPLIT(E159," ")</f>
        <v>27.10.2023</v>
      </c>
      <c r="R159" t="str">
        <v>02:36:51</v>
      </c>
      <c r="S159">
        <f t="shared" si="41"/>
        <v>2.5999999999999956</v>
      </c>
      <c r="T159">
        <f t="shared" si="32"/>
        <v>1.5600000000000023</v>
      </c>
      <c r="U159">
        <f t="shared" si="35"/>
        <v>0.3</v>
      </c>
      <c r="V159">
        <f t="shared" si="29"/>
        <v>0.59249999999999958</v>
      </c>
      <c r="AC159" t="s">
        <v>835</v>
      </c>
      <c r="AD159">
        <v>0</v>
      </c>
      <c r="AE159">
        <v>5.01</v>
      </c>
      <c r="AG159" t="str" cm="1">
        <f t="array" ref="AG159:AH159">_xlfn.TEXTSPLIT(AC160," ")</f>
        <v>26.10.2023</v>
      </c>
      <c r="AH159" t="str">
        <v>02:38:02</v>
      </c>
      <c r="AI159">
        <f t="shared" si="42"/>
        <v>2.5999999999999956</v>
      </c>
      <c r="AJ159">
        <f t="shared" si="36"/>
        <v>0.47999999999999954</v>
      </c>
      <c r="AK159">
        <f t="shared" si="37"/>
        <v>0</v>
      </c>
      <c r="AL159">
        <f t="shared" si="30"/>
        <v>0.125</v>
      </c>
      <c r="AN159" t="s">
        <v>835</v>
      </c>
      <c r="AO159">
        <v>1.2</v>
      </c>
      <c r="AP159">
        <v>63.29</v>
      </c>
      <c r="AR159" t="str" cm="1">
        <f t="array" ref="AR159:AS159">_xlfn.TEXTSPLIT(AN159," ")</f>
        <v>26.10.2023</v>
      </c>
      <c r="AS159" t="str">
        <v>02:37:02</v>
      </c>
      <c r="AT159">
        <f t="shared" si="43"/>
        <v>2.5999999999999956</v>
      </c>
      <c r="AU159">
        <f t="shared" si="38"/>
        <v>1.9799999999999969</v>
      </c>
      <c r="AV159">
        <f t="shared" si="39"/>
        <v>1.2</v>
      </c>
      <c r="AW159">
        <f t="shared" si="31"/>
        <v>0.74499999999999988</v>
      </c>
    </row>
    <row r="160" spans="1:49" x14ac:dyDescent="0.25">
      <c r="A160" t="s">
        <v>836</v>
      </c>
      <c r="B160">
        <v>0.15</v>
      </c>
      <c r="C160">
        <v>15.23</v>
      </c>
      <c r="E160" t="s">
        <v>836</v>
      </c>
      <c r="F160">
        <v>1.2</v>
      </c>
      <c r="G160">
        <v>80.180000000000007</v>
      </c>
      <c r="I160" t="str" cm="1">
        <f t="array" ref="I160:J160">_xlfn.TEXTSPLIT(A160," ")</f>
        <v>27.10.2023</v>
      </c>
      <c r="J160" t="str">
        <v>02:37:51</v>
      </c>
      <c r="K160">
        <f t="shared" si="40"/>
        <v>2.6166666666666623</v>
      </c>
      <c r="L160">
        <f t="shared" si="33"/>
        <v>0.91000000000000014</v>
      </c>
      <c r="M160">
        <f t="shared" si="34"/>
        <v>0.15</v>
      </c>
      <c r="N160">
        <f t="shared" si="28"/>
        <v>0.35249999999999998</v>
      </c>
      <c r="Q160" t="str" cm="1">
        <f t="array" ref="Q160:R160">_xlfn.TEXTSPLIT(E160," ")</f>
        <v>27.10.2023</v>
      </c>
      <c r="R160" t="str">
        <v>02:37:51</v>
      </c>
      <c r="S160">
        <f t="shared" si="41"/>
        <v>2.6166666666666623</v>
      </c>
      <c r="T160">
        <f t="shared" si="32"/>
        <v>1.5800000000000125</v>
      </c>
      <c r="U160">
        <f t="shared" si="35"/>
        <v>1.2</v>
      </c>
      <c r="V160">
        <f t="shared" si="29"/>
        <v>0.5874999999999998</v>
      </c>
      <c r="AC160" t="s">
        <v>837</v>
      </c>
      <c r="AD160">
        <v>0</v>
      </c>
      <c r="AE160">
        <v>5.01</v>
      </c>
      <c r="AG160" t="str" cm="1">
        <f t="array" ref="AG160:AH160">_xlfn.TEXTSPLIT(AC161," ")</f>
        <v>26.10.2023</v>
      </c>
      <c r="AH160" t="str">
        <v>02:39:02</v>
      </c>
      <c r="AI160">
        <f t="shared" si="42"/>
        <v>2.6166666666666623</v>
      </c>
      <c r="AJ160">
        <f t="shared" si="36"/>
        <v>0.47999999999999954</v>
      </c>
      <c r="AK160">
        <f t="shared" si="37"/>
        <v>0</v>
      </c>
      <c r="AL160">
        <f t="shared" si="30"/>
        <v>0.125</v>
      </c>
      <c r="AN160" t="s">
        <v>837</v>
      </c>
      <c r="AO160">
        <v>2.85</v>
      </c>
      <c r="AP160">
        <v>63.34</v>
      </c>
      <c r="AR160" t="str" cm="1">
        <f t="array" ref="AR160:AS160">_xlfn.TEXTSPLIT(AN160," ")</f>
        <v>26.10.2023</v>
      </c>
      <c r="AS160" t="str">
        <v>02:38:02</v>
      </c>
      <c r="AT160">
        <f t="shared" si="43"/>
        <v>2.6166666666666623</v>
      </c>
      <c r="AU160">
        <f t="shared" si="38"/>
        <v>2.0300000000000011</v>
      </c>
      <c r="AV160">
        <f t="shared" si="39"/>
        <v>2.85</v>
      </c>
      <c r="AW160">
        <f t="shared" si="31"/>
        <v>0.76749999999999996</v>
      </c>
    </row>
    <row r="161" spans="1:49" x14ac:dyDescent="0.25">
      <c r="A161" t="s">
        <v>838</v>
      </c>
      <c r="B161">
        <v>0.75</v>
      </c>
      <c r="C161">
        <v>15.26</v>
      </c>
      <c r="E161" t="s">
        <v>838</v>
      </c>
      <c r="F161">
        <v>1.5</v>
      </c>
      <c r="G161">
        <v>80.22</v>
      </c>
      <c r="I161" t="str" cm="1">
        <f t="array" ref="I161:J161">_xlfn.TEXTSPLIT(A161," ")</f>
        <v>27.10.2023</v>
      </c>
      <c r="J161" t="str">
        <v>02:38:51</v>
      </c>
      <c r="K161">
        <f t="shared" si="40"/>
        <v>2.6333333333333289</v>
      </c>
      <c r="L161">
        <f t="shared" si="33"/>
        <v>0.9399999999999995</v>
      </c>
      <c r="M161">
        <f t="shared" si="34"/>
        <v>0.75</v>
      </c>
      <c r="N161">
        <f t="shared" si="28"/>
        <v>0.35249999999999998</v>
      </c>
      <c r="Q161" t="str" cm="1">
        <f t="array" ref="Q161:R161">_xlfn.TEXTSPLIT(E161," ")</f>
        <v>27.10.2023</v>
      </c>
      <c r="R161" t="str">
        <v>02:38:51</v>
      </c>
      <c r="S161">
        <f t="shared" si="41"/>
        <v>2.6333333333333289</v>
      </c>
      <c r="T161">
        <f t="shared" si="32"/>
        <v>1.6200000000000045</v>
      </c>
      <c r="U161">
        <f t="shared" si="35"/>
        <v>1.5</v>
      </c>
      <c r="V161">
        <f t="shared" si="29"/>
        <v>0.57000000000000006</v>
      </c>
      <c r="AC161" t="s">
        <v>839</v>
      </c>
      <c r="AD161">
        <v>0</v>
      </c>
      <c r="AE161">
        <v>5.01</v>
      </c>
      <c r="AG161" t="str" cm="1">
        <f t="array" ref="AG161:AH161">_xlfn.TEXTSPLIT(AC162," ")</f>
        <v>26.10.2023</v>
      </c>
      <c r="AH161" t="str">
        <v>02:40:02</v>
      </c>
      <c r="AI161">
        <f t="shared" si="42"/>
        <v>2.6333333333333289</v>
      </c>
      <c r="AJ161">
        <f t="shared" si="36"/>
        <v>0.47999999999999954</v>
      </c>
      <c r="AK161">
        <f t="shared" si="37"/>
        <v>0</v>
      </c>
      <c r="AL161">
        <f t="shared" si="30"/>
        <v>0.125</v>
      </c>
      <c r="AN161" t="s">
        <v>839</v>
      </c>
      <c r="AO161">
        <v>2.1</v>
      </c>
      <c r="AP161">
        <v>63.37</v>
      </c>
      <c r="AR161" t="str" cm="1">
        <f t="array" ref="AR161:AS161">_xlfn.TEXTSPLIT(AN161," ")</f>
        <v>26.10.2023</v>
      </c>
      <c r="AS161" t="str">
        <v>02:39:02</v>
      </c>
      <c r="AT161">
        <f t="shared" si="43"/>
        <v>2.6333333333333289</v>
      </c>
      <c r="AU161">
        <f t="shared" si="38"/>
        <v>2.0599999999999952</v>
      </c>
      <c r="AV161">
        <f t="shared" si="39"/>
        <v>2.1</v>
      </c>
      <c r="AW161">
        <f t="shared" si="31"/>
        <v>0.76250000000000007</v>
      </c>
    </row>
    <row r="162" spans="1:49" x14ac:dyDescent="0.25">
      <c r="A162" t="s">
        <v>840</v>
      </c>
      <c r="B162">
        <v>1.5</v>
      </c>
      <c r="C162">
        <v>15.29</v>
      </c>
      <c r="E162" t="s">
        <v>840</v>
      </c>
      <c r="F162">
        <v>2.4</v>
      </c>
      <c r="G162">
        <v>80.25</v>
      </c>
      <c r="I162" t="str" cm="1">
        <f t="array" ref="I162:J162">_xlfn.TEXTSPLIT(A162," ")</f>
        <v>27.10.2023</v>
      </c>
      <c r="J162" t="str">
        <v>02:39:52</v>
      </c>
      <c r="K162">
        <f t="shared" si="40"/>
        <v>2.6499999999999955</v>
      </c>
      <c r="L162">
        <f t="shared" si="33"/>
        <v>0.96999999999999886</v>
      </c>
      <c r="M162">
        <f t="shared" si="34"/>
        <v>1.5</v>
      </c>
      <c r="N162">
        <f t="shared" si="28"/>
        <v>0.34749999999999998</v>
      </c>
      <c r="Q162" t="str" cm="1">
        <f t="array" ref="Q162:R162">_xlfn.TEXTSPLIT(E162," ")</f>
        <v>27.10.2023</v>
      </c>
      <c r="R162" t="str">
        <v>02:39:52</v>
      </c>
      <c r="S162">
        <f t="shared" si="41"/>
        <v>2.6499999999999955</v>
      </c>
      <c r="T162">
        <f t="shared" si="32"/>
        <v>1.6500000000000057</v>
      </c>
      <c r="U162">
        <f t="shared" si="35"/>
        <v>2.4</v>
      </c>
      <c r="V162">
        <f t="shared" si="29"/>
        <v>0.58499999999999985</v>
      </c>
      <c r="AC162" t="s">
        <v>841</v>
      </c>
      <c r="AD162">
        <v>1.65</v>
      </c>
      <c r="AE162">
        <v>5.04</v>
      </c>
      <c r="AG162" t="str" cm="1">
        <f t="array" ref="AG162:AH162">_xlfn.TEXTSPLIT(AC163," ")</f>
        <v>26.10.2023</v>
      </c>
      <c r="AH162" t="str">
        <v>02:41:03</v>
      </c>
      <c r="AI162">
        <f t="shared" si="42"/>
        <v>2.6499999999999955</v>
      </c>
      <c r="AJ162">
        <f t="shared" si="36"/>
        <v>0.50999999999999979</v>
      </c>
      <c r="AK162">
        <f t="shared" si="37"/>
        <v>1.65</v>
      </c>
      <c r="AL162">
        <f t="shared" si="30"/>
        <v>0.1525</v>
      </c>
      <c r="AN162" t="s">
        <v>841</v>
      </c>
      <c r="AO162">
        <v>1.95</v>
      </c>
      <c r="AP162">
        <v>63.4</v>
      </c>
      <c r="AR162" t="str" cm="1">
        <f t="array" ref="AR162:AS162">_xlfn.TEXTSPLIT(AN162," ")</f>
        <v>26.10.2023</v>
      </c>
      <c r="AS162" t="str">
        <v>02:40:02</v>
      </c>
      <c r="AT162">
        <f t="shared" si="43"/>
        <v>2.6499999999999955</v>
      </c>
      <c r="AU162">
        <f t="shared" si="38"/>
        <v>2.0899999999999963</v>
      </c>
      <c r="AV162">
        <f t="shared" si="39"/>
        <v>1.95</v>
      </c>
      <c r="AW162">
        <f t="shared" si="31"/>
        <v>0.76500000000000012</v>
      </c>
    </row>
    <row r="163" spans="1:49" x14ac:dyDescent="0.25">
      <c r="A163" t="s">
        <v>842</v>
      </c>
      <c r="B163">
        <v>1.65</v>
      </c>
      <c r="C163">
        <v>15.32</v>
      </c>
      <c r="E163" t="s">
        <v>842</v>
      </c>
      <c r="F163">
        <v>1.35</v>
      </c>
      <c r="G163">
        <v>80.260000000000005</v>
      </c>
      <c r="I163" t="str" cm="1">
        <f t="array" ref="I163:J163">_xlfn.TEXTSPLIT(A163," ")</f>
        <v>27.10.2023</v>
      </c>
      <c r="J163" t="str">
        <v>02:40:52</v>
      </c>
      <c r="K163">
        <f t="shared" si="40"/>
        <v>2.6666666666666621</v>
      </c>
      <c r="L163">
        <f t="shared" si="33"/>
        <v>1</v>
      </c>
      <c r="M163">
        <f t="shared" si="34"/>
        <v>1.65</v>
      </c>
      <c r="N163">
        <f t="shared" si="28"/>
        <v>0.35499999999999993</v>
      </c>
      <c r="Q163" t="str" cm="1">
        <f t="array" ref="Q163:R163">_xlfn.TEXTSPLIT(E163," ")</f>
        <v>27.10.2023</v>
      </c>
      <c r="R163" t="str">
        <v>02:40:52</v>
      </c>
      <c r="S163">
        <f t="shared" si="41"/>
        <v>2.6666666666666621</v>
      </c>
      <c r="T163">
        <f t="shared" si="32"/>
        <v>1.6600000000000108</v>
      </c>
      <c r="U163">
        <f t="shared" si="35"/>
        <v>1.35</v>
      </c>
      <c r="V163">
        <f t="shared" si="29"/>
        <v>0.59249999999999992</v>
      </c>
      <c r="AC163" t="s">
        <v>843</v>
      </c>
      <c r="AD163">
        <v>1.2</v>
      </c>
      <c r="AE163">
        <v>5.0599999999999996</v>
      </c>
      <c r="AG163" t="str" cm="1">
        <f t="array" ref="AG163:AH163">_xlfn.TEXTSPLIT(AC164," ")</f>
        <v>26.10.2023</v>
      </c>
      <c r="AH163" t="str">
        <v>02:42:03</v>
      </c>
      <c r="AI163">
        <f t="shared" si="42"/>
        <v>2.6666666666666621</v>
      </c>
      <c r="AJ163">
        <f t="shared" si="36"/>
        <v>0.52999999999999936</v>
      </c>
      <c r="AK163">
        <f t="shared" si="37"/>
        <v>1.2</v>
      </c>
      <c r="AL163">
        <f t="shared" si="30"/>
        <v>0.14749999999999999</v>
      </c>
      <c r="AN163" t="s">
        <v>843</v>
      </c>
      <c r="AO163">
        <v>2.1</v>
      </c>
      <c r="AP163">
        <v>63.44</v>
      </c>
      <c r="AR163" t="str" cm="1">
        <f t="array" ref="AR163:AS163">_xlfn.TEXTSPLIT(AN163," ")</f>
        <v>26.10.2023</v>
      </c>
      <c r="AS163" t="str">
        <v>02:41:03</v>
      </c>
      <c r="AT163">
        <f t="shared" si="43"/>
        <v>2.6666666666666621</v>
      </c>
      <c r="AU163">
        <f t="shared" si="38"/>
        <v>2.1299999999999955</v>
      </c>
      <c r="AV163">
        <f t="shared" si="39"/>
        <v>2.1</v>
      </c>
      <c r="AW163">
        <f t="shared" si="31"/>
        <v>0.76750000000000018</v>
      </c>
    </row>
    <row r="164" spans="1:49" x14ac:dyDescent="0.25">
      <c r="A164" t="s">
        <v>844</v>
      </c>
      <c r="B164">
        <v>1.95</v>
      </c>
      <c r="C164">
        <v>15.33</v>
      </c>
      <c r="E164" t="s">
        <v>844</v>
      </c>
      <c r="F164">
        <v>0.75</v>
      </c>
      <c r="G164">
        <v>80.28</v>
      </c>
      <c r="I164" t="str" cm="1">
        <f t="array" ref="I164:J164">_xlfn.TEXTSPLIT(A164," ")</f>
        <v>27.10.2023</v>
      </c>
      <c r="J164" t="str">
        <v>02:41:52</v>
      </c>
      <c r="K164">
        <f t="shared" si="40"/>
        <v>2.6833333333333287</v>
      </c>
      <c r="L164">
        <f t="shared" si="33"/>
        <v>1.0099999999999998</v>
      </c>
      <c r="M164">
        <f t="shared" si="34"/>
        <v>1.95</v>
      </c>
      <c r="N164">
        <f t="shared" si="28"/>
        <v>0.36500000000000005</v>
      </c>
      <c r="Q164" t="str" cm="1">
        <f t="array" ref="Q164:R164">_xlfn.TEXTSPLIT(E164," ")</f>
        <v>27.10.2023</v>
      </c>
      <c r="R164" t="str">
        <v>02:41:52</v>
      </c>
      <c r="S164">
        <f t="shared" si="41"/>
        <v>2.6833333333333287</v>
      </c>
      <c r="T164">
        <f t="shared" si="32"/>
        <v>1.6800000000000068</v>
      </c>
      <c r="U164">
        <f t="shared" si="35"/>
        <v>0.75</v>
      </c>
      <c r="V164">
        <f t="shared" si="29"/>
        <v>0.59000000000000008</v>
      </c>
      <c r="AC164" t="s">
        <v>845</v>
      </c>
      <c r="AD164">
        <v>0.9</v>
      </c>
      <c r="AE164">
        <v>5.07</v>
      </c>
      <c r="AG164" t="str" cm="1">
        <f t="array" ref="AG164:AH164">_xlfn.TEXTSPLIT(AC165," ")</f>
        <v>26.10.2023</v>
      </c>
      <c r="AH164" t="str">
        <v>02:43:03</v>
      </c>
      <c r="AI164">
        <f t="shared" si="42"/>
        <v>2.6833333333333287</v>
      </c>
      <c r="AJ164">
        <f t="shared" si="36"/>
        <v>0.54</v>
      </c>
      <c r="AK164">
        <f t="shared" si="37"/>
        <v>0.9</v>
      </c>
      <c r="AL164">
        <f t="shared" si="30"/>
        <v>0.1525</v>
      </c>
      <c r="AN164" t="s">
        <v>845</v>
      </c>
      <c r="AO164">
        <v>1.5</v>
      </c>
      <c r="AP164">
        <v>63.47</v>
      </c>
      <c r="AR164" t="str" cm="1">
        <f t="array" ref="AR164:AS164">_xlfn.TEXTSPLIT(AN164," ")</f>
        <v>26.10.2023</v>
      </c>
      <c r="AS164" t="str">
        <v>02:42:03</v>
      </c>
      <c r="AT164">
        <f t="shared" si="43"/>
        <v>2.6833333333333287</v>
      </c>
      <c r="AU164">
        <f t="shared" si="38"/>
        <v>2.1599999999999966</v>
      </c>
      <c r="AV164">
        <f t="shared" si="39"/>
        <v>1.5</v>
      </c>
      <c r="AW164">
        <f t="shared" si="31"/>
        <v>0.76000000000000023</v>
      </c>
    </row>
    <row r="165" spans="1:49" x14ac:dyDescent="0.25">
      <c r="A165" t="s">
        <v>846</v>
      </c>
      <c r="B165">
        <v>0.9</v>
      </c>
      <c r="C165">
        <v>15.34</v>
      </c>
      <c r="E165" t="s">
        <v>846</v>
      </c>
      <c r="F165">
        <v>0.75</v>
      </c>
      <c r="G165">
        <v>80.290000000000006</v>
      </c>
      <c r="I165" t="str" cm="1">
        <f t="array" ref="I165:J165">_xlfn.TEXTSPLIT(A165," ")</f>
        <v>27.10.2023</v>
      </c>
      <c r="J165" t="str">
        <v>02:42:52</v>
      </c>
      <c r="K165">
        <f t="shared" si="40"/>
        <v>2.6999999999999953</v>
      </c>
      <c r="L165">
        <f t="shared" si="33"/>
        <v>1.0199999999999996</v>
      </c>
      <c r="M165">
        <f t="shared" si="34"/>
        <v>0.9</v>
      </c>
      <c r="N165">
        <f t="shared" si="28"/>
        <v>0.36500000000000005</v>
      </c>
      <c r="Q165" t="str" cm="1">
        <f t="array" ref="Q165:R165">_xlfn.TEXTSPLIT(E165," ")</f>
        <v>27.10.2023</v>
      </c>
      <c r="R165" t="str">
        <v>02:42:52</v>
      </c>
      <c r="S165">
        <f t="shared" si="41"/>
        <v>2.6999999999999953</v>
      </c>
      <c r="T165">
        <f t="shared" si="32"/>
        <v>1.6900000000000119</v>
      </c>
      <c r="U165">
        <f t="shared" si="35"/>
        <v>0.75</v>
      </c>
      <c r="V165">
        <f t="shared" si="29"/>
        <v>0.59250000000000003</v>
      </c>
      <c r="AC165" t="s">
        <v>847</v>
      </c>
      <c r="AD165">
        <v>0.75</v>
      </c>
      <c r="AE165">
        <v>5.09</v>
      </c>
      <c r="AG165" t="str" cm="1">
        <f t="array" ref="AG165:AH165">_xlfn.TEXTSPLIT(AC166," ")</f>
        <v>26.10.2023</v>
      </c>
      <c r="AH165" t="str">
        <v>02:44:03</v>
      </c>
      <c r="AI165">
        <f t="shared" si="42"/>
        <v>2.6999999999999953</v>
      </c>
      <c r="AJ165">
        <f t="shared" si="36"/>
        <v>0.55999999999999961</v>
      </c>
      <c r="AK165">
        <f t="shared" si="37"/>
        <v>0.75</v>
      </c>
      <c r="AL165">
        <f t="shared" si="30"/>
        <v>0.155</v>
      </c>
      <c r="AN165" t="s">
        <v>847</v>
      </c>
      <c r="AO165">
        <v>1.05</v>
      </c>
      <c r="AP165">
        <v>63.48</v>
      </c>
      <c r="AR165" t="str" cm="1">
        <f t="array" ref="AR165:AS165">_xlfn.TEXTSPLIT(AN165," ")</f>
        <v>26.10.2023</v>
      </c>
      <c r="AS165" t="str">
        <v>02:43:03</v>
      </c>
      <c r="AT165">
        <f t="shared" si="43"/>
        <v>2.6999999999999953</v>
      </c>
      <c r="AU165">
        <f t="shared" si="38"/>
        <v>2.1699999999999946</v>
      </c>
      <c r="AV165">
        <f t="shared" si="39"/>
        <v>1.05</v>
      </c>
      <c r="AW165">
        <f t="shared" si="31"/>
        <v>0.75750000000000017</v>
      </c>
    </row>
    <row r="166" spans="1:49" x14ac:dyDescent="0.25">
      <c r="A166" t="s">
        <v>848</v>
      </c>
      <c r="B166">
        <v>0.6</v>
      </c>
      <c r="C166">
        <v>15.35</v>
      </c>
      <c r="E166" t="s">
        <v>848</v>
      </c>
      <c r="F166">
        <v>0.6</v>
      </c>
      <c r="G166">
        <v>80.3</v>
      </c>
      <c r="I166" t="str" cm="1">
        <f t="array" ref="I166:J166">_xlfn.TEXTSPLIT(A166," ")</f>
        <v>27.10.2023</v>
      </c>
      <c r="J166" t="str">
        <v>02:43:52</v>
      </c>
      <c r="K166">
        <f t="shared" si="40"/>
        <v>2.7166666666666619</v>
      </c>
      <c r="L166">
        <f t="shared" si="33"/>
        <v>1.0299999999999994</v>
      </c>
      <c r="M166">
        <f t="shared" si="34"/>
        <v>0.6</v>
      </c>
      <c r="N166">
        <f t="shared" si="28"/>
        <v>0.36249999999999999</v>
      </c>
      <c r="Q166" t="str" cm="1">
        <f t="array" ref="Q166:R166">_xlfn.TEXTSPLIT(E166," ")</f>
        <v>27.10.2023</v>
      </c>
      <c r="R166" t="str">
        <v>02:43:52</v>
      </c>
      <c r="S166">
        <f t="shared" si="41"/>
        <v>2.7166666666666619</v>
      </c>
      <c r="T166">
        <f t="shared" si="32"/>
        <v>1.7000000000000028</v>
      </c>
      <c r="U166">
        <f t="shared" si="35"/>
        <v>0.6</v>
      </c>
      <c r="V166">
        <f t="shared" si="29"/>
        <v>0.59</v>
      </c>
      <c r="AC166" t="s">
        <v>849</v>
      </c>
      <c r="AD166">
        <v>0.75</v>
      </c>
      <c r="AE166">
        <v>5.0999999999999996</v>
      </c>
      <c r="AG166" t="str" cm="1">
        <f t="array" ref="AG166:AH166">_xlfn.TEXTSPLIT(AC167," ")</f>
        <v>26.10.2023</v>
      </c>
      <c r="AH166" t="str">
        <v>02:45:03</v>
      </c>
      <c r="AI166">
        <f t="shared" si="42"/>
        <v>2.7166666666666619</v>
      </c>
      <c r="AJ166">
        <f t="shared" si="36"/>
        <v>0.5699999999999994</v>
      </c>
      <c r="AK166">
        <f t="shared" si="37"/>
        <v>0.75</v>
      </c>
      <c r="AL166">
        <f t="shared" si="30"/>
        <v>0.16</v>
      </c>
      <c r="AN166" t="s">
        <v>849</v>
      </c>
      <c r="AO166">
        <v>0.75</v>
      </c>
      <c r="AP166">
        <v>63.5</v>
      </c>
      <c r="AR166" t="str" cm="1">
        <f t="array" ref="AR166:AS166">_xlfn.TEXTSPLIT(AN166," ")</f>
        <v>26.10.2023</v>
      </c>
      <c r="AS166" t="str">
        <v>02:44:03</v>
      </c>
      <c r="AT166">
        <f t="shared" si="43"/>
        <v>2.7166666666666619</v>
      </c>
      <c r="AU166">
        <f t="shared" si="38"/>
        <v>2.1899999999999977</v>
      </c>
      <c r="AV166">
        <f t="shared" si="39"/>
        <v>0.75</v>
      </c>
      <c r="AW166">
        <f t="shared" si="31"/>
        <v>0.755</v>
      </c>
    </row>
    <row r="167" spans="1:49" x14ac:dyDescent="0.25">
      <c r="A167" t="s">
        <v>850</v>
      </c>
      <c r="B167">
        <v>0.45</v>
      </c>
      <c r="C167">
        <v>15.36</v>
      </c>
      <c r="E167" t="s">
        <v>850</v>
      </c>
      <c r="F167">
        <v>0.45</v>
      </c>
      <c r="G167">
        <v>80.31</v>
      </c>
      <c r="I167" t="str" cm="1">
        <f t="array" ref="I167:J167">_xlfn.TEXTSPLIT(A167," ")</f>
        <v>27.10.2023</v>
      </c>
      <c r="J167" t="str">
        <v>02:44:52</v>
      </c>
      <c r="K167">
        <f t="shared" si="40"/>
        <v>2.7333333333333285</v>
      </c>
      <c r="L167">
        <f t="shared" si="33"/>
        <v>1.0399999999999991</v>
      </c>
      <c r="M167">
        <f t="shared" si="34"/>
        <v>0.45</v>
      </c>
      <c r="N167">
        <f t="shared" si="28"/>
        <v>0.36000000000000004</v>
      </c>
      <c r="Q167" t="str" cm="1">
        <f t="array" ref="Q167:R167">_xlfn.TEXTSPLIT(E167," ")</f>
        <v>27.10.2023</v>
      </c>
      <c r="R167" t="str">
        <v>02:44:52</v>
      </c>
      <c r="S167">
        <f t="shared" si="41"/>
        <v>2.7333333333333285</v>
      </c>
      <c r="T167">
        <f t="shared" si="32"/>
        <v>1.710000000000008</v>
      </c>
      <c r="U167">
        <f t="shared" si="35"/>
        <v>0.45</v>
      </c>
      <c r="V167">
        <f t="shared" si="29"/>
        <v>0.58250000000000002</v>
      </c>
      <c r="AC167" t="s">
        <v>851</v>
      </c>
      <c r="AD167">
        <v>0.6</v>
      </c>
      <c r="AE167">
        <v>5.1100000000000003</v>
      </c>
      <c r="AG167" t="str" cm="1">
        <f t="array" ref="AG167:AH167">_xlfn.TEXTSPLIT(AC168," ")</f>
        <v>26.10.2023</v>
      </c>
      <c r="AH167" t="str">
        <v>02:46:03</v>
      </c>
      <c r="AI167">
        <f t="shared" si="42"/>
        <v>2.7333333333333285</v>
      </c>
      <c r="AJ167">
        <f t="shared" si="36"/>
        <v>0.58000000000000007</v>
      </c>
      <c r="AK167">
        <f t="shared" si="37"/>
        <v>0.6</v>
      </c>
      <c r="AL167">
        <f t="shared" si="30"/>
        <v>0.16750000000000004</v>
      </c>
      <c r="AN167" t="s">
        <v>851</v>
      </c>
      <c r="AO167">
        <v>1.05</v>
      </c>
      <c r="AP167">
        <v>63.52</v>
      </c>
      <c r="AR167" t="str" cm="1">
        <f t="array" ref="AR167:AS167">_xlfn.TEXTSPLIT(AN167," ")</f>
        <v>26.10.2023</v>
      </c>
      <c r="AS167" t="str">
        <v>02:45:03</v>
      </c>
      <c r="AT167">
        <f t="shared" si="43"/>
        <v>2.7333333333333285</v>
      </c>
      <c r="AU167">
        <f t="shared" si="38"/>
        <v>2.2100000000000009</v>
      </c>
      <c r="AV167">
        <f t="shared" si="39"/>
        <v>1.05</v>
      </c>
      <c r="AW167">
        <f t="shared" si="31"/>
        <v>0.76249999999999996</v>
      </c>
    </row>
    <row r="168" spans="1:49" x14ac:dyDescent="0.25">
      <c r="A168" t="s">
        <v>852</v>
      </c>
      <c r="B168">
        <v>0.3</v>
      </c>
      <c r="C168">
        <v>15.36</v>
      </c>
      <c r="E168" t="s">
        <v>852</v>
      </c>
      <c r="F168">
        <v>0.6</v>
      </c>
      <c r="G168">
        <v>80.319999999999993</v>
      </c>
      <c r="I168" t="str" cm="1">
        <f t="array" ref="I168:J168">_xlfn.TEXTSPLIT(A168," ")</f>
        <v>27.10.2023</v>
      </c>
      <c r="J168" t="str">
        <v>02:45:53</v>
      </c>
      <c r="K168">
        <f t="shared" si="40"/>
        <v>2.7499999999999951</v>
      </c>
      <c r="L168">
        <f t="shared" si="33"/>
        <v>1.0399999999999991</v>
      </c>
      <c r="M168">
        <f t="shared" si="34"/>
        <v>0.3</v>
      </c>
      <c r="N168">
        <f t="shared" si="28"/>
        <v>0.36000000000000004</v>
      </c>
      <c r="Q168" t="str" cm="1">
        <f t="array" ref="Q168:R168">_xlfn.TEXTSPLIT(E168," ")</f>
        <v>27.10.2023</v>
      </c>
      <c r="R168" t="str">
        <v>02:45:53</v>
      </c>
      <c r="S168">
        <f t="shared" si="41"/>
        <v>2.7499999999999951</v>
      </c>
      <c r="T168">
        <f t="shared" si="32"/>
        <v>1.7199999999999989</v>
      </c>
      <c r="U168">
        <f t="shared" si="35"/>
        <v>0.6</v>
      </c>
      <c r="V168">
        <f t="shared" si="29"/>
        <v>0.57250000000000012</v>
      </c>
      <c r="AC168" t="s">
        <v>853</v>
      </c>
      <c r="AD168">
        <v>0.45</v>
      </c>
      <c r="AE168">
        <v>5.1100000000000003</v>
      </c>
      <c r="AG168" t="str" cm="1">
        <f t="array" ref="AG168:AH168">_xlfn.TEXTSPLIT(AC169," ")</f>
        <v>26.10.2023</v>
      </c>
      <c r="AH168" t="str">
        <v>02:47:03</v>
      </c>
      <c r="AI168">
        <f t="shared" si="42"/>
        <v>2.7499999999999951</v>
      </c>
      <c r="AJ168">
        <f t="shared" si="36"/>
        <v>0.58000000000000007</v>
      </c>
      <c r="AK168">
        <f t="shared" si="37"/>
        <v>0.45</v>
      </c>
      <c r="AL168">
        <f t="shared" si="30"/>
        <v>0.17500000000000002</v>
      </c>
      <c r="AN168" t="s">
        <v>853</v>
      </c>
      <c r="AO168">
        <v>1.2</v>
      </c>
      <c r="AP168">
        <v>63.54</v>
      </c>
      <c r="AR168" t="str" cm="1">
        <f t="array" ref="AR168:AS168">_xlfn.TEXTSPLIT(AN168," ")</f>
        <v>26.10.2023</v>
      </c>
      <c r="AS168" t="str">
        <v>02:46:03</v>
      </c>
      <c r="AT168">
        <f t="shared" si="43"/>
        <v>2.7499999999999951</v>
      </c>
      <c r="AU168">
        <f t="shared" si="38"/>
        <v>2.2299999999999969</v>
      </c>
      <c r="AV168">
        <f t="shared" si="39"/>
        <v>1.2</v>
      </c>
      <c r="AW168">
        <f t="shared" si="31"/>
        <v>0.76999999999999991</v>
      </c>
    </row>
    <row r="169" spans="1:49" x14ac:dyDescent="0.25">
      <c r="A169" t="s">
        <v>854</v>
      </c>
      <c r="B169">
        <v>0.3</v>
      </c>
      <c r="C169">
        <v>15.37</v>
      </c>
      <c r="E169" t="s">
        <v>854</v>
      </c>
      <c r="F169">
        <v>0.6</v>
      </c>
      <c r="G169">
        <v>80.33</v>
      </c>
      <c r="I169" t="str" cm="1">
        <f t="array" ref="I169:J169">_xlfn.TEXTSPLIT(A169," ")</f>
        <v>27.10.2023</v>
      </c>
      <c r="J169" t="str">
        <v>02:46:53</v>
      </c>
      <c r="K169">
        <f t="shared" si="40"/>
        <v>2.7666666666666617</v>
      </c>
      <c r="L169">
        <f t="shared" si="33"/>
        <v>1.0499999999999989</v>
      </c>
      <c r="M169">
        <f t="shared" si="34"/>
        <v>0.3</v>
      </c>
      <c r="N169">
        <f t="shared" si="28"/>
        <v>0.35750000000000004</v>
      </c>
      <c r="Q169" t="str" cm="1">
        <f t="array" ref="Q169:R169">_xlfn.TEXTSPLIT(E169," ")</f>
        <v>27.10.2023</v>
      </c>
      <c r="R169" t="str">
        <v>02:46:53</v>
      </c>
      <c r="S169">
        <f t="shared" si="41"/>
        <v>2.7666666666666617</v>
      </c>
      <c r="T169">
        <f t="shared" si="32"/>
        <v>1.730000000000004</v>
      </c>
      <c r="U169">
        <f t="shared" si="35"/>
        <v>0.6</v>
      </c>
      <c r="V169">
        <f t="shared" si="29"/>
        <v>0.56250000000000011</v>
      </c>
      <c r="AC169" t="s">
        <v>855</v>
      </c>
      <c r="AD169">
        <v>0.45</v>
      </c>
      <c r="AE169">
        <v>5.12</v>
      </c>
      <c r="AG169" t="str" cm="1">
        <f t="array" ref="AG169:AH169">_xlfn.TEXTSPLIT(AC170," ")</f>
        <v>26.10.2023</v>
      </c>
      <c r="AH169" t="str">
        <v>02:48:03</v>
      </c>
      <c r="AI169">
        <f t="shared" si="42"/>
        <v>2.7666666666666617</v>
      </c>
      <c r="AJ169">
        <f t="shared" si="36"/>
        <v>0.58999999999999986</v>
      </c>
      <c r="AK169">
        <f t="shared" si="37"/>
        <v>0.45</v>
      </c>
      <c r="AL169">
        <f t="shared" si="30"/>
        <v>0.18</v>
      </c>
      <c r="AN169" t="s">
        <v>855</v>
      </c>
      <c r="AO169">
        <v>1.5</v>
      </c>
      <c r="AP169">
        <v>63.56</v>
      </c>
      <c r="AR169" t="str" cm="1">
        <f t="array" ref="AR169:AS169">_xlfn.TEXTSPLIT(AN169," ")</f>
        <v>26.10.2023</v>
      </c>
      <c r="AS169" t="str">
        <v>02:47:03</v>
      </c>
      <c r="AT169">
        <f t="shared" si="43"/>
        <v>2.7666666666666617</v>
      </c>
      <c r="AU169">
        <f t="shared" si="38"/>
        <v>2.25</v>
      </c>
      <c r="AV169">
        <f t="shared" si="39"/>
        <v>1.5</v>
      </c>
      <c r="AW169">
        <f t="shared" si="31"/>
        <v>0.78499999999999992</v>
      </c>
    </row>
    <row r="170" spans="1:49" x14ac:dyDescent="0.25">
      <c r="A170" t="s">
        <v>856</v>
      </c>
      <c r="B170">
        <v>0.45</v>
      </c>
      <c r="C170">
        <v>15.37</v>
      </c>
      <c r="E170" t="s">
        <v>856</v>
      </c>
      <c r="F170">
        <v>0.9</v>
      </c>
      <c r="G170">
        <v>80.349999999999994</v>
      </c>
      <c r="I170" t="str" cm="1">
        <f t="array" ref="I170:J170">_xlfn.TEXTSPLIT(A170," ")</f>
        <v>27.10.2023</v>
      </c>
      <c r="J170" t="str">
        <v>02:47:53</v>
      </c>
      <c r="K170">
        <f t="shared" si="40"/>
        <v>2.7833333333333283</v>
      </c>
      <c r="L170">
        <f t="shared" si="33"/>
        <v>1.0499999999999989</v>
      </c>
      <c r="M170">
        <f t="shared" si="34"/>
        <v>0.45</v>
      </c>
      <c r="N170">
        <f t="shared" si="28"/>
        <v>0.36250000000000004</v>
      </c>
      <c r="Q170" t="str" cm="1">
        <f t="array" ref="Q170:R170">_xlfn.TEXTSPLIT(E170," ")</f>
        <v>27.10.2023</v>
      </c>
      <c r="R170" t="str">
        <v>02:47:53</v>
      </c>
      <c r="S170">
        <f t="shared" si="41"/>
        <v>2.7833333333333283</v>
      </c>
      <c r="T170">
        <f t="shared" si="32"/>
        <v>1.75</v>
      </c>
      <c r="U170">
        <f t="shared" si="35"/>
        <v>0.9</v>
      </c>
      <c r="V170">
        <f t="shared" si="29"/>
        <v>0.5675</v>
      </c>
      <c r="AC170" t="s">
        <v>857</v>
      </c>
      <c r="AD170">
        <v>0</v>
      </c>
      <c r="AE170">
        <v>5.12</v>
      </c>
      <c r="AG170" t="str" cm="1">
        <f t="array" ref="AG170:AH170">_xlfn.TEXTSPLIT(AC171," ")</f>
        <v>26.10.2023</v>
      </c>
      <c r="AH170" t="str">
        <v>02:49:03</v>
      </c>
      <c r="AI170">
        <f t="shared" si="42"/>
        <v>2.7833333333333283</v>
      </c>
      <c r="AJ170">
        <f t="shared" si="36"/>
        <v>0.58999999999999986</v>
      </c>
      <c r="AK170">
        <f t="shared" si="37"/>
        <v>0</v>
      </c>
      <c r="AL170">
        <f t="shared" si="30"/>
        <v>0.18</v>
      </c>
      <c r="AN170" t="s">
        <v>857</v>
      </c>
      <c r="AO170">
        <v>0.9</v>
      </c>
      <c r="AP170">
        <v>63.57</v>
      </c>
      <c r="AR170" t="str" cm="1">
        <f t="array" ref="AR170:AS170">_xlfn.TEXTSPLIT(AN170," ")</f>
        <v>26.10.2023</v>
      </c>
      <c r="AS170" t="str">
        <v>02:48:03</v>
      </c>
      <c r="AT170">
        <f t="shared" si="43"/>
        <v>2.7833333333333283</v>
      </c>
      <c r="AU170">
        <f t="shared" si="38"/>
        <v>2.259999999999998</v>
      </c>
      <c r="AV170">
        <f t="shared" si="39"/>
        <v>0.9</v>
      </c>
      <c r="AW170">
        <f t="shared" si="31"/>
        <v>0.78999999999999992</v>
      </c>
    </row>
    <row r="171" spans="1:49" x14ac:dyDescent="0.25">
      <c r="A171" t="s">
        <v>858</v>
      </c>
      <c r="B171">
        <v>0.15</v>
      </c>
      <c r="C171">
        <v>15.37</v>
      </c>
      <c r="E171" t="s">
        <v>858</v>
      </c>
      <c r="F171">
        <v>0.75</v>
      </c>
      <c r="G171">
        <v>80.36</v>
      </c>
      <c r="I171" t="str" cm="1">
        <f t="array" ref="I171:J171">_xlfn.TEXTSPLIT(A171," ")</f>
        <v>27.10.2023</v>
      </c>
      <c r="J171" t="str">
        <v>02:48:53</v>
      </c>
      <c r="K171">
        <f t="shared" si="40"/>
        <v>2.7999999999999949</v>
      </c>
      <c r="L171">
        <f t="shared" si="33"/>
        <v>1.0499999999999989</v>
      </c>
      <c r="M171">
        <f t="shared" si="34"/>
        <v>0.15</v>
      </c>
      <c r="N171">
        <f t="shared" si="28"/>
        <v>0.35749999999999998</v>
      </c>
      <c r="Q171" t="str" cm="1">
        <f t="array" ref="Q171:R171">_xlfn.TEXTSPLIT(E171," ")</f>
        <v>27.10.2023</v>
      </c>
      <c r="R171" t="str">
        <v>02:48:53</v>
      </c>
      <c r="S171">
        <f t="shared" si="41"/>
        <v>2.7999999999999949</v>
      </c>
      <c r="T171">
        <f t="shared" si="32"/>
        <v>1.7600000000000051</v>
      </c>
      <c r="U171">
        <f t="shared" si="35"/>
        <v>0.75</v>
      </c>
      <c r="V171">
        <f t="shared" si="29"/>
        <v>0.56999999999999995</v>
      </c>
      <c r="AC171" t="s">
        <v>859</v>
      </c>
      <c r="AD171">
        <v>0.15</v>
      </c>
      <c r="AE171">
        <v>5.12</v>
      </c>
      <c r="AG171" t="str" cm="1">
        <f t="array" ref="AG171:AH171">_xlfn.TEXTSPLIT(AC172," ")</f>
        <v>26.10.2023</v>
      </c>
      <c r="AH171" t="str">
        <v>02:50:03</v>
      </c>
      <c r="AI171">
        <f t="shared" si="42"/>
        <v>2.7999999999999949</v>
      </c>
      <c r="AJ171">
        <f t="shared" si="36"/>
        <v>0.58999999999999986</v>
      </c>
      <c r="AK171">
        <f t="shared" si="37"/>
        <v>0.15</v>
      </c>
      <c r="AL171">
        <f t="shared" si="30"/>
        <v>0.1825</v>
      </c>
      <c r="AN171" t="s">
        <v>859</v>
      </c>
      <c r="AO171">
        <v>0.9</v>
      </c>
      <c r="AP171">
        <v>63.59</v>
      </c>
      <c r="AR171" t="str" cm="1">
        <f t="array" ref="AR171:AS171">_xlfn.TEXTSPLIT(AN171," ")</f>
        <v>26.10.2023</v>
      </c>
      <c r="AS171" t="str">
        <v>02:49:03</v>
      </c>
      <c r="AT171">
        <f t="shared" si="43"/>
        <v>2.7999999999999949</v>
      </c>
      <c r="AU171">
        <f t="shared" si="38"/>
        <v>2.2800000000000011</v>
      </c>
      <c r="AV171">
        <f t="shared" si="39"/>
        <v>0.9</v>
      </c>
      <c r="AW171">
        <f t="shared" si="31"/>
        <v>0.78999999999999981</v>
      </c>
    </row>
    <row r="172" spans="1:49" x14ac:dyDescent="0.25">
      <c r="A172" t="s">
        <v>860</v>
      </c>
      <c r="B172">
        <v>0.15</v>
      </c>
      <c r="C172">
        <v>15.38</v>
      </c>
      <c r="E172" t="s">
        <v>860</v>
      </c>
      <c r="F172">
        <v>0.75</v>
      </c>
      <c r="G172">
        <v>80.37</v>
      </c>
      <c r="I172" t="str" cm="1">
        <f t="array" ref="I172:J172">_xlfn.TEXTSPLIT(A172," ")</f>
        <v>27.10.2023</v>
      </c>
      <c r="J172" t="str">
        <v>02:49:53</v>
      </c>
      <c r="K172">
        <f t="shared" si="40"/>
        <v>2.8166666666666615</v>
      </c>
      <c r="L172">
        <f t="shared" si="33"/>
        <v>1.0600000000000005</v>
      </c>
      <c r="M172">
        <f t="shared" si="34"/>
        <v>0.15</v>
      </c>
      <c r="N172">
        <f t="shared" si="28"/>
        <v>0.35500000000000004</v>
      </c>
      <c r="Q172" t="str" cm="1">
        <f t="array" ref="Q172:R172">_xlfn.TEXTSPLIT(E172," ")</f>
        <v>27.10.2023</v>
      </c>
      <c r="R172" t="str">
        <v>02:49:53</v>
      </c>
      <c r="S172">
        <f t="shared" si="41"/>
        <v>2.8166666666666615</v>
      </c>
      <c r="T172">
        <f t="shared" si="32"/>
        <v>1.7700000000000102</v>
      </c>
      <c r="U172">
        <f t="shared" si="35"/>
        <v>0.75</v>
      </c>
      <c r="V172">
        <f t="shared" si="29"/>
        <v>0.57499999999999984</v>
      </c>
      <c r="AC172" t="s">
        <v>861</v>
      </c>
      <c r="AD172">
        <v>0</v>
      </c>
      <c r="AE172">
        <v>5.12</v>
      </c>
      <c r="AG172" t="str" cm="1">
        <f t="array" ref="AG172:AH172">_xlfn.TEXTSPLIT(AC173," ")</f>
        <v>26.10.2023</v>
      </c>
      <c r="AH172" t="str">
        <v>02:51:04</v>
      </c>
      <c r="AI172">
        <f t="shared" si="42"/>
        <v>2.8166666666666615</v>
      </c>
      <c r="AJ172">
        <f t="shared" si="36"/>
        <v>0.58999999999999986</v>
      </c>
      <c r="AK172">
        <f t="shared" si="37"/>
        <v>0</v>
      </c>
      <c r="AL172">
        <f t="shared" si="30"/>
        <v>0.18</v>
      </c>
      <c r="AN172" t="s">
        <v>861</v>
      </c>
      <c r="AO172">
        <v>0.6</v>
      </c>
      <c r="AP172">
        <v>63.6</v>
      </c>
      <c r="AR172" t="str" cm="1">
        <f t="array" ref="AR172:AS172">_xlfn.TEXTSPLIT(AN172," ")</f>
        <v>26.10.2023</v>
      </c>
      <c r="AS172" t="str">
        <v>02:50:03</v>
      </c>
      <c r="AT172">
        <f t="shared" si="43"/>
        <v>2.8166666666666615</v>
      </c>
      <c r="AU172">
        <f t="shared" si="38"/>
        <v>2.2899999999999991</v>
      </c>
      <c r="AV172">
        <f t="shared" si="39"/>
        <v>0.6</v>
      </c>
      <c r="AW172">
        <f t="shared" si="31"/>
        <v>0.78249999999999997</v>
      </c>
    </row>
    <row r="173" spans="1:49" x14ac:dyDescent="0.25">
      <c r="A173" t="s">
        <v>862</v>
      </c>
      <c r="B173">
        <v>0.15</v>
      </c>
      <c r="C173">
        <v>15.38</v>
      </c>
      <c r="E173" t="s">
        <v>862</v>
      </c>
      <c r="F173">
        <v>0.6</v>
      </c>
      <c r="G173">
        <v>80.38</v>
      </c>
      <c r="I173" t="str" cm="1">
        <f t="array" ref="I173:J173">_xlfn.TEXTSPLIT(A173," ")</f>
        <v>27.10.2023</v>
      </c>
      <c r="J173" t="str">
        <v>02:50:53</v>
      </c>
      <c r="K173">
        <f t="shared" si="40"/>
        <v>2.8333333333333282</v>
      </c>
      <c r="L173">
        <f t="shared" si="33"/>
        <v>1.0600000000000005</v>
      </c>
      <c r="M173">
        <f t="shared" si="34"/>
        <v>0.15</v>
      </c>
      <c r="N173">
        <f t="shared" si="28"/>
        <v>0.35250000000000004</v>
      </c>
      <c r="Q173" t="str" cm="1">
        <f t="array" ref="Q173:R173">_xlfn.TEXTSPLIT(E173," ")</f>
        <v>27.10.2023</v>
      </c>
      <c r="R173" t="str">
        <v>02:50:53</v>
      </c>
      <c r="S173">
        <f t="shared" si="41"/>
        <v>2.8333333333333282</v>
      </c>
      <c r="T173">
        <f t="shared" si="32"/>
        <v>1.7800000000000011</v>
      </c>
      <c r="U173">
        <f t="shared" si="35"/>
        <v>0.6</v>
      </c>
      <c r="V173">
        <f t="shared" si="29"/>
        <v>0.57499999999999996</v>
      </c>
      <c r="AC173" t="s">
        <v>863</v>
      </c>
      <c r="AD173">
        <v>0.15</v>
      </c>
      <c r="AE173">
        <v>5.13</v>
      </c>
      <c r="AG173" t="str" cm="1">
        <f t="array" ref="AG173:AH173">_xlfn.TEXTSPLIT(AC174," ")</f>
        <v>26.10.2023</v>
      </c>
      <c r="AH173" t="str">
        <v>02:52:04</v>
      </c>
      <c r="AI173">
        <f t="shared" si="42"/>
        <v>2.8333333333333282</v>
      </c>
      <c r="AJ173">
        <f t="shared" si="36"/>
        <v>0.59999999999999964</v>
      </c>
      <c r="AK173">
        <f t="shared" si="37"/>
        <v>0.15</v>
      </c>
      <c r="AL173">
        <f t="shared" si="30"/>
        <v>0.1825</v>
      </c>
      <c r="AN173" t="s">
        <v>863</v>
      </c>
      <c r="AO173">
        <v>0.6</v>
      </c>
      <c r="AP173">
        <v>63.61</v>
      </c>
      <c r="AR173" t="str" cm="1">
        <f t="array" ref="AR173:AS173">_xlfn.TEXTSPLIT(AN173," ")</f>
        <v>26.10.2023</v>
      </c>
      <c r="AS173" t="str">
        <v>02:51:04</v>
      </c>
      <c r="AT173">
        <f t="shared" si="43"/>
        <v>2.8333333333333282</v>
      </c>
      <c r="AU173">
        <f t="shared" si="38"/>
        <v>2.2999999999999972</v>
      </c>
      <c r="AV173">
        <f t="shared" si="39"/>
        <v>0.6</v>
      </c>
      <c r="AW173">
        <f t="shared" si="31"/>
        <v>0.77749999999999997</v>
      </c>
    </row>
    <row r="174" spans="1:49" x14ac:dyDescent="0.25">
      <c r="A174" t="s">
        <v>864</v>
      </c>
      <c r="B174">
        <v>0.15</v>
      </c>
      <c r="C174">
        <v>15.39</v>
      </c>
      <c r="E174" t="s">
        <v>864</v>
      </c>
      <c r="F174">
        <v>0.6</v>
      </c>
      <c r="G174">
        <v>80.38</v>
      </c>
      <c r="I174" t="str" cm="1">
        <f t="array" ref="I174:J174">_xlfn.TEXTSPLIT(A174," ")</f>
        <v>27.10.2023</v>
      </c>
      <c r="J174" t="str">
        <v>02:51:53</v>
      </c>
      <c r="K174">
        <f t="shared" si="40"/>
        <v>2.8499999999999948</v>
      </c>
      <c r="L174">
        <f t="shared" si="33"/>
        <v>1.0700000000000003</v>
      </c>
      <c r="M174">
        <f t="shared" si="34"/>
        <v>0.15</v>
      </c>
      <c r="N174">
        <f t="shared" si="28"/>
        <v>0.34749999999999998</v>
      </c>
      <c r="Q174" t="str" cm="1">
        <f t="array" ref="Q174:R174">_xlfn.TEXTSPLIT(E174," ")</f>
        <v>27.10.2023</v>
      </c>
      <c r="R174" t="str">
        <v>02:51:53</v>
      </c>
      <c r="S174">
        <f t="shared" si="41"/>
        <v>2.8499999999999948</v>
      </c>
      <c r="T174">
        <f t="shared" si="32"/>
        <v>1.7800000000000011</v>
      </c>
      <c r="U174">
        <f t="shared" si="35"/>
        <v>0.6</v>
      </c>
      <c r="V174">
        <f t="shared" si="29"/>
        <v>0.57750000000000001</v>
      </c>
      <c r="AC174" t="s">
        <v>865</v>
      </c>
      <c r="AD174">
        <v>0</v>
      </c>
      <c r="AE174">
        <v>5.13</v>
      </c>
      <c r="AG174" t="str" cm="1">
        <f t="array" ref="AG174:AH174">_xlfn.TEXTSPLIT(AC175," ")</f>
        <v>26.10.2023</v>
      </c>
      <c r="AH174" t="str">
        <v>02:53:04</v>
      </c>
      <c r="AI174">
        <f t="shared" si="42"/>
        <v>2.8499999999999948</v>
      </c>
      <c r="AJ174">
        <f t="shared" si="36"/>
        <v>0.59999999999999964</v>
      </c>
      <c r="AK174">
        <f t="shared" si="37"/>
        <v>0</v>
      </c>
      <c r="AL174">
        <f t="shared" si="30"/>
        <v>0.1825</v>
      </c>
      <c r="AN174" t="s">
        <v>865</v>
      </c>
      <c r="AO174">
        <v>0.45</v>
      </c>
      <c r="AP174">
        <v>63.62</v>
      </c>
      <c r="AR174" t="str" cm="1">
        <f t="array" ref="AR174:AS174">_xlfn.TEXTSPLIT(AN174," ")</f>
        <v>26.10.2023</v>
      </c>
      <c r="AS174" t="str">
        <v>02:52:04</v>
      </c>
      <c r="AT174">
        <f t="shared" si="43"/>
        <v>2.8499999999999948</v>
      </c>
      <c r="AU174">
        <f t="shared" si="38"/>
        <v>2.3099999999999952</v>
      </c>
      <c r="AV174">
        <f t="shared" si="39"/>
        <v>0.45</v>
      </c>
      <c r="AW174">
        <f t="shared" si="31"/>
        <v>0.77250000000000008</v>
      </c>
    </row>
    <row r="175" spans="1:49" x14ac:dyDescent="0.25">
      <c r="A175" t="s">
        <v>866</v>
      </c>
      <c r="B175">
        <v>0.45</v>
      </c>
      <c r="C175">
        <v>15.39</v>
      </c>
      <c r="E175" t="s">
        <v>866</v>
      </c>
      <c r="F175">
        <v>0</v>
      </c>
      <c r="G175">
        <v>80.38</v>
      </c>
      <c r="I175" t="str" cm="1">
        <f t="array" ref="I175:J175">_xlfn.TEXTSPLIT(A175," ")</f>
        <v>27.10.2023</v>
      </c>
      <c r="J175" t="str">
        <v>02:52:54</v>
      </c>
      <c r="K175">
        <f t="shared" si="40"/>
        <v>2.8666666666666614</v>
      </c>
      <c r="L175">
        <f t="shared" si="33"/>
        <v>1.0700000000000003</v>
      </c>
      <c r="M175">
        <f t="shared" si="34"/>
        <v>0.45</v>
      </c>
      <c r="N175">
        <f t="shared" si="28"/>
        <v>0.35249999999999998</v>
      </c>
      <c r="Q175" t="str" cm="1">
        <f t="array" ref="Q175:R175">_xlfn.TEXTSPLIT(E175," ")</f>
        <v>27.10.2023</v>
      </c>
      <c r="R175" t="str">
        <v>02:52:54</v>
      </c>
      <c r="S175">
        <f t="shared" si="41"/>
        <v>2.8666666666666614</v>
      </c>
      <c r="T175">
        <f t="shared" si="32"/>
        <v>1.7800000000000011</v>
      </c>
      <c r="U175">
        <f t="shared" si="35"/>
        <v>0</v>
      </c>
      <c r="V175">
        <f t="shared" si="29"/>
        <v>0.57499999999999996</v>
      </c>
      <c r="AC175" t="s">
        <v>867</v>
      </c>
      <c r="AD175">
        <v>0.15</v>
      </c>
      <c r="AE175">
        <v>5.13</v>
      </c>
      <c r="AG175" t="str" cm="1">
        <f t="array" ref="AG175:AH175">_xlfn.TEXTSPLIT(AC176," ")</f>
        <v>26.10.2023</v>
      </c>
      <c r="AH175" t="str">
        <v>02:54:04</v>
      </c>
      <c r="AI175">
        <f t="shared" si="42"/>
        <v>2.8666666666666614</v>
      </c>
      <c r="AJ175">
        <f t="shared" si="36"/>
        <v>0.59999999999999964</v>
      </c>
      <c r="AK175">
        <f t="shared" si="37"/>
        <v>0.15</v>
      </c>
      <c r="AL175">
        <f t="shared" si="30"/>
        <v>0.185</v>
      </c>
      <c r="AN175" t="s">
        <v>867</v>
      </c>
      <c r="AO175">
        <v>0.15</v>
      </c>
      <c r="AP175">
        <v>63.62</v>
      </c>
      <c r="AR175" t="str" cm="1">
        <f t="array" ref="AR175:AS175">_xlfn.TEXTSPLIT(AN175," ")</f>
        <v>26.10.2023</v>
      </c>
      <c r="AS175" t="str">
        <v>02:53:04</v>
      </c>
      <c r="AT175">
        <f t="shared" si="43"/>
        <v>2.8666666666666614</v>
      </c>
      <c r="AU175">
        <f t="shared" si="38"/>
        <v>2.3099999999999952</v>
      </c>
      <c r="AV175">
        <f t="shared" si="39"/>
        <v>0.15</v>
      </c>
      <c r="AW175">
        <f t="shared" si="31"/>
        <v>0.76</v>
      </c>
    </row>
    <row r="176" spans="1:49" x14ac:dyDescent="0.25">
      <c r="A176" t="s">
        <v>868</v>
      </c>
      <c r="B176">
        <v>0</v>
      </c>
      <c r="C176">
        <v>15.39</v>
      </c>
      <c r="E176" t="s">
        <v>868</v>
      </c>
      <c r="F176">
        <v>0</v>
      </c>
      <c r="G176">
        <v>80.38</v>
      </c>
      <c r="I176" t="str" cm="1">
        <f t="array" ref="I176:J176">_xlfn.TEXTSPLIT(A176," ")</f>
        <v>27.10.2023</v>
      </c>
      <c r="J176" t="str">
        <v>02:53:54</v>
      </c>
      <c r="K176">
        <f t="shared" si="40"/>
        <v>2.883333333333328</v>
      </c>
      <c r="L176">
        <f t="shared" si="33"/>
        <v>1.0700000000000003</v>
      </c>
      <c r="M176">
        <f t="shared" si="34"/>
        <v>0</v>
      </c>
      <c r="N176">
        <f t="shared" si="28"/>
        <v>0.35</v>
      </c>
      <c r="Q176" t="str" cm="1">
        <f t="array" ref="Q176:R176">_xlfn.TEXTSPLIT(E176," ")</f>
        <v>27.10.2023</v>
      </c>
      <c r="R176" t="str">
        <v>02:53:54</v>
      </c>
      <c r="S176">
        <f t="shared" si="41"/>
        <v>2.883333333333328</v>
      </c>
      <c r="T176">
        <f t="shared" si="32"/>
        <v>1.7800000000000011</v>
      </c>
      <c r="U176">
        <f t="shared" si="35"/>
        <v>0</v>
      </c>
      <c r="V176">
        <f t="shared" si="29"/>
        <v>0.5724999999999999</v>
      </c>
      <c r="AC176" t="s">
        <v>869</v>
      </c>
      <c r="AD176">
        <v>0</v>
      </c>
      <c r="AE176">
        <v>5.13</v>
      </c>
      <c r="AG176" t="str" cm="1">
        <f t="array" ref="AG176:AH176">_xlfn.TEXTSPLIT(AC177," ")</f>
        <v>26.10.2023</v>
      </c>
      <c r="AH176" t="str">
        <v>02:55:04</v>
      </c>
      <c r="AI176">
        <f t="shared" si="42"/>
        <v>2.883333333333328</v>
      </c>
      <c r="AJ176">
        <f t="shared" si="36"/>
        <v>0.59999999999999964</v>
      </c>
      <c r="AK176">
        <f t="shared" si="37"/>
        <v>0</v>
      </c>
      <c r="AL176">
        <f t="shared" si="30"/>
        <v>0.185</v>
      </c>
      <c r="AN176" t="s">
        <v>869</v>
      </c>
      <c r="AO176">
        <v>0</v>
      </c>
      <c r="AP176">
        <v>63.62</v>
      </c>
      <c r="AR176" t="str" cm="1">
        <f t="array" ref="AR176:AS176">_xlfn.TEXTSPLIT(AN176," ")</f>
        <v>26.10.2023</v>
      </c>
      <c r="AS176" t="str">
        <v>02:54:04</v>
      </c>
      <c r="AT176">
        <f t="shared" si="43"/>
        <v>2.883333333333328</v>
      </c>
      <c r="AU176">
        <f t="shared" si="38"/>
        <v>2.3099999999999952</v>
      </c>
      <c r="AV176">
        <f t="shared" si="39"/>
        <v>0</v>
      </c>
      <c r="AW176">
        <f t="shared" si="31"/>
        <v>0.76</v>
      </c>
    </row>
    <row r="177" spans="1:49" x14ac:dyDescent="0.25">
      <c r="A177" t="s">
        <v>870</v>
      </c>
      <c r="B177">
        <v>0</v>
      </c>
      <c r="C177">
        <v>15.39</v>
      </c>
      <c r="E177" t="s">
        <v>870</v>
      </c>
      <c r="F177">
        <v>0.15</v>
      </c>
      <c r="G177">
        <v>80.38</v>
      </c>
      <c r="I177" t="str" cm="1">
        <f t="array" ref="I177:J177">_xlfn.TEXTSPLIT(A177," ")</f>
        <v>27.10.2023</v>
      </c>
      <c r="J177" t="str">
        <v>02:54:54</v>
      </c>
      <c r="K177">
        <f t="shared" si="40"/>
        <v>2.8999999999999946</v>
      </c>
      <c r="L177">
        <f t="shared" si="33"/>
        <v>1.0700000000000003</v>
      </c>
      <c r="M177">
        <f t="shared" si="34"/>
        <v>0</v>
      </c>
      <c r="N177">
        <f t="shared" si="28"/>
        <v>0.35</v>
      </c>
      <c r="Q177" t="str" cm="1">
        <f t="array" ref="Q177:R177">_xlfn.TEXTSPLIT(E177," ")</f>
        <v>27.10.2023</v>
      </c>
      <c r="R177" t="str">
        <v>02:54:54</v>
      </c>
      <c r="S177">
        <f t="shared" si="41"/>
        <v>2.8999999999999946</v>
      </c>
      <c r="T177">
        <f t="shared" si="32"/>
        <v>1.7800000000000011</v>
      </c>
      <c r="U177">
        <f t="shared" si="35"/>
        <v>0.15</v>
      </c>
      <c r="V177">
        <f t="shared" si="29"/>
        <v>0.57499999999999984</v>
      </c>
      <c r="AC177" t="s">
        <v>871</v>
      </c>
      <c r="AD177">
        <v>0</v>
      </c>
      <c r="AE177">
        <v>5.13</v>
      </c>
      <c r="AG177" t="str" cm="1">
        <f t="array" ref="AG177:AH177">_xlfn.TEXTSPLIT(AC178," ")</f>
        <v>26.10.2023</v>
      </c>
      <c r="AH177" t="str">
        <v>02:56:04</v>
      </c>
      <c r="AI177">
        <f t="shared" si="42"/>
        <v>2.8999999999999946</v>
      </c>
      <c r="AJ177">
        <f t="shared" si="36"/>
        <v>0.59999999999999964</v>
      </c>
      <c r="AK177">
        <f t="shared" si="37"/>
        <v>0</v>
      </c>
      <c r="AL177">
        <f t="shared" si="30"/>
        <v>0.185</v>
      </c>
      <c r="AN177" t="s">
        <v>871</v>
      </c>
      <c r="AO177">
        <v>0.15</v>
      </c>
      <c r="AP177">
        <v>63.62</v>
      </c>
      <c r="AR177" t="str" cm="1">
        <f t="array" ref="AR177:AS177">_xlfn.TEXTSPLIT(AN177," ")</f>
        <v>26.10.2023</v>
      </c>
      <c r="AS177" t="str">
        <v>02:55:04</v>
      </c>
      <c r="AT177">
        <f t="shared" si="43"/>
        <v>2.8999999999999946</v>
      </c>
      <c r="AU177">
        <f t="shared" si="38"/>
        <v>2.3099999999999952</v>
      </c>
      <c r="AV177">
        <f t="shared" si="39"/>
        <v>0.15</v>
      </c>
      <c r="AW177">
        <f t="shared" si="31"/>
        <v>0.76249999999999996</v>
      </c>
    </row>
    <row r="178" spans="1:49" x14ac:dyDescent="0.25">
      <c r="A178" t="s">
        <v>872</v>
      </c>
      <c r="B178">
        <v>0</v>
      </c>
      <c r="C178">
        <v>15.39</v>
      </c>
      <c r="E178" t="s">
        <v>872</v>
      </c>
      <c r="F178">
        <v>0</v>
      </c>
      <c r="G178">
        <v>80.38</v>
      </c>
      <c r="I178" t="str" cm="1">
        <f t="array" ref="I178:J178">_xlfn.TEXTSPLIT(A178," ")</f>
        <v>27.10.2023</v>
      </c>
      <c r="J178" t="str">
        <v>02:55:54</v>
      </c>
      <c r="K178">
        <f t="shared" si="40"/>
        <v>2.9166666666666612</v>
      </c>
      <c r="L178">
        <f t="shared" si="33"/>
        <v>1.0700000000000003</v>
      </c>
      <c r="M178">
        <f t="shared" si="34"/>
        <v>0</v>
      </c>
      <c r="N178">
        <f t="shared" si="28"/>
        <v>0.35</v>
      </c>
      <c r="Q178" t="str" cm="1">
        <f t="array" ref="Q178:R178">_xlfn.TEXTSPLIT(E178," ")</f>
        <v>27.10.2023</v>
      </c>
      <c r="R178" t="str">
        <v>02:55:54</v>
      </c>
      <c r="S178">
        <f t="shared" si="41"/>
        <v>2.9166666666666612</v>
      </c>
      <c r="T178">
        <f t="shared" si="32"/>
        <v>1.7800000000000011</v>
      </c>
      <c r="U178">
        <f t="shared" si="35"/>
        <v>0</v>
      </c>
      <c r="V178">
        <f t="shared" si="29"/>
        <v>0.57250000000000001</v>
      </c>
      <c r="AC178" t="s">
        <v>873</v>
      </c>
      <c r="AD178">
        <v>0</v>
      </c>
      <c r="AE178">
        <v>5.13</v>
      </c>
      <c r="AG178" t="str" cm="1">
        <f t="array" ref="AG178:AH178">_xlfn.TEXTSPLIT(AC179," ")</f>
        <v>26.10.2023</v>
      </c>
      <c r="AH178" t="str">
        <v>02:57:04</v>
      </c>
      <c r="AI178">
        <f t="shared" si="42"/>
        <v>2.9166666666666612</v>
      </c>
      <c r="AJ178">
        <f t="shared" si="36"/>
        <v>0.59999999999999964</v>
      </c>
      <c r="AK178">
        <f t="shared" si="37"/>
        <v>0</v>
      </c>
      <c r="AL178">
        <f t="shared" si="30"/>
        <v>0.185</v>
      </c>
      <c r="AN178" t="s">
        <v>873</v>
      </c>
      <c r="AO178">
        <v>0.15</v>
      </c>
      <c r="AP178">
        <v>63.62</v>
      </c>
      <c r="AR178" t="str" cm="1">
        <f t="array" ref="AR178:AS178">_xlfn.TEXTSPLIT(AN178," ")</f>
        <v>26.10.2023</v>
      </c>
      <c r="AS178" t="str">
        <v>02:56:04</v>
      </c>
      <c r="AT178">
        <f t="shared" si="43"/>
        <v>2.9166666666666612</v>
      </c>
      <c r="AU178">
        <f t="shared" si="38"/>
        <v>2.3099999999999952</v>
      </c>
      <c r="AV178">
        <f t="shared" si="39"/>
        <v>0.15</v>
      </c>
      <c r="AW178">
        <f t="shared" si="31"/>
        <v>0.76500000000000001</v>
      </c>
    </row>
    <row r="179" spans="1:49" x14ac:dyDescent="0.25">
      <c r="A179" t="s">
        <v>874</v>
      </c>
      <c r="B179">
        <v>0</v>
      </c>
      <c r="C179">
        <v>15.39</v>
      </c>
      <c r="E179" t="s">
        <v>874</v>
      </c>
      <c r="F179">
        <v>0</v>
      </c>
      <c r="G179">
        <v>80.38</v>
      </c>
      <c r="I179" t="str" cm="1">
        <f t="array" ref="I179:J179">_xlfn.TEXTSPLIT(A179," ")</f>
        <v>27.10.2023</v>
      </c>
      <c r="J179" t="str">
        <v>02:56:54</v>
      </c>
      <c r="K179">
        <f t="shared" si="40"/>
        <v>2.9333333333333278</v>
      </c>
      <c r="L179">
        <f t="shared" si="33"/>
        <v>1.0700000000000003</v>
      </c>
      <c r="M179">
        <f t="shared" si="34"/>
        <v>0</v>
      </c>
      <c r="N179">
        <f t="shared" si="28"/>
        <v>0.35</v>
      </c>
      <c r="Q179" t="str" cm="1">
        <f t="array" ref="Q179:R179">_xlfn.TEXTSPLIT(E179," ")</f>
        <v>27.10.2023</v>
      </c>
      <c r="R179" t="str">
        <v>02:56:54</v>
      </c>
      <c r="S179">
        <f t="shared" si="41"/>
        <v>2.9333333333333278</v>
      </c>
      <c r="T179">
        <f t="shared" si="32"/>
        <v>1.7800000000000011</v>
      </c>
      <c r="U179">
        <f t="shared" si="35"/>
        <v>0</v>
      </c>
      <c r="V179">
        <f t="shared" si="29"/>
        <v>0.57250000000000001</v>
      </c>
      <c r="AC179" t="s">
        <v>875</v>
      </c>
      <c r="AD179">
        <v>0</v>
      </c>
      <c r="AE179">
        <v>5.13</v>
      </c>
      <c r="AG179" t="str" cm="1">
        <f t="array" ref="AG179:AH179">_xlfn.TEXTSPLIT(AC180," ")</f>
        <v>26.10.2023</v>
      </c>
      <c r="AH179" t="str">
        <v>02:58:04</v>
      </c>
      <c r="AI179">
        <f t="shared" si="42"/>
        <v>2.9333333333333278</v>
      </c>
      <c r="AJ179">
        <f t="shared" si="36"/>
        <v>0.59999999999999964</v>
      </c>
      <c r="AK179">
        <f t="shared" si="37"/>
        <v>0</v>
      </c>
      <c r="AL179">
        <f t="shared" si="30"/>
        <v>0.185</v>
      </c>
      <c r="AN179" t="s">
        <v>875</v>
      </c>
      <c r="AO179">
        <v>0.3</v>
      </c>
      <c r="AP179">
        <v>63.63</v>
      </c>
      <c r="AR179" t="str" cm="1">
        <f t="array" ref="AR179:AS179">_xlfn.TEXTSPLIT(AN179," ")</f>
        <v>26.10.2023</v>
      </c>
      <c r="AS179" t="str">
        <v>02:57:04</v>
      </c>
      <c r="AT179">
        <f t="shared" si="43"/>
        <v>2.9333333333333278</v>
      </c>
      <c r="AU179">
        <f t="shared" si="38"/>
        <v>2.3200000000000003</v>
      </c>
      <c r="AV179">
        <f t="shared" si="39"/>
        <v>0.3</v>
      </c>
      <c r="AW179">
        <f t="shared" si="31"/>
        <v>0.76749999999999996</v>
      </c>
    </row>
    <row r="180" spans="1:49" x14ac:dyDescent="0.25">
      <c r="A180" t="s">
        <v>876</v>
      </c>
      <c r="B180">
        <v>0</v>
      </c>
      <c r="C180">
        <v>15.39</v>
      </c>
      <c r="E180" t="s">
        <v>876</v>
      </c>
      <c r="F180">
        <v>0</v>
      </c>
      <c r="G180">
        <v>80.38</v>
      </c>
      <c r="I180" t="str" cm="1">
        <f t="array" ref="I180:J180">_xlfn.TEXTSPLIT(A180," ")</f>
        <v>27.10.2023</v>
      </c>
      <c r="J180" t="str">
        <v>02:57:54</v>
      </c>
      <c r="K180">
        <f t="shared" si="40"/>
        <v>2.9499999999999944</v>
      </c>
      <c r="L180">
        <f t="shared" si="33"/>
        <v>1.0700000000000003</v>
      </c>
      <c r="M180">
        <f t="shared" si="34"/>
        <v>0</v>
      </c>
      <c r="N180">
        <f t="shared" si="28"/>
        <v>0.35</v>
      </c>
      <c r="Q180" t="str" cm="1">
        <f t="array" ref="Q180:R180">_xlfn.TEXTSPLIT(E180," ")</f>
        <v>27.10.2023</v>
      </c>
      <c r="R180" t="str">
        <v>02:57:54</v>
      </c>
      <c r="S180">
        <f t="shared" si="41"/>
        <v>2.9499999999999944</v>
      </c>
      <c r="T180">
        <f t="shared" si="32"/>
        <v>1.7800000000000011</v>
      </c>
      <c r="U180">
        <f t="shared" si="35"/>
        <v>0</v>
      </c>
      <c r="V180">
        <f t="shared" si="29"/>
        <v>0.56999999999999995</v>
      </c>
      <c r="AC180" t="s">
        <v>877</v>
      </c>
      <c r="AD180">
        <v>0</v>
      </c>
      <c r="AE180">
        <v>5.13</v>
      </c>
      <c r="AG180" t="str" cm="1">
        <f t="array" ref="AG180:AH180">_xlfn.TEXTSPLIT(AC181," ")</f>
        <v>26.10.2023</v>
      </c>
      <c r="AH180" t="str">
        <v>02:59:04</v>
      </c>
      <c r="AI180">
        <f t="shared" si="42"/>
        <v>2.9499999999999944</v>
      </c>
      <c r="AJ180">
        <f t="shared" si="36"/>
        <v>0.59999999999999964</v>
      </c>
      <c r="AK180">
        <f t="shared" si="37"/>
        <v>0</v>
      </c>
      <c r="AL180">
        <f t="shared" si="30"/>
        <v>0.185</v>
      </c>
      <c r="AN180" t="s">
        <v>877</v>
      </c>
      <c r="AO180">
        <v>0.15</v>
      </c>
      <c r="AP180">
        <v>63.63</v>
      </c>
      <c r="AR180" t="str" cm="1">
        <f t="array" ref="AR180:AS180">_xlfn.TEXTSPLIT(AN180," ")</f>
        <v>26.10.2023</v>
      </c>
      <c r="AS180" t="str">
        <v>02:58:04</v>
      </c>
      <c r="AT180">
        <f t="shared" si="43"/>
        <v>2.9499999999999944</v>
      </c>
      <c r="AU180">
        <f t="shared" si="38"/>
        <v>2.3200000000000003</v>
      </c>
      <c r="AV180">
        <f t="shared" si="39"/>
        <v>0.15</v>
      </c>
      <c r="AW180">
        <f t="shared" si="31"/>
        <v>0.76749999999999985</v>
      </c>
    </row>
    <row r="181" spans="1:49" x14ac:dyDescent="0.25">
      <c r="A181" t="s">
        <v>878</v>
      </c>
      <c r="B181">
        <v>0</v>
      </c>
      <c r="C181">
        <v>15.39</v>
      </c>
      <c r="E181" t="s">
        <v>878</v>
      </c>
      <c r="F181">
        <v>0.15</v>
      </c>
      <c r="G181">
        <v>80.38</v>
      </c>
      <c r="I181" t="str" cm="1">
        <f t="array" ref="I181:J181">_xlfn.TEXTSPLIT(A181," ")</f>
        <v>27.10.2023</v>
      </c>
      <c r="J181" t="str">
        <v>02:58:54</v>
      </c>
      <c r="K181">
        <f t="shared" si="40"/>
        <v>2.966666666666661</v>
      </c>
      <c r="L181">
        <f t="shared" si="33"/>
        <v>1.0700000000000003</v>
      </c>
      <c r="M181">
        <f t="shared" si="34"/>
        <v>0</v>
      </c>
      <c r="N181">
        <f t="shared" si="28"/>
        <v>0.35</v>
      </c>
      <c r="Q181" t="str" cm="1">
        <f t="array" ref="Q181:R181">_xlfn.TEXTSPLIT(E181," ")</f>
        <v>27.10.2023</v>
      </c>
      <c r="R181" t="str">
        <v>02:58:54</v>
      </c>
      <c r="S181">
        <f t="shared" si="41"/>
        <v>2.966666666666661</v>
      </c>
      <c r="T181">
        <f t="shared" si="32"/>
        <v>1.7800000000000011</v>
      </c>
      <c r="U181">
        <f t="shared" si="35"/>
        <v>0.15</v>
      </c>
      <c r="V181">
        <f t="shared" si="29"/>
        <v>0.56999999999999984</v>
      </c>
      <c r="AC181" t="s">
        <v>879</v>
      </c>
      <c r="AD181">
        <v>0</v>
      </c>
      <c r="AE181">
        <v>5.13</v>
      </c>
      <c r="AG181" t="str" cm="1">
        <f t="array" ref="AG181:AH181">_xlfn.TEXTSPLIT(AC182," ")</f>
        <v>26.10.2023</v>
      </c>
      <c r="AH181" t="str">
        <v>03:00:04</v>
      </c>
      <c r="AI181">
        <f t="shared" si="42"/>
        <v>2.966666666666661</v>
      </c>
      <c r="AJ181">
        <f t="shared" si="36"/>
        <v>0.59999999999999964</v>
      </c>
      <c r="AK181">
        <f t="shared" si="37"/>
        <v>0</v>
      </c>
      <c r="AL181">
        <f t="shared" si="30"/>
        <v>0.185</v>
      </c>
      <c r="AN181" t="s">
        <v>879</v>
      </c>
      <c r="AO181">
        <v>0.3</v>
      </c>
      <c r="AP181">
        <v>63.64</v>
      </c>
      <c r="AR181" t="str" cm="1">
        <f t="array" ref="AR181:AS181">_xlfn.TEXTSPLIT(AN181," ")</f>
        <v>26.10.2023</v>
      </c>
      <c r="AS181" t="str">
        <v>02:59:04</v>
      </c>
      <c r="AT181">
        <f t="shared" si="43"/>
        <v>2.966666666666661</v>
      </c>
      <c r="AU181">
        <f t="shared" si="38"/>
        <v>2.3299999999999983</v>
      </c>
      <c r="AV181">
        <f t="shared" si="39"/>
        <v>0.3</v>
      </c>
      <c r="AW181">
        <f t="shared" si="31"/>
        <v>0.7699999999999998</v>
      </c>
    </row>
    <row r="182" spans="1:49" x14ac:dyDescent="0.25">
      <c r="A182" t="s">
        <v>880</v>
      </c>
      <c r="B182">
        <v>0</v>
      </c>
      <c r="C182">
        <v>15.39</v>
      </c>
      <c r="E182" t="s">
        <v>880</v>
      </c>
      <c r="F182">
        <v>0</v>
      </c>
      <c r="G182">
        <v>80.39</v>
      </c>
      <c r="I182" t="str" cm="1">
        <f t="array" ref="I182:J182">_xlfn.TEXTSPLIT(A182," ")</f>
        <v>27.10.2023</v>
      </c>
      <c r="J182" t="str">
        <v>02:59:55</v>
      </c>
      <c r="K182">
        <f t="shared" si="40"/>
        <v>2.9833333333333276</v>
      </c>
      <c r="L182">
        <f t="shared" si="33"/>
        <v>1.0700000000000003</v>
      </c>
      <c r="M182">
        <f t="shared" si="34"/>
        <v>0</v>
      </c>
      <c r="N182">
        <f t="shared" si="28"/>
        <v>0.35</v>
      </c>
      <c r="Q182" t="str" cm="1">
        <f t="array" ref="Q182:R182">_xlfn.TEXTSPLIT(E182," ")</f>
        <v>27.10.2023</v>
      </c>
      <c r="R182" t="str">
        <v>02:59:55</v>
      </c>
      <c r="S182">
        <f t="shared" si="41"/>
        <v>2.9833333333333276</v>
      </c>
      <c r="T182">
        <f t="shared" si="32"/>
        <v>1.7900000000000063</v>
      </c>
      <c r="U182">
        <f t="shared" si="35"/>
        <v>0</v>
      </c>
      <c r="V182">
        <f t="shared" si="29"/>
        <v>0.56999999999999984</v>
      </c>
      <c r="AC182" t="s">
        <v>881</v>
      </c>
      <c r="AD182">
        <v>0</v>
      </c>
      <c r="AE182">
        <v>5.13</v>
      </c>
      <c r="AG182" t="str" cm="1">
        <f t="array" ref="AG182:AH182">_xlfn.TEXTSPLIT(AC183," ")</f>
        <v>26.10.2023</v>
      </c>
      <c r="AH182" t="str">
        <v>03:01:05</v>
      </c>
      <c r="AI182">
        <f t="shared" si="42"/>
        <v>2.9833333333333276</v>
      </c>
      <c r="AJ182">
        <f t="shared" si="36"/>
        <v>0.59999999999999964</v>
      </c>
      <c r="AK182">
        <f t="shared" si="37"/>
        <v>0</v>
      </c>
      <c r="AL182">
        <f t="shared" si="30"/>
        <v>0.185</v>
      </c>
      <c r="AN182" t="s">
        <v>881</v>
      </c>
      <c r="AO182">
        <v>0.15</v>
      </c>
      <c r="AP182">
        <v>63.64</v>
      </c>
      <c r="AR182" t="str" cm="1">
        <f t="array" ref="AR182:AS182">_xlfn.TEXTSPLIT(AN182," ")</f>
        <v>26.10.2023</v>
      </c>
      <c r="AS182" t="str">
        <v>03:00:04</v>
      </c>
      <c r="AT182">
        <f t="shared" si="43"/>
        <v>2.9833333333333276</v>
      </c>
      <c r="AU182">
        <f t="shared" si="38"/>
        <v>2.3299999999999983</v>
      </c>
      <c r="AV182">
        <f t="shared" si="39"/>
        <v>0.15</v>
      </c>
      <c r="AW182">
        <f t="shared" si="31"/>
        <v>0.76749999999999985</v>
      </c>
    </row>
    <row r="183" spans="1:49" x14ac:dyDescent="0.25">
      <c r="A183" t="s">
        <v>882</v>
      </c>
      <c r="B183">
        <v>0</v>
      </c>
      <c r="C183">
        <v>15.39</v>
      </c>
      <c r="E183" t="s">
        <v>882</v>
      </c>
      <c r="F183">
        <v>0.3</v>
      </c>
      <c r="G183">
        <v>80.39</v>
      </c>
      <c r="I183" t="str" cm="1">
        <f t="array" ref="I183:J183">_xlfn.TEXTSPLIT(A183," ")</f>
        <v>27.10.2023</v>
      </c>
      <c r="J183" t="str">
        <v>03:00:55</v>
      </c>
      <c r="K183">
        <f t="shared" si="40"/>
        <v>2.9999999999999942</v>
      </c>
      <c r="L183">
        <f t="shared" si="33"/>
        <v>1.0700000000000003</v>
      </c>
      <c r="M183">
        <f t="shared" si="34"/>
        <v>0</v>
      </c>
      <c r="N183">
        <f t="shared" si="28"/>
        <v>0.35</v>
      </c>
      <c r="Q183" t="str" cm="1">
        <f t="array" ref="Q183:R183">_xlfn.TEXTSPLIT(E183," ")</f>
        <v>27.10.2023</v>
      </c>
      <c r="R183" t="str">
        <v>03:00:55</v>
      </c>
      <c r="S183">
        <f t="shared" si="41"/>
        <v>2.9999999999999942</v>
      </c>
      <c r="T183">
        <f t="shared" si="32"/>
        <v>1.7900000000000063</v>
      </c>
      <c r="U183">
        <f t="shared" si="35"/>
        <v>0.3</v>
      </c>
      <c r="V183">
        <f t="shared" si="29"/>
        <v>0.5724999999999999</v>
      </c>
      <c r="AC183" t="s">
        <v>883</v>
      </c>
      <c r="AD183">
        <v>0</v>
      </c>
      <c r="AE183">
        <v>5.13</v>
      </c>
      <c r="AG183" t="str" cm="1">
        <f t="array" ref="AG183:AH183">_xlfn.TEXTSPLIT(AC184," ")</f>
        <v>26.10.2023</v>
      </c>
      <c r="AH183" t="str">
        <v>03:02:05</v>
      </c>
      <c r="AI183">
        <f t="shared" si="42"/>
        <v>2.9999999999999942</v>
      </c>
      <c r="AJ183">
        <f t="shared" si="36"/>
        <v>0.59999999999999964</v>
      </c>
      <c r="AK183">
        <f t="shared" si="37"/>
        <v>0</v>
      </c>
      <c r="AL183">
        <f t="shared" si="30"/>
        <v>0.185</v>
      </c>
      <c r="AN183" t="s">
        <v>883</v>
      </c>
      <c r="AO183">
        <v>0.45</v>
      </c>
      <c r="AP183">
        <v>63.65</v>
      </c>
      <c r="AR183" t="str" cm="1">
        <f t="array" ref="AR183:AS183">_xlfn.TEXTSPLIT(AN183," ")</f>
        <v>26.10.2023</v>
      </c>
      <c r="AS183" t="str">
        <v>03:01:05</v>
      </c>
      <c r="AT183">
        <f t="shared" si="43"/>
        <v>2.9999999999999942</v>
      </c>
      <c r="AU183">
        <f t="shared" si="38"/>
        <v>2.3399999999999963</v>
      </c>
      <c r="AV183">
        <f t="shared" si="39"/>
        <v>0.45</v>
      </c>
      <c r="AW183">
        <f t="shared" si="31"/>
        <v>0.77249999999999974</v>
      </c>
    </row>
    <row r="184" spans="1:49" x14ac:dyDescent="0.25">
      <c r="A184" t="s">
        <v>884</v>
      </c>
      <c r="B184">
        <v>0</v>
      </c>
      <c r="C184">
        <v>15.39</v>
      </c>
      <c r="E184" t="s">
        <v>884</v>
      </c>
      <c r="F184">
        <v>0.15</v>
      </c>
      <c r="G184">
        <v>80.39</v>
      </c>
      <c r="I184" t="str" cm="1">
        <f t="array" ref="I184:J184">_xlfn.TEXTSPLIT(A184," ")</f>
        <v>27.10.2023</v>
      </c>
      <c r="J184" t="str">
        <v>03:01:55</v>
      </c>
      <c r="K184">
        <f t="shared" si="40"/>
        <v>3.0166666666666608</v>
      </c>
      <c r="L184">
        <f t="shared" si="33"/>
        <v>1.0700000000000003</v>
      </c>
      <c r="M184">
        <f t="shared" si="34"/>
        <v>0</v>
      </c>
      <c r="N184">
        <f t="shared" si="28"/>
        <v>0.35</v>
      </c>
      <c r="Q184" t="str" cm="1">
        <f t="array" ref="Q184:R184">_xlfn.TEXTSPLIT(E184," ")</f>
        <v>27.10.2023</v>
      </c>
      <c r="R184" t="str">
        <v>03:01:55</v>
      </c>
      <c r="S184">
        <f t="shared" si="41"/>
        <v>3.0166666666666608</v>
      </c>
      <c r="T184">
        <f t="shared" si="32"/>
        <v>1.7900000000000063</v>
      </c>
      <c r="U184">
        <f t="shared" si="35"/>
        <v>0.15</v>
      </c>
      <c r="V184">
        <f t="shared" si="29"/>
        <v>0.57249999999999979</v>
      </c>
      <c r="AC184" t="s">
        <v>885</v>
      </c>
      <c r="AD184">
        <v>0</v>
      </c>
      <c r="AE184">
        <v>5.13</v>
      </c>
      <c r="AG184" t="str" cm="1">
        <f t="array" ref="AG184:AH184">_xlfn.TEXTSPLIT(AC185," ")</f>
        <v>26.10.2023</v>
      </c>
      <c r="AH184" t="str">
        <v>03:03:05</v>
      </c>
      <c r="AI184">
        <f t="shared" si="42"/>
        <v>3.0166666666666608</v>
      </c>
      <c r="AJ184">
        <f t="shared" si="36"/>
        <v>0.59999999999999964</v>
      </c>
      <c r="AK184">
        <f t="shared" si="37"/>
        <v>0</v>
      </c>
      <c r="AL184">
        <f t="shared" si="30"/>
        <v>0.185</v>
      </c>
      <c r="AN184" t="s">
        <v>885</v>
      </c>
      <c r="AO184">
        <v>0.45</v>
      </c>
      <c r="AP184">
        <v>63.65</v>
      </c>
      <c r="AR184" t="str" cm="1">
        <f t="array" ref="AR184:AS184">_xlfn.TEXTSPLIT(AN184," ")</f>
        <v>26.10.2023</v>
      </c>
      <c r="AS184" t="str">
        <v>03:02:05</v>
      </c>
      <c r="AT184">
        <f t="shared" si="43"/>
        <v>3.0166666666666608</v>
      </c>
      <c r="AU184">
        <f t="shared" si="38"/>
        <v>2.3399999999999963</v>
      </c>
      <c r="AV184">
        <f t="shared" si="39"/>
        <v>0.45</v>
      </c>
      <c r="AW184">
        <f t="shared" si="31"/>
        <v>0.7749999999999998</v>
      </c>
    </row>
    <row r="185" spans="1:49" x14ac:dyDescent="0.25">
      <c r="A185" t="s">
        <v>886</v>
      </c>
      <c r="B185">
        <v>0</v>
      </c>
      <c r="C185">
        <v>15.39</v>
      </c>
      <c r="E185" t="s">
        <v>886</v>
      </c>
      <c r="F185">
        <v>0.15</v>
      </c>
      <c r="G185">
        <v>80.400000000000006</v>
      </c>
      <c r="I185" t="str" cm="1">
        <f t="array" ref="I185:J185">_xlfn.TEXTSPLIT(A185," ")</f>
        <v>27.10.2023</v>
      </c>
      <c r="J185" t="str">
        <v>03:02:55</v>
      </c>
      <c r="K185">
        <f t="shared" si="40"/>
        <v>3.0333333333333274</v>
      </c>
      <c r="L185">
        <f t="shared" si="33"/>
        <v>1.0700000000000003</v>
      </c>
      <c r="M185">
        <f t="shared" si="34"/>
        <v>0</v>
      </c>
      <c r="N185">
        <f t="shared" si="28"/>
        <v>0.35</v>
      </c>
      <c r="Q185" t="str" cm="1">
        <f t="array" ref="Q185:R185">_xlfn.TEXTSPLIT(E185," ")</f>
        <v>27.10.2023</v>
      </c>
      <c r="R185" t="str">
        <v>03:02:55</v>
      </c>
      <c r="S185">
        <f t="shared" si="41"/>
        <v>3.0333333333333274</v>
      </c>
      <c r="T185">
        <f t="shared" si="32"/>
        <v>1.8000000000000114</v>
      </c>
      <c r="U185">
        <f t="shared" si="35"/>
        <v>0.15</v>
      </c>
      <c r="V185">
        <f t="shared" si="29"/>
        <v>0.56999999999999984</v>
      </c>
      <c r="AC185" t="s">
        <v>887</v>
      </c>
      <c r="AD185">
        <v>0</v>
      </c>
      <c r="AE185">
        <v>5.13</v>
      </c>
      <c r="AG185" t="str" cm="1">
        <f t="array" ref="AG185:AH185">_xlfn.TEXTSPLIT(AC186," ")</f>
        <v>26.10.2023</v>
      </c>
      <c r="AH185" t="str">
        <v>03:04:05</v>
      </c>
      <c r="AI185">
        <f t="shared" si="42"/>
        <v>3.0333333333333274</v>
      </c>
      <c r="AJ185">
        <f t="shared" si="36"/>
        <v>0.59999999999999964</v>
      </c>
      <c r="AK185">
        <f t="shared" si="37"/>
        <v>0</v>
      </c>
      <c r="AL185">
        <f t="shared" si="30"/>
        <v>0.185</v>
      </c>
      <c r="AN185" t="s">
        <v>887</v>
      </c>
      <c r="AO185">
        <v>0.6</v>
      </c>
      <c r="AP185">
        <v>63.66</v>
      </c>
      <c r="AR185" t="str" cm="1">
        <f t="array" ref="AR185:AS185">_xlfn.TEXTSPLIT(AN185," ")</f>
        <v>26.10.2023</v>
      </c>
      <c r="AS185" t="str">
        <v>03:03:05</v>
      </c>
      <c r="AT185">
        <f t="shared" si="43"/>
        <v>3.0333333333333274</v>
      </c>
      <c r="AU185">
        <f t="shared" si="38"/>
        <v>2.3499999999999943</v>
      </c>
      <c r="AV185">
        <f t="shared" si="39"/>
        <v>0.6</v>
      </c>
      <c r="AW185">
        <f t="shared" si="31"/>
        <v>0.77749999999999975</v>
      </c>
    </row>
    <row r="186" spans="1:49" x14ac:dyDescent="0.25">
      <c r="A186" t="s">
        <v>888</v>
      </c>
      <c r="B186">
        <v>0</v>
      </c>
      <c r="C186">
        <v>15.39</v>
      </c>
      <c r="E186" t="s">
        <v>888</v>
      </c>
      <c r="F186">
        <v>0.15</v>
      </c>
      <c r="G186">
        <v>80.400000000000006</v>
      </c>
      <c r="I186" t="str" cm="1">
        <f t="array" ref="I186:J186">_xlfn.TEXTSPLIT(A186," ")</f>
        <v>27.10.2023</v>
      </c>
      <c r="J186" t="str">
        <v>03:03:55</v>
      </c>
      <c r="K186">
        <f t="shared" si="40"/>
        <v>3.049999999999994</v>
      </c>
      <c r="L186">
        <f t="shared" si="33"/>
        <v>1.0700000000000003</v>
      </c>
      <c r="M186">
        <f t="shared" si="34"/>
        <v>0</v>
      </c>
      <c r="N186">
        <f t="shared" si="28"/>
        <v>0.35</v>
      </c>
      <c r="Q186" t="str" cm="1">
        <f t="array" ref="Q186:R186">_xlfn.TEXTSPLIT(E186," ")</f>
        <v>27.10.2023</v>
      </c>
      <c r="R186" t="str">
        <v>03:03:55</v>
      </c>
      <c r="S186">
        <f t="shared" si="41"/>
        <v>3.049999999999994</v>
      </c>
      <c r="T186">
        <f t="shared" si="32"/>
        <v>1.8000000000000114</v>
      </c>
      <c r="U186">
        <f t="shared" si="35"/>
        <v>0.15</v>
      </c>
      <c r="V186">
        <f t="shared" si="29"/>
        <v>0.56499999999999972</v>
      </c>
      <c r="AC186" t="s">
        <v>889</v>
      </c>
      <c r="AD186">
        <v>0</v>
      </c>
      <c r="AE186">
        <v>5.13</v>
      </c>
      <c r="AG186" t="str" cm="1">
        <f t="array" ref="AG186:AH186">_xlfn.TEXTSPLIT(AC187," ")</f>
        <v>26.10.2023</v>
      </c>
      <c r="AH186" t="str">
        <v>03:05:05</v>
      </c>
      <c r="AI186">
        <f t="shared" si="42"/>
        <v>3.049999999999994</v>
      </c>
      <c r="AJ186">
        <f t="shared" si="36"/>
        <v>0.59999999999999964</v>
      </c>
      <c r="AK186">
        <f t="shared" si="37"/>
        <v>0</v>
      </c>
      <c r="AL186">
        <f t="shared" si="30"/>
        <v>0.185</v>
      </c>
      <c r="AN186" t="s">
        <v>889</v>
      </c>
      <c r="AO186">
        <v>0.75</v>
      </c>
      <c r="AP186">
        <v>63.67</v>
      </c>
      <c r="AR186" t="str" cm="1">
        <f t="array" ref="AR186:AS186">_xlfn.TEXTSPLIT(AN186," ")</f>
        <v>26.10.2023</v>
      </c>
      <c r="AS186" t="str">
        <v>03:04:05</v>
      </c>
      <c r="AT186">
        <f t="shared" si="43"/>
        <v>3.049999999999994</v>
      </c>
      <c r="AU186">
        <f t="shared" si="38"/>
        <v>2.3599999999999994</v>
      </c>
      <c r="AV186">
        <f t="shared" si="39"/>
        <v>0.75</v>
      </c>
      <c r="AW186">
        <f t="shared" si="31"/>
        <v>0.78249999999999986</v>
      </c>
    </row>
    <row r="187" spans="1:49" x14ac:dyDescent="0.25">
      <c r="A187" t="s">
        <v>890</v>
      </c>
      <c r="B187">
        <v>0</v>
      </c>
      <c r="C187">
        <v>15.39</v>
      </c>
      <c r="E187" t="s">
        <v>890</v>
      </c>
      <c r="F187">
        <v>0.3</v>
      </c>
      <c r="G187">
        <v>80.41</v>
      </c>
      <c r="I187" t="str" cm="1">
        <f t="array" ref="I187:J187">_xlfn.TEXTSPLIT(A187," ")</f>
        <v>27.10.2023</v>
      </c>
      <c r="J187" t="str">
        <v>03:04:55</v>
      </c>
      <c r="K187">
        <f t="shared" si="40"/>
        <v>3.0666666666666607</v>
      </c>
      <c r="L187">
        <f t="shared" si="33"/>
        <v>1.0700000000000003</v>
      </c>
      <c r="M187">
        <f t="shared" si="34"/>
        <v>0</v>
      </c>
      <c r="N187">
        <f t="shared" si="28"/>
        <v>0.35</v>
      </c>
      <c r="Q187" t="str" cm="1">
        <f t="array" ref="Q187:R187">_xlfn.TEXTSPLIT(E187," ")</f>
        <v>27.10.2023</v>
      </c>
      <c r="R187" t="str">
        <v>03:04:55</v>
      </c>
      <c r="S187">
        <f t="shared" si="41"/>
        <v>3.0666666666666607</v>
      </c>
      <c r="T187">
        <f t="shared" si="32"/>
        <v>1.8100000000000023</v>
      </c>
      <c r="U187">
        <f t="shared" si="35"/>
        <v>0.3</v>
      </c>
      <c r="V187">
        <f t="shared" si="29"/>
        <v>0.56249999999999978</v>
      </c>
      <c r="AC187" t="s">
        <v>891</v>
      </c>
      <c r="AD187">
        <v>0</v>
      </c>
      <c r="AE187">
        <v>5.13</v>
      </c>
      <c r="AG187" t="str" cm="1">
        <f t="array" ref="AG187:AH187">_xlfn.TEXTSPLIT(AC188," ")</f>
        <v>26.10.2023</v>
      </c>
      <c r="AH187" t="str">
        <v>03:06:05</v>
      </c>
      <c r="AI187">
        <f t="shared" si="42"/>
        <v>3.0666666666666607</v>
      </c>
      <c r="AJ187">
        <f t="shared" si="36"/>
        <v>0.59999999999999964</v>
      </c>
      <c r="AK187">
        <f t="shared" si="37"/>
        <v>0</v>
      </c>
      <c r="AL187">
        <f t="shared" si="30"/>
        <v>0.185</v>
      </c>
      <c r="AN187" t="s">
        <v>891</v>
      </c>
      <c r="AO187">
        <v>1.05</v>
      </c>
      <c r="AP187">
        <v>63.69</v>
      </c>
      <c r="AR187" t="str" cm="1">
        <f t="array" ref="AR187:AS187">_xlfn.TEXTSPLIT(AN187," ")</f>
        <v>26.10.2023</v>
      </c>
      <c r="AS187" t="str">
        <v>03:05:05</v>
      </c>
      <c r="AT187">
        <f t="shared" si="43"/>
        <v>3.0666666666666607</v>
      </c>
      <c r="AU187">
        <f t="shared" si="38"/>
        <v>2.3799999999999955</v>
      </c>
      <c r="AV187">
        <f t="shared" si="39"/>
        <v>1.05</v>
      </c>
      <c r="AW187">
        <f t="shared" si="31"/>
        <v>0.7899999999999997</v>
      </c>
    </row>
    <row r="188" spans="1:49" x14ac:dyDescent="0.25">
      <c r="A188" t="s">
        <v>892</v>
      </c>
      <c r="B188">
        <v>0</v>
      </c>
      <c r="C188">
        <v>15.39</v>
      </c>
      <c r="E188" t="s">
        <v>892</v>
      </c>
      <c r="F188">
        <v>0.3</v>
      </c>
      <c r="G188">
        <v>80.41</v>
      </c>
      <c r="I188" t="str" cm="1">
        <f t="array" ref="I188:J188">_xlfn.TEXTSPLIT(A188," ")</f>
        <v>27.10.2023</v>
      </c>
      <c r="J188" t="str">
        <v>03:05:55</v>
      </c>
      <c r="K188">
        <f t="shared" si="40"/>
        <v>3.0833333333333273</v>
      </c>
      <c r="L188">
        <f t="shared" si="33"/>
        <v>1.0700000000000003</v>
      </c>
      <c r="M188">
        <f t="shared" si="34"/>
        <v>0</v>
      </c>
      <c r="N188">
        <f t="shared" si="28"/>
        <v>0.35</v>
      </c>
      <c r="Q188" t="str" cm="1">
        <f t="array" ref="Q188:R188">_xlfn.TEXTSPLIT(E188," ")</f>
        <v>27.10.2023</v>
      </c>
      <c r="R188" t="str">
        <v>03:05:55</v>
      </c>
      <c r="S188">
        <f t="shared" si="41"/>
        <v>3.0833333333333273</v>
      </c>
      <c r="T188">
        <f t="shared" si="32"/>
        <v>1.8100000000000023</v>
      </c>
      <c r="U188">
        <f t="shared" si="35"/>
        <v>0.3</v>
      </c>
      <c r="V188">
        <f t="shared" si="29"/>
        <v>0.55999999999999994</v>
      </c>
      <c r="AC188" t="s">
        <v>893</v>
      </c>
      <c r="AD188">
        <v>0</v>
      </c>
      <c r="AE188">
        <v>5.13</v>
      </c>
      <c r="AG188" t="str" cm="1">
        <f t="array" ref="AG188:AH188">_xlfn.TEXTSPLIT(AC189," ")</f>
        <v>26.10.2023</v>
      </c>
      <c r="AH188" t="str">
        <v>03:07:05</v>
      </c>
      <c r="AI188">
        <f t="shared" si="42"/>
        <v>3.0833333333333273</v>
      </c>
      <c r="AJ188">
        <f t="shared" si="36"/>
        <v>0.59999999999999964</v>
      </c>
      <c r="AK188">
        <f t="shared" si="37"/>
        <v>0</v>
      </c>
      <c r="AL188">
        <f t="shared" si="30"/>
        <v>0.185</v>
      </c>
      <c r="AN188" t="s">
        <v>893</v>
      </c>
      <c r="AO188">
        <v>0.6</v>
      </c>
      <c r="AP188">
        <v>63.7</v>
      </c>
      <c r="AR188" t="str" cm="1">
        <f t="array" ref="AR188:AS188">_xlfn.TEXTSPLIT(AN188," ")</f>
        <v>26.10.2023</v>
      </c>
      <c r="AS188" t="str">
        <v>03:06:05</v>
      </c>
      <c r="AT188">
        <f t="shared" si="43"/>
        <v>3.0833333333333273</v>
      </c>
      <c r="AU188">
        <f t="shared" si="38"/>
        <v>2.3900000000000006</v>
      </c>
      <c r="AV188">
        <f t="shared" si="39"/>
        <v>0.6</v>
      </c>
      <c r="AW188">
        <f t="shared" si="31"/>
        <v>0.7899999999999997</v>
      </c>
    </row>
    <row r="189" spans="1:49" x14ac:dyDescent="0.25">
      <c r="A189" t="s">
        <v>894</v>
      </c>
      <c r="B189">
        <v>0</v>
      </c>
      <c r="C189">
        <v>15.39</v>
      </c>
      <c r="E189" t="s">
        <v>894</v>
      </c>
      <c r="F189">
        <v>0.45</v>
      </c>
      <c r="G189">
        <v>80.430000000000007</v>
      </c>
      <c r="I189" t="str" cm="1">
        <f t="array" ref="I189:J189">_xlfn.TEXTSPLIT(A189," ")</f>
        <v>27.10.2023</v>
      </c>
      <c r="J189" t="str">
        <v>03:06:56</v>
      </c>
      <c r="K189">
        <f t="shared" si="40"/>
        <v>3.0999999999999939</v>
      </c>
      <c r="L189">
        <f t="shared" si="33"/>
        <v>1.0700000000000003</v>
      </c>
      <c r="M189">
        <f t="shared" si="34"/>
        <v>0</v>
      </c>
      <c r="N189">
        <f t="shared" si="28"/>
        <v>0.35</v>
      </c>
      <c r="Q189" t="str" cm="1">
        <f t="array" ref="Q189:R189">_xlfn.TEXTSPLIT(E189," ")</f>
        <v>27.10.2023</v>
      </c>
      <c r="R189" t="str">
        <v>03:06:56</v>
      </c>
      <c r="S189">
        <f t="shared" si="41"/>
        <v>3.0999999999999939</v>
      </c>
      <c r="T189">
        <f t="shared" si="32"/>
        <v>1.8300000000000125</v>
      </c>
      <c r="U189">
        <f t="shared" si="35"/>
        <v>0.45</v>
      </c>
      <c r="V189">
        <f t="shared" si="29"/>
        <v>0.55499999999999994</v>
      </c>
      <c r="AC189" t="s">
        <v>895</v>
      </c>
      <c r="AD189">
        <v>0</v>
      </c>
      <c r="AE189">
        <v>5.13</v>
      </c>
      <c r="AG189" t="str" cm="1">
        <f t="array" ref="AG189:AH189">_xlfn.TEXTSPLIT(AC190," ")</f>
        <v>26.10.2023</v>
      </c>
      <c r="AH189" t="str">
        <v>03:08:05</v>
      </c>
      <c r="AI189">
        <f t="shared" si="42"/>
        <v>3.0999999999999939</v>
      </c>
      <c r="AJ189">
        <f t="shared" si="36"/>
        <v>0.59999999999999964</v>
      </c>
      <c r="AK189">
        <f t="shared" si="37"/>
        <v>0</v>
      </c>
      <c r="AL189">
        <f t="shared" si="30"/>
        <v>0.185</v>
      </c>
      <c r="AN189" t="s">
        <v>895</v>
      </c>
      <c r="AO189">
        <v>1.05</v>
      </c>
      <c r="AP189">
        <v>63.72</v>
      </c>
      <c r="AR189" t="str" cm="1">
        <f t="array" ref="AR189:AS189">_xlfn.TEXTSPLIT(AN189," ")</f>
        <v>26.10.2023</v>
      </c>
      <c r="AS189" t="str">
        <v>03:07:05</v>
      </c>
      <c r="AT189">
        <f t="shared" si="43"/>
        <v>3.0999999999999939</v>
      </c>
      <c r="AU189">
        <f t="shared" si="38"/>
        <v>2.4099999999999966</v>
      </c>
      <c r="AV189">
        <f t="shared" si="39"/>
        <v>1.05</v>
      </c>
      <c r="AW189">
        <f t="shared" si="31"/>
        <v>0.79999999999999993</v>
      </c>
    </row>
    <row r="190" spans="1:49" x14ac:dyDescent="0.25">
      <c r="A190" t="s">
        <v>896</v>
      </c>
      <c r="B190">
        <v>0</v>
      </c>
      <c r="C190">
        <v>15.4</v>
      </c>
      <c r="E190" t="s">
        <v>896</v>
      </c>
      <c r="F190">
        <v>1.35</v>
      </c>
      <c r="G190">
        <v>80.48</v>
      </c>
      <c r="I190" t="str" cm="1">
        <f t="array" ref="I190:J190">_xlfn.TEXTSPLIT(A190," ")</f>
        <v>27.10.2023</v>
      </c>
      <c r="J190" t="str">
        <v>03:07:56</v>
      </c>
      <c r="K190">
        <f t="shared" si="40"/>
        <v>3.1166666666666605</v>
      </c>
      <c r="L190">
        <f t="shared" si="33"/>
        <v>1.08</v>
      </c>
      <c r="M190">
        <f t="shared" si="34"/>
        <v>0</v>
      </c>
      <c r="N190">
        <f t="shared" si="28"/>
        <v>0.35</v>
      </c>
      <c r="Q190" t="str" cm="1">
        <f t="array" ref="Q190:R190">_xlfn.TEXTSPLIT(E190," ")</f>
        <v>27.10.2023</v>
      </c>
      <c r="R190" t="str">
        <v>03:07:56</v>
      </c>
      <c r="S190">
        <f t="shared" si="41"/>
        <v>3.1166666666666605</v>
      </c>
      <c r="T190">
        <f t="shared" si="32"/>
        <v>1.8800000000000097</v>
      </c>
      <c r="U190">
        <f t="shared" si="35"/>
        <v>1.35</v>
      </c>
      <c r="V190">
        <f t="shared" si="29"/>
        <v>0.54500000000000004</v>
      </c>
      <c r="AC190" t="s">
        <v>897</v>
      </c>
      <c r="AD190">
        <v>0</v>
      </c>
      <c r="AE190">
        <v>5.13</v>
      </c>
      <c r="AG190" t="str" cm="1">
        <f t="array" ref="AG190:AH190">_xlfn.TEXTSPLIT(AC191," ")</f>
        <v>26.10.2023</v>
      </c>
      <c r="AH190" t="str">
        <v>03:09:05</v>
      </c>
      <c r="AI190">
        <f t="shared" si="42"/>
        <v>3.1166666666666605</v>
      </c>
      <c r="AJ190">
        <f t="shared" si="36"/>
        <v>0.59999999999999964</v>
      </c>
      <c r="AK190">
        <f t="shared" si="37"/>
        <v>0</v>
      </c>
      <c r="AL190">
        <f t="shared" si="30"/>
        <v>0.185</v>
      </c>
      <c r="AN190" t="s">
        <v>897</v>
      </c>
      <c r="AO190">
        <v>1.65</v>
      </c>
      <c r="AP190">
        <v>63.75</v>
      </c>
      <c r="AR190" t="str" cm="1">
        <f t="array" ref="AR190:AS190">_xlfn.TEXTSPLIT(AN190," ")</f>
        <v>26.10.2023</v>
      </c>
      <c r="AS190" t="str">
        <v>03:08:05</v>
      </c>
      <c r="AT190">
        <f t="shared" si="43"/>
        <v>3.1166666666666605</v>
      </c>
      <c r="AU190">
        <f t="shared" si="38"/>
        <v>2.4399999999999977</v>
      </c>
      <c r="AV190">
        <f t="shared" si="39"/>
        <v>1.65</v>
      </c>
      <c r="AW190">
        <f t="shared" si="31"/>
        <v>0.79999999999999971</v>
      </c>
    </row>
    <row r="191" spans="1:49" x14ac:dyDescent="0.25">
      <c r="A191" t="s">
        <v>898</v>
      </c>
      <c r="B191">
        <v>0.6</v>
      </c>
      <c r="C191">
        <v>15.42</v>
      </c>
      <c r="E191" t="s">
        <v>898</v>
      </c>
      <c r="F191">
        <v>2.5499999999999998</v>
      </c>
      <c r="G191">
        <v>80.5</v>
      </c>
      <c r="I191" t="str" cm="1">
        <f t="array" ref="I191:J191">_xlfn.TEXTSPLIT(A191," ")</f>
        <v>27.10.2023</v>
      </c>
      <c r="J191" t="str">
        <v>03:08:56</v>
      </c>
      <c r="K191">
        <f t="shared" si="40"/>
        <v>3.1333333333333271</v>
      </c>
      <c r="L191">
        <f t="shared" si="33"/>
        <v>1.0999999999999996</v>
      </c>
      <c r="M191">
        <f t="shared" si="34"/>
        <v>0.6</v>
      </c>
      <c r="N191">
        <f t="shared" ref="N191:N254" si="44">AVERAGE(M132:M191)</f>
        <v>0.32749999999999996</v>
      </c>
      <c r="Q191" t="str" cm="1">
        <f t="array" ref="Q191:R191">_xlfn.TEXTSPLIT(E191," ")</f>
        <v>27.10.2023</v>
      </c>
      <c r="R191" t="str">
        <v>03:08:56</v>
      </c>
      <c r="S191">
        <f t="shared" si="41"/>
        <v>3.1333333333333271</v>
      </c>
      <c r="T191">
        <f t="shared" si="32"/>
        <v>1.9000000000000057</v>
      </c>
      <c r="U191">
        <f t="shared" si="35"/>
        <v>2.5499999999999998</v>
      </c>
      <c r="V191">
        <f t="shared" ref="V191:V254" si="45">AVERAGE(U132:U191)</f>
        <v>0.5625</v>
      </c>
      <c r="AC191" t="s">
        <v>899</v>
      </c>
      <c r="AD191">
        <v>0</v>
      </c>
      <c r="AE191">
        <v>5.13</v>
      </c>
      <c r="AG191" t="str" cm="1">
        <f t="array" ref="AG191:AH191">_xlfn.TEXTSPLIT(AC192," ")</f>
        <v>26.10.2023</v>
      </c>
      <c r="AH191" t="str">
        <v>03:10:05</v>
      </c>
      <c r="AI191">
        <f t="shared" si="42"/>
        <v>3.1333333333333271</v>
      </c>
      <c r="AJ191">
        <f t="shared" si="36"/>
        <v>0.59999999999999964</v>
      </c>
      <c r="AK191">
        <f t="shared" si="37"/>
        <v>0</v>
      </c>
      <c r="AL191">
        <f t="shared" ref="AL191:AL254" si="46">AVERAGE(AK132:AK191)</f>
        <v>0.185</v>
      </c>
      <c r="AN191" t="s">
        <v>899</v>
      </c>
      <c r="AO191">
        <v>2.25</v>
      </c>
      <c r="AP191">
        <v>63.79</v>
      </c>
      <c r="AR191" t="str" cm="1">
        <f t="array" ref="AR191:AS191">_xlfn.TEXTSPLIT(AN191," ")</f>
        <v>26.10.2023</v>
      </c>
      <c r="AS191" t="str">
        <v>03:09:05</v>
      </c>
      <c r="AT191">
        <f t="shared" si="43"/>
        <v>3.1333333333333271</v>
      </c>
      <c r="AU191">
        <f t="shared" si="38"/>
        <v>2.4799999999999969</v>
      </c>
      <c r="AV191">
        <f t="shared" si="39"/>
        <v>2.25</v>
      </c>
      <c r="AW191">
        <f t="shared" ref="AW191:AW254" si="47">AVERAGE(AV132:AV191)</f>
        <v>0.8</v>
      </c>
    </row>
    <row r="192" spans="1:49" x14ac:dyDescent="0.25">
      <c r="A192" t="s">
        <v>900</v>
      </c>
      <c r="B192">
        <v>1.95</v>
      </c>
      <c r="C192">
        <v>15.46</v>
      </c>
      <c r="E192" t="s">
        <v>900</v>
      </c>
      <c r="F192">
        <v>1.65</v>
      </c>
      <c r="G192">
        <v>80.52</v>
      </c>
      <c r="I192" t="str" cm="1">
        <f t="array" ref="I192:J192">_xlfn.TEXTSPLIT(A192," ")</f>
        <v>27.10.2023</v>
      </c>
      <c r="J192" t="str">
        <v>03:09:56</v>
      </c>
      <c r="K192">
        <f t="shared" si="40"/>
        <v>3.1499999999999937</v>
      </c>
      <c r="L192">
        <f t="shared" si="33"/>
        <v>1.1400000000000006</v>
      </c>
      <c r="M192">
        <f t="shared" si="34"/>
        <v>1.95</v>
      </c>
      <c r="N192">
        <f t="shared" si="44"/>
        <v>0.3299999999999999</v>
      </c>
      <c r="Q192" t="str" cm="1">
        <f t="array" ref="Q192:R192">_xlfn.TEXTSPLIT(E192," ")</f>
        <v>27.10.2023</v>
      </c>
      <c r="R192" t="str">
        <v>03:09:56</v>
      </c>
      <c r="S192">
        <f t="shared" si="41"/>
        <v>3.1499999999999937</v>
      </c>
      <c r="T192">
        <f t="shared" si="32"/>
        <v>1.9200000000000017</v>
      </c>
      <c r="U192">
        <f t="shared" si="35"/>
        <v>1.65</v>
      </c>
      <c r="V192">
        <f t="shared" si="45"/>
        <v>0.57499999999999996</v>
      </c>
      <c r="AC192" t="s">
        <v>901</v>
      </c>
      <c r="AD192">
        <v>1.8</v>
      </c>
      <c r="AE192">
        <v>5.16</v>
      </c>
      <c r="AG192" t="str" cm="1">
        <f t="array" ref="AG192:AH192">_xlfn.TEXTSPLIT(AC193," ")</f>
        <v>26.10.2023</v>
      </c>
      <c r="AH192" t="str">
        <v>03:11:06</v>
      </c>
      <c r="AI192">
        <f t="shared" si="42"/>
        <v>3.1499999999999937</v>
      </c>
      <c r="AJ192">
        <f t="shared" si="36"/>
        <v>0.62999999999999989</v>
      </c>
      <c r="AK192">
        <f t="shared" si="37"/>
        <v>1.8</v>
      </c>
      <c r="AL192">
        <f t="shared" si="46"/>
        <v>0.215</v>
      </c>
      <c r="AN192" t="s">
        <v>901</v>
      </c>
      <c r="AO192">
        <v>2.4</v>
      </c>
      <c r="AP192">
        <v>63.82</v>
      </c>
      <c r="AR192" t="str" cm="1">
        <f t="array" ref="AR192:AS192">_xlfn.TEXTSPLIT(AN192," ")</f>
        <v>26.10.2023</v>
      </c>
      <c r="AS192" t="str">
        <v>03:10:05</v>
      </c>
      <c r="AT192">
        <f t="shared" si="43"/>
        <v>3.1499999999999937</v>
      </c>
      <c r="AU192">
        <f t="shared" si="38"/>
        <v>2.509999999999998</v>
      </c>
      <c r="AV192">
        <f t="shared" si="39"/>
        <v>2.4</v>
      </c>
      <c r="AW192">
        <f t="shared" si="47"/>
        <v>0.81499999999999995</v>
      </c>
    </row>
    <row r="193" spans="1:49" x14ac:dyDescent="0.25">
      <c r="A193" t="s">
        <v>902</v>
      </c>
      <c r="B193">
        <v>1.8</v>
      </c>
      <c r="C193">
        <v>15.47</v>
      </c>
      <c r="E193" t="s">
        <v>902</v>
      </c>
      <c r="F193">
        <v>1.05</v>
      </c>
      <c r="G193">
        <v>80.540000000000006</v>
      </c>
      <c r="I193" t="str" cm="1">
        <f t="array" ref="I193:J193">_xlfn.TEXTSPLIT(A193," ")</f>
        <v>27.10.2023</v>
      </c>
      <c r="J193" t="str">
        <v>03:10:56</v>
      </c>
      <c r="K193">
        <f t="shared" si="40"/>
        <v>3.1666666666666603</v>
      </c>
      <c r="L193">
        <f t="shared" si="33"/>
        <v>1.1500000000000004</v>
      </c>
      <c r="M193">
        <f t="shared" si="34"/>
        <v>1.8</v>
      </c>
      <c r="N193">
        <f t="shared" si="44"/>
        <v>0.34</v>
      </c>
      <c r="Q193" t="str" cm="1">
        <f t="array" ref="Q193:R193">_xlfn.TEXTSPLIT(E193," ")</f>
        <v>27.10.2023</v>
      </c>
      <c r="R193" t="str">
        <v>03:10:56</v>
      </c>
      <c r="S193">
        <f t="shared" si="41"/>
        <v>3.1666666666666603</v>
      </c>
      <c r="T193">
        <f t="shared" si="32"/>
        <v>1.9400000000000119</v>
      </c>
      <c r="U193">
        <f t="shared" si="35"/>
        <v>1.05</v>
      </c>
      <c r="V193">
        <f t="shared" si="45"/>
        <v>0.57250000000000001</v>
      </c>
      <c r="AC193" t="s">
        <v>903</v>
      </c>
      <c r="AD193">
        <v>1.2</v>
      </c>
      <c r="AE193">
        <v>5.18</v>
      </c>
      <c r="AG193" t="str" cm="1">
        <f t="array" ref="AG193:AH193">_xlfn.TEXTSPLIT(AC194," ")</f>
        <v>26.10.2023</v>
      </c>
      <c r="AH193" t="str">
        <v>03:12:06</v>
      </c>
      <c r="AI193">
        <f t="shared" si="42"/>
        <v>3.1666666666666603</v>
      </c>
      <c r="AJ193">
        <f t="shared" si="36"/>
        <v>0.64999999999999947</v>
      </c>
      <c r="AK193">
        <f t="shared" si="37"/>
        <v>1.2</v>
      </c>
      <c r="AL193">
        <f t="shared" si="46"/>
        <v>0.215</v>
      </c>
      <c r="AN193" t="s">
        <v>903</v>
      </c>
      <c r="AO193">
        <v>1.35</v>
      </c>
      <c r="AP193">
        <v>63.84</v>
      </c>
      <c r="AR193" t="str" cm="1">
        <f t="array" ref="AR193:AS193">_xlfn.TEXTSPLIT(AN193," ")</f>
        <v>26.10.2023</v>
      </c>
      <c r="AS193" t="str">
        <v>03:11:06</v>
      </c>
      <c r="AT193">
        <f t="shared" si="43"/>
        <v>3.1666666666666603</v>
      </c>
      <c r="AU193">
        <f t="shared" si="38"/>
        <v>2.5300000000000011</v>
      </c>
      <c r="AV193">
        <f t="shared" si="39"/>
        <v>1.35</v>
      </c>
      <c r="AW193">
        <f t="shared" si="47"/>
        <v>0.80999999999999994</v>
      </c>
    </row>
    <row r="194" spans="1:49" x14ac:dyDescent="0.25">
      <c r="A194" t="s">
        <v>904</v>
      </c>
      <c r="B194">
        <v>0.9</v>
      </c>
      <c r="C194">
        <v>15.49</v>
      </c>
      <c r="E194" t="s">
        <v>904</v>
      </c>
      <c r="F194">
        <v>0.9</v>
      </c>
      <c r="G194">
        <v>80.55</v>
      </c>
      <c r="I194" t="str" cm="1">
        <f t="array" ref="I194:J194">_xlfn.TEXTSPLIT(A194," ")</f>
        <v>27.10.2023</v>
      </c>
      <c r="J194" t="str">
        <v>03:11:56</v>
      </c>
      <c r="K194">
        <f t="shared" si="40"/>
        <v>3.1833333333333269</v>
      </c>
      <c r="L194">
        <f t="shared" si="33"/>
        <v>1.17</v>
      </c>
      <c r="M194">
        <f t="shared" si="34"/>
        <v>0.9</v>
      </c>
      <c r="N194">
        <f t="shared" si="44"/>
        <v>0.34250000000000003</v>
      </c>
      <c r="Q194" t="str" cm="1">
        <f t="array" ref="Q194:R194">_xlfn.TEXTSPLIT(E194," ")</f>
        <v>27.10.2023</v>
      </c>
      <c r="R194" t="str">
        <v>03:11:56</v>
      </c>
      <c r="S194">
        <f t="shared" si="41"/>
        <v>3.1833333333333269</v>
      </c>
      <c r="T194">
        <f t="shared" si="32"/>
        <v>1.9500000000000028</v>
      </c>
      <c r="U194">
        <f t="shared" si="35"/>
        <v>0.9</v>
      </c>
      <c r="V194">
        <f t="shared" si="45"/>
        <v>0.5625</v>
      </c>
      <c r="AC194" t="s">
        <v>905</v>
      </c>
      <c r="AD194">
        <v>0.3</v>
      </c>
      <c r="AE194">
        <v>5.19</v>
      </c>
      <c r="AG194" t="str" cm="1">
        <f t="array" ref="AG194:AH194">_xlfn.TEXTSPLIT(AC195," ")</f>
        <v>26.10.2023</v>
      </c>
      <c r="AH194" t="str">
        <v>03:13:06</v>
      </c>
      <c r="AI194">
        <f t="shared" si="42"/>
        <v>3.1833333333333269</v>
      </c>
      <c r="AJ194">
        <f t="shared" si="36"/>
        <v>0.66000000000000014</v>
      </c>
      <c r="AK194">
        <f t="shared" si="37"/>
        <v>0.3</v>
      </c>
      <c r="AL194">
        <f t="shared" si="46"/>
        <v>0.21000000000000002</v>
      </c>
      <c r="AN194" t="s">
        <v>905</v>
      </c>
      <c r="AO194">
        <v>0.9</v>
      </c>
      <c r="AP194">
        <v>63.86</v>
      </c>
      <c r="AR194" t="str" cm="1">
        <f t="array" ref="AR194:AS194">_xlfn.TEXTSPLIT(AN194," ")</f>
        <v>26.10.2023</v>
      </c>
      <c r="AS194" t="str">
        <v>03:12:06</v>
      </c>
      <c r="AT194">
        <f t="shared" si="43"/>
        <v>3.1833333333333269</v>
      </c>
      <c r="AU194">
        <f t="shared" si="38"/>
        <v>2.5499999999999972</v>
      </c>
      <c r="AV194">
        <f t="shared" si="39"/>
        <v>0.9</v>
      </c>
      <c r="AW194">
        <f t="shared" si="47"/>
        <v>0.79499999999999982</v>
      </c>
    </row>
    <row r="195" spans="1:49" x14ac:dyDescent="0.25">
      <c r="A195" t="s">
        <v>906</v>
      </c>
      <c r="B195">
        <v>0.9</v>
      </c>
      <c r="C195">
        <v>15.5</v>
      </c>
      <c r="E195" t="s">
        <v>906</v>
      </c>
      <c r="F195">
        <v>0.9</v>
      </c>
      <c r="G195">
        <v>80.56</v>
      </c>
      <c r="I195" t="str" cm="1">
        <f t="array" ref="I195:J195">_xlfn.TEXTSPLIT(A195," ")</f>
        <v>27.10.2023</v>
      </c>
      <c r="J195" t="str">
        <v>03:12:56</v>
      </c>
      <c r="K195">
        <f t="shared" si="40"/>
        <v>3.1999999999999935</v>
      </c>
      <c r="L195">
        <f t="shared" si="33"/>
        <v>1.1799999999999997</v>
      </c>
      <c r="M195">
        <f t="shared" si="34"/>
        <v>0.9</v>
      </c>
      <c r="N195">
        <f t="shared" si="44"/>
        <v>0.34249999999999997</v>
      </c>
      <c r="Q195" t="str" cm="1">
        <f t="array" ref="Q195:R195">_xlfn.TEXTSPLIT(E195," ")</f>
        <v>27.10.2023</v>
      </c>
      <c r="R195" t="str">
        <v>03:12:56</v>
      </c>
      <c r="S195">
        <f t="shared" si="41"/>
        <v>3.1999999999999935</v>
      </c>
      <c r="T195">
        <f t="shared" ref="T195:T258" si="48">G195-78.6</f>
        <v>1.960000000000008</v>
      </c>
      <c r="U195">
        <f t="shared" si="35"/>
        <v>0.9</v>
      </c>
      <c r="V195">
        <f t="shared" si="45"/>
        <v>0.56250000000000011</v>
      </c>
      <c r="AC195" t="s">
        <v>907</v>
      </c>
      <c r="AD195">
        <v>0.45</v>
      </c>
      <c r="AE195">
        <v>5.19</v>
      </c>
      <c r="AG195" t="str" cm="1">
        <f t="array" ref="AG195:AH195">_xlfn.TEXTSPLIT(AC196," ")</f>
        <v>26.10.2023</v>
      </c>
      <c r="AH195" t="str">
        <v>03:14:06</v>
      </c>
      <c r="AI195">
        <f t="shared" si="42"/>
        <v>3.1999999999999935</v>
      </c>
      <c r="AJ195">
        <f t="shared" si="36"/>
        <v>0.66000000000000014</v>
      </c>
      <c r="AK195">
        <f t="shared" si="37"/>
        <v>0.45</v>
      </c>
      <c r="AL195">
        <f t="shared" si="46"/>
        <v>0.20750000000000002</v>
      </c>
      <c r="AN195" t="s">
        <v>907</v>
      </c>
      <c r="AO195">
        <v>0.9</v>
      </c>
      <c r="AP195">
        <v>63.88</v>
      </c>
      <c r="AR195" t="str" cm="1">
        <f t="array" ref="AR195:AS195">_xlfn.TEXTSPLIT(AN195," ")</f>
        <v>26.10.2023</v>
      </c>
      <c r="AS195" t="str">
        <v>03:13:06</v>
      </c>
      <c r="AT195">
        <f t="shared" si="43"/>
        <v>3.1999999999999935</v>
      </c>
      <c r="AU195">
        <f t="shared" si="38"/>
        <v>2.5700000000000003</v>
      </c>
      <c r="AV195">
        <f t="shared" si="39"/>
        <v>0.9</v>
      </c>
      <c r="AW195">
        <f t="shared" si="47"/>
        <v>0.78249999999999997</v>
      </c>
    </row>
    <row r="196" spans="1:49" x14ac:dyDescent="0.25">
      <c r="A196" t="s">
        <v>908</v>
      </c>
      <c r="B196">
        <v>0.9</v>
      </c>
      <c r="C196">
        <v>15.51</v>
      </c>
      <c r="E196" t="s">
        <v>908</v>
      </c>
      <c r="F196">
        <v>0.75</v>
      </c>
      <c r="G196">
        <v>80.569999999999993</v>
      </c>
      <c r="I196" t="str" cm="1">
        <f t="array" ref="I196:J196">_xlfn.TEXTSPLIT(A196," ")</f>
        <v>27.10.2023</v>
      </c>
      <c r="J196" t="str">
        <v>03:13:57</v>
      </c>
      <c r="K196">
        <f t="shared" si="40"/>
        <v>3.2166666666666601</v>
      </c>
      <c r="L196">
        <f t="shared" ref="L196:L259" si="49">C196-14.32</f>
        <v>1.1899999999999995</v>
      </c>
      <c r="M196">
        <f t="shared" ref="M196:M259" si="50">B196</f>
        <v>0.9</v>
      </c>
      <c r="N196">
        <f t="shared" si="44"/>
        <v>0.34499999999999992</v>
      </c>
      <c r="Q196" t="str" cm="1">
        <f t="array" ref="Q196:R196">_xlfn.TEXTSPLIT(E196," ")</f>
        <v>27.10.2023</v>
      </c>
      <c r="R196" t="str">
        <v>03:13:57</v>
      </c>
      <c r="S196">
        <f t="shared" si="41"/>
        <v>3.2166666666666601</v>
      </c>
      <c r="T196">
        <f t="shared" si="48"/>
        <v>1.9699999999999989</v>
      </c>
      <c r="U196">
        <f t="shared" ref="U196:U259" si="51">F196</f>
        <v>0.75</v>
      </c>
      <c r="V196">
        <f t="shared" si="45"/>
        <v>0.5525000000000001</v>
      </c>
      <c r="AC196" t="s">
        <v>909</v>
      </c>
      <c r="AD196">
        <v>0.15</v>
      </c>
      <c r="AE196">
        <v>5.19</v>
      </c>
      <c r="AG196" t="str" cm="1">
        <f t="array" ref="AG196:AH196">_xlfn.TEXTSPLIT(AC197," ")</f>
        <v>26.10.2023</v>
      </c>
      <c r="AH196" t="str">
        <v>03:15:06</v>
      </c>
      <c r="AI196">
        <f t="shared" si="42"/>
        <v>3.2166666666666601</v>
      </c>
      <c r="AJ196">
        <f t="shared" ref="AJ196:AJ259" si="52">AE196-4.53</f>
        <v>0.66000000000000014</v>
      </c>
      <c r="AK196">
        <f t="shared" ref="AK196:AK259" si="53">AD196</f>
        <v>0.15</v>
      </c>
      <c r="AL196">
        <f t="shared" si="46"/>
        <v>0.20750000000000002</v>
      </c>
      <c r="AN196" t="s">
        <v>909</v>
      </c>
      <c r="AO196">
        <v>1.05</v>
      </c>
      <c r="AP196">
        <v>63.89</v>
      </c>
      <c r="AR196" t="str" cm="1">
        <f t="array" ref="AR196:AS196">_xlfn.TEXTSPLIT(AN196," ")</f>
        <v>26.10.2023</v>
      </c>
      <c r="AS196" t="str">
        <v>03:14:06</v>
      </c>
      <c r="AT196">
        <f t="shared" si="43"/>
        <v>3.2166666666666601</v>
      </c>
      <c r="AU196">
        <f t="shared" ref="AU196:AU259" si="54">AP196-61.31</f>
        <v>2.5799999999999983</v>
      </c>
      <c r="AV196">
        <f t="shared" ref="AV196:AV259" si="55">AO196</f>
        <v>1.05</v>
      </c>
      <c r="AW196">
        <f t="shared" si="47"/>
        <v>0.78749999999999976</v>
      </c>
    </row>
    <row r="197" spans="1:49" x14ac:dyDescent="0.25">
      <c r="A197" t="s">
        <v>910</v>
      </c>
      <c r="B197">
        <v>0.45</v>
      </c>
      <c r="C197">
        <v>15.52</v>
      </c>
      <c r="E197" t="s">
        <v>910</v>
      </c>
      <c r="F197">
        <v>0.75</v>
      </c>
      <c r="G197">
        <v>80.59</v>
      </c>
      <c r="I197" t="str" cm="1">
        <f t="array" ref="I197:J197">_xlfn.TEXTSPLIT(A197," ")</f>
        <v>27.10.2023</v>
      </c>
      <c r="J197" t="str">
        <v>03:14:57</v>
      </c>
      <c r="K197">
        <f t="shared" ref="K197:K260" si="56">1/60+K196</f>
        <v>3.2333333333333267</v>
      </c>
      <c r="L197">
        <f t="shared" si="49"/>
        <v>1.1999999999999993</v>
      </c>
      <c r="M197">
        <f t="shared" si="50"/>
        <v>0.45</v>
      </c>
      <c r="N197">
        <f t="shared" si="44"/>
        <v>0.34499999999999986</v>
      </c>
      <c r="Q197" t="str" cm="1">
        <f t="array" ref="Q197:R197">_xlfn.TEXTSPLIT(E197," ")</f>
        <v>27.10.2023</v>
      </c>
      <c r="R197" t="str">
        <v>03:14:57</v>
      </c>
      <c r="S197">
        <f t="shared" ref="S197:S260" si="57">1/60+S196</f>
        <v>3.2333333333333267</v>
      </c>
      <c r="T197">
        <f t="shared" si="48"/>
        <v>1.9900000000000091</v>
      </c>
      <c r="U197">
        <f t="shared" si="51"/>
        <v>0.75</v>
      </c>
      <c r="V197">
        <f t="shared" si="45"/>
        <v>0.55499999999999994</v>
      </c>
      <c r="AC197" t="s">
        <v>911</v>
      </c>
      <c r="AD197">
        <v>0</v>
      </c>
      <c r="AE197">
        <v>5.19</v>
      </c>
      <c r="AG197" t="str" cm="1">
        <f t="array" ref="AG197:AH197">_xlfn.TEXTSPLIT(AC198," ")</f>
        <v>26.10.2023</v>
      </c>
      <c r="AH197" t="str">
        <v>03:16:06</v>
      </c>
      <c r="AI197">
        <f t="shared" ref="AI197:AI260" si="58">1/60+AI196</f>
        <v>3.2333333333333267</v>
      </c>
      <c r="AJ197">
        <f t="shared" si="52"/>
        <v>0.66000000000000014</v>
      </c>
      <c r="AK197">
        <f t="shared" si="53"/>
        <v>0</v>
      </c>
      <c r="AL197">
        <f t="shared" si="46"/>
        <v>0.19750000000000004</v>
      </c>
      <c r="AN197" t="s">
        <v>911</v>
      </c>
      <c r="AO197">
        <v>0.9</v>
      </c>
      <c r="AP197">
        <v>63.91</v>
      </c>
      <c r="AR197" t="str" cm="1">
        <f t="array" ref="AR197:AS197">_xlfn.TEXTSPLIT(AN197," ")</f>
        <v>26.10.2023</v>
      </c>
      <c r="AS197" t="str">
        <v>03:15:06</v>
      </c>
      <c r="AT197">
        <f t="shared" ref="AT197:AT260" si="59">1/60+AT196</f>
        <v>3.2333333333333267</v>
      </c>
      <c r="AU197">
        <f t="shared" si="54"/>
        <v>2.5999999999999943</v>
      </c>
      <c r="AV197">
        <f t="shared" si="55"/>
        <v>0.9</v>
      </c>
      <c r="AW197">
        <f t="shared" si="47"/>
        <v>0.78999999999999959</v>
      </c>
    </row>
    <row r="198" spans="1:49" x14ac:dyDescent="0.25">
      <c r="A198" t="s">
        <v>912</v>
      </c>
      <c r="B198">
        <v>0.45</v>
      </c>
      <c r="C198">
        <v>15.52</v>
      </c>
      <c r="E198" t="s">
        <v>912</v>
      </c>
      <c r="F198">
        <v>0.75</v>
      </c>
      <c r="G198">
        <v>80.599999999999994</v>
      </c>
      <c r="I198" t="str" cm="1">
        <f t="array" ref="I198:J198">_xlfn.TEXTSPLIT(A198," ")</f>
        <v>27.10.2023</v>
      </c>
      <c r="J198" t="str">
        <v>03:15:57</v>
      </c>
      <c r="K198">
        <f t="shared" si="56"/>
        <v>3.2499999999999933</v>
      </c>
      <c r="L198">
        <f t="shared" si="49"/>
        <v>1.1999999999999993</v>
      </c>
      <c r="M198">
        <f t="shared" si="50"/>
        <v>0.45</v>
      </c>
      <c r="N198">
        <f t="shared" si="44"/>
        <v>0.33999999999999986</v>
      </c>
      <c r="Q198" t="str" cm="1">
        <f t="array" ref="Q198:R198">_xlfn.TEXTSPLIT(E198," ")</f>
        <v>27.10.2023</v>
      </c>
      <c r="R198" t="str">
        <v>03:15:57</v>
      </c>
      <c r="S198">
        <f t="shared" si="57"/>
        <v>3.2499999999999933</v>
      </c>
      <c r="T198">
        <f t="shared" si="48"/>
        <v>2</v>
      </c>
      <c r="U198">
        <f t="shared" si="51"/>
        <v>0.75</v>
      </c>
      <c r="V198">
        <f t="shared" si="45"/>
        <v>0.55499999999999994</v>
      </c>
      <c r="AC198" t="s">
        <v>913</v>
      </c>
      <c r="AD198">
        <v>0</v>
      </c>
      <c r="AE198">
        <v>5.19</v>
      </c>
      <c r="AG198" t="str" cm="1">
        <f t="array" ref="AG198:AH198">_xlfn.TEXTSPLIT(AC199," ")</f>
        <v>26.10.2023</v>
      </c>
      <c r="AH198" t="str">
        <v>03:17:06</v>
      </c>
      <c r="AI198">
        <f t="shared" si="58"/>
        <v>3.2499999999999933</v>
      </c>
      <c r="AJ198">
        <f t="shared" si="52"/>
        <v>0.66000000000000014</v>
      </c>
      <c r="AK198">
        <f t="shared" si="53"/>
        <v>0</v>
      </c>
      <c r="AL198">
        <f t="shared" si="46"/>
        <v>0.19</v>
      </c>
      <c r="AN198" t="s">
        <v>913</v>
      </c>
      <c r="AO198">
        <v>1.05</v>
      </c>
      <c r="AP198">
        <v>63.92</v>
      </c>
      <c r="AR198" t="str" cm="1">
        <f t="array" ref="AR198:AS198">_xlfn.TEXTSPLIT(AN198," ")</f>
        <v>26.10.2023</v>
      </c>
      <c r="AS198" t="str">
        <v>03:16:06</v>
      </c>
      <c r="AT198">
        <f t="shared" si="59"/>
        <v>3.2499999999999933</v>
      </c>
      <c r="AU198">
        <f t="shared" si="54"/>
        <v>2.6099999999999994</v>
      </c>
      <c r="AV198">
        <f t="shared" si="55"/>
        <v>1.05</v>
      </c>
      <c r="AW198">
        <f t="shared" si="47"/>
        <v>0.79749999999999965</v>
      </c>
    </row>
    <row r="199" spans="1:49" x14ac:dyDescent="0.25">
      <c r="A199" t="s">
        <v>914</v>
      </c>
      <c r="B199">
        <v>0.3</v>
      </c>
      <c r="C199">
        <v>15.53</v>
      </c>
      <c r="E199" t="s">
        <v>914</v>
      </c>
      <c r="F199">
        <v>0.6</v>
      </c>
      <c r="G199">
        <v>80.61</v>
      </c>
      <c r="I199" t="str" cm="1">
        <f t="array" ref="I199:J199">_xlfn.TEXTSPLIT(A199," ")</f>
        <v>27.10.2023</v>
      </c>
      <c r="J199" t="str">
        <v>03:16:57</v>
      </c>
      <c r="K199">
        <f t="shared" si="56"/>
        <v>3.2666666666666599</v>
      </c>
      <c r="L199">
        <f t="shared" si="49"/>
        <v>1.2099999999999991</v>
      </c>
      <c r="M199">
        <f t="shared" si="50"/>
        <v>0.3</v>
      </c>
      <c r="N199">
        <f t="shared" si="44"/>
        <v>0.34499999999999986</v>
      </c>
      <c r="Q199" t="str" cm="1">
        <f t="array" ref="Q199:R199">_xlfn.TEXTSPLIT(E199," ")</f>
        <v>27.10.2023</v>
      </c>
      <c r="R199" t="str">
        <v>03:16:57</v>
      </c>
      <c r="S199">
        <f t="shared" si="57"/>
        <v>3.2666666666666599</v>
      </c>
      <c r="T199">
        <f t="shared" si="48"/>
        <v>2.0100000000000051</v>
      </c>
      <c r="U199">
        <f t="shared" si="51"/>
        <v>0.6</v>
      </c>
      <c r="V199">
        <f t="shared" si="45"/>
        <v>0.55499999999999983</v>
      </c>
      <c r="AC199" t="s">
        <v>915</v>
      </c>
      <c r="AD199">
        <v>0.15</v>
      </c>
      <c r="AE199">
        <v>5.2</v>
      </c>
      <c r="AG199" t="str" cm="1">
        <f t="array" ref="AG199:AH199">_xlfn.TEXTSPLIT(AC200," ")</f>
        <v>26.10.2023</v>
      </c>
      <c r="AH199" t="str">
        <v>03:18:06</v>
      </c>
      <c r="AI199">
        <f t="shared" si="58"/>
        <v>3.2666666666666599</v>
      </c>
      <c r="AJ199">
        <f t="shared" si="52"/>
        <v>0.66999999999999993</v>
      </c>
      <c r="AK199">
        <f t="shared" si="53"/>
        <v>0.15</v>
      </c>
      <c r="AL199">
        <f t="shared" si="46"/>
        <v>0.19000000000000003</v>
      </c>
      <c r="AN199" t="s">
        <v>915</v>
      </c>
      <c r="AO199">
        <v>0.9</v>
      </c>
      <c r="AP199">
        <v>63.94</v>
      </c>
      <c r="AR199" t="str" cm="1">
        <f t="array" ref="AR199:AS199">_xlfn.TEXTSPLIT(AN199," ")</f>
        <v>26.10.2023</v>
      </c>
      <c r="AS199" t="str">
        <v>03:17:06</v>
      </c>
      <c r="AT199">
        <f t="shared" si="59"/>
        <v>3.2666666666666599</v>
      </c>
      <c r="AU199">
        <f t="shared" si="54"/>
        <v>2.6299999999999955</v>
      </c>
      <c r="AV199">
        <f t="shared" si="55"/>
        <v>0.9</v>
      </c>
      <c r="AW199">
        <f t="shared" si="47"/>
        <v>0.80249999999999966</v>
      </c>
    </row>
    <row r="200" spans="1:49" x14ac:dyDescent="0.25">
      <c r="A200" t="s">
        <v>916</v>
      </c>
      <c r="B200">
        <v>0.3</v>
      </c>
      <c r="C200">
        <v>15.53</v>
      </c>
      <c r="E200" t="s">
        <v>916</v>
      </c>
      <c r="F200">
        <v>0.6</v>
      </c>
      <c r="G200">
        <v>80.62</v>
      </c>
      <c r="I200" t="str" cm="1">
        <f t="array" ref="I200:J200">_xlfn.TEXTSPLIT(A200," ")</f>
        <v>27.10.2023</v>
      </c>
      <c r="J200" t="str">
        <v>03:17:57</v>
      </c>
      <c r="K200">
        <f t="shared" si="56"/>
        <v>3.2833333333333266</v>
      </c>
      <c r="L200">
        <f t="shared" si="49"/>
        <v>1.2099999999999991</v>
      </c>
      <c r="M200">
        <f t="shared" si="50"/>
        <v>0.3</v>
      </c>
      <c r="N200">
        <f t="shared" si="44"/>
        <v>0.34499999999999992</v>
      </c>
      <c r="Q200" t="str" cm="1">
        <f t="array" ref="Q200:R200">_xlfn.TEXTSPLIT(E200," ")</f>
        <v>27.10.2023</v>
      </c>
      <c r="R200" t="str">
        <v>03:17:57</v>
      </c>
      <c r="S200">
        <f t="shared" si="57"/>
        <v>3.2833333333333266</v>
      </c>
      <c r="T200">
        <f t="shared" si="48"/>
        <v>2.0200000000000102</v>
      </c>
      <c r="U200">
        <f t="shared" si="51"/>
        <v>0.6</v>
      </c>
      <c r="V200">
        <f t="shared" si="45"/>
        <v>0.55499999999999994</v>
      </c>
      <c r="AC200" t="s">
        <v>917</v>
      </c>
      <c r="AD200">
        <v>0</v>
      </c>
      <c r="AE200">
        <v>5.2</v>
      </c>
      <c r="AG200" t="str" cm="1">
        <f t="array" ref="AG200:AH200">_xlfn.TEXTSPLIT(AC201," ")</f>
        <v>26.10.2023</v>
      </c>
      <c r="AH200" t="str">
        <v>03:19:06</v>
      </c>
      <c r="AI200">
        <f t="shared" si="58"/>
        <v>3.2833333333333266</v>
      </c>
      <c r="AJ200">
        <f t="shared" si="52"/>
        <v>0.66999999999999993</v>
      </c>
      <c r="AK200">
        <f t="shared" si="53"/>
        <v>0</v>
      </c>
      <c r="AL200">
        <f t="shared" si="46"/>
        <v>0.19000000000000003</v>
      </c>
      <c r="AN200" t="s">
        <v>917</v>
      </c>
      <c r="AO200">
        <v>0.6</v>
      </c>
      <c r="AP200">
        <v>63.95</v>
      </c>
      <c r="AR200" t="str" cm="1">
        <f t="array" ref="AR200:AS200">_xlfn.TEXTSPLIT(AN200," ")</f>
        <v>26.10.2023</v>
      </c>
      <c r="AS200" t="str">
        <v>03:18:06</v>
      </c>
      <c r="AT200">
        <f t="shared" si="59"/>
        <v>3.2833333333333266</v>
      </c>
      <c r="AU200">
        <f t="shared" si="54"/>
        <v>2.6400000000000006</v>
      </c>
      <c r="AV200">
        <f t="shared" si="55"/>
        <v>0.6</v>
      </c>
      <c r="AW200">
        <f t="shared" si="47"/>
        <v>0.80249999999999977</v>
      </c>
    </row>
    <row r="201" spans="1:49" x14ac:dyDescent="0.25">
      <c r="A201" t="s">
        <v>918</v>
      </c>
      <c r="B201">
        <v>0.3</v>
      </c>
      <c r="C201">
        <v>15.54</v>
      </c>
      <c r="E201" t="s">
        <v>918</v>
      </c>
      <c r="F201">
        <v>0.45</v>
      </c>
      <c r="G201">
        <v>80.63</v>
      </c>
      <c r="I201" t="str" cm="1">
        <f t="array" ref="I201:J201">_xlfn.TEXTSPLIT(A201," ")</f>
        <v>27.10.2023</v>
      </c>
      <c r="J201" t="str">
        <v>03:18:57</v>
      </c>
      <c r="K201">
        <f t="shared" si="56"/>
        <v>3.2999999999999932</v>
      </c>
      <c r="L201">
        <f t="shared" si="49"/>
        <v>1.2199999999999989</v>
      </c>
      <c r="M201">
        <f t="shared" si="50"/>
        <v>0.3</v>
      </c>
      <c r="N201">
        <f t="shared" si="44"/>
        <v>0.33749999999999997</v>
      </c>
      <c r="Q201" t="str" cm="1">
        <f t="array" ref="Q201:R201">_xlfn.TEXTSPLIT(E201," ")</f>
        <v>27.10.2023</v>
      </c>
      <c r="R201" t="str">
        <v>03:18:57</v>
      </c>
      <c r="S201">
        <f t="shared" si="57"/>
        <v>3.2999999999999932</v>
      </c>
      <c r="T201">
        <f t="shared" si="48"/>
        <v>2.0300000000000011</v>
      </c>
      <c r="U201">
        <f t="shared" si="51"/>
        <v>0.45</v>
      </c>
      <c r="V201">
        <f t="shared" si="45"/>
        <v>0.55249999999999999</v>
      </c>
      <c r="AC201" t="s">
        <v>919</v>
      </c>
      <c r="AD201">
        <v>0</v>
      </c>
      <c r="AE201">
        <v>5.2</v>
      </c>
      <c r="AG201" t="str" cm="1">
        <f t="array" ref="AG201:AH201">_xlfn.TEXTSPLIT(AC202," ")</f>
        <v>26.10.2023</v>
      </c>
      <c r="AH201" t="str">
        <v>03:20:06</v>
      </c>
      <c r="AI201">
        <f t="shared" si="58"/>
        <v>3.2999999999999932</v>
      </c>
      <c r="AJ201">
        <f t="shared" si="52"/>
        <v>0.66999999999999993</v>
      </c>
      <c r="AK201">
        <f t="shared" si="53"/>
        <v>0</v>
      </c>
      <c r="AL201">
        <f t="shared" si="46"/>
        <v>0.19000000000000003</v>
      </c>
      <c r="AN201" t="s">
        <v>919</v>
      </c>
      <c r="AO201">
        <v>0.6</v>
      </c>
      <c r="AP201">
        <v>63.96</v>
      </c>
      <c r="AR201" t="str" cm="1">
        <f t="array" ref="AR201:AS201">_xlfn.TEXTSPLIT(AN201," ")</f>
        <v>26.10.2023</v>
      </c>
      <c r="AS201" t="str">
        <v>03:19:06</v>
      </c>
      <c r="AT201">
        <f t="shared" si="59"/>
        <v>3.2999999999999932</v>
      </c>
      <c r="AU201">
        <f t="shared" si="54"/>
        <v>2.6499999999999986</v>
      </c>
      <c r="AV201">
        <f t="shared" si="55"/>
        <v>0.6</v>
      </c>
      <c r="AW201">
        <f t="shared" si="47"/>
        <v>0.7999999999999996</v>
      </c>
    </row>
    <row r="202" spans="1:49" x14ac:dyDescent="0.25">
      <c r="A202" t="s">
        <v>920</v>
      </c>
      <c r="B202">
        <v>0.45</v>
      </c>
      <c r="C202">
        <v>15.54</v>
      </c>
      <c r="E202" t="s">
        <v>920</v>
      </c>
      <c r="F202">
        <v>0.45</v>
      </c>
      <c r="G202">
        <v>80.63</v>
      </c>
      <c r="I202" t="str" cm="1">
        <f t="array" ref="I202:J202">_xlfn.TEXTSPLIT(A202," ")</f>
        <v>27.10.2023</v>
      </c>
      <c r="J202" t="str">
        <v>03:19:58</v>
      </c>
      <c r="K202">
        <f t="shared" si="56"/>
        <v>3.3166666666666598</v>
      </c>
      <c r="L202">
        <f t="shared" si="49"/>
        <v>1.2199999999999989</v>
      </c>
      <c r="M202">
        <f t="shared" si="50"/>
        <v>0.45</v>
      </c>
      <c r="N202">
        <f t="shared" si="44"/>
        <v>0.33999999999999997</v>
      </c>
      <c r="Q202" t="str" cm="1">
        <f t="array" ref="Q202:R202">_xlfn.TEXTSPLIT(E202," ")</f>
        <v>27.10.2023</v>
      </c>
      <c r="R202" t="str">
        <v>03:19:58</v>
      </c>
      <c r="S202">
        <f t="shared" si="57"/>
        <v>3.3166666666666598</v>
      </c>
      <c r="T202">
        <f t="shared" si="48"/>
        <v>2.0300000000000011</v>
      </c>
      <c r="U202">
        <f t="shared" si="51"/>
        <v>0.45</v>
      </c>
      <c r="V202">
        <f t="shared" si="45"/>
        <v>0.55000000000000004</v>
      </c>
      <c r="AC202" t="s">
        <v>921</v>
      </c>
      <c r="AD202">
        <v>0</v>
      </c>
      <c r="AE202">
        <v>5.2</v>
      </c>
      <c r="AG202" t="str" cm="1">
        <f t="array" ref="AG202:AH202">_xlfn.TEXTSPLIT(AC203," ")</f>
        <v>26.10.2023</v>
      </c>
      <c r="AH202" t="str">
        <v>03:21:07</v>
      </c>
      <c r="AI202">
        <f t="shared" si="58"/>
        <v>3.3166666666666598</v>
      </c>
      <c r="AJ202">
        <f t="shared" si="52"/>
        <v>0.66999999999999993</v>
      </c>
      <c r="AK202">
        <f t="shared" si="53"/>
        <v>0</v>
      </c>
      <c r="AL202">
        <f t="shared" si="46"/>
        <v>0.19000000000000003</v>
      </c>
      <c r="AN202" t="s">
        <v>921</v>
      </c>
      <c r="AO202">
        <v>0.6</v>
      </c>
      <c r="AP202">
        <v>63.97</v>
      </c>
      <c r="AR202" t="str" cm="1">
        <f t="array" ref="AR202:AS202">_xlfn.TEXTSPLIT(AN202," ")</f>
        <v>26.10.2023</v>
      </c>
      <c r="AS202" t="str">
        <v>03:20:06</v>
      </c>
      <c r="AT202">
        <f t="shared" si="59"/>
        <v>3.3166666666666598</v>
      </c>
      <c r="AU202">
        <f t="shared" si="54"/>
        <v>2.6599999999999966</v>
      </c>
      <c r="AV202">
        <f t="shared" si="55"/>
        <v>0.6</v>
      </c>
      <c r="AW202">
        <f t="shared" si="47"/>
        <v>0.79499999999999982</v>
      </c>
    </row>
    <row r="203" spans="1:49" x14ac:dyDescent="0.25">
      <c r="A203" t="s">
        <v>922</v>
      </c>
      <c r="B203">
        <v>0</v>
      </c>
      <c r="C203">
        <v>15.55</v>
      </c>
      <c r="E203" t="s">
        <v>922</v>
      </c>
      <c r="F203">
        <v>0.45</v>
      </c>
      <c r="G203">
        <v>80.64</v>
      </c>
      <c r="I203" t="str" cm="1">
        <f t="array" ref="I203:J203">_xlfn.TEXTSPLIT(A203," ")</f>
        <v>27.10.2023</v>
      </c>
      <c r="J203" t="str">
        <v>03:20:58</v>
      </c>
      <c r="K203">
        <f t="shared" si="56"/>
        <v>3.3333333333333264</v>
      </c>
      <c r="L203">
        <f t="shared" si="49"/>
        <v>1.2300000000000004</v>
      </c>
      <c r="M203">
        <f t="shared" si="50"/>
        <v>0</v>
      </c>
      <c r="N203">
        <f t="shared" si="44"/>
        <v>0.33499999999999996</v>
      </c>
      <c r="Q203" t="str" cm="1">
        <f t="array" ref="Q203:R203">_xlfn.TEXTSPLIT(E203," ")</f>
        <v>27.10.2023</v>
      </c>
      <c r="R203" t="str">
        <v>03:20:58</v>
      </c>
      <c r="S203">
        <f t="shared" si="57"/>
        <v>3.3333333333333264</v>
      </c>
      <c r="T203">
        <f t="shared" si="48"/>
        <v>2.0400000000000063</v>
      </c>
      <c r="U203">
        <f t="shared" si="51"/>
        <v>0.45</v>
      </c>
      <c r="V203">
        <f t="shared" si="45"/>
        <v>0.54749999999999988</v>
      </c>
      <c r="AC203" t="s">
        <v>923</v>
      </c>
      <c r="AD203">
        <v>0</v>
      </c>
      <c r="AE203">
        <v>5.2</v>
      </c>
      <c r="AG203" t="str" cm="1">
        <f t="array" ref="AG203:AH203">_xlfn.TEXTSPLIT(AC204," ")</f>
        <v>26.10.2023</v>
      </c>
      <c r="AH203" t="str">
        <v>03:22:07</v>
      </c>
      <c r="AI203">
        <f t="shared" si="58"/>
        <v>3.3333333333333264</v>
      </c>
      <c r="AJ203">
        <f t="shared" si="52"/>
        <v>0.66999999999999993</v>
      </c>
      <c r="AK203">
        <f t="shared" si="53"/>
        <v>0</v>
      </c>
      <c r="AL203">
        <f t="shared" si="46"/>
        <v>0.18750000000000003</v>
      </c>
      <c r="AN203" t="s">
        <v>923</v>
      </c>
      <c r="AO203">
        <v>0.45</v>
      </c>
      <c r="AP203">
        <v>63.98</v>
      </c>
      <c r="AR203" t="str" cm="1">
        <f t="array" ref="AR203:AS203">_xlfn.TEXTSPLIT(AN203," ")</f>
        <v>26.10.2023</v>
      </c>
      <c r="AS203" t="str">
        <v>03:21:07</v>
      </c>
      <c r="AT203">
        <f t="shared" si="59"/>
        <v>3.3333333333333264</v>
      </c>
      <c r="AU203">
        <f t="shared" si="54"/>
        <v>2.6699999999999946</v>
      </c>
      <c r="AV203">
        <f t="shared" si="55"/>
        <v>0.45</v>
      </c>
      <c r="AW203">
        <f t="shared" si="47"/>
        <v>0.78999999999999981</v>
      </c>
    </row>
    <row r="204" spans="1:49" x14ac:dyDescent="0.25">
      <c r="A204" t="s">
        <v>924</v>
      </c>
      <c r="B204">
        <v>0.45</v>
      </c>
      <c r="C204">
        <v>15.55</v>
      </c>
      <c r="E204" t="s">
        <v>924</v>
      </c>
      <c r="F204">
        <v>0.45</v>
      </c>
      <c r="G204">
        <v>80.64</v>
      </c>
      <c r="I204" t="str" cm="1">
        <f t="array" ref="I204:J204">_xlfn.TEXTSPLIT(A204," ")</f>
        <v>27.10.2023</v>
      </c>
      <c r="J204" t="str">
        <v>03:21:58</v>
      </c>
      <c r="K204">
        <f t="shared" si="56"/>
        <v>3.349999999999993</v>
      </c>
      <c r="L204">
        <f t="shared" si="49"/>
        <v>1.2300000000000004</v>
      </c>
      <c r="M204">
        <f t="shared" si="50"/>
        <v>0.45</v>
      </c>
      <c r="N204">
        <f t="shared" si="44"/>
        <v>0.33750000000000002</v>
      </c>
      <c r="Q204" t="str" cm="1">
        <f t="array" ref="Q204:R204">_xlfn.TEXTSPLIT(E204," ")</f>
        <v>27.10.2023</v>
      </c>
      <c r="R204" t="str">
        <v>03:21:58</v>
      </c>
      <c r="S204">
        <f t="shared" si="57"/>
        <v>3.349999999999993</v>
      </c>
      <c r="T204">
        <f t="shared" si="48"/>
        <v>2.0400000000000063</v>
      </c>
      <c r="U204">
        <f t="shared" si="51"/>
        <v>0.45</v>
      </c>
      <c r="V204">
        <f t="shared" si="45"/>
        <v>0.54249999999999998</v>
      </c>
      <c r="AC204" t="s">
        <v>925</v>
      </c>
      <c r="AD204">
        <v>0</v>
      </c>
      <c r="AE204">
        <v>5.2</v>
      </c>
      <c r="AG204" t="str" cm="1">
        <f t="array" ref="AG204:AH204">_xlfn.TEXTSPLIT(AC205," ")</f>
        <v>26.10.2023</v>
      </c>
      <c r="AH204" t="str">
        <v>03:23:07</v>
      </c>
      <c r="AI204">
        <f t="shared" si="58"/>
        <v>3.349999999999993</v>
      </c>
      <c r="AJ204">
        <f t="shared" si="52"/>
        <v>0.66999999999999993</v>
      </c>
      <c r="AK204">
        <f t="shared" si="53"/>
        <v>0</v>
      </c>
      <c r="AL204">
        <f t="shared" si="46"/>
        <v>0.18750000000000003</v>
      </c>
      <c r="AN204" t="s">
        <v>925</v>
      </c>
      <c r="AO204">
        <v>0.15</v>
      </c>
      <c r="AP204">
        <v>63.98</v>
      </c>
      <c r="AR204" t="str" cm="1">
        <f t="array" ref="AR204:AS204">_xlfn.TEXTSPLIT(AN204," ")</f>
        <v>26.10.2023</v>
      </c>
      <c r="AS204" t="str">
        <v>03:22:07</v>
      </c>
      <c r="AT204">
        <f t="shared" si="59"/>
        <v>3.349999999999993</v>
      </c>
      <c r="AU204">
        <f t="shared" si="54"/>
        <v>2.6699999999999946</v>
      </c>
      <c r="AV204">
        <f t="shared" si="55"/>
        <v>0.15</v>
      </c>
      <c r="AW204">
        <f t="shared" si="47"/>
        <v>0.77499999999999991</v>
      </c>
    </row>
    <row r="205" spans="1:49" x14ac:dyDescent="0.25">
      <c r="A205" t="s">
        <v>926</v>
      </c>
      <c r="B205">
        <v>0.15</v>
      </c>
      <c r="C205">
        <v>15.55</v>
      </c>
      <c r="E205" t="s">
        <v>926</v>
      </c>
      <c r="F205">
        <v>0.15</v>
      </c>
      <c r="G205">
        <v>80.64</v>
      </c>
      <c r="I205" t="str" cm="1">
        <f t="array" ref="I205:J205">_xlfn.TEXTSPLIT(A205," ")</f>
        <v>27.10.2023</v>
      </c>
      <c r="J205" t="str">
        <v>03:22:58</v>
      </c>
      <c r="K205">
        <f t="shared" si="56"/>
        <v>3.3666666666666596</v>
      </c>
      <c r="L205">
        <f t="shared" si="49"/>
        <v>1.2300000000000004</v>
      </c>
      <c r="M205">
        <f t="shared" si="50"/>
        <v>0.15</v>
      </c>
      <c r="N205">
        <f t="shared" si="44"/>
        <v>0.33499999999999996</v>
      </c>
      <c r="Q205" t="str" cm="1">
        <f t="array" ref="Q205:R205">_xlfn.TEXTSPLIT(E205," ")</f>
        <v>27.10.2023</v>
      </c>
      <c r="R205" t="str">
        <v>03:22:58</v>
      </c>
      <c r="S205">
        <f t="shared" si="57"/>
        <v>3.3666666666666596</v>
      </c>
      <c r="T205">
        <f t="shared" si="48"/>
        <v>2.0400000000000063</v>
      </c>
      <c r="U205">
        <f t="shared" si="51"/>
        <v>0.15</v>
      </c>
      <c r="V205">
        <f t="shared" si="45"/>
        <v>0.54249999999999987</v>
      </c>
      <c r="AC205" t="s">
        <v>927</v>
      </c>
      <c r="AD205">
        <v>0</v>
      </c>
      <c r="AE205">
        <v>5.2</v>
      </c>
      <c r="AG205" t="str" cm="1">
        <f t="array" ref="AG205:AH205">_xlfn.TEXTSPLIT(AC206," ")</f>
        <v>26.10.2023</v>
      </c>
      <c r="AH205" t="str">
        <v>03:24:07</v>
      </c>
      <c r="AI205">
        <f t="shared" si="58"/>
        <v>3.3666666666666596</v>
      </c>
      <c r="AJ205">
        <f t="shared" si="52"/>
        <v>0.66999999999999993</v>
      </c>
      <c r="AK205">
        <f t="shared" si="53"/>
        <v>0</v>
      </c>
      <c r="AL205">
        <f t="shared" si="46"/>
        <v>0.18750000000000003</v>
      </c>
      <c r="AN205" t="s">
        <v>927</v>
      </c>
      <c r="AO205">
        <v>0</v>
      </c>
      <c r="AP205">
        <v>63.98</v>
      </c>
      <c r="AR205" t="str" cm="1">
        <f t="array" ref="AR205:AS205">_xlfn.TEXTSPLIT(AN205," ")</f>
        <v>26.10.2023</v>
      </c>
      <c r="AS205" t="str">
        <v>03:23:07</v>
      </c>
      <c r="AT205">
        <f t="shared" si="59"/>
        <v>3.3666666666666596</v>
      </c>
      <c r="AU205">
        <f t="shared" si="54"/>
        <v>2.6699999999999946</v>
      </c>
      <c r="AV205">
        <f t="shared" si="55"/>
        <v>0</v>
      </c>
      <c r="AW205">
        <f t="shared" si="47"/>
        <v>0.76749999999999974</v>
      </c>
    </row>
    <row r="206" spans="1:49" x14ac:dyDescent="0.25">
      <c r="A206" t="s">
        <v>928</v>
      </c>
      <c r="B206">
        <v>0.15</v>
      </c>
      <c r="C206">
        <v>15.55</v>
      </c>
      <c r="E206" t="s">
        <v>928</v>
      </c>
      <c r="F206">
        <v>0</v>
      </c>
      <c r="G206">
        <v>80.64</v>
      </c>
      <c r="I206" t="str" cm="1">
        <f t="array" ref="I206:J206">_xlfn.TEXTSPLIT(A206," ")</f>
        <v>27.10.2023</v>
      </c>
      <c r="J206" t="str">
        <v>03:23:58</v>
      </c>
      <c r="K206">
        <f t="shared" si="56"/>
        <v>3.3833333333333262</v>
      </c>
      <c r="L206">
        <f t="shared" si="49"/>
        <v>1.2300000000000004</v>
      </c>
      <c r="M206">
        <f t="shared" si="50"/>
        <v>0.15</v>
      </c>
      <c r="N206">
        <f t="shared" si="44"/>
        <v>0.33499999999999991</v>
      </c>
      <c r="Q206" t="str" cm="1">
        <f t="array" ref="Q206:R206">_xlfn.TEXTSPLIT(E206," ")</f>
        <v>27.10.2023</v>
      </c>
      <c r="R206" t="str">
        <v>03:23:58</v>
      </c>
      <c r="S206">
        <f t="shared" si="57"/>
        <v>3.3833333333333262</v>
      </c>
      <c r="T206">
        <f t="shared" si="48"/>
        <v>2.0400000000000063</v>
      </c>
      <c r="U206">
        <f t="shared" si="51"/>
        <v>0</v>
      </c>
      <c r="V206">
        <f t="shared" si="45"/>
        <v>0.53999999999999981</v>
      </c>
      <c r="AC206" t="s">
        <v>929</v>
      </c>
      <c r="AD206">
        <v>0</v>
      </c>
      <c r="AE206">
        <v>5.2</v>
      </c>
      <c r="AG206" t="str" cm="1">
        <f t="array" ref="AG206:AH206">_xlfn.TEXTSPLIT(AC207," ")</f>
        <v>26.10.2023</v>
      </c>
      <c r="AH206" t="str">
        <v>03:25:07</v>
      </c>
      <c r="AI206">
        <f t="shared" si="58"/>
        <v>3.3833333333333262</v>
      </c>
      <c r="AJ206">
        <f t="shared" si="52"/>
        <v>0.66999999999999993</v>
      </c>
      <c r="AK206">
        <f t="shared" si="53"/>
        <v>0</v>
      </c>
      <c r="AL206">
        <f t="shared" si="46"/>
        <v>0.18750000000000003</v>
      </c>
      <c r="AN206" t="s">
        <v>929</v>
      </c>
      <c r="AO206">
        <v>0</v>
      </c>
      <c r="AP206">
        <v>63.98</v>
      </c>
      <c r="AR206" t="str" cm="1">
        <f t="array" ref="AR206:AS206">_xlfn.TEXTSPLIT(AN206," ")</f>
        <v>26.10.2023</v>
      </c>
      <c r="AS206" t="str">
        <v>03:24:07</v>
      </c>
      <c r="AT206">
        <f t="shared" si="59"/>
        <v>3.3833333333333262</v>
      </c>
      <c r="AU206">
        <f t="shared" si="54"/>
        <v>2.6699999999999946</v>
      </c>
      <c r="AV206">
        <f t="shared" si="55"/>
        <v>0</v>
      </c>
      <c r="AW206">
        <f t="shared" si="47"/>
        <v>0.76749999999999974</v>
      </c>
    </row>
    <row r="207" spans="1:49" x14ac:dyDescent="0.25">
      <c r="A207" t="s">
        <v>930</v>
      </c>
      <c r="B207">
        <v>0</v>
      </c>
      <c r="C207">
        <v>15.55</v>
      </c>
      <c r="E207" t="s">
        <v>930</v>
      </c>
      <c r="F207">
        <v>0</v>
      </c>
      <c r="G207">
        <v>80.64</v>
      </c>
      <c r="I207" t="str" cm="1">
        <f t="array" ref="I207:J207">_xlfn.TEXTSPLIT(A207," ")</f>
        <v>27.10.2023</v>
      </c>
      <c r="J207" t="str">
        <v>03:24:58</v>
      </c>
      <c r="K207">
        <f t="shared" si="56"/>
        <v>3.3999999999999928</v>
      </c>
      <c r="L207">
        <f t="shared" si="49"/>
        <v>1.2300000000000004</v>
      </c>
      <c r="M207">
        <f t="shared" si="50"/>
        <v>0</v>
      </c>
      <c r="N207">
        <f t="shared" si="44"/>
        <v>0.33499999999999991</v>
      </c>
      <c r="Q207" t="str" cm="1">
        <f t="array" ref="Q207:R207">_xlfn.TEXTSPLIT(E207," ")</f>
        <v>27.10.2023</v>
      </c>
      <c r="R207" t="str">
        <v>03:24:58</v>
      </c>
      <c r="S207">
        <f t="shared" si="57"/>
        <v>3.3999999999999928</v>
      </c>
      <c r="T207">
        <f t="shared" si="48"/>
        <v>2.0400000000000063</v>
      </c>
      <c r="U207">
        <f t="shared" si="51"/>
        <v>0</v>
      </c>
      <c r="V207">
        <f t="shared" si="45"/>
        <v>0.53749999999999987</v>
      </c>
      <c r="AC207" t="s">
        <v>931</v>
      </c>
      <c r="AD207">
        <v>0</v>
      </c>
      <c r="AE207">
        <v>5.2</v>
      </c>
      <c r="AG207" t="str" cm="1">
        <f t="array" ref="AG207:AH207">_xlfn.TEXTSPLIT(AC208," ")</f>
        <v>26.10.2023</v>
      </c>
      <c r="AH207" t="str">
        <v>03:26:07</v>
      </c>
      <c r="AI207">
        <f t="shared" si="58"/>
        <v>3.3999999999999928</v>
      </c>
      <c r="AJ207">
        <f t="shared" si="52"/>
        <v>0.66999999999999993</v>
      </c>
      <c r="AK207">
        <f t="shared" si="53"/>
        <v>0</v>
      </c>
      <c r="AL207">
        <f t="shared" si="46"/>
        <v>0.18750000000000003</v>
      </c>
      <c r="AN207" t="s">
        <v>931</v>
      </c>
      <c r="AO207">
        <v>0</v>
      </c>
      <c r="AP207">
        <v>63.98</v>
      </c>
      <c r="AR207" t="str" cm="1">
        <f t="array" ref="AR207:AS207">_xlfn.TEXTSPLIT(AN207," ")</f>
        <v>26.10.2023</v>
      </c>
      <c r="AS207" t="str">
        <v>03:25:07</v>
      </c>
      <c r="AT207">
        <f t="shared" si="59"/>
        <v>3.3999999999999928</v>
      </c>
      <c r="AU207">
        <f t="shared" si="54"/>
        <v>2.6699999999999946</v>
      </c>
      <c r="AV207">
        <f t="shared" si="55"/>
        <v>0</v>
      </c>
      <c r="AW207">
        <f t="shared" si="47"/>
        <v>0.7649999999999999</v>
      </c>
    </row>
    <row r="208" spans="1:49" x14ac:dyDescent="0.25">
      <c r="A208" t="s">
        <v>932</v>
      </c>
      <c r="B208">
        <v>0</v>
      </c>
      <c r="C208">
        <v>15.55</v>
      </c>
      <c r="E208" t="s">
        <v>932</v>
      </c>
      <c r="F208">
        <v>0</v>
      </c>
      <c r="G208">
        <v>80.650000000000006</v>
      </c>
      <c r="I208" t="str" cm="1">
        <f t="array" ref="I208:J208">_xlfn.TEXTSPLIT(A208," ")</f>
        <v>27.10.2023</v>
      </c>
      <c r="J208" t="str">
        <v>03:25:58</v>
      </c>
      <c r="K208">
        <f t="shared" si="56"/>
        <v>3.4166666666666594</v>
      </c>
      <c r="L208">
        <f t="shared" si="49"/>
        <v>1.2300000000000004</v>
      </c>
      <c r="M208">
        <f t="shared" si="50"/>
        <v>0</v>
      </c>
      <c r="N208">
        <f t="shared" si="44"/>
        <v>0.33499999999999991</v>
      </c>
      <c r="Q208" t="str" cm="1">
        <f t="array" ref="Q208:R208">_xlfn.TEXTSPLIT(E208," ")</f>
        <v>27.10.2023</v>
      </c>
      <c r="R208" t="str">
        <v>03:25:58</v>
      </c>
      <c r="S208">
        <f t="shared" si="57"/>
        <v>3.4166666666666594</v>
      </c>
      <c r="T208">
        <f t="shared" si="48"/>
        <v>2.0500000000000114</v>
      </c>
      <c r="U208">
        <f t="shared" si="51"/>
        <v>0</v>
      </c>
      <c r="V208">
        <f t="shared" si="45"/>
        <v>0.53749999999999987</v>
      </c>
      <c r="AC208" t="s">
        <v>933</v>
      </c>
      <c r="AD208">
        <v>0</v>
      </c>
      <c r="AE208">
        <v>5.2</v>
      </c>
      <c r="AG208" t="str" cm="1">
        <f t="array" ref="AG208:AH208">_xlfn.TEXTSPLIT(AC209," ")</f>
        <v>26.10.2023</v>
      </c>
      <c r="AH208" t="str">
        <v>03:27:07</v>
      </c>
      <c r="AI208">
        <f t="shared" si="58"/>
        <v>3.4166666666666594</v>
      </c>
      <c r="AJ208">
        <f t="shared" si="52"/>
        <v>0.66999999999999993</v>
      </c>
      <c r="AK208">
        <f t="shared" si="53"/>
        <v>0</v>
      </c>
      <c r="AL208">
        <f t="shared" si="46"/>
        <v>0.18750000000000003</v>
      </c>
      <c r="AN208" t="s">
        <v>933</v>
      </c>
      <c r="AO208">
        <v>0</v>
      </c>
      <c r="AP208">
        <v>63.98</v>
      </c>
      <c r="AR208" t="str" cm="1">
        <f t="array" ref="AR208:AS208">_xlfn.TEXTSPLIT(AN208," ")</f>
        <v>26.10.2023</v>
      </c>
      <c r="AS208" t="str">
        <v>03:26:07</v>
      </c>
      <c r="AT208">
        <f t="shared" si="59"/>
        <v>3.4166666666666594</v>
      </c>
      <c r="AU208">
        <f t="shared" si="54"/>
        <v>2.6699999999999946</v>
      </c>
      <c r="AV208">
        <f t="shared" si="55"/>
        <v>0</v>
      </c>
      <c r="AW208">
        <f t="shared" si="47"/>
        <v>0.76249999999999973</v>
      </c>
    </row>
    <row r="209" spans="1:49" x14ac:dyDescent="0.25">
      <c r="A209" t="s">
        <v>934</v>
      </c>
      <c r="B209">
        <v>0</v>
      </c>
      <c r="C209">
        <v>15.55</v>
      </c>
      <c r="E209" t="s">
        <v>934</v>
      </c>
      <c r="F209">
        <v>0.15</v>
      </c>
      <c r="G209">
        <v>80.650000000000006</v>
      </c>
      <c r="I209" t="str" cm="1">
        <f t="array" ref="I209:J209">_xlfn.TEXTSPLIT(A209," ")</f>
        <v>27.10.2023</v>
      </c>
      <c r="J209" t="str">
        <v>03:26:59</v>
      </c>
      <c r="K209">
        <f t="shared" si="56"/>
        <v>3.433333333333326</v>
      </c>
      <c r="L209">
        <f t="shared" si="49"/>
        <v>1.2300000000000004</v>
      </c>
      <c r="M209">
        <f t="shared" si="50"/>
        <v>0</v>
      </c>
      <c r="N209">
        <f t="shared" si="44"/>
        <v>0.33499999999999991</v>
      </c>
      <c r="Q209" t="str" cm="1">
        <f t="array" ref="Q209:R209">_xlfn.TEXTSPLIT(E209," ")</f>
        <v>27.10.2023</v>
      </c>
      <c r="R209" t="str">
        <v>03:26:59</v>
      </c>
      <c r="S209">
        <f t="shared" si="57"/>
        <v>3.433333333333326</v>
      </c>
      <c r="T209">
        <f t="shared" si="48"/>
        <v>2.0500000000000114</v>
      </c>
      <c r="U209">
        <f t="shared" si="51"/>
        <v>0.15</v>
      </c>
      <c r="V209">
        <f t="shared" si="45"/>
        <v>0.53749999999999987</v>
      </c>
      <c r="AC209" t="s">
        <v>935</v>
      </c>
      <c r="AD209">
        <v>0</v>
      </c>
      <c r="AE209">
        <v>5.2</v>
      </c>
      <c r="AG209" t="str" cm="1">
        <f t="array" ref="AG209:AH209">_xlfn.TEXTSPLIT(AC210," ")</f>
        <v>26.10.2023</v>
      </c>
      <c r="AH209" t="str">
        <v>03:28:07</v>
      </c>
      <c r="AI209">
        <f t="shared" si="58"/>
        <v>3.433333333333326</v>
      </c>
      <c r="AJ209">
        <f t="shared" si="52"/>
        <v>0.66999999999999993</v>
      </c>
      <c r="AK209">
        <f t="shared" si="53"/>
        <v>0</v>
      </c>
      <c r="AL209">
        <f t="shared" si="46"/>
        <v>0.18750000000000003</v>
      </c>
      <c r="AN209" t="s">
        <v>935</v>
      </c>
      <c r="AO209">
        <v>0.15</v>
      </c>
      <c r="AP209">
        <v>63.98</v>
      </c>
      <c r="AR209" t="str" cm="1">
        <f t="array" ref="AR209:AS209">_xlfn.TEXTSPLIT(AN209," ")</f>
        <v>26.10.2023</v>
      </c>
      <c r="AS209" t="str">
        <v>03:27:07</v>
      </c>
      <c r="AT209">
        <f t="shared" si="59"/>
        <v>3.433333333333326</v>
      </c>
      <c r="AU209">
        <f t="shared" si="54"/>
        <v>2.6699999999999946</v>
      </c>
      <c r="AV209">
        <f t="shared" si="55"/>
        <v>0.15</v>
      </c>
      <c r="AW209">
        <f t="shared" si="47"/>
        <v>0.76499999999999979</v>
      </c>
    </row>
    <row r="210" spans="1:49" x14ac:dyDescent="0.25">
      <c r="A210" t="s">
        <v>936</v>
      </c>
      <c r="B210">
        <v>0</v>
      </c>
      <c r="C210">
        <v>15.55</v>
      </c>
      <c r="E210" t="s">
        <v>936</v>
      </c>
      <c r="F210">
        <v>0</v>
      </c>
      <c r="G210">
        <v>80.650000000000006</v>
      </c>
      <c r="I210" t="str" cm="1">
        <f t="array" ref="I210:J210">_xlfn.TEXTSPLIT(A210," ")</f>
        <v>27.10.2023</v>
      </c>
      <c r="J210" t="str">
        <v>03:27:59</v>
      </c>
      <c r="K210">
        <f t="shared" si="56"/>
        <v>3.4499999999999926</v>
      </c>
      <c r="L210">
        <f t="shared" si="49"/>
        <v>1.2300000000000004</v>
      </c>
      <c r="M210">
        <f t="shared" si="50"/>
        <v>0</v>
      </c>
      <c r="N210">
        <f t="shared" si="44"/>
        <v>0.33499999999999991</v>
      </c>
      <c r="Q210" t="str" cm="1">
        <f t="array" ref="Q210:R210">_xlfn.TEXTSPLIT(E210," ")</f>
        <v>27.10.2023</v>
      </c>
      <c r="R210" t="str">
        <v>03:27:59</v>
      </c>
      <c r="S210">
        <f t="shared" si="57"/>
        <v>3.4499999999999926</v>
      </c>
      <c r="T210">
        <f t="shared" si="48"/>
        <v>2.0500000000000114</v>
      </c>
      <c r="U210">
        <f t="shared" si="51"/>
        <v>0</v>
      </c>
      <c r="V210">
        <f t="shared" si="45"/>
        <v>0.53499999999999981</v>
      </c>
      <c r="AC210" t="s">
        <v>937</v>
      </c>
      <c r="AD210">
        <v>0</v>
      </c>
      <c r="AE210">
        <v>5.2</v>
      </c>
      <c r="AG210" t="str" cm="1">
        <f t="array" ref="AG210:AH210">_xlfn.TEXTSPLIT(AC211," ")</f>
        <v>26.10.2023</v>
      </c>
      <c r="AH210" t="str">
        <v>03:29:07</v>
      </c>
      <c r="AI210">
        <f t="shared" si="58"/>
        <v>3.4499999999999926</v>
      </c>
      <c r="AJ210">
        <f t="shared" si="52"/>
        <v>0.66999999999999993</v>
      </c>
      <c r="AK210">
        <f t="shared" si="53"/>
        <v>0</v>
      </c>
      <c r="AL210">
        <f t="shared" si="46"/>
        <v>0.18750000000000003</v>
      </c>
      <c r="AN210" t="s">
        <v>937</v>
      </c>
      <c r="AO210">
        <v>0.3</v>
      </c>
      <c r="AP210">
        <v>63.99</v>
      </c>
      <c r="AR210" t="str" cm="1">
        <f t="array" ref="AR210:AS210">_xlfn.TEXTSPLIT(AN210," ")</f>
        <v>26.10.2023</v>
      </c>
      <c r="AS210" t="str">
        <v>03:28:07</v>
      </c>
      <c r="AT210">
        <f t="shared" si="59"/>
        <v>3.4499999999999926</v>
      </c>
      <c r="AU210">
        <f t="shared" si="54"/>
        <v>2.6799999999999997</v>
      </c>
      <c r="AV210">
        <f t="shared" si="55"/>
        <v>0.3</v>
      </c>
      <c r="AW210">
        <f t="shared" si="47"/>
        <v>0.76749999999999985</v>
      </c>
    </row>
    <row r="211" spans="1:49" x14ac:dyDescent="0.25">
      <c r="A211" t="s">
        <v>938</v>
      </c>
      <c r="B211">
        <v>0</v>
      </c>
      <c r="C211">
        <v>15.55</v>
      </c>
      <c r="E211" t="s">
        <v>938</v>
      </c>
      <c r="F211">
        <v>0.15</v>
      </c>
      <c r="G211">
        <v>80.650000000000006</v>
      </c>
      <c r="I211" t="str" cm="1">
        <f t="array" ref="I211:J211">_xlfn.TEXTSPLIT(A211," ")</f>
        <v>27.10.2023</v>
      </c>
      <c r="J211" t="str">
        <v>03:28:59</v>
      </c>
      <c r="K211">
        <f t="shared" si="56"/>
        <v>3.4666666666666592</v>
      </c>
      <c r="L211">
        <f t="shared" si="49"/>
        <v>1.2300000000000004</v>
      </c>
      <c r="M211">
        <f t="shared" si="50"/>
        <v>0</v>
      </c>
      <c r="N211">
        <f t="shared" si="44"/>
        <v>0.33499999999999991</v>
      </c>
      <c r="Q211" t="str" cm="1">
        <f t="array" ref="Q211:R211">_xlfn.TEXTSPLIT(E211," ")</f>
        <v>27.10.2023</v>
      </c>
      <c r="R211" t="str">
        <v>03:28:59</v>
      </c>
      <c r="S211">
        <f t="shared" si="57"/>
        <v>3.4666666666666592</v>
      </c>
      <c r="T211">
        <f t="shared" si="48"/>
        <v>2.0500000000000114</v>
      </c>
      <c r="U211">
        <f t="shared" si="51"/>
        <v>0.15</v>
      </c>
      <c r="V211">
        <f t="shared" si="45"/>
        <v>0.53499999999999981</v>
      </c>
      <c r="AC211" t="s">
        <v>939</v>
      </c>
      <c r="AD211">
        <v>0</v>
      </c>
      <c r="AE211">
        <v>5.2</v>
      </c>
      <c r="AG211" t="str" cm="1">
        <f t="array" ref="AG211:AH211">_xlfn.TEXTSPLIT(AC212," ")</f>
        <v>26.10.2023</v>
      </c>
      <c r="AH211" t="str">
        <v>03:30:07</v>
      </c>
      <c r="AI211">
        <f t="shared" si="58"/>
        <v>3.4666666666666592</v>
      </c>
      <c r="AJ211">
        <f t="shared" si="52"/>
        <v>0.66999999999999993</v>
      </c>
      <c r="AK211">
        <f t="shared" si="53"/>
        <v>0</v>
      </c>
      <c r="AL211">
        <f t="shared" si="46"/>
        <v>0.18750000000000003</v>
      </c>
      <c r="AN211" t="s">
        <v>939</v>
      </c>
      <c r="AO211">
        <v>0.15</v>
      </c>
      <c r="AP211">
        <v>63.99</v>
      </c>
      <c r="AR211" t="str" cm="1">
        <f t="array" ref="AR211:AS211">_xlfn.TEXTSPLIT(AN211," ")</f>
        <v>26.10.2023</v>
      </c>
      <c r="AS211" t="str">
        <v>03:29:07</v>
      </c>
      <c r="AT211">
        <f t="shared" si="59"/>
        <v>3.4666666666666592</v>
      </c>
      <c r="AU211">
        <f t="shared" si="54"/>
        <v>2.6799999999999997</v>
      </c>
      <c r="AV211">
        <f t="shared" si="55"/>
        <v>0.15</v>
      </c>
      <c r="AW211">
        <f t="shared" si="47"/>
        <v>0.76749999999999974</v>
      </c>
    </row>
    <row r="212" spans="1:49" x14ac:dyDescent="0.25">
      <c r="A212" t="s">
        <v>940</v>
      </c>
      <c r="B212">
        <v>0</v>
      </c>
      <c r="C212">
        <v>15.55</v>
      </c>
      <c r="E212" t="s">
        <v>940</v>
      </c>
      <c r="F212">
        <v>0.15</v>
      </c>
      <c r="G212">
        <v>80.650000000000006</v>
      </c>
      <c r="I212" t="str" cm="1">
        <f t="array" ref="I212:J212">_xlfn.TEXTSPLIT(A212," ")</f>
        <v>27.10.2023</v>
      </c>
      <c r="J212" t="str">
        <v>03:29:59</v>
      </c>
      <c r="K212">
        <f t="shared" si="56"/>
        <v>3.4833333333333258</v>
      </c>
      <c r="L212">
        <f t="shared" si="49"/>
        <v>1.2300000000000004</v>
      </c>
      <c r="M212">
        <f t="shared" si="50"/>
        <v>0</v>
      </c>
      <c r="N212">
        <f t="shared" si="44"/>
        <v>0.33499999999999991</v>
      </c>
      <c r="Q212" t="str" cm="1">
        <f t="array" ref="Q212:R212">_xlfn.TEXTSPLIT(E212," ")</f>
        <v>27.10.2023</v>
      </c>
      <c r="R212" t="str">
        <v>03:29:59</v>
      </c>
      <c r="S212">
        <f t="shared" si="57"/>
        <v>3.4833333333333258</v>
      </c>
      <c r="T212">
        <f t="shared" si="48"/>
        <v>2.0500000000000114</v>
      </c>
      <c r="U212">
        <f t="shared" si="51"/>
        <v>0.15</v>
      </c>
      <c r="V212">
        <f t="shared" si="45"/>
        <v>0.53749999999999976</v>
      </c>
      <c r="AC212" t="s">
        <v>941</v>
      </c>
      <c r="AD212">
        <v>0</v>
      </c>
      <c r="AE212">
        <v>5.2</v>
      </c>
      <c r="AG212" t="str" cm="1">
        <f t="array" ref="AG212:AH212">_xlfn.TEXTSPLIT(AC213," ")</f>
        <v>26.10.2023</v>
      </c>
      <c r="AH212" t="str">
        <v>03:31:08</v>
      </c>
      <c r="AI212">
        <f t="shared" si="58"/>
        <v>3.4833333333333258</v>
      </c>
      <c r="AJ212">
        <f t="shared" si="52"/>
        <v>0.66999999999999993</v>
      </c>
      <c r="AK212">
        <f t="shared" si="53"/>
        <v>0</v>
      </c>
      <c r="AL212">
        <f t="shared" si="46"/>
        <v>0.18750000000000003</v>
      </c>
      <c r="AN212" t="s">
        <v>941</v>
      </c>
      <c r="AO212">
        <v>0.3</v>
      </c>
      <c r="AP212">
        <v>64</v>
      </c>
      <c r="AR212" t="str" cm="1">
        <f t="array" ref="AR212:AS212">_xlfn.TEXTSPLIT(AN212," ")</f>
        <v>26.10.2023</v>
      </c>
      <c r="AS212" t="str">
        <v>03:30:07</v>
      </c>
      <c r="AT212">
        <f t="shared" si="59"/>
        <v>3.4833333333333258</v>
      </c>
      <c r="AU212">
        <f t="shared" si="54"/>
        <v>2.6899999999999977</v>
      </c>
      <c r="AV212">
        <f t="shared" si="55"/>
        <v>0.3</v>
      </c>
      <c r="AW212">
        <f t="shared" si="47"/>
        <v>0.76749999999999974</v>
      </c>
    </row>
    <row r="213" spans="1:49" x14ac:dyDescent="0.25">
      <c r="A213" t="s">
        <v>942</v>
      </c>
      <c r="B213">
        <v>0</v>
      </c>
      <c r="C213">
        <v>15.55</v>
      </c>
      <c r="E213" t="s">
        <v>942</v>
      </c>
      <c r="F213">
        <v>0</v>
      </c>
      <c r="G213">
        <v>80.650000000000006</v>
      </c>
      <c r="I213" t="str" cm="1">
        <f t="array" ref="I213:J213">_xlfn.TEXTSPLIT(A213," ")</f>
        <v>27.10.2023</v>
      </c>
      <c r="J213" t="str">
        <v>03:30:59</v>
      </c>
      <c r="K213">
        <f t="shared" si="56"/>
        <v>3.4999999999999925</v>
      </c>
      <c r="L213">
        <f t="shared" si="49"/>
        <v>1.2300000000000004</v>
      </c>
      <c r="M213">
        <f t="shared" si="50"/>
        <v>0</v>
      </c>
      <c r="N213">
        <f t="shared" si="44"/>
        <v>0.33499999999999991</v>
      </c>
      <c r="Q213" t="str" cm="1">
        <f t="array" ref="Q213:R213">_xlfn.TEXTSPLIT(E213," ")</f>
        <v>27.10.2023</v>
      </c>
      <c r="R213" t="str">
        <v>03:30:59</v>
      </c>
      <c r="S213">
        <f t="shared" si="57"/>
        <v>3.4999999999999925</v>
      </c>
      <c r="T213">
        <f t="shared" si="48"/>
        <v>2.0500000000000114</v>
      </c>
      <c r="U213">
        <f t="shared" si="51"/>
        <v>0</v>
      </c>
      <c r="V213">
        <f t="shared" si="45"/>
        <v>0.5299999999999998</v>
      </c>
      <c r="AC213" t="s">
        <v>943</v>
      </c>
      <c r="AD213">
        <v>0</v>
      </c>
      <c r="AE213">
        <v>5.2</v>
      </c>
      <c r="AG213" t="str" cm="1">
        <f t="array" ref="AG213:AH213">_xlfn.TEXTSPLIT(AC214," ")</f>
        <v>26.10.2023</v>
      </c>
      <c r="AH213" t="str">
        <v>03:32:08</v>
      </c>
      <c r="AI213">
        <f t="shared" si="58"/>
        <v>3.4999999999999925</v>
      </c>
      <c r="AJ213">
        <f t="shared" si="52"/>
        <v>0.66999999999999993</v>
      </c>
      <c r="AK213">
        <f t="shared" si="53"/>
        <v>0</v>
      </c>
      <c r="AL213">
        <f t="shared" si="46"/>
        <v>0.18750000000000003</v>
      </c>
      <c r="AN213" t="s">
        <v>943</v>
      </c>
      <c r="AO213">
        <v>0.45</v>
      </c>
      <c r="AP213">
        <v>64</v>
      </c>
      <c r="AR213" t="str" cm="1">
        <f t="array" ref="AR213:AS213">_xlfn.TEXTSPLIT(AN213," ")</f>
        <v>26.10.2023</v>
      </c>
      <c r="AS213" t="str">
        <v>03:31:08</v>
      </c>
      <c r="AT213">
        <f t="shared" si="59"/>
        <v>3.4999999999999925</v>
      </c>
      <c r="AU213">
        <f t="shared" si="54"/>
        <v>2.6899999999999977</v>
      </c>
      <c r="AV213">
        <f t="shared" si="55"/>
        <v>0.45</v>
      </c>
      <c r="AW213">
        <f t="shared" si="47"/>
        <v>0.76999999999999968</v>
      </c>
    </row>
    <row r="214" spans="1:49" x14ac:dyDescent="0.25">
      <c r="A214" t="s">
        <v>944</v>
      </c>
      <c r="B214">
        <v>0</v>
      </c>
      <c r="C214">
        <v>15.55</v>
      </c>
      <c r="E214" t="s">
        <v>944</v>
      </c>
      <c r="F214">
        <v>0.3</v>
      </c>
      <c r="G214">
        <v>80.66</v>
      </c>
      <c r="I214" t="str" cm="1">
        <f t="array" ref="I214:J214">_xlfn.TEXTSPLIT(A214," ")</f>
        <v>27.10.2023</v>
      </c>
      <c r="J214" t="str">
        <v>03:31:59</v>
      </c>
      <c r="K214">
        <f t="shared" si="56"/>
        <v>3.5166666666666591</v>
      </c>
      <c r="L214">
        <f t="shared" si="49"/>
        <v>1.2300000000000004</v>
      </c>
      <c r="M214">
        <f t="shared" si="50"/>
        <v>0</v>
      </c>
      <c r="N214">
        <f t="shared" si="44"/>
        <v>0.33499999999999991</v>
      </c>
      <c r="Q214" t="str" cm="1">
        <f t="array" ref="Q214:R214">_xlfn.TEXTSPLIT(E214," ")</f>
        <v>27.10.2023</v>
      </c>
      <c r="R214" t="str">
        <v>03:31:59</v>
      </c>
      <c r="S214">
        <f t="shared" si="57"/>
        <v>3.5166666666666591</v>
      </c>
      <c r="T214">
        <f t="shared" si="48"/>
        <v>2.0600000000000023</v>
      </c>
      <c r="U214">
        <f t="shared" si="51"/>
        <v>0.3</v>
      </c>
      <c r="V214">
        <f t="shared" si="45"/>
        <v>0.5299999999999998</v>
      </c>
      <c r="AC214" t="s">
        <v>945</v>
      </c>
      <c r="AD214">
        <v>0</v>
      </c>
      <c r="AE214">
        <v>5.2</v>
      </c>
      <c r="AG214" t="str" cm="1">
        <f t="array" ref="AG214:AH214">_xlfn.TEXTSPLIT(AC215," ")</f>
        <v>26.10.2023</v>
      </c>
      <c r="AH214" t="str">
        <v>03:33:08</v>
      </c>
      <c r="AI214">
        <f t="shared" si="58"/>
        <v>3.5166666666666591</v>
      </c>
      <c r="AJ214">
        <f t="shared" si="52"/>
        <v>0.66999999999999993</v>
      </c>
      <c r="AK214">
        <f t="shared" si="53"/>
        <v>0</v>
      </c>
      <c r="AL214">
        <f t="shared" si="46"/>
        <v>0.18750000000000003</v>
      </c>
      <c r="AN214" t="s">
        <v>945</v>
      </c>
      <c r="AO214">
        <v>0.45</v>
      </c>
      <c r="AP214">
        <v>64.010000000000005</v>
      </c>
      <c r="AR214" t="str" cm="1">
        <f t="array" ref="AR214:AS214">_xlfn.TEXTSPLIT(AN214," ")</f>
        <v>26.10.2023</v>
      </c>
      <c r="AS214" t="str">
        <v>03:32:08</v>
      </c>
      <c r="AT214">
        <f t="shared" si="59"/>
        <v>3.5166666666666591</v>
      </c>
      <c r="AU214">
        <f t="shared" si="54"/>
        <v>2.7000000000000028</v>
      </c>
      <c r="AV214">
        <f t="shared" si="55"/>
        <v>0.45</v>
      </c>
      <c r="AW214">
        <f t="shared" si="47"/>
        <v>0.77249999999999963</v>
      </c>
    </row>
    <row r="215" spans="1:49" x14ac:dyDescent="0.25">
      <c r="A215" t="s">
        <v>946</v>
      </c>
      <c r="B215">
        <v>0</v>
      </c>
      <c r="C215">
        <v>15.55</v>
      </c>
      <c r="E215" t="s">
        <v>946</v>
      </c>
      <c r="F215">
        <v>0.15</v>
      </c>
      <c r="G215">
        <v>80.66</v>
      </c>
      <c r="I215" t="str" cm="1">
        <f t="array" ref="I215:J215">_xlfn.TEXTSPLIT(A215," ")</f>
        <v>27.10.2023</v>
      </c>
      <c r="J215" t="str">
        <v>03:32:59</v>
      </c>
      <c r="K215">
        <f t="shared" si="56"/>
        <v>3.5333333333333257</v>
      </c>
      <c r="L215">
        <f t="shared" si="49"/>
        <v>1.2300000000000004</v>
      </c>
      <c r="M215">
        <f t="shared" si="50"/>
        <v>0</v>
      </c>
      <c r="N215">
        <f t="shared" si="44"/>
        <v>0.33499999999999991</v>
      </c>
      <c r="Q215" t="str" cm="1">
        <f t="array" ref="Q215:R215">_xlfn.TEXTSPLIT(E215," ")</f>
        <v>27.10.2023</v>
      </c>
      <c r="R215" t="str">
        <v>03:32:59</v>
      </c>
      <c r="S215">
        <f t="shared" si="57"/>
        <v>3.5333333333333257</v>
      </c>
      <c r="T215">
        <f t="shared" si="48"/>
        <v>2.0600000000000023</v>
      </c>
      <c r="U215">
        <f t="shared" si="51"/>
        <v>0.15</v>
      </c>
      <c r="V215">
        <f t="shared" si="45"/>
        <v>0.52749999999999986</v>
      </c>
      <c r="AC215" t="s">
        <v>947</v>
      </c>
      <c r="AD215">
        <v>0</v>
      </c>
      <c r="AE215">
        <v>5.2</v>
      </c>
      <c r="AG215" t="str" cm="1">
        <f t="array" ref="AG215:AH215">_xlfn.TEXTSPLIT(AC216," ")</f>
        <v>26.10.2023</v>
      </c>
      <c r="AH215" t="str">
        <v>03:34:08</v>
      </c>
      <c r="AI215">
        <f t="shared" si="58"/>
        <v>3.5333333333333257</v>
      </c>
      <c r="AJ215">
        <f t="shared" si="52"/>
        <v>0.66999999999999993</v>
      </c>
      <c r="AK215">
        <f t="shared" si="53"/>
        <v>0</v>
      </c>
      <c r="AL215">
        <f t="shared" si="46"/>
        <v>0.18750000000000003</v>
      </c>
      <c r="AN215" t="s">
        <v>947</v>
      </c>
      <c r="AO215">
        <v>0.6</v>
      </c>
      <c r="AP215">
        <v>64.02</v>
      </c>
      <c r="AR215" t="str" cm="1">
        <f t="array" ref="AR215:AS215">_xlfn.TEXTSPLIT(AN215," ")</f>
        <v>26.10.2023</v>
      </c>
      <c r="AS215" t="str">
        <v>03:33:08</v>
      </c>
      <c r="AT215">
        <f t="shared" si="59"/>
        <v>3.5333333333333257</v>
      </c>
      <c r="AU215">
        <f t="shared" si="54"/>
        <v>2.7099999999999937</v>
      </c>
      <c r="AV215">
        <f t="shared" si="55"/>
        <v>0.6</v>
      </c>
      <c r="AW215">
        <f t="shared" si="47"/>
        <v>0.77499999999999991</v>
      </c>
    </row>
    <row r="216" spans="1:49" x14ac:dyDescent="0.25">
      <c r="A216" t="s">
        <v>948</v>
      </c>
      <c r="B216">
        <v>0</v>
      </c>
      <c r="C216">
        <v>15.55</v>
      </c>
      <c r="E216" t="s">
        <v>948</v>
      </c>
      <c r="F216">
        <v>0.15</v>
      </c>
      <c r="G216">
        <v>80.67</v>
      </c>
      <c r="I216" t="str" cm="1">
        <f t="array" ref="I216:J216">_xlfn.TEXTSPLIT(A216," ")</f>
        <v>27.10.2023</v>
      </c>
      <c r="J216" t="str">
        <v>03:34:00</v>
      </c>
      <c r="K216">
        <f t="shared" si="56"/>
        <v>3.5499999999999923</v>
      </c>
      <c r="L216">
        <f t="shared" si="49"/>
        <v>1.2300000000000004</v>
      </c>
      <c r="M216">
        <f t="shared" si="50"/>
        <v>0</v>
      </c>
      <c r="N216">
        <f t="shared" si="44"/>
        <v>0.33499999999999991</v>
      </c>
      <c r="Q216" t="str" cm="1">
        <f t="array" ref="Q216:R216">_xlfn.TEXTSPLIT(E216," ")</f>
        <v>27.10.2023</v>
      </c>
      <c r="R216" t="str">
        <v>03:34:00</v>
      </c>
      <c r="S216">
        <f t="shared" si="57"/>
        <v>3.5499999999999923</v>
      </c>
      <c r="T216">
        <f t="shared" si="48"/>
        <v>2.0700000000000074</v>
      </c>
      <c r="U216">
        <f t="shared" si="51"/>
        <v>0.15</v>
      </c>
      <c r="V216">
        <f t="shared" si="45"/>
        <v>0.52749999999999986</v>
      </c>
      <c r="AC216" t="s">
        <v>949</v>
      </c>
      <c r="AD216">
        <v>0</v>
      </c>
      <c r="AE216">
        <v>5.2</v>
      </c>
      <c r="AG216" t="str" cm="1">
        <f t="array" ref="AG216:AH216">_xlfn.TEXTSPLIT(AC217," ")</f>
        <v>26.10.2023</v>
      </c>
      <c r="AH216" t="str">
        <v>03:35:08</v>
      </c>
      <c r="AI216">
        <f t="shared" si="58"/>
        <v>3.5499999999999923</v>
      </c>
      <c r="AJ216">
        <f t="shared" si="52"/>
        <v>0.66999999999999993</v>
      </c>
      <c r="AK216">
        <f t="shared" si="53"/>
        <v>0</v>
      </c>
      <c r="AL216">
        <f t="shared" si="46"/>
        <v>0.18750000000000003</v>
      </c>
      <c r="AN216" t="s">
        <v>949</v>
      </c>
      <c r="AO216">
        <v>0.75</v>
      </c>
      <c r="AP216">
        <v>64.03</v>
      </c>
      <c r="AR216" t="str" cm="1">
        <f t="array" ref="AR216:AS216">_xlfn.TEXTSPLIT(AN216," ")</f>
        <v>26.10.2023</v>
      </c>
      <c r="AS216" t="str">
        <v>03:34:08</v>
      </c>
      <c r="AT216">
        <f t="shared" si="59"/>
        <v>3.5499999999999923</v>
      </c>
      <c r="AU216">
        <f t="shared" si="54"/>
        <v>2.7199999999999989</v>
      </c>
      <c r="AV216">
        <f t="shared" si="55"/>
        <v>0.75</v>
      </c>
      <c r="AW216">
        <f t="shared" si="47"/>
        <v>0.7799999999999998</v>
      </c>
    </row>
    <row r="217" spans="1:49" x14ac:dyDescent="0.25">
      <c r="A217" t="s">
        <v>950</v>
      </c>
      <c r="B217">
        <v>0</v>
      </c>
      <c r="C217">
        <v>15.55</v>
      </c>
      <c r="E217" t="s">
        <v>950</v>
      </c>
      <c r="F217">
        <v>0.45</v>
      </c>
      <c r="G217">
        <v>80.67</v>
      </c>
      <c r="I217" t="str" cm="1">
        <f t="array" ref="I217:J217">_xlfn.TEXTSPLIT(A217," ")</f>
        <v>27.10.2023</v>
      </c>
      <c r="J217" t="str">
        <v>03:35:00</v>
      </c>
      <c r="K217">
        <f t="shared" si="56"/>
        <v>3.5666666666666589</v>
      </c>
      <c r="L217">
        <f t="shared" si="49"/>
        <v>1.2300000000000004</v>
      </c>
      <c r="M217">
        <f t="shared" si="50"/>
        <v>0</v>
      </c>
      <c r="N217">
        <f t="shared" si="44"/>
        <v>0.33499999999999991</v>
      </c>
      <c r="Q217" t="str" cm="1">
        <f t="array" ref="Q217:R217">_xlfn.TEXTSPLIT(E217," ")</f>
        <v>27.10.2023</v>
      </c>
      <c r="R217" t="str">
        <v>03:35:00</v>
      </c>
      <c r="S217">
        <f t="shared" si="57"/>
        <v>3.5666666666666589</v>
      </c>
      <c r="T217">
        <f t="shared" si="48"/>
        <v>2.0700000000000074</v>
      </c>
      <c r="U217">
        <f t="shared" si="51"/>
        <v>0.45</v>
      </c>
      <c r="V217">
        <f t="shared" si="45"/>
        <v>0.5299999999999998</v>
      </c>
      <c r="AC217" t="s">
        <v>951</v>
      </c>
      <c r="AD217">
        <v>0</v>
      </c>
      <c r="AE217">
        <v>5.2</v>
      </c>
      <c r="AG217" t="str" cm="1">
        <f t="array" ref="AG217:AH217">_xlfn.TEXTSPLIT(AC218," ")</f>
        <v>26.10.2023</v>
      </c>
      <c r="AH217" t="str">
        <v>03:36:08</v>
      </c>
      <c r="AI217">
        <f t="shared" si="58"/>
        <v>3.5666666666666589</v>
      </c>
      <c r="AJ217">
        <f t="shared" si="52"/>
        <v>0.66999999999999993</v>
      </c>
      <c r="AK217">
        <f t="shared" si="53"/>
        <v>0</v>
      </c>
      <c r="AL217">
        <f t="shared" si="46"/>
        <v>0.18750000000000003</v>
      </c>
      <c r="AN217" t="s">
        <v>951</v>
      </c>
      <c r="AO217">
        <v>0.75</v>
      </c>
      <c r="AP217">
        <v>64.05</v>
      </c>
      <c r="AR217" t="str" cm="1">
        <f t="array" ref="AR217:AS217">_xlfn.TEXTSPLIT(AN217," ")</f>
        <v>26.10.2023</v>
      </c>
      <c r="AS217" t="str">
        <v>03:35:08</v>
      </c>
      <c r="AT217">
        <f t="shared" si="59"/>
        <v>3.5666666666666589</v>
      </c>
      <c r="AU217">
        <f t="shared" si="54"/>
        <v>2.7399999999999949</v>
      </c>
      <c r="AV217">
        <f t="shared" si="55"/>
        <v>0.75</v>
      </c>
      <c r="AW217">
        <f t="shared" si="47"/>
        <v>0.78499999999999981</v>
      </c>
    </row>
    <row r="218" spans="1:49" x14ac:dyDescent="0.25">
      <c r="A218" t="s">
        <v>952</v>
      </c>
      <c r="B218">
        <v>0</v>
      </c>
      <c r="C218">
        <v>15.55</v>
      </c>
      <c r="E218" t="s">
        <v>952</v>
      </c>
      <c r="F218">
        <v>0.3</v>
      </c>
      <c r="G218">
        <v>80.680000000000007</v>
      </c>
      <c r="I218" t="str" cm="1">
        <f t="array" ref="I218:J218">_xlfn.TEXTSPLIT(A218," ")</f>
        <v>27.10.2023</v>
      </c>
      <c r="J218" t="str">
        <v>03:36:00</v>
      </c>
      <c r="K218">
        <f t="shared" si="56"/>
        <v>3.5833333333333255</v>
      </c>
      <c r="L218">
        <f t="shared" si="49"/>
        <v>1.2300000000000004</v>
      </c>
      <c r="M218">
        <f t="shared" si="50"/>
        <v>0</v>
      </c>
      <c r="N218">
        <f t="shared" si="44"/>
        <v>0.33499999999999991</v>
      </c>
      <c r="Q218" t="str" cm="1">
        <f t="array" ref="Q218:R218">_xlfn.TEXTSPLIT(E218," ")</f>
        <v>27.10.2023</v>
      </c>
      <c r="R218" t="str">
        <v>03:36:00</v>
      </c>
      <c r="S218">
        <f t="shared" si="57"/>
        <v>3.5833333333333255</v>
      </c>
      <c r="T218">
        <f t="shared" si="48"/>
        <v>2.0800000000000125</v>
      </c>
      <c r="U218">
        <f t="shared" si="51"/>
        <v>0.3</v>
      </c>
      <c r="V218">
        <f t="shared" si="45"/>
        <v>0.52999999999999992</v>
      </c>
      <c r="AC218" t="s">
        <v>953</v>
      </c>
      <c r="AD218">
        <v>0</v>
      </c>
      <c r="AE218">
        <v>5.2</v>
      </c>
      <c r="AG218" t="str" cm="1">
        <f t="array" ref="AG218:AH218">_xlfn.TEXTSPLIT(AC219," ")</f>
        <v>26.10.2023</v>
      </c>
      <c r="AH218" t="str">
        <v>03:37:08</v>
      </c>
      <c r="AI218">
        <f t="shared" si="58"/>
        <v>3.5833333333333255</v>
      </c>
      <c r="AJ218">
        <f t="shared" si="52"/>
        <v>0.66999999999999993</v>
      </c>
      <c r="AK218">
        <f t="shared" si="53"/>
        <v>0</v>
      </c>
      <c r="AL218">
        <f t="shared" si="46"/>
        <v>0.18750000000000003</v>
      </c>
      <c r="AN218" t="s">
        <v>953</v>
      </c>
      <c r="AO218">
        <v>0.9</v>
      </c>
      <c r="AP218">
        <v>64.06</v>
      </c>
      <c r="AR218" t="str" cm="1">
        <f t="array" ref="AR218:AS218">_xlfn.TEXTSPLIT(AN218," ")</f>
        <v>26.10.2023</v>
      </c>
      <c r="AS218" t="str">
        <v>03:36:08</v>
      </c>
      <c r="AT218">
        <f t="shared" si="59"/>
        <v>3.5833333333333255</v>
      </c>
      <c r="AU218">
        <f t="shared" si="54"/>
        <v>2.75</v>
      </c>
      <c r="AV218">
        <f t="shared" si="55"/>
        <v>0.9</v>
      </c>
      <c r="AW218">
        <f t="shared" si="47"/>
        <v>0.79249999999999987</v>
      </c>
    </row>
    <row r="219" spans="1:49" x14ac:dyDescent="0.25">
      <c r="A219" t="s">
        <v>954</v>
      </c>
      <c r="B219">
        <v>0</v>
      </c>
      <c r="C219">
        <v>15.56</v>
      </c>
      <c r="E219" t="s">
        <v>954</v>
      </c>
      <c r="F219">
        <v>0.6</v>
      </c>
      <c r="G219">
        <v>80.72</v>
      </c>
      <c r="I219" t="str" cm="1">
        <f t="array" ref="I219:J219">_xlfn.TEXTSPLIT(A219," ")</f>
        <v>27.10.2023</v>
      </c>
      <c r="J219" t="str">
        <v>03:37:00</v>
      </c>
      <c r="K219">
        <f t="shared" si="56"/>
        <v>3.5999999999999921</v>
      </c>
      <c r="L219">
        <f t="shared" si="49"/>
        <v>1.2400000000000002</v>
      </c>
      <c r="M219">
        <f t="shared" si="50"/>
        <v>0</v>
      </c>
      <c r="N219">
        <f t="shared" si="44"/>
        <v>0.33499999999999991</v>
      </c>
      <c r="Q219" t="str" cm="1">
        <f t="array" ref="Q219:R219">_xlfn.TEXTSPLIT(E219," ")</f>
        <v>27.10.2023</v>
      </c>
      <c r="R219" t="str">
        <v>03:37:00</v>
      </c>
      <c r="S219">
        <f t="shared" si="57"/>
        <v>3.5999999999999921</v>
      </c>
      <c r="T219">
        <f t="shared" si="48"/>
        <v>2.1200000000000045</v>
      </c>
      <c r="U219">
        <f t="shared" si="51"/>
        <v>0.6</v>
      </c>
      <c r="V219">
        <f t="shared" si="45"/>
        <v>0.53499999999999981</v>
      </c>
      <c r="AC219" t="s">
        <v>955</v>
      </c>
      <c r="AD219">
        <v>0</v>
      </c>
      <c r="AE219">
        <v>5.2</v>
      </c>
      <c r="AG219" t="str" cm="1">
        <f t="array" ref="AG219:AH219">_xlfn.TEXTSPLIT(AC220," ")</f>
        <v>26.10.2023</v>
      </c>
      <c r="AH219" t="str">
        <v>03:38:08</v>
      </c>
      <c r="AI219">
        <f t="shared" si="58"/>
        <v>3.5999999999999921</v>
      </c>
      <c r="AJ219">
        <f t="shared" si="52"/>
        <v>0.66999999999999993</v>
      </c>
      <c r="AK219">
        <f t="shared" si="53"/>
        <v>0</v>
      </c>
      <c r="AL219">
        <f t="shared" si="46"/>
        <v>0.18750000000000003</v>
      </c>
      <c r="AN219" t="s">
        <v>955</v>
      </c>
      <c r="AO219">
        <v>1.35</v>
      </c>
      <c r="AP219">
        <v>64.08</v>
      </c>
      <c r="AR219" t="str" cm="1">
        <f t="array" ref="AR219:AS219">_xlfn.TEXTSPLIT(AN219," ")</f>
        <v>26.10.2023</v>
      </c>
      <c r="AS219" t="str">
        <v>03:37:08</v>
      </c>
      <c r="AT219">
        <f t="shared" si="59"/>
        <v>3.5999999999999921</v>
      </c>
      <c r="AU219">
        <f t="shared" si="54"/>
        <v>2.769999999999996</v>
      </c>
      <c r="AV219">
        <f t="shared" si="55"/>
        <v>1.35</v>
      </c>
      <c r="AW219">
        <f t="shared" si="47"/>
        <v>0.79499999999999982</v>
      </c>
    </row>
    <row r="220" spans="1:49" x14ac:dyDescent="0.25">
      <c r="A220" t="s">
        <v>956</v>
      </c>
      <c r="B220">
        <v>1.05</v>
      </c>
      <c r="C220">
        <v>15.58</v>
      </c>
      <c r="E220" t="s">
        <v>956</v>
      </c>
      <c r="F220">
        <v>2.25</v>
      </c>
      <c r="G220">
        <v>80.760000000000005</v>
      </c>
      <c r="I220" t="str" cm="1">
        <f t="array" ref="I220:J220">_xlfn.TEXTSPLIT(A220," ")</f>
        <v>27.10.2023</v>
      </c>
      <c r="J220" t="str">
        <v>03:38:00</v>
      </c>
      <c r="K220">
        <f t="shared" si="56"/>
        <v>3.6166666666666587</v>
      </c>
      <c r="L220">
        <f t="shared" si="49"/>
        <v>1.2599999999999998</v>
      </c>
      <c r="M220">
        <f t="shared" si="50"/>
        <v>1.05</v>
      </c>
      <c r="N220">
        <f t="shared" si="44"/>
        <v>0.34999999999999992</v>
      </c>
      <c r="Q220" t="str" cm="1">
        <f t="array" ref="Q220:R220">_xlfn.TEXTSPLIT(E220," ")</f>
        <v>27.10.2023</v>
      </c>
      <c r="R220" t="str">
        <v>03:38:00</v>
      </c>
      <c r="S220">
        <f t="shared" si="57"/>
        <v>3.6166666666666587</v>
      </c>
      <c r="T220">
        <f t="shared" si="48"/>
        <v>2.1600000000000108</v>
      </c>
      <c r="U220">
        <f t="shared" si="51"/>
        <v>2.25</v>
      </c>
      <c r="V220">
        <f t="shared" si="45"/>
        <v>0.55249999999999988</v>
      </c>
      <c r="AC220" t="s">
        <v>957</v>
      </c>
      <c r="AD220">
        <v>0</v>
      </c>
      <c r="AE220">
        <v>5.2</v>
      </c>
      <c r="AG220" t="str" cm="1">
        <f t="array" ref="AG220:AH220">_xlfn.TEXTSPLIT(AC221," ")</f>
        <v>26.10.2023</v>
      </c>
      <c r="AH220" t="str">
        <v>03:39:08</v>
      </c>
      <c r="AI220">
        <f t="shared" si="58"/>
        <v>3.6166666666666587</v>
      </c>
      <c r="AJ220">
        <f t="shared" si="52"/>
        <v>0.66999999999999993</v>
      </c>
      <c r="AK220">
        <f t="shared" si="53"/>
        <v>0</v>
      </c>
      <c r="AL220">
        <f t="shared" si="46"/>
        <v>0.18750000000000003</v>
      </c>
      <c r="AN220" t="s">
        <v>957</v>
      </c>
      <c r="AO220">
        <v>1.65</v>
      </c>
      <c r="AP220">
        <v>64.11</v>
      </c>
      <c r="AR220" t="str" cm="1">
        <f t="array" ref="AR220:AS220">_xlfn.TEXTSPLIT(AN220," ")</f>
        <v>26.10.2023</v>
      </c>
      <c r="AS220" t="str">
        <v>03:38:08</v>
      </c>
      <c r="AT220">
        <f t="shared" si="59"/>
        <v>3.6166666666666587</v>
      </c>
      <c r="AU220">
        <f t="shared" si="54"/>
        <v>2.7999999999999972</v>
      </c>
      <c r="AV220">
        <f t="shared" si="55"/>
        <v>1.65</v>
      </c>
      <c r="AW220">
        <f t="shared" si="47"/>
        <v>0.77499999999999991</v>
      </c>
    </row>
    <row r="221" spans="1:49" x14ac:dyDescent="0.25">
      <c r="A221" t="s">
        <v>958</v>
      </c>
      <c r="B221">
        <v>1.65</v>
      </c>
      <c r="C221">
        <v>15.61</v>
      </c>
      <c r="E221" t="s">
        <v>958</v>
      </c>
      <c r="F221">
        <v>2.1</v>
      </c>
      <c r="G221">
        <v>80.78</v>
      </c>
      <c r="I221" t="str" cm="1">
        <f t="array" ref="I221:J221">_xlfn.TEXTSPLIT(A221," ")</f>
        <v>27.10.2023</v>
      </c>
      <c r="J221" t="str">
        <v>03:39:00</v>
      </c>
      <c r="K221">
        <f t="shared" si="56"/>
        <v>3.6333333333333253</v>
      </c>
      <c r="L221">
        <f t="shared" si="49"/>
        <v>1.2899999999999991</v>
      </c>
      <c r="M221">
        <f t="shared" si="50"/>
        <v>1.65</v>
      </c>
      <c r="N221">
        <f t="shared" si="44"/>
        <v>0.36499999999999994</v>
      </c>
      <c r="Q221" t="str" cm="1">
        <f t="array" ref="Q221:R221">_xlfn.TEXTSPLIT(E221," ")</f>
        <v>27.10.2023</v>
      </c>
      <c r="R221" t="str">
        <v>03:39:00</v>
      </c>
      <c r="S221">
        <f t="shared" si="57"/>
        <v>3.6333333333333253</v>
      </c>
      <c r="T221">
        <f t="shared" si="48"/>
        <v>2.1800000000000068</v>
      </c>
      <c r="U221">
        <f t="shared" si="51"/>
        <v>2.1</v>
      </c>
      <c r="V221">
        <f t="shared" si="45"/>
        <v>0.56249999999999989</v>
      </c>
      <c r="AC221" t="s">
        <v>959</v>
      </c>
      <c r="AD221">
        <v>0</v>
      </c>
      <c r="AE221">
        <v>5.2</v>
      </c>
      <c r="AG221" t="str" cm="1">
        <f t="array" ref="AG221:AH221">_xlfn.TEXTSPLIT(AC222," ")</f>
        <v>26.10.2023</v>
      </c>
      <c r="AH221" t="str">
        <v>03:40:09</v>
      </c>
      <c r="AI221">
        <f t="shared" si="58"/>
        <v>3.6333333333333253</v>
      </c>
      <c r="AJ221">
        <f t="shared" si="52"/>
        <v>0.66999999999999993</v>
      </c>
      <c r="AK221">
        <f t="shared" si="53"/>
        <v>0</v>
      </c>
      <c r="AL221">
        <f t="shared" si="46"/>
        <v>0.18750000000000003</v>
      </c>
      <c r="AN221" t="s">
        <v>959</v>
      </c>
      <c r="AO221">
        <v>2.7</v>
      </c>
      <c r="AP221">
        <v>64.16</v>
      </c>
      <c r="AR221" t="str" cm="1">
        <f t="array" ref="AR221:AS221">_xlfn.TEXTSPLIT(AN221," ")</f>
        <v>26.10.2023</v>
      </c>
      <c r="AS221" t="str">
        <v>03:39:08</v>
      </c>
      <c r="AT221">
        <f t="shared" si="59"/>
        <v>3.6333333333333253</v>
      </c>
      <c r="AU221">
        <f t="shared" si="54"/>
        <v>2.8499999999999943</v>
      </c>
      <c r="AV221">
        <f t="shared" si="55"/>
        <v>2.7</v>
      </c>
      <c r="AW221">
        <f t="shared" si="47"/>
        <v>0.78500000000000003</v>
      </c>
    </row>
    <row r="222" spans="1:49" x14ac:dyDescent="0.25">
      <c r="A222" t="s">
        <v>960</v>
      </c>
      <c r="B222">
        <v>1.65</v>
      </c>
      <c r="C222">
        <v>15.63</v>
      </c>
      <c r="E222" t="s">
        <v>960</v>
      </c>
      <c r="F222">
        <v>1.5</v>
      </c>
      <c r="G222">
        <v>80.81</v>
      </c>
      <c r="I222" t="str" cm="1">
        <f t="array" ref="I222:J222">_xlfn.TEXTSPLIT(A222," ")</f>
        <v>27.10.2023</v>
      </c>
      <c r="J222" t="str">
        <v>03:40:01</v>
      </c>
      <c r="K222">
        <f t="shared" si="56"/>
        <v>3.6499999999999919</v>
      </c>
      <c r="L222">
        <f t="shared" si="49"/>
        <v>1.3100000000000005</v>
      </c>
      <c r="M222">
        <f t="shared" si="50"/>
        <v>1.65</v>
      </c>
      <c r="N222">
        <f t="shared" si="44"/>
        <v>0.36749999999999994</v>
      </c>
      <c r="Q222" t="str" cm="1">
        <f t="array" ref="Q222:R222">_xlfn.TEXTSPLIT(E222," ")</f>
        <v>27.10.2023</v>
      </c>
      <c r="R222" t="str">
        <v>03:40:01</v>
      </c>
      <c r="S222">
        <f t="shared" si="57"/>
        <v>3.6499999999999919</v>
      </c>
      <c r="T222">
        <f t="shared" si="48"/>
        <v>2.210000000000008</v>
      </c>
      <c r="U222">
        <f t="shared" si="51"/>
        <v>1.5</v>
      </c>
      <c r="V222">
        <f t="shared" si="45"/>
        <v>0.54749999999999988</v>
      </c>
      <c r="AC222" t="s">
        <v>961</v>
      </c>
      <c r="AD222">
        <v>1.2</v>
      </c>
      <c r="AE222">
        <v>5.22</v>
      </c>
      <c r="AG222" t="str" cm="1">
        <f t="array" ref="AG222:AH222">_xlfn.TEXTSPLIT(AC223," ")</f>
        <v>26.10.2023</v>
      </c>
      <c r="AH222" t="str">
        <v>03:41:09</v>
      </c>
      <c r="AI222">
        <f t="shared" si="58"/>
        <v>3.6499999999999919</v>
      </c>
      <c r="AJ222">
        <f t="shared" si="52"/>
        <v>0.6899999999999995</v>
      </c>
      <c r="AK222">
        <f t="shared" si="53"/>
        <v>1.2</v>
      </c>
      <c r="AL222">
        <f t="shared" si="46"/>
        <v>0.18000000000000002</v>
      </c>
      <c r="AN222" t="s">
        <v>961</v>
      </c>
      <c r="AO222">
        <v>2.4</v>
      </c>
      <c r="AP222">
        <v>64.2</v>
      </c>
      <c r="AR222" t="str" cm="1">
        <f t="array" ref="AR222:AS222">_xlfn.TEXTSPLIT(AN222," ")</f>
        <v>26.10.2023</v>
      </c>
      <c r="AS222" t="str">
        <v>03:40:09</v>
      </c>
      <c r="AT222">
        <f t="shared" si="59"/>
        <v>3.6499999999999919</v>
      </c>
      <c r="AU222">
        <f t="shared" si="54"/>
        <v>2.8900000000000006</v>
      </c>
      <c r="AV222">
        <f t="shared" si="55"/>
        <v>2.4</v>
      </c>
      <c r="AW222">
        <f t="shared" si="47"/>
        <v>0.79250000000000009</v>
      </c>
    </row>
    <row r="223" spans="1:49" x14ac:dyDescent="0.25">
      <c r="A223" t="s">
        <v>962</v>
      </c>
      <c r="B223">
        <v>1.65</v>
      </c>
      <c r="C223">
        <v>15.66</v>
      </c>
      <c r="E223" t="s">
        <v>962</v>
      </c>
      <c r="F223">
        <v>1.35</v>
      </c>
      <c r="G223">
        <v>80.83</v>
      </c>
      <c r="I223" t="str" cm="1">
        <f t="array" ref="I223:J223">_xlfn.TEXTSPLIT(A223," ")</f>
        <v>27.10.2023</v>
      </c>
      <c r="J223" t="str">
        <v>03:41:01</v>
      </c>
      <c r="K223">
        <f t="shared" si="56"/>
        <v>3.6666666666666585</v>
      </c>
      <c r="L223">
        <f t="shared" si="49"/>
        <v>1.3399999999999999</v>
      </c>
      <c r="M223">
        <f t="shared" si="50"/>
        <v>1.65</v>
      </c>
      <c r="N223">
        <f t="shared" si="44"/>
        <v>0.36749999999999994</v>
      </c>
      <c r="Q223" t="str" cm="1">
        <f t="array" ref="Q223:R223">_xlfn.TEXTSPLIT(E223," ")</f>
        <v>27.10.2023</v>
      </c>
      <c r="R223" t="str">
        <v>03:41:01</v>
      </c>
      <c r="S223">
        <f t="shared" si="57"/>
        <v>3.6666666666666585</v>
      </c>
      <c r="T223">
        <f t="shared" si="48"/>
        <v>2.230000000000004</v>
      </c>
      <c r="U223">
        <f t="shared" si="51"/>
        <v>1.35</v>
      </c>
      <c r="V223">
        <f t="shared" si="45"/>
        <v>0.54749999999999988</v>
      </c>
      <c r="AC223" t="s">
        <v>963</v>
      </c>
      <c r="AD223">
        <v>1.05</v>
      </c>
      <c r="AE223">
        <v>5.24</v>
      </c>
      <c r="AG223" t="str" cm="1">
        <f t="array" ref="AG223:AH223">_xlfn.TEXTSPLIT(AC224," ")</f>
        <v>26.10.2023</v>
      </c>
      <c r="AH223" t="str">
        <v>03:42:09</v>
      </c>
      <c r="AI223">
        <f t="shared" si="58"/>
        <v>3.6666666666666585</v>
      </c>
      <c r="AJ223">
        <f t="shared" si="52"/>
        <v>0.71</v>
      </c>
      <c r="AK223">
        <f t="shared" si="53"/>
        <v>1.05</v>
      </c>
      <c r="AL223">
        <f t="shared" si="46"/>
        <v>0.17750000000000005</v>
      </c>
      <c r="AN223" t="s">
        <v>963</v>
      </c>
      <c r="AO223">
        <v>1.2</v>
      </c>
      <c r="AP223">
        <v>64.209999999999994</v>
      </c>
      <c r="AR223" t="str" cm="1">
        <f t="array" ref="AR223:AS223">_xlfn.TEXTSPLIT(AN223," ")</f>
        <v>26.10.2023</v>
      </c>
      <c r="AS223" t="str">
        <v>03:41:09</v>
      </c>
      <c r="AT223">
        <f t="shared" si="59"/>
        <v>3.6666666666666585</v>
      </c>
      <c r="AU223">
        <f t="shared" si="54"/>
        <v>2.8999999999999915</v>
      </c>
      <c r="AV223">
        <f t="shared" si="55"/>
        <v>1.2</v>
      </c>
      <c r="AW223">
        <f t="shared" si="47"/>
        <v>0.77749999999999997</v>
      </c>
    </row>
    <row r="224" spans="1:49" x14ac:dyDescent="0.25">
      <c r="A224" t="s">
        <v>964</v>
      </c>
      <c r="B224">
        <v>0.75</v>
      </c>
      <c r="C224">
        <v>15.67</v>
      </c>
      <c r="E224" t="s">
        <v>964</v>
      </c>
      <c r="F224">
        <v>1.5</v>
      </c>
      <c r="G224">
        <v>80.86</v>
      </c>
      <c r="I224" t="str" cm="1">
        <f t="array" ref="I224:J224">_xlfn.TEXTSPLIT(A224," ")</f>
        <v>27.10.2023</v>
      </c>
      <c r="J224" t="str">
        <v>03:42:01</v>
      </c>
      <c r="K224">
        <f t="shared" si="56"/>
        <v>3.6833333333333251</v>
      </c>
      <c r="L224">
        <f t="shared" si="49"/>
        <v>1.3499999999999996</v>
      </c>
      <c r="M224">
        <f t="shared" si="50"/>
        <v>0.75</v>
      </c>
      <c r="N224">
        <f t="shared" si="44"/>
        <v>0.34749999999999998</v>
      </c>
      <c r="Q224" t="str" cm="1">
        <f t="array" ref="Q224:R224">_xlfn.TEXTSPLIT(E224," ")</f>
        <v>27.10.2023</v>
      </c>
      <c r="R224" t="str">
        <v>03:42:01</v>
      </c>
      <c r="S224">
        <f t="shared" si="57"/>
        <v>3.6833333333333251</v>
      </c>
      <c r="T224">
        <f t="shared" si="48"/>
        <v>2.2600000000000051</v>
      </c>
      <c r="U224">
        <f t="shared" si="51"/>
        <v>1.5</v>
      </c>
      <c r="V224">
        <f t="shared" si="45"/>
        <v>0.55999999999999994</v>
      </c>
      <c r="AC224" t="s">
        <v>965</v>
      </c>
      <c r="AD224">
        <v>0.9</v>
      </c>
      <c r="AE224">
        <v>5.25</v>
      </c>
      <c r="AG224" t="str" cm="1">
        <f t="array" ref="AG224:AH224">_xlfn.TEXTSPLIT(AC225," ")</f>
        <v>26.10.2023</v>
      </c>
      <c r="AH224" t="str">
        <v>03:43:09</v>
      </c>
      <c r="AI224">
        <f t="shared" si="58"/>
        <v>3.6833333333333251</v>
      </c>
      <c r="AJ224">
        <f t="shared" si="52"/>
        <v>0.71999999999999975</v>
      </c>
      <c r="AK224">
        <f t="shared" si="53"/>
        <v>0.9</v>
      </c>
      <c r="AL224">
        <f t="shared" si="46"/>
        <v>0.17750000000000005</v>
      </c>
      <c r="AN224" t="s">
        <v>965</v>
      </c>
      <c r="AO224">
        <v>0.6</v>
      </c>
      <c r="AP224">
        <v>64.23</v>
      </c>
      <c r="AR224" t="str" cm="1">
        <f t="array" ref="AR224:AS224">_xlfn.TEXTSPLIT(AN224," ")</f>
        <v>26.10.2023</v>
      </c>
      <c r="AS224" t="str">
        <v>03:42:09</v>
      </c>
      <c r="AT224">
        <f t="shared" si="59"/>
        <v>3.6833333333333251</v>
      </c>
      <c r="AU224">
        <f t="shared" si="54"/>
        <v>2.9200000000000017</v>
      </c>
      <c r="AV224">
        <f t="shared" si="55"/>
        <v>0.6</v>
      </c>
      <c r="AW224">
        <f t="shared" si="47"/>
        <v>0.76250000000000007</v>
      </c>
    </row>
    <row r="225" spans="1:49" x14ac:dyDescent="0.25">
      <c r="A225" t="s">
        <v>966</v>
      </c>
      <c r="B225">
        <v>0.75</v>
      </c>
      <c r="C225">
        <v>15.69</v>
      </c>
      <c r="E225" t="s">
        <v>966</v>
      </c>
      <c r="F225">
        <v>0.9</v>
      </c>
      <c r="G225">
        <v>80.87</v>
      </c>
      <c r="I225" t="str" cm="1">
        <f t="array" ref="I225:J225">_xlfn.TEXTSPLIT(A225," ")</f>
        <v>27.10.2023</v>
      </c>
      <c r="J225" t="str">
        <v>03:43:01</v>
      </c>
      <c r="K225">
        <f t="shared" si="56"/>
        <v>3.6999999999999917</v>
      </c>
      <c r="L225">
        <f t="shared" si="49"/>
        <v>1.3699999999999992</v>
      </c>
      <c r="M225">
        <f t="shared" si="50"/>
        <v>0.75</v>
      </c>
      <c r="N225">
        <f t="shared" si="44"/>
        <v>0.34499999999999997</v>
      </c>
      <c r="Q225" t="str" cm="1">
        <f t="array" ref="Q225:R225">_xlfn.TEXTSPLIT(E225," ")</f>
        <v>27.10.2023</v>
      </c>
      <c r="R225" t="str">
        <v>03:43:01</v>
      </c>
      <c r="S225">
        <f t="shared" si="57"/>
        <v>3.6999999999999917</v>
      </c>
      <c r="T225">
        <f t="shared" si="48"/>
        <v>2.2700000000000102</v>
      </c>
      <c r="U225">
        <f t="shared" si="51"/>
        <v>0.9</v>
      </c>
      <c r="V225">
        <f t="shared" si="45"/>
        <v>0.56249999999999989</v>
      </c>
      <c r="AC225" t="s">
        <v>967</v>
      </c>
      <c r="AD225">
        <v>0.6</v>
      </c>
      <c r="AE225">
        <v>5.26</v>
      </c>
      <c r="AG225" t="str" cm="1">
        <f t="array" ref="AG225:AH225">_xlfn.TEXTSPLIT(AC226," ")</f>
        <v>26.10.2023</v>
      </c>
      <c r="AH225" t="str">
        <v>03:44:09</v>
      </c>
      <c r="AI225">
        <f t="shared" si="58"/>
        <v>3.6999999999999917</v>
      </c>
      <c r="AJ225">
        <f t="shared" si="52"/>
        <v>0.72999999999999954</v>
      </c>
      <c r="AK225">
        <f t="shared" si="53"/>
        <v>0.6</v>
      </c>
      <c r="AL225">
        <f t="shared" si="46"/>
        <v>0.17500000000000002</v>
      </c>
      <c r="AN225" t="s">
        <v>967</v>
      </c>
      <c r="AO225">
        <v>0.9</v>
      </c>
      <c r="AP225">
        <v>64.239999999999995</v>
      </c>
      <c r="AR225" t="str" cm="1">
        <f t="array" ref="AR225:AS225">_xlfn.TEXTSPLIT(AN225," ")</f>
        <v>26.10.2023</v>
      </c>
      <c r="AS225" t="str">
        <v>03:43:09</v>
      </c>
      <c r="AT225">
        <f t="shared" si="59"/>
        <v>3.6999999999999917</v>
      </c>
      <c r="AU225">
        <f t="shared" si="54"/>
        <v>2.9299999999999926</v>
      </c>
      <c r="AV225">
        <f t="shared" si="55"/>
        <v>0.9</v>
      </c>
      <c r="AW225">
        <f t="shared" si="47"/>
        <v>0.76</v>
      </c>
    </row>
    <row r="226" spans="1:49" x14ac:dyDescent="0.25">
      <c r="A226" t="s">
        <v>968</v>
      </c>
      <c r="B226">
        <v>1.2</v>
      </c>
      <c r="C226">
        <v>15.71</v>
      </c>
      <c r="E226" t="s">
        <v>968</v>
      </c>
      <c r="F226">
        <v>0.75</v>
      </c>
      <c r="G226">
        <v>80.89</v>
      </c>
      <c r="I226" t="str" cm="1">
        <f t="array" ref="I226:J226">_xlfn.TEXTSPLIT(A226," ")</f>
        <v>27.10.2023</v>
      </c>
      <c r="J226" t="str">
        <v>03:44:01</v>
      </c>
      <c r="K226">
        <f t="shared" si="56"/>
        <v>3.7166666666666583</v>
      </c>
      <c r="L226">
        <f t="shared" si="49"/>
        <v>1.3900000000000006</v>
      </c>
      <c r="M226">
        <f t="shared" si="50"/>
        <v>1.2</v>
      </c>
      <c r="N226">
        <f t="shared" si="44"/>
        <v>0.35499999999999993</v>
      </c>
      <c r="Q226" t="str" cm="1">
        <f t="array" ref="Q226:R226">_xlfn.TEXTSPLIT(E226," ")</f>
        <v>27.10.2023</v>
      </c>
      <c r="R226" t="str">
        <v>03:44:01</v>
      </c>
      <c r="S226">
        <f t="shared" si="57"/>
        <v>3.7166666666666583</v>
      </c>
      <c r="T226">
        <f t="shared" si="48"/>
        <v>2.2900000000000063</v>
      </c>
      <c r="U226">
        <f t="shared" si="51"/>
        <v>0.75</v>
      </c>
      <c r="V226">
        <f t="shared" si="45"/>
        <v>0.56499999999999995</v>
      </c>
      <c r="AC226" t="s">
        <v>969</v>
      </c>
      <c r="AD226">
        <v>0.45</v>
      </c>
      <c r="AE226">
        <v>5.27</v>
      </c>
      <c r="AG226" t="str" cm="1">
        <f t="array" ref="AG226:AH226">_xlfn.TEXTSPLIT(AC227," ")</f>
        <v>26.10.2023</v>
      </c>
      <c r="AH226" t="str">
        <v>03:45:09</v>
      </c>
      <c r="AI226">
        <f t="shared" si="58"/>
        <v>3.7166666666666583</v>
      </c>
      <c r="AJ226">
        <f t="shared" si="52"/>
        <v>0.73999999999999932</v>
      </c>
      <c r="AK226">
        <f t="shared" si="53"/>
        <v>0.45</v>
      </c>
      <c r="AL226">
        <f t="shared" si="46"/>
        <v>0.17</v>
      </c>
      <c r="AN226" t="s">
        <v>969</v>
      </c>
      <c r="AO226">
        <v>0.6</v>
      </c>
      <c r="AP226">
        <v>64.25</v>
      </c>
      <c r="AR226" t="str" cm="1">
        <f t="array" ref="AR226:AS226">_xlfn.TEXTSPLIT(AN226," ")</f>
        <v>26.10.2023</v>
      </c>
      <c r="AS226" t="str">
        <v>03:44:09</v>
      </c>
      <c r="AT226">
        <f t="shared" si="59"/>
        <v>3.7166666666666583</v>
      </c>
      <c r="AU226">
        <f t="shared" si="54"/>
        <v>2.9399999999999977</v>
      </c>
      <c r="AV226">
        <f t="shared" si="55"/>
        <v>0.6</v>
      </c>
      <c r="AW226">
        <f t="shared" si="47"/>
        <v>0.75750000000000006</v>
      </c>
    </row>
    <row r="227" spans="1:49" x14ac:dyDescent="0.25">
      <c r="A227" t="s">
        <v>970</v>
      </c>
      <c r="B227">
        <v>0.6</v>
      </c>
      <c r="C227">
        <v>15.72</v>
      </c>
      <c r="E227" t="s">
        <v>970</v>
      </c>
      <c r="F227">
        <v>0.75</v>
      </c>
      <c r="G227">
        <v>80.900000000000006</v>
      </c>
      <c r="I227" t="str" cm="1">
        <f t="array" ref="I227:J227">_xlfn.TEXTSPLIT(A227," ")</f>
        <v>27.10.2023</v>
      </c>
      <c r="J227" t="str">
        <v>03:45:01</v>
      </c>
      <c r="K227">
        <f t="shared" si="56"/>
        <v>3.733333333333325</v>
      </c>
      <c r="L227">
        <f t="shared" si="49"/>
        <v>1.4000000000000004</v>
      </c>
      <c r="M227">
        <f t="shared" si="50"/>
        <v>0.6</v>
      </c>
      <c r="N227">
        <f t="shared" si="44"/>
        <v>0.35749999999999998</v>
      </c>
      <c r="Q227" t="str" cm="1">
        <f t="array" ref="Q227:R227">_xlfn.TEXTSPLIT(E227," ")</f>
        <v>27.10.2023</v>
      </c>
      <c r="R227" t="str">
        <v>03:45:01</v>
      </c>
      <c r="S227">
        <f t="shared" si="57"/>
        <v>3.733333333333325</v>
      </c>
      <c r="T227">
        <f t="shared" si="48"/>
        <v>2.3000000000000114</v>
      </c>
      <c r="U227">
        <f t="shared" si="51"/>
        <v>0.75</v>
      </c>
      <c r="V227">
        <f t="shared" si="45"/>
        <v>0.57000000000000006</v>
      </c>
      <c r="AC227" t="s">
        <v>971</v>
      </c>
      <c r="AD227">
        <v>0</v>
      </c>
      <c r="AE227">
        <v>5.27</v>
      </c>
      <c r="AG227" t="str" cm="1">
        <f t="array" ref="AG227:AH227">_xlfn.TEXTSPLIT(AC228," ")</f>
        <v>26.10.2023</v>
      </c>
      <c r="AH227" t="str">
        <v>03:46:09</v>
      </c>
      <c r="AI227">
        <f t="shared" si="58"/>
        <v>3.733333333333325</v>
      </c>
      <c r="AJ227">
        <f t="shared" si="52"/>
        <v>0.73999999999999932</v>
      </c>
      <c r="AK227">
        <f t="shared" si="53"/>
        <v>0</v>
      </c>
      <c r="AL227">
        <f t="shared" si="46"/>
        <v>0.16</v>
      </c>
      <c r="AN227" t="s">
        <v>971</v>
      </c>
      <c r="AO227">
        <v>0.9</v>
      </c>
      <c r="AP227">
        <v>64.27</v>
      </c>
      <c r="AR227" t="str" cm="1">
        <f t="array" ref="AR227:AS227">_xlfn.TEXTSPLIT(AN227," ")</f>
        <v>26.10.2023</v>
      </c>
      <c r="AS227" t="str">
        <v>03:45:09</v>
      </c>
      <c r="AT227">
        <f t="shared" si="59"/>
        <v>3.733333333333325</v>
      </c>
      <c r="AU227">
        <f t="shared" si="54"/>
        <v>2.9599999999999937</v>
      </c>
      <c r="AV227">
        <f t="shared" si="55"/>
        <v>0.9</v>
      </c>
      <c r="AW227">
        <f t="shared" si="47"/>
        <v>0.755</v>
      </c>
    </row>
    <row r="228" spans="1:49" x14ac:dyDescent="0.25">
      <c r="A228" t="s">
        <v>972</v>
      </c>
      <c r="B228">
        <v>0.6</v>
      </c>
      <c r="C228">
        <v>15.73</v>
      </c>
      <c r="E228" t="s">
        <v>972</v>
      </c>
      <c r="F228">
        <v>0.6</v>
      </c>
      <c r="G228">
        <v>80.91</v>
      </c>
      <c r="I228" t="str" cm="1">
        <f t="array" ref="I228:J228">_xlfn.TEXTSPLIT(A228," ")</f>
        <v>27.10.2023</v>
      </c>
      <c r="J228" t="str">
        <v>03:46:01</v>
      </c>
      <c r="K228">
        <f t="shared" si="56"/>
        <v>3.7499999999999916</v>
      </c>
      <c r="L228">
        <f t="shared" si="49"/>
        <v>1.4100000000000001</v>
      </c>
      <c r="M228">
        <f t="shared" si="50"/>
        <v>0.6</v>
      </c>
      <c r="N228">
        <f t="shared" si="44"/>
        <v>0.36249999999999999</v>
      </c>
      <c r="Q228" t="str" cm="1">
        <f t="array" ref="Q228:R228">_xlfn.TEXTSPLIT(E228," ")</f>
        <v>27.10.2023</v>
      </c>
      <c r="R228" t="str">
        <v>03:46:01</v>
      </c>
      <c r="S228">
        <f t="shared" si="57"/>
        <v>3.7499999999999916</v>
      </c>
      <c r="T228">
        <f t="shared" si="48"/>
        <v>2.3100000000000023</v>
      </c>
      <c r="U228">
        <f t="shared" si="51"/>
        <v>0.6</v>
      </c>
      <c r="V228">
        <f t="shared" si="45"/>
        <v>0.57000000000000006</v>
      </c>
      <c r="AC228" t="s">
        <v>973</v>
      </c>
      <c r="AD228">
        <v>0.15</v>
      </c>
      <c r="AE228">
        <v>5.27</v>
      </c>
      <c r="AG228" t="str" cm="1">
        <f t="array" ref="AG228:AH228">_xlfn.TEXTSPLIT(AC229," ")</f>
        <v>26.10.2023</v>
      </c>
      <c r="AH228" t="str">
        <v>03:47:09</v>
      </c>
      <c r="AI228">
        <f t="shared" si="58"/>
        <v>3.7499999999999916</v>
      </c>
      <c r="AJ228">
        <f t="shared" si="52"/>
        <v>0.73999999999999932</v>
      </c>
      <c r="AK228">
        <f t="shared" si="53"/>
        <v>0.15</v>
      </c>
      <c r="AL228">
        <f t="shared" si="46"/>
        <v>0.155</v>
      </c>
      <c r="AN228" t="s">
        <v>973</v>
      </c>
      <c r="AO228">
        <v>0.9</v>
      </c>
      <c r="AP228">
        <v>64.28</v>
      </c>
      <c r="AR228" t="str" cm="1">
        <f t="array" ref="AR228:AS228">_xlfn.TEXTSPLIT(AN228," ")</f>
        <v>26.10.2023</v>
      </c>
      <c r="AS228" t="str">
        <v>03:46:09</v>
      </c>
      <c r="AT228">
        <f t="shared" si="59"/>
        <v>3.7499999999999916</v>
      </c>
      <c r="AU228">
        <f t="shared" si="54"/>
        <v>2.9699999999999989</v>
      </c>
      <c r="AV228">
        <f t="shared" si="55"/>
        <v>0.9</v>
      </c>
      <c r="AW228">
        <f t="shared" si="47"/>
        <v>0.75</v>
      </c>
    </row>
    <row r="229" spans="1:49" x14ac:dyDescent="0.25">
      <c r="A229" t="s">
        <v>974</v>
      </c>
      <c r="B229">
        <v>0.6</v>
      </c>
      <c r="C229">
        <v>15.74</v>
      </c>
      <c r="E229" t="s">
        <v>974</v>
      </c>
      <c r="F229">
        <v>0.6</v>
      </c>
      <c r="G229">
        <v>80.92</v>
      </c>
      <c r="I229" t="str" cm="1">
        <f t="array" ref="I229:J229">_xlfn.TEXTSPLIT(A229," ")</f>
        <v>27.10.2023</v>
      </c>
      <c r="J229" t="str">
        <v>03:47:02</v>
      </c>
      <c r="K229">
        <f t="shared" si="56"/>
        <v>3.7666666666666582</v>
      </c>
      <c r="L229">
        <f t="shared" si="49"/>
        <v>1.42</v>
      </c>
      <c r="M229">
        <f t="shared" si="50"/>
        <v>0.6</v>
      </c>
      <c r="N229">
        <f t="shared" si="44"/>
        <v>0.36750000000000005</v>
      </c>
      <c r="Q229" t="str" cm="1">
        <f t="array" ref="Q229:R229">_xlfn.TEXTSPLIT(E229," ")</f>
        <v>27.10.2023</v>
      </c>
      <c r="R229" t="str">
        <v>03:47:02</v>
      </c>
      <c r="S229">
        <f t="shared" si="57"/>
        <v>3.7666666666666582</v>
      </c>
      <c r="T229">
        <f t="shared" si="48"/>
        <v>2.3200000000000074</v>
      </c>
      <c r="U229">
        <f t="shared" si="51"/>
        <v>0.6</v>
      </c>
      <c r="V229">
        <f t="shared" si="45"/>
        <v>0.57000000000000006</v>
      </c>
      <c r="AC229" t="s">
        <v>975</v>
      </c>
      <c r="AD229">
        <v>0.15</v>
      </c>
      <c r="AE229">
        <v>5.27</v>
      </c>
      <c r="AG229" t="str" cm="1">
        <f t="array" ref="AG229:AH229">_xlfn.TEXTSPLIT(AC230," ")</f>
        <v>26.10.2023</v>
      </c>
      <c r="AH229" t="str">
        <v>03:48:09</v>
      </c>
      <c r="AI229">
        <f t="shared" si="58"/>
        <v>3.7666666666666582</v>
      </c>
      <c r="AJ229">
        <f t="shared" si="52"/>
        <v>0.73999999999999932</v>
      </c>
      <c r="AK229">
        <f t="shared" si="53"/>
        <v>0.15</v>
      </c>
      <c r="AL229">
        <f t="shared" si="46"/>
        <v>0.15000000000000002</v>
      </c>
      <c r="AN229" t="s">
        <v>975</v>
      </c>
      <c r="AO229">
        <v>0.9</v>
      </c>
      <c r="AP229">
        <v>64.3</v>
      </c>
      <c r="AR229" t="str" cm="1">
        <f t="array" ref="AR229:AS229">_xlfn.TEXTSPLIT(AN229," ")</f>
        <v>26.10.2023</v>
      </c>
      <c r="AS229" t="str">
        <v>03:47:09</v>
      </c>
      <c r="AT229">
        <f t="shared" si="59"/>
        <v>3.7666666666666582</v>
      </c>
      <c r="AU229">
        <f t="shared" si="54"/>
        <v>2.9899999999999949</v>
      </c>
      <c r="AV229">
        <f t="shared" si="55"/>
        <v>0.9</v>
      </c>
      <c r="AW229">
        <f t="shared" si="47"/>
        <v>0.74</v>
      </c>
    </row>
    <row r="230" spans="1:49" x14ac:dyDescent="0.25">
      <c r="A230" t="s">
        <v>976</v>
      </c>
      <c r="B230">
        <v>0.15</v>
      </c>
      <c r="C230">
        <v>15.75</v>
      </c>
      <c r="E230" t="s">
        <v>976</v>
      </c>
      <c r="F230">
        <v>0.9</v>
      </c>
      <c r="G230">
        <v>80.930000000000007</v>
      </c>
      <c r="I230" t="str" cm="1">
        <f t="array" ref="I230:J230">_xlfn.TEXTSPLIT(A230," ")</f>
        <v>27.10.2023</v>
      </c>
      <c r="J230" t="str">
        <v>03:48:02</v>
      </c>
      <c r="K230">
        <f t="shared" si="56"/>
        <v>3.7833333333333248</v>
      </c>
      <c r="L230">
        <f t="shared" si="49"/>
        <v>1.4299999999999997</v>
      </c>
      <c r="M230">
        <f t="shared" si="50"/>
        <v>0.15</v>
      </c>
      <c r="N230">
        <f t="shared" si="44"/>
        <v>0.36250000000000004</v>
      </c>
      <c r="Q230" t="str" cm="1">
        <f t="array" ref="Q230:R230">_xlfn.TEXTSPLIT(E230," ")</f>
        <v>27.10.2023</v>
      </c>
      <c r="R230" t="str">
        <v>03:48:02</v>
      </c>
      <c r="S230">
        <f t="shared" si="57"/>
        <v>3.7833333333333248</v>
      </c>
      <c r="T230">
        <f t="shared" si="48"/>
        <v>2.3300000000000125</v>
      </c>
      <c r="U230">
        <f t="shared" si="51"/>
        <v>0.9</v>
      </c>
      <c r="V230">
        <f t="shared" si="45"/>
        <v>0.56999999999999995</v>
      </c>
      <c r="AC230" t="s">
        <v>977</v>
      </c>
      <c r="AD230">
        <v>0.15</v>
      </c>
      <c r="AE230">
        <v>5.28</v>
      </c>
      <c r="AG230" t="str" cm="1">
        <f t="array" ref="AG230:AH230">_xlfn.TEXTSPLIT(AC231," ")</f>
        <v>26.10.2023</v>
      </c>
      <c r="AH230" t="str">
        <v>03:49:09</v>
      </c>
      <c r="AI230">
        <f t="shared" si="58"/>
        <v>3.7833333333333248</v>
      </c>
      <c r="AJ230">
        <f t="shared" si="52"/>
        <v>0.75</v>
      </c>
      <c r="AK230">
        <f t="shared" si="53"/>
        <v>0.15</v>
      </c>
      <c r="AL230">
        <f t="shared" si="46"/>
        <v>0.15250000000000002</v>
      </c>
      <c r="AN230" t="s">
        <v>977</v>
      </c>
      <c r="AO230">
        <v>1.05</v>
      </c>
      <c r="AP230">
        <v>64.31</v>
      </c>
      <c r="AR230" t="str" cm="1">
        <f t="array" ref="AR230:AS230">_xlfn.TEXTSPLIT(AN230," ")</f>
        <v>26.10.2023</v>
      </c>
      <c r="AS230" t="str">
        <v>03:48:09</v>
      </c>
      <c r="AT230">
        <f t="shared" si="59"/>
        <v>3.7833333333333248</v>
      </c>
      <c r="AU230">
        <f t="shared" si="54"/>
        <v>3</v>
      </c>
      <c r="AV230">
        <f t="shared" si="55"/>
        <v>1.05</v>
      </c>
      <c r="AW230">
        <f t="shared" si="47"/>
        <v>0.74249999999999994</v>
      </c>
    </row>
    <row r="231" spans="1:49" x14ac:dyDescent="0.25">
      <c r="A231" t="s">
        <v>978</v>
      </c>
      <c r="B231">
        <v>0.15</v>
      </c>
      <c r="C231">
        <v>15.75</v>
      </c>
      <c r="E231" t="s">
        <v>978</v>
      </c>
      <c r="F231">
        <v>0.9</v>
      </c>
      <c r="G231">
        <v>80.95</v>
      </c>
      <c r="I231" t="str" cm="1">
        <f t="array" ref="I231:J231">_xlfn.TEXTSPLIT(A231," ")</f>
        <v>27.10.2023</v>
      </c>
      <c r="J231" t="str">
        <v>03:49:02</v>
      </c>
      <c r="K231">
        <f t="shared" si="56"/>
        <v>3.7999999999999914</v>
      </c>
      <c r="L231">
        <f t="shared" si="49"/>
        <v>1.4299999999999997</v>
      </c>
      <c r="M231">
        <f t="shared" si="50"/>
        <v>0.15</v>
      </c>
      <c r="N231">
        <f t="shared" si="44"/>
        <v>0.36250000000000004</v>
      </c>
      <c r="Q231" t="str" cm="1">
        <f t="array" ref="Q231:R231">_xlfn.TEXTSPLIT(E231," ")</f>
        <v>27.10.2023</v>
      </c>
      <c r="R231" t="str">
        <v>03:49:02</v>
      </c>
      <c r="S231">
        <f t="shared" si="57"/>
        <v>3.7999999999999914</v>
      </c>
      <c r="T231">
        <f t="shared" si="48"/>
        <v>2.3500000000000085</v>
      </c>
      <c r="U231">
        <f t="shared" si="51"/>
        <v>0.9</v>
      </c>
      <c r="V231">
        <f t="shared" si="45"/>
        <v>0.57249999999999979</v>
      </c>
      <c r="AC231" t="s">
        <v>979</v>
      </c>
      <c r="AD231">
        <v>0.15</v>
      </c>
      <c r="AE231">
        <v>5.28</v>
      </c>
      <c r="AG231" t="str" cm="1">
        <f t="array" ref="AG231:AH231">_xlfn.TEXTSPLIT(AC232," ")</f>
        <v>26.10.2023</v>
      </c>
      <c r="AH231" t="str">
        <v>03:50:10</v>
      </c>
      <c r="AI231">
        <f t="shared" si="58"/>
        <v>3.7999999999999914</v>
      </c>
      <c r="AJ231">
        <f t="shared" si="52"/>
        <v>0.75</v>
      </c>
      <c r="AK231">
        <f t="shared" si="53"/>
        <v>0.15</v>
      </c>
      <c r="AL231">
        <f t="shared" si="46"/>
        <v>0.15250000000000002</v>
      </c>
      <c r="AN231" t="s">
        <v>979</v>
      </c>
      <c r="AO231">
        <v>0.75</v>
      </c>
      <c r="AP231">
        <v>64.319999999999993</v>
      </c>
      <c r="AR231" t="str" cm="1">
        <f t="array" ref="AR231:AS231">_xlfn.TEXTSPLIT(AN231," ")</f>
        <v>26.10.2023</v>
      </c>
      <c r="AS231" t="str">
        <v>03:49:09</v>
      </c>
      <c r="AT231">
        <f t="shared" si="59"/>
        <v>3.7999999999999914</v>
      </c>
      <c r="AU231">
        <f t="shared" si="54"/>
        <v>3.0099999999999909</v>
      </c>
      <c r="AV231">
        <f t="shared" si="55"/>
        <v>0.75</v>
      </c>
      <c r="AW231">
        <f t="shared" si="47"/>
        <v>0.73999999999999988</v>
      </c>
    </row>
    <row r="232" spans="1:49" x14ac:dyDescent="0.25">
      <c r="A232" t="s">
        <v>980</v>
      </c>
      <c r="B232">
        <v>0.3</v>
      </c>
      <c r="C232">
        <v>15.76</v>
      </c>
      <c r="E232" t="s">
        <v>980</v>
      </c>
      <c r="F232">
        <v>0.9</v>
      </c>
      <c r="G232">
        <v>80.959999999999994</v>
      </c>
      <c r="I232" t="str" cm="1">
        <f t="array" ref="I232:J232">_xlfn.TEXTSPLIT(A232," ")</f>
        <v>27.10.2023</v>
      </c>
      <c r="J232" t="str">
        <v>03:50:02</v>
      </c>
      <c r="K232">
        <f t="shared" si="56"/>
        <v>3.816666666666658</v>
      </c>
      <c r="L232">
        <f t="shared" si="49"/>
        <v>1.4399999999999995</v>
      </c>
      <c r="M232">
        <f t="shared" si="50"/>
        <v>0.3</v>
      </c>
      <c r="N232">
        <f t="shared" si="44"/>
        <v>0.36500000000000005</v>
      </c>
      <c r="Q232" t="str" cm="1">
        <f t="array" ref="Q232:R232">_xlfn.TEXTSPLIT(E232," ")</f>
        <v>27.10.2023</v>
      </c>
      <c r="R232" t="str">
        <v>03:50:02</v>
      </c>
      <c r="S232">
        <f t="shared" si="57"/>
        <v>3.816666666666658</v>
      </c>
      <c r="T232">
        <f t="shared" si="48"/>
        <v>2.3599999999999994</v>
      </c>
      <c r="U232">
        <f t="shared" si="51"/>
        <v>0.9</v>
      </c>
      <c r="V232">
        <f t="shared" si="45"/>
        <v>0.57499999999999984</v>
      </c>
      <c r="AC232" t="s">
        <v>981</v>
      </c>
      <c r="AD232">
        <v>0</v>
      </c>
      <c r="AE232">
        <v>5.28</v>
      </c>
      <c r="AG232" t="str" cm="1">
        <f t="array" ref="AG232:AH232">_xlfn.TEXTSPLIT(AC233," ")</f>
        <v>26.10.2023</v>
      </c>
      <c r="AH232" t="str">
        <v>03:51:10</v>
      </c>
      <c r="AI232">
        <f t="shared" si="58"/>
        <v>3.816666666666658</v>
      </c>
      <c r="AJ232">
        <f t="shared" si="52"/>
        <v>0.75</v>
      </c>
      <c r="AK232">
        <f t="shared" si="53"/>
        <v>0</v>
      </c>
      <c r="AL232">
        <f t="shared" si="46"/>
        <v>0.15250000000000002</v>
      </c>
      <c r="AN232" t="s">
        <v>981</v>
      </c>
      <c r="AO232">
        <v>0.6</v>
      </c>
      <c r="AP232">
        <v>64.33</v>
      </c>
      <c r="AR232" t="str" cm="1">
        <f t="array" ref="AR232:AS232">_xlfn.TEXTSPLIT(AN232," ")</f>
        <v>26.10.2023</v>
      </c>
      <c r="AS232" t="str">
        <v>03:50:10</v>
      </c>
      <c r="AT232">
        <f t="shared" si="59"/>
        <v>3.816666666666658</v>
      </c>
      <c r="AU232">
        <f t="shared" si="54"/>
        <v>3.019999999999996</v>
      </c>
      <c r="AV232">
        <f t="shared" si="55"/>
        <v>0.6</v>
      </c>
      <c r="AW232">
        <f t="shared" si="47"/>
        <v>0.74</v>
      </c>
    </row>
    <row r="233" spans="1:49" x14ac:dyDescent="0.25">
      <c r="A233" t="s">
        <v>982</v>
      </c>
      <c r="B233">
        <v>0.3</v>
      </c>
      <c r="C233">
        <v>15.76</v>
      </c>
      <c r="E233" t="s">
        <v>982</v>
      </c>
      <c r="F233">
        <v>0.75</v>
      </c>
      <c r="G233">
        <v>80.98</v>
      </c>
      <c r="I233" t="str" cm="1">
        <f t="array" ref="I233:J233">_xlfn.TEXTSPLIT(A233," ")</f>
        <v>27.10.2023</v>
      </c>
      <c r="J233" t="str">
        <v>03:51:02</v>
      </c>
      <c r="K233">
        <f t="shared" si="56"/>
        <v>3.8333333333333246</v>
      </c>
      <c r="L233">
        <f t="shared" si="49"/>
        <v>1.4399999999999995</v>
      </c>
      <c r="M233">
        <f t="shared" si="50"/>
        <v>0.3</v>
      </c>
      <c r="N233">
        <f t="shared" si="44"/>
        <v>0.36750000000000005</v>
      </c>
      <c r="Q233" t="str" cm="1">
        <f t="array" ref="Q233:R233">_xlfn.TEXTSPLIT(E233," ")</f>
        <v>27.10.2023</v>
      </c>
      <c r="R233" t="str">
        <v>03:51:02</v>
      </c>
      <c r="S233">
        <f t="shared" si="57"/>
        <v>3.8333333333333246</v>
      </c>
      <c r="T233">
        <f t="shared" si="48"/>
        <v>2.3800000000000097</v>
      </c>
      <c r="U233">
        <f t="shared" si="51"/>
        <v>0.75</v>
      </c>
      <c r="V233">
        <f t="shared" si="45"/>
        <v>0.5774999999999999</v>
      </c>
      <c r="AC233" t="s">
        <v>983</v>
      </c>
      <c r="AD233">
        <v>0.15</v>
      </c>
      <c r="AE233">
        <v>5.28</v>
      </c>
      <c r="AG233" t="str" cm="1">
        <f t="array" ref="AG233:AH233">_xlfn.TEXTSPLIT(AC234," ")</f>
        <v>26.10.2023</v>
      </c>
      <c r="AH233" t="str">
        <v>03:52:10</v>
      </c>
      <c r="AI233">
        <f t="shared" si="58"/>
        <v>3.8333333333333246</v>
      </c>
      <c r="AJ233">
        <f t="shared" si="52"/>
        <v>0.75</v>
      </c>
      <c r="AK233">
        <f t="shared" si="53"/>
        <v>0.15</v>
      </c>
      <c r="AL233">
        <f t="shared" si="46"/>
        <v>0.15250000000000002</v>
      </c>
      <c r="AN233" t="s">
        <v>983</v>
      </c>
      <c r="AO233">
        <v>0.6</v>
      </c>
      <c r="AP233">
        <v>64.349999999999994</v>
      </c>
      <c r="AR233" t="str" cm="1">
        <f t="array" ref="AR233:AS233">_xlfn.TEXTSPLIT(AN233," ")</f>
        <v>26.10.2023</v>
      </c>
      <c r="AS233" t="str">
        <v>03:51:10</v>
      </c>
      <c r="AT233">
        <f t="shared" si="59"/>
        <v>3.8333333333333246</v>
      </c>
      <c r="AU233">
        <f t="shared" si="54"/>
        <v>3.039999999999992</v>
      </c>
      <c r="AV233">
        <f t="shared" si="55"/>
        <v>0.6</v>
      </c>
      <c r="AW233">
        <f t="shared" si="47"/>
        <v>0.74</v>
      </c>
    </row>
    <row r="234" spans="1:49" x14ac:dyDescent="0.25">
      <c r="A234" t="s">
        <v>984</v>
      </c>
      <c r="B234">
        <v>0.3</v>
      </c>
      <c r="C234">
        <v>15.77</v>
      </c>
      <c r="E234" t="s">
        <v>984</v>
      </c>
      <c r="F234">
        <v>0.15</v>
      </c>
      <c r="G234">
        <v>80.98</v>
      </c>
      <c r="I234" t="str" cm="1">
        <f t="array" ref="I234:J234">_xlfn.TEXTSPLIT(A234," ")</f>
        <v>27.10.2023</v>
      </c>
      <c r="J234" t="str">
        <v>03:52:02</v>
      </c>
      <c r="K234">
        <f t="shared" si="56"/>
        <v>3.8499999999999912</v>
      </c>
      <c r="L234">
        <f t="shared" si="49"/>
        <v>1.4499999999999993</v>
      </c>
      <c r="M234">
        <f t="shared" si="50"/>
        <v>0.3</v>
      </c>
      <c r="N234">
        <f t="shared" si="44"/>
        <v>0.37000000000000011</v>
      </c>
      <c r="Q234" t="str" cm="1">
        <f t="array" ref="Q234:R234">_xlfn.TEXTSPLIT(E234," ")</f>
        <v>27.10.2023</v>
      </c>
      <c r="R234" t="str">
        <v>03:52:02</v>
      </c>
      <c r="S234">
        <f t="shared" si="57"/>
        <v>3.8499999999999912</v>
      </c>
      <c r="T234">
        <f t="shared" si="48"/>
        <v>2.3800000000000097</v>
      </c>
      <c r="U234">
        <f t="shared" si="51"/>
        <v>0.15</v>
      </c>
      <c r="V234">
        <f t="shared" si="45"/>
        <v>0.56999999999999995</v>
      </c>
      <c r="AC234" t="s">
        <v>985</v>
      </c>
      <c r="AD234">
        <v>0</v>
      </c>
      <c r="AE234">
        <v>5.28</v>
      </c>
      <c r="AG234" t="str" cm="1">
        <f t="array" ref="AG234:AH234">_xlfn.TEXTSPLIT(AC235," ")</f>
        <v>26.10.2023</v>
      </c>
      <c r="AH234" t="str">
        <v>03:53:10</v>
      </c>
      <c r="AI234">
        <f t="shared" si="58"/>
        <v>3.8499999999999912</v>
      </c>
      <c r="AJ234">
        <f t="shared" si="52"/>
        <v>0.75</v>
      </c>
      <c r="AK234">
        <f t="shared" si="53"/>
        <v>0</v>
      </c>
      <c r="AL234">
        <f t="shared" si="46"/>
        <v>0.15250000000000002</v>
      </c>
      <c r="AN234" t="s">
        <v>985</v>
      </c>
      <c r="AO234">
        <v>0.3</v>
      </c>
      <c r="AP234">
        <v>64.349999999999994</v>
      </c>
      <c r="AR234" t="str" cm="1">
        <f t="array" ref="AR234:AS234">_xlfn.TEXTSPLIT(AN234," ")</f>
        <v>26.10.2023</v>
      </c>
      <c r="AS234" t="str">
        <v>03:52:10</v>
      </c>
      <c r="AT234">
        <f t="shared" si="59"/>
        <v>3.8499999999999912</v>
      </c>
      <c r="AU234">
        <f t="shared" si="54"/>
        <v>3.039999999999992</v>
      </c>
      <c r="AV234">
        <f t="shared" si="55"/>
        <v>0.3</v>
      </c>
      <c r="AW234">
        <f t="shared" si="47"/>
        <v>0.73749999999999993</v>
      </c>
    </row>
    <row r="235" spans="1:49" x14ac:dyDescent="0.25">
      <c r="A235" t="s">
        <v>986</v>
      </c>
      <c r="B235">
        <v>0.15</v>
      </c>
      <c r="C235">
        <v>15.77</v>
      </c>
      <c r="E235" t="s">
        <v>986</v>
      </c>
      <c r="F235">
        <v>0</v>
      </c>
      <c r="G235">
        <v>80.98</v>
      </c>
      <c r="I235" t="str" cm="1">
        <f t="array" ref="I235:J235">_xlfn.TEXTSPLIT(A235," ")</f>
        <v>27.10.2023</v>
      </c>
      <c r="J235" t="str">
        <v>03:53:02</v>
      </c>
      <c r="K235">
        <f t="shared" si="56"/>
        <v>3.8666666666666578</v>
      </c>
      <c r="L235">
        <f t="shared" si="49"/>
        <v>1.4499999999999993</v>
      </c>
      <c r="M235">
        <f t="shared" si="50"/>
        <v>0.15</v>
      </c>
      <c r="N235">
        <f t="shared" si="44"/>
        <v>0.3650000000000001</v>
      </c>
      <c r="Q235" t="str" cm="1">
        <f t="array" ref="Q235:R235">_xlfn.TEXTSPLIT(E235," ")</f>
        <v>27.10.2023</v>
      </c>
      <c r="R235" t="str">
        <v>03:53:02</v>
      </c>
      <c r="S235">
        <f t="shared" si="57"/>
        <v>3.8666666666666578</v>
      </c>
      <c r="T235">
        <f t="shared" si="48"/>
        <v>2.3800000000000097</v>
      </c>
      <c r="U235">
        <f t="shared" si="51"/>
        <v>0</v>
      </c>
      <c r="V235">
        <f t="shared" si="45"/>
        <v>0.56999999999999995</v>
      </c>
      <c r="AC235" t="s">
        <v>987</v>
      </c>
      <c r="AD235">
        <v>0</v>
      </c>
      <c r="AE235">
        <v>5.28</v>
      </c>
      <c r="AG235" t="str" cm="1">
        <f t="array" ref="AG235:AH235">_xlfn.TEXTSPLIT(AC236," ")</f>
        <v>26.10.2023</v>
      </c>
      <c r="AH235" t="str">
        <v>03:54:10</v>
      </c>
      <c r="AI235">
        <f t="shared" si="58"/>
        <v>3.8666666666666578</v>
      </c>
      <c r="AJ235">
        <f t="shared" si="52"/>
        <v>0.75</v>
      </c>
      <c r="AK235">
        <f t="shared" si="53"/>
        <v>0</v>
      </c>
      <c r="AL235">
        <f t="shared" si="46"/>
        <v>0.15000000000000002</v>
      </c>
      <c r="AN235" t="s">
        <v>987</v>
      </c>
      <c r="AO235">
        <v>0</v>
      </c>
      <c r="AP235">
        <v>64.349999999999994</v>
      </c>
      <c r="AR235" t="str" cm="1">
        <f t="array" ref="AR235:AS235">_xlfn.TEXTSPLIT(AN235," ")</f>
        <v>26.10.2023</v>
      </c>
      <c r="AS235" t="str">
        <v>03:53:10</v>
      </c>
      <c r="AT235">
        <f t="shared" si="59"/>
        <v>3.8666666666666578</v>
      </c>
      <c r="AU235">
        <f t="shared" si="54"/>
        <v>3.039999999999992</v>
      </c>
      <c r="AV235">
        <f t="shared" si="55"/>
        <v>0</v>
      </c>
      <c r="AW235">
        <f t="shared" si="47"/>
        <v>0.73499999999999988</v>
      </c>
    </row>
    <row r="236" spans="1:49" x14ac:dyDescent="0.25">
      <c r="A236" t="s">
        <v>988</v>
      </c>
      <c r="B236">
        <v>0</v>
      </c>
      <c r="C236">
        <v>15.77</v>
      </c>
      <c r="E236" t="s">
        <v>988</v>
      </c>
      <c r="F236">
        <v>0.15</v>
      </c>
      <c r="G236">
        <v>80.98</v>
      </c>
      <c r="I236" t="str" cm="1">
        <f t="array" ref="I236:J236">_xlfn.TEXTSPLIT(A236," ")</f>
        <v>27.10.2023</v>
      </c>
      <c r="J236" t="str">
        <v>03:54:03</v>
      </c>
      <c r="K236">
        <f t="shared" si="56"/>
        <v>3.8833333333333244</v>
      </c>
      <c r="L236">
        <f t="shared" si="49"/>
        <v>1.4499999999999993</v>
      </c>
      <c r="M236">
        <f t="shared" si="50"/>
        <v>0</v>
      </c>
      <c r="N236">
        <f t="shared" si="44"/>
        <v>0.3650000000000001</v>
      </c>
      <c r="Q236" t="str" cm="1">
        <f t="array" ref="Q236:R236">_xlfn.TEXTSPLIT(E236," ")</f>
        <v>27.10.2023</v>
      </c>
      <c r="R236" t="str">
        <v>03:54:03</v>
      </c>
      <c r="S236">
        <f t="shared" si="57"/>
        <v>3.8833333333333244</v>
      </c>
      <c r="T236">
        <f t="shared" si="48"/>
        <v>2.3800000000000097</v>
      </c>
      <c r="U236">
        <f t="shared" si="51"/>
        <v>0.15</v>
      </c>
      <c r="V236">
        <f t="shared" si="45"/>
        <v>0.5724999999999999</v>
      </c>
      <c r="AC236" t="s">
        <v>989</v>
      </c>
      <c r="AD236">
        <v>0</v>
      </c>
      <c r="AE236">
        <v>5.28</v>
      </c>
      <c r="AG236" t="str" cm="1">
        <f t="array" ref="AG236:AH236">_xlfn.TEXTSPLIT(AC237," ")</f>
        <v>26.10.2023</v>
      </c>
      <c r="AH236" t="str">
        <v>03:55:10</v>
      </c>
      <c r="AI236">
        <f t="shared" si="58"/>
        <v>3.8833333333333244</v>
      </c>
      <c r="AJ236">
        <f t="shared" si="52"/>
        <v>0.75</v>
      </c>
      <c r="AK236">
        <f t="shared" si="53"/>
        <v>0</v>
      </c>
      <c r="AL236">
        <f t="shared" si="46"/>
        <v>0.15000000000000002</v>
      </c>
      <c r="AN236" t="s">
        <v>989</v>
      </c>
      <c r="AO236">
        <v>0</v>
      </c>
      <c r="AP236">
        <v>64.349999999999994</v>
      </c>
      <c r="AR236" t="str" cm="1">
        <f t="array" ref="AR236:AS236">_xlfn.TEXTSPLIT(AN236," ")</f>
        <v>26.10.2023</v>
      </c>
      <c r="AS236" t="str">
        <v>03:54:10</v>
      </c>
      <c r="AT236">
        <f t="shared" si="59"/>
        <v>3.8833333333333244</v>
      </c>
      <c r="AU236">
        <f t="shared" si="54"/>
        <v>3.039999999999992</v>
      </c>
      <c r="AV236">
        <f t="shared" si="55"/>
        <v>0</v>
      </c>
      <c r="AW236">
        <f t="shared" si="47"/>
        <v>0.73499999999999988</v>
      </c>
    </row>
    <row r="237" spans="1:49" x14ac:dyDescent="0.25">
      <c r="A237" t="s">
        <v>990</v>
      </c>
      <c r="B237">
        <v>0</v>
      </c>
      <c r="C237">
        <v>15.77</v>
      </c>
      <c r="E237" t="s">
        <v>990</v>
      </c>
      <c r="F237">
        <v>0</v>
      </c>
      <c r="G237">
        <v>80.98</v>
      </c>
      <c r="I237" t="str" cm="1">
        <f t="array" ref="I237:J237">_xlfn.TEXTSPLIT(A237," ")</f>
        <v>27.10.2023</v>
      </c>
      <c r="J237" t="str">
        <v>03:55:03</v>
      </c>
      <c r="K237">
        <f t="shared" si="56"/>
        <v>3.899999999999991</v>
      </c>
      <c r="L237">
        <f t="shared" si="49"/>
        <v>1.4499999999999993</v>
      </c>
      <c r="M237">
        <f t="shared" si="50"/>
        <v>0</v>
      </c>
      <c r="N237">
        <f t="shared" si="44"/>
        <v>0.3650000000000001</v>
      </c>
      <c r="Q237" t="str" cm="1">
        <f t="array" ref="Q237:R237">_xlfn.TEXTSPLIT(E237," ")</f>
        <v>27.10.2023</v>
      </c>
      <c r="R237" t="str">
        <v>03:55:03</v>
      </c>
      <c r="S237">
        <f t="shared" si="57"/>
        <v>3.899999999999991</v>
      </c>
      <c r="T237">
        <f t="shared" si="48"/>
        <v>2.3800000000000097</v>
      </c>
      <c r="U237">
        <f t="shared" si="51"/>
        <v>0</v>
      </c>
      <c r="V237">
        <f t="shared" si="45"/>
        <v>0.56999999999999995</v>
      </c>
      <c r="AC237" t="s">
        <v>991</v>
      </c>
      <c r="AD237">
        <v>0</v>
      </c>
      <c r="AE237">
        <v>5.28</v>
      </c>
      <c r="AG237" t="str" cm="1">
        <f t="array" ref="AG237:AH237">_xlfn.TEXTSPLIT(AC238," ")</f>
        <v>26.10.2023</v>
      </c>
      <c r="AH237" t="str">
        <v>03:56:10</v>
      </c>
      <c r="AI237">
        <f t="shared" si="58"/>
        <v>3.899999999999991</v>
      </c>
      <c r="AJ237">
        <f t="shared" si="52"/>
        <v>0.75</v>
      </c>
      <c r="AK237">
        <f t="shared" si="53"/>
        <v>0</v>
      </c>
      <c r="AL237">
        <f t="shared" si="46"/>
        <v>0.15000000000000002</v>
      </c>
      <c r="AN237" t="s">
        <v>991</v>
      </c>
      <c r="AO237">
        <v>0</v>
      </c>
      <c r="AP237">
        <v>64.349999999999994</v>
      </c>
      <c r="AR237" t="str" cm="1">
        <f t="array" ref="AR237:AS237">_xlfn.TEXTSPLIT(AN237," ")</f>
        <v>26.10.2023</v>
      </c>
      <c r="AS237" t="str">
        <v>03:55:10</v>
      </c>
      <c r="AT237">
        <f t="shared" si="59"/>
        <v>3.899999999999991</v>
      </c>
      <c r="AU237">
        <f t="shared" si="54"/>
        <v>3.039999999999992</v>
      </c>
      <c r="AV237">
        <f t="shared" si="55"/>
        <v>0</v>
      </c>
      <c r="AW237">
        <f t="shared" si="47"/>
        <v>0.73249999999999993</v>
      </c>
    </row>
    <row r="238" spans="1:49" x14ac:dyDescent="0.25">
      <c r="A238" t="s">
        <v>992</v>
      </c>
      <c r="B238">
        <v>0</v>
      </c>
      <c r="C238">
        <v>15.77</v>
      </c>
      <c r="E238" t="s">
        <v>992</v>
      </c>
      <c r="F238">
        <v>0.15</v>
      </c>
      <c r="G238">
        <v>80.989999999999995</v>
      </c>
      <c r="I238" t="str" cm="1">
        <f t="array" ref="I238:J238">_xlfn.TEXTSPLIT(A238," ")</f>
        <v>27.10.2023</v>
      </c>
      <c r="J238" t="str">
        <v>03:56:03</v>
      </c>
      <c r="K238">
        <f t="shared" si="56"/>
        <v>3.9166666666666576</v>
      </c>
      <c r="L238">
        <f t="shared" si="49"/>
        <v>1.4499999999999993</v>
      </c>
      <c r="M238">
        <f t="shared" si="50"/>
        <v>0</v>
      </c>
      <c r="N238">
        <f t="shared" si="44"/>
        <v>0.3650000000000001</v>
      </c>
      <c r="Q238" t="str" cm="1">
        <f t="array" ref="Q238:R238">_xlfn.TEXTSPLIT(E238," ")</f>
        <v>27.10.2023</v>
      </c>
      <c r="R238" t="str">
        <v>03:56:03</v>
      </c>
      <c r="S238">
        <f t="shared" si="57"/>
        <v>3.9166666666666576</v>
      </c>
      <c r="T238">
        <f t="shared" si="48"/>
        <v>2.3900000000000006</v>
      </c>
      <c r="U238">
        <f t="shared" si="51"/>
        <v>0.15</v>
      </c>
      <c r="V238">
        <f t="shared" si="45"/>
        <v>0.5724999999999999</v>
      </c>
      <c r="AC238" t="s">
        <v>993</v>
      </c>
      <c r="AD238">
        <v>0</v>
      </c>
      <c r="AE238">
        <v>5.28</v>
      </c>
      <c r="AG238" t="str" cm="1">
        <f t="array" ref="AG238:AH238">_xlfn.TEXTSPLIT(AC239," ")</f>
        <v>26.10.2023</v>
      </c>
      <c r="AH238" t="str">
        <v>03:57:10</v>
      </c>
      <c r="AI238">
        <f t="shared" si="58"/>
        <v>3.9166666666666576</v>
      </c>
      <c r="AJ238">
        <f t="shared" si="52"/>
        <v>0.75</v>
      </c>
      <c r="AK238">
        <f t="shared" si="53"/>
        <v>0</v>
      </c>
      <c r="AL238">
        <f t="shared" si="46"/>
        <v>0.15000000000000002</v>
      </c>
      <c r="AN238" t="s">
        <v>993</v>
      </c>
      <c r="AO238">
        <v>0.15</v>
      </c>
      <c r="AP238">
        <v>64.349999999999994</v>
      </c>
      <c r="AR238" t="str" cm="1">
        <f t="array" ref="AR238:AS238">_xlfn.TEXTSPLIT(AN238," ")</f>
        <v>26.10.2023</v>
      </c>
      <c r="AS238" t="str">
        <v>03:56:10</v>
      </c>
      <c r="AT238">
        <f t="shared" si="59"/>
        <v>3.9166666666666576</v>
      </c>
      <c r="AU238">
        <f t="shared" si="54"/>
        <v>3.039999999999992</v>
      </c>
      <c r="AV238">
        <f t="shared" si="55"/>
        <v>0.15</v>
      </c>
      <c r="AW238">
        <f t="shared" si="47"/>
        <v>0.73249999999999993</v>
      </c>
    </row>
    <row r="239" spans="1:49" x14ac:dyDescent="0.25">
      <c r="A239" t="s">
        <v>994</v>
      </c>
      <c r="B239">
        <v>0</v>
      </c>
      <c r="C239">
        <v>15.77</v>
      </c>
      <c r="E239" t="s">
        <v>994</v>
      </c>
      <c r="F239">
        <v>0</v>
      </c>
      <c r="G239">
        <v>80.989999999999995</v>
      </c>
      <c r="I239" t="str" cm="1">
        <f t="array" ref="I239:J239">_xlfn.TEXTSPLIT(A239," ")</f>
        <v>27.10.2023</v>
      </c>
      <c r="J239" t="str">
        <v>03:57:03</v>
      </c>
      <c r="K239">
        <f t="shared" si="56"/>
        <v>3.9333333333333242</v>
      </c>
      <c r="L239">
        <f t="shared" si="49"/>
        <v>1.4499999999999993</v>
      </c>
      <c r="M239">
        <f t="shared" si="50"/>
        <v>0</v>
      </c>
      <c r="N239">
        <f t="shared" si="44"/>
        <v>0.3650000000000001</v>
      </c>
      <c r="Q239" t="str" cm="1">
        <f t="array" ref="Q239:R239">_xlfn.TEXTSPLIT(E239," ")</f>
        <v>27.10.2023</v>
      </c>
      <c r="R239" t="str">
        <v>03:57:03</v>
      </c>
      <c r="S239">
        <f t="shared" si="57"/>
        <v>3.9333333333333242</v>
      </c>
      <c r="T239">
        <f t="shared" si="48"/>
        <v>2.3900000000000006</v>
      </c>
      <c r="U239">
        <f t="shared" si="51"/>
        <v>0</v>
      </c>
      <c r="V239">
        <f t="shared" si="45"/>
        <v>0.5724999999999999</v>
      </c>
      <c r="AC239" t="s">
        <v>995</v>
      </c>
      <c r="AD239">
        <v>0</v>
      </c>
      <c r="AE239">
        <v>5.28</v>
      </c>
      <c r="AG239" t="str" cm="1">
        <f t="array" ref="AG239:AH239">_xlfn.TEXTSPLIT(AC240," ")</f>
        <v>26.10.2023</v>
      </c>
      <c r="AH239" t="str">
        <v>03:58:10</v>
      </c>
      <c r="AI239">
        <f t="shared" si="58"/>
        <v>3.9333333333333242</v>
      </c>
      <c r="AJ239">
        <f t="shared" si="52"/>
        <v>0.75</v>
      </c>
      <c r="AK239">
        <f t="shared" si="53"/>
        <v>0</v>
      </c>
      <c r="AL239">
        <f t="shared" si="46"/>
        <v>0.15000000000000002</v>
      </c>
      <c r="AN239" t="s">
        <v>995</v>
      </c>
      <c r="AO239">
        <v>0.15</v>
      </c>
      <c r="AP239">
        <v>64.349999999999994</v>
      </c>
      <c r="AR239" t="str" cm="1">
        <f t="array" ref="AR239:AS239">_xlfn.TEXTSPLIT(AN239," ")</f>
        <v>26.10.2023</v>
      </c>
      <c r="AS239" t="str">
        <v>03:57:10</v>
      </c>
      <c r="AT239">
        <f t="shared" si="59"/>
        <v>3.9333333333333242</v>
      </c>
      <c r="AU239">
        <f t="shared" si="54"/>
        <v>3.039999999999992</v>
      </c>
      <c r="AV239">
        <f t="shared" si="55"/>
        <v>0.15</v>
      </c>
      <c r="AW239">
        <f t="shared" si="47"/>
        <v>0.72999999999999987</v>
      </c>
    </row>
    <row r="240" spans="1:49" x14ac:dyDescent="0.25">
      <c r="A240" t="s">
        <v>996</v>
      </c>
      <c r="B240">
        <v>0</v>
      </c>
      <c r="C240">
        <v>15.77</v>
      </c>
      <c r="E240" t="s">
        <v>996</v>
      </c>
      <c r="F240">
        <v>0.15</v>
      </c>
      <c r="G240">
        <v>80.989999999999995</v>
      </c>
      <c r="I240" t="str" cm="1">
        <f t="array" ref="I240:J240">_xlfn.TEXTSPLIT(A240," ")</f>
        <v>27.10.2023</v>
      </c>
      <c r="J240" t="str">
        <v>03:58:03</v>
      </c>
      <c r="K240">
        <f t="shared" si="56"/>
        <v>3.9499999999999909</v>
      </c>
      <c r="L240">
        <f t="shared" si="49"/>
        <v>1.4499999999999993</v>
      </c>
      <c r="M240">
        <f t="shared" si="50"/>
        <v>0</v>
      </c>
      <c r="N240">
        <f t="shared" si="44"/>
        <v>0.3650000000000001</v>
      </c>
      <c r="Q240" t="str" cm="1">
        <f t="array" ref="Q240:R240">_xlfn.TEXTSPLIT(E240," ")</f>
        <v>27.10.2023</v>
      </c>
      <c r="R240" t="str">
        <v>03:58:03</v>
      </c>
      <c r="S240">
        <f t="shared" si="57"/>
        <v>3.9499999999999909</v>
      </c>
      <c r="T240">
        <f t="shared" si="48"/>
        <v>2.3900000000000006</v>
      </c>
      <c r="U240">
        <f t="shared" si="51"/>
        <v>0.15</v>
      </c>
      <c r="V240">
        <f t="shared" si="45"/>
        <v>0.57499999999999984</v>
      </c>
      <c r="AC240" t="s">
        <v>997</v>
      </c>
      <c r="AD240">
        <v>0</v>
      </c>
      <c r="AE240">
        <v>5.28</v>
      </c>
      <c r="AG240" t="str" cm="1">
        <f t="array" ref="AG240:AH240">_xlfn.TEXTSPLIT(AC241," ")</f>
        <v>26.10.2023</v>
      </c>
      <c r="AH240" t="str">
        <v>03:59:11</v>
      </c>
      <c r="AI240">
        <f t="shared" si="58"/>
        <v>3.9499999999999909</v>
      </c>
      <c r="AJ240">
        <f t="shared" si="52"/>
        <v>0.75</v>
      </c>
      <c r="AK240">
        <f t="shared" si="53"/>
        <v>0</v>
      </c>
      <c r="AL240">
        <f t="shared" si="46"/>
        <v>0.15000000000000002</v>
      </c>
      <c r="AN240" t="s">
        <v>997</v>
      </c>
      <c r="AO240">
        <v>0.15</v>
      </c>
      <c r="AP240">
        <v>64.349999999999994</v>
      </c>
      <c r="AR240" t="str" cm="1">
        <f t="array" ref="AR240:AS240">_xlfn.TEXTSPLIT(AN240," ")</f>
        <v>26.10.2023</v>
      </c>
      <c r="AS240" t="str">
        <v>03:58:10</v>
      </c>
      <c r="AT240">
        <f t="shared" si="59"/>
        <v>3.9499999999999909</v>
      </c>
      <c r="AU240">
        <f t="shared" si="54"/>
        <v>3.039999999999992</v>
      </c>
      <c r="AV240">
        <f t="shared" si="55"/>
        <v>0.15</v>
      </c>
      <c r="AW240">
        <f t="shared" si="47"/>
        <v>0.72999999999999987</v>
      </c>
    </row>
    <row r="241" spans="1:49" x14ac:dyDescent="0.25">
      <c r="A241" t="s">
        <v>998</v>
      </c>
      <c r="B241">
        <v>0</v>
      </c>
      <c r="C241">
        <v>15.77</v>
      </c>
      <c r="E241" t="s">
        <v>998</v>
      </c>
      <c r="F241">
        <v>0.15</v>
      </c>
      <c r="G241">
        <v>80.989999999999995</v>
      </c>
      <c r="I241" t="str" cm="1">
        <f t="array" ref="I241:J241">_xlfn.TEXTSPLIT(A241," ")</f>
        <v>27.10.2023</v>
      </c>
      <c r="J241" t="str">
        <v>03:59:03</v>
      </c>
      <c r="K241">
        <f t="shared" si="56"/>
        <v>3.9666666666666575</v>
      </c>
      <c r="L241">
        <f t="shared" si="49"/>
        <v>1.4499999999999993</v>
      </c>
      <c r="M241">
        <f t="shared" si="50"/>
        <v>0</v>
      </c>
      <c r="N241">
        <f t="shared" si="44"/>
        <v>0.3650000000000001</v>
      </c>
      <c r="Q241" t="str" cm="1">
        <f t="array" ref="Q241:R241">_xlfn.TEXTSPLIT(E241," ")</f>
        <v>27.10.2023</v>
      </c>
      <c r="R241" t="str">
        <v>03:59:03</v>
      </c>
      <c r="S241">
        <f t="shared" si="57"/>
        <v>3.9666666666666575</v>
      </c>
      <c r="T241">
        <f t="shared" si="48"/>
        <v>2.3900000000000006</v>
      </c>
      <c r="U241">
        <f t="shared" si="51"/>
        <v>0.15</v>
      </c>
      <c r="V241">
        <f t="shared" si="45"/>
        <v>0.57499999999999984</v>
      </c>
      <c r="AC241" t="s">
        <v>999</v>
      </c>
      <c r="AD241">
        <v>0</v>
      </c>
      <c r="AE241">
        <v>5.28</v>
      </c>
      <c r="AG241" t="str" cm="1">
        <f t="array" ref="AG241:AH241">_xlfn.TEXTSPLIT(AC242," ")</f>
        <v>26.10.2023</v>
      </c>
      <c r="AH241" t="str">
        <v>04:00:11</v>
      </c>
      <c r="AI241">
        <f t="shared" si="58"/>
        <v>3.9666666666666575</v>
      </c>
      <c r="AJ241">
        <f t="shared" si="52"/>
        <v>0.75</v>
      </c>
      <c r="AK241">
        <f t="shared" si="53"/>
        <v>0</v>
      </c>
      <c r="AL241">
        <f t="shared" si="46"/>
        <v>0.15000000000000002</v>
      </c>
      <c r="AN241" t="s">
        <v>999</v>
      </c>
      <c r="AO241">
        <v>0.3</v>
      </c>
      <c r="AP241">
        <v>64.36</v>
      </c>
      <c r="AR241" t="str" cm="1">
        <f t="array" ref="AR241:AS241">_xlfn.TEXTSPLIT(AN241," ")</f>
        <v>26.10.2023</v>
      </c>
      <c r="AS241" t="str">
        <v>03:59:11</v>
      </c>
      <c r="AT241">
        <f t="shared" si="59"/>
        <v>3.9666666666666575</v>
      </c>
      <c r="AU241">
        <f t="shared" si="54"/>
        <v>3.0499999999999972</v>
      </c>
      <c r="AV241">
        <f t="shared" si="55"/>
        <v>0.3</v>
      </c>
      <c r="AW241">
        <f t="shared" si="47"/>
        <v>0.72999999999999987</v>
      </c>
    </row>
    <row r="242" spans="1:49" x14ac:dyDescent="0.25">
      <c r="A242" t="s">
        <v>1000</v>
      </c>
      <c r="B242">
        <v>0</v>
      </c>
      <c r="C242">
        <v>15.77</v>
      </c>
      <c r="E242" t="s">
        <v>1000</v>
      </c>
      <c r="F242">
        <v>0.15</v>
      </c>
      <c r="G242">
        <v>80.989999999999995</v>
      </c>
      <c r="I242" t="str" cm="1">
        <f t="array" ref="I242:J242">_xlfn.TEXTSPLIT(A242," ")</f>
        <v>27.10.2023</v>
      </c>
      <c r="J242" t="str">
        <v>04:00:04</v>
      </c>
      <c r="K242">
        <f t="shared" si="56"/>
        <v>3.9833333333333241</v>
      </c>
      <c r="L242">
        <f t="shared" si="49"/>
        <v>1.4499999999999993</v>
      </c>
      <c r="M242">
        <f t="shared" si="50"/>
        <v>0</v>
      </c>
      <c r="N242">
        <f t="shared" si="44"/>
        <v>0.3650000000000001</v>
      </c>
      <c r="Q242" t="str" cm="1">
        <f t="array" ref="Q242:R242">_xlfn.TEXTSPLIT(E242," ")</f>
        <v>27.10.2023</v>
      </c>
      <c r="R242" t="str">
        <v>04:00:04</v>
      </c>
      <c r="S242">
        <f t="shared" si="57"/>
        <v>3.9833333333333241</v>
      </c>
      <c r="T242">
        <f t="shared" si="48"/>
        <v>2.3900000000000006</v>
      </c>
      <c r="U242">
        <f t="shared" si="51"/>
        <v>0.15</v>
      </c>
      <c r="V242">
        <f t="shared" si="45"/>
        <v>0.5774999999999999</v>
      </c>
      <c r="AC242" t="s">
        <v>1001</v>
      </c>
      <c r="AD242">
        <v>0</v>
      </c>
      <c r="AE242">
        <v>5.28</v>
      </c>
      <c r="AG242" t="str" cm="1">
        <f t="array" ref="AG242:AH242">_xlfn.TEXTSPLIT(AC243," ")</f>
        <v>26.10.2023</v>
      </c>
      <c r="AH242" t="str">
        <v>04:01:11</v>
      </c>
      <c r="AI242">
        <f t="shared" si="58"/>
        <v>3.9833333333333241</v>
      </c>
      <c r="AJ242">
        <f t="shared" si="52"/>
        <v>0.75</v>
      </c>
      <c r="AK242">
        <f t="shared" si="53"/>
        <v>0</v>
      </c>
      <c r="AL242">
        <f t="shared" si="46"/>
        <v>0.15000000000000002</v>
      </c>
      <c r="AN242" t="s">
        <v>1001</v>
      </c>
      <c r="AO242">
        <v>0.15</v>
      </c>
      <c r="AP242">
        <v>64.36</v>
      </c>
      <c r="AR242" t="str" cm="1">
        <f t="array" ref="AR242:AS242">_xlfn.TEXTSPLIT(AN242," ")</f>
        <v>26.10.2023</v>
      </c>
      <c r="AS242" t="str">
        <v>04:00:11</v>
      </c>
      <c r="AT242">
        <f t="shared" si="59"/>
        <v>3.9833333333333241</v>
      </c>
      <c r="AU242">
        <f t="shared" si="54"/>
        <v>3.0499999999999972</v>
      </c>
      <c r="AV242">
        <f t="shared" si="55"/>
        <v>0.15</v>
      </c>
      <c r="AW242">
        <f t="shared" si="47"/>
        <v>0.72999999999999987</v>
      </c>
    </row>
    <row r="243" spans="1:49" x14ac:dyDescent="0.25">
      <c r="A243" t="s">
        <v>1002</v>
      </c>
      <c r="B243">
        <v>0</v>
      </c>
      <c r="C243">
        <v>15.77</v>
      </c>
      <c r="E243" t="s">
        <v>1002</v>
      </c>
      <c r="F243">
        <v>0.3</v>
      </c>
      <c r="G243">
        <v>81</v>
      </c>
      <c r="I243" t="str" cm="1">
        <f t="array" ref="I243:J243">_xlfn.TEXTSPLIT(A243," ")</f>
        <v>27.10.2023</v>
      </c>
      <c r="J243" t="str">
        <v>04:01:04</v>
      </c>
      <c r="K243">
        <f t="shared" si="56"/>
        <v>3.9999999999999907</v>
      </c>
      <c r="L243">
        <f t="shared" si="49"/>
        <v>1.4499999999999993</v>
      </c>
      <c r="M243">
        <f t="shared" si="50"/>
        <v>0</v>
      </c>
      <c r="N243">
        <f t="shared" si="44"/>
        <v>0.3650000000000001</v>
      </c>
      <c r="Q243" t="str" cm="1">
        <f t="array" ref="Q243:R243">_xlfn.TEXTSPLIT(E243," ")</f>
        <v>27.10.2023</v>
      </c>
      <c r="R243" t="str">
        <v>04:01:04</v>
      </c>
      <c r="S243">
        <f t="shared" si="57"/>
        <v>3.9999999999999907</v>
      </c>
      <c r="T243">
        <f t="shared" si="48"/>
        <v>2.4000000000000057</v>
      </c>
      <c r="U243">
        <f t="shared" si="51"/>
        <v>0.3</v>
      </c>
      <c r="V243">
        <f t="shared" si="45"/>
        <v>0.5774999999999999</v>
      </c>
      <c r="AC243" t="s">
        <v>1003</v>
      </c>
      <c r="AD243">
        <v>0</v>
      </c>
      <c r="AE243">
        <v>5.28</v>
      </c>
      <c r="AG243" t="str" cm="1">
        <f t="array" ref="AG243:AH243">_xlfn.TEXTSPLIT(AC244," ")</f>
        <v>26.10.2023</v>
      </c>
      <c r="AH243" t="str">
        <v>04:02:11</v>
      </c>
      <c r="AI243">
        <f t="shared" si="58"/>
        <v>3.9999999999999907</v>
      </c>
      <c r="AJ243">
        <f t="shared" si="52"/>
        <v>0.75</v>
      </c>
      <c r="AK243">
        <f t="shared" si="53"/>
        <v>0</v>
      </c>
      <c r="AL243">
        <f t="shared" si="46"/>
        <v>0.15000000000000002</v>
      </c>
      <c r="AN243" t="s">
        <v>1003</v>
      </c>
      <c r="AO243">
        <v>0.45</v>
      </c>
      <c r="AP243">
        <v>64.37</v>
      </c>
      <c r="AR243" t="str" cm="1">
        <f t="array" ref="AR243:AS243">_xlfn.TEXTSPLIT(AN243," ")</f>
        <v>26.10.2023</v>
      </c>
      <c r="AS243" t="str">
        <v>04:01:11</v>
      </c>
      <c r="AT243">
        <f t="shared" si="59"/>
        <v>3.9999999999999907</v>
      </c>
      <c r="AU243">
        <f t="shared" si="54"/>
        <v>3.0600000000000023</v>
      </c>
      <c r="AV243">
        <f t="shared" si="55"/>
        <v>0.45</v>
      </c>
      <c r="AW243">
        <f t="shared" si="47"/>
        <v>0.72999999999999987</v>
      </c>
    </row>
    <row r="244" spans="1:49" x14ac:dyDescent="0.25">
      <c r="A244" t="s">
        <v>1004</v>
      </c>
      <c r="B244">
        <v>0</v>
      </c>
      <c r="C244">
        <v>15.77</v>
      </c>
      <c r="E244" t="s">
        <v>1004</v>
      </c>
      <c r="F244">
        <v>0.15</v>
      </c>
      <c r="G244">
        <v>81</v>
      </c>
      <c r="I244" t="str" cm="1">
        <f t="array" ref="I244:J244">_xlfn.TEXTSPLIT(A244," ")</f>
        <v>27.10.2023</v>
      </c>
      <c r="J244" t="str">
        <v>04:02:04</v>
      </c>
      <c r="K244">
        <f t="shared" si="56"/>
        <v>4.0166666666666577</v>
      </c>
      <c r="L244">
        <f t="shared" si="49"/>
        <v>1.4499999999999993</v>
      </c>
      <c r="M244">
        <f t="shared" si="50"/>
        <v>0</v>
      </c>
      <c r="N244">
        <f t="shared" si="44"/>
        <v>0.3650000000000001</v>
      </c>
      <c r="Q244" t="str" cm="1">
        <f t="array" ref="Q244:R244">_xlfn.TEXTSPLIT(E244," ")</f>
        <v>27.10.2023</v>
      </c>
      <c r="R244" t="str">
        <v>04:02:04</v>
      </c>
      <c r="S244">
        <f t="shared" si="57"/>
        <v>4.0166666666666577</v>
      </c>
      <c r="T244">
        <f t="shared" si="48"/>
        <v>2.4000000000000057</v>
      </c>
      <c r="U244">
        <f t="shared" si="51"/>
        <v>0.15</v>
      </c>
      <c r="V244">
        <f t="shared" si="45"/>
        <v>0.57749999999999979</v>
      </c>
      <c r="AC244" t="s">
        <v>1005</v>
      </c>
      <c r="AD244">
        <v>0</v>
      </c>
      <c r="AE244">
        <v>5.28</v>
      </c>
      <c r="AG244" t="str" cm="1">
        <f t="array" ref="AG244:AH244">_xlfn.TEXTSPLIT(AC245," ")</f>
        <v>26.10.2023</v>
      </c>
      <c r="AH244" t="str">
        <v>04:03:11</v>
      </c>
      <c r="AI244">
        <f t="shared" si="58"/>
        <v>4.0166666666666577</v>
      </c>
      <c r="AJ244">
        <f t="shared" si="52"/>
        <v>0.75</v>
      </c>
      <c r="AK244">
        <f t="shared" si="53"/>
        <v>0</v>
      </c>
      <c r="AL244">
        <f t="shared" si="46"/>
        <v>0.15000000000000002</v>
      </c>
      <c r="AN244" t="s">
        <v>1005</v>
      </c>
      <c r="AO244">
        <v>0.45</v>
      </c>
      <c r="AP244">
        <v>64.38</v>
      </c>
      <c r="AR244" t="str" cm="1">
        <f t="array" ref="AR244:AS244">_xlfn.TEXTSPLIT(AN244," ")</f>
        <v>26.10.2023</v>
      </c>
      <c r="AS244" t="str">
        <v>04:02:11</v>
      </c>
      <c r="AT244">
        <f t="shared" si="59"/>
        <v>4.0166666666666577</v>
      </c>
      <c r="AU244">
        <f t="shared" si="54"/>
        <v>3.0699999999999932</v>
      </c>
      <c r="AV244">
        <f t="shared" si="55"/>
        <v>0.45</v>
      </c>
      <c r="AW244">
        <f t="shared" si="47"/>
        <v>0.73</v>
      </c>
    </row>
    <row r="245" spans="1:49" x14ac:dyDescent="0.25">
      <c r="A245" t="s">
        <v>1006</v>
      </c>
      <c r="B245">
        <v>0</v>
      </c>
      <c r="C245">
        <v>15.77</v>
      </c>
      <c r="E245" t="s">
        <v>1006</v>
      </c>
      <c r="F245">
        <v>0.15</v>
      </c>
      <c r="G245">
        <v>81</v>
      </c>
      <c r="I245" t="str" cm="1">
        <f t="array" ref="I245:J245">_xlfn.TEXTSPLIT(A245," ")</f>
        <v>27.10.2023</v>
      </c>
      <c r="J245" t="str">
        <v>04:03:04</v>
      </c>
      <c r="K245">
        <f t="shared" si="56"/>
        <v>4.0333333333333243</v>
      </c>
      <c r="L245">
        <f t="shared" si="49"/>
        <v>1.4499999999999993</v>
      </c>
      <c r="M245">
        <f t="shared" si="50"/>
        <v>0</v>
      </c>
      <c r="N245">
        <f t="shared" si="44"/>
        <v>0.3650000000000001</v>
      </c>
      <c r="Q245" t="str" cm="1">
        <f t="array" ref="Q245:R245">_xlfn.TEXTSPLIT(E245," ")</f>
        <v>27.10.2023</v>
      </c>
      <c r="R245" t="str">
        <v>04:03:04</v>
      </c>
      <c r="S245">
        <f t="shared" si="57"/>
        <v>4.0333333333333243</v>
      </c>
      <c r="T245">
        <f t="shared" si="48"/>
        <v>2.4000000000000057</v>
      </c>
      <c r="U245">
        <f t="shared" si="51"/>
        <v>0.15</v>
      </c>
      <c r="V245">
        <f t="shared" si="45"/>
        <v>0.57749999999999979</v>
      </c>
      <c r="AC245" t="s">
        <v>1007</v>
      </c>
      <c r="AD245">
        <v>0</v>
      </c>
      <c r="AE245">
        <v>5.28</v>
      </c>
      <c r="AG245" t="str" cm="1">
        <f t="array" ref="AG245:AH245">_xlfn.TEXTSPLIT(AC246," ")</f>
        <v>26.10.2023</v>
      </c>
      <c r="AH245" t="str">
        <v>04:04:11</v>
      </c>
      <c r="AI245">
        <f t="shared" si="58"/>
        <v>4.0333333333333243</v>
      </c>
      <c r="AJ245">
        <f t="shared" si="52"/>
        <v>0.75</v>
      </c>
      <c r="AK245">
        <f t="shared" si="53"/>
        <v>0</v>
      </c>
      <c r="AL245">
        <f t="shared" si="46"/>
        <v>0.15000000000000002</v>
      </c>
      <c r="AN245" t="s">
        <v>1007</v>
      </c>
      <c r="AO245">
        <v>0.6</v>
      </c>
      <c r="AP245">
        <v>64.39</v>
      </c>
      <c r="AR245" t="str" cm="1">
        <f t="array" ref="AR245:AS245">_xlfn.TEXTSPLIT(AN245," ")</f>
        <v>26.10.2023</v>
      </c>
      <c r="AS245" t="str">
        <v>04:03:11</v>
      </c>
      <c r="AT245">
        <f t="shared" si="59"/>
        <v>4.0333333333333243</v>
      </c>
      <c r="AU245">
        <f t="shared" si="54"/>
        <v>3.0799999999999983</v>
      </c>
      <c r="AV245">
        <f t="shared" si="55"/>
        <v>0.6</v>
      </c>
      <c r="AW245">
        <f t="shared" si="47"/>
        <v>0.73</v>
      </c>
    </row>
    <row r="246" spans="1:49" x14ac:dyDescent="0.25">
      <c r="A246" t="s">
        <v>1008</v>
      </c>
      <c r="B246">
        <v>0</v>
      </c>
      <c r="C246">
        <v>15.77</v>
      </c>
      <c r="E246" t="s">
        <v>1008</v>
      </c>
      <c r="F246">
        <v>0.45</v>
      </c>
      <c r="G246">
        <v>81.010000000000005</v>
      </c>
      <c r="I246" t="str" cm="1">
        <f t="array" ref="I246:J246">_xlfn.TEXTSPLIT(A246," ")</f>
        <v>27.10.2023</v>
      </c>
      <c r="J246" t="str">
        <v>04:04:04</v>
      </c>
      <c r="K246">
        <f t="shared" si="56"/>
        <v>4.0499999999999909</v>
      </c>
      <c r="L246">
        <f t="shared" si="49"/>
        <v>1.4499999999999993</v>
      </c>
      <c r="M246">
        <f t="shared" si="50"/>
        <v>0</v>
      </c>
      <c r="N246">
        <f t="shared" si="44"/>
        <v>0.3650000000000001</v>
      </c>
      <c r="Q246" t="str" cm="1">
        <f t="array" ref="Q246:R246">_xlfn.TEXTSPLIT(E246," ")</f>
        <v>27.10.2023</v>
      </c>
      <c r="R246" t="str">
        <v>04:04:04</v>
      </c>
      <c r="S246">
        <f t="shared" si="57"/>
        <v>4.0499999999999909</v>
      </c>
      <c r="T246">
        <f t="shared" si="48"/>
        <v>2.4100000000000108</v>
      </c>
      <c r="U246">
        <f t="shared" si="51"/>
        <v>0.45</v>
      </c>
      <c r="V246">
        <f t="shared" si="45"/>
        <v>0.5824999999999998</v>
      </c>
      <c r="AC246" t="s">
        <v>1009</v>
      </c>
      <c r="AD246">
        <v>0</v>
      </c>
      <c r="AE246">
        <v>5.28</v>
      </c>
      <c r="AG246" t="str" cm="1">
        <f t="array" ref="AG246:AH246">_xlfn.TEXTSPLIT(AC247," ")</f>
        <v>26.10.2023</v>
      </c>
      <c r="AH246" t="str">
        <v>04:05:11</v>
      </c>
      <c r="AI246">
        <f t="shared" si="58"/>
        <v>4.0499999999999909</v>
      </c>
      <c r="AJ246">
        <f t="shared" si="52"/>
        <v>0.75</v>
      </c>
      <c r="AK246">
        <f t="shared" si="53"/>
        <v>0</v>
      </c>
      <c r="AL246">
        <f t="shared" si="46"/>
        <v>0.15000000000000002</v>
      </c>
      <c r="AN246" t="s">
        <v>1009</v>
      </c>
      <c r="AO246">
        <v>0.45</v>
      </c>
      <c r="AP246">
        <v>64.400000000000006</v>
      </c>
      <c r="AR246" t="str" cm="1">
        <f t="array" ref="AR246:AS246">_xlfn.TEXTSPLIT(AN246," ")</f>
        <v>26.10.2023</v>
      </c>
      <c r="AS246" t="str">
        <v>04:04:11</v>
      </c>
      <c r="AT246">
        <f t="shared" si="59"/>
        <v>4.0499999999999909</v>
      </c>
      <c r="AU246">
        <f t="shared" si="54"/>
        <v>3.0900000000000034</v>
      </c>
      <c r="AV246">
        <f t="shared" si="55"/>
        <v>0.45</v>
      </c>
      <c r="AW246">
        <f t="shared" si="47"/>
        <v>0.72499999999999987</v>
      </c>
    </row>
    <row r="247" spans="1:49" x14ac:dyDescent="0.25">
      <c r="A247" t="s">
        <v>1010</v>
      </c>
      <c r="B247">
        <v>0</v>
      </c>
      <c r="C247">
        <v>15.77</v>
      </c>
      <c r="E247" t="s">
        <v>1010</v>
      </c>
      <c r="F247">
        <v>0.45</v>
      </c>
      <c r="G247">
        <v>81.02</v>
      </c>
      <c r="I247" t="str" cm="1">
        <f t="array" ref="I247:J247">_xlfn.TEXTSPLIT(A247," ")</f>
        <v>27.10.2023</v>
      </c>
      <c r="J247" t="str">
        <v>04:05:04</v>
      </c>
      <c r="K247">
        <f t="shared" si="56"/>
        <v>4.0666666666666575</v>
      </c>
      <c r="L247">
        <f t="shared" si="49"/>
        <v>1.4499999999999993</v>
      </c>
      <c r="M247">
        <f t="shared" si="50"/>
        <v>0</v>
      </c>
      <c r="N247">
        <f t="shared" si="44"/>
        <v>0.3650000000000001</v>
      </c>
      <c r="Q247" t="str" cm="1">
        <f t="array" ref="Q247:R247">_xlfn.TEXTSPLIT(E247," ")</f>
        <v>27.10.2023</v>
      </c>
      <c r="R247" t="str">
        <v>04:05:04</v>
      </c>
      <c r="S247">
        <f t="shared" si="57"/>
        <v>4.0666666666666575</v>
      </c>
      <c r="T247">
        <f t="shared" si="48"/>
        <v>2.4200000000000017</v>
      </c>
      <c r="U247">
        <f t="shared" si="51"/>
        <v>0.45</v>
      </c>
      <c r="V247">
        <f t="shared" si="45"/>
        <v>0.58499999999999985</v>
      </c>
      <c r="AC247" t="s">
        <v>1011</v>
      </c>
      <c r="AD247">
        <v>0</v>
      </c>
      <c r="AE247">
        <v>5.28</v>
      </c>
      <c r="AG247" t="str" cm="1">
        <f t="array" ref="AG247:AH247">_xlfn.TEXTSPLIT(AC248," ")</f>
        <v>26.10.2023</v>
      </c>
      <c r="AH247" t="str">
        <v>04:06:11</v>
      </c>
      <c r="AI247">
        <f t="shared" si="58"/>
        <v>4.0666666666666575</v>
      </c>
      <c r="AJ247">
        <f t="shared" si="52"/>
        <v>0.75</v>
      </c>
      <c r="AK247">
        <f t="shared" si="53"/>
        <v>0</v>
      </c>
      <c r="AL247">
        <f t="shared" si="46"/>
        <v>0.15000000000000002</v>
      </c>
      <c r="AN247" t="s">
        <v>1011</v>
      </c>
      <c r="AO247">
        <v>0.6</v>
      </c>
      <c r="AP247">
        <v>64.41</v>
      </c>
      <c r="AR247" t="str" cm="1">
        <f t="array" ref="AR247:AS247">_xlfn.TEXTSPLIT(AN247," ")</f>
        <v>26.10.2023</v>
      </c>
      <c r="AS247" t="str">
        <v>04:05:11</v>
      </c>
      <c r="AT247">
        <f t="shared" si="59"/>
        <v>4.0666666666666575</v>
      </c>
      <c r="AU247">
        <f t="shared" si="54"/>
        <v>3.0999999999999943</v>
      </c>
      <c r="AV247">
        <f t="shared" si="55"/>
        <v>0.6</v>
      </c>
      <c r="AW247">
        <f t="shared" si="47"/>
        <v>0.7174999999999998</v>
      </c>
    </row>
    <row r="248" spans="1:49" x14ac:dyDescent="0.25">
      <c r="A248" t="s">
        <v>1012</v>
      </c>
      <c r="B248">
        <v>0</v>
      </c>
      <c r="C248">
        <v>15.77</v>
      </c>
      <c r="E248" t="s">
        <v>1012</v>
      </c>
      <c r="F248">
        <v>0.3</v>
      </c>
      <c r="G248">
        <v>81.03</v>
      </c>
      <c r="I248" t="str" cm="1">
        <f t="array" ref="I248:J248">_xlfn.TEXTSPLIT(A248," ")</f>
        <v>27.10.2023</v>
      </c>
      <c r="J248" t="str">
        <v>04:06:04</v>
      </c>
      <c r="K248">
        <f t="shared" si="56"/>
        <v>4.0833333333333242</v>
      </c>
      <c r="L248">
        <f t="shared" si="49"/>
        <v>1.4499999999999993</v>
      </c>
      <c r="M248">
        <f t="shared" si="50"/>
        <v>0</v>
      </c>
      <c r="N248">
        <f t="shared" si="44"/>
        <v>0.3650000000000001</v>
      </c>
      <c r="Q248" t="str" cm="1">
        <f t="array" ref="Q248:R248">_xlfn.TEXTSPLIT(E248," ")</f>
        <v>27.10.2023</v>
      </c>
      <c r="R248" t="str">
        <v>04:06:04</v>
      </c>
      <c r="S248">
        <f t="shared" si="57"/>
        <v>4.0833333333333242</v>
      </c>
      <c r="T248">
        <f t="shared" si="48"/>
        <v>2.4300000000000068</v>
      </c>
      <c r="U248">
        <f t="shared" si="51"/>
        <v>0.3</v>
      </c>
      <c r="V248">
        <f t="shared" si="45"/>
        <v>0.58499999999999974</v>
      </c>
      <c r="AC248" t="s">
        <v>1013</v>
      </c>
      <c r="AD248">
        <v>0</v>
      </c>
      <c r="AE248">
        <v>5.28</v>
      </c>
      <c r="AG248" t="str" cm="1">
        <f t="array" ref="AG248:AH248">_xlfn.TEXTSPLIT(AC249," ")</f>
        <v>26.10.2023</v>
      </c>
      <c r="AH248" t="str">
        <v>04:07:11</v>
      </c>
      <c r="AI248">
        <f t="shared" si="58"/>
        <v>4.0833333333333242</v>
      </c>
      <c r="AJ248">
        <f t="shared" si="52"/>
        <v>0.75</v>
      </c>
      <c r="AK248">
        <f t="shared" si="53"/>
        <v>0</v>
      </c>
      <c r="AL248">
        <f t="shared" si="46"/>
        <v>0.15000000000000002</v>
      </c>
      <c r="AN248" t="s">
        <v>1013</v>
      </c>
      <c r="AO248">
        <v>0.75</v>
      </c>
      <c r="AP248">
        <v>64.42</v>
      </c>
      <c r="AR248" t="str" cm="1">
        <f t="array" ref="AR248:AS248">_xlfn.TEXTSPLIT(AN248," ")</f>
        <v>26.10.2023</v>
      </c>
      <c r="AS248" t="str">
        <v>04:06:11</v>
      </c>
      <c r="AT248">
        <f t="shared" si="59"/>
        <v>4.0833333333333242</v>
      </c>
      <c r="AU248">
        <f t="shared" si="54"/>
        <v>3.1099999999999994</v>
      </c>
      <c r="AV248">
        <f t="shared" si="55"/>
        <v>0.75</v>
      </c>
      <c r="AW248">
        <f t="shared" si="47"/>
        <v>0.72</v>
      </c>
    </row>
    <row r="249" spans="1:49" x14ac:dyDescent="0.25">
      <c r="A249" t="s">
        <v>1014</v>
      </c>
      <c r="B249">
        <v>0</v>
      </c>
      <c r="C249">
        <v>15.77</v>
      </c>
      <c r="E249" t="s">
        <v>1014</v>
      </c>
      <c r="F249">
        <v>1.65</v>
      </c>
      <c r="G249">
        <v>81.05</v>
      </c>
      <c r="I249" t="str" cm="1">
        <f t="array" ref="I249:J249">_xlfn.TEXTSPLIT(A249," ")</f>
        <v>27.10.2023</v>
      </c>
      <c r="J249" t="str">
        <v>04:07:05</v>
      </c>
      <c r="K249">
        <f t="shared" si="56"/>
        <v>4.0999999999999908</v>
      </c>
      <c r="L249">
        <f t="shared" si="49"/>
        <v>1.4499999999999993</v>
      </c>
      <c r="M249">
        <f t="shared" si="50"/>
        <v>0</v>
      </c>
      <c r="N249">
        <f t="shared" si="44"/>
        <v>0.3650000000000001</v>
      </c>
      <c r="Q249" t="str" cm="1">
        <f t="array" ref="Q249:R249">_xlfn.TEXTSPLIT(E249," ")</f>
        <v>27.10.2023</v>
      </c>
      <c r="R249" t="str">
        <v>04:07:05</v>
      </c>
      <c r="S249">
        <f t="shared" si="57"/>
        <v>4.0999999999999908</v>
      </c>
      <c r="T249">
        <f t="shared" si="48"/>
        <v>2.4500000000000028</v>
      </c>
      <c r="U249">
        <f t="shared" si="51"/>
        <v>1.65</v>
      </c>
      <c r="V249">
        <f t="shared" si="45"/>
        <v>0.60499999999999987</v>
      </c>
      <c r="AC249" t="s">
        <v>1015</v>
      </c>
      <c r="AD249">
        <v>0</v>
      </c>
      <c r="AE249">
        <v>5.28</v>
      </c>
      <c r="AG249" t="str" cm="1">
        <f t="array" ref="AG249:AH249">_xlfn.TEXTSPLIT(AC250," ")</f>
        <v>26.10.2023</v>
      </c>
      <c r="AH249" t="str">
        <v>04:08:11</v>
      </c>
      <c r="AI249">
        <f t="shared" si="58"/>
        <v>4.0999999999999908</v>
      </c>
      <c r="AJ249">
        <f t="shared" si="52"/>
        <v>0.75</v>
      </c>
      <c r="AK249">
        <f t="shared" si="53"/>
        <v>0</v>
      </c>
      <c r="AL249">
        <f t="shared" si="46"/>
        <v>0.15000000000000002</v>
      </c>
      <c r="AN249" t="s">
        <v>1015</v>
      </c>
      <c r="AO249">
        <v>1.2</v>
      </c>
      <c r="AP249">
        <v>64.44</v>
      </c>
      <c r="AR249" t="str" cm="1">
        <f t="array" ref="AR249:AS249">_xlfn.TEXTSPLIT(AN249," ")</f>
        <v>26.10.2023</v>
      </c>
      <c r="AS249" t="str">
        <v>04:07:11</v>
      </c>
      <c r="AT249">
        <f t="shared" si="59"/>
        <v>4.0999999999999908</v>
      </c>
      <c r="AU249">
        <f t="shared" si="54"/>
        <v>3.1299999999999955</v>
      </c>
      <c r="AV249">
        <f t="shared" si="55"/>
        <v>1.2</v>
      </c>
      <c r="AW249">
        <f t="shared" si="47"/>
        <v>0.72250000000000003</v>
      </c>
    </row>
    <row r="250" spans="1:49" x14ac:dyDescent="0.25">
      <c r="A250" t="s">
        <v>1016</v>
      </c>
      <c r="B250">
        <v>0.75</v>
      </c>
      <c r="C250">
        <v>15.78</v>
      </c>
      <c r="E250" t="s">
        <v>1016</v>
      </c>
      <c r="F250">
        <v>2.4</v>
      </c>
      <c r="G250">
        <v>81.09</v>
      </c>
      <c r="I250" t="str" cm="1">
        <f t="array" ref="I250:J250">_xlfn.TEXTSPLIT(A250," ")</f>
        <v>27.10.2023</v>
      </c>
      <c r="J250" t="str">
        <v>04:08:05</v>
      </c>
      <c r="K250">
        <f t="shared" si="56"/>
        <v>4.1166666666666574</v>
      </c>
      <c r="L250">
        <f t="shared" si="49"/>
        <v>1.4599999999999991</v>
      </c>
      <c r="M250">
        <f t="shared" si="50"/>
        <v>0.75</v>
      </c>
      <c r="N250">
        <f t="shared" si="44"/>
        <v>0.37750000000000011</v>
      </c>
      <c r="Q250" t="str" cm="1">
        <f t="array" ref="Q250:R250">_xlfn.TEXTSPLIT(E250," ")</f>
        <v>27.10.2023</v>
      </c>
      <c r="R250" t="str">
        <v>04:08:05</v>
      </c>
      <c r="S250">
        <f t="shared" si="57"/>
        <v>4.1166666666666574</v>
      </c>
      <c r="T250">
        <f t="shared" si="48"/>
        <v>2.4900000000000091</v>
      </c>
      <c r="U250">
        <f t="shared" si="51"/>
        <v>2.4</v>
      </c>
      <c r="V250">
        <f t="shared" si="45"/>
        <v>0.62249999999999994</v>
      </c>
      <c r="AC250" t="s">
        <v>1017</v>
      </c>
      <c r="AD250">
        <v>0</v>
      </c>
      <c r="AE250">
        <v>5.28</v>
      </c>
      <c r="AG250" t="str" cm="1">
        <f t="array" ref="AG250:AH250">_xlfn.TEXTSPLIT(AC251," ")</f>
        <v>26.10.2023</v>
      </c>
      <c r="AH250" t="str">
        <v>04:09:12</v>
      </c>
      <c r="AI250">
        <f t="shared" si="58"/>
        <v>4.1166666666666574</v>
      </c>
      <c r="AJ250">
        <f t="shared" si="52"/>
        <v>0.75</v>
      </c>
      <c r="AK250">
        <f t="shared" si="53"/>
        <v>0</v>
      </c>
      <c r="AL250">
        <f t="shared" si="46"/>
        <v>0.15000000000000002</v>
      </c>
      <c r="AN250" t="s">
        <v>1017</v>
      </c>
      <c r="AO250">
        <v>1.5</v>
      </c>
      <c r="AP250">
        <v>64.47</v>
      </c>
      <c r="AR250" t="str" cm="1">
        <f t="array" ref="AR250:AS250">_xlfn.TEXTSPLIT(AN250," ")</f>
        <v>26.10.2023</v>
      </c>
      <c r="AS250" t="str">
        <v>04:08:11</v>
      </c>
      <c r="AT250">
        <f t="shared" si="59"/>
        <v>4.1166666666666574</v>
      </c>
      <c r="AU250">
        <f t="shared" si="54"/>
        <v>3.1599999999999966</v>
      </c>
      <c r="AV250">
        <f t="shared" si="55"/>
        <v>1.5</v>
      </c>
      <c r="AW250">
        <f t="shared" si="47"/>
        <v>0.72000000000000008</v>
      </c>
    </row>
    <row r="251" spans="1:49" x14ac:dyDescent="0.25">
      <c r="A251" t="s">
        <v>1018</v>
      </c>
      <c r="B251">
        <v>2.4</v>
      </c>
      <c r="C251">
        <v>15.83</v>
      </c>
      <c r="E251" t="s">
        <v>1018</v>
      </c>
      <c r="F251">
        <v>1.5</v>
      </c>
      <c r="G251">
        <v>81.11</v>
      </c>
      <c r="I251" t="str" cm="1">
        <f t="array" ref="I251:J251">_xlfn.TEXTSPLIT(A251," ")</f>
        <v>27.10.2023</v>
      </c>
      <c r="J251" t="str">
        <v>04:09:05</v>
      </c>
      <c r="K251">
        <f t="shared" si="56"/>
        <v>4.133333333333324</v>
      </c>
      <c r="L251">
        <f t="shared" si="49"/>
        <v>1.5099999999999998</v>
      </c>
      <c r="M251">
        <f t="shared" si="50"/>
        <v>2.4</v>
      </c>
      <c r="N251">
        <f t="shared" si="44"/>
        <v>0.40750000000000003</v>
      </c>
      <c r="Q251" t="str" cm="1">
        <f t="array" ref="Q251:R251">_xlfn.TEXTSPLIT(E251," ")</f>
        <v>27.10.2023</v>
      </c>
      <c r="R251" t="str">
        <v>04:09:05</v>
      </c>
      <c r="S251">
        <f t="shared" si="57"/>
        <v>4.133333333333324</v>
      </c>
      <c r="T251">
        <f t="shared" si="48"/>
        <v>2.5100000000000051</v>
      </c>
      <c r="U251">
        <f t="shared" si="51"/>
        <v>1.5</v>
      </c>
      <c r="V251">
        <f t="shared" si="45"/>
        <v>0.60499999999999976</v>
      </c>
      <c r="AC251" t="s">
        <v>1019</v>
      </c>
      <c r="AD251">
        <v>0.15</v>
      </c>
      <c r="AE251">
        <v>5.29</v>
      </c>
      <c r="AG251" t="str" cm="1">
        <f t="array" ref="AG251:AH251">_xlfn.TEXTSPLIT(AC252," ")</f>
        <v>26.10.2023</v>
      </c>
      <c r="AH251" t="str">
        <v>04:10:12</v>
      </c>
      <c r="AI251">
        <f t="shared" si="58"/>
        <v>4.133333333333324</v>
      </c>
      <c r="AJ251">
        <f t="shared" si="52"/>
        <v>0.75999999999999979</v>
      </c>
      <c r="AK251">
        <f t="shared" si="53"/>
        <v>0.15</v>
      </c>
      <c r="AL251">
        <f t="shared" si="46"/>
        <v>0.15250000000000002</v>
      </c>
      <c r="AN251" t="s">
        <v>1019</v>
      </c>
      <c r="AO251">
        <v>1.95</v>
      </c>
      <c r="AP251">
        <v>64.5</v>
      </c>
      <c r="AR251" t="str" cm="1">
        <f t="array" ref="AR251:AS251">_xlfn.TEXTSPLIT(AN251," ")</f>
        <v>26.10.2023</v>
      </c>
      <c r="AS251" t="str">
        <v>04:09:12</v>
      </c>
      <c r="AT251">
        <f t="shared" si="59"/>
        <v>4.133333333333324</v>
      </c>
      <c r="AU251">
        <f t="shared" si="54"/>
        <v>3.1899999999999977</v>
      </c>
      <c r="AV251">
        <f t="shared" si="55"/>
        <v>1.95</v>
      </c>
      <c r="AW251">
        <f t="shared" si="47"/>
        <v>0.71500000000000008</v>
      </c>
    </row>
    <row r="252" spans="1:49" x14ac:dyDescent="0.25">
      <c r="A252" t="s">
        <v>1020</v>
      </c>
      <c r="B252">
        <v>1.2</v>
      </c>
      <c r="C252">
        <v>15.84</v>
      </c>
      <c r="E252" t="s">
        <v>1020</v>
      </c>
      <c r="F252">
        <v>1.05</v>
      </c>
      <c r="G252">
        <v>81.13</v>
      </c>
      <c r="I252" t="str" cm="1">
        <f t="array" ref="I252:J252">_xlfn.TEXTSPLIT(A252," ")</f>
        <v>27.10.2023</v>
      </c>
      <c r="J252" t="str">
        <v>04:10:05</v>
      </c>
      <c r="K252">
        <f t="shared" si="56"/>
        <v>4.1499999999999906</v>
      </c>
      <c r="L252">
        <f t="shared" si="49"/>
        <v>1.5199999999999996</v>
      </c>
      <c r="M252">
        <f t="shared" si="50"/>
        <v>1.2</v>
      </c>
      <c r="N252">
        <f t="shared" si="44"/>
        <v>0.39500000000000007</v>
      </c>
      <c r="Q252" t="str" cm="1">
        <f t="array" ref="Q252:R252">_xlfn.TEXTSPLIT(E252," ")</f>
        <v>27.10.2023</v>
      </c>
      <c r="R252" t="str">
        <v>04:10:05</v>
      </c>
      <c r="S252">
        <f t="shared" si="57"/>
        <v>4.1499999999999906</v>
      </c>
      <c r="T252">
        <f t="shared" si="48"/>
        <v>2.5300000000000011</v>
      </c>
      <c r="U252">
        <f t="shared" si="51"/>
        <v>1.05</v>
      </c>
      <c r="V252">
        <f t="shared" si="45"/>
        <v>0.59499999999999964</v>
      </c>
      <c r="AC252" t="s">
        <v>1021</v>
      </c>
      <c r="AD252">
        <v>1.05</v>
      </c>
      <c r="AE252">
        <v>5.3</v>
      </c>
      <c r="AG252" t="str" cm="1">
        <f t="array" ref="AG252:AH252">_xlfn.TEXTSPLIT(AC253," ")</f>
        <v>26.10.2023</v>
      </c>
      <c r="AH252" t="str">
        <v>04:11:12</v>
      </c>
      <c r="AI252">
        <f t="shared" si="58"/>
        <v>4.1499999999999906</v>
      </c>
      <c r="AJ252">
        <f t="shared" si="52"/>
        <v>0.76999999999999957</v>
      </c>
      <c r="AK252">
        <f t="shared" si="53"/>
        <v>1.05</v>
      </c>
      <c r="AL252">
        <f t="shared" si="46"/>
        <v>0.14000000000000004</v>
      </c>
      <c r="AN252" t="s">
        <v>1021</v>
      </c>
      <c r="AO252">
        <v>2.5499999999999998</v>
      </c>
      <c r="AP252">
        <v>64.540000000000006</v>
      </c>
      <c r="AR252" t="str" cm="1">
        <f t="array" ref="AR252:AS252">_xlfn.TEXTSPLIT(AN252," ")</f>
        <v>26.10.2023</v>
      </c>
      <c r="AS252" t="str">
        <v>04:10:12</v>
      </c>
      <c r="AT252">
        <f t="shared" si="59"/>
        <v>4.1499999999999906</v>
      </c>
      <c r="AU252">
        <f t="shared" si="54"/>
        <v>3.230000000000004</v>
      </c>
      <c r="AV252">
        <f t="shared" si="55"/>
        <v>2.5499999999999998</v>
      </c>
      <c r="AW252">
        <f t="shared" si="47"/>
        <v>0.71750000000000003</v>
      </c>
    </row>
    <row r="253" spans="1:49" x14ac:dyDescent="0.25">
      <c r="A253" t="s">
        <v>1022</v>
      </c>
      <c r="B253">
        <v>0.9</v>
      </c>
      <c r="C253">
        <v>15.86</v>
      </c>
      <c r="E253" t="s">
        <v>1022</v>
      </c>
      <c r="F253">
        <v>0.75</v>
      </c>
      <c r="G253">
        <v>81.14</v>
      </c>
      <c r="I253" t="str" cm="1">
        <f t="array" ref="I253:J253">_xlfn.TEXTSPLIT(A253," ")</f>
        <v>27.10.2023</v>
      </c>
      <c r="J253" t="str">
        <v>04:11:05</v>
      </c>
      <c r="K253">
        <f t="shared" si="56"/>
        <v>4.1666666666666572</v>
      </c>
      <c r="L253">
        <f t="shared" si="49"/>
        <v>1.5399999999999991</v>
      </c>
      <c r="M253">
        <f t="shared" si="50"/>
        <v>0.9</v>
      </c>
      <c r="N253">
        <f t="shared" si="44"/>
        <v>0.37999999999999989</v>
      </c>
      <c r="Q253" t="str" cm="1">
        <f t="array" ref="Q253:R253">_xlfn.TEXTSPLIT(E253," ")</f>
        <v>27.10.2023</v>
      </c>
      <c r="R253" t="str">
        <v>04:11:05</v>
      </c>
      <c r="S253">
        <f t="shared" si="57"/>
        <v>4.1666666666666572</v>
      </c>
      <c r="T253">
        <f t="shared" si="48"/>
        <v>2.5400000000000063</v>
      </c>
      <c r="U253">
        <f t="shared" si="51"/>
        <v>0.75</v>
      </c>
      <c r="V253">
        <f t="shared" si="45"/>
        <v>0.58999999999999975</v>
      </c>
      <c r="AC253" t="s">
        <v>1023</v>
      </c>
      <c r="AD253">
        <v>0.9</v>
      </c>
      <c r="AE253">
        <v>5.32</v>
      </c>
      <c r="AG253" t="str" cm="1">
        <f t="array" ref="AG253:AH253">_xlfn.TEXTSPLIT(AC254," ")</f>
        <v>26.10.2023</v>
      </c>
      <c r="AH253" t="str">
        <v>04:12:12</v>
      </c>
      <c r="AI253">
        <f t="shared" si="58"/>
        <v>4.1666666666666572</v>
      </c>
      <c r="AJ253">
        <f t="shared" si="52"/>
        <v>0.79</v>
      </c>
      <c r="AK253">
        <f t="shared" si="53"/>
        <v>0.9</v>
      </c>
      <c r="AL253">
        <f t="shared" si="46"/>
        <v>0.13500000000000004</v>
      </c>
      <c r="AN253" t="s">
        <v>1023</v>
      </c>
      <c r="AO253">
        <v>1.5</v>
      </c>
      <c r="AP253">
        <v>64.569999999999993</v>
      </c>
      <c r="AR253" t="str" cm="1">
        <f t="array" ref="AR253:AS253">_xlfn.TEXTSPLIT(AN253," ")</f>
        <v>26.10.2023</v>
      </c>
      <c r="AS253" t="str">
        <v>04:11:12</v>
      </c>
      <c r="AT253">
        <f t="shared" si="59"/>
        <v>4.1666666666666572</v>
      </c>
      <c r="AU253">
        <f t="shared" si="54"/>
        <v>3.2599999999999909</v>
      </c>
      <c r="AV253">
        <f t="shared" si="55"/>
        <v>1.5</v>
      </c>
      <c r="AW253">
        <f t="shared" si="47"/>
        <v>0.72000000000000008</v>
      </c>
    </row>
    <row r="254" spans="1:49" x14ac:dyDescent="0.25">
      <c r="A254" t="s">
        <v>1024</v>
      </c>
      <c r="B254">
        <v>0.75</v>
      </c>
      <c r="C254">
        <v>15.87</v>
      </c>
      <c r="E254" t="s">
        <v>1024</v>
      </c>
      <c r="F254">
        <v>0.9</v>
      </c>
      <c r="G254">
        <v>81.16</v>
      </c>
      <c r="I254" t="str" cm="1">
        <f t="array" ref="I254:J254">_xlfn.TEXTSPLIT(A254," ")</f>
        <v>27.10.2023</v>
      </c>
      <c r="J254" t="str">
        <v>04:12:05</v>
      </c>
      <c r="K254">
        <f t="shared" si="56"/>
        <v>4.1833333333333238</v>
      </c>
      <c r="L254">
        <f t="shared" si="49"/>
        <v>1.5499999999999989</v>
      </c>
      <c r="M254">
        <f t="shared" si="50"/>
        <v>0.75</v>
      </c>
      <c r="N254">
        <f t="shared" si="44"/>
        <v>0.37749999999999989</v>
      </c>
      <c r="Q254" t="str" cm="1">
        <f t="array" ref="Q254:R254">_xlfn.TEXTSPLIT(E254," ")</f>
        <v>27.10.2023</v>
      </c>
      <c r="R254" t="str">
        <v>04:12:05</v>
      </c>
      <c r="S254">
        <f t="shared" si="57"/>
        <v>4.1833333333333238</v>
      </c>
      <c r="T254">
        <f t="shared" si="48"/>
        <v>2.5600000000000023</v>
      </c>
      <c r="U254">
        <f t="shared" si="51"/>
        <v>0.9</v>
      </c>
      <c r="V254">
        <f t="shared" si="45"/>
        <v>0.58999999999999975</v>
      </c>
      <c r="AC254" t="s">
        <v>1025</v>
      </c>
      <c r="AD254">
        <v>0.3</v>
      </c>
      <c r="AE254">
        <v>5.32</v>
      </c>
      <c r="AG254" t="str" cm="1">
        <f t="array" ref="AG254:AH254">_xlfn.TEXTSPLIT(AC255," ")</f>
        <v>26.10.2023</v>
      </c>
      <c r="AH254" t="str">
        <v>04:13:12</v>
      </c>
      <c r="AI254">
        <f t="shared" si="58"/>
        <v>4.1833333333333238</v>
      </c>
      <c r="AJ254">
        <f t="shared" si="52"/>
        <v>0.79</v>
      </c>
      <c r="AK254">
        <f t="shared" si="53"/>
        <v>0.3</v>
      </c>
      <c r="AL254">
        <f t="shared" si="46"/>
        <v>0.13500000000000006</v>
      </c>
      <c r="AN254" t="s">
        <v>1025</v>
      </c>
      <c r="AO254">
        <v>0.75</v>
      </c>
      <c r="AP254">
        <v>64.58</v>
      </c>
      <c r="AR254" t="str" cm="1">
        <f t="array" ref="AR254:AS254">_xlfn.TEXTSPLIT(AN254," ")</f>
        <v>26.10.2023</v>
      </c>
      <c r="AS254" t="str">
        <v>04:12:12</v>
      </c>
      <c r="AT254">
        <f t="shared" si="59"/>
        <v>4.1833333333333238</v>
      </c>
      <c r="AU254">
        <f t="shared" si="54"/>
        <v>3.269999999999996</v>
      </c>
      <c r="AV254">
        <f t="shared" si="55"/>
        <v>0.75</v>
      </c>
      <c r="AW254">
        <f t="shared" si="47"/>
        <v>0.71749999999999992</v>
      </c>
    </row>
    <row r="255" spans="1:49" x14ac:dyDescent="0.25">
      <c r="A255" t="s">
        <v>1026</v>
      </c>
      <c r="B255">
        <v>0.6</v>
      </c>
      <c r="C255">
        <v>15.88</v>
      </c>
      <c r="E255" t="s">
        <v>1026</v>
      </c>
      <c r="F255">
        <v>0.75</v>
      </c>
      <c r="G255">
        <v>81.17</v>
      </c>
      <c r="I255" t="str" cm="1">
        <f t="array" ref="I255:J255">_xlfn.TEXTSPLIT(A255," ")</f>
        <v>27.10.2023</v>
      </c>
      <c r="J255" t="str">
        <v>04:13:05</v>
      </c>
      <c r="K255">
        <f t="shared" si="56"/>
        <v>4.1999999999999904</v>
      </c>
      <c r="L255">
        <f t="shared" si="49"/>
        <v>1.5600000000000005</v>
      </c>
      <c r="M255">
        <f t="shared" si="50"/>
        <v>0.6</v>
      </c>
      <c r="N255">
        <f t="shared" ref="N255:N318" si="60">AVERAGE(M196:M255)</f>
        <v>0.37249999999999994</v>
      </c>
      <c r="Q255" t="str" cm="1">
        <f t="array" ref="Q255:R255">_xlfn.TEXTSPLIT(E255," ")</f>
        <v>27.10.2023</v>
      </c>
      <c r="R255" t="str">
        <v>04:13:05</v>
      </c>
      <c r="S255">
        <f t="shared" si="57"/>
        <v>4.1999999999999904</v>
      </c>
      <c r="T255">
        <f t="shared" si="48"/>
        <v>2.5700000000000074</v>
      </c>
      <c r="U255">
        <f t="shared" si="51"/>
        <v>0.75</v>
      </c>
      <c r="V255">
        <f t="shared" ref="V255:V318" si="61">AVERAGE(U196:U255)</f>
        <v>0.58749999999999969</v>
      </c>
      <c r="AC255" t="s">
        <v>1027</v>
      </c>
      <c r="AD255">
        <v>0.15</v>
      </c>
      <c r="AE255">
        <v>5.32</v>
      </c>
      <c r="AG255" t="str" cm="1">
        <f t="array" ref="AG255:AH255">_xlfn.TEXTSPLIT(AC256," ")</f>
        <v>26.10.2023</v>
      </c>
      <c r="AH255" t="str">
        <v>04:14:12</v>
      </c>
      <c r="AI255">
        <f t="shared" si="58"/>
        <v>4.1999999999999904</v>
      </c>
      <c r="AJ255">
        <f t="shared" si="52"/>
        <v>0.79</v>
      </c>
      <c r="AK255">
        <f t="shared" si="53"/>
        <v>0.15</v>
      </c>
      <c r="AL255">
        <f t="shared" ref="AL255:AL318" si="62">AVERAGE(AK196:AK255)</f>
        <v>0.13000000000000003</v>
      </c>
      <c r="AN255" t="s">
        <v>1027</v>
      </c>
      <c r="AO255">
        <v>0.75</v>
      </c>
      <c r="AP255">
        <v>64.599999999999994</v>
      </c>
      <c r="AR255" t="str" cm="1">
        <f t="array" ref="AR255:AS255">_xlfn.TEXTSPLIT(AN255," ")</f>
        <v>26.10.2023</v>
      </c>
      <c r="AS255" t="str">
        <v>04:13:12</v>
      </c>
      <c r="AT255">
        <f t="shared" si="59"/>
        <v>4.1999999999999904</v>
      </c>
      <c r="AU255">
        <f t="shared" si="54"/>
        <v>3.289999999999992</v>
      </c>
      <c r="AV255">
        <f t="shared" si="55"/>
        <v>0.75</v>
      </c>
      <c r="AW255">
        <f t="shared" ref="AW255:AW318" si="63">AVERAGE(AV196:AV255)</f>
        <v>0.71499999999999997</v>
      </c>
    </row>
    <row r="256" spans="1:49" x14ac:dyDescent="0.25">
      <c r="A256" t="s">
        <v>1028</v>
      </c>
      <c r="B256">
        <v>0.45</v>
      </c>
      <c r="C256">
        <v>15.89</v>
      </c>
      <c r="E256" t="s">
        <v>1028</v>
      </c>
      <c r="F256">
        <v>1.35</v>
      </c>
      <c r="G256">
        <v>81.19</v>
      </c>
      <c r="I256" t="str" cm="1">
        <f t="array" ref="I256:J256">_xlfn.TEXTSPLIT(A256," ")</f>
        <v>27.10.2023</v>
      </c>
      <c r="J256" t="str">
        <v>04:14:06</v>
      </c>
      <c r="K256">
        <f t="shared" si="56"/>
        <v>4.216666666666657</v>
      </c>
      <c r="L256">
        <f t="shared" si="49"/>
        <v>1.5700000000000003</v>
      </c>
      <c r="M256">
        <f t="shared" si="50"/>
        <v>0.45</v>
      </c>
      <c r="N256">
        <f t="shared" si="60"/>
        <v>0.36499999999999999</v>
      </c>
      <c r="Q256" t="str" cm="1">
        <f t="array" ref="Q256:R256">_xlfn.TEXTSPLIT(E256," ")</f>
        <v>27.10.2023</v>
      </c>
      <c r="R256" t="str">
        <v>04:14:06</v>
      </c>
      <c r="S256">
        <f t="shared" si="57"/>
        <v>4.216666666666657</v>
      </c>
      <c r="T256">
        <f t="shared" si="48"/>
        <v>2.5900000000000034</v>
      </c>
      <c r="U256">
        <f t="shared" si="51"/>
        <v>1.35</v>
      </c>
      <c r="V256">
        <f t="shared" si="61"/>
        <v>0.59749999999999981</v>
      </c>
      <c r="AC256" t="s">
        <v>1029</v>
      </c>
      <c r="AD256">
        <v>0.3</v>
      </c>
      <c r="AE256">
        <v>5.33</v>
      </c>
      <c r="AG256" t="str" cm="1">
        <f t="array" ref="AG256:AH256">_xlfn.TEXTSPLIT(AC257," ")</f>
        <v>26.10.2023</v>
      </c>
      <c r="AH256" t="str">
        <v>04:15:12</v>
      </c>
      <c r="AI256">
        <f t="shared" si="58"/>
        <v>4.216666666666657</v>
      </c>
      <c r="AJ256">
        <f t="shared" si="52"/>
        <v>0.79999999999999982</v>
      </c>
      <c r="AK256">
        <f t="shared" si="53"/>
        <v>0.3</v>
      </c>
      <c r="AL256">
        <f t="shared" si="62"/>
        <v>0.13250000000000003</v>
      </c>
      <c r="AN256" t="s">
        <v>1029</v>
      </c>
      <c r="AO256">
        <v>0.9</v>
      </c>
      <c r="AP256">
        <v>64.61</v>
      </c>
      <c r="AR256" t="str" cm="1">
        <f t="array" ref="AR256:AS256">_xlfn.TEXTSPLIT(AN256," ")</f>
        <v>26.10.2023</v>
      </c>
      <c r="AS256" t="str">
        <v>04:14:12</v>
      </c>
      <c r="AT256">
        <f t="shared" si="59"/>
        <v>4.216666666666657</v>
      </c>
      <c r="AU256">
        <f t="shared" si="54"/>
        <v>3.2999999999999972</v>
      </c>
      <c r="AV256">
        <f t="shared" si="55"/>
        <v>0.9</v>
      </c>
      <c r="AW256">
        <f t="shared" si="63"/>
        <v>0.71249999999999991</v>
      </c>
    </row>
    <row r="257" spans="1:49" x14ac:dyDescent="0.25">
      <c r="A257" t="s">
        <v>1030</v>
      </c>
      <c r="B257">
        <v>0.3</v>
      </c>
      <c r="C257">
        <v>15.89</v>
      </c>
      <c r="E257" t="s">
        <v>1030</v>
      </c>
      <c r="F257">
        <v>0.9</v>
      </c>
      <c r="G257">
        <v>81.209999999999994</v>
      </c>
      <c r="I257" t="str" cm="1">
        <f t="array" ref="I257:J257">_xlfn.TEXTSPLIT(A257," ")</f>
        <v>27.10.2023</v>
      </c>
      <c r="J257" t="str">
        <v>04:15:06</v>
      </c>
      <c r="K257">
        <f t="shared" si="56"/>
        <v>4.2333333333333236</v>
      </c>
      <c r="L257">
        <f t="shared" si="49"/>
        <v>1.5700000000000003</v>
      </c>
      <c r="M257">
        <f t="shared" si="50"/>
        <v>0.3</v>
      </c>
      <c r="N257">
        <f t="shared" si="60"/>
        <v>0.36249999999999999</v>
      </c>
      <c r="Q257" t="str" cm="1">
        <f t="array" ref="Q257:R257">_xlfn.TEXTSPLIT(E257," ")</f>
        <v>27.10.2023</v>
      </c>
      <c r="R257" t="str">
        <v>04:15:06</v>
      </c>
      <c r="S257">
        <f t="shared" si="57"/>
        <v>4.2333333333333236</v>
      </c>
      <c r="T257">
        <f t="shared" si="48"/>
        <v>2.6099999999999994</v>
      </c>
      <c r="U257">
        <f t="shared" si="51"/>
        <v>0.9</v>
      </c>
      <c r="V257">
        <f t="shared" si="61"/>
        <v>0.59999999999999964</v>
      </c>
      <c r="AC257" t="s">
        <v>1031</v>
      </c>
      <c r="AD257">
        <v>0</v>
      </c>
      <c r="AE257">
        <v>5.33</v>
      </c>
      <c r="AG257" t="str" cm="1">
        <f t="array" ref="AG257:AH257">_xlfn.TEXTSPLIT(AC258," ")</f>
        <v>26.10.2023</v>
      </c>
      <c r="AH257" t="str">
        <v>04:16:12</v>
      </c>
      <c r="AI257">
        <f t="shared" si="58"/>
        <v>4.2333333333333236</v>
      </c>
      <c r="AJ257">
        <f t="shared" si="52"/>
        <v>0.79999999999999982</v>
      </c>
      <c r="AK257">
        <f t="shared" si="53"/>
        <v>0</v>
      </c>
      <c r="AL257">
        <f t="shared" si="62"/>
        <v>0.13250000000000003</v>
      </c>
      <c r="AN257" t="s">
        <v>1031</v>
      </c>
      <c r="AO257">
        <v>0.75</v>
      </c>
      <c r="AP257">
        <v>64.62</v>
      </c>
      <c r="AR257" t="str" cm="1">
        <f t="array" ref="AR257:AS257">_xlfn.TEXTSPLIT(AN257," ")</f>
        <v>26.10.2023</v>
      </c>
      <c r="AS257" t="str">
        <v>04:15:12</v>
      </c>
      <c r="AT257">
        <f t="shared" si="59"/>
        <v>4.2333333333333236</v>
      </c>
      <c r="AU257">
        <f t="shared" si="54"/>
        <v>3.3100000000000023</v>
      </c>
      <c r="AV257">
        <f t="shared" si="55"/>
        <v>0.75</v>
      </c>
      <c r="AW257">
        <f t="shared" si="63"/>
        <v>0.70999999999999985</v>
      </c>
    </row>
    <row r="258" spans="1:49" x14ac:dyDescent="0.25">
      <c r="A258" t="s">
        <v>1032</v>
      </c>
      <c r="B258">
        <v>0.45</v>
      </c>
      <c r="C258">
        <v>15.9</v>
      </c>
      <c r="E258" t="s">
        <v>1032</v>
      </c>
      <c r="F258">
        <v>0.9</v>
      </c>
      <c r="G258">
        <v>81.22</v>
      </c>
      <c r="I258" t="str" cm="1">
        <f t="array" ref="I258:J258">_xlfn.TEXTSPLIT(A258," ")</f>
        <v>27.10.2023</v>
      </c>
      <c r="J258" t="str">
        <v>04:16:06</v>
      </c>
      <c r="K258">
        <f t="shared" si="56"/>
        <v>4.2499999999999902</v>
      </c>
      <c r="L258">
        <f t="shared" si="49"/>
        <v>1.58</v>
      </c>
      <c r="M258">
        <f t="shared" si="50"/>
        <v>0.45</v>
      </c>
      <c r="N258">
        <f t="shared" si="60"/>
        <v>0.36249999999999999</v>
      </c>
      <c r="Q258" t="str" cm="1">
        <f t="array" ref="Q258:R258">_xlfn.TEXTSPLIT(E258," ")</f>
        <v>27.10.2023</v>
      </c>
      <c r="R258" t="str">
        <v>04:16:06</v>
      </c>
      <c r="S258">
        <f t="shared" si="57"/>
        <v>4.2499999999999902</v>
      </c>
      <c r="T258">
        <f t="shared" si="48"/>
        <v>2.6200000000000045</v>
      </c>
      <c r="U258">
        <f t="shared" si="51"/>
        <v>0.9</v>
      </c>
      <c r="V258">
        <f t="shared" si="61"/>
        <v>0.6024999999999997</v>
      </c>
      <c r="AC258" t="s">
        <v>1033</v>
      </c>
      <c r="AD258">
        <v>0</v>
      </c>
      <c r="AE258">
        <v>5.33</v>
      </c>
      <c r="AG258" t="str" cm="1">
        <f t="array" ref="AG258:AH258">_xlfn.TEXTSPLIT(AC259," ")</f>
        <v>26.10.2023</v>
      </c>
      <c r="AH258" t="str">
        <v>04:17:12</v>
      </c>
      <c r="AI258">
        <f t="shared" si="58"/>
        <v>4.2499999999999902</v>
      </c>
      <c r="AJ258">
        <f t="shared" si="52"/>
        <v>0.79999999999999982</v>
      </c>
      <c r="AK258">
        <f t="shared" si="53"/>
        <v>0</v>
      </c>
      <c r="AL258">
        <f t="shared" si="62"/>
        <v>0.13250000000000003</v>
      </c>
      <c r="AN258" t="s">
        <v>1033</v>
      </c>
      <c r="AO258">
        <v>0.6</v>
      </c>
      <c r="AP258">
        <v>64.63</v>
      </c>
      <c r="AR258" t="str" cm="1">
        <f t="array" ref="AR258:AS258">_xlfn.TEXTSPLIT(AN258," ")</f>
        <v>26.10.2023</v>
      </c>
      <c r="AS258" t="str">
        <v>04:16:12</v>
      </c>
      <c r="AT258">
        <f t="shared" si="59"/>
        <v>4.2499999999999902</v>
      </c>
      <c r="AU258">
        <f t="shared" si="54"/>
        <v>3.3199999999999932</v>
      </c>
      <c r="AV258">
        <f t="shared" si="55"/>
        <v>0.6</v>
      </c>
      <c r="AW258">
        <f t="shared" si="63"/>
        <v>0.7024999999999999</v>
      </c>
    </row>
    <row r="259" spans="1:49" x14ac:dyDescent="0.25">
      <c r="A259" t="s">
        <v>1034</v>
      </c>
      <c r="B259">
        <v>0.45</v>
      </c>
      <c r="C259">
        <v>15.91</v>
      </c>
      <c r="E259" t="s">
        <v>1034</v>
      </c>
      <c r="F259">
        <v>0.45</v>
      </c>
      <c r="G259">
        <v>81.239999999999995</v>
      </c>
      <c r="I259" t="str" cm="1">
        <f t="array" ref="I259:J259">_xlfn.TEXTSPLIT(A259," ")</f>
        <v>27.10.2023</v>
      </c>
      <c r="J259" t="str">
        <v>04:17:06</v>
      </c>
      <c r="K259">
        <f t="shared" si="56"/>
        <v>4.2666666666666568</v>
      </c>
      <c r="L259">
        <f t="shared" si="49"/>
        <v>1.5899999999999999</v>
      </c>
      <c r="M259">
        <f t="shared" si="50"/>
        <v>0.45</v>
      </c>
      <c r="N259">
        <f t="shared" si="60"/>
        <v>0.36499999999999999</v>
      </c>
      <c r="Q259" t="str" cm="1">
        <f t="array" ref="Q259:R259">_xlfn.TEXTSPLIT(E259," ")</f>
        <v>27.10.2023</v>
      </c>
      <c r="R259" t="str">
        <v>04:17:06</v>
      </c>
      <c r="S259">
        <f t="shared" si="57"/>
        <v>4.2666666666666568</v>
      </c>
      <c r="T259">
        <f t="shared" ref="T259:T322" si="64">G259-78.6</f>
        <v>2.6400000000000006</v>
      </c>
      <c r="U259">
        <f t="shared" si="51"/>
        <v>0.45</v>
      </c>
      <c r="V259">
        <f t="shared" si="61"/>
        <v>0.59999999999999964</v>
      </c>
      <c r="AC259" t="s">
        <v>1035</v>
      </c>
      <c r="AD259">
        <v>0</v>
      </c>
      <c r="AE259">
        <v>5.33</v>
      </c>
      <c r="AG259" t="str" cm="1">
        <f t="array" ref="AG259:AH259">_xlfn.TEXTSPLIT(AC260," ")</f>
        <v>26.10.2023</v>
      </c>
      <c r="AH259" t="str">
        <v>04:18:12</v>
      </c>
      <c r="AI259">
        <f t="shared" si="58"/>
        <v>4.2666666666666568</v>
      </c>
      <c r="AJ259">
        <f t="shared" si="52"/>
        <v>0.79999999999999982</v>
      </c>
      <c r="AK259">
        <f t="shared" si="53"/>
        <v>0</v>
      </c>
      <c r="AL259">
        <f t="shared" si="62"/>
        <v>0.13000000000000003</v>
      </c>
      <c r="AN259" t="s">
        <v>1035</v>
      </c>
      <c r="AO259">
        <v>0.9</v>
      </c>
      <c r="AP259">
        <v>64.650000000000006</v>
      </c>
      <c r="AR259" t="str" cm="1">
        <f t="array" ref="AR259:AS259">_xlfn.TEXTSPLIT(AN259," ")</f>
        <v>26.10.2023</v>
      </c>
      <c r="AS259" t="str">
        <v>04:17:12</v>
      </c>
      <c r="AT259">
        <f t="shared" si="59"/>
        <v>4.2666666666666568</v>
      </c>
      <c r="AU259">
        <f t="shared" si="54"/>
        <v>3.3400000000000034</v>
      </c>
      <c r="AV259">
        <f t="shared" si="55"/>
        <v>0.9</v>
      </c>
      <c r="AW259">
        <f t="shared" si="63"/>
        <v>0.7024999999999999</v>
      </c>
    </row>
    <row r="260" spans="1:49" x14ac:dyDescent="0.25">
      <c r="A260" t="s">
        <v>1036</v>
      </c>
      <c r="B260">
        <v>0.45</v>
      </c>
      <c r="C260">
        <v>15.92</v>
      </c>
      <c r="E260" t="s">
        <v>1036</v>
      </c>
      <c r="F260">
        <v>0.45</v>
      </c>
      <c r="G260">
        <v>81.239999999999995</v>
      </c>
      <c r="I260" t="str" cm="1">
        <f t="array" ref="I260:J260">_xlfn.TEXTSPLIT(A260," ")</f>
        <v>27.10.2023</v>
      </c>
      <c r="J260" t="str">
        <v>04:18:06</v>
      </c>
      <c r="K260">
        <f t="shared" si="56"/>
        <v>4.2833333333333234</v>
      </c>
      <c r="L260">
        <f t="shared" ref="L260:L323" si="65">C260-14.32</f>
        <v>1.5999999999999996</v>
      </c>
      <c r="M260">
        <f t="shared" ref="M260:M323" si="66">B260</f>
        <v>0.45</v>
      </c>
      <c r="N260">
        <f t="shared" si="60"/>
        <v>0.36749999999999994</v>
      </c>
      <c r="Q260" t="str" cm="1">
        <f t="array" ref="Q260:R260">_xlfn.TEXTSPLIT(E260," ")</f>
        <v>27.10.2023</v>
      </c>
      <c r="R260" t="str">
        <v>04:18:06</v>
      </c>
      <c r="S260">
        <f t="shared" si="57"/>
        <v>4.2833333333333234</v>
      </c>
      <c r="T260">
        <f t="shared" si="64"/>
        <v>2.6400000000000006</v>
      </c>
      <c r="U260">
        <f t="shared" ref="U260:U323" si="67">F260</f>
        <v>0.45</v>
      </c>
      <c r="V260">
        <f t="shared" si="61"/>
        <v>0.59749999999999981</v>
      </c>
      <c r="AC260" t="s">
        <v>1037</v>
      </c>
      <c r="AD260">
        <v>0</v>
      </c>
      <c r="AE260">
        <v>5.33</v>
      </c>
      <c r="AG260" t="str" cm="1">
        <f t="array" ref="AG260:AH260">_xlfn.TEXTSPLIT(AC261," ")</f>
        <v>26.10.2023</v>
      </c>
      <c r="AH260" t="str">
        <v>04:19:13</v>
      </c>
      <c r="AI260">
        <f t="shared" si="58"/>
        <v>4.2833333333333234</v>
      </c>
      <c r="AJ260">
        <f t="shared" ref="AJ260:AJ323" si="68">AE260-4.53</f>
        <v>0.79999999999999982</v>
      </c>
      <c r="AK260">
        <f t="shared" ref="AK260:AK323" si="69">AD260</f>
        <v>0</v>
      </c>
      <c r="AL260">
        <f t="shared" si="62"/>
        <v>0.13000000000000003</v>
      </c>
      <c r="AN260" t="s">
        <v>1037</v>
      </c>
      <c r="AO260">
        <v>1.05</v>
      </c>
      <c r="AP260">
        <v>64.66</v>
      </c>
      <c r="AR260" t="str" cm="1">
        <f t="array" ref="AR260:AS260">_xlfn.TEXTSPLIT(AN260," ")</f>
        <v>26.10.2023</v>
      </c>
      <c r="AS260" t="str">
        <v>04:18:12</v>
      </c>
      <c r="AT260">
        <f t="shared" si="59"/>
        <v>4.2833333333333234</v>
      </c>
      <c r="AU260">
        <f t="shared" ref="AU260:AU323" si="70">AP260-61.31</f>
        <v>3.3499999999999943</v>
      </c>
      <c r="AV260">
        <f t="shared" ref="AV260:AV323" si="71">AO260</f>
        <v>1.05</v>
      </c>
      <c r="AW260">
        <f t="shared" si="63"/>
        <v>0.70999999999999974</v>
      </c>
    </row>
    <row r="261" spans="1:49" x14ac:dyDescent="0.25">
      <c r="A261" t="s">
        <v>1038</v>
      </c>
      <c r="B261">
        <v>0.3</v>
      </c>
      <c r="C261">
        <v>15.92</v>
      </c>
      <c r="E261" t="s">
        <v>1038</v>
      </c>
      <c r="F261">
        <v>0.6</v>
      </c>
      <c r="G261">
        <v>81.25</v>
      </c>
      <c r="I261" t="str" cm="1">
        <f t="array" ref="I261:J261">_xlfn.TEXTSPLIT(A261," ")</f>
        <v>27.10.2023</v>
      </c>
      <c r="J261" t="str">
        <v>04:19:06</v>
      </c>
      <c r="K261">
        <f t="shared" ref="K261:K324" si="72">1/60+K260</f>
        <v>4.2999999999999901</v>
      </c>
      <c r="L261">
        <f t="shared" si="65"/>
        <v>1.5999999999999996</v>
      </c>
      <c r="M261">
        <f t="shared" si="66"/>
        <v>0.3</v>
      </c>
      <c r="N261">
        <f t="shared" si="60"/>
        <v>0.36749999999999994</v>
      </c>
      <c r="Q261" t="str" cm="1">
        <f t="array" ref="Q261:R261">_xlfn.TEXTSPLIT(E261," ")</f>
        <v>27.10.2023</v>
      </c>
      <c r="R261" t="str">
        <v>04:19:06</v>
      </c>
      <c r="S261">
        <f t="shared" ref="S261:S324" si="73">1/60+S260</f>
        <v>4.2999999999999901</v>
      </c>
      <c r="T261">
        <f t="shared" si="64"/>
        <v>2.6500000000000057</v>
      </c>
      <c r="U261">
        <f t="shared" si="67"/>
        <v>0.6</v>
      </c>
      <c r="V261">
        <f t="shared" si="61"/>
        <v>0.59999999999999976</v>
      </c>
      <c r="AC261" t="s">
        <v>1039</v>
      </c>
      <c r="AD261">
        <v>0.15</v>
      </c>
      <c r="AE261">
        <v>5.33</v>
      </c>
      <c r="AG261" t="str" cm="1">
        <f t="array" ref="AG261:AH261">_xlfn.TEXTSPLIT(AC262," ")</f>
        <v>26.10.2023</v>
      </c>
      <c r="AH261" t="str">
        <v>04:20:13</v>
      </c>
      <c r="AI261">
        <f t="shared" ref="AI261:AI324" si="74">1/60+AI260</f>
        <v>4.2999999999999901</v>
      </c>
      <c r="AJ261">
        <f t="shared" si="68"/>
        <v>0.79999999999999982</v>
      </c>
      <c r="AK261">
        <f t="shared" si="69"/>
        <v>0.15</v>
      </c>
      <c r="AL261">
        <f t="shared" si="62"/>
        <v>0.13250000000000003</v>
      </c>
      <c r="AN261" t="s">
        <v>1039</v>
      </c>
      <c r="AO261">
        <v>1.05</v>
      </c>
      <c r="AP261">
        <v>64.680000000000007</v>
      </c>
      <c r="AR261" t="str" cm="1">
        <f t="array" ref="AR261:AS261">_xlfn.TEXTSPLIT(AN261," ")</f>
        <v>26.10.2023</v>
      </c>
      <c r="AS261" t="str">
        <v>04:19:13</v>
      </c>
      <c r="AT261">
        <f t="shared" ref="AT261:AT324" si="75">1/60+AT260</f>
        <v>4.2999999999999901</v>
      </c>
      <c r="AU261">
        <f t="shared" si="70"/>
        <v>3.3700000000000045</v>
      </c>
      <c r="AV261">
        <f t="shared" si="71"/>
        <v>1.05</v>
      </c>
      <c r="AW261">
        <f t="shared" si="63"/>
        <v>0.71749999999999969</v>
      </c>
    </row>
    <row r="262" spans="1:49" x14ac:dyDescent="0.25">
      <c r="A262" t="s">
        <v>1040</v>
      </c>
      <c r="B262">
        <v>0</v>
      </c>
      <c r="C262">
        <v>15.92</v>
      </c>
      <c r="E262" t="s">
        <v>1040</v>
      </c>
      <c r="F262">
        <v>0.3</v>
      </c>
      <c r="G262">
        <v>81.260000000000005</v>
      </c>
      <c r="I262" t="str" cm="1">
        <f t="array" ref="I262:J262">_xlfn.TEXTSPLIT(A262," ")</f>
        <v>27.10.2023</v>
      </c>
      <c r="J262" t="str">
        <v>04:20:07</v>
      </c>
      <c r="K262">
        <f t="shared" si="72"/>
        <v>4.3166666666666567</v>
      </c>
      <c r="L262">
        <f t="shared" si="65"/>
        <v>1.5999999999999996</v>
      </c>
      <c r="M262">
        <f t="shared" si="66"/>
        <v>0</v>
      </c>
      <c r="N262">
        <f t="shared" si="60"/>
        <v>0.36000000000000004</v>
      </c>
      <c r="Q262" t="str" cm="1">
        <f t="array" ref="Q262:R262">_xlfn.TEXTSPLIT(E262," ")</f>
        <v>27.10.2023</v>
      </c>
      <c r="R262" t="str">
        <v>04:20:07</v>
      </c>
      <c r="S262">
        <f t="shared" si="73"/>
        <v>4.3166666666666567</v>
      </c>
      <c r="T262">
        <f t="shared" si="64"/>
        <v>2.6600000000000108</v>
      </c>
      <c r="U262">
        <f t="shared" si="67"/>
        <v>0.3</v>
      </c>
      <c r="V262">
        <f t="shared" si="61"/>
        <v>0.5974999999999997</v>
      </c>
      <c r="AC262" t="s">
        <v>1041</v>
      </c>
      <c r="AD262">
        <v>0</v>
      </c>
      <c r="AE262">
        <v>5.33</v>
      </c>
      <c r="AG262" t="str" cm="1">
        <f t="array" ref="AG262:AH262">_xlfn.TEXTSPLIT(AC263," ")</f>
        <v>26.10.2023</v>
      </c>
      <c r="AH262" t="str">
        <v>04:21:13</v>
      </c>
      <c r="AI262">
        <f t="shared" si="74"/>
        <v>4.3166666666666567</v>
      </c>
      <c r="AJ262">
        <f t="shared" si="68"/>
        <v>0.79999999999999982</v>
      </c>
      <c r="AK262">
        <f t="shared" si="69"/>
        <v>0</v>
      </c>
      <c r="AL262">
        <f t="shared" si="62"/>
        <v>0.13250000000000003</v>
      </c>
      <c r="AN262" t="s">
        <v>1041</v>
      </c>
      <c r="AO262">
        <v>0.6</v>
      </c>
      <c r="AP262">
        <v>64.69</v>
      </c>
      <c r="AR262" t="str" cm="1">
        <f t="array" ref="AR262:AS262">_xlfn.TEXTSPLIT(AN262," ")</f>
        <v>26.10.2023</v>
      </c>
      <c r="AS262" t="str">
        <v>04:20:13</v>
      </c>
      <c r="AT262">
        <f t="shared" si="75"/>
        <v>4.3166666666666567</v>
      </c>
      <c r="AU262">
        <f t="shared" si="70"/>
        <v>3.3799999999999955</v>
      </c>
      <c r="AV262">
        <f t="shared" si="71"/>
        <v>0.6</v>
      </c>
      <c r="AW262">
        <f t="shared" si="63"/>
        <v>0.7174999999999998</v>
      </c>
    </row>
    <row r="263" spans="1:49" x14ac:dyDescent="0.25">
      <c r="A263" t="s">
        <v>1042</v>
      </c>
      <c r="B263">
        <v>0.15</v>
      </c>
      <c r="C263">
        <v>15.92</v>
      </c>
      <c r="E263" t="s">
        <v>1042</v>
      </c>
      <c r="F263">
        <v>0.45</v>
      </c>
      <c r="G263">
        <v>81.27</v>
      </c>
      <c r="I263" t="str" cm="1">
        <f t="array" ref="I263:J263">_xlfn.TEXTSPLIT(A263," ")</f>
        <v>27.10.2023</v>
      </c>
      <c r="J263" t="str">
        <v>04:21:07</v>
      </c>
      <c r="K263">
        <f t="shared" si="72"/>
        <v>4.3333333333333233</v>
      </c>
      <c r="L263">
        <f t="shared" si="65"/>
        <v>1.5999999999999996</v>
      </c>
      <c r="M263">
        <f t="shared" si="66"/>
        <v>0.15</v>
      </c>
      <c r="N263">
        <f t="shared" si="60"/>
        <v>0.36249999999999999</v>
      </c>
      <c r="Q263" t="str" cm="1">
        <f t="array" ref="Q263:R263">_xlfn.TEXTSPLIT(E263," ")</f>
        <v>27.10.2023</v>
      </c>
      <c r="R263" t="str">
        <v>04:21:07</v>
      </c>
      <c r="S263">
        <f t="shared" si="73"/>
        <v>4.3333333333333233</v>
      </c>
      <c r="T263">
        <f t="shared" si="64"/>
        <v>2.6700000000000017</v>
      </c>
      <c r="U263">
        <f t="shared" si="67"/>
        <v>0.45</v>
      </c>
      <c r="V263">
        <f t="shared" si="61"/>
        <v>0.59749999999999981</v>
      </c>
      <c r="AC263" t="s">
        <v>1043</v>
      </c>
      <c r="AD263">
        <v>0</v>
      </c>
      <c r="AE263">
        <v>5.33</v>
      </c>
      <c r="AG263" t="str" cm="1">
        <f t="array" ref="AG263:AH263">_xlfn.TEXTSPLIT(AC264," ")</f>
        <v>26.10.2023</v>
      </c>
      <c r="AH263" t="str">
        <v>04:22:13</v>
      </c>
      <c r="AI263">
        <f t="shared" si="74"/>
        <v>4.3333333333333233</v>
      </c>
      <c r="AJ263">
        <f t="shared" si="68"/>
        <v>0.79999999999999982</v>
      </c>
      <c r="AK263">
        <f t="shared" si="69"/>
        <v>0</v>
      </c>
      <c r="AL263">
        <f t="shared" si="62"/>
        <v>0.13250000000000003</v>
      </c>
      <c r="AN263" t="s">
        <v>1043</v>
      </c>
      <c r="AO263">
        <v>0.45</v>
      </c>
      <c r="AP263">
        <v>64.7</v>
      </c>
      <c r="AR263" t="str" cm="1">
        <f t="array" ref="AR263:AS263">_xlfn.TEXTSPLIT(AN263," ")</f>
        <v>26.10.2023</v>
      </c>
      <c r="AS263" t="str">
        <v>04:21:13</v>
      </c>
      <c r="AT263">
        <f t="shared" si="75"/>
        <v>4.3333333333333233</v>
      </c>
      <c r="AU263">
        <f t="shared" si="70"/>
        <v>3.3900000000000006</v>
      </c>
      <c r="AV263">
        <f t="shared" si="71"/>
        <v>0.45</v>
      </c>
      <c r="AW263">
        <f t="shared" si="63"/>
        <v>0.7174999999999998</v>
      </c>
    </row>
    <row r="264" spans="1:49" x14ac:dyDescent="0.25">
      <c r="A264" t="s">
        <v>1044</v>
      </c>
      <c r="B264">
        <v>0.6</v>
      </c>
      <c r="C264">
        <v>15.93</v>
      </c>
      <c r="E264" t="s">
        <v>1044</v>
      </c>
      <c r="F264">
        <v>0.15</v>
      </c>
      <c r="G264">
        <v>81.27</v>
      </c>
      <c r="I264" t="str" cm="1">
        <f t="array" ref="I264:J264">_xlfn.TEXTSPLIT(A264," ")</f>
        <v>27.10.2023</v>
      </c>
      <c r="J264" t="str">
        <v>04:22:07</v>
      </c>
      <c r="K264">
        <f t="shared" si="72"/>
        <v>4.3499999999999899</v>
      </c>
      <c r="L264">
        <f t="shared" si="65"/>
        <v>1.6099999999999994</v>
      </c>
      <c r="M264">
        <f t="shared" si="66"/>
        <v>0.6</v>
      </c>
      <c r="N264">
        <f t="shared" si="60"/>
        <v>0.36500000000000005</v>
      </c>
      <c r="Q264" t="str" cm="1">
        <f t="array" ref="Q264:R264">_xlfn.TEXTSPLIT(E264," ")</f>
        <v>27.10.2023</v>
      </c>
      <c r="R264" t="str">
        <v>04:22:07</v>
      </c>
      <c r="S264">
        <f t="shared" si="73"/>
        <v>4.3499999999999899</v>
      </c>
      <c r="T264">
        <f t="shared" si="64"/>
        <v>2.6700000000000017</v>
      </c>
      <c r="U264">
        <f t="shared" si="67"/>
        <v>0.15</v>
      </c>
      <c r="V264">
        <f t="shared" si="61"/>
        <v>0.5924999999999998</v>
      </c>
      <c r="AC264" t="s">
        <v>1045</v>
      </c>
      <c r="AD264">
        <v>0</v>
      </c>
      <c r="AE264">
        <v>5.33</v>
      </c>
      <c r="AG264" t="str" cm="1">
        <f t="array" ref="AG264:AH264">_xlfn.TEXTSPLIT(AC265," ")</f>
        <v>26.10.2023</v>
      </c>
      <c r="AH264" t="str">
        <v>04:23:13</v>
      </c>
      <c r="AI264">
        <f t="shared" si="74"/>
        <v>4.3499999999999899</v>
      </c>
      <c r="AJ264">
        <f t="shared" si="68"/>
        <v>0.79999999999999982</v>
      </c>
      <c r="AK264">
        <f t="shared" si="69"/>
        <v>0</v>
      </c>
      <c r="AL264">
        <f t="shared" si="62"/>
        <v>0.13250000000000003</v>
      </c>
      <c r="AN264" t="s">
        <v>1045</v>
      </c>
      <c r="AO264">
        <v>0.45</v>
      </c>
      <c r="AP264">
        <v>64.7</v>
      </c>
      <c r="AR264" t="str" cm="1">
        <f t="array" ref="AR264:AS264">_xlfn.TEXTSPLIT(AN264," ")</f>
        <v>26.10.2023</v>
      </c>
      <c r="AS264" t="str">
        <v>04:22:13</v>
      </c>
      <c r="AT264">
        <f t="shared" si="75"/>
        <v>4.3499999999999899</v>
      </c>
      <c r="AU264">
        <f t="shared" si="70"/>
        <v>3.3900000000000006</v>
      </c>
      <c r="AV264">
        <f t="shared" si="71"/>
        <v>0.45</v>
      </c>
      <c r="AW264">
        <f t="shared" si="63"/>
        <v>0.72249999999999992</v>
      </c>
    </row>
    <row r="265" spans="1:49" x14ac:dyDescent="0.25">
      <c r="A265" t="s">
        <v>1046</v>
      </c>
      <c r="B265">
        <v>0.15</v>
      </c>
      <c r="C265">
        <v>15.94</v>
      </c>
      <c r="E265" t="s">
        <v>1046</v>
      </c>
      <c r="F265">
        <v>0</v>
      </c>
      <c r="G265">
        <v>81.27</v>
      </c>
      <c r="I265" t="str" cm="1">
        <f t="array" ref="I265:J265">_xlfn.TEXTSPLIT(A265," ")</f>
        <v>27.10.2023</v>
      </c>
      <c r="J265" t="str">
        <v>04:23:07</v>
      </c>
      <c r="K265">
        <f t="shared" si="72"/>
        <v>4.3666666666666565</v>
      </c>
      <c r="L265">
        <f t="shared" si="65"/>
        <v>1.6199999999999992</v>
      </c>
      <c r="M265">
        <f t="shared" si="66"/>
        <v>0.15</v>
      </c>
      <c r="N265">
        <f t="shared" si="60"/>
        <v>0.36499999999999999</v>
      </c>
      <c r="Q265" t="str" cm="1">
        <f t="array" ref="Q265:R265">_xlfn.TEXTSPLIT(E265," ")</f>
        <v>27.10.2023</v>
      </c>
      <c r="R265" t="str">
        <v>04:23:07</v>
      </c>
      <c r="S265">
        <f t="shared" si="73"/>
        <v>4.3666666666666565</v>
      </c>
      <c r="T265">
        <f t="shared" si="64"/>
        <v>2.6700000000000017</v>
      </c>
      <c r="U265">
        <f t="shared" si="67"/>
        <v>0</v>
      </c>
      <c r="V265">
        <f t="shared" si="61"/>
        <v>0.58999999999999986</v>
      </c>
      <c r="AC265" t="s">
        <v>1047</v>
      </c>
      <c r="AD265">
        <v>0</v>
      </c>
      <c r="AE265">
        <v>5.33</v>
      </c>
      <c r="AG265" t="str" cm="1">
        <f t="array" ref="AG265:AH265">_xlfn.TEXTSPLIT(AC266," ")</f>
        <v>26.10.2023</v>
      </c>
      <c r="AH265" t="str">
        <v>04:24:13</v>
      </c>
      <c r="AI265">
        <f t="shared" si="74"/>
        <v>4.3666666666666565</v>
      </c>
      <c r="AJ265">
        <f t="shared" si="68"/>
        <v>0.79999999999999982</v>
      </c>
      <c r="AK265">
        <f t="shared" si="69"/>
        <v>0</v>
      </c>
      <c r="AL265">
        <f t="shared" si="62"/>
        <v>0.13250000000000003</v>
      </c>
      <c r="AN265" t="s">
        <v>1047</v>
      </c>
      <c r="AO265">
        <v>0</v>
      </c>
      <c r="AP265">
        <v>64.7</v>
      </c>
      <c r="AR265" t="str" cm="1">
        <f t="array" ref="AR265:AS265">_xlfn.TEXTSPLIT(AN265," ")</f>
        <v>26.10.2023</v>
      </c>
      <c r="AS265" t="str">
        <v>04:23:13</v>
      </c>
      <c r="AT265">
        <f t="shared" si="75"/>
        <v>4.3666666666666565</v>
      </c>
      <c r="AU265">
        <f t="shared" si="70"/>
        <v>3.3900000000000006</v>
      </c>
      <c r="AV265">
        <f t="shared" si="71"/>
        <v>0</v>
      </c>
      <c r="AW265">
        <f t="shared" si="63"/>
        <v>0.72249999999999992</v>
      </c>
    </row>
    <row r="266" spans="1:49" x14ac:dyDescent="0.25">
      <c r="A266" t="s">
        <v>1048</v>
      </c>
      <c r="B266">
        <v>0</v>
      </c>
      <c r="C266">
        <v>15.94</v>
      </c>
      <c r="E266" t="s">
        <v>1048</v>
      </c>
      <c r="F266">
        <v>0</v>
      </c>
      <c r="G266">
        <v>81.27</v>
      </c>
      <c r="I266" t="str" cm="1">
        <f t="array" ref="I266:J266">_xlfn.TEXTSPLIT(A266," ")</f>
        <v>27.10.2023</v>
      </c>
      <c r="J266" t="str">
        <v>04:24:07</v>
      </c>
      <c r="K266">
        <f t="shared" si="72"/>
        <v>4.3833333333333231</v>
      </c>
      <c r="L266">
        <f t="shared" si="65"/>
        <v>1.6199999999999992</v>
      </c>
      <c r="M266">
        <f t="shared" si="66"/>
        <v>0</v>
      </c>
      <c r="N266">
        <f t="shared" si="60"/>
        <v>0.36249999999999999</v>
      </c>
      <c r="Q266" t="str" cm="1">
        <f t="array" ref="Q266:R266">_xlfn.TEXTSPLIT(E266," ")</f>
        <v>27.10.2023</v>
      </c>
      <c r="R266" t="str">
        <v>04:24:07</v>
      </c>
      <c r="S266">
        <f t="shared" si="73"/>
        <v>4.3833333333333231</v>
      </c>
      <c r="T266">
        <f t="shared" si="64"/>
        <v>2.6700000000000017</v>
      </c>
      <c r="U266">
        <f t="shared" si="67"/>
        <v>0</v>
      </c>
      <c r="V266">
        <f t="shared" si="61"/>
        <v>0.58999999999999986</v>
      </c>
      <c r="AC266" t="s">
        <v>1049</v>
      </c>
      <c r="AD266">
        <v>0</v>
      </c>
      <c r="AE266">
        <v>5.33</v>
      </c>
      <c r="AG266" t="str" cm="1">
        <f t="array" ref="AG266:AH266">_xlfn.TEXTSPLIT(AC267," ")</f>
        <v>26.10.2023</v>
      </c>
      <c r="AH266" t="str">
        <v>04:25:13</v>
      </c>
      <c r="AI266">
        <f t="shared" si="74"/>
        <v>4.3833333333333231</v>
      </c>
      <c r="AJ266">
        <f t="shared" si="68"/>
        <v>0.79999999999999982</v>
      </c>
      <c r="AK266">
        <f t="shared" si="69"/>
        <v>0</v>
      </c>
      <c r="AL266">
        <f t="shared" si="62"/>
        <v>0.13250000000000003</v>
      </c>
      <c r="AN266" t="s">
        <v>1049</v>
      </c>
      <c r="AO266">
        <v>0</v>
      </c>
      <c r="AP266">
        <v>64.7</v>
      </c>
      <c r="AR266" t="str" cm="1">
        <f t="array" ref="AR266:AS266">_xlfn.TEXTSPLIT(AN266," ")</f>
        <v>26.10.2023</v>
      </c>
      <c r="AS266" t="str">
        <v>04:24:13</v>
      </c>
      <c r="AT266">
        <f t="shared" si="75"/>
        <v>4.3833333333333231</v>
      </c>
      <c r="AU266">
        <f t="shared" si="70"/>
        <v>3.3900000000000006</v>
      </c>
      <c r="AV266">
        <f t="shared" si="71"/>
        <v>0</v>
      </c>
      <c r="AW266">
        <f t="shared" si="63"/>
        <v>0.72249999999999992</v>
      </c>
    </row>
    <row r="267" spans="1:49" x14ac:dyDescent="0.25">
      <c r="A267" t="s">
        <v>1050</v>
      </c>
      <c r="B267">
        <v>0</v>
      </c>
      <c r="C267">
        <v>15.94</v>
      </c>
      <c r="E267" t="s">
        <v>1050</v>
      </c>
      <c r="F267">
        <v>0</v>
      </c>
      <c r="G267">
        <v>81.27</v>
      </c>
      <c r="I267" t="str" cm="1">
        <f t="array" ref="I267:J267">_xlfn.TEXTSPLIT(A267," ")</f>
        <v>27.10.2023</v>
      </c>
      <c r="J267" t="str">
        <v>04:25:07</v>
      </c>
      <c r="K267">
        <f t="shared" si="72"/>
        <v>4.3999999999999897</v>
      </c>
      <c r="L267">
        <f t="shared" si="65"/>
        <v>1.6199999999999992</v>
      </c>
      <c r="M267">
        <f t="shared" si="66"/>
        <v>0</v>
      </c>
      <c r="N267">
        <f t="shared" si="60"/>
        <v>0.36249999999999999</v>
      </c>
      <c r="Q267" t="str" cm="1">
        <f t="array" ref="Q267:R267">_xlfn.TEXTSPLIT(E267," ")</f>
        <v>27.10.2023</v>
      </c>
      <c r="R267" t="str">
        <v>04:25:07</v>
      </c>
      <c r="S267">
        <f t="shared" si="73"/>
        <v>4.3999999999999897</v>
      </c>
      <c r="T267">
        <f t="shared" si="64"/>
        <v>2.6700000000000017</v>
      </c>
      <c r="U267">
        <f t="shared" si="67"/>
        <v>0</v>
      </c>
      <c r="V267">
        <f t="shared" si="61"/>
        <v>0.58999999999999986</v>
      </c>
      <c r="AC267" t="s">
        <v>1051</v>
      </c>
      <c r="AD267">
        <v>0</v>
      </c>
      <c r="AE267">
        <v>5.33</v>
      </c>
      <c r="AG267" t="str" cm="1">
        <f t="array" ref="AG267:AH267">_xlfn.TEXTSPLIT(AC268," ")</f>
        <v>26.10.2023</v>
      </c>
      <c r="AH267" t="str">
        <v>04:26:13</v>
      </c>
      <c r="AI267">
        <f t="shared" si="74"/>
        <v>4.3999999999999897</v>
      </c>
      <c r="AJ267">
        <f t="shared" si="68"/>
        <v>0.79999999999999982</v>
      </c>
      <c r="AK267">
        <f t="shared" si="69"/>
        <v>0</v>
      </c>
      <c r="AL267">
        <f t="shared" si="62"/>
        <v>0.13250000000000003</v>
      </c>
      <c r="AN267" t="s">
        <v>1051</v>
      </c>
      <c r="AO267">
        <v>0</v>
      </c>
      <c r="AP267">
        <v>64.7</v>
      </c>
      <c r="AR267" t="str" cm="1">
        <f t="array" ref="AR267:AS267">_xlfn.TEXTSPLIT(AN267," ")</f>
        <v>26.10.2023</v>
      </c>
      <c r="AS267" t="str">
        <v>04:25:13</v>
      </c>
      <c r="AT267">
        <f t="shared" si="75"/>
        <v>4.3999999999999897</v>
      </c>
      <c r="AU267">
        <f t="shared" si="70"/>
        <v>3.3900000000000006</v>
      </c>
      <c r="AV267">
        <f t="shared" si="71"/>
        <v>0</v>
      </c>
      <c r="AW267">
        <f t="shared" si="63"/>
        <v>0.72249999999999992</v>
      </c>
    </row>
    <row r="268" spans="1:49" x14ac:dyDescent="0.25">
      <c r="A268" t="s">
        <v>1052</v>
      </c>
      <c r="B268">
        <v>0</v>
      </c>
      <c r="C268">
        <v>15.94</v>
      </c>
      <c r="E268" t="s">
        <v>1052</v>
      </c>
      <c r="F268">
        <v>0</v>
      </c>
      <c r="G268">
        <v>81.27</v>
      </c>
      <c r="I268" t="str" cm="1">
        <f t="array" ref="I268:J268">_xlfn.TEXTSPLIT(A268," ")</f>
        <v>27.10.2023</v>
      </c>
      <c r="J268" t="str">
        <v>04:26:07</v>
      </c>
      <c r="K268">
        <f t="shared" si="72"/>
        <v>4.4166666666666563</v>
      </c>
      <c r="L268">
        <f t="shared" si="65"/>
        <v>1.6199999999999992</v>
      </c>
      <c r="M268">
        <f t="shared" si="66"/>
        <v>0</v>
      </c>
      <c r="N268">
        <f t="shared" si="60"/>
        <v>0.36249999999999999</v>
      </c>
      <c r="Q268" t="str" cm="1">
        <f t="array" ref="Q268:R268">_xlfn.TEXTSPLIT(E268," ")</f>
        <v>27.10.2023</v>
      </c>
      <c r="R268" t="str">
        <v>04:26:07</v>
      </c>
      <c r="S268">
        <f t="shared" si="73"/>
        <v>4.4166666666666563</v>
      </c>
      <c r="T268">
        <f t="shared" si="64"/>
        <v>2.6700000000000017</v>
      </c>
      <c r="U268">
        <f t="shared" si="67"/>
        <v>0</v>
      </c>
      <c r="V268">
        <f t="shared" si="61"/>
        <v>0.58999999999999986</v>
      </c>
      <c r="AC268" t="s">
        <v>1053</v>
      </c>
      <c r="AD268">
        <v>0</v>
      </c>
      <c r="AE268">
        <v>5.33</v>
      </c>
      <c r="AG268" t="str" cm="1">
        <f t="array" ref="AG268:AH268">_xlfn.TEXTSPLIT(AC269," ")</f>
        <v>26.10.2023</v>
      </c>
      <c r="AH268" t="str">
        <v>04:27:13</v>
      </c>
      <c r="AI268">
        <f t="shared" si="74"/>
        <v>4.4166666666666563</v>
      </c>
      <c r="AJ268">
        <f t="shared" si="68"/>
        <v>0.79999999999999982</v>
      </c>
      <c r="AK268">
        <f t="shared" si="69"/>
        <v>0</v>
      </c>
      <c r="AL268">
        <f t="shared" si="62"/>
        <v>0.13250000000000003</v>
      </c>
      <c r="AN268" t="s">
        <v>1053</v>
      </c>
      <c r="AO268">
        <v>0</v>
      </c>
      <c r="AP268">
        <v>64.7</v>
      </c>
      <c r="AR268" t="str" cm="1">
        <f t="array" ref="AR268:AS268">_xlfn.TEXTSPLIT(AN268," ")</f>
        <v>26.10.2023</v>
      </c>
      <c r="AS268" t="str">
        <v>04:26:13</v>
      </c>
      <c r="AT268">
        <f t="shared" si="75"/>
        <v>4.4166666666666563</v>
      </c>
      <c r="AU268">
        <f t="shared" si="70"/>
        <v>3.3900000000000006</v>
      </c>
      <c r="AV268">
        <f t="shared" si="71"/>
        <v>0</v>
      </c>
      <c r="AW268">
        <f t="shared" si="63"/>
        <v>0.72249999999999992</v>
      </c>
    </row>
    <row r="269" spans="1:49" x14ac:dyDescent="0.25">
      <c r="A269" t="s">
        <v>1054</v>
      </c>
      <c r="B269">
        <v>0</v>
      </c>
      <c r="C269">
        <v>15.94</v>
      </c>
      <c r="E269" t="s">
        <v>1054</v>
      </c>
      <c r="F269">
        <v>0.15</v>
      </c>
      <c r="G269">
        <v>81.28</v>
      </c>
      <c r="I269" t="str" cm="1">
        <f t="array" ref="I269:J269">_xlfn.TEXTSPLIT(A269," ")</f>
        <v>27.10.2023</v>
      </c>
      <c r="J269" t="str">
        <v>04:27:08</v>
      </c>
      <c r="K269">
        <f t="shared" si="72"/>
        <v>4.4333333333333229</v>
      </c>
      <c r="L269">
        <f t="shared" si="65"/>
        <v>1.6199999999999992</v>
      </c>
      <c r="M269">
        <f t="shared" si="66"/>
        <v>0</v>
      </c>
      <c r="N269">
        <f t="shared" si="60"/>
        <v>0.36249999999999999</v>
      </c>
      <c r="Q269" t="str" cm="1">
        <f t="array" ref="Q269:R269">_xlfn.TEXTSPLIT(E269," ")</f>
        <v>27.10.2023</v>
      </c>
      <c r="R269" t="str">
        <v>04:27:08</v>
      </c>
      <c r="S269">
        <f t="shared" si="73"/>
        <v>4.4333333333333229</v>
      </c>
      <c r="T269">
        <f t="shared" si="64"/>
        <v>2.6800000000000068</v>
      </c>
      <c r="U269">
        <f t="shared" si="67"/>
        <v>0.15</v>
      </c>
      <c r="V269">
        <f t="shared" si="61"/>
        <v>0.58999999999999975</v>
      </c>
      <c r="AC269" t="s">
        <v>1055</v>
      </c>
      <c r="AD269">
        <v>0</v>
      </c>
      <c r="AE269">
        <v>5.33</v>
      </c>
      <c r="AG269" t="str" cm="1">
        <f t="array" ref="AG269:AH269">_xlfn.TEXTSPLIT(AC270," ")</f>
        <v>26.10.2023</v>
      </c>
      <c r="AH269" t="str">
        <v>04:28:13</v>
      </c>
      <c r="AI269">
        <f t="shared" si="74"/>
        <v>4.4333333333333229</v>
      </c>
      <c r="AJ269">
        <f t="shared" si="68"/>
        <v>0.79999999999999982</v>
      </c>
      <c r="AK269">
        <f t="shared" si="69"/>
        <v>0</v>
      </c>
      <c r="AL269">
        <f t="shared" si="62"/>
        <v>0.13250000000000003</v>
      </c>
      <c r="AN269" t="s">
        <v>1055</v>
      </c>
      <c r="AO269">
        <v>0.15</v>
      </c>
      <c r="AP269">
        <v>64.709999999999994</v>
      </c>
      <c r="AR269" t="str" cm="1">
        <f t="array" ref="AR269:AS269">_xlfn.TEXTSPLIT(AN269," ")</f>
        <v>26.10.2023</v>
      </c>
      <c r="AS269" t="str">
        <v>04:27:13</v>
      </c>
      <c r="AT269">
        <f t="shared" si="75"/>
        <v>4.4333333333333229</v>
      </c>
      <c r="AU269">
        <f t="shared" si="70"/>
        <v>3.3999999999999915</v>
      </c>
      <c r="AV269">
        <f t="shared" si="71"/>
        <v>0.15</v>
      </c>
      <c r="AW269">
        <f t="shared" si="63"/>
        <v>0.72249999999999992</v>
      </c>
    </row>
    <row r="270" spans="1:49" x14ac:dyDescent="0.25">
      <c r="A270" t="s">
        <v>1056</v>
      </c>
      <c r="B270">
        <v>0</v>
      </c>
      <c r="C270">
        <v>15.94</v>
      </c>
      <c r="E270" t="s">
        <v>1056</v>
      </c>
      <c r="F270">
        <v>0</v>
      </c>
      <c r="G270">
        <v>81.28</v>
      </c>
      <c r="I270" t="str" cm="1">
        <f t="array" ref="I270:J270">_xlfn.TEXTSPLIT(A270," ")</f>
        <v>27.10.2023</v>
      </c>
      <c r="J270" t="str">
        <v>04:28:08</v>
      </c>
      <c r="K270">
        <f t="shared" si="72"/>
        <v>4.4499999999999895</v>
      </c>
      <c r="L270">
        <f t="shared" si="65"/>
        <v>1.6199999999999992</v>
      </c>
      <c r="M270">
        <f t="shared" si="66"/>
        <v>0</v>
      </c>
      <c r="N270">
        <f t="shared" si="60"/>
        <v>0.36249999999999999</v>
      </c>
      <c r="Q270" t="str" cm="1">
        <f t="array" ref="Q270:R270">_xlfn.TEXTSPLIT(E270," ")</f>
        <v>27.10.2023</v>
      </c>
      <c r="R270" t="str">
        <v>04:28:08</v>
      </c>
      <c r="S270">
        <f t="shared" si="73"/>
        <v>4.4499999999999895</v>
      </c>
      <c r="T270">
        <f t="shared" si="64"/>
        <v>2.6800000000000068</v>
      </c>
      <c r="U270">
        <f t="shared" si="67"/>
        <v>0</v>
      </c>
      <c r="V270">
        <f t="shared" si="61"/>
        <v>0.58999999999999975</v>
      </c>
      <c r="AC270" t="s">
        <v>1057</v>
      </c>
      <c r="AD270">
        <v>0</v>
      </c>
      <c r="AE270">
        <v>5.33</v>
      </c>
      <c r="AG270" t="str" cm="1">
        <f t="array" ref="AG270:AH270">_xlfn.TEXTSPLIT(AC271," ")</f>
        <v>26.10.2023</v>
      </c>
      <c r="AH270" t="str">
        <v>04:29:14</v>
      </c>
      <c r="AI270">
        <f t="shared" si="74"/>
        <v>4.4499999999999895</v>
      </c>
      <c r="AJ270">
        <f t="shared" si="68"/>
        <v>0.79999999999999982</v>
      </c>
      <c r="AK270">
        <f t="shared" si="69"/>
        <v>0</v>
      </c>
      <c r="AL270">
        <f t="shared" si="62"/>
        <v>0.13250000000000003</v>
      </c>
      <c r="AN270" t="s">
        <v>1057</v>
      </c>
      <c r="AO270">
        <v>0.15</v>
      </c>
      <c r="AP270">
        <v>64.709999999999994</v>
      </c>
      <c r="AR270" t="str" cm="1">
        <f t="array" ref="AR270:AS270">_xlfn.TEXTSPLIT(AN270," ")</f>
        <v>26.10.2023</v>
      </c>
      <c r="AS270" t="str">
        <v>04:28:13</v>
      </c>
      <c r="AT270">
        <f t="shared" si="75"/>
        <v>4.4499999999999895</v>
      </c>
      <c r="AU270">
        <f t="shared" si="70"/>
        <v>3.3999999999999915</v>
      </c>
      <c r="AV270">
        <f t="shared" si="71"/>
        <v>0.15</v>
      </c>
      <c r="AW270">
        <f t="shared" si="63"/>
        <v>0.71999999999999986</v>
      </c>
    </row>
    <row r="271" spans="1:49" x14ac:dyDescent="0.25">
      <c r="A271" t="s">
        <v>1058</v>
      </c>
      <c r="B271">
        <v>0</v>
      </c>
      <c r="C271">
        <v>15.94</v>
      </c>
      <c r="E271" t="s">
        <v>1058</v>
      </c>
      <c r="F271">
        <v>0.3</v>
      </c>
      <c r="G271">
        <v>81.28</v>
      </c>
      <c r="I271" t="str" cm="1">
        <f t="array" ref="I271:J271">_xlfn.TEXTSPLIT(A271," ")</f>
        <v>27.10.2023</v>
      </c>
      <c r="J271" t="str">
        <v>04:29:08</v>
      </c>
      <c r="K271">
        <f t="shared" si="72"/>
        <v>4.4666666666666561</v>
      </c>
      <c r="L271">
        <f t="shared" si="65"/>
        <v>1.6199999999999992</v>
      </c>
      <c r="M271">
        <f t="shared" si="66"/>
        <v>0</v>
      </c>
      <c r="N271">
        <f t="shared" si="60"/>
        <v>0.36249999999999999</v>
      </c>
      <c r="Q271" t="str" cm="1">
        <f t="array" ref="Q271:R271">_xlfn.TEXTSPLIT(E271," ")</f>
        <v>27.10.2023</v>
      </c>
      <c r="R271" t="str">
        <v>04:29:08</v>
      </c>
      <c r="S271">
        <f t="shared" si="73"/>
        <v>4.4666666666666561</v>
      </c>
      <c r="T271">
        <f t="shared" si="64"/>
        <v>2.6800000000000068</v>
      </c>
      <c r="U271">
        <f t="shared" si="67"/>
        <v>0.3</v>
      </c>
      <c r="V271">
        <f t="shared" si="61"/>
        <v>0.59249999999999969</v>
      </c>
      <c r="AC271" t="s">
        <v>1059</v>
      </c>
      <c r="AD271">
        <v>0</v>
      </c>
      <c r="AE271">
        <v>5.33</v>
      </c>
      <c r="AG271" t="str" cm="1">
        <f t="array" ref="AG271:AH271">_xlfn.TEXTSPLIT(AC272," ")</f>
        <v>26.10.2023</v>
      </c>
      <c r="AH271" t="str">
        <v>04:30:14</v>
      </c>
      <c r="AI271">
        <f t="shared" si="74"/>
        <v>4.4666666666666561</v>
      </c>
      <c r="AJ271">
        <f t="shared" si="68"/>
        <v>0.79999999999999982</v>
      </c>
      <c r="AK271">
        <f t="shared" si="69"/>
        <v>0</v>
      </c>
      <c r="AL271">
        <f t="shared" si="62"/>
        <v>0.13250000000000003</v>
      </c>
      <c r="AN271" t="s">
        <v>1059</v>
      </c>
      <c r="AO271">
        <v>0.15</v>
      </c>
      <c r="AP271">
        <v>64.709999999999994</v>
      </c>
      <c r="AR271" t="str" cm="1">
        <f t="array" ref="AR271:AS271">_xlfn.TEXTSPLIT(AN271," ")</f>
        <v>26.10.2023</v>
      </c>
      <c r="AS271" t="str">
        <v>04:29:14</v>
      </c>
      <c r="AT271">
        <f t="shared" si="75"/>
        <v>4.4666666666666561</v>
      </c>
      <c r="AU271">
        <f t="shared" si="70"/>
        <v>3.3999999999999915</v>
      </c>
      <c r="AV271">
        <f t="shared" si="71"/>
        <v>0.15</v>
      </c>
      <c r="AW271">
        <f t="shared" si="63"/>
        <v>0.71999999999999986</v>
      </c>
    </row>
    <row r="272" spans="1:49" x14ac:dyDescent="0.25">
      <c r="A272" t="s">
        <v>1060</v>
      </c>
      <c r="B272">
        <v>0</v>
      </c>
      <c r="C272">
        <v>15.94</v>
      </c>
      <c r="E272" t="s">
        <v>1060</v>
      </c>
      <c r="F272">
        <v>0</v>
      </c>
      <c r="G272">
        <v>81.28</v>
      </c>
      <c r="I272" t="str" cm="1">
        <f t="array" ref="I272:J272">_xlfn.TEXTSPLIT(A272," ")</f>
        <v>27.10.2023</v>
      </c>
      <c r="J272" t="str">
        <v>04:30:08</v>
      </c>
      <c r="K272">
        <f t="shared" si="72"/>
        <v>4.4833333333333227</v>
      </c>
      <c r="L272">
        <f t="shared" si="65"/>
        <v>1.6199999999999992</v>
      </c>
      <c r="M272">
        <f t="shared" si="66"/>
        <v>0</v>
      </c>
      <c r="N272">
        <f t="shared" si="60"/>
        <v>0.36249999999999999</v>
      </c>
      <c r="Q272" t="str" cm="1">
        <f t="array" ref="Q272:R272">_xlfn.TEXTSPLIT(E272," ")</f>
        <v>27.10.2023</v>
      </c>
      <c r="R272" t="str">
        <v>04:30:08</v>
      </c>
      <c r="S272">
        <f t="shared" si="73"/>
        <v>4.4833333333333227</v>
      </c>
      <c r="T272">
        <f t="shared" si="64"/>
        <v>2.6800000000000068</v>
      </c>
      <c r="U272">
        <f t="shared" si="67"/>
        <v>0</v>
      </c>
      <c r="V272">
        <f t="shared" si="61"/>
        <v>0.58999999999999975</v>
      </c>
      <c r="AC272" t="s">
        <v>1061</v>
      </c>
      <c r="AD272">
        <v>0</v>
      </c>
      <c r="AE272">
        <v>5.33</v>
      </c>
      <c r="AG272" t="str" cm="1">
        <f t="array" ref="AG272:AH272">_xlfn.TEXTSPLIT(AC273," ")</f>
        <v>26.10.2023</v>
      </c>
      <c r="AH272" t="str">
        <v>04:31:14</v>
      </c>
      <c r="AI272">
        <f t="shared" si="74"/>
        <v>4.4833333333333227</v>
      </c>
      <c r="AJ272">
        <f t="shared" si="68"/>
        <v>0.79999999999999982</v>
      </c>
      <c r="AK272">
        <f t="shared" si="69"/>
        <v>0</v>
      </c>
      <c r="AL272">
        <f t="shared" si="62"/>
        <v>0.13250000000000003</v>
      </c>
      <c r="AN272" t="s">
        <v>1061</v>
      </c>
      <c r="AO272">
        <v>0.15</v>
      </c>
      <c r="AP272">
        <v>64.709999999999994</v>
      </c>
      <c r="AR272" t="str" cm="1">
        <f t="array" ref="AR272:AS272">_xlfn.TEXTSPLIT(AN272," ")</f>
        <v>26.10.2023</v>
      </c>
      <c r="AS272" t="str">
        <v>04:30:14</v>
      </c>
      <c r="AT272">
        <f t="shared" si="75"/>
        <v>4.4833333333333227</v>
      </c>
      <c r="AU272">
        <f t="shared" si="70"/>
        <v>3.3999999999999915</v>
      </c>
      <c r="AV272">
        <f t="shared" si="71"/>
        <v>0.15</v>
      </c>
      <c r="AW272">
        <f t="shared" si="63"/>
        <v>0.7174999999999998</v>
      </c>
    </row>
    <row r="273" spans="1:49" x14ac:dyDescent="0.25">
      <c r="A273" t="s">
        <v>1062</v>
      </c>
      <c r="B273">
        <v>0</v>
      </c>
      <c r="C273">
        <v>15.94</v>
      </c>
      <c r="E273" t="s">
        <v>1062</v>
      </c>
      <c r="F273">
        <v>0.3</v>
      </c>
      <c r="G273">
        <v>81.28</v>
      </c>
      <c r="I273" t="str" cm="1">
        <f t="array" ref="I273:J273">_xlfn.TEXTSPLIT(A273," ")</f>
        <v>27.10.2023</v>
      </c>
      <c r="J273" t="str">
        <v>04:31:08</v>
      </c>
      <c r="K273">
        <f t="shared" si="72"/>
        <v>4.4999999999999893</v>
      </c>
      <c r="L273">
        <f t="shared" si="65"/>
        <v>1.6199999999999992</v>
      </c>
      <c r="M273">
        <f t="shared" si="66"/>
        <v>0</v>
      </c>
      <c r="N273">
        <f t="shared" si="60"/>
        <v>0.36249999999999999</v>
      </c>
      <c r="Q273" t="str" cm="1">
        <f t="array" ref="Q273:R273">_xlfn.TEXTSPLIT(E273," ")</f>
        <v>27.10.2023</v>
      </c>
      <c r="R273" t="str">
        <v>04:31:08</v>
      </c>
      <c r="S273">
        <f t="shared" si="73"/>
        <v>4.4999999999999893</v>
      </c>
      <c r="T273">
        <f t="shared" si="64"/>
        <v>2.6800000000000068</v>
      </c>
      <c r="U273">
        <f t="shared" si="67"/>
        <v>0.3</v>
      </c>
      <c r="V273">
        <f t="shared" si="61"/>
        <v>0.59499999999999964</v>
      </c>
      <c r="AC273" t="s">
        <v>1063</v>
      </c>
      <c r="AD273">
        <v>0</v>
      </c>
      <c r="AE273">
        <v>5.33</v>
      </c>
      <c r="AG273" t="str" cm="1">
        <f t="array" ref="AG273:AH273">_xlfn.TEXTSPLIT(AC274," ")</f>
        <v>26.10.2023</v>
      </c>
      <c r="AH273" t="str">
        <v>04:32:14</v>
      </c>
      <c r="AI273">
        <f t="shared" si="74"/>
        <v>4.4999999999999893</v>
      </c>
      <c r="AJ273">
        <f t="shared" si="68"/>
        <v>0.79999999999999982</v>
      </c>
      <c r="AK273">
        <f t="shared" si="69"/>
        <v>0</v>
      </c>
      <c r="AL273">
        <f t="shared" si="62"/>
        <v>0.13250000000000003</v>
      </c>
      <c r="AN273" t="s">
        <v>1063</v>
      </c>
      <c r="AO273">
        <v>0.3</v>
      </c>
      <c r="AP273">
        <v>64.72</v>
      </c>
      <c r="AR273" t="str" cm="1">
        <f t="array" ref="AR273:AS273">_xlfn.TEXTSPLIT(AN273," ")</f>
        <v>26.10.2023</v>
      </c>
      <c r="AS273" t="str">
        <v>04:31:14</v>
      </c>
      <c r="AT273">
        <f t="shared" si="75"/>
        <v>4.4999999999999893</v>
      </c>
      <c r="AU273">
        <f t="shared" si="70"/>
        <v>3.4099999999999966</v>
      </c>
      <c r="AV273">
        <f t="shared" si="71"/>
        <v>0.3</v>
      </c>
      <c r="AW273">
        <f t="shared" si="63"/>
        <v>0.71499999999999975</v>
      </c>
    </row>
    <row r="274" spans="1:49" x14ac:dyDescent="0.25">
      <c r="A274" t="s">
        <v>1064</v>
      </c>
      <c r="B274">
        <v>0</v>
      </c>
      <c r="C274">
        <v>15.94</v>
      </c>
      <c r="E274" t="s">
        <v>1064</v>
      </c>
      <c r="F274">
        <v>0.15</v>
      </c>
      <c r="G274">
        <v>81.290000000000006</v>
      </c>
      <c r="I274" t="str" cm="1">
        <f t="array" ref="I274:J274">_xlfn.TEXTSPLIT(A274," ")</f>
        <v>27.10.2023</v>
      </c>
      <c r="J274" t="str">
        <v>04:32:08</v>
      </c>
      <c r="K274">
        <f t="shared" si="72"/>
        <v>4.5166666666666559</v>
      </c>
      <c r="L274">
        <f t="shared" si="65"/>
        <v>1.6199999999999992</v>
      </c>
      <c r="M274">
        <f t="shared" si="66"/>
        <v>0</v>
      </c>
      <c r="N274">
        <f t="shared" si="60"/>
        <v>0.36249999999999999</v>
      </c>
      <c r="Q274" t="str" cm="1">
        <f t="array" ref="Q274:R274">_xlfn.TEXTSPLIT(E274," ")</f>
        <v>27.10.2023</v>
      </c>
      <c r="R274" t="str">
        <v>04:32:08</v>
      </c>
      <c r="S274">
        <f t="shared" si="73"/>
        <v>4.5166666666666559</v>
      </c>
      <c r="T274">
        <f t="shared" si="64"/>
        <v>2.6900000000000119</v>
      </c>
      <c r="U274">
        <f t="shared" si="67"/>
        <v>0.15</v>
      </c>
      <c r="V274">
        <f t="shared" si="61"/>
        <v>0.59249999999999969</v>
      </c>
      <c r="AC274" t="s">
        <v>1065</v>
      </c>
      <c r="AD274">
        <v>0</v>
      </c>
      <c r="AE274">
        <v>5.33</v>
      </c>
      <c r="AG274" t="str" cm="1">
        <f t="array" ref="AG274:AH274">_xlfn.TEXTSPLIT(AC275," ")</f>
        <v>26.10.2023</v>
      </c>
      <c r="AH274" t="str">
        <v>04:33:14</v>
      </c>
      <c r="AI274">
        <f t="shared" si="74"/>
        <v>4.5166666666666559</v>
      </c>
      <c r="AJ274">
        <f t="shared" si="68"/>
        <v>0.79999999999999982</v>
      </c>
      <c r="AK274">
        <f t="shared" si="69"/>
        <v>0</v>
      </c>
      <c r="AL274">
        <f t="shared" si="62"/>
        <v>0.13250000000000003</v>
      </c>
      <c r="AN274" t="s">
        <v>1065</v>
      </c>
      <c r="AO274">
        <v>0.45</v>
      </c>
      <c r="AP274">
        <v>64.72</v>
      </c>
      <c r="AR274" t="str" cm="1">
        <f t="array" ref="AR274:AS274">_xlfn.TEXTSPLIT(AN274," ")</f>
        <v>26.10.2023</v>
      </c>
      <c r="AS274" t="str">
        <v>04:32:14</v>
      </c>
      <c r="AT274">
        <f t="shared" si="75"/>
        <v>4.5166666666666559</v>
      </c>
      <c r="AU274">
        <f t="shared" si="70"/>
        <v>3.4099999999999966</v>
      </c>
      <c r="AV274">
        <f t="shared" si="71"/>
        <v>0.45</v>
      </c>
      <c r="AW274">
        <f t="shared" si="63"/>
        <v>0.71499999999999986</v>
      </c>
    </row>
    <row r="275" spans="1:49" x14ac:dyDescent="0.25">
      <c r="A275" t="s">
        <v>1066</v>
      </c>
      <c r="B275">
        <v>0</v>
      </c>
      <c r="C275">
        <v>15.94</v>
      </c>
      <c r="E275" t="s">
        <v>1066</v>
      </c>
      <c r="F275">
        <v>0.3</v>
      </c>
      <c r="G275">
        <v>81.290000000000006</v>
      </c>
      <c r="I275" t="str" cm="1">
        <f t="array" ref="I275:J275">_xlfn.TEXTSPLIT(A275," ")</f>
        <v>27.10.2023</v>
      </c>
      <c r="J275" t="str">
        <v>04:33:08</v>
      </c>
      <c r="K275">
        <f t="shared" si="72"/>
        <v>4.5333333333333226</v>
      </c>
      <c r="L275">
        <f t="shared" si="65"/>
        <v>1.6199999999999992</v>
      </c>
      <c r="M275">
        <f t="shared" si="66"/>
        <v>0</v>
      </c>
      <c r="N275">
        <f t="shared" si="60"/>
        <v>0.36249999999999999</v>
      </c>
      <c r="Q275" t="str" cm="1">
        <f t="array" ref="Q275:R275">_xlfn.TEXTSPLIT(E275," ")</f>
        <v>27.10.2023</v>
      </c>
      <c r="R275" t="str">
        <v>04:33:08</v>
      </c>
      <c r="S275">
        <f t="shared" si="73"/>
        <v>4.5333333333333226</v>
      </c>
      <c r="T275">
        <f t="shared" si="64"/>
        <v>2.6900000000000119</v>
      </c>
      <c r="U275">
        <f t="shared" si="67"/>
        <v>0.3</v>
      </c>
      <c r="V275">
        <f t="shared" si="61"/>
        <v>0.59499999999999964</v>
      </c>
      <c r="AC275" t="s">
        <v>1067</v>
      </c>
      <c r="AD275">
        <v>0</v>
      </c>
      <c r="AE275">
        <v>5.33</v>
      </c>
      <c r="AG275" t="str" cm="1">
        <f t="array" ref="AG275:AH275">_xlfn.TEXTSPLIT(AC276," ")</f>
        <v>26.10.2023</v>
      </c>
      <c r="AH275" t="str">
        <v>04:34:14</v>
      </c>
      <c r="AI275">
        <f t="shared" si="74"/>
        <v>4.5333333333333226</v>
      </c>
      <c r="AJ275">
        <f t="shared" si="68"/>
        <v>0.79999999999999982</v>
      </c>
      <c r="AK275">
        <f t="shared" si="69"/>
        <v>0</v>
      </c>
      <c r="AL275">
        <f t="shared" si="62"/>
        <v>0.13250000000000003</v>
      </c>
      <c r="AN275" t="s">
        <v>1067</v>
      </c>
      <c r="AO275">
        <v>0.3</v>
      </c>
      <c r="AP275">
        <v>64.73</v>
      </c>
      <c r="AR275" t="str" cm="1">
        <f t="array" ref="AR275:AS275">_xlfn.TEXTSPLIT(AN275," ")</f>
        <v>26.10.2023</v>
      </c>
      <c r="AS275" t="str">
        <v>04:33:14</v>
      </c>
      <c r="AT275">
        <f t="shared" si="75"/>
        <v>4.5333333333333226</v>
      </c>
      <c r="AU275">
        <f t="shared" si="70"/>
        <v>3.4200000000000017</v>
      </c>
      <c r="AV275">
        <f t="shared" si="71"/>
        <v>0.3</v>
      </c>
      <c r="AW275">
        <f t="shared" si="63"/>
        <v>0.70999999999999985</v>
      </c>
    </row>
    <row r="276" spans="1:49" x14ac:dyDescent="0.25">
      <c r="A276" t="s">
        <v>1068</v>
      </c>
      <c r="B276">
        <v>0</v>
      </c>
      <c r="C276">
        <v>15.94</v>
      </c>
      <c r="E276" t="s">
        <v>1068</v>
      </c>
      <c r="F276">
        <v>0.3</v>
      </c>
      <c r="G276">
        <v>81.3</v>
      </c>
      <c r="I276" t="str" cm="1">
        <f t="array" ref="I276:J276">_xlfn.TEXTSPLIT(A276," ")</f>
        <v>27.10.2023</v>
      </c>
      <c r="J276" t="str">
        <v>04:34:09</v>
      </c>
      <c r="K276">
        <f t="shared" si="72"/>
        <v>4.5499999999999892</v>
      </c>
      <c r="L276">
        <f t="shared" si="65"/>
        <v>1.6199999999999992</v>
      </c>
      <c r="M276">
        <f t="shared" si="66"/>
        <v>0</v>
      </c>
      <c r="N276">
        <f t="shared" si="60"/>
        <v>0.36249999999999999</v>
      </c>
      <c r="Q276" t="str" cm="1">
        <f t="array" ref="Q276:R276">_xlfn.TEXTSPLIT(E276," ")</f>
        <v>27.10.2023</v>
      </c>
      <c r="R276" t="str">
        <v>04:34:09</v>
      </c>
      <c r="S276">
        <f t="shared" si="73"/>
        <v>4.5499999999999892</v>
      </c>
      <c r="T276">
        <f t="shared" si="64"/>
        <v>2.7000000000000028</v>
      </c>
      <c r="U276">
        <f t="shared" si="67"/>
        <v>0.3</v>
      </c>
      <c r="V276">
        <f t="shared" si="61"/>
        <v>0.59749999999999959</v>
      </c>
      <c r="AC276" t="s">
        <v>1069</v>
      </c>
      <c r="AD276">
        <v>0</v>
      </c>
      <c r="AE276">
        <v>5.33</v>
      </c>
      <c r="AG276" t="str" cm="1">
        <f t="array" ref="AG276:AH276">_xlfn.TEXTSPLIT(AC277," ")</f>
        <v>26.10.2023</v>
      </c>
      <c r="AH276" t="str">
        <v>04:35:14</v>
      </c>
      <c r="AI276">
        <f t="shared" si="74"/>
        <v>4.5499999999999892</v>
      </c>
      <c r="AJ276">
        <f t="shared" si="68"/>
        <v>0.79999999999999982</v>
      </c>
      <c r="AK276">
        <f t="shared" si="69"/>
        <v>0</v>
      </c>
      <c r="AL276">
        <f t="shared" si="62"/>
        <v>0.13250000000000003</v>
      </c>
      <c r="AN276" t="s">
        <v>1069</v>
      </c>
      <c r="AO276">
        <v>0.45</v>
      </c>
      <c r="AP276">
        <v>64.739999999999995</v>
      </c>
      <c r="AR276" t="str" cm="1">
        <f t="array" ref="AR276:AS276">_xlfn.TEXTSPLIT(AN276," ")</f>
        <v>26.10.2023</v>
      </c>
      <c r="AS276" t="str">
        <v>04:34:14</v>
      </c>
      <c r="AT276">
        <f t="shared" si="75"/>
        <v>4.5499999999999892</v>
      </c>
      <c r="AU276">
        <f t="shared" si="70"/>
        <v>3.4299999999999926</v>
      </c>
      <c r="AV276">
        <f t="shared" si="71"/>
        <v>0.45</v>
      </c>
      <c r="AW276">
        <f t="shared" si="63"/>
        <v>0.70499999999999996</v>
      </c>
    </row>
    <row r="277" spans="1:49" x14ac:dyDescent="0.25">
      <c r="A277" t="s">
        <v>1070</v>
      </c>
      <c r="B277">
        <v>0</v>
      </c>
      <c r="C277">
        <v>15.94</v>
      </c>
      <c r="E277" t="s">
        <v>1070</v>
      </c>
      <c r="F277">
        <v>0.45</v>
      </c>
      <c r="G277">
        <v>81.31</v>
      </c>
      <c r="I277" t="str" cm="1">
        <f t="array" ref="I277:J277">_xlfn.TEXTSPLIT(A277," ")</f>
        <v>27.10.2023</v>
      </c>
      <c r="J277" t="str">
        <v>04:35:09</v>
      </c>
      <c r="K277">
        <f t="shared" si="72"/>
        <v>4.5666666666666558</v>
      </c>
      <c r="L277">
        <f t="shared" si="65"/>
        <v>1.6199999999999992</v>
      </c>
      <c r="M277">
        <f t="shared" si="66"/>
        <v>0</v>
      </c>
      <c r="N277">
        <f t="shared" si="60"/>
        <v>0.36249999999999999</v>
      </c>
      <c r="Q277" t="str" cm="1">
        <f t="array" ref="Q277:R277">_xlfn.TEXTSPLIT(E277," ")</f>
        <v>27.10.2023</v>
      </c>
      <c r="R277" t="str">
        <v>04:35:09</v>
      </c>
      <c r="S277">
        <f t="shared" si="73"/>
        <v>4.5666666666666558</v>
      </c>
      <c r="T277">
        <f t="shared" si="64"/>
        <v>2.710000000000008</v>
      </c>
      <c r="U277">
        <f t="shared" si="67"/>
        <v>0.45</v>
      </c>
      <c r="V277">
        <f t="shared" si="61"/>
        <v>0.59749999999999959</v>
      </c>
      <c r="AC277" t="s">
        <v>1071</v>
      </c>
      <c r="AD277">
        <v>0</v>
      </c>
      <c r="AE277">
        <v>5.33</v>
      </c>
      <c r="AG277" t="str" cm="1">
        <f t="array" ref="AG277:AH277">_xlfn.TEXTSPLIT(AC278," ")</f>
        <v>26.10.2023</v>
      </c>
      <c r="AH277" t="str">
        <v>04:36:14</v>
      </c>
      <c r="AI277">
        <f t="shared" si="74"/>
        <v>4.5666666666666558</v>
      </c>
      <c r="AJ277">
        <f t="shared" si="68"/>
        <v>0.79999999999999982</v>
      </c>
      <c r="AK277">
        <f t="shared" si="69"/>
        <v>0</v>
      </c>
      <c r="AL277">
        <f t="shared" si="62"/>
        <v>0.13250000000000003</v>
      </c>
      <c r="AN277" t="s">
        <v>1071</v>
      </c>
      <c r="AO277">
        <v>0.45</v>
      </c>
      <c r="AP277">
        <v>64.75</v>
      </c>
      <c r="AR277" t="str" cm="1">
        <f t="array" ref="AR277:AS277">_xlfn.TEXTSPLIT(AN277," ")</f>
        <v>26.10.2023</v>
      </c>
      <c r="AS277" t="str">
        <v>04:35:14</v>
      </c>
      <c r="AT277">
        <f t="shared" si="75"/>
        <v>4.5666666666666558</v>
      </c>
      <c r="AU277">
        <f t="shared" si="70"/>
        <v>3.4399999999999977</v>
      </c>
      <c r="AV277">
        <f t="shared" si="71"/>
        <v>0.45</v>
      </c>
      <c r="AW277">
        <f t="shared" si="63"/>
        <v>0.7</v>
      </c>
    </row>
    <row r="278" spans="1:49" x14ac:dyDescent="0.25">
      <c r="A278" t="s">
        <v>1072</v>
      </c>
      <c r="B278">
        <v>0.3</v>
      </c>
      <c r="C278">
        <v>15.94</v>
      </c>
      <c r="E278" t="s">
        <v>1072</v>
      </c>
      <c r="F278">
        <v>0.9</v>
      </c>
      <c r="G278">
        <v>81.319999999999993</v>
      </c>
      <c r="I278" t="str" cm="1">
        <f t="array" ref="I278:J278">_xlfn.TEXTSPLIT(A278," ")</f>
        <v>27.10.2023</v>
      </c>
      <c r="J278" t="str">
        <v>04:36:09</v>
      </c>
      <c r="K278">
        <f t="shared" si="72"/>
        <v>4.5833333333333224</v>
      </c>
      <c r="L278">
        <f t="shared" si="65"/>
        <v>1.6199999999999992</v>
      </c>
      <c r="M278">
        <f t="shared" si="66"/>
        <v>0.3</v>
      </c>
      <c r="N278">
        <f t="shared" si="60"/>
        <v>0.36749999999999999</v>
      </c>
      <c r="Q278" t="str" cm="1">
        <f t="array" ref="Q278:R278">_xlfn.TEXTSPLIT(E278," ")</f>
        <v>27.10.2023</v>
      </c>
      <c r="R278" t="str">
        <v>04:36:09</v>
      </c>
      <c r="S278">
        <f t="shared" si="73"/>
        <v>4.5833333333333224</v>
      </c>
      <c r="T278">
        <f t="shared" si="64"/>
        <v>2.7199999999999989</v>
      </c>
      <c r="U278">
        <f t="shared" si="67"/>
        <v>0.9</v>
      </c>
      <c r="V278">
        <f t="shared" si="61"/>
        <v>0.6074999999999996</v>
      </c>
      <c r="AC278" t="s">
        <v>1073</v>
      </c>
      <c r="AD278">
        <v>0</v>
      </c>
      <c r="AE278">
        <v>5.33</v>
      </c>
      <c r="AG278" t="str" cm="1">
        <f t="array" ref="AG278:AH278">_xlfn.TEXTSPLIT(AC279," ")</f>
        <v>26.10.2023</v>
      </c>
      <c r="AH278" t="str">
        <v>04:37:14</v>
      </c>
      <c r="AI278">
        <f t="shared" si="74"/>
        <v>4.5833333333333224</v>
      </c>
      <c r="AJ278">
        <f t="shared" si="68"/>
        <v>0.79999999999999982</v>
      </c>
      <c r="AK278">
        <f t="shared" si="69"/>
        <v>0</v>
      </c>
      <c r="AL278">
        <f t="shared" si="62"/>
        <v>0.13250000000000003</v>
      </c>
      <c r="AN278" t="s">
        <v>1073</v>
      </c>
      <c r="AO278">
        <v>0.75</v>
      </c>
      <c r="AP278">
        <v>64.760000000000005</v>
      </c>
      <c r="AR278" t="str" cm="1">
        <f t="array" ref="AR278:AS278">_xlfn.TEXTSPLIT(AN278," ")</f>
        <v>26.10.2023</v>
      </c>
      <c r="AS278" t="str">
        <v>04:36:14</v>
      </c>
      <c r="AT278">
        <f t="shared" si="75"/>
        <v>4.5833333333333224</v>
      </c>
      <c r="AU278">
        <f t="shared" si="70"/>
        <v>3.4500000000000028</v>
      </c>
      <c r="AV278">
        <f t="shared" si="71"/>
        <v>0.75</v>
      </c>
      <c r="AW278">
        <f t="shared" si="63"/>
        <v>0.6974999999999999</v>
      </c>
    </row>
    <row r="279" spans="1:49" x14ac:dyDescent="0.25">
      <c r="A279" t="s">
        <v>1074</v>
      </c>
      <c r="B279">
        <v>0.15</v>
      </c>
      <c r="C279">
        <v>15.94</v>
      </c>
      <c r="E279" t="s">
        <v>1074</v>
      </c>
      <c r="F279">
        <v>1.95</v>
      </c>
      <c r="G279">
        <v>81.349999999999994</v>
      </c>
      <c r="I279" t="str" cm="1">
        <f t="array" ref="I279:J279">_xlfn.TEXTSPLIT(A279," ")</f>
        <v>27.10.2023</v>
      </c>
      <c r="J279" t="str">
        <v>04:37:09</v>
      </c>
      <c r="K279">
        <f t="shared" si="72"/>
        <v>4.599999999999989</v>
      </c>
      <c r="L279">
        <f t="shared" si="65"/>
        <v>1.6199999999999992</v>
      </c>
      <c r="M279">
        <f t="shared" si="66"/>
        <v>0.15</v>
      </c>
      <c r="N279">
        <f t="shared" si="60"/>
        <v>0.37</v>
      </c>
      <c r="Q279" t="str" cm="1">
        <f t="array" ref="Q279:R279">_xlfn.TEXTSPLIT(E279," ")</f>
        <v>27.10.2023</v>
      </c>
      <c r="R279" t="str">
        <v>04:37:09</v>
      </c>
      <c r="S279">
        <f t="shared" si="73"/>
        <v>4.599999999999989</v>
      </c>
      <c r="T279">
        <f t="shared" si="64"/>
        <v>2.75</v>
      </c>
      <c r="U279">
        <f t="shared" si="67"/>
        <v>1.95</v>
      </c>
      <c r="V279">
        <f t="shared" si="61"/>
        <v>0.62999999999999956</v>
      </c>
      <c r="AC279" t="s">
        <v>1075</v>
      </c>
      <c r="AD279">
        <v>0</v>
      </c>
      <c r="AE279">
        <v>5.33</v>
      </c>
      <c r="AG279" t="str" cm="1">
        <f t="array" ref="AG279:AH279">_xlfn.TEXTSPLIT(AC280," ")</f>
        <v>26.10.2023</v>
      </c>
      <c r="AH279" t="str">
        <v>04:38:15</v>
      </c>
      <c r="AI279">
        <f t="shared" si="74"/>
        <v>4.599999999999989</v>
      </c>
      <c r="AJ279">
        <f t="shared" si="68"/>
        <v>0.79999999999999982</v>
      </c>
      <c r="AK279">
        <f t="shared" si="69"/>
        <v>0</v>
      </c>
      <c r="AL279">
        <f t="shared" si="62"/>
        <v>0.13250000000000003</v>
      </c>
      <c r="AN279" t="s">
        <v>1075</v>
      </c>
      <c r="AO279">
        <v>1.8</v>
      </c>
      <c r="AP279">
        <v>64.790000000000006</v>
      </c>
      <c r="AR279" t="str" cm="1">
        <f t="array" ref="AR279:AS279">_xlfn.TEXTSPLIT(AN279," ")</f>
        <v>26.10.2023</v>
      </c>
      <c r="AS279" t="str">
        <v>04:37:14</v>
      </c>
      <c r="AT279">
        <f t="shared" si="75"/>
        <v>4.599999999999989</v>
      </c>
      <c r="AU279">
        <f t="shared" si="70"/>
        <v>3.480000000000004</v>
      </c>
      <c r="AV279">
        <f t="shared" si="71"/>
        <v>1.8</v>
      </c>
      <c r="AW279">
        <f t="shared" si="63"/>
        <v>0.70499999999999985</v>
      </c>
    </row>
    <row r="280" spans="1:49" x14ac:dyDescent="0.25">
      <c r="A280" t="s">
        <v>1076</v>
      </c>
      <c r="B280">
        <v>1.35</v>
      </c>
      <c r="C280">
        <v>15.97</v>
      </c>
      <c r="E280" t="s">
        <v>1076</v>
      </c>
      <c r="F280">
        <v>1.5</v>
      </c>
      <c r="G280">
        <v>81.38</v>
      </c>
      <c r="I280" t="str" cm="1">
        <f t="array" ref="I280:J280">_xlfn.TEXTSPLIT(A280," ")</f>
        <v>27.10.2023</v>
      </c>
      <c r="J280" t="str">
        <v>04:38:09</v>
      </c>
      <c r="K280">
        <f t="shared" si="72"/>
        <v>4.6166666666666556</v>
      </c>
      <c r="L280">
        <f t="shared" si="65"/>
        <v>1.6500000000000004</v>
      </c>
      <c r="M280">
        <f t="shared" si="66"/>
        <v>1.35</v>
      </c>
      <c r="N280">
        <f t="shared" si="60"/>
        <v>0.375</v>
      </c>
      <c r="Q280" t="str" cm="1">
        <f t="array" ref="Q280:R280">_xlfn.TEXTSPLIT(E280," ")</f>
        <v>27.10.2023</v>
      </c>
      <c r="R280" t="str">
        <v>04:38:09</v>
      </c>
      <c r="S280">
        <f t="shared" si="73"/>
        <v>4.6166666666666556</v>
      </c>
      <c r="T280">
        <f t="shared" si="64"/>
        <v>2.7800000000000011</v>
      </c>
      <c r="U280">
        <f t="shared" si="67"/>
        <v>1.5</v>
      </c>
      <c r="V280">
        <f t="shared" si="61"/>
        <v>0.61749999999999994</v>
      </c>
      <c r="AC280" t="s">
        <v>1077</v>
      </c>
      <c r="AD280">
        <v>0</v>
      </c>
      <c r="AE280">
        <v>5.33</v>
      </c>
      <c r="AG280" t="str" cm="1">
        <f t="array" ref="AG280:AH280">_xlfn.TEXTSPLIT(AC281," ")</f>
        <v>26.10.2023</v>
      </c>
      <c r="AH280" t="str">
        <v>04:39:15</v>
      </c>
      <c r="AI280">
        <f t="shared" si="74"/>
        <v>4.6166666666666556</v>
      </c>
      <c r="AJ280">
        <f t="shared" si="68"/>
        <v>0.79999999999999982</v>
      </c>
      <c r="AK280">
        <f t="shared" si="69"/>
        <v>0</v>
      </c>
      <c r="AL280">
        <f t="shared" si="62"/>
        <v>0.13250000000000003</v>
      </c>
      <c r="AN280" t="s">
        <v>1077</v>
      </c>
      <c r="AO280">
        <v>2.25</v>
      </c>
      <c r="AP280">
        <v>64.83</v>
      </c>
      <c r="AR280" t="str" cm="1">
        <f t="array" ref="AR280:AS280">_xlfn.TEXTSPLIT(AN280," ")</f>
        <v>26.10.2023</v>
      </c>
      <c r="AS280" t="str">
        <v>04:38:15</v>
      </c>
      <c r="AT280">
        <f t="shared" si="75"/>
        <v>4.6166666666666556</v>
      </c>
      <c r="AU280">
        <f t="shared" si="70"/>
        <v>3.519999999999996</v>
      </c>
      <c r="AV280">
        <f t="shared" si="71"/>
        <v>2.25</v>
      </c>
      <c r="AW280">
        <f t="shared" si="63"/>
        <v>0.71499999999999997</v>
      </c>
    </row>
    <row r="281" spans="1:49" x14ac:dyDescent="0.25">
      <c r="A281" t="s">
        <v>1078</v>
      </c>
      <c r="B281">
        <v>1.65</v>
      </c>
      <c r="C281">
        <v>15.99</v>
      </c>
      <c r="E281" t="s">
        <v>1078</v>
      </c>
      <c r="F281">
        <v>1.05</v>
      </c>
      <c r="G281">
        <v>81.400000000000006</v>
      </c>
      <c r="I281" t="str" cm="1">
        <f t="array" ref="I281:J281">_xlfn.TEXTSPLIT(A281," ")</f>
        <v>27.10.2023</v>
      </c>
      <c r="J281" t="str">
        <v>04:39:09</v>
      </c>
      <c r="K281">
        <f t="shared" si="72"/>
        <v>4.6333333333333222</v>
      </c>
      <c r="L281">
        <f t="shared" si="65"/>
        <v>1.67</v>
      </c>
      <c r="M281">
        <f t="shared" si="66"/>
        <v>1.65</v>
      </c>
      <c r="N281">
        <f t="shared" si="60"/>
        <v>0.375</v>
      </c>
      <c r="Q281" t="str" cm="1">
        <f t="array" ref="Q281:R281">_xlfn.TEXTSPLIT(E281," ")</f>
        <v>27.10.2023</v>
      </c>
      <c r="R281" t="str">
        <v>04:39:09</v>
      </c>
      <c r="S281">
        <f t="shared" si="73"/>
        <v>4.6333333333333222</v>
      </c>
      <c r="T281">
        <f t="shared" si="64"/>
        <v>2.8000000000000114</v>
      </c>
      <c r="U281">
        <f t="shared" si="67"/>
        <v>1.05</v>
      </c>
      <c r="V281">
        <f t="shared" si="61"/>
        <v>0.59999999999999987</v>
      </c>
      <c r="AC281" t="s">
        <v>1079</v>
      </c>
      <c r="AD281">
        <v>0</v>
      </c>
      <c r="AE281">
        <v>5.33</v>
      </c>
      <c r="AG281" t="str" cm="1">
        <f t="array" ref="AG281:AH281">_xlfn.TEXTSPLIT(AC282," ")</f>
        <v>26.10.2023</v>
      </c>
      <c r="AH281" t="str">
        <v>04:40:15</v>
      </c>
      <c r="AI281">
        <f t="shared" si="74"/>
        <v>4.6333333333333222</v>
      </c>
      <c r="AJ281">
        <f t="shared" si="68"/>
        <v>0.79999999999999982</v>
      </c>
      <c r="AK281">
        <f t="shared" si="69"/>
        <v>0</v>
      </c>
      <c r="AL281">
        <f t="shared" si="62"/>
        <v>0.13250000000000003</v>
      </c>
      <c r="AN281" t="s">
        <v>1079</v>
      </c>
      <c r="AO281">
        <v>1.95</v>
      </c>
      <c r="AP281">
        <v>64.86</v>
      </c>
      <c r="AR281" t="str" cm="1">
        <f t="array" ref="AR281:AS281">_xlfn.TEXTSPLIT(AN281," ")</f>
        <v>26.10.2023</v>
      </c>
      <c r="AS281" t="str">
        <v>04:39:15</v>
      </c>
      <c r="AT281">
        <f t="shared" si="75"/>
        <v>4.6333333333333222</v>
      </c>
      <c r="AU281">
        <f t="shared" si="70"/>
        <v>3.5499999999999972</v>
      </c>
      <c r="AV281">
        <f t="shared" si="71"/>
        <v>1.95</v>
      </c>
      <c r="AW281">
        <f t="shared" si="63"/>
        <v>0.70250000000000012</v>
      </c>
    </row>
    <row r="282" spans="1:49" x14ac:dyDescent="0.25">
      <c r="A282" t="s">
        <v>1080</v>
      </c>
      <c r="B282">
        <v>1.05</v>
      </c>
      <c r="C282">
        <v>16.02</v>
      </c>
      <c r="E282" t="s">
        <v>1080</v>
      </c>
      <c r="F282">
        <v>1.05</v>
      </c>
      <c r="G282">
        <v>81.42</v>
      </c>
      <c r="I282" t="str" cm="1">
        <f t="array" ref="I282:J282">_xlfn.TEXTSPLIT(A282," ")</f>
        <v>27.10.2023</v>
      </c>
      <c r="J282" t="str">
        <v>04:40:10</v>
      </c>
      <c r="K282">
        <f t="shared" si="72"/>
        <v>4.6499999999999888</v>
      </c>
      <c r="L282">
        <f t="shared" si="65"/>
        <v>1.6999999999999993</v>
      </c>
      <c r="M282">
        <f t="shared" si="66"/>
        <v>1.05</v>
      </c>
      <c r="N282">
        <f t="shared" si="60"/>
        <v>0.36499999999999999</v>
      </c>
      <c r="Q282" t="str" cm="1">
        <f t="array" ref="Q282:R282">_xlfn.TEXTSPLIT(E282," ")</f>
        <v>27.10.2023</v>
      </c>
      <c r="R282" t="str">
        <v>04:40:10</v>
      </c>
      <c r="S282">
        <f t="shared" si="73"/>
        <v>4.6499999999999888</v>
      </c>
      <c r="T282">
        <f t="shared" si="64"/>
        <v>2.8200000000000074</v>
      </c>
      <c r="U282">
        <f t="shared" si="67"/>
        <v>1.05</v>
      </c>
      <c r="V282">
        <f t="shared" si="61"/>
        <v>0.5924999999999998</v>
      </c>
      <c r="AC282" t="s">
        <v>1081</v>
      </c>
      <c r="AD282">
        <v>1.35</v>
      </c>
      <c r="AE282">
        <v>5.36</v>
      </c>
      <c r="AG282" t="str" cm="1">
        <f t="array" ref="AG282:AH282">_xlfn.TEXTSPLIT(AC283," ")</f>
        <v>26.10.2023</v>
      </c>
      <c r="AH282" t="str">
        <v>04:41:15</v>
      </c>
      <c r="AI282">
        <f t="shared" si="74"/>
        <v>4.6499999999999888</v>
      </c>
      <c r="AJ282">
        <f t="shared" si="68"/>
        <v>0.83000000000000007</v>
      </c>
      <c r="AK282">
        <f t="shared" si="69"/>
        <v>1.35</v>
      </c>
      <c r="AL282">
        <f t="shared" si="62"/>
        <v>0.13500000000000004</v>
      </c>
      <c r="AN282" t="s">
        <v>1081</v>
      </c>
      <c r="AO282">
        <v>1.95</v>
      </c>
      <c r="AP282">
        <v>64.89</v>
      </c>
      <c r="AR282" t="str" cm="1">
        <f t="array" ref="AR282:AS282">_xlfn.TEXTSPLIT(AN282," ")</f>
        <v>26.10.2023</v>
      </c>
      <c r="AS282" t="str">
        <v>04:40:15</v>
      </c>
      <c r="AT282">
        <f t="shared" si="75"/>
        <v>4.6499999999999888</v>
      </c>
      <c r="AU282">
        <f t="shared" si="70"/>
        <v>3.5799999999999983</v>
      </c>
      <c r="AV282">
        <f t="shared" si="71"/>
        <v>1.95</v>
      </c>
      <c r="AW282">
        <f t="shared" si="63"/>
        <v>0.69500000000000006</v>
      </c>
    </row>
    <row r="283" spans="1:49" x14ac:dyDescent="0.25">
      <c r="A283" t="s">
        <v>1082</v>
      </c>
      <c r="B283">
        <v>1.35</v>
      </c>
      <c r="C283">
        <v>16.04</v>
      </c>
      <c r="E283" t="s">
        <v>1082</v>
      </c>
      <c r="F283">
        <v>1.2</v>
      </c>
      <c r="G283">
        <v>81.44</v>
      </c>
      <c r="I283" t="str" cm="1">
        <f t="array" ref="I283:J283">_xlfn.TEXTSPLIT(A283," ")</f>
        <v>27.10.2023</v>
      </c>
      <c r="J283" t="str">
        <v>04:41:10</v>
      </c>
      <c r="K283">
        <f t="shared" si="72"/>
        <v>4.6666666666666554</v>
      </c>
      <c r="L283">
        <f t="shared" si="65"/>
        <v>1.7199999999999989</v>
      </c>
      <c r="M283">
        <f t="shared" si="66"/>
        <v>1.35</v>
      </c>
      <c r="N283">
        <f t="shared" si="60"/>
        <v>0.36</v>
      </c>
      <c r="Q283" t="str" cm="1">
        <f t="array" ref="Q283:R283">_xlfn.TEXTSPLIT(E283," ")</f>
        <v>27.10.2023</v>
      </c>
      <c r="R283" t="str">
        <v>04:41:10</v>
      </c>
      <c r="S283">
        <f t="shared" si="73"/>
        <v>4.6666666666666554</v>
      </c>
      <c r="T283">
        <f t="shared" si="64"/>
        <v>2.8400000000000034</v>
      </c>
      <c r="U283">
        <f t="shared" si="67"/>
        <v>1.2</v>
      </c>
      <c r="V283">
        <f t="shared" si="61"/>
        <v>0.58999999999999986</v>
      </c>
      <c r="AC283" t="s">
        <v>1083</v>
      </c>
      <c r="AD283">
        <v>0.75</v>
      </c>
      <c r="AE283">
        <v>5.37</v>
      </c>
      <c r="AG283" t="str" cm="1">
        <f t="array" ref="AG283:AH283">_xlfn.TEXTSPLIT(AC284," ")</f>
        <v>26.10.2023</v>
      </c>
      <c r="AH283" t="str">
        <v>04:42:15</v>
      </c>
      <c r="AI283">
        <f t="shared" si="74"/>
        <v>4.6666666666666554</v>
      </c>
      <c r="AJ283">
        <f t="shared" si="68"/>
        <v>0.83999999999999986</v>
      </c>
      <c r="AK283">
        <f t="shared" si="69"/>
        <v>0.75</v>
      </c>
      <c r="AL283">
        <f t="shared" si="62"/>
        <v>0.13</v>
      </c>
      <c r="AN283" t="s">
        <v>1083</v>
      </c>
      <c r="AO283">
        <v>1.5</v>
      </c>
      <c r="AP283">
        <v>64.92</v>
      </c>
      <c r="AR283" t="str" cm="1">
        <f t="array" ref="AR283:AS283">_xlfn.TEXTSPLIT(AN283," ")</f>
        <v>26.10.2023</v>
      </c>
      <c r="AS283" t="str">
        <v>04:41:15</v>
      </c>
      <c r="AT283">
        <f t="shared" si="75"/>
        <v>4.6666666666666554</v>
      </c>
      <c r="AU283">
        <f t="shared" si="70"/>
        <v>3.6099999999999994</v>
      </c>
      <c r="AV283">
        <f t="shared" si="71"/>
        <v>1.5</v>
      </c>
      <c r="AW283">
        <f t="shared" si="63"/>
        <v>0.7</v>
      </c>
    </row>
    <row r="284" spans="1:49" x14ac:dyDescent="0.25">
      <c r="A284" t="s">
        <v>1084</v>
      </c>
      <c r="B284">
        <v>0.9</v>
      </c>
      <c r="C284">
        <v>16.059999999999999</v>
      </c>
      <c r="E284" t="s">
        <v>1084</v>
      </c>
      <c r="F284">
        <v>1.05</v>
      </c>
      <c r="G284">
        <v>81.459999999999994</v>
      </c>
      <c r="I284" t="str" cm="1">
        <f t="array" ref="I284:J284">_xlfn.TEXTSPLIT(A284," ")</f>
        <v>27.10.2023</v>
      </c>
      <c r="J284" t="str">
        <v>04:42:10</v>
      </c>
      <c r="K284">
        <f t="shared" si="72"/>
        <v>4.683333333333322</v>
      </c>
      <c r="L284">
        <f t="shared" si="65"/>
        <v>1.7399999999999984</v>
      </c>
      <c r="M284">
        <f t="shared" si="66"/>
        <v>0.9</v>
      </c>
      <c r="N284">
        <f t="shared" si="60"/>
        <v>0.36249999999999999</v>
      </c>
      <c r="Q284" t="str" cm="1">
        <f t="array" ref="Q284:R284">_xlfn.TEXTSPLIT(E284," ")</f>
        <v>27.10.2023</v>
      </c>
      <c r="R284" t="str">
        <v>04:42:10</v>
      </c>
      <c r="S284">
        <f t="shared" si="73"/>
        <v>4.683333333333322</v>
      </c>
      <c r="T284">
        <f t="shared" si="64"/>
        <v>2.8599999999999994</v>
      </c>
      <c r="U284">
        <f t="shared" si="67"/>
        <v>1.05</v>
      </c>
      <c r="V284">
        <f t="shared" si="61"/>
        <v>0.58249999999999991</v>
      </c>
      <c r="AC284" t="s">
        <v>1085</v>
      </c>
      <c r="AD284">
        <v>1.05</v>
      </c>
      <c r="AE284">
        <v>5.38</v>
      </c>
      <c r="AG284" t="str" cm="1">
        <f t="array" ref="AG284:AH284">_xlfn.TEXTSPLIT(AC285," ")</f>
        <v>26.10.2023</v>
      </c>
      <c r="AH284" t="str">
        <v>04:43:15</v>
      </c>
      <c r="AI284">
        <f t="shared" si="74"/>
        <v>4.683333333333322</v>
      </c>
      <c r="AJ284">
        <f t="shared" si="68"/>
        <v>0.84999999999999964</v>
      </c>
      <c r="AK284">
        <f t="shared" si="69"/>
        <v>1.05</v>
      </c>
      <c r="AL284">
        <f t="shared" si="62"/>
        <v>0.13250000000000001</v>
      </c>
      <c r="AN284" t="s">
        <v>1085</v>
      </c>
      <c r="AO284">
        <v>1.2</v>
      </c>
      <c r="AP284">
        <v>64.930000000000007</v>
      </c>
      <c r="AR284" t="str" cm="1">
        <f t="array" ref="AR284:AS284">_xlfn.TEXTSPLIT(AN284," ")</f>
        <v>26.10.2023</v>
      </c>
      <c r="AS284" t="str">
        <v>04:42:15</v>
      </c>
      <c r="AT284">
        <f t="shared" si="75"/>
        <v>4.683333333333322</v>
      </c>
      <c r="AU284">
        <f t="shared" si="70"/>
        <v>3.6200000000000045</v>
      </c>
      <c r="AV284">
        <f t="shared" si="71"/>
        <v>1.2</v>
      </c>
      <c r="AW284">
        <f t="shared" si="63"/>
        <v>0.71000000000000008</v>
      </c>
    </row>
    <row r="285" spans="1:49" x14ac:dyDescent="0.25">
      <c r="A285" t="s">
        <v>1086</v>
      </c>
      <c r="B285">
        <v>0.9</v>
      </c>
      <c r="C285">
        <v>16.059999999999999</v>
      </c>
      <c r="E285" t="s">
        <v>1086</v>
      </c>
      <c r="F285">
        <v>1.2</v>
      </c>
      <c r="G285">
        <v>81.47</v>
      </c>
      <c r="I285" t="str" cm="1">
        <f t="array" ref="I285:J285">_xlfn.TEXTSPLIT(A285," ")</f>
        <v>27.10.2023</v>
      </c>
      <c r="J285" t="str">
        <v>04:43:10</v>
      </c>
      <c r="K285">
        <f t="shared" si="72"/>
        <v>4.6999999999999886</v>
      </c>
      <c r="L285">
        <f t="shared" si="65"/>
        <v>1.7399999999999984</v>
      </c>
      <c r="M285">
        <f t="shared" si="66"/>
        <v>0.9</v>
      </c>
      <c r="N285">
        <f t="shared" si="60"/>
        <v>0.36499999999999999</v>
      </c>
      <c r="Q285" t="str" cm="1">
        <f t="array" ref="Q285:R285">_xlfn.TEXTSPLIT(E285," ")</f>
        <v>27.10.2023</v>
      </c>
      <c r="R285" t="str">
        <v>04:43:10</v>
      </c>
      <c r="S285">
        <f t="shared" si="73"/>
        <v>4.6999999999999886</v>
      </c>
      <c r="T285">
        <f t="shared" si="64"/>
        <v>2.8700000000000045</v>
      </c>
      <c r="U285">
        <f t="shared" si="67"/>
        <v>1.2</v>
      </c>
      <c r="V285">
        <f t="shared" si="61"/>
        <v>0.58750000000000002</v>
      </c>
      <c r="AC285" t="s">
        <v>1087</v>
      </c>
      <c r="AD285">
        <v>0.15</v>
      </c>
      <c r="AE285">
        <v>5.39</v>
      </c>
      <c r="AG285" t="str" cm="1">
        <f t="array" ref="AG285:AH285">_xlfn.TEXTSPLIT(AC286," ")</f>
        <v>26.10.2023</v>
      </c>
      <c r="AH285" t="str">
        <v>04:44:15</v>
      </c>
      <c r="AI285">
        <f t="shared" si="74"/>
        <v>4.6999999999999886</v>
      </c>
      <c r="AJ285">
        <f t="shared" si="68"/>
        <v>0.85999999999999943</v>
      </c>
      <c r="AK285">
        <f t="shared" si="69"/>
        <v>0.15</v>
      </c>
      <c r="AL285">
        <f t="shared" si="62"/>
        <v>0.12500000000000003</v>
      </c>
      <c r="AN285" t="s">
        <v>1087</v>
      </c>
      <c r="AO285">
        <v>0.6</v>
      </c>
      <c r="AP285">
        <v>64.95</v>
      </c>
      <c r="AR285" t="str" cm="1">
        <f t="array" ref="AR285:AS285">_xlfn.TEXTSPLIT(AN285," ")</f>
        <v>26.10.2023</v>
      </c>
      <c r="AS285" t="str">
        <v>04:43:15</v>
      </c>
      <c r="AT285">
        <f t="shared" si="75"/>
        <v>4.6999999999999886</v>
      </c>
      <c r="AU285">
        <f t="shared" si="70"/>
        <v>3.6400000000000006</v>
      </c>
      <c r="AV285">
        <f t="shared" si="71"/>
        <v>0.6</v>
      </c>
      <c r="AW285">
        <f t="shared" si="63"/>
        <v>0.70499999999999996</v>
      </c>
    </row>
    <row r="286" spans="1:49" x14ac:dyDescent="0.25">
      <c r="A286" t="s">
        <v>1088</v>
      </c>
      <c r="B286">
        <v>0.6</v>
      </c>
      <c r="C286">
        <v>16.07</v>
      </c>
      <c r="E286" t="s">
        <v>1088</v>
      </c>
      <c r="F286">
        <v>0.75</v>
      </c>
      <c r="G286">
        <v>81.489999999999995</v>
      </c>
      <c r="I286" t="str" cm="1">
        <f t="array" ref="I286:J286">_xlfn.TEXTSPLIT(A286," ")</f>
        <v>27.10.2023</v>
      </c>
      <c r="J286" t="str">
        <v>04:44:10</v>
      </c>
      <c r="K286">
        <f t="shared" si="72"/>
        <v>4.7166666666666552</v>
      </c>
      <c r="L286">
        <f t="shared" si="65"/>
        <v>1.75</v>
      </c>
      <c r="M286">
        <f t="shared" si="66"/>
        <v>0.6</v>
      </c>
      <c r="N286">
        <f t="shared" si="60"/>
        <v>0.35499999999999993</v>
      </c>
      <c r="Q286" t="str" cm="1">
        <f t="array" ref="Q286:R286">_xlfn.TEXTSPLIT(E286," ")</f>
        <v>27.10.2023</v>
      </c>
      <c r="R286" t="str">
        <v>04:44:10</v>
      </c>
      <c r="S286">
        <f t="shared" si="73"/>
        <v>4.7166666666666552</v>
      </c>
      <c r="T286">
        <f t="shared" si="64"/>
        <v>2.8900000000000006</v>
      </c>
      <c r="U286">
        <f t="shared" si="67"/>
        <v>0.75</v>
      </c>
      <c r="V286">
        <f t="shared" si="61"/>
        <v>0.58750000000000002</v>
      </c>
      <c r="AC286" t="s">
        <v>1089</v>
      </c>
      <c r="AD286">
        <v>0.15</v>
      </c>
      <c r="AE286">
        <v>5.39</v>
      </c>
      <c r="AG286" t="str" cm="1">
        <f t="array" ref="AG286:AH286">_xlfn.TEXTSPLIT(AC287," ")</f>
        <v>26.10.2023</v>
      </c>
      <c r="AH286" t="str">
        <v>04:45:15</v>
      </c>
      <c r="AI286">
        <f t="shared" si="74"/>
        <v>4.7166666666666552</v>
      </c>
      <c r="AJ286">
        <f t="shared" si="68"/>
        <v>0.85999999999999943</v>
      </c>
      <c r="AK286">
        <f t="shared" si="69"/>
        <v>0.15</v>
      </c>
      <c r="AL286">
        <f t="shared" si="62"/>
        <v>0.12000000000000001</v>
      </c>
      <c r="AN286" t="s">
        <v>1089</v>
      </c>
      <c r="AO286">
        <v>0.75</v>
      </c>
      <c r="AP286">
        <v>64.959999999999994</v>
      </c>
      <c r="AR286" t="str" cm="1">
        <f t="array" ref="AR286:AS286">_xlfn.TEXTSPLIT(AN286," ")</f>
        <v>26.10.2023</v>
      </c>
      <c r="AS286" t="str">
        <v>04:44:15</v>
      </c>
      <c r="AT286">
        <f t="shared" si="75"/>
        <v>4.7166666666666552</v>
      </c>
      <c r="AU286">
        <f t="shared" si="70"/>
        <v>3.6499999999999915</v>
      </c>
      <c r="AV286">
        <f t="shared" si="71"/>
        <v>0.75</v>
      </c>
      <c r="AW286">
        <f t="shared" si="63"/>
        <v>0.70750000000000002</v>
      </c>
    </row>
    <row r="287" spans="1:49" x14ac:dyDescent="0.25">
      <c r="A287" t="s">
        <v>1090</v>
      </c>
      <c r="B287">
        <v>0.6</v>
      </c>
      <c r="C287">
        <v>16.079999999999998</v>
      </c>
      <c r="E287" t="s">
        <v>1090</v>
      </c>
      <c r="F287">
        <v>0.6</v>
      </c>
      <c r="G287">
        <v>81.5</v>
      </c>
      <c r="I287" t="str" cm="1">
        <f t="array" ref="I287:J287">_xlfn.TEXTSPLIT(A287," ")</f>
        <v>27.10.2023</v>
      </c>
      <c r="J287" t="str">
        <v>04:45:10</v>
      </c>
      <c r="K287">
        <f t="shared" si="72"/>
        <v>4.7333333333333218</v>
      </c>
      <c r="L287">
        <f t="shared" si="65"/>
        <v>1.759999999999998</v>
      </c>
      <c r="M287">
        <f t="shared" si="66"/>
        <v>0.6</v>
      </c>
      <c r="N287">
        <f t="shared" si="60"/>
        <v>0.35500000000000004</v>
      </c>
      <c r="Q287" t="str" cm="1">
        <f t="array" ref="Q287:R287">_xlfn.TEXTSPLIT(E287," ")</f>
        <v>27.10.2023</v>
      </c>
      <c r="R287" t="str">
        <v>04:45:10</v>
      </c>
      <c r="S287">
        <f t="shared" si="73"/>
        <v>4.7333333333333218</v>
      </c>
      <c r="T287">
        <f t="shared" si="64"/>
        <v>2.9000000000000057</v>
      </c>
      <c r="U287">
        <f t="shared" si="67"/>
        <v>0.6</v>
      </c>
      <c r="V287">
        <f t="shared" si="61"/>
        <v>0.58500000000000008</v>
      </c>
      <c r="AC287" t="s">
        <v>1091</v>
      </c>
      <c r="AD287">
        <v>0.45</v>
      </c>
      <c r="AE287">
        <v>5.4</v>
      </c>
      <c r="AG287" t="str" cm="1">
        <f t="array" ref="AG287:AH287">_xlfn.TEXTSPLIT(AC288," ")</f>
        <v>26.10.2023</v>
      </c>
      <c r="AH287" t="str">
        <v>04:46:15</v>
      </c>
      <c r="AI287">
        <f t="shared" si="74"/>
        <v>4.7333333333333218</v>
      </c>
      <c r="AJ287">
        <f t="shared" si="68"/>
        <v>0.87000000000000011</v>
      </c>
      <c r="AK287">
        <f t="shared" si="69"/>
        <v>0.45</v>
      </c>
      <c r="AL287">
        <f t="shared" si="62"/>
        <v>0.1275</v>
      </c>
      <c r="AN287" t="s">
        <v>1091</v>
      </c>
      <c r="AO287">
        <v>0.6</v>
      </c>
      <c r="AP287">
        <v>64.959999999999994</v>
      </c>
      <c r="AR287" t="str" cm="1">
        <f t="array" ref="AR287:AS287">_xlfn.TEXTSPLIT(AN287," ")</f>
        <v>26.10.2023</v>
      </c>
      <c r="AS287" t="str">
        <v>04:45:15</v>
      </c>
      <c r="AT287">
        <f t="shared" si="75"/>
        <v>4.7333333333333218</v>
      </c>
      <c r="AU287">
        <f t="shared" si="70"/>
        <v>3.6499999999999915</v>
      </c>
      <c r="AV287">
        <f t="shared" si="71"/>
        <v>0.6</v>
      </c>
      <c r="AW287">
        <f t="shared" si="63"/>
        <v>0.70250000000000012</v>
      </c>
    </row>
    <row r="288" spans="1:49" x14ac:dyDescent="0.25">
      <c r="A288" t="s">
        <v>1092</v>
      </c>
      <c r="B288">
        <v>0.6</v>
      </c>
      <c r="C288">
        <v>16.09</v>
      </c>
      <c r="E288" t="s">
        <v>1092</v>
      </c>
      <c r="F288">
        <v>0.6</v>
      </c>
      <c r="G288">
        <v>81.5</v>
      </c>
      <c r="I288" t="str" cm="1">
        <f t="array" ref="I288:J288">_xlfn.TEXTSPLIT(A288," ")</f>
        <v>27.10.2023</v>
      </c>
      <c r="J288" t="str">
        <v>04:46:10</v>
      </c>
      <c r="K288">
        <f t="shared" si="72"/>
        <v>4.7499999999999885</v>
      </c>
      <c r="L288">
        <f t="shared" si="65"/>
        <v>1.7699999999999996</v>
      </c>
      <c r="M288">
        <f t="shared" si="66"/>
        <v>0.6</v>
      </c>
      <c r="N288">
        <f t="shared" si="60"/>
        <v>0.35500000000000009</v>
      </c>
      <c r="Q288" t="str" cm="1">
        <f t="array" ref="Q288:R288">_xlfn.TEXTSPLIT(E288," ")</f>
        <v>27.10.2023</v>
      </c>
      <c r="R288" t="str">
        <v>04:46:10</v>
      </c>
      <c r="S288">
        <f t="shared" si="73"/>
        <v>4.7499999999999885</v>
      </c>
      <c r="T288">
        <f t="shared" si="64"/>
        <v>2.9000000000000057</v>
      </c>
      <c r="U288">
        <f t="shared" si="67"/>
        <v>0.6</v>
      </c>
      <c r="V288">
        <f t="shared" si="61"/>
        <v>0.58500000000000008</v>
      </c>
      <c r="AC288" t="s">
        <v>1093</v>
      </c>
      <c r="AD288">
        <v>0.15</v>
      </c>
      <c r="AE288">
        <v>5.4</v>
      </c>
      <c r="AG288" t="str" cm="1">
        <f t="array" ref="AG288:AH288">_xlfn.TEXTSPLIT(AC289," ")</f>
        <v>26.10.2023</v>
      </c>
      <c r="AH288" t="str">
        <v>04:47:16</v>
      </c>
      <c r="AI288">
        <f t="shared" si="74"/>
        <v>4.7499999999999885</v>
      </c>
      <c r="AJ288">
        <f t="shared" si="68"/>
        <v>0.87000000000000011</v>
      </c>
      <c r="AK288">
        <f t="shared" si="69"/>
        <v>0.15</v>
      </c>
      <c r="AL288">
        <f t="shared" si="62"/>
        <v>0.1275</v>
      </c>
      <c r="AN288" t="s">
        <v>1093</v>
      </c>
      <c r="AO288">
        <v>0.6</v>
      </c>
      <c r="AP288">
        <v>64.97</v>
      </c>
      <c r="AR288" t="str" cm="1">
        <f t="array" ref="AR288:AS288">_xlfn.TEXTSPLIT(AN288," ")</f>
        <v>26.10.2023</v>
      </c>
      <c r="AS288" t="str">
        <v>04:46:15</v>
      </c>
      <c r="AT288">
        <f t="shared" si="75"/>
        <v>4.7499999999999885</v>
      </c>
      <c r="AU288">
        <f t="shared" si="70"/>
        <v>3.6599999999999966</v>
      </c>
      <c r="AV288">
        <f t="shared" si="71"/>
        <v>0.6</v>
      </c>
      <c r="AW288">
        <f t="shared" si="63"/>
        <v>0.69750000000000012</v>
      </c>
    </row>
    <row r="289" spans="1:49" x14ac:dyDescent="0.25">
      <c r="A289" t="s">
        <v>1094</v>
      </c>
      <c r="B289">
        <v>0.15</v>
      </c>
      <c r="C289">
        <v>16.09</v>
      </c>
      <c r="E289" t="s">
        <v>1094</v>
      </c>
      <c r="F289">
        <v>0.6</v>
      </c>
      <c r="G289">
        <v>81.510000000000005</v>
      </c>
      <c r="I289" t="str" cm="1">
        <f t="array" ref="I289:J289">_xlfn.TEXTSPLIT(A289," ")</f>
        <v>27.10.2023</v>
      </c>
      <c r="J289" t="str">
        <v>04:47:11</v>
      </c>
      <c r="K289">
        <f t="shared" si="72"/>
        <v>4.7666666666666551</v>
      </c>
      <c r="L289">
        <f t="shared" si="65"/>
        <v>1.7699999999999996</v>
      </c>
      <c r="M289">
        <f t="shared" si="66"/>
        <v>0.15</v>
      </c>
      <c r="N289">
        <f t="shared" si="60"/>
        <v>0.34750000000000003</v>
      </c>
      <c r="Q289" t="str" cm="1">
        <f t="array" ref="Q289:R289">_xlfn.TEXTSPLIT(E289," ")</f>
        <v>27.10.2023</v>
      </c>
      <c r="R289" t="str">
        <v>04:47:11</v>
      </c>
      <c r="S289">
        <f t="shared" si="73"/>
        <v>4.7666666666666551</v>
      </c>
      <c r="T289">
        <f t="shared" si="64"/>
        <v>2.9100000000000108</v>
      </c>
      <c r="U289">
        <f t="shared" si="67"/>
        <v>0.6</v>
      </c>
      <c r="V289">
        <f t="shared" si="61"/>
        <v>0.58500000000000008</v>
      </c>
      <c r="AC289" t="s">
        <v>1095</v>
      </c>
      <c r="AD289">
        <v>0</v>
      </c>
      <c r="AE289">
        <v>5.4</v>
      </c>
      <c r="AG289" t="str" cm="1">
        <f t="array" ref="AG289:AH289">_xlfn.TEXTSPLIT(AC290," ")</f>
        <v>26.10.2023</v>
      </c>
      <c r="AH289" t="str">
        <v>04:48:16</v>
      </c>
      <c r="AI289">
        <f t="shared" si="74"/>
        <v>4.7666666666666551</v>
      </c>
      <c r="AJ289">
        <f t="shared" si="68"/>
        <v>0.87000000000000011</v>
      </c>
      <c r="AK289">
        <f t="shared" si="69"/>
        <v>0</v>
      </c>
      <c r="AL289">
        <f t="shared" si="62"/>
        <v>0.125</v>
      </c>
      <c r="AN289" t="s">
        <v>1095</v>
      </c>
      <c r="AO289">
        <v>0.75</v>
      </c>
      <c r="AP289">
        <v>64.989999999999995</v>
      </c>
      <c r="AR289" t="str" cm="1">
        <f t="array" ref="AR289:AS289">_xlfn.TEXTSPLIT(AN289," ")</f>
        <v>26.10.2023</v>
      </c>
      <c r="AS289" t="str">
        <v>04:47:16</v>
      </c>
      <c r="AT289">
        <f t="shared" si="75"/>
        <v>4.7666666666666551</v>
      </c>
      <c r="AU289">
        <f t="shared" si="70"/>
        <v>3.6799999999999926</v>
      </c>
      <c r="AV289">
        <f t="shared" si="71"/>
        <v>0.75</v>
      </c>
      <c r="AW289">
        <f t="shared" si="63"/>
        <v>0.69500000000000006</v>
      </c>
    </row>
    <row r="290" spans="1:49" x14ac:dyDescent="0.25">
      <c r="A290" t="s">
        <v>1096</v>
      </c>
      <c r="B290">
        <v>0.3</v>
      </c>
      <c r="C290">
        <v>16.100000000000001</v>
      </c>
      <c r="E290" t="s">
        <v>1096</v>
      </c>
      <c r="F290">
        <v>0.45</v>
      </c>
      <c r="G290">
        <v>81.52</v>
      </c>
      <c r="I290" t="str" cm="1">
        <f t="array" ref="I290:J290">_xlfn.TEXTSPLIT(A290," ")</f>
        <v>27.10.2023</v>
      </c>
      <c r="J290" t="str">
        <v>04:48:11</v>
      </c>
      <c r="K290">
        <f t="shared" si="72"/>
        <v>4.7833333333333217</v>
      </c>
      <c r="L290">
        <f t="shared" si="65"/>
        <v>1.7800000000000011</v>
      </c>
      <c r="M290">
        <f t="shared" si="66"/>
        <v>0.3</v>
      </c>
      <c r="N290">
        <f t="shared" si="60"/>
        <v>0.35000000000000003</v>
      </c>
      <c r="Q290" t="str" cm="1">
        <f t="array" ref="Q290:R290">_xlfn.TEXTSPLIT(E290," ")</f>
        <v>27.10.2023</v>
      </c>
      <c r="R290" t="str">
        <v>04:48:11</v>
      </c>
      <c r="S290">
        <f t="shared" si="73"/>
        <v>4.7833333333333217</v>
      </c>
      <c r="T290">
        <f t="shared" si="64"/>
        <v>2.9200000000000017</v>
      </c>
      <c r="U290">
        <f t="shared" si="67"/>
        <v>0.45</v>
      </c>
      <c r="V290">
        <f t="shared" si="61"/>
        <v>0.57750000000000001</v>
      </c>
      <c r="AC290" t="s">
        <v>1097</v>
      </c>
      <c r="AD290">
        <v>0</v>
      </c>
      <c r="AE290">
        <v>5.4</v>
      </c>
      <c r="AG290" t="str" cm="1">
        <f t="array" ref="AG290:AH290">_xlfn.TEXTSPLIT(AC291," ")</f>
        <v>26.10.2023</v>
      </c>
      <c r="AH290" t="str">
        <v>04:49:16</v>
      </c>
      <c r="AI290">
        <f t="shared" si="74"/>
        <v>4.7833333333333217</v>
      </c>
      <c r="AJ290">
        <f t="shared" si="68"/>
        <v>0.87000000000000011</v>
      </c>
      <c r="AK290">
        <f t="shared" si="69"/>
        <v>0</v>
      </c>
      <c r="AL290">
        <f t="shared" si="62"/>
        <v>0.12250000000000001</v>
      </c>
      <c r="AN290" t="s">
        <v>1097</v>
      </c>
      <c r="AO290">
        <v>0.6</v>
      </c>
      <c r="AP290">
        <v>65</v>
      </c>
      <c r="AR290" t="str" cm="1">
        <f t="array" ref="AR290:AS290">_xlfn.TEXTSPLIT(AN290," ")</f>
        <v>26.10.2023</v>
      </c>
      <c r="AS290" t="str">
        <v>04:48:16</v>
      </c>
      <c r="AT290">
        <f t="shared" si="75"/>
        <v>4.7833333333333217</v>
      </c>
      <c r="AU290">
        <f t="shared" si="70"/>
        <v>3.6899999999999977</v>
      </c>
      <c r="AV290">
        <f t="shared" si="71"/>
        <v>0.6</v>
      </c>
      <c r="AW290">
        <f t="shared" si="63"/>
        <v>0.68750000000000011</v>
      </c>
    </row>
    <row r="291" spans="1:49" x14ac:dyDescent="0.25">
      <c r="A291" t="s">
        <v>1098</v>
      </c>
      <c r="B291">
        <v>0.3</v>
      </c>
      <c r="C291">
        <v>16.100000000000001</v>
      </c>
      <c r="E291" t="s">
        <v>1098</v>
      </c>
      <c r="F291">
        <v>0.6</v>
      </c>
      <c r="G291">
        <v>81.53</v>
      </c>
      <c r="I291" t="str" cm="1">
        <f t="array" ref="I291:J291">_xlfn.TEXTSPLIT(A291," ")</f>
        <v>27.10.2023</v>
      </c>
      <c r="J291" t="str">
        <v>04:49:11</v>
      </c>
      <c r="K291">
        <f t="shared" si="72"/>
        <v>4.7999999999999883</v>
      </c>
      <c r="L291">
        <f t="shared" si="65"/>
        <v>1.7800000000000011</v>
      </c>
      <c r="M291">
        <f t="shared" si="66"/>
        <v>0.3</v>
      </c>
      <c r="N291">
        <f t="shared" si="60"/>
        <v>0.35250000000000004</v>
      </c>
      <c r="Q291" t="str" cm="1">
        <f t="array" ref="Q291:R291">_xlfn.TEXTSPLIT(E291," ")</f>
        <v>27.10.2023</v>
      </c>
      <c r="R291" t="str">
        <v>04:49:11</v>
      </c>
      <c r="S291">
        <f t="shared" si="73"/>
        <v>4.7999999999999883</v>
      </c>
      <c r="T291">
        <f t="shared" si="64"/>
        <v>2.9300000000000068</v>
      </c>
      <c r="U291">
        <f t="shared" si="67"/>
        <v>0.6</v>
      </c>
      <c r="V291">
        <f t="shared" si="61"/>
        <v>0.57250000000000001</v>
      </c>
      <c r="AC291" t="s">
        <v>1099</v>
      </c>
      <c r="AD291">
        <v>0.15</v>
      </c>
      <c r="AE291">
        <v>5.4</v>
      </c>
      <c r="AG291" t="str" cm="1">
        <f t="array" ref="AG291:AH291">_xlfn.TEXTSPLIT(AC292," ")</f>
        <v>26.10.2023</v>
      </c>
      <c r="AH291" t="str">
        <v>04:50:16</v>
      </c>
      <c r="AI291">
        <f t="shared" si="74"/>
        <v>4.7999999999999883</v>
      </c>
      <c r="AJ291">
        <f t="shared" si="68"/>
        <v>0.87000000000000011</v>
      </c>
      <c r="AK291">
        <f t="shared" si="69"/>
        <v>0.15</v>
      </c>
      <c r="AL291">
        <f t="shared" si="62"/>
        <v>0.12250000000000003</v>
      </c>
      <c r="AN291" t="s">
        <v>1099</v>
      </c>
      <c r="AO291">
        <v>0.6</v>
      </c>
      <c r="AP291">
        <v>65.010000000000005</v>
      </c>
      <c r="AR291" t="str" cm="1">
        <f t="array" ref="AR291:AS291">_xlfn.TEXTSPLIT(AN291," ")</f>
        <v>26.10.2023</v>
      </c>
      <c r="AS291" t="str">
        <v>04:49:16</v>
      </c>
      <c r="AT291">
        <f t="shared" si="75"/>
        <v>4.7999999999999883</v>
      </c>
      <c r="AU291">
        <f t="shared" si="70"/>
        <v>3.7000000000000028</v>
      </c>
      <c r="AV291">
        <f t="shared" si="71"/>
        <v>0.6</v>
      </c>
      <c r="AW291">
        <f t="shared" si="63"/>
        <v>0.68500000000000005</v>
      </c>
    </row>
    <row r="292" spans="1:49" x14ac:dyDescent="0.25">
      <c r="A292" t="s">
        <v>1100</v>
      </c>
      <c r="B292">
        <v>0.3</v>
      </c>
      <c r="C292">
        <v>16.11</v>
      </c>
      <c r="E292" t="s">
        <v>1100</v>
      </c>
      <c r="F292">
        <v>0.45</v>
      </c>
      <c r="G292">
        <v>81.540000000000006</v>
      </c>
      <c r="I292" t="str" cm="1">
        <f t="array" ref="I292:J292">_xlfn.TEXTSPLIT(A292," ")</f>
        <v>27.10.2023</v>
      </c>
      <c r="J292" t="str">
        <v>04:50:11</v>
      </c>
      <c r="K292">
        <f t="shared" si="72"/>
        <v>4.8166666666666549</v>
      </c>
      <c r="L292">
        <f t="shared" si="65"/>
        <v>1.7899999999999991</v>
      </c>
      <c r="M292">
        <f t="shared" si="66"/>
        <v>0.3</v>
      </c>
      <c r="N292">
        <f t="shared" si="60"/>
        <v>0.35250000000000004</v>
      </c>
      <c r="Q292" t="str" cm="1">
        <f t="array" ref="Q292:R292">_xlfn.TEXTSPLIT(E292," ")</f>
        <v>27.10.2023</v>
      </c>
      <c r="R292" t="str">
        <v>04:50:11</v>
      </c>
      <c r="S292">
        <f t="shared" si="73"/>
        <v>4.8166666666666549</v>
      </c>
      <c r="T292">
        <f t="shared" si="64"/>
        <v>2.9400000000000119</v>
      </c>
      <c r="U292">
        <f t="shared" si="67"/>
        <v>0.45</v>
      </c>
      <c r="V292">
        <f t="shared" si="61"/>
        <v>0.56500000000000006</v>
      </c>
      <c r="AC292" t="s">
        <v>1101</v>
      </c>
      <c r="AD292">
        <v>0</v>
      </c>
      <c r="AE292">
        <v>5.4</v>
      </c>
      <c r="AG292" t="str" cm="1">
        <f t="array" ref="AG292:AH292">_xlfn.TEXTSPLIT(AC293," ")</f>
        <v>26.10.2023</v>
      </c>
      <c r="AH292" t="str">
        <v>04:51:16</v>
      </c>
      <c r="AI292">
        <f t="shared" si="74"/>
        <v>4.8166666666666549</v>
      </c>
      <c r="AJ292">
        <f t="shared" si="68"/>
        <v>0.87000000000000011</v>
      </c>
      <c r="AK292">
        <f t="shared" si="69"/>
        <v>0</v>
      </c>
      <c r="AL292">
        <f t="shared" si="62"/>
        <v>0.12250000000000003</v>
      </c>
      <c r="AN292" t="s">
        <v>1101</v>
      </c>
      <c r="AO292">
        <v>0.9</v>
      </c>
      <c r="AP292">
        <v>65.03</v>
      </c>
      <c r="AR292" t="str" cm="1">
        <f t="array" ref="AR292:AS292">_xlfn.TEXTSPLIT(AN292," ")</f>
        <v>26.10.2023</v>
      </c>
      <c r="AS292" t="str">
        <v>04:50:16</v>
      </c>
      <c r="AT292">
        <f t="shared" si="75"/>
        <v>4.8166666666666549</v>
      </c>
      <c r="AU292">
        <f t="shared" si="70"/>
        <v>3.7199999999999989</v>
      </c>
      <c r="AV292">
        <f t="shared" si="71"/>
        <v>0.9</v>
      </c>
      <c r="AW292">
        <f t="shared" si="63"/>
        <v>0.69000000000000006</v>
      </c>
    </row>
    <row r="293" spans="1:49" x14ac:dyDescent="0.25">
      <c r="A293" t="s">
        <v>1102</v>
      </c>
      <c r="B293">
        <v>0.15</v>
      </c>
      <c r="C293">
        <v>16.11</v>
      </c>
      <c r="E293" t="s">
        <v>1102</v>
      </c>
      <c r="F293">
        <v>0.6</v>
      </c>
      <c r="G293">
        <v>81.55</v>
      </c>
      <c r="I293" t="str" cm="1">
        <f t="array" ref="I293:J293">_xlfn.TEXTSPLIT(A293," ")</f>
        <v>27.10.2023</v>
      </c>
      <c r="J293" t="str">
        <v>04:51:11</v>
      </c>
      <c r="K293">
        <f t="shared" si="72"/>
        <v>4.8333333333333215</v>
      </c>
      <c r="L293">
        <f t="shared" si="65"/>
        <v>1.7899999999999991</v>
      </c>
      <c r="M293">
        <f t="shared" si="66"/>
        <v>0.15</v>
      </c>
      <c r="N293">
        <f t="shared" si="60"/>
        <v>0.35000000000000003</v>
      </c>
      <c r="Q293" t="str" cm="1">
        <f t="array" ref="Q293:R293">_xlfn.TEXTSPLIT(E293," ")</f>
        <v>27.10.2023</v>
      </c>
      <c r="R293" t="str">
        <v>04:51:11</v>
      </c>
      <c r="S293">
        <f t="shared" si="73"/>
        <v>4.8333333333333215</v>
      </c>
      <c r="T293">
        <f t="shared" si="64"/>
        <v>2.9500000000000028</v>
      </c>
      <c r="U293">
        <f t="shared" si="67"/>
        <v>0.6</v>
      </c>
      <c r="V293">
        <f t="shared" si="61"/>
        <v>0.56250000000000011</v>
      </c>
      <c r="AC293" t="s">
        <v>1103</v>
      </c>
      <c r="AD293">
        <v>0</v>
      </c>
      <c r="AE293">
        <v>5.4</v>
      </c>
      <c r="AG293" t="str" cm="1">
        <f t="array" ref="AG293:AH293">_xlfn.TEXTSPLIT(AC294," ")</f>
        <v>26.10.2023</v>
      </c>
      <c r="AH293" t="str">
        <v>04:52:16</v>
      </c>
      <c r="AI293">
        <f t="shared" si="74"/>
        <v>4.8333333333333215</v>
      </c>
      <c r="AJ293">
        <f t="shared" si="68"/>
        <v>0.87000000000000011</v>
      </c>
      <c r="AK293">
        <f t="shared" si="69"/>
        <v>0</v>
      </c>
      <c r="AL293">
        <f t="shared" si="62"/>
        <v>0.12000000000000002</v>
      </c>
      <c r="AN293" t="s">
        <v>1103</v>
      </c>
      <c r="AO293">
        <v>1.2</v>
      </c>
      <c r="AP293">
        <v>65.05</v>
      </c>
      <c r="AR293" t="str" cm="1">
        <f t="array" ref="AR293:AS293">_xlfn.TEXTSPLIT(AN293," ")</f>
        <v>26.10.2023</v>
      </c>
      <c r="AS293" t="str">
        <v>04:51:16</v>
      </c>
      <c r="AT293">
        <f t="shared" si="75"/>
        <v>4.8333333333333215</v>
      </c>
      <c r="AU293">
        <f t="shared" si="70"/>
        <v>3.7399999999999949</v>
      </c>
      <c r="AV293">
        <f t="shared" si="71"/>
        <v>1.2</v>
      </c>
      <c r="AW293">
        <f t="shared" si="63"/>
        <v>0.70000000000000007</v>
      </c>
    </row>
    <row r="294" spans="1:49" x14ac:dyDescent="0.25">
      <c r="A294" t="s">
        <v>1104</v>
      </c>
      <c r="B294">
        <v>0.15</v>
      </c>
      <c r="C294">
        <v>16.11</v>
      </c>
      <c r="E294" t="s">
        <v>1104</v>
      </c>
      <c r="F294">
        <v>0.15</v>
      </c>
      <c r="G294">
        <v>81.56</v>
      </c>
      <c r="I294" t="str" cm="1">
        <f t="array" ref="I294:J294">_xlfn.TEXTSPLIT(A294," ")</f>
        <v>27.10.2023</v>
      </c>
      <c r="J294" t="str">
        <v>04:52:11</v>
      </c>
      <c r="K294">
        <f t="shared" si="72"/>
        <v>4.8499999999999881</v>
      </c>
      <c r="L294">
        <f t="shared" si="65"/>
        <v>1.7899999999999991</v>
      </c>
      <c r="M294">
        <f t="shared" si="66"/>
        <v>0.15</v>
      </c>
      <c r="N294">
        <f t="shared" si="60"/>
        <v>0.34750000000000003</v>
      </c>
      <c r="Q294" t="str" cm="1">
        <f t="array" ref="Q294:R294">_xlfn.TEXTSPLIT(E294," ")</f>
        <v>27.10.2023</v>
      </c>
      <c r="R294" t="str">
        <v>04:52:11</v>
      </c>
      <c r="S294">
        <f t="shared" si="73"/>
        <v>4.8499999999999881</v>
      </c>
      <c r="T294">
        <f t="shared" si="64"/>
        <v>2.960000000000008</v>
      </c>
      <c r="U294">
        <f t="shared" si="67"/>
        <v>0.15</v>
      </c>
      <c r="V294">
        <f t="shared" si="61"/>
        <v>0.5625</v>
      </c>
      <c r="AC294" t="s">
        <v>1105</v>
      </c>
      <c r="AD294">
        <v>0</v>
      </c>
      <c r="AE294">
        <v>5.4</v>
      </c>
      <c r="AG294" t="str" cm="1">
        <f t="array" ref="AG294:AH294">_xlfn.TEXTSPLIT(AC295," ")</f>
        <v>26.10.2023</v>
      </c>
      <c r="AH294" t="str">
        <v>04:53:16</v>
      </c>
      <c r="AI294">
        <f t="shared" si="74"/>
        <v>4.8499999999999881</v>
      </c>
      <c r="AJ294">
        <f t="shared" si="68"/>
        <v>0.87000000000000011</v>
      </c>
      <c r="AK294">
        <f t="shared" si="69"/>
        <v>0</v>
      </c>
      <c r="AL294">
        <f t="shared" si="62"/>
        <v>0.12000000000000002</v>
      </c>
      <c r="AN294" t="s">
        <v>1105</v>
      </c>
      <c r="AO294">
        <v>0.45</v>
      </c>
      <c r="AP294">
        <v>65.05</v>
      </c>
      <c r="AR294" t="str" cm="1">
        <f t="array" ref="AR294:AS294">_xlfn.TEXTSPLIT(AN294," ")</f>
        <v>26.10.2023</v>
      </c>
      <c r="AS294" t="str">
        <v>04:52:16</v>
      </c>
      <c r="AT294">
        <f t="shared" si="75"/>
        <v>4.8499999999999881</v>
      </c>
      <c r="AU294">
        <f t="shared" si="70"/>
        <v>3.7399999999999949</v>
      </c>
      <c r="AV294">
        <f t="shared" si="71"/>
        <v>0.45</v>
      </c>
      <c r="AW294">
        <f t="shared" si="63"/>
        <v>0.70250000000000012</v>
      </c>
    </row>
    <row r="295" spans="1:49" x14ac:dyDescent="0.25">
      <c r="A295" t="s">
        <v>1106</v>
      </c>
      <c r="B295">
        <v>0</v>
      </c>
      <c r="C295">
        <v>16.11</v>
      </c>
      <c r="E295" t="s">
        <v>1106</v>
      </c>
      <c r="F295">
        <v>0.15</v>
      </c>
      <c r="G295">
        <v>81.56</v>
      </c>
      <c r="I295" t="str" cm="1">
        <f t="array" ref="I295:J295">_xlfn.TEXTSPLIT(A295," ")</f>
        <v>27.10.2023</v>
      </c>
      <c r="J295" t="str">
        <v>04:53:11</v>
      </c>
      <c r="K295">
        <f t="shared" si="72"/>
        <v>4.8666666666666547</v>
      </c>
      <c r="L295">
        <f t="shared" si="65"/>
        <v>1.7899999999999991</v>
      </c>
      <c r="M295">
        <f t="shared" si="66"/>
        <v>0</v>
      </c>
      <c r="N295">
        <f t="shared" si="60"/>
        <v>0.34500000000000003</v>
      </c>
      <c r="Q295" t="str" cm="1">
        <f t="array" ref="Q295:R295">_xlfn.TEXTSPLIT(E295," ")</f>
        <v>27.10.2023</v>
      </c>
      <c r="R295" t="str">
        <v>04:53:11</v>
      </c>
      <c r="S295">
        <f t="shared" si="73"/>
        <v>4.8666666666666547</v>
      </c>
      <c r="T295">
        <f t="shared" si="64"/>
        <v>2.960000000000008</v>
      </c>
      <c r="U295">
        <f t="shared" si="67"/>
        <v>0.15</v>
      </c>
      <c r="V295">
        <f t="shared" si="61"/>
        <v>0.56499999999999995</v>
      </c>
      <c r="AC295" t="s">
        <v>1107</v>
      </c>
      <c r="AD295">
        <v>0</v>
      </c>
      <c r="AE295">
        <v>5.4</v>
      </c>
      <c r="AG295" t="str" cm="1">
        <f t="array" ref="AG295:AH295">_xlfn.TEXTSPLIT(AC296," ")</f>
        <v>26.10.2023</v>
      </c>
      <c r="AH295" t="str">
        <v>04:54:16</v>
      </c>
      <c r="AI295">
        <f t="shared" si="74"/>
        <v>4.8666666666666547</v>
      </c>
      <c r="AJ295">
        <f t="shared" si="68"/>
        <v>0.87000000000000011</v>
      </c>
      <c r="AK295">
        <f t="shared" si="69"/>
        <v>0</v>
      </c>
      <c r="AL295">
        <f t="shared" si="62"/>
        <v>0.12000000000000002</v>
      </c>
      <c r="AN295" t="s">
        <v>1107</v>
      </c>
      <c r="AO295">
        <v>0</v>
      </c>
      <c r="AP295">
        <v>65.05</v>
      </c>
      <c r="AR295" t="str" cm="1">
        <f t="array" ref="AR295:AS295">_xlfn.TEXTSPLIT(AN295," ")</f>
        <v>26.10.2023</v>
      </c>
      <c r="AS295" t="str">
        <v>04:53:16</v>
      </c>
      <c r="AT295">
        <f t="shared" si="75"/>
        <v>4.8666666666666547</v>
      </c>
      <c r="AU295">
        <f t="shared" si="70"/>
        <v>3.7399999999999949</v>
      </c>
      <c r="AV295">
        <f t="shared" si="71"/>
        <v>0</v>
      </c>
      <c r="AW295">
        <f t="shared" si="63"/>
        <v>0.70250000000000012</v>
      </c>
    </row>
    <row r="296" spans="1:49" x14ac:dyDescent="0.25">
      <c r="A296" t="s">
        <v>1108</v>
      </c>
      <c r="B296">
        <v>0</v>
      </c>
      <c r="C296">
        <v>16.11</v>
      </c>
      <c r="E296" t="s">
        <v>1108</v>
      </c>
      <c r="F296">
        <v>0</v>
      </c>
      <c r="G296">
        <v>81.56</v>
      </c>
      <c r="I296" t="str" cm="1">
        <f t="array" ref="I296:J296">_xlfn.TEXTSPLIT(A296," ")</f>
        <v>27.10.2023</v>
      </c>
      <c r="J296" t="str">
        <v>04:54:12</v>
      </c>
      <c r="K296">
        <f t="shared" si="72"/>
        <v>4.8833333333333213</v>
      </c>
      <c r="L296">
        <f t="shared" si="65"/>
        <v>1.7899999999999991</v>
      </c>
      <c r="M296">
        <f t="shared" si="66"/>
        <v>0</v>
      </c>
      <c r="N296">
        <f t="shared" si="60"/>
        <v>0.34500000000000003</v>
      </c>
      <c r="Q296" t="str" cm="1">
        <f t="array" ref="Q296:R296">_xlfn.TEXTSPLIT(E296," ")</f>
        <v>27.10.2023</v>
      </c>
      <c r="R296" t="str">
        <v>04:54:12</v>
      </c>
      <c r="S296">
        <f t="shared" si="73"/>
        <v>4.8833333333333213</v>
      </c>
      <c r="T296">
        <f t="shared" si="64"/>
        <v>2.960000000000008</v>
      </c>
      <c r="U296">
        <f t="shared" si="67"/>
        <v>0</v>
      </c>
      <c r="V296">
        <f t="shared" si="61"/>
        <v>0.5625</v>
      </c>
      <c r="AC296" t="s">
        <v>1109</v>
      </c>
      <c r="AD296">
        <v>0</v>
      </c>
      <c r="AE296">
        <v>5.4</v>
      </c>
      <c r="AG296" t="str" cm="1">
        <f t="array" ref="AG296:AH296">_xlfn.TEXTSPLIT(AC297," ")</f>
        <v>26.10.2023</v>
      </c>
      <c r="AH296" t="str">
        <v>04:55:16</v>
      </c>
      <c r="AI296">
        <f t="shared" si="74"/>
        <v>4.8833333333333213</v>
      </c>
      <c r="AJ296">
        <f t="shared" si="68"/>
        <v>0.87000000000000011</v>
      </c>
      <c r="AK296">
        <f t="shared" si="69"/>
        <v>0</v>
      </c>
      <c r="AL296">
        <f t="shared" si="62"/>
        <v>0.12000000000000002</v>
      </c>
      <c r="AN296" t="s">
        <v>1109</v>
      </c>
      <c r="AO296">
        <v>0</v>
      </c>
      <c r="AP296">
        <v>65.05</v>
      </c>
      <c r="AR296" t="str" cm="1">
        <f t="array" ref="AR296:AS296">_xlfn.TEXTSPLIT(AN296," ")</f>
        <v>26.10.2023</v>
      </c>
      <c r="AS296" t="str">
        <v>04:54:16</v>
      </c>
      <c r="AT296">
        <f t="shared" si="75"/>
        <v>4.8833333333333213</v>
      </c>
      <c r="AU296">
        <f t="shared" si="70"/>
        <v>3.7399999999999949</v>
      </c>
      <c r="AV296">
        <f t="shared" si="71"/>
        <v>0</v>
      </c>
      <c r="AW296">
        <f t="shared" si="63"/>
        <v>0.70250000000000012</v>
      </c>
    </row>
    <row r="297" spans="1:49" x14ac:dyDescent="0.25">
      <c r="A297" t="s">
        <v>1110</v>
      </c>
      <c r="B297">
        <v>0</v>
      </c>
      <c r="C297">
        <v>16.11</v>
      </c>
      <c r="E297" t="s">
        <v>1110</v>
      </c>
      <c r="F297">
        <v>0.15</v>
      </c>
      <c r="G297">
        <v>81.56</v>
      </c>
      <c r="I297" t="str" cm="1">
        <f t="array" ref="I297:J297">_xlfn.TEXTSPLIT(A297," ")</f>
        <v>27.10.2023</v>
      </c>
      <c r="J297" t="str">
        <v>04:55:12</v>
      </c>
      <c r="K297">
        <f t="shared" si="72"/>
        <v>4.8999999999999879</v>
      </c>
      <c r="L297">
        <f t="shared" si="65"/>
        <v>1.7899999999999991</v>
      </c>
      <c r="M297">
        <f t="shared" si="66"/>
        <v>0</v>
      </c>
      <c r="N297">
        <f t="shared" si="60"/>
        <v>0.34500000000000003</v>
      </c>
      <c r="Q297" t="str" cm="1">
        <f t="array" ref="Q297:R297">_xlfn.TEXTSPLIT(E297," ")</f>
        <v>27.10.2023</v>
      </c>
      <c r="R297" t="str">
        <v>04:55:12</v>
      </c>
      <c r="S297">
        <f t="shared" si="73"/>
        <v>4.8999999999999879</v>
      </c>
      <c r="T297">
        <f t="shared" si="64"/>
        <v>2.960000000000008</v>
      </c>
      <c r="U297">
        <f t="shared" si="67"/>
        <v>0.15</v>
      </c>
      <c r="V297">
        <f t="shared" si="61"/>
        <v>0.56499999999999995</v>
      </c>
      <c r="AC297" t="s">
        <v>1111</v>
      </c>
      <c r="AD297">
        <v>0</v>
      </c>
      <c r="AE297">
        <v>5.4</v>
      </c>
      <c r="AG297" t="str" cm="1">
        <f t="array" ref="AG297:AH297">_xlfn.TEXTSPLIT(AC298," ")</f>
        <v>26.10.2023</v>
      </c>
      <c r="AH297" t="str">
        <v>04:56:16</v>
      </c>
      <c r="AI297">
        <f t="shared" si="74"/>
        <v>4.8999999999999879</v>
      </c>
      <c r="AJ297">
        <f t="shared" si="68"/>
        <v>0.87000000000000011</v>
      </c>
      <c r="AK297">
        <f t="shared" si="69"/>
        <v>0</v>
      </c>
      <c r="AL297">
        <f t="shared" si="62"/>
        <v>0.12000000000000002</v>
      </c>
      <c r="AN297" t="s">
        <v>1111</v>
      </c>
      <c r="AO297">
        <v>0</v>
      </c>
      <c r="AP297">
        <v>65.05</v>
      </c>
      <c r="AR297" t="str" cm="1">
        <f t="array" ref="AR297:AS297">_xlfn.TEXTSPLIT(AN297," ")</f>
        <v>26.10.2023</v>
      </c>
      <c r="AS297" t="str">
        <v>04:55:16</v>
      </c>
      <c r="AT297">
        <f t="shared" si="75"/>
        <v>4.8999999999999879</v>
      </c>
      <c r="AU297">
        <f t="shared" si="70"/>
        <v>3.7399999999999949</v>
      </c>
      <c r="AV297">
        <f t="shared" si="71"/>
        <v>0</v>
      </c>
      <c r="AW297">
        <f t="shared" si="63"/>
        <v>0.70250000000000012</v>
      </c>
    </row>
    <row r="298" spans="1:49" x14ac:dyDescent="0.25">
      <c r="A298" t="s">
        <v>1112</v>
      </c>
      <c r="B298">
        <v>0</v>
      </c>
      <c r="C298">
        <v>16.11</v>
      </c>
      <c r="E298" t="s">
        <v>1112</v>
      </c>
      <c r="F298">
        <v>0</v>
      </c>
      <c r="G298">
        <v>81.56</v>
      </c>
      <c r="I298" t="str" cm="1">
        <f t="array" ref="I298:J298">_xlfn.TEXTSPLIT(A298," ")</f>
        <v>27.10.2023</v>
      </c>
      <c r="J298" t="str">
        <v>04:56:12</v>
      </c>
      <c r="K298">
        <f t="shared" si="72"/>
        <v>4.9166666666666545</v>
      </c>
      <c r="L298">
        <f t="shared" si="65"/>
        <v>1.7899999999999991</v>
      </c>
      <c r="M298">
        <f t="shared" si="66"/>
        <v>0</v>
      </c>
      <c r="N298">
        <f t="shared" si="60"/>
        <v>0.34500000000000003</v>
      </c>
      <c r="Q298" t="str" cm="1">
        <f t="array" ref="Q298:R298">_xlfn.TEXTSPLIT(E298," ")</f>
        <v>27.10.2023</v>
      </c>
      <c r="R298" t="str">
        <v>04:56:12</v>
      </c>
      <c r="S298">
        <f t="shared" si="73"/>
        <v>4.9166666666666545</v>
      </c>
      <c r="T298">
        <f t="shared" si="64"/>
        <v>2.960000000000008</v>
      </c>
      <c r="U298">
        <f t="shared" si="67"/>
        <v>0</v>
      </c>
      <c r="V298">
        <f t="shared" si="61"/>
        <v>0.5625</v>
      </c>
      <c r="AC298" t="s">
        <v>1113</v>
      </c>
      <c r="AD298">
        <v>0</v>
      </c>
      <c r="AE298">
        <v>5.4</v>
      </c>
      <c r="AG298" t="str" cm="1">
        <f t="array" ref="AG298:AH298">_xlfn.TEXTSPLIT(AC299," ")</f>
        <v>26.10.2023</v>
      </c>
      <c r="AH298" t="str">
        <v>04:57:17</v>
      </c>
      <c r="AI298">
        <f t="shared" si="74"/>
        <v>4.9166666666666545</v>
      </c>
      <c r="AJ298">
        <f t="shared" si="68"/>
        <v>0.87000000000000011</v>
      </c>
      <c r="AK298">
        <f t="shared" si="69"/>
        <v>0</v>
      </c>
      <c r="AL298">
        <f t="shared" si="62"/>
        <v>0.12000000000000002</v>
      </c>
      <c r="AN298" t="s">
        <v>1113</v>
      </c>
      <c r="AO298">
        <v>0</v>
      </c>
      <c r="AP298">
        <v>65.05</v>
      </c>
      <c r="AR298" t="str" cm="1">
        <f t="array" ref="AR298:AS298">_xlfn.TEXTSPLIT(AN298," ")</f>
        <v>26.10.2023</v>
      </c>
      <c r="AS298" t="str">
        <v>04:56:16</v>
      </c>
      <c r="AT298">
        <f t="shared" si="75"/>
        <v>4.9166666666666545</v>
      </c>
      <c r="AU298">
        <f t="shared" si="70"/>
        <v>3.7399999999999949</v>
      </c>
      <c r="AV298">
        <f t="shared" si="71"/>
        <v>0</v>
      </c>
      <c r="AW298">
        <f t="shared" si="63"/>
        <v>0.70000000000000007</v>
      </c>
    </row>
    <row r="299" spans="1:49" x14ac:dyDescent="0.25">
      <c r="A299" t="s">
        <v>1114</v>
      </c>
      <c r="B299">
        <v>0</v>
      </c>
      <c r="C299">
        <v>16.11</v>
      </c>
      <c r="E299" t="s">
        <v>1114</v>
      </c>
      <c r="F299">
        <v>0.15</v>
      </c>
      <c r="G299">
        <v>81.56</v>
      </c>
      <c r="I299" t="str" cm="1">
        <f t="array" ref="I299:J299">_xlfn.TEXTSPLIT(A299," ")</f>
        <v>27.10.2023</v>
      </c>
      <c r="J299" t="str">
        <v>04:57:12</v>
      </c>
      <c r="K299">
        <f t="shared" si="72"/>
        <v>4.9333333333333211</v>
      </c>
      <c r="L299">
        <f t="shared" si="65"/>
        <v>1.7899999999999991</v>
      </c>
      <c r="M299">
        <f t="shared" si="66"/>
        <v>0</v>
      </c>
      <c r="N299">
        <f t="shared" si="60"/>
        <v>0.34500000000000003</v>
      </c>
      <c r="Q299" t="str" cm="1">
        <f t="array" ref="Q299:R299">_xlfn.TEXTSPLIT(E299," ")</f>
        <v>27.10.2023</v>
      </c>
      <c r="R299" t="str">
        <v>04:57:12</v>
      </c>
      <c r="S299">
        <f t="shared" si="73"/>
        <v>4.9333333333333211</v>
      </c>
      <c r="T299">
        <f t="shared" si="64"/>
        <v>2.960000000000008</v>
      </c>
      <c r="U299">
        <f t="shared" si="67"/>
        <v>0.15</v>
      </c>
      <c r="V299">
        <f t="shared" si="61"/>
        <v>0.56499999999999995</v>
      </c>
      <c r="AC299" t="s">
        <v>1115</v>
      </c>
      <c r="AD299">
        <v>0</v>
      </c>
      <c r="AE299">
        <v>5.4</v>
      </c>
      <c r="AG299" t="str" cm="1">
        <f t="array" ref="AG299:AH299">_xlfn.TEXTSPLIT(AC300," ")</f>
        <v>26.10.2023</v>
      </c>
      <c r="AH299" t="str">
        <v>04:58:17</v>
      </c>
      <c r="AI299">
        <f t="shared" si="74"/>
        <v>4.9333333333333211</v>
      </c>
      <c r="AJ299">
        <f t="shared" si="68"/>
        <v>0.87000000000000011</v>
      </c>
      <c r="AK299">
        <f t="shared" si="69"/>
        <v>0</v>
      </c>
      <c r="AL299">
        <f t="shared" si="62"/>
        <v>0.12000000000000002</v>
      </c>
      <c r="AN299" t="s">
        <v>1115</v>
      </c>
      <c r="AO299">
        <v>0</v>
      </c>
      <c r="AP299">
        <v>65.06</v>
      </c>
      <c r="AR299" t="str" cm="1">
        <f t="array" ref="AR299:AS299">_xlfn.TEXTSPLIT(AN299," ")</f>
        <v>26.10.2023</v>
      </c>
      <c r="AS299" t="str">
        <v>04:57:17</v>
      </c>
      <c r="AT299">
        <f t="shared" si="75"/>
        <v>4.9333333333333211</v>
      </c>
      <c r="AU299">
        <f t="shared" si="70"/>
        <v>3.75</v>
      </c>
      <c r="AV299">
        <f t="shared" si="71"/>
        <v>0</v>
      </c>
      <c r="AW299">
        <f t="shared" si="63"/>
        <v>0.69750000000000012</v>
      </c>
    </row>
    <row r="300" spans="1:49" x14ac:dyDescent="0.25">
      <c r="A300" t="s">
        <v>1116</v>
      </c>
      <c r="B300">
        <v>0</v>
      </c>
      <c r="C300">
        <v>16.11</v>
      </c>
      <c r="E300" t="s">
        <v>1116</v>
      </c>
      <c r="F300">
        <v>0</v>
      </c>
      <c r="G300">
        <v>81.56</v>
      </c>
      <c r="I300" t="str" cm="1">
        <f t="array" ref="I300:J300">_xlfn.TEXTSPLIT(A300," ")</f>
        <v>27.10.2023</v>
      </c>
      <c r="J300" t="str">
        <v>04:58:12</v>
      </c>
      <c r="K300">
        <f t="shared" si="72"/>
        <v>4.9499999999999877</v>
      </c>
      <c r="L300">
        <f t="shared" si="65"/>
        <v>1.7899999999999991</v>
      </c>
      <c r="M300">
        <f t="shared" si="66"/>
        <v>0</v>
      </c>
      <c r="N300">
        <f t="shared" si="60"/>
        <v>0.34500000000000003</v>
      </c>
      <c r="Q300" t="str" cm="1">
        <f t="array" ref="Q300:R300">_xlfn.TEXTSPLIT(E300," ")</f>
        <v>27.10.2023</v>
      </c>
      <c r="R300" t="str">
        <v>04:58:12</v>
      </c>
      <c r="S300">
        <f t="shared" si="73"/>
        <v>4.9499999999999877</v>
      </c>
      <c r="T300">
        <f t="shared" si="64"/>
        <v>2.960000000000008</v>
      </c>
      <c r="U300">
        <f t="shared" si="67"/>
        <v>0</v>
      </c>
      <c r="V300">
        <f t="shared" si="61"/>
        <v>0.5625</v>
      </c>
      <c r="AC300" t="s">
        <v>1117</v>
      </c>
      <c r="AD300">
        <v>0</v>
      </c>
      <c r="AE300">
        <v>5.4</v>
      </c>
      <c r="AG300" t="str" cm="1">
        <f t="array" ref="AG300:AH300">_xlfn.TEXTSPLIT(AC301," ")</f>
        <v>26.10.2023</v>
      </c>
      <c r="AH300" t="str">
        <v>04:59:17</v>
      </c>
      <c r="AI300">
        <f t="shared" si="74"/>
        <v>4.9499999999999877</v>
      </c>
      <c r="AJ300">
        <f t="shared" si="68"/>
        <v>0.87000000000000011</v>
      </c>
      <c r="AK300">
        <f t="shared" si="69"/>
        <v>0</v>
      </c>
      <c r="AL300">
        <f t="shared" si="62"/>
        <v>0.12000000000000002</v>
      </c>
      <c r="AN300" t="s">
        <v>1117</v>
      </c>
      <c r="AO300">
        <v>0.15</v>
      </c>
      <c r="AP300">
        <v>65.06</v>
      </c>
      <c r="AR300" t="str" cm="1">
        <f t="array" ref="AR300:AS300">_xlfn.TEXTSPLIT(AN300," ")</f>
        <v>26.10.2023</v>
      </c>
      <c r="AS300" t="str">
        <v>04:58:17</v>
      </c>
      <c r="AT300">
        <f t="shared" si="75"/>
        <v>4.9499999999999877</v>
      </c>
      <c r="AU300">
        <f t="shared" si="70"/>
        <v>3.75</v>
      </c>
      <c r="AV300">
        <f t="shared" si="71"/>
        <v>0.15</v>
      </c>
      <c r="AW300">
        <f t="shared" si="63"/>
        <v>0.69750000000000001</v>
      </c>
    </row>
    <row r="301" spans="1:49" x14ac:dyDescent="0.25">
      <c r="A301" t="s">
        <v>1118</v>
      </c>
      <c r="B301">
        <v>0</v>
      </c>
      <c r="C301">
        <v>16.11</v>
      </c>
      <c r="E301" t="s">
        <v>1118</v>
      </c>
      <c r="F301">
        <v>0.15</v>
      </c>
      <c r="G301">
        <v>81.56</v>
      </c>
      <c r="I301" t="str" cm="1">
        <f t="array" ref="I301:J301">_xlfn.TEXTSPLIT(A301," ")</f>
        <v>27.10.2023</v>
      </c>
      <c r="J301" t="str">
        <v>04:59:12</v>
      </c>
      <c r="K301">
        <f t="shared" si="72"/>
        <v>4.9666666666666544</v>
      </c>
      <c r="L301">
        <f t="shared" si="65"/>
        <v>1.7899999999999991</v>
      </c>
      <c r="M301">
        <f t="shared" si="66"/>
        <v>0</v>
      </c>
      <c r="N301">
        <f t="shared" si="60"/>
        <v>0.34500000000000003</v>
      </c>
      <c r="Q301" t="str" cm="1">
        <f t="array" ref="Q301:R301">_xlfn.TEXTSPLIT(E301," ")</f>
        <v>27.10.2023</v>
      </c>
      <c r="R301" t="str">
        <v>04:59:12</v>
      </c>
      <c r="S301">
        <f t="shared" si="73"/>
        <v>4.9666666666666544</v>
      </c>
      <c r="T301">
        <f t="shared" si="64"/>
        <v>2.960000000000008</v>
      </c>
      <c r="U301">
        <f t="shared" si="67"/>
        <v>0.15</v>
      </c>
      <c r="V301">
        <f t="shared" si="61"/>
        <v>0.5625</v>
      </c>
      <c r="AC301" t="s">
        <v>1119</v>
      </c>
      <c r="AD301">
        <v>0</v>
      </c>
      <c r="AE301">
        <v>5.4</v>
      </c>
      <c r="AG301" t="str" cm="1">
        <f t="array" ref="AG301:AH301">_xlfn.TEXTSPLIT(AC302," ")</f>
        <v>26.10.2023</v>
      </c>
      <c r="AH301" t="str">
        <v>05:00:17</v>
      </c>
      <c r="AI301">
        <f t="shared" si="74"/>
        <v>4.9666666666666544</v>
      </c>
      <c r="AJ301">
        <f t="shared" si="68"/>
        <v>0.87000000000000011</v>
      </c>
      <c r="AK301">
        <f t="shared" si="69"/>
        <v>0</v>
      </c>
      <c r="AL301">
        <f t="shared" si="62"/>
        <v>0.12000000000000002</v>
      </c>
      <c r="AN301" t="s">
        <v>1119</v>
      </c>
      <c r="AO301">
        <v>0.3</v>
      </c>
      <c r="AP301">
        <v>65.06</v>
      </c>
      <c r="AR301" t="str" cm="1">
        <f t="array" ref="AR301:AS301">_xlfn.TEXTSPLIT(AN301," ")</f>
        <v>26.10.2023</v>
      </c>
      <c r="AS301" t="str">
        <v>04:59:17</v>
      </c>
      <c r="AT301">
        <f t="shared" si="75"/>
        <v>4.9666666666666544</v>
      </c>
      <c r="AU301">
        <f t="shared" si="70"/>
        <v>3.75</v>
      </c>
      <c r="AV301">
        <f t="shared" si="71"/>
        <v>0.3</v>
      </c>
      <c r="AW301">
        <f t="shared" si="63"/>
        <v>0.69750000000000001</v>
      </c>
    </row>
    <row r="302" spans="1:49" x14ac:dyDescent="0.25">
      <c r="A302" t="s">
        <v>1120</v>
      </c>
      <c r="B302">
        <v>0</v>
      </c>
      <c r="C302">
        <v>16.11</v>
      </c>
      <c r="E302" t="s">
        <v>1120</v>
      </c>
      <c r="F302">
        <v>0.15</v>
      </c>
      <c r="G302">
        <v>81.56</v>
      </c>
      <c r="I302" t="str" cm="1">
        <f t="array" ref="I302:J302">_xlfn.TEXTSPLIT(A302," ")</f>
        <v>27.10.2023</v>
      </c>
      <c r="J302" t="str">
        <v>05:00:13</v>
      </c>
      <c r="K302">
        <f t="shared" si="72"/>
        <v>4.983333333333321</v>
      </c>
      <c r="L302">
        <f t="shared" si="65"/>
        <v>1.7899999999999991</v>
      </c>
      <c r="M302">
        <f t="shared" si="66"/>
        <v>0</v>
      </c>
      <c r="N302">
        <f t="shared" si="60"/>
        <v>0.34500000000000003</v>
      </c>
      <c r="Q302" t="str" cm="1">
        <f t="array" ref="Q302:R302">_xlfn.TEXTSPLIT(E302," ")</f>
        <v>27.10.2023</v>
      </c>
      <c r="R302" t="str">
        <v>05:00:13</v>
      </c>
      <c r="S302">
        <f t="shared" si="73"/>
        <v>4.983333333333321</v>
      </c>
      <c r="T302">
        <f t="shared" si="64"/>
        <v>2.960000000000008</v>
      </c>
      <c r="U302">
        <f t="shared" si="67"/>
        <v>0.15</v>
      </c>
      <c r="V302">
        <f t="shared" si="61"/>
        <v>0.56249999999999989</v>
      </c>
      <c r="AC302" t="s">
        <v>1121</v>
      </c>
      <c r="AD302">
        <v>0</v>
      </c>
      <c r="AE302">
        <v>5.4</v>
      </c>
      <c r="AG302" t="str" cm="1">
        <f t="array" ref="AG302:AH302">_xlfn.TEXTSPLIT(AC303," ")</f>
        <v>26.10.2023</v>
      </c>
      <c r="AH302" t="str">
        <v>05:01:17</v>
      </c>
      <c r="AI302">
        <f t="shared" si="74"/>
        <v>4.983333333333321</v>
      </c>
      <c r="AJ302">
        <f t="shared" si="68"/>
        <v>0.87000000000000011</v>
      </c>
      <c r="AK302">
        <f t="shared" si="69"/>
        <v>0</v>
      </c>
      <c r="AL302">
        <f t="shared" si="62"/>
        <v>0.12000000000000002</v>
      </c>
      <c r="AN302" t="s">
        <v>1121</v>
      </c>
      <c r="AO302">
        <v>0.15</v>
      </c>
      <c r="AP302">
        <v>65.06</v>
      </c>
      <c r="AR302" t="str" cm="1">
        <f t="array" ref="AR302:AS302">_xlfn.TEXTSPLIT(AN302," ")</f>
        <v>26.10.2023</v>
      </c>
      <c r="AS302" t="str">
        <v>05:00:17</v>
      </c>
      <c r="AT302">
        <f t="shared" si="75"/>
        <v>4.983333333333321</v>
      </c>
      <c r="AU302">
        <f t="shared" si="70"/>
        <v>3.75</v>
      </c>
      <c r="AV302">
        <f t="shared" si="71"/>
        <v>0.15</v>
      </c>
      <c r="AW302">
        <f t="shared" si="63"/>
        <v>0.69750000000000001</v>
      </c>
    </row>
    <row r="303" spans="1:49" x14ac:dyDescent="0.25">
      <c r="A303" t="s">
        <v>1122</v>
      </c>
      <c r="B303">
        <v>0</v>
      </c>
      <c r="C303">
        <v>16.11</v>
      </c>
      <c r="E303" t="s">
        <v>1122</v>
      </c>
      <c r="F303">
        <v>0.3</v>
      </c>
      <c r="G303">
        <v>81.569999999999993</v>
      </c>
      <c r="I303" t="str" cm="1">
        <f t="array" ref="I303:J303">_xlfn.TEXTSPLIT(A303," ")</f>
        <v>27.10.2023</v>
      </c>
      <c r="J303" t="str">
        <v>05:01:13</v>
      </c>
      <c r="K303">
        <f t="shared" si="72"/>
        <v>4.9999999999999876</v>
      </c>
      <c r="L303">
        <f t="shared" si="65"/>
        <v>1.7899999999999991</v>
      </c>
      <c r="M303">
        <f t="shared" si="66"/>
        <v>0</v>
      </c>
      <c r="N303">
        <f t="shared" si="60"/>
        <v>0.34500000000000003</v>
      </c>
      <c r="Q303" t="str" cm="1">
        <f t="array" ref="Q303:R303">_xlfn.TEXTSPLIT(E303," ")</f>
        <v>27.10.2023</v>
      </c>
      <c r="R303" t="str">
        <v>05:01:13</v>
      </c>
      <c r="S303">
        <f t="shared" si="73"/>
        <v>4.9999999999999876</v>
      </c>
      <c r="T303">
        <f t="shared" si="64"/>
        <v>2.9699999999999989</v>
      </c>
      <c r="U303">
        <f t="shared" si="67"/>
        <v>0.3</v>
      </c>
      <c r="V303">
        <f t="shared" si="61"/>
        <v>0.56249999999999978</v>
      </c>
      <c r="AC303" t="s">
        <v>1123</v>
      </c>
      <c r="AD303">
        <v>0</v>
      </c>
      <c r="AE303">
        <v>5.4</v>
      </c>
      <c r="AG303" t="str" cm="1">
        <f t="array" ref="AG303:AH303">_xlfn.TEXTSPLIT(AC304," ")</f>
        <v>26.10.2023</v>
      </c>
      <c r="AH303" t="str">
        <v>05:02:17</v>
      </c>
      <c r="AI303">
        <f t="shared" si="74"/>
        <v>4.9999999999999876</v>
      </c>
      <c r="AJ303">
        <f t="shared" si="68"/>
        <v>0.87000000000000011</v>
      </c>
      <c r="AK303">
        <f t="shared" si="69"/>
        <v>0</v>
      </c>
      <c r="AL303">
        <f t="shared" si="62"/>
        <v>0.12000000000000002</v>
      </c>
      <c r="AN303" t="s">
        <v>1123</v>
      </c>
      <c r="AO303">
        <v>0.45</v>
      </c>
      <c r="AP303">
        <v>65.069999999999993</v>
      </c>
      <c r="AR303" t="str" cm="1">
        <f t="array" ref="AR303:AS303">_xlfn.TEXTSPLIT(AN303," ")</f>
        <v>26.10.2023</v>
      </c>
      <c r="AS303" t="str">
        <v>05:01:17</v>
      </c>
      <c r="AT303">
        <f t="shared" si="75"/>
        <v>4.9999999999999876</v>
      </c>
      <c r="AU303">
        <f t="shared" si="70"/>
        <v>3.7599999999999909</v>
      </c>
      <c r="AV303">
        <f t="shared" si="71"/>
        <v>0.45</v>
      </c>
      <c r="AW303">
        <f t="shared" si="63"/>
        <v>0.69750000000000012</v>
      </c>
    </row>
    <row r="304" spans="1:49" x14ac:dyDescent="0.25">
      <c r="A304" t="s">
        <v>1124</v>
      </c>
      <c r="B304">
        <v>0</v>
      </c>
      <c r="C304">
        <v>16.11</v>
      </c>
      <c r="E304" t="s">
        <v>1124</v>
      </c>
      <c r="F304">
        <v>0.3</v>
      </c>
      <c r="G304">
        <v>81.569999999999993</v>
      </c>
      <c r="I304" t="str" cm="1">
        <f t="array" ref="I304:J304">_xlfn.TEXTSPLIT(A304," ")</f>
        <v>27.10.2023</v>
      </c>
      <c r="J304" t="str">
        <v>05:02:13</v>
      </c>
      <c r="K304">
        <f t="shared" si="72"/>
        <v>5.0166666666666542</v>
      </c>
      <c r="L304">
        <f t="shared" si="65"/>
        <v>1.7899999999999991</v>
      </c>
      <c r="M304">
        <f t="shared" si="66"/>
        <v>0</v>
      </c>
      <c r="N304">
        <f t="shared" si="60"/>
        <v>0.34500000000000003</v>
      </c>
      <c r="Q304" t="str" cm="1">
        <f t="array" ref="Q304:R304">_xlfn.TEXTSPLIT(E304," ")</f>
        <v>27.10.2023</v>
      </c>
      <c r="R304" t="str">
        <v>05:02:13</v>
      </c>
      <c r="S304">
        <f t="shared" si="73"/>
        <v>5.0166666666666542</v>
      </c>
      <c r="T304">
        <f t="shared" si="64"/>
        <v>2.9699999999999989</v>
      </c>
      <c r="U304">
        <f t="shared" si="67"/>
        <v>0.3</v>
      </c>
      <c r="V304">
        <f t="shared" si="61"/>
        <v>0.56499999999999972</v>
      </c>
      <c r="AC304" t="s">
        <v>1125</v>
      </c>
      <c r="AD304">
        <v>0</v>
      </c>
      <c r="AE304">
        <v>5.4</v>
      </c>
      <c r="AG304" t="str" cm="1">
        <f t="array" ref="AG304:AH304">_xlfn.TEXTSPLIT(AC305," ")</f>
        <v>26.10.2023</v>
      </c>
      <c r="AH304" t="str">
        <v>05:03:17</v>
      </c>
      <c r="AI304">
        <f t="shared" si="74"/>
        <v>5.0166666666666542</v>
      </c>
      <c r="AJ304">
        <f t="shared" si="68"/>
        <v>0.87000000000000011</v>
      </c>
      <c r="AK304">
        <f t="shared" si="69"/>
        <v>0</v>
      </c>
      <c r="AL304">
        <f t="shared" si="62"/>
        <v>0.12000000000000002</v>
      </c>
      <c r="AN304" t="s">
        <v>1125</v>
      </c>
      <c r="AO304">
        <v>0.3</v>
      </c>
      <c r="AP304">
        <v>65.069999999999993</v>
      </c>
      <c r="AR304" t="str" cm="1">
        <f t="array" ref="AR304:AS304">_xlfn.TEXTSPLIT(AN304," ")</f>
        <v>26.10.2023</v>
      </c>
      <c r="AS304" t="str">
        <v>05:02:17</v>
      </c>
      <c r="AT304">
        <f t="shared" si="75"/>
        <v>5.0166666666666542</v>
      </c>
      <c r="AU304">
        <f t="shared" si="70"/>
        <v>3.7599999999999909</v>
      </c>
      <c r="AV304">
        <f t="shared" si="71"/>
        <v>0.3</v>
      </c>
      <c r="AW304">
        <f t="shared" si="63"/>
        <v>0.69500000000000006</v>
      </c>
    </row>
    <row r="305" spans="1:49" x14ac:dyDescent="0.25">
      <c r="A305" t="s">
        <v>1126</v>
      </c>
      <c r="B305">
        <v>0</v>
      </c>
      <c r="C305">
        <v>16.11</v>
      </c>
      <c r="E305" t="s">
        <v>1126</v>
      </c>
      <c r="F305">
        <v>0.15</v>
      </c>
      <c r="G305">
        <v>81.58</v>
      </c>
      <c r="I305" t="str" cm="1">
        <f t="array" ref="I305:J305">_xlfn.TEXTSPLIT(A305," ")</f>
        <v>27.10.2023</v>
      </c>
      <c r="J305" t="str">
        <v>05:03:13</v>
      </c>
      <c r="K305">
        <f t="shared" si="72"/>
        <v>5.0333333333333208</v>
      </c>
      <c r="L305">
        <f t="shared" si="65"/>
        <v>1.7899999999999991</v>
      </c>
      <c r="M305">
        <f t="shared" si="66"/>
        <v>0</v>
      </c>
      <c r="N305">
        <f t="shared" si="60"/>
        <v>0.34500000000000003</v>
      </c>
      <c r="Q305" t="str" cm="1">
        <f t="array" ref="Q305:R305">_xlfn.TEXTSPLIT(E305," ")</f>
        <v>27.10.2023</v>
      </c>
      <c r="R305" t="str">
        <v>05:03:13</v>
      </c>
      <c r="S305">
        <f t="shared" si="73"/>
        <v>5.0333333333333208</v>
      </c>
      <c r="T305">
        <f t="shared" si="64"/>
        <v>2.980000000000004</v>
      </c>
      <c r="U305">
        <f t="shared" si="67"/>
        <v>0.15</v>
      </c>
      <c r="V305">
        <f t="shared" si="61"/>
        <v>0.56499999999999972</v>
      </c>
      <c r="AC305" t="s">
        <v>1127</v>
      </c>
      <c r="AD305">
        <v>0</v>
      </c>
      <c r="AE305">
        <v>5.4</v>
      </c>
      <c r="AG305" t="str" cm="1">
        <f t="array" ref="AG305:AH305">_xlfn.TEXTSPLIT(AC306," ")</f>
        <v>26.10.2023</v>
      </c>
      <c r="AH305" t="str">
        <v>05:04:17</v>
      </c>
      <c r="AI305">
        <f t="shared" si="74"/>
        <v>5.0333333333333208</v>
      </c>
      <c r="AJ305">
        <f t="shared" si="68"/>
        <v>0.87000000000000011</v>
      </c>
      <c r="AK305">
        <f t="shared" si="69"/>
        <v>0</v>
      </c>
      <c r="AL305">
        <f t="shared" si="62"/>
        <v>0.12000000000000002</v>
      </c>
      <c r="AN305" t="s">
        <v>1127</v>
      </c>
      <c r="AO305">
        <v>0.3</v>
      </c>
      <c r="AP305">
        <v>65.08</v>
      </c>
      <c r="AR305" t="str" cm="1">
        <f t="array" ref="AR305:AS305">_xlfn.TEXTSPLIT(AN305," ")</f>
        <v>26.10.2023</v>
      </c>
      <c r="AS305" t="str">
        <v>05:03:17</v>
      </c>
      <c r="AT305">
        <f t="shared" si="75"/>
        <v>5.0333333333333208</v>
      </c>
      <c r="AU305">
        <f t="shared" si="70"/>
        <v>3.769999999999996</v>
      </c>
      <c r="AV305">
        <f t="shared" si="71"/>
        <v>0.3</v>
      </c>
      <c r="AW305">
        <f t="shared" si="63"/>
        <v>0.69</v>
      </c>
    </row>
    <row r="306" spans="1:49" x14ac:dyDescent="0.25">
      <c r="A306" t="s">
        <v>1128</v>
      </c>
      <c r="B306">
        <v>0</v>
      </c>
      <c r="C306">
        <v>16.11</v>
      </c>
      <c r="E306" t="s">
        <v>1128</v>
      </c>
      <c r="F306">
        <v>0.45</v>
      </c>
      <c r="G306">
        <v>81.59</v>
      </c>
      <c r="I306" t="str" cm="1">
        <f t="array" ref="I306:J306">_xlfn.TEXTSPLIT(A306," ")</f>
        <v>27.10.2023</v>
      </c>
      <c r="J306" t="str">
        <v>05:04:13</v>
      </c>
      <c r="K306">
        <f t="shared" si="72"/>
        <v>5.0499999999999874</v>
      </c>
      <c r="L306">
        <f t="shared" si="65"/>
        <v>1.7899999999999991</v>
      </c>
      <c r="M306">
        <f t="shared" si="66"/>
        <v>0</v>
      </c>
      <c r="N306">
        <f t="shared" si="60"/>
        <v>0.34500000000000003</v>
      </c>
      <c r="Q306" t="str" cm="1">
        <f t="array" ref="Q306:R306">_xlfn.TEXTSPLIT(E306," ")</f>
        <v>27.10.2023</v>
      </c>
      <c r="R306" t="str">
        <v>05:04:13</v>
      </c>
      <c r="S306">
        <f t="shared" si="73"/>
        <v>5.0499999999999874</v>
      </c>
      <c r="T306">
        <f t="shared" si="64"/>
        <v>2.9900000000000091</v>
      </c>
      <c r="U306">
        <f t="shared" si="67"/>
        <v>0.45</v>
      </c>
      <c r="V306">
        <f t="shared" si="61"/>
        <v>0.56499999999999984</v>
      </c>
      <c r="AC306" t="s">
        <v>1129</v>
      </c>
      <c r="AD306">
        <v>0</v>
      </c>
      <c r="AE306">
        <v>5.4</v>
      </c>
      <c r="AG306" t="str" cm="1">
        <f t="array" ref="AG306:AH306">_xlfn.TEXTSPLIT(AC307," ")</f>
        <v>26.10.2023</v>
      </c>
      <c r="AH306" t="str">
        <v>05:05:18</v>
      </c>
      <c r="AI306">
        <f t="shared" si="74"/>
        <v>5.0499999999999874</v>
      </c>
      <c r="AJ306">
        <f t="shared" si="68"/>
        <v>0.87000000000000011</v>
      </c>
      <c r="AK306">
        <f t="shared" si="69"/>
        <v>0</v>
      </c>
      <c r="AL306">
        <f t="shared" si="62"/>
        <v>0.12000000000000002</v>
      </c>
      <c r="AN306" t="s">
        <v>1129</v>
      </c>
      <c r="AO306">
        <v>0.45</v>
      </c>
      <c r="AP306">
        <v>65.09</v>
      </c>
      <c r="AR306" t="str" cm="1">
        <f t="array" ref="AR306:AS306">_xlfn.TEXTSPLIT(AN306," ")</f>
        <v>26.10.2023</v>
      </c>
      <c r="AS306" t="str">
        <v>05:04:17</v>
      </c>
      <c r="AT306">
        <f t="shared" si="75"/>
        <v>5.0499999999999874</v>
      </c>
      <c r="AU306">
        <f t="shared" si="70"/>
        <v>3.7800000000000011</v>
      </c>
      <c r="AV306">
        <f t="shared" si="71"/>
        <v>0.45</v>
      </c>
      <c r="AW306">
        <f t="shared" si="63"/>
        <v>0.69</v>
      </c>
    </row>
    <row r="307" spans="1:49" x14ac:dyDescent="0.25">
      <c r="A307" t="s">
        <v>1130</v>
      </c>
      <c r="B307">
        <v>0</v>
      </c>
      <c r="C307">
        <v>16.11</v>
      </c>
      <c r="E307" t="s">
        <v>1130</v>
      </c>
      <c r="F307">
        <v>0.45</v>
      </c>
      <c r="G307">
        <v>81.599999999999994</v>
      </c>
      <c r="I307" t="str" cm="1">
        <f t="array" ref="I307:J307">_xlfn.TEXTSPLIT(A307," ")</f>
        <v>27.10.2023</v>
      </c>
      <c r="J307" t="str">
        <v>05:05:13</v>
      </c>
      <c r="K307">
        <f t="shared" si="72"/>
        <v>5.066666666666654</v>
      </c>
      <c r="L307">
        <f t="shared" si="65"/>
        <v>1.7899999999999991</v>
      </c>
      <c r="M307">
        <f t="shared" si="66"/>
        <v>0</v>
      </c>
      <c r="N307">
        <f t="shared" si="60"/>
        <v>0.34500000000000003</v>
      </c>
      <c r="Q307" t="str" cm="1">
        <f t="array" ref="Q307:R307">_xlfn.TEXTSPLIT(E307," ")</f>
        <v>27.10.2023</v>
      </c>
      <c r="R307" t="str">
        <v>05:05:13</v>
      </c>
      <c r="S307">
        <f t="shared" si="73"/>
        <v>5.066666666666654</v>
      </c>
      <c r="T307">
        <f t="shared" si="64"/>
        <v>3</v>
      </c>
      <c r="U307">
        <f t="shared" si="67"/>
        <v>0.45</v>
      </c>
      <c r="V307">
        <f t="shared" si="61"/>
        <v>0.56499999999999995</v>
      </c>
      <c r="AC307" t="s">
        <v>1131</v>
      </c>
      <c r="AD307">
        <v>0</v>
      </c>
      <c r="AE307">
        <v>5.4</v>
      </c>
      <c r="AG307" t="str" cm="1">
        <f t="array" ref="AG307:AH307">_xlfn.TEXTSPLIT(AC308," ")</f>
        <v>26.10.2023</v>
      </c>
      <c r="AH307" t="str">
        <v>05:06:18</v>
      </c>
      <c r="AI307">
        <f t="shared" si="74"/>
        <v>5.066666666666654</v>
      </c>
      <c r="AJ307">
        <f t="shared" si="68"/>
        <v>0.87000000000000011</v>
      </c>
      <c r="AK307">
        <f t="shared" si="69"/>
        <v>0</v>
      </c>
      <c r="AL307">
        <f t="shared" si="62"/>
        <v>0.12000000000000002</v>
      </c>
      <c r="AN307" t="s">
        <v>1131</v>
      </c>
      <c r="AO307">
        <v>0.3</v>
      </c>
      <c r="AP307">
        <v>65.099999999999994</v>
      </c>
      <c r="AR307" t="str" cm="1">
        <f t="array" ref="AR307:AS307">_xlfn.TEXTSPLIT(AN307," ")</f>
        <v>26.10.2023</v>
      </c>
      <c r="AS307" t="str">
        <v>05:05:18</v>
      </c>
      <c r="AT307">
        <f t="shared" si="75"/>
        <v>5.066666666666654</v>
      </c>
      <c r="AU307">
        <f t="shared" si="70"/>
        <v>3.789999999999992</v>
      </c>
      <c r="AV307">
        <f t="shared" si="71"/>
        <v>0.3</v>
      </c>
      <c r="AW307">
        <f t="shared" si="63"/>
        <v>0.68499999999999994</v>
      </c>
    </row>
    <row r="308" spans="1:49" x14ac:dyDescent="0.25">
      <c r="A308" t="s">
        <v>1132</v>
      </c>
      <c r="B308">
        <v>0</v>
      </c>
      <c r="C308">
        <v>16.11</v>
      </c>
      <c r="E308" t="s">
        <v>1132</v>
      </c>
      <c r="F308">
        <v>0.75</v>
      </c>
      <c r="G308">
        <v>81.61</v>
      </c>
      <c r="I308" t="str" cm="1">
        <f t="array" ref="I308:J308">_xlfn.TEXTSPLIT(A308," ")</f>
        <v>27.10.2023</v>
      </c>
      <c r="J308" t="str">
        <v>05:06:13</v>
      </c>
      <c r="K308">
        <f t="shared" si="72"/>
        <v>5.0833333333333206</v>
      </c>
      <c r="L308">
        <f t="shared" si="65"/>
        <v>1.7899999999999991</v>
      </c>
      <c r="M308">
        <f t="shared" si="66"/>
        <v>0</v>
      </c>
      <c r="N308">
        <f t="shared" si="60"/>
        <v>0.34500000000000003</v>
      </c>
      <c r="Q308" t="str" cm="1">
        <f t="array" ref="Q308:R308">_xlfn.TEXTSPLIT(E308," ")</f>
        <v>27.10.2023</v>
      </c>
      <c r="R308" t="str">
        <v>05:06:13</v>
      </c>
      <c r="S308">
        <f t="shared" si="73"/>
        <v>5.0833333333333206</v>
      </c>
      <c r="T308">
        <f t="shared" si="64"/>
        <v>3.0100000000000051</v>
      </c>
      <c r="U308">
        <f t="shared" si="67"/>
        <v>0.75</v>
      </c>
      <c r="V308">
        <f t="shared" si="61"/>
        <v>0.5724999999999999</v>
      </c>
      <c r="AC308" t="s">
        <v>1133</v>
      </c>
      <c r="AD308">
        <v>0</v>
      </c>
      <c r="AE308">
        <v>5.4</v>
      </c>
      <c r="AG308" t="str" cm="1">
        <f t="array" ref="AG308:AH308">_xlfn.TEXTSPLIT(AC309," ")</f>
        <v>26.10.2023</v>
      </c>
      <c r="AH308" t="str">
        <v>05:07:18</v>
      </c>
      <c r="AI308">
        <f t="shared" si="74"/>
        <v>5.0833333333333206</v>
      </c>
      <c r="AJ308">
        <f t="shared" si="68"/>
        <v>0.87000000000000011</v>
      </c>
      <c r="AK308">
        <f t="shared" si="69"/>
        <v>0</v>
      </c>
      <c r="AL308">
        <f t="shared" si="62"/>
        <v>0.12000000000000002</v>
      </c>
      <c r="AN308" t="s">
        <v>1133</v>
      </c>
      <c r="AO308">
        <v>0.45</v>
      </c>
      <c r="AP308">
        <v>65.099999999999994</v>
      </c>
      <c r="AR308" t="str" cm="1">
        <f t="array" ref="AR308:AS308">_xlfn.TEXTSPLIT(AN308," ")</f>
        <v>26.10.2023</v>
      </c>
      <c r="AS308" t="str">
        <v>05:06:18</v>
      </c>
      <c r="AT308">
        <f t="shared" si="75"/>
        <v>5.0833333333333206</v>
      </c>
      <c r="AU308">
        <f t="shared" si="70"/>
        <v>3.789999999999992</v>
      </c>
      <c r="AV308">
        <f t="shared" si="71"/>
        <v>0.45</v>
      </c>
      <c r="AW308">
        <f t="shared" si="63"/>
        <v>0.67999999999999994</v>
      </c>
    </row>
    <row r="309" spans="1:49" x14ac:dyDescent="0.25">
      <c r="A309" t="s">
        <v>1134</v>
      </c>
      <c r="B309">
        <v>0</v>
      </c>
      <c r="C309">
        <v>16.11</v>
      </c>
      <c r="E309" t="s">
        <v>1134</v>
      </c>
      <c r="F309">
        <v>1.05</v>
      </c>
      <c r="G309">
        <v>81.63</v>
      </c>
      <c r="I309" t="str" cm="1">
        <f t="array" ref="I309:J309">_xlfn.TEXTSPLIT(A309," ")</f>
        <v>27.10.2023</v>
      </c>
      <c r="J309" t="str">
        <v>05:07:14</v>
      </c>
      <c r="K309">
        <f t="shared" si="72"/>
        <v>5.0999999999999872</v>
      </c>
      <c r="L309">
        <f t="shared" si="65"/>
        <v>1.7899999999999991</v>
      </c>
      <c r="M309">
        <f t="shared" si="66"/>
        <v>0</v>
      </c>
      <c r="N309">
        <f t="shared" si="60"/>
        <v>0.34500000000000003</v>
      </c>
      <c r="Q309" t="str" cm="1">
        <f t="array" ref="Q309:R309">_xlfn.TEXTSPLIT(E309," ")</f>
        <v>27.10.2023</v>
      </c>
      <c r="R309" t="str">
        <v>05:07:14</v>
      </c>
      <c r="S309">
        <f t="shared" si="73"/>
        <v>5.0999999999999872</v>
      </c>
      <c r="T309">
        <f t="shared" si="64"/>
        <v>3.0300000000000011</v>
      </c>
      <c r="U309">
        <f t="shared" si="67"/>
        <v>1.05</v>
      </c>
      <c r="V309">
        <f t="shared" si="61"/>
        <v>0.5625</v>
      </c>
      <c r="AC309" t="s">
        <v>1135</v>
      </c>
      <c r="AD309">
        <v>0</v>
      </c>
      <c r="AE309">
        <v>5.4</v>
      </c>
      <c r="AG309" t="str" cm="1">
        <f t="array" ref="AG309:AH309">_xlfn.TEXTSPLIT(AC310," ")</f>
        <v>26.10.2023</v>
      </c>
      <c r="AH309" t="str">
        <v>05:08:18</v>
      </c>
      <c r="AI309">
        <f t="shared" si="74"/>
        <v>5.0999999999999872</v>
      </c>
      <c r="AJ309">
        <f t="shared" si="68"/>
        <v>0.87000000000000011</v>
      </c>
      <c r="AK309">
        <f t="shared" si="69"/>
        <v>0</v>
      </c>
      <c r="AL309">
        <f t="shared" si="62"/>
        <v>0.12000000000000002</v>
      </c>
      <c r="AN309" t="s">
        <v>1135</v>
      </c>
      <c r="AO309">
        <v>1.2</v>
      </c>
      <c r="AP309">
        <v>65.13</v>
      </c>
      <c r="AR309" t="str" cm="1">
        <f t="array" ref="AR309:AS309">_xlfn.TEXTSPLIT(AN309," ")</f>
        <v>26.10.2023</v>
      </c>
      <c r="AS309" t="str">
        <v>05:07:18</v>
      </c>
      <c r="AT309">
        <f t="shared" si="75"/>
        <v>5.0999999999999872</v>
      </c>
      <c r="AU309">
        <f t="shared" si="70"/>
        <v>3.8199999999999932</v>
      </c>
      <c r="AV309">
        <f t="shared" si="71"/>
        <v>1.2</v>
      </c>
      <c r="AW309">
        <f t="shared" si="63"/>
        <v>0.68</v>
      </c>
    </row>
    <row r="310" spans="1:49" x14ac:dyDescent="0.25">
      <c r="A310" t="s">
        <v>1136</v>
      </c>
      <c r="B310">
        <v>1.05</v>
      </c>
      <c r="C310">
        <v>16.14</v>
      </c>
      <c r="E310" t="s">
        <v>1136</v>
      </c>
      <c r="F310">
        <v>1.5</v>
      </c>
      <c r="G310">
        <v>81.650000000000006</v>
      </c>
      <c r="I310" t="str" cm="1">
        <f t="array" ref="I310:J310">_xlfn.TEXTSPLIT(A310," ")</f>
        <v>27.10.2023</v>
      </c>
      <c r="J310" t="str">
        <v>05:08:14</v>
      </c>
      <c r="K310">
        <f t="shared" si="72"/>
        <v>5.1166666666666538</v>
      </c>
      <c r="L310">
        <f t="shared" si="65"/>
        <v>1.8200000000000003</v>
      </c>
      <c r="M310">
        <f t="shared" si="66"/>
        <v>1.05</v>
      </c>
      <c r="N310">
        <f t="shared" si="60"/>
        <v>0.35000000000000003</v>
      </c>
      <c r="Q310" t="str" cm="1">
        <f t="array" ref="Q310:R310">_xlfn.TEXTSPLIT(E310," ")</f>
        <v>27.10.2023</v>
      </c>
      <c r="R310" t="str">
        <v>05:08:14</v>
      </c>
      <c r="S310">
        <f t="shared" si="73"/>
        <v>5.1166666666666538</v>
      </c>
      <c r="T310">
        <f t="shared" si="64"/>
        <v>3.0500000000000114</v>
      </c>
      <c r="U310">
        <f t="shared" si="67"/>
        <v>1.5</v>
      </c>
      <c r="V310">
        <f t="shared" si="61"/>
        <v>0.54749999999999999</v>
      </c>
      <c r="AC310" t="s">
        <v>1137</v>
      </c>
      <c r="AD310">
        <v>0</v>
      </c>
      <c r="AE310">
        <v>5.4</v>
      </c>
      <c r="AG310" t="str" cm="1">
        <f t="array" ref="AG310:AH310">_xlfn.TEXTSPLIT(AC311," ")</f>
        <v>26.10.2023</v>
      </c>
      <c r="AH310" t="str">
        <v>05:09:18</v>
      </c>
      <c r="AI310">
        <f t="shared" si="74"/>
        <v>5.1166666666666538</v>
      </c>
      <c r="AJ310">
        <f t="shared" si="68"/>
        <v>0.87000000000000011</v>
      </c>
      <c r="AK310">
        <f t="shared" si="69"/>
        <v>0</v>
      </c>
      <c r="AL310">
        <f t="shared" si="62"/>
        <v>0.12000000000000002</v>
      </c>
      <c r="AN310" t="s">
        <v>1137</v>
      </c>
      <c r="AO310">
        <v>2.85</v>
      </c>
      <c r="AP310">
        <v>65.180000000000007</v>
      </c>
      <c r="AR310" t="str" cm="1">
        <f t="array" ref="AR310:AS310">_xlfn.TEXTSPLIT(AN310," ")</f>
        <v>26.10.2023</v>
      </c>
      <c r="AS310" t="str">
        <v>05:08:18</v>
      </c>
      <c r="AT310">
        <f t="shared" si="75"/>
        <v>5.1166666666666538</v>
      </c>
      <c r="AU310">
        <f t="shared" si="70"/>
        <v>3.8700000000000045</v>
      </c>
      <c r="AV310">
        <f t="shared" si="71"/>
        <v>2.85</v>
      </c>
      <c r="AW310">
        <f t="shared" si="63"/>
        <v>0.70250000000000012</v>
      </c>
    </row>
    <row r="311" spans="1:49" x14ac:dyDescent="0.25">
      <c r="A311" t="s">
        <v>1138</v>
      </c>
      <c r="B311">
        <v>1.95</v>
      </c>
      <c r="C311">
        <v>16.16</v>
      </c>
      <c r="E311" t="s">
        <v>1138</v>
      </c>
      <c r="F311">
        <v>1.35</v>
      </c>
      <c r="G311">
        <v>81.67</v>
      </c>
      <c r="I311" t="str" cm="1">
        <f t="array" ref="I311:J311">_xlfn.TEXTSPLIT(A311," ")</f>
        <v>27.10.2023</v>
      </c>
      <c r="J311" t="str">
        <v>05:09:14</v>
      </c>
      <c r="K311">
        <f t="shared" si="72"/>
        <v>5.1333333333333204</v>
      </c>
      <c r="L311">
        <f t="shared" si="65"/>
        <v>1.8399999999999999</v>
      </c>
      <c r="M311">
        <f t="shared" si="66"/>
        <v>1.95</v>
      </c>
      <c r="N311">
        <f t="shared" si="60"/>
        <v>0.34250000000000003</v>
      </c>
      <c r="Q311" t="str" cm="1">
        <f t="array" ref="Q311:R311">_xlfn.TEXTSPLIT(E311," ")</f>
        <v>27.10.2023</v>
      </c>
      <c r="R311" t="str">
        <v>05:09:14</v>
      </c>
      <c r="S311">
        <f t="shared" si="73"/>
        <v>5.1333333333333204</v>
      </c>
      <c r="T311">
        <f t="shared" si="64"/>
        <v>3.0700000000000074</v>
      </c>
      <c r="U311">
        <f t="shared" si="67"/>
        <v>1.35</v>
      </c>
      <c r="V311">
        <f t="shared" si="61"/>
        <v>0.54500000000000004</v>
      </c>
      <c r="AC311" t="s">
        <v>1139</v>
      </c>
      <c r="AD311">
        <v>0</v>
      </c>
      <c r="AE311">
        <v>5.41</v>
      </c>
      <c r="AG311" t="str" cm="1">
        <f t="array" ref="AG311:AH311">_xlfn.TEXTSPLIT(AC312," ")</f>
        <v>26.10.2023</v>
      </c>
      <c r="AH311" t="str">
        <v>05:10:18</v>
      </c>
      <c r="AI311">
        <f t="shared" si="74"/>
        <v>5.1333333333333204</v>
      </c>
      <c r="AJ311">
        <f t="shared" si="68"/>
        <v>0.87999999999999989</v>
      </c>
      <c r="AK311">
        <f t="shared" si="69"/>
        <v>0</v>
      </c>
      <c r="AL311">
        <f t="shared" si="62"/>
        <v>0.11750000000000001</v>
      </c>
      <c r="AN311" t="s">
        <v>1139</v>
      </c>
      <c r="AO311">
        <v>2.25</v>
      </c>
      <c r="AP311">
        <v>65.209999999999994</v>
      </c>
      <c r="AR311" t="str" cm="1">
        <f t="array" ref="AR311:AS311">_xlfn.TEXTSPLIT(AN311," ")</f>
        <v>26.10.2023</v>
      </c>
      <c r="AS311" t="str">
        <v>05:09:18</v>
      </c>
      <c r="AT311">
        <f t="shared" si="75"/>
        <v>5.1333333333333204</v>
      </c>
      <c r="AU311">
        <f t="shared" si="70"/>
        <v>3.8999999999999915</v>
      </c>
      <c r="AV311">
        <f t="shared" si="71"/>
        <v>2.25</v>
      </c>
      <c r="AW311">
        <f t="shared" si="63"/>
        <v>0.70750000000000002</v>
      </c>
    </row>
    <row r="312" spans="1:49" x14ac:dyDescent="0.25">
      <c r="A312" t="s">
        <v>1140</v>
      </c>
      <c r="B312">
        <v>1.2</v>
      </c>
      <c r="C312">
        <v>16.18</v>
      </c>
      <c r="E312" t="s">
        <v>1140</v>
      </c>
      <c r="F312">
        <v>1.65</v>
      </c>
      <c r="G312">
        <v>81.7</v>
      </c>
      <c r="I312" t="str" cm="1">
        <f t="array" ref="I312:J312">_xlfn.TEXTSPLIT(A312," ")</f>
        <v>27.10.2023</v>
      </c>
      <c r="J312" t="str">
        <v>05:10:14</v>
      </c>
      <c r="K312">
        <f t="shared" si="72"/>
        <v>5.149999999999987</v>
      </c>
      <c r="L312">
        <f t="shared" si="65"/>
        <v>1.8599999999999994</v>
      </c>
      <c r="M312">
        <f t="shared" si="66"/>
        <v>1.2</v>
      </c>
      <c r="N312">
        <f t="shared" si="60"/>
        <v>0.34250000000000003</v>
      </c>
      <c r="Q312" t="str" cm="1">
        <f t="array" ref="Q312:R312">_xlfn.TEXTSPLIT(E312," ")</f>
        <v>27.10.2023</v>
      </c>
      <c r="R312" t="str">
        <v>05:10:14</v>
      </c>
      <c r="S312">
        <f t="shared" si="73"/>
        <v>5.149999999999987</v>
      </c>
      <c r="T312">
        <f t="shared" si="64"/>
        <v>3.1000000000000085</v>
      </c>
      <c r="U312">
        <f t="shared" si="67"/>
        <v>1.65</v>
      </c>
      <c r="V312">
        <f t="shared" si="61"/>
        <v>0.55500000000000005</v>
      </c>
      <c r="AC312" t="s">
        <v>1141</v>
      </c>
      <c r="AD312">
        <v>1.65</v>
      </c>
      <c r="AE312">
        <v>5.43</v>
      </c>
      <c r="AG312" t="str" cm="1">
        <f t="array" ref="AG312:AH312">_xlfn.TEXTSPLIT(AC313," ")</f>
        <v>26.10.2023</v>
      </c>
      <c r="AH312" t="str">
        <v>05:11:18</v>
      </c>
      <c r="AI312">
        <f t="shared" si="74"/>
        <v>5.149999999999987</v>
      </c>
      <c r="AJ312">
        <f t="shared" si="68"/>
        <v>0.89999999999999947</v>
      </c>
      <c r="AK312">
        <f t="shared" si="69"/>
        <v>1.65</v>
      </c>
      <c r="AL312">
        <f t="shared" si="62"/>
        <v>0.12750000000000003</v>
      </c>
      <c r="AN312" t="s">
        <v>1141</v>
      </c>
      <c r="AO312">
        <v>1.65</v>
      </c>
      <c r="AP312">
        <v>65.239999999999995</v>
      </c>
      <c r="AR312" t="str" cm="1">
        <f t="array" ref="AR312:AS312">_xlfn.TEXTSPLIT(AN312," ")</f>
        <v>26.10.2023</v>
      </c>
      <c r="AS312" t="str">
        <v>05:10:18</v>
      </c>
      <c r="AT312">
        <f t="shared" si="75"/>
        <v>5.149999999999987</v>
      </c>
      <c r="AU312">
        <f t="shared" si="70"/>
        <v>3.9299999999999926</v>
      </c>
      <c r="AV312">
        <f t="shared" si="71"/>
        <v>1.65</v>
      </c>
      <c r="AW312">
        <f t="shared" si="63"/>
        <v>0.69250000000000012</v>
      </c>
    </row>
    <row r="313" spans="1:49" x14ac:dyDescent="0.25">
      <c r="A313" t="s">
        <v>1142</v>
      </c>
      <c r="B313">
        <v>1.35</v>
      </c>
      <c r="C313">
        <v>16.2</v>
      </c>
      <c r="E313" t="s">
        <v>1142</v>
      </c>
      <c r="F313">
        <v>1.35</v>
      </c>
      <c r="G313">
        <v>81.72</v>
      </c>
      <c r="I313" t="str" cm="1">
        <f t="array" ref="I313:J313">_xlfn.TEXTSPLIT(A313," ")</f>
        <v>27.10.2023</v>
      </c>
      <c r="J313" t="str">
        <v>05:11:14</v>
      </c>
      <c r="K313">
        <f t="shared" si="72"/>
        <v>5.1666666666666536</v>
      </c>
      <c r="L313">
        <f t="shared" si="65"/>
        <v>1.879999999999999</v>
      </c>
      <c r="M313">
        <f t="shared" si="66"/>
        <v>1.35</v>
      </c>
      <c r="N313">
        <f t="shared" si="60"/>
        <v>0.35000000000000003</v>
      </c>
      <c r="Q313" t="str" cm="1">
        <f t="array" ref="Q313:R313">_xlfn.TEXTSPLIT(E313," ")</f>
        <v>27.10.2023</v>
      </c>
      <c r="R313" t="str">
        <v>05:11:14</v>
      </c>
      <c r="S313">
        <f t="shared" si="73"/>
        <v>5.1666666666666536</v>
      </c>
      <c r="T313">
        <f t="shared" si="64"/>
        <v>3.1200000000000045</v>
      </c>
      <c r="U313">
        <f t="shared" si="67"/>
        <v>1.35</v>
      </c>
      <c r="V313">
        <f t="shared" si="61"/>
        <v>0.56499999999999995</v>
      </c>
      <c r="AC313" t="s">
        <v>1143</v>
      </c>
      <c r="AD313">
        <v>0.75</v>
      </c>
      <c r="AE313">
        <v>5.45</v>
      </c>
      <c r="AG313" t="str" cm="1">
        <f t="array" ref="AG313:AH313">_xlfn.TEXTSPLIT(AC314," ")</f>
        <v>26.10.2023</v>
      </c>
      <c r="AH313" t="str">
        <v>05:12:18</v>
      </c>
      <c r="AI313">
        <f t="shared" si="74"/>
        <v>5.1666666666666536</v>
      </c>
      <c r="AJ313">
        <f t="shared" si="68"/>
        <v>0.91999999999999993</v>
      </c>
      <c r="AK313">
        <f t="shared" si="69"/>
        <v>0.75</v>
      </c>
      <c r="AL313">
        <f t="shared" si="62"/>
        <v>0.12500000000000003</v>
      </c>
      <c r="AN313" t="s">
        <v>1143</v>
      </c>
      <c r="AO313">
        <v>2.1</v>
      </c>
      <c r="AP313">
        <v>65.28</v>
      </c>
      <c r="AR313" t="str" cm="1">
        <f t="array" ref="AR313:AS313">_xlfn.TEXTSPLIT(AN313," ")</f>
        <v>26.10.2023</v>
      </c>
      <c r="AS313" t="str">
        <v>05:11:18</v>
      </c>
      <c r="AT313">
        <f t="shared" si="75"/>
        <v>5.1666666666666536</v>
      </c>
      <c r="AU313">
        <f t="shared" si="70"/>
        <v>3.9699999999999989</v>
      </c>
      <c r="AV313">
        <f t="shared" si="71"/>
        <v>2.1</v>
      </c>
      <c r="AW313">
        <f t="shared" si="63"/>
        <v>0.70250000000000012</v>
      </c>
    </row>
    <row r="314" spans="1:49" x14ac:dyDescent="0.25">
      <c r="A314" t="s">
        <v>1144</v>
      </c>
      <c r="B314">
        <v>0.6</v>
      </c>
      <c r="C314">
        <v>16.21</v>
      </c>
      <c r="E314" t="s">
        <v>1144</v>
      </c>
      <c r="F314">
        <v>1.05</v>
      </c>
      <c r="G314">
        <v>81.739999999999995</v>
      </c>
      <c r="I314" t="str" cm="1">
        <f t="array" ref="I314:J314">_xlfn.TEXTSPLIT(A314," ")</f>
        <v>27.10.2023</v>
      </c>
      <c r="J314" t="str">
        <v>05:12:14</v>
      </c>
      <c r="K314">
        <f t="shared" si="72"/>
        <v>5.1833333333333202</v>
      </c>
      <c r="L314">
        <f t="shared" si="65"/>
        <v>1.8900000000000006</v>
      </c>
      <c r="M314">
        <f t="shared" si="66"/>
        <v>0.6</v>
      </c>
      <c r="N314">
        <f t="shared" si="60"/>
        <v>0.34750000000000014</v>
      </c>
      <c r="Q314" t="str" cm="1">
        <f t="array" ref="Q314:R314">_xlfn.TEXTSPLIT(E314," ")</f>
        <v>27.10.2023</v>
      </c>
      <c r="R314" t="str">
        <v>05:12:14</v>
      </c>
      <c r="S314">
        <f t="shared" si="73"/>
        <v>5.1833333333333202</v>
      </c>
      <c r="T314">
        <f t="shared" si="64"/>
        <v>3.1400000000000006</v>
      </c>
      <c r="U314">
        <f t="shared" si="67"/>
        <v>1.05</v>
      </c>
      <c r="V314">
        <f t="shared" si="61"/>
        <v>0.56749999999999978</v>
      </c>
      <c r="AC314" t="s">
        <v>1145</v>
      </c>
      <c r="AD314">
        <v>1.2</v>
      </c>
      <c r="AE314">
        <v>5.46</v>
      </c>
      <c r="AG314" t="str" cm="1">
        <f t="array" ref="AG314:AH314">_xlfn.TEXTSPLIT(AC315," ")</f>
        <v>26.10.2023</v>
      </c>
      <c r="AH314" t="str">
        <v>05:13:19</v>
      </c>
      <c r="AI314">
        <f t="shared" si="74"/>
        <v>5.1833333333333202</v>
      </c>
      <c r="AJ314">
        <f t="shared" si="68"/>
        <v>0.92999999999999972</v>
      </c>
      <c r="AK314">
        <f t="shared" si="69"/>
        <v>1.2</v>
      </c>
      <c r="AL314">
        <f t="shared" si="62"/>
        <v>0.14000000000000001</v>
      </c>
      <c r="AN314" t="s">
        <v>1145</v>
      </c>
      <c r="AO314">
        <v>1.95</v>
      </c>
      <c r="AP314">
        <v>65.31</v>
      </c>
      <c r="AR314" t="str" cm="1">
        <f t="array" ref="AR314:AS314">_xlfn.TEXTSPLIT(AN314," ")</f>
        <v>26.10.2023</v>
      </c>
      <c r="AS314" t="str">
        <v>05:12:18</v>
      </c>
      <c r="AT314">
        <f t="shared" si="75"/>
        <v>5.1833333333333202</v>
      </c>
      <c r="AU314">
        <f t="shared" si="70"/>
        <v>4</v>
      </c>
      <c r="AV314">
        <f t="shared" si="71"/>
        <v>1.95</v>
      </c>
      <c r="AW314">
        <f t="shared" si="63"/>
        <v>0.72250000000000014</v>
      </c>
    </row>
    <row r="315" spans="1:49" x14ac:dyDescent="0.25">
      <c r="A315" t="s">
        <v>1146</v>
      </c>
      <c r="B315">
        <v>0.45</v>
      </c>
      <c r="C315">
        <v>16.22</v>
      </c>
      <c r="E315" t="s">
        <v>1146</v>
      </c>
      <c r="F315">
        <v>0.6</v>
      </c>
      <c r="G315">
        <v>81.75</v>
      </c>
      <c r="I315" t="str" cm="1">
        <f t="array" ref="I315:J315">_xlfn.TEXTSPLIT(A315," ")</f>
        <v>27.10.2023</v>
      </c>
      <c r="J315" t="str">
        <v>05:13:14</v>
      </c>
      <c r="K315">
        <f t="shared" si="72"/>
        <v>5.1999999999999869</v>
      </c>
      <c r="L315">
        <f t="shared" si="65"/>
        <v>1.8999999999999986</v>
      </c>
      <c r="M315">
        <f t="shared" si="66"/>
        <v>0.45</v>
      </c>
      <c r="N315">
        <f t="shared" si="60"/>
        <v>0.34500000000000008</v>
      </c>
      <c r="Q315" t="str" cm="1">
        <f t="array" ref="Q315:R315">_xlfn.TEXTSPLIT(E315," ")</f>
        <v>27.10.2023</v>
      </c>
      <c r="R315" t="str">
        <v>05:13:14</v>
      </c>
      <c r="S315">
        <f t="shared" si="73"/>
        <v>5.1999999999999869</v>
      </c>
      <c r="T315">
        <f t="shared" si="64"/>
        <v>3.1500000000000057</v>
      </c>
      <c r="U315">
        <f t="shared" si="67"/>
        <v>0.6</v>
      </c>
      <c r="V315">
        <f t="shared" si="61"/>
        <v>0.56499999999999984</v>
      </c>
      <c r="AC315" t="s">
        <v>1147</v>
      </c>
      <c r="AD315">
        <v>0.45</v>
      </c>
      <c r="AE315">
        <v>5.47</v>
      </c>
      <c r="AG315" t="str" cm="1">
        <f t="array" ref="AG315:AH315">_xlfn.TEXTSPLIT(AC316," ")</f>
        <v>26.10.2023</v>
      </c>
      <c r="AH315" t="str">
        <v>05:14:19</v>
      </c>
      <c r="AI315">
        <f t="shared" si="74"/>
        <v>5.1999999999999869</v>
      </c>
      <c r="AJ315">
        <f t="shared" si="68"/>
        <v>0.9399999999999995</v>
      </c>
      <c r="AK315">
        <f t="shared" si="69"/>
        <v>0.45</v>
      </c>
      <c r="AL315">
        <f t="shared" si="62"/>
        <v>0.14499999999999999</v>
      </c>
      <c r="AN315" t="s">
        <v>1147</v>
      </c>
      <c r="AO315">
        <v>1.2</v>
      </c>
      <c r="AP315">
        <v>65.33</v>
      </c>
      <c r="AR315" t="str" cm="1">
        <f t="array" ref="AR315:AS315">_xlfn.TEXTSPLIT(AN315," ")</f>
        <v>26.10.2023</v>
      </c>
      <c r="AS315" t="str">
        <v>05:13:19</v>
      </c>
      <c r="AT315">
        <f t="shared" si="75"/>
        <v>5.1999999999999869</v>
      </c>
      <c r="AU315">
        <f t="shared" si="70"/>
        <v>4.019999999999996</v>
      </c>
      <c r="AV315">
        <f t="shared" si="71"/>
        <v>1.2</v>
      </c>
      <c r="AW315">
        <f t="shared" si="63"/>
        <v>0.73000000000000009</v>
      </c>
    </row>
    <row r="316" spans="1:49" x14ac:dyDescent="0.25">
      <c r="A316" t="s">
        <v>1148</v>
      </c>
      <c r="B316">
        <v>0.6</v>
      </c>
      <c r="C316">
        <v>16.23</v>
      </c>
      <c r="E316" t="s">
        <v>1148</v>
      </c>
      <c r="F316">
        <v>0.6</v>
      </c>
      <c r="G316">
        <v>81.760000000000005</v>
      </c>
      <c r="I316" t="str" cm="1">
        <f t="array" ref="I316:J316">_xlfn.TEXTSPLIT(A316," ")</f>
        <v>27.10.2023</v>
      </c>
      <c r="J316" t="str">
        <v>05:14:15</v>
      </c>
      <c r="K316">
        <f t="shared" si="72"/>
        <v>5.2166666666666535</v>
      </c>
      <c r="L316">
        <f t="shared" si="65"/>
        <v>1.9100000000000001</v>
      </c>
      <c r="M316">
        <f t="shared" si="66"/>
        <v>0.6</v>
      </c>
      <c r="N316">
        <f t="shared" si="60"/>
        <v>0.34750000000000014</v>
      </c>
      <c r="Q316" t="str" cm="1">
        <f t="array" ref="Q316:R316">_xlfn.TEXTSPLIT(E316," ")</f>
        <v>27.10.2023</v>
      </c>
      <c r="R316" t="str">
        <v>05:14:15</v>
      </c>
      <c r="S316">
        <f t="shared" si="73"/>
        <v>5.2166666666666535</v>
      </c>
      <c r="T316">
        <f t="shared" si="64"/>
        <v>3.1600000000000108</v>
      </c>
      <c r="U316">
        <f t="shared" si="67"/>
        <v>0.6</v>
      </c>
      <c r="V316">
        <f t="shared" si="61"/>
        <v>0.55249999999999999</v>
      </c>
      <c r="AC316" t="s">
        <v>1149</v>
      </c>
      <c r="AD316">
        <v>0.6</v>
      </c>
      <c r="AE316">
        <v>5.48</v>
      </c>
      <c r="AG316" t="str" cm="1">
        <f t="array" ref="AG316:AH316">_xlfn.TEXTSPLIT(AC317," ")</f>
        <v>26.10.2023</v>
      </c>
      <c r="AH316" t="str">
        <v>05:15:19</v>
      </c>
      <c r="AI316">
        <f t="shared" si="74"/>
        <v>5.2166666666666535</v>
      </c>
      <c r="AJ316">
        <f t="shared" si="68"/>
        <v>0.95000000000000018</v>
      </c>
      <c r="AK316">
        <f t="shared" si="69"/>
        <v>0.6</v>
      </c>
      <c r="AL316">
        <f t="shared" si="62"/>
        <v>0.15</v>
      </c>
      <c r="AN316" t="s">
        <v>1149</v>
      </c>
      <c r="AO316">
        <v>1.05</v>
      </c>
      <c r="AP316">
        <v>65.349999999999994</v>
      </c>
      <c r="AR316" t="str" cm="1">
        <f t="array" ref="AR316:AS316">_xlfn.TEXTSPLIT(AN316," ")</f>
        <v>26.10.2023</v>
      </c>
      <c r="AS316" t="str">
        <v>05:14:19</v>
      </c>
      <c r="AT316">
        <f t="shared" si="75"/>
        <v>5.2166666666666535</v>
      </c>
      <c r="AU316">
        <f t="shared" si="70"/>
        <v>4.039999999999992</v>
      </c>
      <c r="AV316">
        <f t="shared" si="71"/>
        <v>1.05</v>
      </c>
      <c r="AW316">
        <f t="shared" si="63"/>
        <v>0.73250000000000004</v>
      </c>
    </row>
    <row r="317" spans="1:49" x14ac:dyDescent="0.25">
      <c r="A317" t="s">
        <v>1150</v>
      </c>
      <c r="B317">
        <v>0.45</v>
      </c>
      <c r="C317">
        <v>16.239999999999998</v>
      </c>
      <c r="E317" t="s">
        <v>1150</v>
      </c>
      <c r="F317">
        <v>0.6</v>
      </c>
      <c r="G317">
        <v>81.77</v>
      </c>
      <c r="I317" t="str" cm="1">
        <f t="array" ref="I317:J317">_xlfn.TEXTSPLIT(A317," ")</f>
        <v>27.10.2023</v>
      </c>
      <c r="J317" t="str">
        <v>05:15:15</v>
      </c>
      <c r="K317">
        <f t="shared" si="72"/>
        <v>5.2333333333333201</v>
      </c>
      <c r="L317">
        <f t="shared" si="65"/>
        <v>1.9199999999999982</v>
      </c>
      <c r="M317">
        <f t="shared" si="66"/>
        <v>0.45</v>
      </c>
      <c r="N317">
        <f t="shared" si="60"/>
        <v>0.35000000000000014</v>
      </c>
      <c r="Q317" t="str" cm="1">
        <f t="array" ref="Q317:R317">_xlfn.TEXTSPLIT(E317," ")</f>
        <v>27.10.2023</v>
      </c>
      <c r="R317" t="str">
        <v>05:15:15</v>
      </c>
      <c r="S317">
        <f t="shared" si="73"/>
        <v>5.2333333333333201</v>
      </c>
      <c r="T317">
        <f t="shared" si="64"/>
        <v>3.1700000000000017</v>
      </c>
      <c r="U317">
        <f t="shared" si="67"/>
        <v>0.6</v>
      </c>
      <c r="V317">
        <f t="shared" si="61"/>
        <v>0.54749999999999999</v>
      </c>
      <c r="AC317" t="s">
        <v>1151</v>
      </c>
      <c r="AD317">
        <v>0.3</v>
      </c>
      <c r="AE317">
        <v>5.49</v>
      </c>
      <c r="AG317" t="str" cm="1">
        <f t="array" ref="AG317:AH317">_xlfn.TEXTSPLIT(AC318," ")</f>
        <v>26.10.2023</v>
      </c>
      <c r="AH317" t="str">
        <v>05:16:19</v>
      </c>
      <c r="AI317">
        <f t="shared" si="74"/>
        <v>5.2333333333333201</v>
      </c>
      <c r="AJ317">
        <f t="shared" si="68"/>
        <v>0.96</v>
      </c>
      <c r="AK317">
        <f t="shared" si="69"/>
        <v>0.3</v>
      </c>
      <c r="AL317">
        <f t="shared" si="62"/>
        <v>0.155</v>
      </c>
      <c r="AN317" t="s">
        <v>1151</v>
      </c>
      <c r="AO317">
        <v>1.05</v>
      </c>
      <c r="AP317">
        <v>65.36</v>
      </c>
      <c r="AR317" t="str" cm="1">
        <f t="array" ref="AR317:AS317">_xlfn.TEXTSPLIT(AN317," ")</f>
        <v>26.10.2023</v>
      </c>
      <c r="AS317" t="str">
        <v>05:15:19</v>
      </c>
      <c r="AT317">
        <f t="shared" si="75"/>
        <v>5.2333333333333201</v>
      </c>
      <c r="AU317">
        <f t="shared" si="70"/>
        <v>4.0499999999999972</v>
      </c>
      <c r="AV317">
        <f t="shared" si="71"/>
        <v>1.05</v>
      </c>
      <c r="AW317">
        <f t="shared" si="63"/>
        <v>0.73750000000000004</v>
      </c>
    </row>
    <row r="318" spans="1:49" x14ac:dyDescent="0.25">
      <c r="A318" t="s">
        <v>1152</v>
      </c>
      <c r="B318">
        <v>0.15</v>
      </c>
      <c r="C318">
        <v>16.239999999999998</v>
      </c>
      <c r="E318" t="s">
        <v>1152</v>
      </c>
      <c r="F318">
        <v>0.45</v>
      </c>
      <c r="G318">
        <v>81.77</v>
      </c>
      <c r="I318" t="str" cm="1">
        <f t="array" ref="I318:J318">_xlfn.TEXTSPLIT(A318," ")</f>
        <v>27.10.2023</v>
      </c>
      <c r="J318" t="str">
        <v>05:16:15</v>
      </c>
      <c r="K318">
        <f t="shared" si="72"/>
        <v>5.2499999999999867</v>
      </c>
      <c r="L318">
        <f t="shared" si="65"/>
        <v>1.9199999999999982</v>
      </c>
      <c r="M318">
        <f t="shared" si="66"/>
        <v>0.15</v>
      </c>
      <c r="N318">
        <f t="shared" si="60"/>
        <v>0.34500000000000003</v>
      </c>
      <c r="Q318" t="str" cm="1">
        <f t="array" ref="Q318:R318">_xlfn.TEXTSPLIT(E318," ")</f>
        <v>27.10.2023</v>
      </c>
      <c r="R318" t="str">
        <v>05:16:15</v>
      </c>
      <c r="S318">
        <f t="shared" si="73"/>
        <v>5.2499999999999867</v>
      </c>
      <c r="T318">
        <f t="shared" si="64"/>
        <v>3.1700000000000017</v>
      </c>
      <c r="U318">
        <f t="shared" si="67"/>
        <v>0.45</v>
      </c>
      <c r="V318">
        <f t="shared" si="61"/>
        <v>0.53999999999999992</v>
      </c>
      <c r="AC318" t="s">
        <v>1153</v>
      </c>
      <c r="AD318">
        <v>0.15</v>
      </c>
      <c r="AE318">
        <v>5.49</v>
      </c>
      <c r="AG318" t="str" cm="1">
        <f t="array" ref="AG318:AH318">_xlfn.TEXTSPLIT(AC319," ")</f>
        <v>26.10.2023</v>
      </c>
      <c r="AH318" t="str">
        <v>05:17:19</v>
      </c>
      <c r="AI318">
        <f t="shared" si="74"/>
        <v>5.2499999999999867</v>
      </c>
      <c r="AJ318">
        <f t="shared" si="68"/>
        <v>0.96</v>
      </c>
      <c r="AK318">
        <f t="shared" si="69"/>
        <v>0.15</v>
      </c>
      <c r="AL318">
        <f t="shared" si="62"/>
        <v>0.15750000000000003</v>
      </c>
      <c r="AN318" t="s">
        <v>1153</v>
      </c>
      <c r="AO318">
        <v>1.05</v>
      </c>
      <c r="AP318">
        <v>65.38</v>
      </c>
      <c r="AR318" t="str" cm="1">
        <f t="array" ref="AR318:AS318">_xlfn.TEXTSPLIT(AN318," ")</f>
        <v>26.10.2023</v>
      </c>
      <c r="AS318" t="str">
        <v>05:16:19</v>
      </c>
      <c r="AT318">
        <f t="shared" si="75"/>
        <v>5.2499999999999867</v>
      </c>
      <c r="AU318">
        <f t="shared" si="70"/>
        <v>4.0699999999999932</v>
      </c>
      <c r="AV318">
        <f t="shared" si="71"/>
        <v>1.05</v>
      </c>
      <c r="AW318">
        <f t="shared" si="63"/>
        <v>0.74499999999999988</v>
      </c>
    </row>
    <row r="319" spans="1:49" x14ac:dyDescent="0.25">
      <c r="A319" t="s">
        <v>1154</v>
      </c>
      <c r="B319">
        <v>0.15</v>
      </c>
      <c r="C319">
        <v>16.239999999999998</v>
      </c>
      <c r="E319" t="s">
        <v>1154</v>
      </c>
      <c r="F319">
        <v>0.45</v>
      </c>
      <c r="G319">
        <v>81.78</v>
      </c>
      <c r="I319" t="str" cm="1">
        <f t="array" ref="I319:J319">_xlfn.TEXTSPLIT(A319," ")</f>
        <v>27.10.2023</v>
      </c>
      <c r="J319" t="str">
        <v>05:17:15</v>
      </c>
      <c r="K319">
        <f t="shared" si="72"/>
        <v>5.2666666666666533</v>
      </c>
      <c r="L319">
        <f t="shared" si="65"/>
        <v>1.9199999999999982</v>
      </c>
      <c r="M319">
        <f t="shared" si="66"/>
        <v>0.15</v>
      </c>
      <c r="N319">
        <f t="shared" ref="N319:N382" si="76">AVERAGE(M260:M319)</f>
        <v>0.34</v>
      </c>
      <c r="Q319" t="str" cm="1">
        <f t="array" ref="Q319:R319">_xlfn.TEXTSPLIT(E319," ")</f>
        <v>27.10.2023</v>
      </c>
      <c r="R319" t="str">
        <v>05:17:15</v>
      </c>
      <c r="S319">
        <f t="shared" si="73"/>
        <v>5.2666666666666533</v>
      </c>
      <c r="T319">
        <f t="shared" si="64"/>
        <v>3.1800000000000068</v>
      </c>
      <c r="U319">
        <f t="shared" si="67"/>
        <v>0.45</v>
      </c>
      <c r="V319">
        <f t="shared" ref="V319:V382" si="77">AVERAGE(U260:U319)</f>
        <v>0.53999999999999992</v>
      </c>
      <c r="AC319" t="s">
        <v>1155</v>
      </c>
      <c r="AD319">
        <v>0.9</v>
      </c>
      <c r="AE319">
        <v>5.51</v>
      </c>
      <c r="AG319" t="str" cm="1">
        <f t="array" ref="AG319:AH319">_xlfn.TEXTSPLIT(AC320," ")</f>
        <v>26.10.2023</v>
      </c>
      <c r="AH319" t="str">
        <v>05:18:19</v>
      </c>
      <c r="AI319">
        <f t="shared" si="74"/>
        <v>5.2666666666666533</v>
      </c>
      <c r="AJ319">
        <f t="shared" si="68"/>
        <v>0.97999999999999954</v>
      </c>
      <c r="AK319">
        <f t="shared" si="69"/>
        <v>0.9</v>
      </c>
      <c r="AL319">
        <f t="shared" ref="AL319:AL382" si="78">AVERAGE(AK260:AK319)</f>
        <v>0.17250000000000001</v>
      </c>
      <c r="AN319" t="s">
        <v>1155</v>
      </c>
      <c r="AO319">
        <v>1.05</v>
      </c>
      <c r="AP319">
        <v>65.400000000000006</v>
      </c>
      <c r="AR319" t="str" cm="1">
        <f t="array" ref="AR319:AS319">_xlfn.TEXTSPLIT(AN319," ")</f>
        <v>26.10.2023</v>
      </c>
      <c r="AS319" t="str">
        <v>05:17:19</v>
      </c>
      <c r="AT319">
        <f t="shared" si="75"/>
        <v>5.2666666666666533</v>
      </c>
      <c r="AU319">
        <f t="shared" si="70"/>
        <v>4.0900000000000034</v>
      </c>
      <c r="AV319">
        <f t="shared" si="71"/>
        <v>1.05</v>
      </c>
      <c r="AW319">
        <f t="shared" ref="AW319:AW382" si="79">AVERAGE(AV260:AV319)</f>
        <v>0.74749999999999994</v>
      </c>
    </row>
    <row r="320" spans="1:49" x14ac:dyDescent="0.25">
      <c r="A320" t="s">
        <v>1156</v>
      </c>
      <c r="B320">
        <v>0.3</v>
      </c>
      <c r="C320">
        <v>16.25</v>
      </c>
      <c r="E320" t="s">
        <v>1156</v>
      </c>
      <c r="F320">
        <v>0.6</v>
      </c>
      <c r="G320">
        <v>81.790000000000006</v>
      </c>
      <c r="I320" t="str" cm="1">
        <f t="array" ref="I320:J320">_xlfn.TEXTSPLIT(A320," ")</f>
        <v>27.10.2023</v>
      </c>
      <c r="J320" t="str">
        <v>05:18:15</v>
      </c>
      <c r="K320">
        <f t="shared" si="72"/>
        <v>5.2833333333333199</v>
      </c>
      <c r="L320">
        <f t="shared" si="65"/>
        <v>1.9299999999999997</v>
      </c>
      <c r="M320">
        <f t="shared" si="66"/>
        <v>0.3</v>
      </c>
      <c r="N320">
        <f t="shared" si="76"/>
        <v>0.33750000000000008</v>
      </c>
      <c r="Q320" t="str" cm="1">
        <f t="array" ref="Q320:R320">_xlfn.TEXTSPLIT(E320," ")</f>
        <v>27.10.2023</v>
      </c>
      <c r="R320" t="str">
        <v>05:18:15</v>
      </c>
      <c r="S320">
        <f t="shared" si="73"/>
        <v>5.2833333333333199</v>
      </c>
      <c r="T320">
        <f t="shared" si="64"/>
        <v>3.1900000000000119</v>
      </c>
      <c r="U320">
        <f t="shared" si="67"/>
        <v>0.6</v>
      </c>
      <c r="V320">
        <f t="shared" si="77"/>
        <v>0.54249999999999998</v>
      </c>
      <c r="AC320" t="s">
        <v>1157</v>
      </c>
      <c r="AD320">
        <v>0.75</v>
      </c>
      <c r="AE320">
        <v>5.52</v>
      </c>
      <c r="AG320" t="str" cm="1">
        <f t="array" ref="AG320:AH320">_xlfn.TEXTSPLIT(AC321," ")</f>
        <v>26.10.2023</v>
      </c>
      <c r="AH320" t="str">
        <v>05:19:19</v>
      </c>
      <c r="AI320">
        <f t="shared" si="74"/>
        <v>5.2833333333333199</v>
      </c>
      <c r="AJ320">
        <f t="shared" si="68"/>
        <v>0.98999999999999932</v>
      </c>
      <c r="AK320">
        <f t="shared" si="69"/>
        <v>0.75</v>
      </c>
      <c r="AL320">
        <f t="shared" si="78"/>
        <v>0.18500000000000003</v>
      </c>
      <c r="AN320" t="s">
        <v>1157</v>
      </c>
      <c r="AO320">
        <v>1.05</v>
      </c>
      <c r="AP320">
        <v>65.42</v>
      </c>
      <c r="AR320" t="str" cm="1">
        <f t="array" ref="AR320:AS320">_xlfn.TEXTSPLIT(AN320," ")</f>
        <v>26.10.2023</v>
      </c>
      <c r="AS320" t="str">
        <v>05:18:19</v>
      </c>
      <c r="AT320">
        <f t="shared" si="75"/>
        <v>5.2833333333333199</v>
      </c>
      <c r="AU320">
        <f t="shared" si="70"/>
        <v>4.1099999999999994</v>
      </c>
      <c r="AV320">
        <f t="shared" si="71"/>
        <v>1.05</v>
      </c>
      <c r="AW320">
        <f t="shared" si="79"/>
        <v>0.74749999999999994</v>
      </c>
    </row>
    <row r="321" spans="1:49" x14ac:dyDescent="0.25">
      <c r="A321" t="s">
        <v>1158</v>
      </c>
      <c r="B321">
        <v>0.15</v>
      </c>
      <c r="C321">
        <v>16.25</v>
      </c>
      <c r="E321" t="s">
        <v>1158</v>
      </c>
      <c r="F321">
        <v>0.6</v>
      </c>
      <c r="G321">
        <v>81.8</v>
      </c>
      <c r="I321" t="str" cm="1">
        <f t="array" ref="I321:J321">_xlfn.TEXTSPLIT(A321," ")</f>
        <v>27.10.2023</v>
      </c>
      <c r="J321" t="str">
        <v>05:19:15</v>
      </c>
      <c r="K321">
        <f t="shared" si="72"/>
        <v>5.2999999999999865</v>
      </c>
      <c r="L321">
        <f t="shared" si="65"/>
        <v>1.9299999999999997</v>
      </c>
      <c r="M321">
        <f t="shared" si="66"/>
        <v>0.15</v>
      </c>
      <c r="N321">
        <f t="shared" si="76"/>
        <v>0.33500000000000002</v>
      </c>
      <c r="Q321" t="str" cm="1">
        <f t="array" ref="Q321:R321">_xlfn.TEXTSPLIT(E321," ")</f>
        <v>27.10.2023</v>
      </c>
      <c r="R321" t="str">
        <v>05:19:15</v>
      </c>
      <c r="S321">
        <f t="shared" si="73"/>
        <v>5.2999999999999865</v>
      </c>
      <c r="T321">
        <f t="shared" si="64"/>
        <v>3.2000000000000028</v>
      </c>
      <c r="U321">
        <f t="shared" si="67"/>
        <v>0.6</v>
      </c>
      <c r="V321">
        <f t="shared" si="77"/>
        <v>0.54249999999999998</v>
      </c>
      <c r="AC321" t="s">
        <v>1159</v>
      </c>
      <c r="AD321">
        <v>0.45</v>
      </c>
      <c r="AE321">
        <v>5.53</v>
      </c>
      <c r="AG321" t="str" cm="1">
        <f t="array" ref="AG321:AH321">_xlfn.TEXTSPLIT(AC322," ")</f>
        <v>26.10.2023</v>
      </c>
      <c r="AH321" t="str">
        <v>05:20:19</v>
      </c>
      <c r="AI321">
        <f t="shared" si="74"/>
        <v>5.2999999999999865</v>
      </c>
      <c r="AJ321">
        <f t="shared" si="68"/>
        <v>1</v>
      </c>
      <c r="AK321">
        <f t="shared" si="69"/>
        <v>0.45</v>
      </c>
      <c r="AL321">
        <f t="shared" si="78"/>
        <v>0.19000000000000003</v>
      </c>
      <c r="AN321" t="s">
        <v>1159</v>
      </c>
      <c r="AO321">
        <v>0.75</v>
      </c>
      <c r="AP321">
        <v>65.42</v>
      </c>
      <c r="AR321" t="str" cm="1">
        <f t="array" ref="AR321:AS321">_xlfn.TEXTSPLIT(AN321," ")</f>
        <v>26.10.2023</v>
      </c>
      <c r="AS321" t="str">
        <v>05:19:19</v>
      </c>
      <c r="AT321">
        <f t="shared" si="75"/>
        <v>5.2999999999999865</v>
      </c>
      <c r="AU321">
        <f t="shared" si="70"/>
        <v>4.1099999999999994</v>
      </c>
      <c r="AV321">
        <f t="shared" si="71"/>
        <v>0.75</v>
      </c>
      <c r="AW321">
        <f t="shared" si="79"/>
        <v>0.74249999999999983</v>
      </c>
    </row>
    <row r="322" spans="1:49" x14ac:dyDescent="0.25">
      <c r="A322" t="s">
        <v>1160</v>
      </c>
      <c r="B322">
        <v>0.3</v>
      </c>
      <c r="C322">
        <v>16.25</v>
      </c>
      <c r="E322" t="s">
        <v>1160</v>
      </c>
      <c r="F322">
        <v>0.6</v>
      </c>
      <c r="G322">
        <v>81.81</v>
      </c>
      <c r="I322" t="str" cm="1">
        <f t="array" ref="I322:J322">_xlfn.TEXTSPLIT(A322," ")</f>
        <v>27.10.2023</v>
      </c>
      <c r="J322" t="str">
        <v>05:20:16</v>
      </c>
      <c r="K322">
        <f t="shared" si="72"/>
        <v>5.3166666666666531</v>
      </c>
      <c r="L322">
        <f t="shared" si="65"/>
        <v>1.9299999999999997</v>
      </c>
      <c r="M322">
        <f t="shared" si="66"/>
        <v>0.3</v>
      </c>
      <c r="N322">
        <f t="shared" si="76"/>
        <v>0.34</v>
      </c>
      <c r="Q322" t="str" cm="1">
        <f t="array" ref="Q322:R322">_xlfn.TEXTSPLIT(E322," ")</f>
        <v>27.10.2023</v>
      </c>
      <c r="R322" t="str">
        <v>05:20:16</v>
      </c>
      <c r="S322">
        <f t="shared" si="73"/>
        <v>5.3166666666666531</v>
      </c>
      <c r="T322">
        <f t="shared" si="64"/>
        <v>3.210000000000008</v>
      </c>
      <c r="U322">
        <f t="shared" si="67"/>
        <v>0.6</v>
      </c>
      <c r="V322">
        <f t="shared" si="77"/>
        <v>0.54749999999999988</v>
      </c>
      <c r="AC322" t="s">
        <v>1161</v>
      </c>
      <c r="AD322">
        <v>0.6</v>
      </c>
      <c r="AE322">
        <v>5.53</v>
      </c>
      <c r="AG322" t="str" cm="1">
        <f t="array" ref="AG322:AH322">_xlfn.TEXTSPLIT(AC323," ")</f>
        <v>26.10.2023</v>
      </c>
      <c r="AH322" t="str">
        <v>05:21:19</v>
      </c>
      <c r="AI322">
        <f t="shared" si="74"/>
        <v>5.3166666666666531</v>
      </c>
      <c r="AJ322">
        <f t="shared" si="68"/>
        <v>1</v>
      </c>
      <c r="AK322">
        <f t="shared" si="69"/>
        <v>0.6</v>
      </c>
      <c r="AL322">
        <f t="shared" si="78"/>
        <v>0.20000000000000004</v>
      </c>
      <c r="AN322" t="s">
        <v>1161</v>
      </c>
      <c r="AO322">
        <v>0.6</v>
      </c>
      <c r="AP322">
        <v>65.430000000000007</v>
      </c>
      <c r="AR322" t="str" cm="1">
        <f t="array" ref="AR322:AS322">_xlfn.TEXTSPLIT(AN322," ")</f>
        <v>26.10.2023</v>
      </c>
      <c r="AS322" t="str">
        <v>05:20:19</v>
      </c>
      <c r="AT322">
        <f t="shared" si="75"/>
        <v>5.3166666666666531</v>
      </c>
      <c r="AU322">
        <f t="shared" si="70"/>
        <v>4.1200000000000045</v>
      </c>
      <c r="AV322">
        <f t="shared" si="71"/>
        <v>0.6</v>
      </c>
      <c r="AW322">
        <f t="shared" si="79"/>
        <v>0.74249999999999983</v>
      </c>
    </row>
    <row r="323" spans="1:49" x14ac:dyDescent="0.25">
      <c r="A323" t="s">
        <v>1162</v>
      </c>
      <c r="B323">
        <v>0.3</v>
      </c>
      <c r="C323">
        <v>16.260000000000002</v>
      </c>
      <c r="E323" t="s">
        <v>1162</v>
      </c>
      <c r="F323">
        <v>0.75</v>
      </c>
      <c r="G323">
        <v>81.83</v>
      </c>
      <c r="I323" t="str" cm="1">
        <f t="array" ref="I323:J323">_xlfn.TEXTSPLIT(A323," ")</f>
        <v>27.10.2023</v>
      </c>
      <c r="J323" t="str">
        <v>05:21:16</v>
      </c>
      <c r="K323">
        <f t="shared" si="72"/>
        <v>5.3333333333333197</v>
      </c>
      <c r="L323">
        <f t="shared" si="65"/>
        <v>1.9400000000000013</v>
      </c>
      <c r="M323">
        <f t="shared" si="66"/>
        <v>0.3</v>
      </c>
      <c r="N323">
        <f t="shared" si="76"/>
        <v>0.34250000000000003</v>
      </c>
      <c r="Q323" t="str" cm="1">
        <f t="array" ref="Q323:R323">_xlfn.TEXTSPLIT(E323," ")</f>
        <v>27.10.2023</v>
      </c>
      <c r="R323" t="str">
        <v>05:21:16</v>
      </c>
      <c r="S323">
        <f t="shared" si="73"/>
        <v>5.3333333333333197</v>
      </c>
      <c r="T323">
        <f t="shared" ref="T323:T386" si="80">G323-78.6</f>
        <v>3.230000000000004</v>
      </c>
      <c r="U323">
        <f t="shared" si="67"/>
        <v>0.75</v>
      </c>
      <c r="V323">
        <f t="shared" si="77"/>
        <v>0.55249999999999999</v>
      </c>
      <c r="AC323" t="s">
        <v>1163</v>
      </c>
      <c r="AD323">
        <v>0.3</v>
      </c>
      <c r="AE323">
        <v>5.54</v>
      </c>
      <c r="AG323" t="str" cm="1">
        <f t="array" ref="AG323:AH323">_xlfn.TEXTSPLIT(AC324," ")</f>
        <v>26.10.2023</v>
      </c>
      <c r="AH323" t="str">
        <v>05:22:20</v>
      </c>
      <c r="AI323">
        <f t="shared" si="74"/>
        <v>5.3333333333333197</v>
      </c>
      <c r="AJ323">
        <f t="shared" si="68"/>
        <v>1.0099999999999998</v>
      </c>
      <c r="AK323">
        <f t="shared" si="69"/>
        <v>0.3</v>
      </c>
      <c r="AL323">
        <f t="shared" si="78"/>
        <v>0.20500000000000004</v>
      </c>
      <c r="AN323" t="s">
        <v>1163</v>
      </c>
      <c r="AO323">
        <v>0.6</v>
      </c>
      <c r="AP323">
        <v>65.44</v>
      </c>
      <c r="AR323" t="str" cm="1">
        <f t="array" ref="AR323:AS323">_xlfn.TEXTSPLIT(AN323," ")</f>
        <v>26.10.2023</v>
      </c>
      <c r="AS323" t="str">
        <v>05:21:19</v>
      </c>
      <c r="AT323">
        <f t="shared" si="75"/>
        <v>5.3333333333333197</v>
      </c>
      <c r="AU323">
        <f t="shared" si="70"/>
        <v>4.1299999999999955</v>
      </c>
      <c r="AV323">
        <f t="shared" si="71"/>
        <v>0.6</v>
      </c>
      <c r="AW323">
        <f t="shared" si="79"/>
        <v>0.74499999999999988</v>
      </c>
    </row>
    <row r="324" spans="1:49" x14ac:dyDescent="0.25">
      <c r="A324" t="s">
        <v>1164</v>
      </c>
      <c r="B324">
        <v>0.15</v>
      </c>
      <c r="C324">
        <v>16.260000000000002</v>
      </c>
      <c r="E324" t="s">
        <v>1164</v>
      </c>
      <c r="F324">
        <v>0.3</v>
      </c>
      <c r="G324">
        <v>81.83</v>
      </c>
      <c r="I324" t="str" cm="1">
        <f t="array" ref="I324:J324">_xlfn.TEXTSPLIT(A324," ")</f>
        <v>27.10.2023</v>
      </c>
      <c r="J324" t="str">
        <v>05:22:16</v>
      </c>
      <c r="K324">
        <f t="shared" si="72"/>
        <v>5.3499999999999863</v>
      </c>
      <c r="L324">
        <f t="shared" ref="L324:L387" si="81">C324-14.32</f>
        <v>1.9400000000000013</v>
      </c>
      <c r="M324">
        <f t="shared" ref="M324:M387" si="82">B324</f>
        <v>0.15</v>
      </c>
      <c r="N324">
        <f t="shared" si="76"/>
        <v>0.33500000000000002</v>
      </c>
      <c r="Q324" t="str" cm="1">
        <f t="array" ref="Q324:R324">_xlfn.TEXTSPLIT(E324," ")</f>
        <v>27.10.2023</v>
      </c>
      <c r="R324" t="str">
        <v>05:22:16</v>
      </c>
      <c r="S324">
        <f t="shared" si="73"/>
        <v>5.3499999999999863</v>
      </c>
      <c r="T324">
        <f t="shared" si="80"/>
        <v>3.230000000000004</v>
      </c>
      <c r="U324">
        <f t="shared" ref="U324:U387" si="83">F324</f>
        <v>0.3</v>
      </c>
      <c r="V324">
        <f t="shared" si="77"/>
        <v>0.55499999999999983</v>
      </c>
      <c r="AC324" t="s">
        <v>1165</v>
      </c>
      <c r="AD324">
        <v>0.3</v>
      </c>
      <c r="AE324">
        <v>5.55</v>
      </c>
      <c r="AG324" t="str" cm="1">
        <f t="array" ref="AG324:AH324">_xlfn.TEXTSPLIT(AC325," ")</f>
        <v>26.10.2023</v>
      </c>
      <c r="AH324" t="str">
        <v>05:23:20</v>
      </c>
      <c r="AI324">
        <f t="shared" si="74"/>
        <v>5.3499999999999863</v>
      </c>
      <c r="AJ324">
        <f t="shared" ref="AJ324:AJ387" si="84">AE324-4.53</f>
        <v>1.0199999999999996</v>
      </c>
      <c r="AK324">
        <f t="shared" ref="AK324:AK387" si="85">AD324</f>
        <v>0.3</v>
      </c>
      <c r="AL324">
        <f t="shared" si="78"/>
        <v>0.21000000000000005</v>
      </c>
      <c r="AN324" t="s">
        <v>1165</v>
      </c>
      <c r="AO324">
        <v>0.15</v>
      </c>
      <c r="AP324">
        <v>65.44</v>
      </c>
      <c r="AR324" t="str" cm="1">
        <f t="array" ref="AR324:AS324">_xlfn.TEXTSPLIT(AN324," ")</f>
        <v>26.10.2023</v>
      </c>
      <c r="AS324" t="str">
        <v>05:22:20</v>
      </c>
      <c r="AT324">
        <f t="shared" si="75"/>
        <v>5.3499999999999863</v>
      </c>
      <c r="AU324">
        <f t="shared" ref="AU324:AU387" si="86">AP324-61.31</f>
        <v>4.1299999999999955</v>
      </c>
      <c r="AV324">
        <f t="shared" ref="AV324:AV387" si="87">AO324</f>
        <v>0.15</v>
      </c>
      <c r="AW324">
        <f t="shared" si="79"/>
        <v>0.73999999999999988</v>
      </c>
    </row>
    <row r="325" spans="1:49" x14ac:dyDescent="0.25">
      <c r="A325" t="s">
        <v>1166</v>
      </c>
      <c r="B325">
        <v>0.15</v>
      </c>
      <c r="C325">
        <v>16.260000000000002</v>
      </c>
      <c r="E325" t="s">
        <v>1166</v>
      </c>
      <c r="F325">
        <v>0</v>
      </c>
      <c r="G325">
        <v>81.83</v>
      </c>
      <c r="I325" t="str" cm="1">
        <f t="array" ref="I325:J325">_xlfn.TEXTSPLIT(A325," ")</f>
        <v>27.10.2023</v>
      </c>
      <c r="J325" t="str">
        <v>05:23:16</v>
      </c>
      <c r="K325">
        <f t="shared" ref="K325:K388" si="88">1/60+K324</f>
        <v>5.3666666666666529</v>
      </c>
      <c r="L325">
        <f t="shared" si="81"/>
        <v>1.9400000000000013</v>
      </c>
      <c r="M325">
        <f t="shared" si="82"/>
        <v>0.15</v>
      </c>
      <c r="N325">
        <f t="shared" si="76"/>
        <v>0.33499999999999996</v>
      </c>
      <c r="Q325" t="str" cm="1">
        <f t="array" ref="Q325:R325">_xlfn.TEXTSPLIT(E325," ")</f>
        <v>27.10.2023</v>
      </c>
      <c r="R325" t="str">
        <v>05:23:16</v>
      </c>
      <c r="S325">
        <f t="shared" ref="S325:S388" si="89">1/60+S324</f>
        <v>5.3666666666666529</v>
      </c>
      <c r="T325">
        <f t="shared" si="80"/>
        <v>3.230000000000004</v>
      </c>
      <c r="U325">
        <f t="shared" si="83"/>
        <v>0</v>
      </c>
      <c r="V325">
        <f t="shared" si="77"/>
        <v>0.55499999999999983</v>
      </c>
      <c r="AC325" t="s">
        <v>1167</v>
      </c>
      <c r="AD325">
        <v>0.3</v>
      </c>
      <c r="AE325">
        <v>5.55</v>
      </c>
      <c r="AG325" t="str" cm="1">
        <f t="array" ref="AG325:AH325">_xlfn.TEXTSPLIT(AC326," ")</f>
        <v>26.10.2023</v>
      </c>
      <c r="AH325" t="str">
        <v>05:24:20</v>
      </c>
      <c r="AI325">
        <f t="shared" ref="AI325:AI388" si="90">1/60+AI324</f>
        <v>5.3666666666666529</v>
      </c>
      <c r="AJ325">
        <f t="shared" si="84"/>
        <v>1.0199999999999996</v>
      </c>
      <c r="AK325">
        <f t="shared" si="85"/>
        <v>0.3</v>
      </c>
      <c r="AL325">
        <f t="shared" si="78"/>
        <v>0.21500000000000005</v>
      </c>
      <c r="AN325" t="s">
        <v>1167</v>
      </c>
      <c r="AO325">
        <v>0</v>
      </c>
      <c r="AP325">
        <v>65.44</v>
      </c>
      <c r="AR325" t="str" cm="1">
        <f t="array" ref="AR325:AS325">_xlfn.TEXTSPLIT(AN325," ")</f>
        <v>26.10.2023</v>
      </c>
      <c r="AS325" t="str">
        <v>05:23:20</v>
      </c>
      <c r="AT325">
        <f t="shared" ref="AT325:AT388" si="91">1/60+AT324</f>
        <v>5.3666666666666529</v>
      </c>
      <c r="AU325">
        <f t="shared" si="86"/>
        <v>4.1299999999999955</v>
      </c>
      <c r="AV325">
        <f t="shared" si="87"/>
        <v>0</v>
      </c>
      <c r="AW325">
        <f t="shared" si="79"/>
        <v>0.73999999999999988</v>
      </c>
    </row>
    <row r="326" spans="1:49" x14ac:dyDescent="0.25">
      <c r="A326" t="s">
        <v>1168</v>
      </c>
      <c r="B326">
        <v>0</v>
      </c>
      <c r="C326">
        <v>16.260000000000002</v>
      </c>
      <c r="E326" t="s">
        <v>1168</v>
      </c>
      <c r="F326">
        <v>0.15</v>
      </c>
      <c r="G326">
        <v>81.83</v>
      </c>
      <c r="I326" t="str" cm="1">
        <f t="array" ref="I326:J326">_xlfn.TEXTSPLIT(A326," ")</f>
        <v>27.10.2023</v>
      </c>
      <c r="J326" t="str">
        <v>05:24:16</v>
      </c>
      <c r="K326">
        <f t="shared" si="88"/>
        <v>5.3833333333333195</v>
      </c>
      <c r="L326">
        <f t="shared" si="81"/>
        <v>1.9400000000000013</v>
      </c>
      <c r="M326">
        <f t="shared" si="82"/>
        <v>0</v>
      </c>
      <c r="N326">
        <f t="shared" si="76"/>
        <v>0.33499999999999996</v>
      </c>
      <c r="Q326" t="str" cm="1">
        <f t="array" ref="Q326:R326">_xlfn.TEXTSPLIT(E326," ")</f>
        <v>27.10.2023</v>
      </c>
      <c r="R326" t="str">
        <v>05:24:16</v>
      </c>
      <c r="S326">
        <f t="shared" si="89"/>
        <v>5.3833333333333195</v>
      </c>
      <c r="T326">
        <f t="shared" si="80"/>
        <v>3.230000000000004</v>
      </c>
      <c r="U326">
        <f t="shared" si="83"/>
        <v>0.15</v>
      </c>
      <c r="V326">
        <f t="shared" si="77"/>
        <v>0.55749999999999977</v>
      </c>
      <c r="AC326" t="s">
        <v>1169</v>
      </c>
      <c r="AD326">
        <v>0</v>
      </c>
      <c r="AE326">
        <v>5.55</v>
      </c>
      <c r="AG326" t="str" cm="1">
        <f t="array" ref="AG326:AH326">_xlfn.TEXTSPLIT(AC327," ")</f>
        <v>26.10.2023</v>
      </c>
      <c r="AH326" t="str">
        <v>05:25:20</v>
      </c>
      <c r="AI326">
        <f t="shared" si="90"/>
        <v>5.3833333333333195</v>
      </c>
      <c r="AJ326">
        <f t="shared" si="84"/>
        <v>1.0199999999999996</v>
      </c>
      <c r="AK326">
        <f t="shared" si="85"/>
        <v>0</v>
      </c>
      <c r="AL326">
        <f t="shared" si="78"/>
        <v>0.21500000000000005</v>
      </c>
      <c r="AN326" t="s">
        <v>1169</v>
      </c>
      <c r="AO326">
        <v>0</v>
      </c>
      <c r="AP326">
        <v>65.44</v>
      </c>
      <c r="AR326" t="str" cm="1">
        <f t="array" ref="AR326:AS326">_xlfn.TEXTSPLIT(AN326," ")</f>
        <v>26.10.2023</v>
      </c>
      <c r="AS326" t="str">
        <v>05:24:20</v>
      </c>
      <c r="AT326">
        <f t="shared" si="91"/>
        <v>5.3833333333333195</v>
      </c>
      <c r="AU326">
        <f t="shared" si="86"/>
        <v>4.1299999999999955</v>
      </c>
      <c r="AV326">
        <f t="shared" si="87"/>
        <v>0</v>
      </c>
      <c r="AW326">
        <f t="shared" si="79"/>
        <v>0.73999999999999988</v>
      </c>
    </row>
    <row r="327" spans="1:49" x14ac:dyDescent="0.25">
      <c r="A327" t="s">
        <v>1170</v>
      </c>
      <c r="B327">
        <v>0</v>
      </c>
      <c r="C327">
        <v>16.260000000000002</v>
      </c>
      <c r="E327" t="s">
        <v>1170</v>
      </c>
      <c r="F327">
        <v>0</v>
      </c>
      <c r="G327">
        <v>81.83</v>
      </c>
      <c r="I327" t="str" cm="1">
        <f t="array" ref="I327:J327">_xlfn.TEXTSPLIT(A327," ")</f>
        <v>27.10.2023</v>
      </c>
      <c r="J327" t="str">
        <v>05:25:16</v>
      </c>
      <c r="K327">
        <f t="shared" si="88"/>
        <v>5.3999999999999861</v>
      </c>
      <c r="L327">
        <f t="shared" si="81"/>
        <v>1.9400000000000013</v>
      </c>
      <c r="M327">
        <f t="shared" si="82"/>
        <v>0</v>
      </c>
      <c r="N327">
        <f t="shared" si="76"/>
        <v>0.33499999999999996</v>
      </c>
      <c r="Q327" t="str" cm="1">
        <f t="array" ref="Q327:R327">_xlfn.TEXTSPLIT(E327," ")</f>
        <v>27.10.2023</v>
      </c>
      <c r="R327" t="str">
        <v>05:25:16</v>
      </c>
      <c r="S327">
        <f t="shared" si="89"/>
        <v>5.3999999999999861</v>
      </c>
      <c r="T327">
        <f t="shared" si="80"/>
        <v>3.230000000000004</v>
      </c>
      <c r="U327">
        <f t="shared" si="83"/>
        <v>0</v>
      </c>
      <c r="V327">
        <f t="shared" si="77"/>
        <v>0.55749999999999977</v>
      </c>
      <c r="AC327" t="s">
        <v>1171</v>
      </c>
      <c r="AD327">
        <v>0</v>
      </c>
      <c r="AE327">
        <v>5.55</v>
      </c>
      <c r="AG327" t="str" cm="1">
        <f t="array" ref="AG327:AH327">_xlfn.TEXTSPLIT(AC328," ")</f>
        <v>26.10.2023</v>
      </c>
      <c r="AH327" t="str">
        <v>05:26:20</v>
      </c>
      <c r="AI327">
        <f t="shared" si="90"/>
        <v>5.3999999999999861</v>
      </c>
      <c r="AJ327">
        <f t="shared" si="84"/>
        <v>1.0199999999999996</v>
      </c>
      <c r="AK327">
        <f t="shared" si="85"/>
        <v>0</v>
      </c>
      <c r="AL327">
        <f t="shared" si="78"/>
        <v>0.21500000000000005</v>
      </c>
      <c r="AN327" t="s">
        <v>1171</v>
      </c>
      <c r="AO327">
        <v>0</v>
      </c>
      <c r="AP327">
        <v>65.44</v>
      </c>
      <c r="AR327" t="str" cm="1">
        <f t="array" ref="AR327:AS327">_xlfn.TEXTSPLIT(AN327," ")</f>
        <v>26.10.2023</v>
      </c>
      <c r="AS327" t="str">
        <v>05:25:20</v>
      </c>
      <c r="AT327">
        <f t="shared" si="91"/>
        <v>5.3999999999999861</v>
      </c>
      <c r="AU327">
        <f t="shared" si="86"/>
        <v>4.1299999999999955</v>
      </c>
      <c r="AV327">
        <f t="shared" si="87"/>
        <v>0</v>
      </c>
      <c r="AW327">
        <f t="shared" si="79"/>
        <v>0.73999999999999988</v>
      </c>
    </row>
    <row r="328" spans="1:49" x14ac:dyDescent="0.25">
      <c r="A328" t="s">
        <v>1172</v>
      </c>
      <c r="B328">
        <v>0</v>
      </c>
      <c r="C328">
        <v>16.260000000000002</v>
      </c>
      <c r="E328" t="s">
        <v>1172</v>
      </c>
      <c r="F328">
        <v>0</v>
      </c>
      <c r="G328">
        <v>81.83</v>
      </c>
      <c r="I328" t="str" cm="1">
        <f t="array" ref="I328:J328">_xlfn.TEXTSPLIT(A328," ")</f>
        <v>27.10.2023</v>
      </c>
      <c r="J328" t="str">
        <v>05:26:16</v>
      </c>
      <c r="K328">
        <f t="shared" si="88"/>
        <v>5.4166666666666528</v>
      </c>
      <c r="L328">
        <f t="shared" si="81"/>
        <v>1.9400000000000013</v>
      </c>
      <c r="M328">
        <f t="shared" si="82"/>
        <v>0</v>
      </c>
      <c r="N328">
        <f t="shared" si="76"/>
        <v>0.33499999999999996</v>
      </c>
      <c r="Q328" t="str" cm="1">
        <f t="array" ref="Q328:R328">_xlfn.TEXTSPLIT(E328," ")</f>
        <v>27.10.2023</v>
      </c>
      <c r="R328" t="str">
        <v>05:26:16</v>
      </c>
      <c r="S328">
        <f t="shared" si="89"/>
        <v>5.4166666666666528</v>
      </c>
      <c r="T328">
        <f t="shared" si="80"/>
        <v>3.230000000000004</v>
      </c>
      <c r="U328">
        <f t="shared" si="83"/>
        <v>0</v>
      </c>
      <c r="V328">
        <f t="shared" si="77"/>
        <v>0.55749999999999977</v>
      </c>
      <c r="AC328" t="s">
        <v>1173</v>
      </c>
      <c r="AD328">
        <v>0</v>
      </c>
      <c r="AE328">
        <v>5.55</v>
      </c>
      <c r="AG328" t="str" cm="1">
        <f t="array" ref="AG328:AH328">_xlfn.TEXTSPLIT(AC329," ")</f>
        <v>26.10.2023</v>
      </c>
      <c r="AH328" t="str">
        <v>05:27:20</v>
      </c>
      <c r="AI328">
        <f t="shared" si="90"/>
        <v>5.4166666666666528</v>
      </c>
      <c r="AJ328">
        <f t="shared" si="84"/>
        <v>1.0199999999999996</v>
      </c>
      <c r="AK328">
        <f t="shared" si="85"/>
        <v>0</v>
      </c>
      <c r="AL328">
        <f t="shared" si="78"/>
        <v>0.21500000000000005</v>
      </c>
      <c r="AN328" t="s">
        <v>1173</v>
      </c>
      <c r="AO328">
        <v>0.15</v>
      </c>
      <c r="AP328">
        <v>65.45</v>
      </c>
      <c r="AR328" t="str" cm="1">
        <f t="array" ref="AR328:AS328">_xlfn.TEXTSPLIT(AN328," ")</f>
        <v>26.10.2023</v>
      </c>
      <c r="AS328" t="str">
        <v>05:26:20</v>
      </c>
      <c r="AT328">
        <f t="shared" si="91"/>
        <v>5.4166666666666528</v>
      </c>
      <c r="AU328">
        <f t="shared" si="86"/>
        <v>4.1400000000000006</v>
      </c>
      <c r="AV328">
        <f t="shared" si="87"/>
        <v>0.15</v>
      </c>
      <c r="AW328">
        <f t="shared" si="79"/>
        <v>0.74249999999999983</v>
      </c>
    </row>
    <row r="329" spans="1:49" x14ac:dyDescent="0.25">
      <c r="A329" t="s">
        <v>1174</v>
      </c>
      <c r="B329">
        <v>0</v>
      </c>
      <c r="C329">
        <v>16.260000000000002</v>
      </c>
      <c r="E329" t="s">
        <v>1174</v>
      </c>
      <c r="F329">
        <v>0.15</v>
      </c>
      <c r="G329">
        <v>81.83</v>
      </c>
      <c r="I329" t="str" cm="1">
        <f t="array" ref="I329:J329">_xlfn.TEXTSPLIT(A329," ")</f>
        <v>27.10.2023</v>
      </c>
      <c r="J329" t="str">
        <v>05:27:17</v>
      </c>
      <c r="K329">
        <f t="shared" si="88"/>
        <v>5.4333333333333194</v>
      </c>
      <c r="L329">
        <f t="shared" si="81"/>
        <v>1.9400000000000013</v>
      </c>
      <c r="M329">
        <f t="shared" si="82"/>
        <v>0</v>
      </c>
      <c r="N329">
        <f t="shared" si="76"/>
        <v>0.33499999999999996</v>
      </c>
      <c r="Q329" t="str" cm="1">
        <f t="array" ref="Q329:R329">_xlfn.TEXTSPLIT(E329," ")</f>
        <v>27.10.2023</v>
      </c>
      <c r="R329" t="str">
        <v>05:27:17</v>
      </c>
      <c r="S329">
        <f t="shared" si="89"/>
        <v>5.4333333333333194</v>
      </c>
      <c r="T329">
        <f t="shared" si="80"/>
        <v>3.230000000000004</v>
      </c>
      <c r="U329">
        <f t="shared" si="83"/>
        <v>0.15</v>
      </c>
      <c r="V329">
        <f t="shared" si="77"/>
        <v>0.55749999999999977</v>
      </c>
      <c r="AC329" t="s">
        <v>1175</v>
      </c>
      <c r="AD329">
        <v>0</v>
      </c>
      <c r="AE329">
        <v>5.55</v>
      </c>
      <c r="AG329" t="str" cm="1">
        <f t="array" ref="AG329:AH329">_xlfn.TEXTSPLIT(AC330," ")</f>
        <v>26.10.2023</v>
      </c>
      <c r="AH329" t="str">
        <v>05:28:20</v>
      </c>
      <c r="AI329">
        <f t="shared" si="90"/>
        <v>5.4333333333333194</v>
      </c>
      <c r="AJ329">
        <f t="shared" si="84"/>
        <v>1.0199999999999996</v>
      </c>
      <c r="AK329">
        <f t="shared" si="85"/>
        <v>0</v>
      </c>
      <c r="AL329">
        <f t="shared" si="78"/>
        <v>0.21500000000000005</v>
      </c>
      <c r="AN329" t="s">
        <v>1175</v>
      </c>
      <c r="AO329">
        <v>0</v>
      </c>
      <c r="AP329">
        <v>65.45</v>
      </c>
      <c r="AR329" t="str" cm="1">
        <f t="array" ref="AR329:AS329">_xlfn.TEXTSPLIT(AN329," ")</f>
        <v>26.10.2023</v>
      </c>
      <c r="AS329" t="str">
        <v>05:27:20</v>
      </c>
      <c r="AT329">
        <f t="shared" si="91"/>
        <v>5.4333333333333194</v>
      </c>
      <c r="AU329">
        <f t="shared" si="86"/>
        <v>4.1400000000000006</v>
      </c>
      <c r="AV329">
        <f t="shared" si="87"/>
        <v>0</v>
      </c>
      <c r="AW329">
        <f t="shared" si="79"/>
        <v>0.73999999999999977</v>
      </c>
    </row>
    <row r="330" spans="1:49" x14ac:dyDescent="0.25">
      <c r="A330" t="s">
        <v>1176</v>
      </c>
      <c r="B330">
        <v>0</v>
      </c>
      <c r="C330">
        <v>16.260000000000002</v>
      </c>
      <c r="E330" t="s">
        <v>1176</v>
      </c>
      <c r="F330">
        <v>0.15</v>
      </c>
      <c r="G330">
        <v>81.83</v>
      </c>
      <c r="I330" t="str" cm="1">
        <f t="array" ref="I330:J330">_xlfn.TEXTSPLIT(A330," ")</f>
        <v>27.10.2023</v>
      </c>
      <c r="J330" t="str">
        <v>05:28:17</v>
      </c>
      <c r="K330">
        <f t="shared" si="88"/>
        <v>5.449999999999986</v>
      </c>
      <c r="L330">
        <f t="shared" si="81"/>
        <v>1.9400000000000013</v>
      </c>
      <c r="M330">
        <f t="shared" si="82"/>
        <v>0</v>
      </c>
      <c r="N330">
        <f t="shared" si="76"/>
        <v>0.33499999999999996</v>
      </c>
      <c r="Q330" t="str" cm="1">
        <f t="array" ref="Q330:R330">_xlfn.TEXTSPLIT(E330," ")</f>
        <v>27.10.2023</v>
      </c>
      <c r="R330" t="str">
        <v>05:28:17</v>
      </c>
      <c r="S330">
        <f t="shared" si="89"/>
        <v>5.449999999999986</v>
      </c>
      <c r="T330">
        <f t="shared" si="80"/>
        <v>3.230000000000004</v>
      </c>
      <c r="U330">
        <f t="shared" si="83"/>
        <v>0.15</v>
      </c>
      <c r="V330">
        <f t="shared" si="77"/>
        <v>0.55999999999999983</v>
      </c>
      <c r="AC330" t="s">
        <v>1177</v>
      </c>
      <c r="AD330">
        <v>0</v>
      </c>
      <c r="AE330">
        <v>5.55</v>
      </c>
      <c r="AG330" t="str" cm="1">
        <f t="array" ref="AG330:AH330">_xlfn.TEXTSPLIT(AC331," ")</f>
        <v>26.10.2023</v>
      </c>
      <c r="AH330" t="str">
        <v>05:29:20</v>
      </c>
      <c r="AI330">
        <f t="shared" si="90"/>
        <v>5.449999999999986</v>
      </c>
      <c r="AJ330">
        <f t="shared" si="84"/>
        <v>1.0199999999999996</v>
      </c>
      <c r="AK330">
        <f t="shared" si="85"/>
        <v>0</v>
      </c>
      <c r="AL330">
        <f t="shared" si="78"/>
        <v>0.21500000000000005</v>
      </c>
      <c r="AN330" t="s">
        <v>1177</v>
      </c>
      <c r="AO330">
        <v>0.15</v>
      </c>
      <c r="AP330">
        <v>65.45</v>
      </c>
      <c r="AR330" t="str" cm="1">
        <f t="array" ref="AR330:AS330">_xlfn.TEXTSPLIT(AN330," ")</f>
        <v>26.10.2023</v>
      </c>
      <c r="AS330" t="str">
        <v>05:28:20</v>
      </c>
      <c r="AT330">
        <f t="shared" si="91"/>
        <v>5.449999999999986</v>
      </c>
      <c r="AU330">
        <f t="shared" si="86"/>
        <v>4.1400000000000006</v>
      </c>
      <c r="AV330">
        <f t="shared" si="87"/>
        <v>0.15</v>
      </c>
      <c r="AW330">
        <f t="shared" si="79"/>
        <v>0.73999999999999977</v>
      </c>
    </row>
    <row r="331" spans="1:49" x14ac:dyDescent="0.25">
      <c r="A331" t="s">
        <v>1178</v>
      </c>
      <c r="B331">
        <v>0</v>
      </c>
      <c r="C331">
        <v>16.260000000000002</v>
      </c>
      <c r="E331" t="s">
        <v>1178</v>
      </c>
      <c r="F331">
        <v>0.15</v>
      </c>
      <c r="G331">
        <v>81.84</v>
      </c>
      <c r="I331" t="str" cm="1">
        <f t="array" ref="I331:J331">_xlfn.TEXTSPLIT(A331," ")</f>
        <v>27.10.2023</v>
      </c>
      <c r="J331" t="str">
        <v>05:29:17</v>
      </c>
      <c r="K331">
        <f t="shared" si="88"/>
        <v>5.4666666666666526</v>
      </c>
      <c r="L331">
        <f t="shared" si="81"/>
        <v>1.9400000000000013</v>
      </c>
      <c r="M331">
        <f t="shared" si="82"/>
        <v>0</v>
      </c>
      <c r="N331">
        <f t="shared" si="76"/>
        <v>0.33499999999999996</v>
      </c>
      <c r="Q331" t="str" cm="1">
        <f t="array" ref="Q331:R331">_xlfn.TEXTSPLIT(E331," ")</f>
        <v>27.10.2023</v>
      </c>
      <c r="R331" t="str">
        <v>05:29:17</v>
      </c>
      <c r="S331">
        <f t="shared" si="89"/>
        <v>5.4666666666666526</v>
      </c>
      <c r="T331">
        <f t="shared" si="80"/>
        <v>3.2400000000000091</v>
      </c>
      <c r="U331">
        <f t="shared" si="83"/>
        <v>0.15</v>
      </c>
      <c r="V331">
        <f t="shared" si="77"/>
        <v>0.55749999999999977</v>
      </c>
      <c r="AC331" t="s">
        <v>1179</v>
      </c>
      <c r="AD331">
        <v>0</v>
      </c>
      <c r="AE331">
        <v>5.55</v>
      </c>
      <c r="AG331" t="str" cm="1">
        <f t="array" ref="AG331:AH331">_xlfn.TEXTSPLIT(AC332," ")</f>
        <v>26.10.2023</v>
      </c>
      <c r="AH331" t="str">
        <v>05:30:20</v>
      </c>
      <c r="AI331">
        <f t="shared" si="90"/>
        <v>5.4666666666666526</v>
      </c>
      <c r="AJ331">
        <f t="shared" si="84"/>
        <v>1.0199999999999996</v>
      </c>
      <c r="AK331">
        <f t="shared" si="85"/>
        <v>0</v>
      </c>
      <c r="AL331">
        <f t="shared" si="78"/>
        <v>0.21500000000000005</v>
      </c>
      <c r="AN331" t="s">
        <v>1179</v>
      </c>
      <c r="AO331">
        <v>0.15</v>
      </c>
      <c r="AP331">
        <v>65.459999999999994</v>
      </c>
      <c r="AR331" t="str" cm="1">
        <f t="array" ref="AR331:AS331">_xlfn.TEXTSPLIT(AN331," ")</f>
        <v>26.10.2023</v>
      </c>
      <c r="AS331" t="str">
        <v>05:29:20</v>
      </c>
      <c r="AT331">
        <f t="shared" si="91"/>
        <v>5.4666666666666526</v>
      </c>
      <c r="AU331">
        <f t="shared" si="86"/>
        <v>4.1499999999999915</v>
      </c>
      <c r="AV331">
        <f t="shared" si="87"/>
        <v>0.15</v>
      </c>
      <c r="AW331">
        <f t="shared" si="79"/>
        <v>0.73999999999999977</v>
      </c>
    </row>
    <row r="332" spans="1:49" x14ac:dyDescent="0.25">
      <c r="A332" t="s">
        <v>1180</v>
      </c>
      <c r="B332">
        <v>0</v>
      </c>
      <c r="C332">
        <v>16.260000000000002</v>
      </c>
      <c r="E332" t="s">
        <v>1180</v>
      </c>
      <c r="F332">
        <v>0</v>
      </c>
      <c r="G332">
        <v>81.84</v>
      </c>
      <c r="I332" t="str" cm="1">
        <f t="array" ref="I332:J332">_xlfn.TEXTSPLIT(A332," ")</f>
        <v>27.10.2023</v>
      </c>
      <c r="J332" t="str">
        <v>05:30:17</v>
      </c>
      <c r="K332">
        <f t="shared" si="88"/>
        <v>5.4833333333333192</v>
      </c>
      <c r="L332">
        <f t="shared" si="81"/>
        <v>1.9400000000000013</v>
      </c>
      <c r="M332">
        <f t="shared" si="82"/>
        <v>0</v>
      </c>
      <c r="N332">
        <f t="shared" si="76"/>
        <v>0.33499999999999996</v>
      </c>
      <c r="Q332" t="str" cm="1">
        <f t="array" ref="Q332:R332">_xlfn.TEXTSPLIT(E332," ")</f>
        <v>27.10.2023</v>
      </c>
      <c r="R332" t="str">
        <v>05:30:17</v>
      </c>
      <c r="S332">
        <f t="shared" si="89"/>
        <v>5.4833333333333192</v>
      </c>
      <c r="T332">
        <f t="shared" si="80"/>
        <v>3.2400000000000091</v>
      </c>
      <c r="U332">
        <f t="shared" si="83"/>
        <v>0</v>
      </c>
      <c r="V332">
        <f t="shared" si="77"/>
        <v>0.55749999999999977</v>
      </c>
      <c r="AC332" t="s">
        <v>1181</v>
      </c>
      <c r="AD332">
        <v>0</v>
      </c>
      <c r="AE332">
        <v>5.55</v>
      </c>
      <c r="AG332" t="str" cm="1">
        <f t="array" ref="AG332:AH332">_xlfn.TEXTSPLIT(AC333," ")</f>
        <v>26.10.2023</v>
      </c>
      <c r="AH332" t="str">
        <v>05:31:21</v>
      </c>
      <c r="AI332">
        <f t="shared" si="90"/>
        <v>5.4833333333333192</v>
      </c>
      <c r="AJ332">
        <f t="shared" si="84"/>
        <v>1.0199999999999996</v>
      </c>
      <c r="AK332">
        <f t="shared" si="85"/>
        <v>0</v>
      </c>
      <c r="AL332">
        <f t="shared" si="78"/>
        <v>0.21500000000000005</v>
      </c>
      <c r="AN332" t="s">
        <v>1181</v>
      </c>
      <c r="AO332">
        <v>0.3</v>
      </c>
      <c r="AP332">
        <v>65.459999999999994</v>
      </c>
      <c r="AR332" t="str" cm="1">
        <f t="array" ref="AR332:AS332">_xlfn.TEXTSPLIT(AN332," ")</f>
        <v>26.10.2023</v>
      </c>
      <c r="AS332" t="str">
        <v>05:30:20</v>
      </c>
      <c r="AT332">
        <f t="shared" si="91"/>
        <v>5.4833333333333192</v>
      </c>
      <c r="AU332">
        <f t="shared" si="86"/>
        <v>4.1499999999999915</v>
      </c>
      <c r="AV332">
        <f t="shared" si="87"/>
        <v>0.3</v>
      </c>
      <c r="AW332">
        <f t="shared" si="79"/>
        <v>0.74249999999999972</v>
      </c>
    </row>
    <row r="333" spans="1:49" x14ac:dyDescent="0.25">
      <c r="A333" t="s">
        <v>1182</v>
      </c>
      <c r="B333">
        <v>0</v>
      </c>
      <c r="C333">
        <v>16.260000000000002</v>
      </c>
      <c r="E333" t="s">
        <v>1182</v>
      </c>
      <c r="F333">
        <v>0.15</v>
      </c>
      <c r="G333">
        <v>81.84</v>
      </c>
      <c r="I333" t="str" cm="1">
        <f t="array" ref="I333:J333">_xlfn.TEXTSPLIT(A333," ")</f>
        <v>27.10.2023</v>
      </c>
      <c r="J333" t="str">
        <v>05:31:17</v>
      </c>
      <c r="K333">
        <f t="shared" si="88"/>
        <v>5.4999999999999858</v>
      </c>
      <c r="L333">
        <f t="shared" si="81"/>
        <v>1.9400000000000013</v>
      </c>
      <c r="M333">
        <f t="shared" si="82"/>
        <v>0</v>
      </c>
      <c r="N333">
        <f t="shared" si="76"/>
        <v>0.33499999999999996</v>
      </c>
      <c r="Q333" t="str" cm="1">
        <f t="array" ref="Q333:R333">_xlfn.TEXTSPLIT(E333," ")</f>
        <v>27.10.2023</v>
      </c>
      <c r="R333" t="str">
        <v>05:31:17</v>
      </c>
      <c r="S333">
        <f t="shared" si="89"/>
        <v>5.4999999999999858</v>
      </c>
      <c r="T333">
        <f t="shared" si="80"/>
        <v>3.2400000000000091</v>
      </c>
      <c r="U333">
        <f t="shared" si="83"/>
        <v>0.15</v>
      </c>
      <c r="V333">
        <f t="shared" si="77"/>
        <v>0.55499999999999983</v>
      </c>
      <c r="AC333" t="s">
        <v>1183</v>
      </c>
      <c r="AD333">
        <v>0</v>
      </c>
      <c r="AE333">
        <v>5.55</v>
      </c>
      <c r="AG333" t="str" cm="1">
        <f t="array" ref="AG333:AH333">_xlfn.TEXTSPLIT(AC334," ")</f>
        <v>26.10.2023</v>
      </c>
      <c r="AH333" t="str">
        <v>05:32:21</v>
      </c>
      <c r="AI333">
        <f t="shared" si="90"/>
        <v>5.4999999999999858</v>
      </c>
      <c r="AJ333">
        <f t="shared" si="84"/>
        <v>1.0199999999999996</v>
      </c>
      <c r="AK333">
        <f t="shared" si="85"/>
        <v>0</v>
      </c>
      <c r="AL333">
        <f t="shared" si="78"/>
        <v>0.21500000000000005</v>
      </c>
      <c r="AN333" t="s">
        <v>1183</v>
      </c>
      <c r="AO333">
        <v>0.3</v>
      </c>
      <c r="AP333">
        <v>65.459999999999994</v>
      </c>
      <c r="AR333" t="str" cm="1">
        <f t="array" ref="AR333:AS333">_xlfn.TEXTSPLIT(AN333," ")</f>
        <v>26.10.2023</v>
      </c>
      <c r="AS333" t="str">
        <v>05:31:21</v>
      </c>
      <c r="AT333">
        <f t="shared" si="91"/>
        <v>5.4999999999999858</v>
      </c>
      <c r="AU333">
        <f t="shared" si="86"/>
        <v>4.1499999999999915</v>
      </c>
      <c r="AV333">
        <f t="shared" si="87"/>
        <v>0.3</v>
      </c>
      <c r="AW333">
        <f t="shared" si="79"/>
        <v>0.7424999999999996</v>
      </c>
    </row>
    <row r="334" spans="1:49" x14ac:dyDescent="0.25">
      <c r="A334" t="s">
        <v>1184</v>
      </c>
      <c r="B334">
        <v>0</v>
      </c>
      <c r="C334">
        <v>16.260000000000002</v>
      </c>
      <c r="E334" t="s">
        <v>1184</v>
      </c>
      <c r="F334">
        <v>0.15</v>
      </c>
      <c r="G334">
        <v>81.84</v>
      </c>
      <c r="I334" t="str" cm="1">
        <f t="array" ref="I334:J334">_xlfn.TEXTSPLIT(A334," ")</f>
        <v>27.10.2023</v>
      </c>
      <c r="J334" t="str">
        <v>05:32:17</v>
      </c>
      <c r="K334">
        <f t="shared" si="88"/>
        <v>5.5166666666666524</v>
      </c>
      <c r="L334">
        <f t="shared" si="81"/>
        <v>1.9400000000000013</v>
      </c>
      <c r="M334">
        <f t="shared" si="82"/>
        <v>0</v>
      </c>
      <c r="N334">
        <f t="shared" si="76"/>
        <v>0.33499999999999996</v>
      </c>
      <c r="Q334" t="str" cm="1">
        <f t="array" ref="Q334:R334">_xlfn.TEXTSPLIT(E334," ")</f>
        <v>27.10.2023</v>
      </c>
      <c r="R334" t="str">
        <v>05:32:17</v>
      </c>
      <c r="S334">
        <f t="shared" si="89"/>
        <v>5.5166666666666524</v>
      </c>
      <c r="T334">
        <f t="shared" si="80"/>
        <v>3.2400000000000091</v>
      </c>
      <c r="U334">
        <f t="shared" si="83"/>
        <v>0.15</v>
      </c>
      <c r="V334">
        <f t="shared" si="77"/>
        <v>0.55499999999999983</v>
      </c>
      <c r="AC334" t="s">
        <v>1185</v>
      </c>
      <c r="AD334">
        <v>0</v>
      </c>
      <c r="AE334">
        <v>5.55</v>
      </c>
      <c r="AG334" t="str" cm="1">
        <f t="array" ref="AG334:AH334">_xlfn.TEXTSPLIT(AC335," ")</f>
        <v>26.10.2023</v>
      </c>
      <c r="AH334" t="str">
        <v>05:33:21</v>
      </c>
      <c r="AI334">
        <f t="shared" si="90"/>
        <v>5.5166666666666524</v>
      </c>
      <c r="AJ334">
        <f t="shared" si="84"/>
        <v>1.0199999999999996</v>
      </c>
      <c r="AK334">
        <f t="shared" si="85"/>
        <v>0</v>
      </c>
      <c r="AL334">
        <f t="shared" si="78"/>
        <v>0.21500000000000005</v>
      </c>
      <c r="AN334" t="s">
        <v>1185</v>
      </c>
      <c r="AO334">
        <v>0.3</v>
      </c>
      <c r="AP334">
        <v>65.47</v>
      </c>
      <c r="AR334" t="str" cm="1">
        <f t="array" ref="AR334:AS334">_xlfn.TEXTSPLIT(AN334," ")</f>
        <v>26.10.2023</v>
      </c>
      <c r="AS334" t="str">
        <v>05:32:21</v>
      </c>
      <c r="AT334">
        <f t="shared" si="91"/>
        <v>5.5166666666666524</v>
      </c>
      <c r="AU334">
        <f t="shared" si="86"/>
        <v>4.1599999999999966</v>
      </c>
      <c r="AV334">
        <f t="shared" si="87"/>
        <v>0.3</v>
      </c>
      <c r="AW334">
        <f t="shared" si="79"/>
        <v>0.73999999999999966</v>
      </c>
    </row>
    <row r="335" spans="1:49" x14ac:dyDescent="0.25">
      <c r="A335" t="s">
        <v>1186</v>
      </c>
      <c r="B335">
        <v>0</v>
      </c>
      <c r="C335">
        <v>16.260000000000002</v>
      </c>
      <c r="E335" t="s">
        <v>1186</v>
      </c>
      <c r="F335">
        <v>0.15</v>
      </c>
      <c r="G335">
        <v>81.849999999999994</v>
      </c>
      <c r="I335" t="str" cm="1">
        <f t="array" ref="I335:J335">_xlfn.TEXTSPLIT(A335," ")</f>
        <v>27.10.2023</v>
      </c>
      <c r="J335" t="str">
        <v>05:33:17</v>
      </c>
      <c r="K335">
        <f t="shared" si="88"/>
        <v>5.533333333333319</v>
      </c>
      <c r="L335">
        <f t="shared" si="81"/>
        <v>1.9400000000000013</v>
      </c>
      <c r="M335">
        <f t="shared" si="82"/>
        <v>0</v>
      </c>
      <c r="N335">
        <f t="shared" si="76"/>
        <v>0.33499999999999996</v>
      </c>
      <c r="Q335" t="str" cm="1">
        <f t="array" ref="Q335:R335">_xlfn.TEXTSPLIT(E335," ")</f>
        <v>27.10.2023</v>
      </c>
      <c r="R335" t="str">
        <v>05:33:17</v>
      </c>
      <c r="S335">
        <f t="shared" si="89"/>
        <v>5.533333333333319</v>
      </c>
      <c r="T335">
        <f t="shared" si="80"/>
        <v>3.25</v>
      </c>
      <c r="U335">
        <f t="shared" si="83"/>
        <v>0.15</v>
      </c>
      <c r="V335">
        <f t="shared" si="77"/>
        <v>0.55249999999999988</v>
      </c>
      <c r="AC335" t="s">
        <v>1187</v>
      </c>
      <c r="AD335">
        <v>0</v>
      </c>
      <c r="AE335">
        <v>5.55</v>
      </c>
      <c r="AG335" t="str" cm="1">
        <f t="array" ref="AG335:AH335">_xlfn.TEXTSPLIT(AC336," ")</f>
        <v>26.10.2023</v>
      </c>
      <c r="AH335" t="str">
        <v>05:34:21</v>
      </c>
      <c r="AI335">
        <f t="shared" si="90"/>
        <v>5.533333333333319</v>
      </c>
      <c r="AJ335">
        <f t="shared" si="84"/>
        <v>1.0199999999999996</v>
      </c>
      <c r="AK335">
        <f t="shared" si="85"/>
        <v>0</v>
      </c>
      <c r="AL335">
        <f t="shared" si="78"/>
        <v>0.21500000000000005</v>
      </c>
      <c r="AN335" t="s">
        <v>1187</v>
      </c>
      <c r="AO335">
        <v>0.3</v>
      </c>
      <c r="AP335">
        <v>65.48</v>
      </c>
      <c r="AR335" t="str" cm="1">
        <f t="array" ref="AR335:AS335">_xlfn.TEXTSPLIT(AN335," ")</f>
        <v>26.10.2023</v>
      </c>
      <c r="AS335" t="str">
        <v>05:33:21</v>
      </c>
      <c r="AT335">
        <f t="shared" si="91"/>
        <v>5.533333333333319</v>
      </c>
      <c r="AU335">
        <f t="shared" si="86"/>
        <v>4.1700000000000017</v>
      </c>
      <c r="AV335">
        <f t="shared" si="87"/>
        <v>0.3</v>
      </c>
      <c r="AW335">
        <f t="shared" si="79"/>
        <v>0.73999999999999955</v>
      </c>
    </row>
    <row r="336" spans="1:49" x14ac:dyDescent="0.25">
      <c r="A336" t="s">
        <v>1188</v>
      </c>
      <c r="B336">
        <v>0</v>
      </c>
      <c r="C336">
        <v>16.260000000000002</v>
      </c>
      <c r="E336" t="s">
        <v>1188</v>
      </c>
      <c r="F336">
        <v>0.3</v>
      </c>
      <c r="G336">
        <v>81.849999999999994</v>
      </c>
      <c r="I336" t="str" cm="1">
        <f t="array" ref="I336:J336">_xlfn.TEXTSPLIT(A336," ")</f>
        <v>27.10.2023</v>
      </c>
      <c r="J336" t="str">
        <v>05:34:18</v>
      </c>
      <c r="K336">
        <f t="shared" si="88"/>
        <v>5.5499999999999856</v>
      </c>
      <c r="L336">
        <f t="shared" si="81"/>
        <v>1.9400000000000013</v>
      </c>
      <c r="M336">
        <f t="shared" si="82"/>
        <v>0</v>
      </c>
      <c r="N336">
        <f t="shared" si="76"/>
        <v>0.33499999999999996</v>
      </c>
      <c r="Q336" t="str" cm="1">
        <f t="array" ref="Q336:R336">_xlfn.TEXTSPLIT(E336," ")</f>
        <v>27.10.2023</v>
      </c>
      <c r="R336" t="str">
        <v>05:34:18</v>
      </c>
      <c r="S336">
        <f t="shared" si="89"/>
        <v>5.5499999999999856</v>
      </c>
      <c r="T336">
        <f t="shared" si="80"/>
        <v>3.25</v>
      </c>
      <c r="U336">
        <f t="shared" si="83"/>
        <v>0.3</v>
      </c>
      <c r="V336">
        <f t="shared" si="77"/>
        <v>0.55249999999999999</v>
      </c>
      <c r="AC336" t="s">
        <v>1189</v>
      </c>
      <c r="AD336">
        <v>0</v>
      </c>
      <c r="AE336">
        <v>5.55</v>
      </c>
      <c r="AG336" t="str" cm="1">
        <f t="array" ref="AG336:AH336">_xlfn.TEXTSPLIT(AC337," ")</f>
        <v>26.10.2023</v>
      </c>
      <c r="AH336" t="str">
        <v>05:35:21</v>
      </c>
      <c r="AI336">
        <f t="shared" si="90"/>
        <v>5.5499999999999856</v>
      </c>
      <c r="AJ336">
        <f t="shared" si="84"/>
        <v>1.0199999999999996</v>
      </c>
      <c r="AK336">
        <f t="shared" si="85"/>
        <v>0</v>
      </c>
      <c r="AL336">
        <f t="shared" si="78"/>
        <v>0.21500000000000005</v>
      </c>
      <c r="AN336" t="s">
        <v>1189</v>
      </c>
      <c r="AO336">
        <v>0.6</v>
      </c>
      <c r="AP336">
        <v>65.489999999999995</v>
      </c>
      <c r="AR336" t="str" cm="1">
        <f t="array" ref="AR336:AS336">_xlfn.TEXTSPLIT(AN336," ")</f>
        <v>26.10.2023</v>
      </c>
      <c r="AS336" t="str">
        <v>05:34:21</v>
      </c>
      <c r="AT336">
        <f t="shared" si="91"/>
        <v>5.5499999999999856</v>
      </c>
      <c r="AU336">
        <f t="shared" si="86"/>
        <v>4.1799999999999926</v>
      </c>
      <c r="AV336">
        <f t="shared" si="87"/>
        <v>0.6</v>
      </c>
      <c r="AW336">
        <f t="shared" si="79"/>
        <v>0.74249999999999949</v>
      </c>
    </row>
    <row r="337" spans="1:49" x14ac:dyDescent="0.25">
      <c r="A337" t="s">
        <v>1190</v>
      </c>
      <c r="B337">
        <v>0</v>
      </c>
      <c r="C337">
        <v>16.260000000000002</v>
      </c>
      <c r="E337" t="s">
        <v>1190</v>
      </c>
      <c r="F337">
        <v>0.15</v>
      </c>
      <c r="G337">
        <v>81.849999999999994</v>
      </c>
      <c r="I337" t="str" cm="1">
        <f t="array" ref="I337:J337">_xlfn.TEXTSPLIT(A337," ")</f>
        <v>27.10.2023</v>
      </c>
      <c r="J337" t="str">
        <v>05:35:18</v>
      </c>
      <c r="K337">
        <f t="shared" si="88"/>
        <v>5.5666666666666522</v>
      </c>
      <c r="L337">
        <f t="shared" si="81"/>
        <v>1.9400000000000013</v>
      </c>
      <c r="M337">
        <f t="shared" si="82"/>
        <v>0</v>
      </c>
      <c r="N337">
        <f t="shared" si="76"/>
        <v>0.33499999999999996</v>
      </c>
      <c r="Q337" t="str" cm="1">
        <f t="array" ref="Q337:R337">_xlfn.TEXTSPLIT(E337," ")</f>
        <v>27.10.2023</v>
      </c>
      <c r="R337" t="str">
        <v>05:35:18</v>
      </c>
      <c r="S337">
        <f t="shared" si="89"/>
        <v>5.5666666666666522</v>
      </c>
      <c r="T337">
        <f t="shared" si="80"/>
        <v>3.25</v>
      </c>
      <c r="U337">
        <f t="shared" si="83"/>
        <v>0.15</v>
      </c>
      <c r="V337">
        <f t="shared" si="77"/>
        <v>0.54749999999999988</v>
      </c>
      <c r="AC337" t="s">
        <v>1191</v>
      </c>
      <c r="AD337">
        <v>0</v>
      </c>
      <c r="AE337">
        <v>5.55</v>
      </c>
      <c r="AG337" t="str" cm="1">
        <f t="array" ref="AG337:AH337">_xlfn.TEXTSPLIT(AC338," ")</f>
        <v>26.10.2023</v>
      </c>
      <c r="AH337" t="str">
        <v>05:36:21</v>
      </c>
      <c r="AI337">
        <f t="shared" si="90"/>
        <v>5.5666666666666522</v>
      </c>
      <c r="AJ337">
        <f t="shared" si="84"/>
        <v>1.0199999999999996</v>
      </c>
      <c r="AK337">
        <f t="shared" si="85"/>
        <v>0</v>
      </c>
      <c r="AL337">
        <f t="shared" si="78"/>
        <v>0.21500000000000005</v>
      </c>
      <c r="AN337" t="s">
        <v>1191</v>
      </c>
      <c r="AO337">
        <v>0.45</v>
      </c>
      <c r="AP337">
        <v>65.5</v>
      </c>
      <c r="AR337" t="str" cm="1">
        <f t="array" ref="AR337:AS337">_xlfn.TEXTSPLIT(AN337," ")</f>
        <v>26.10.2023</v>
      </c>
      <c r="AS337" t="str">
        <v>05:35:21</v>
      </c>
      <c r="AT337">
        <f t="shared" si="91"/>
        <v>5.5666666666666522</v>
      </c>
      <c r="AU337">
        <f t="shared" si="86"/>
        <v>4.1899999999999977</v>
      </c>
      <c r="AV337">
        <f t="shared" si="87"/>
        <v>0.45</v>
      </c>
      <c r="AW337">
        <f t="shared" si="79"/>
        <v>0.7424999999999996</v>
      </c>
    </row>
    <row r="338" spans="1:49" x14ac:dyDescent="0.25">
      <c r="A338" t="s">
        <v>1192</v>
      </c>
      <c r="B338">
        <v>0</v>
      </c>
      <c r="C338">
        <v>16.260000000000002</v>
      </c>
      <c r="E338" t="s">
        <v>1192</v>
      </c>
      <c r="F338">
        <v>0.6</v>
      </c>
      <c r="G338">
        <v>81.86</v>
      </c>
      <c r="I338" t="str" cm="1">
        <f t="array" ref="I338:J338">_xlfn.TEXTSPLIT(A338," ")</f>
        <v>27.10.2023</v>
      </c>
      <c r="J338" t="str">
        <v>05:36:18</v>
      </c>
      <c r="K338">
        <f t="shared" si="88"/>
        <v>5.5833333333333188</v>
      </c>
      <c r="L338">
        <f t="shared" si="81"/>
        <v>1.9400000000000013</v>
      </c>
      <c r="M338">
        <f t="shared" si="82"/>
        <v>0</v>
      </c>
      <c r="N338">
        <f t="shared" si="76"/>
        <v>0.33</v>
      </c>
      <c r="Q338" t="str" cm="1">
        <f t="array" ref="Q338:R338">_xlfn.TEXTSPLIT(E338," ")</f>
        <v>27.10.2023</v>
      </c>
      <c r="R338" t="str">
        <v>05:36:18</v>
      </c>
      <c r="S338">
        <f t="shared" si="89"/>
        <v>5.5833333333333188</v>
      </c>
      <c r="T338">
        <f t="shared" si="80"/>
        <v>3.2600000000000051</v>
      </c>
      <c r="U338">
        <f t="shared" si="83"/>
        <v>0.6</v>
      </c>
      <c r="V338">
        <f t="shared" si="77"/>
        <v>0.54249999999999998</v>
      </c>
      <c r="AC338" t="s">
        <v>1193</v>
      </c>
      <c r="AD338">
        <v>0</v>
      </c>
      <c r="AE338">
        <v>5.55</v>
      </c>
      <c r="AG338" t="str" cm="1">
        <f t="array" ref="AG338:AH338">_xlfn.TEXTSPLIT(AC339," ")</f>
        <v>26.10.2023</v>
      </c>
      <c r="AH338" t="str">
        <v>05:37:21</v>
      </c>
      <c r="AI338">
        <f t="shared" si="90"/>
        <v>5.5833333333333188</v>
      </c>
      <c r="AJ338">
        <f t="shared" si="84"/>
        <v>1.0199999999999996</v>
      </c>
      <c r="AK338">
        <f t="shared" si="85"/>
        <v>0</v>
      </c>
      <c r="AL338">
        <f t="shared" si="78"/>
        <v>0.21500000000000005</v>
      </c>
      <c r="AN338" t="s">
        <v>1193</v>
      </c>
      <c r="AO338">
        <v>0.9</v>
      </c>
      <c r="AP338">
        <v>65.510000000000005</v>
      </c>
      <c r="AR338" t="str" cm="1">
        <f t="array" ref="AR338:AS338">_xlfn.TEXTSPLIT(AN338," ")</f>
        <v>26.10.2023</v>
      </c>
      <c r="AS338" t="str">
        <v>05:36:21</v>
      </c>
      <c r="AT338">
        <f t="shared" si="91"/>
        <v>5.5833333333333188</v>
      </c>
      <c r="AU338">
        <f t="shared" si="86"/>
        <v>4.2000000000000028</v>
      </c>
      <c r="AV338">
        <f t="shared" si="87"/>
        <v>0.9</v>
      </c>
      <c r="AW338">
        <f t="shared" si="79"/>
        <v>0.74499999999999955</v>
      </c>
    </row>
    <row r="339" spans="1:49" x14ac:dyDescent="0.25">
      <c r="A339" t="s">
        <v>1194</v>
      </c>
      <c r="B339">
        <v>0</v>
      </c>
      <c r="C339">
        <v>16.260000000000002</v>
      </c>
      <c r="E339" t="s">
        <v>1194</v>
      </c>
      <c r="F339">
        <v>1.05</v>
      </c>
      <c r="G339">
        <v>81.88</v>
      </c>
      <c r="I339" t="str" cm="1">
        <f t="array" ref="I339:J339">_xlfn.TEXTSPLIT(A339," ")</f>
        <v>27.10.2023</v>
      </c>
      <c r="J339" t="str">
        <v>05:37:18</v>
      </c>
      <c r="K339">
        <f t="shared" si="88"/>
        <v>5.5999999999999854</v>
      </c>
      <c r="L339">
        <f t="shared" si="81"/>
        <v>1.9400000000000013</v>
      </c>
      <c r="M339">
        <f t="shared" si="82"/>
        <v>0</v>
      </c>
      <c r="N339">
        <f t="shared" si="76"/>
        <v>0.32749999999999996</v>
      </c>
      <c r="Q339" t="str" cm="1">
        <f t="array" ref="Q339:R339">_xlfn.TEXTSPLIT(E339," ")</f>
        <v>27.10.2023</v>
      </c>
      <c r="R339" t="str">
        <v>05:37:18</v>
      </c>
      <c r="S339">
        <f t="shared" si="89"/>
        <v>5.5999999999999854</v>
      </c>
      <c r="T339">
        <f t="shared" si="80"/>
        <v>3.2800000000000011</v>
      </c>
      <c r="U339">
        <f t="shared" si="83"/>
        <v>1.05</v>
      </c>
      <c r="V339">
        <f t="shared" si="77"/>
        <v>0.52750000000000008</v>
      </c>
      <c r="AC339" t="s">
        <v>1195</v>
      </c>
      <c r="AD339">
        <v>0</v>
      </c>
      <c r="AE339">
        <v>5.55</v>
      </c>
      <c r="AG339" t="str" cm="1">
        <f t="array" ref="AG339:AH339">_xlfn.TEXTSPLIT(AC340," ")</f>
        <v>26.10.2023</v>
      </c>
      <c r="AH339" t="str">
        <v>05:38:21</v>
      </c>
      <c r="AI339">
        <f t="shared" si="90"/>
        <v>5.5999999999999854</v>
      </c>
      <c r="AJ339">
        <f t="shared" si="84"/>
        <v>1.0199999999999996</v>
      </c>
      <c r="AK339">
        <f t="shared" si="85"/>
        <v>0</v>
      </c>
      <c r="AL339">
        <f t="shared" si="78"/>
        <v>0.21500000000000005</v>
      </c>
      <c r="AN339" t="s">
        <v>1195</v>
      </c>
      <c r="AO339">
        <v>1.8</v>
      </c>
      <c r="AP339">
        <v>65.55</v>
      </c>
      <c r="AR339" t="str" cm="1">
        <f t="array" ref="AR339:AS339">_xlfn.TEXTSPLIT(AN339," ")</f>
        <v>26.10.2023</v>
      </c>
      <c r="AS339" t="str">
        <v>05:37:21</v>
      </c>
      <c r="AT339">
        <f t="shared" si="91"/>
        <v>5.5999999999999854</v>
      </c>
      <c r="AU339">
        <f t="shared" si="86"/>
        <v>4.2399999999999949</v>
      </c>
      <c r="AV339">
        <f t="shared" si="87"/>
        <v>1.8</v>
      </c>
      <c r="AW339">
        <f t="shared" si="79"/>
        <v>0.74499999999999944</v>
      </c>
    </row>
    <row r="340" spans="1:49" x14ac:dyDescent="0.25">
      <c r="A340" t="s">
        <v>1196</v>
      </c>
      <c r="B340">
        <v>0.45</v>
      </c>
      <c r="C340">
        <v>16.28</v>
      </c>
      <c r="E340" t="s">
        <v>1196</v>
      </c>
      <c r="F340">
        <v>1.65</v>
      </c>
      <c r="G340">
        <v>81.91</v>
      </c>
      <c r="I340" t="str" cm="1">
        <f t="array" ref="I340:J340">_xlfn.TEXTSPLIT(A340," ")</f>
        <v>27.10.2023</v>
      </c>
      <c r="J340" t="str">
        <v>05:38:18</v>
      </c>
      <c r="K340">
        <f t="shared" si="88"/>
        <v>5.616666666666652</v>
      </c>
      <c r="L340">
        <f t="shared" si="81"/>
        <v>1.9600000000000009</v>
      </c>
      <c r="M340">
        <f t="shared" si="82"/>
        <v>0.45</v>
      </c>
      <c r="N340">
        <f t="shared" si="76"/>
        <v>0.31249999999999994</v>
      </c>
      <c r="Q340" t="str" cm="1">
        <f t="array" ref="Q340:R340">_xlfn.TEXTSPLIT(E340," ")</f>
        <v>27.10.2023</v>
      </c>
      <c r="R340" t="str">
        <v>05:38:18</v>
      </c>
      <c r="S340">
        <f t="shared" si="89"/>
        <v>5.616666666666652</v>
      </c>
      <c r="T340">
        <f t="shared" si="80"/>
        <v>3.3100000000000023</v>
      </c>
      <c r="U340">
        <f t="shared" si="83"/>
        <v>1.65</v>
      </c>
      <c r="V340">
        <f t="shared" si="77"/>
        <v>0.53</v>
      </c>
      <c r="AC340" t="s">
        <v>1197</v>
      </c>
      <c r="AD340">
        <v>0</v>
      </c>
      <c r="AE340">
        <v>5.55</v>
      </c>
      <c r="AG340" t="str" cm="1">
        <f t="array" ref="AG340:AH340">_xlfn.TEXTSPLIT(AC341," ")</f>
        <v>26.10.2023</v>
      </c>
      <c r="AH340" t="str">
        <v>05:39:21</v>
      </c>
      <c r="AI340">
        <f t="shared" si="90"/>
        <v>5.616666666666652</v>
      </c>
      <c r="AJ340">
        <f t="shared" si="84"/>
        <v>1.0199999999999996</v>
      </c>
      <c r="AK340">
        <f t="shared" si="85"/>
        <v>0</v>
      </c>
      <c r="AL340">
        <f t="shared" si="78"/>
        <v>0.21500000000000005</v>
      </c>
      <c r="AN340" t="s">
        <v>1197</v>
      </c>
      <c r="AO340">
        <v>1.95</v>
      </c>
      <c r="AP340">
        <v>65.58</v>
      </c>
      <c r="AR340" t="str" cm="1">
        <f t="array" ref="AR340:AS340">_xlfn.TEXTSPLIT(AN340," ")</f>
        <v>26.10.2023</v>
      </c>
      <c r="AS340" t="str">
        <v>05:38:21</v>
      </c>
      <c r="AT340">
        <f t="shared" si="91"/>
        <v>5.616666666666652</v>
      </c>
      <c r="AU340">
        <f t="shared" si="86"/>
        <v>4.269999999999996</v>
      </c>
      <c r="AV340">
        <f t="shared" si="87"/>
        <v>1.95</v>
      </c>
      <c r="AW340">
        <f t="shared" si="79"/>
        <v>0.73999999999999977</v>
      </c>
    </row>
    <row r="341" spans="1:49" x14ac:dyDescent="0.25">
      <c r="A341" t="s">
        <v>1198</v>
      </c>
      <c r="B341">
        <v>2.4</v>
      </c>
      <c r="C341">
        <v>16.32</v>
      </c>
      <c r="E341" t="s">
        <v>1198</v>
      </c>
      <c r="F341">
        <v>1.8</v>
      </c>
      <c r="G341">
        <v>81.94</v>
      </c>
      <c r="I341" t="str" cm="1">
        <f t="array" ref="I341:J341">_xlfn.TEXTSPLIT(A341," ")</f>
        <v>27.10.2023</v>
      </c>
      <c r="J341" t="str">
        <v>05:39:18</v>
      </c>
      <c r="K341">
        <f t="shared" si="88"/>
        <v>5.6333333333333186</v>
      </c>
      <c r="L341">
        <f t="shared" si="81"/>
        <v>2</v>
      </c>
      <c r="M341">
        <f t="shared" si="82"/>
        <v>2.4</v>
      </c>
      <c r="N341">
        <f t="shared" si="76"/>
        <v>0.3249999999999999</v>
      </c>
      <c r="Q341" t="str" cm="1">
        <f t="array" ref="Q341:R341">_xlfn.TEXTSPLIT(E341," ")</f>
        <v>27.10.2023</v>
      </c>
      <c r="R341" t="str">
        <v>05:39:18</v>
      </c>
      <c r="S341">
        <f t="shared" si="89"/>
        <v>5.6333333333333186</v>
      </c>
      <c r="T341">
        <f t="shared" si="80"/>
        <v>3.3400000000000034</v>
      </c>
      <c r="U341">
        <f t="shared" si="83"/>
        <v>1.8</v>
      </c>
      <c r="V341">
        <f t="shared" si="77"/>
        <v>0.54249999999999998</v>
      </c>
      <c r="AC341" t="s">
        <v>1199</v>
      </c>
      <c r="AD341">
        <v>1.35</v>
      </c>
      <c r="AE341">
        <v>5.58</v>
      </c>
      <c r="AG341" t="str" cm="1">
        <f t="array" ref="AG341:AH341">_xlfn.TEXTSPLIT(AC342," ")</f>
        <v>26.10.2023</v>
      </c>
      <c r="AH341" t="str">
        <v>05:40:22</v>
      </c>
      <c r="AI341">
        <f t="shared" si="90"/>
        <v>5.6333333333333186</v>
      </c>
      <c r="AJ341">
        <f t="shared" si="84"/>
        <v>1.0499999999999998</v>
      </c>
      <c r="AK341">
        <f t="shared" si="85"/>
        <v>1.35</v>
      </c>
      <c r="AL341">
        <f t="shared" si="78"/>
        <v>0.23750000000000007</v>
      </c>
      <c r="AN341" t="s">
        <v>1199</v>
      </c>
      <c r="AO341">
        <v>2.1</v>
      </c>
      <c r="AP341">
        <v>65.62</v>
      </c>
      <c r="AR341" t="str" cm="1">
        <f t="array" ref="AR341:AS341">_xlfn.TEXTSPLIT(AN341," ")</f>
        <v>26.10.2023</v>
      </c>
      <c r="AS341" t="str">
        <v>05:39:21</v>
      </c>
      <c r="AT341">
        <f t="shared" si="91"/>
        <v>5.6333333333333186</v>
      </c>
      <c r="AU341">
        <f t="shared" si="86"/>
        <v>4.3100000000000023</v>
      </c>
      <c r="AV341">
        <f t="shared" si="87"/>
        <v>2.1</v>
      </c>
      <c r="AW341">
        <f t="shared" si="79"/>
        <v>0.74249999999999983</v>
      </c>
    </row>
    <row r="342" spans="1:49" x14ac:dyDescent="0.25">
      <c r="A342" t="s">
        <v>1200</v>
      </c>
      <c r="B342">
        <v>1.2</v>
      </c>
      <c r="C342">
        <v>16.329999999999998</v>
      </c>
      <c r="E342" t="s">
        <v>1200</v>
      </c>
      <c r="F342">
        <v>1.8</v>
      </c>
      <c r="G342">
        <v>81.97</v>
      </c>
      <c r="I342" t="str" cm="1">
        <f t="array" ref="I342:J342">_xlfn.TEXTSPLIT(A342," ")</f>
        <v>27.10.2023</v>
      </c>
      <c r="J342" t="str">
        <v>05:40:18</v>
      </c>
      <c r="K342">
        <f t="shared" si="88"/>
        <v>5.6499999999999853</v>
      </c>
      <c r="L342">
        <f t="shared" si="81"/>
        <v>2.009999999999998</v>
      </c>
      <c r="M342">
        <f t="shared" si="82"/>
        <v>1.2</v>
      </c>
      <c r="N342">
        <f t="shared" si="76"/>
        <v>0.32749999999999996</v>
      </c>
      <c r="Q342" t="str" cm="1">
        <f t="array" ref="Q342:R342">_xlfn.TEXTSPLIT(E342," ")</f>
        <v>27.10.2023</v>
      </c>
      <c r="R342" t="str">
        <v>05:40:18</v>
      </c>
      <c r="S342">
        <f t="shared" si="89"/>
        <v>5.6499999999999853</v>
      </c>
      <c r="T342">
        <f t="shared" si="80"/>
        <v>3.3700000000000045</v>
      </c>
      <c r="U342">
        <f t="shared" si="83"/>
        <v>1.8</v>
      </c>
      <c r="V342">
        <f t="shared" si="77"/>
        <v>0.55500000000000005</v>
      </c>
      <c r="AC342" t="s">
        <v>1201</v>
      </c>
      <c r="AD342">
        <v>1.65</v>
      </c>
      <c r="AE342">
        <v>5.61</v>
      </c>
      <c r="AG342" t="str" cm="1">
        <f t="array" ref="AG342:AH342">_xlfn.TEXTSPLIT(AC343," ")</f>
        <v>26.10.2023</v>
      </c>
      <c r="AH342" t="str">
        <v>05:41:22</v>
      </c>
      <c r="AI342">
        <f t="shared" si="90"/>
        <v>5.6499999999999853</v>
      </c>
      <c r="AJ342">
        <f t="shared" si="84"/>
        <v>1.08</v>
      </c>
      <c r="AK342">
        <f t="shared" si="85"/>
        <v>1.65</v>
      </c>
      <c r="AL342">
        <f t="shared" si="78"/>
        <v>0.24250000000000002</v>
      </c>
      <c r="AN342" t="s">
        <v>1201</v>
      </c>
      <c r="AO342">
        <v>1.8</v>
      </c>
      <c r="AP342">
        <v>65.650000000000006</v>
      </c>
      <c r="AR342" t="str" cm="1">
        <f t="array" ref="AR342:AS342">_xlfn.TEXTSPLIT(AN342," ")</f>
        <v>26.10.2023</v>
      </c>
      <c r="AS342" t="str">
        <v>05:40:22</v>
      </c>
      <c r="AT342">
        <f t="shared" si="91"/>
        <v>5.6499999999999853</v>
      </c>
      <c r="AU342">
        <f t="shared" si="86"/>
        <v>4.3400000000000034</v>
      </c>
      <c r="AV342">
        <f t="shared" si="87"/>
        <v>1.8</v>
      </c>
      <c r="AW342">
        <f t="shared" si="79"/>
        <v>0.73999999999999977</v>
      </c>
    </row>
    <row r="343" spans="1:49" x14ac:dyDescent="0.25">
      <c r="A343" t="s">
        <v>1202</v>
      </c>
      <c r="B343">
        <v>0.9</v>
      </c>
      <c r="C343">
        <v>16.350000000000001</v>
      </c>
      <c r="E343" t="s">
        <v>1202</v>
      </c>
      <c r="F343">
        <v>0.9</v>
      </c>
      <c r="G343">
        <v>81.98</v>
      </c>
      <c r="I343" t="str" cm="1">
        <f t="array" ref="I343:J343">_xlfn.TEXTSPLIT(A343," ")</f>
        <v>27.10.2023</v>
      </c>
      <c r="J343" t="str">
        <v>05:41:19</v>
      </c>
      <c r="K343">
        <f t="shared" si="88"/>
        <v>5.6666666666666519</v>
      </c>
      <c r="L343">
        <f t="shared" si="81"/>
        <v>2.0300000000000011</v>
      </c>
      <c r="M343">
        <f t="shared" si="82"/>
        <v>0.9</v>
      </c>
      <c r="N343">
        <f t="shared" si="76"/>
        <v>0.32</v>
      </c>
      <c r="Q343" t="str" cm="1">
        <f t="array" ref="Q343:R343">_xlfn.TEXTSPLIT(E343," ")</f>
        <v>27.10.2023</v>
      </c>
      <c r="R343" t="str">
        <v>05:41:19</v>
      </c>
      <c r="S343">
        <f t="shared" si="89"/>
        <v>5.6666666666666519</v>
      </c>
      <c r="T343">
        <f t="shared" si="80"/>
        <v>3.3800000000000097</v>
      </c>
      <c r="U343">
        <f t="shared" si="83"/>
        <v>0.9</v>
      </c>
      <c r="V343">
        <f t="shared" si="77"/>
        <v>0.55000000000000004</v>
      </c>
      <c r="AC343" t="s">
        <v>1203</v>
      </c>
      <c r="AD343">
        <v>1.8</v>
      </c>
      <c r="AE343">
        <v>5.64</v>
      </c>
      <c r="AG343" t="str" cm="1">
        <f t="array" ref="AG343:AH343">_xlfn.TEXTSPLIT(AC344," ")</f>
        <v>26.10.2023</v>
      </c>
      <c r="AH343" t="str">
        <v>05:42:22</v>
      </c>
      <c r="AI343">
        <f t="shared" si="90"/>
        <v>5.6666666666666519</v>
      </c>
      <c r="AJ343">
        <f t="shared" si="84"/>
        <v>1.1099999999999994</v>
      </c>
      <c r="AK343">
        <f t="shared" si="85"/>
        <v>1.8</v>
      </c>
      <c r="AL343">
        <f t="shared" si="78"/>
        <v>0.26</v>
      </c>
      <c r="AN343" t="s">
        <v>1203</v>
      </c>
      <c r="AO343">
        <v>1.65</v>
      </c>
      <c r="AP343">
        <v>65.680000000000007</v>
      </c>
      <c r="AR343" t="str" cm="1">
        <f t="array" ref="AR343:AS343">_xlfn.TEXTSPLIT(AN343," ")</f>
        <v>26.10.2023</v>
      </c>
      <c r="AS343" t="str">
        <v>05:41:22</v>
      </c>
      <c r="AT343">
        <f t="shared" si="91"/>
        <v>5.6666666666666519</v>
      </c>
      <c r="AU343">
        <f t="shared" si="86"/>
        <v>4.3700000000000045</v>
      </c>
      <c r="AV343">
        <f t="shared" si="87"/>
        <v>1.65</v>
      </c>
      <c r="AW343">
        <f t="shared" si="79"/>
        <v>0.74249999999999983</v>
      </c>
    </row>
    <row r="344" spans="1:49" x14ac:dyDescent="0.25">
      <c r="A344" t="s">
        <v>1204</v>
      </c>
      <c r="B344">
        <v>0.75</v>
      </c>
      <c r="C344">
        <v>16.36</v>
      </c>
      <c r="E344" t="s">
        <v>1204</v>
      </c>
      <c r="F344">
        <v>0.6</v>
      </c>
      <c r="G344">
        <v>81.99</v>
      </c>
      <c r="I344" t="str" cm="1">
        <f t="array" ref="I344:J344">_xlfn.TEXTSPLIT(A344," ")</f>
        <v>27.10.2023</v>
      </c>
      <c r="J344" t="str">
        <v>05:42:19</v>
      </c>
      <c r="K344">
        <f t="shared" si="88"/>
        <v>5.6833333333333185</v>
      </c>
      <c r="L344">
        <f t="shared" si="81"/>
        <v>2.0399999999999991</v>
      </c>
      <c r="M344">
        <f t="shared" si="82"/>
        <v>0.75</v>
      </c>
      <c r="N344">
        <f t="shared" si="76"/>
        <v>0.31749999999999995</v>
      </c>
      <c r="Q344" t="str" cm="1">
        <f t="array" ref="Q344:R344">_xlfn.TEXTSPLIT(E344," ")</f>
        <v>27.10.2023</v>
      </c>
      <c r="R344" t="str">
        <v>05:42:19</v>
      </c>
      <c r="S344">
        <f t="shared" si="89"/>
        <v>5.6833333333333185</v>
      </c>
      <c r="T344">
        <f t="shared" si="80"/>
        <v>3.3900000000000006</v>
      </c>
      <c r="U344">
        <f t="shared" si="83"/>
        <v>0.6</v>
      </c>
      <c r="V344">
        <f t="shared" si="77"/>
        <v>0.54250000000000009</v>
      </c>
      <c r="AC344" t="s">
        <v>1205</v>
      </c>
      <c r="AD344">
        <v>1.35</v>
      </c>
      <c r="AE344">
        <v>5.66</v>
      </c>
      <c r="AG344" t="str" cm="1">
        <f t="array" ref="AG344:AH344">_xlfn.TEXTSPLIT(AC345," ")</f>
        <v>26.10.2023</v>
      </c>
      <c r="AH344" t="str">
        <v>05:43:22</v>
      </c>
      <c r="AI344">
        <f t="shared" si="90"/>
        <v>5.6833333333333185</v>
      </c>
      <c r="AJ344">
        <f t="shared" si="84"/>
        <v>1.1299999999999999</v>
      </c>
      <c r="AK344">
        <f t="shared" si="85"/>
        <v>1.35</v>
      </c>
      <c r="AL344">
        <f t="shared" si="78"/>
        <v>0.26500000000000001</v>
      </c>
      <c r="AN344" t="s">
        <v>1205</v>
      </c>
      <c r="AO344">
        <v>0.9</v>
      </c>
      <c r="AP344">
        <v>65.69</v>
      </c>
      <c r="AR344" t="str" cm="1">
        <f t="array" ref="AR344:AS344">_xlfn.TEXTSPLIT(AN344," ")</f>
        <v>26.10.2023</v>
      </c>
      <c r="AS344" t="str">
        <v>05:42:22</v>
      </c>
      <c r="AT344">
        <f t="shared" si="91"/>
        <v>5.6833333333333185</v>
      </c>
      <c r="AU344">
        <f t="shared" si="86"/>
        <v>4.3799999999999955</v>
      </c>
      <c r="AV344">
        <f t="shared" si="87"/>
        <v>0.9</v>
      </c>
      <c r="AW344">
        <f t="shared" si="79"/>
        <v>0.73750000000000004</v>
      </c>
    </row>
    <row r="345" spans="1:49" x14ac:dyDescent="0.25">
      <c r="A345" t="s">
        <v>1206</v>
      </c>
      <c r="B345">
        <v>0.45</v>
      </c>
      <c r="C345">
        <v>16.36</v>
      </c>
      <c r="E345" t="s">
        <v>1206</v>
      </c>
      <c r="F345">
        <v>1.05</v>
      </c>
      <c r="G345">
        <v>82.01</v>
      </c>
      <c r="I345" t="str" cm="1">
        <f t="array" ref="I345:J345">_xlfn.TEXTSPLIT(A345," ")</f>
        <v>27.10.2023</v>
      </c>
      <c r="J345" t="str">
        <v>05:43:19</v>
      </c>
      <c r="K345">
        <f t="shared" si="88"/>
        <v>5.6999999999999851</v>
      </c>
      <c r="L345">
        <f t="shared" si="81"/>
        <v>2.0399999999999991</v>
      </c>
      <c r="M345">
        <f t="shared" si="82"/>
        <v>0.45</v>
      </c>
      <c r="N345">
        <f t="shared" si="76"/>
        <v>0.30999999999999994</v>
      </c>
      <c r="Q345" t="str" cm="1">
        <f t="array" ref="Q345:R345">_xlfn.TEXTSPLIT(E345," ")</f>
        <v>27.10.2023</v>
      </c>
      <c r="R345" t="str">
        <v>05:43:19</v>
      </c>
      <c r="S345">
        <f t="shared" si="89"/>
        <v>5.6999999999999851</v>
      </c>
      <c r="T345">
        <f t="shared" si="80"/>
        <v>3.4100000000000108</v>
      </c>
      <c r="U345">
        <f t="shared" si="83"/>
        <v>1.05</v>
      </c>
      <c r="V345">
        <f t="shared" si="77"/>
        <v>0.53999999999999992</v>
      </c>
      <c r="AC345" t="s">
        <v>1207</v>
      </c>
      <c r="AD345">
        <v>0.9</v>
      </c>
      <c r="AE345">
        <v>5.67</v>
      </c>
      <c r="AG345" t="str" cm="1">
        <f t="array" ref="AG345:AH345">_xlfn.TEXTSPLIT(AC346," ")</f>
        <v>26.10.2023</v>
      </c>
      <c r="AH345" t="str">
        <v>05:44:22</v>
      </c>
      <c r="AI345">
        <f t="shared" si="90"/>
        <v>5.6999999999999851</v>
      </c>
      <c r="AJ345">
        <f t="shared" si="84"/>
        <v>1.1399999999999997</v>
      </c>
      <c r="AK345">
        <f t="shared" si="85"/>
        <v>0.9</v>
      </c>
      <c r="AL345">
        <f t="shared" si="78"/>
        <v>0.27750000000000002</v>
      </c>
      <c r="AN345" t="s">
        <v>1207</v>
      </c>
      <c r="AO345">
        <v>0.45</v>
      </c>
      <c r="AP345">
        <v>65.7</v>
      </c>
      <c r="AR345" t="str" cm="1">
        <f t="array" ref="AR345:AS345">_xlfn.TEXTSPLIT(AN345," ")</f>
        <v>26.10.2023</v>
      </c>
      <c r="AS345" t="str">
        <v>05:43:22</v>
      </c>
      <c r="AT345">
        <f t="shared" si="91"/>
        <v>5.6999999999999851</v>
      </c>
      <c r="AU345">
        <f t="shared" si="86"/>
        <v>4.3900000000000006</v>
      </c>
      <c r="AV345">
        <f t="shared" si="87"/>
        <v>0.45</v>
      </c>
      <c r="AW345">
        <f t="shared" si="79"/>
        <v>0.73499999999999999</v>
      </c>
    </row>
    <row r="346" spans="1:49" x14ac:dyDescent="0.25">
      <c r="A346" t="s">
        <v>1208</v>
      </c>
      <c r="B346">
        <v>0.3</v>
      </c>
      <c r="C346">
        <v>16.37</v>
      </c>
      <c r="E346" t="s">
        <v>1208</v>
      </c>
      <c r="F346">
        <v>0.45</v>
      </c>
      <c r="G346">
        <v>82.02</v>
      </c>
      <c r="I346" t="str" cm="1">
        <f t="array" ref="I346:J346">_xlfn.TEXTSPLIT(A346," ")</f>
        <v>27.10.2023</v>
      </c>
      <c r="J346" t="str">
        <v>05:44:19</v>
      </c>
      <c r="K346">
        <f t="shared" si="88"/>
        <v>5.7166666666666517</v>
      </c>
      <c r="L346">
        <f t="shared" si="81"/>
        <v>2.0500000000000007</v>
      </c>
      <c r="M346">
        <f t="shared" si="82"/>
        <v>0.3</v>
      </c>
      <c r="N346">
        <f t="shared" si="76"/>
        <v>0.30499999999999999</v>
      </c>
      <c r="Q346" t="str" cm="1">
        <f t="array" ref="Q346:R346">_xlfn.TEXTSPLIT(E346," ")</f>
        <v>27.10.2023</v>
      </c>
      <c r="R346" t="str">
        <v>05:44:19</v>
      </c>
      <c r="S346">
        <f t="shared" si="89"/>
        <v>5.7166666666666517</v>
      </c>
      <c r="T346">
        <f t="shared" si="80"/>
        <v>3.4200000000000017</v>
      </c>
      <c r="U346">
        <f t="shared" si="83"/>
        <v>0.45</v>
      </c>
      <c r="V346">
        <f t="shared" si="77"/>
        <v>0.53500000000000003</v>
      </c>
      <c r="AC346" t="s">
        <v>1209</v>
      </c>
      <c r="AD346">
        <v>0.45</v>
      </c>
      <c r="AE346">
        <v>5.68</v>
      </c>
      <c r="AG346" t="str" cm="1">
        <f t="array" ref="AG346:AH346">_xlfn.TEXTSPLIT(AC347," ")</f>
        <v>26.10.2023</v>
      </c>
      <c r="AH346" t="str">
        <v>05:45:22</v>
      </c>
      <c r="AI346">
        <f t="shared" si="90"/>
        <v>5.7166666666666517</v>
      </c>
      <c r="AJ346">
        <f t="shared" si="84"/>
        <v>1.1499999999999995</v>
      </c>
      <c r="AK346">
        <f t="shared" si="85"/>
        <v>0.45</v>
      </c>
      <c r="AL346">
        <f t="shared" si="78"/>
        <v>0.28250000000000003</v>
      </c>
      <c r="AN346" t="s">
        <v>1209</v>
      </c>
      <c r="AO346">
        <v>0.75</v>
      </c>
      <c r="AP346">
        <v>65.709999999999994</v>
      </c>
      <c r="AR346" t="str" cm="1">
        <f t="array" ref="AR346:AS346">_xlfn.TEXTSPLIT(AN346," ")</f>
        <v>26.10.2023</v>
      </c>
      <c r="AS346" t="str">
        <v>05:44:22</v>
      </c>
      <c r="AT346">
        <f t="shared" si="91"/>
        <v>5.7166666666666517</v>
      </c>
      <c r="AU346">
        <f t="shared" si="86"/>
        <v>4.3999999999999915</v>
      </c>
      <c r="AV346">
        <f t="shared" si="87"/>
        <v>0.75</v>
      </c>
      <c r="AW346">
        <f t="shared" si="79"/>
        <v>0.73499999999999999</v>
      </c>
    </row>
    <row r="347" spans="1:49" x14ac:dyDescent="0.25">
      <c r="A347" t="s">
        <v>1210</v>
      </c>
      <c r="B347">
        <v>0.15</v>
      </c>
      <c r="C347">
        <v>16.37</v>
      </c>
      <c r="E347" t="s">
        <v>1210</v>
      </c>
      <c r="F347">
        <v>0.6</v>
      </c>
      <c r="G347">
        <v>82.03</v>
      </c>
      <c r="I347" t="str" cm="1">
        <f t="array" ref="I347:J347">_xlfn.TEXTSPLIT(A347," ")</f>
        <v>27.10.2023</v>
      </c>
      <c r="J347" t="str">
        <v>05:45:19</v>
      </c>
      <c r="K347">
        <f t="shared" si="88"/>
        <v>5.7333333333333183</v>
      </c>
      <c r="L347">
        <f t="shared" si="81"/>
        <v>2.0500000000000007</v>
      </c>
      <c r="M347">
        <f t="shared" si="82"/>
        <v>0.15</v>
      </c>
      <c r="N347">
        <f t="shared" si="76"/>
        <v>0.29749999999999999</v>
      </c>
      <c r="Q347" t="str" cm="1">
        <f t="array" ref="Q347:R347">_xlfn.TEXTSPLIT(E347," ")</f>
        <v>27.10.2023</v>
      </c>
      <c r="R347" t="str">
        <v>05:45:19</v>
      </c>
      <c r="S347">
        <f t="shared" si="89"/>
        <v>5.7333333333333183</v>
      </c>
      <c r="T347">
        <f t="shared" si="80"/>
        <v>3.4300000000000068</v>
      </c>
      <c r="U347">
        <f t="shared" si="83"/>
        <v>0.6</v>
      </c>
      <c r="V347">
        <f t="shared" si="77"/>
        <v>0.53499999999999992</v>
      </c>
      <c r="AC347" t="s">
        <v>1211</v>
      </c>
      <c r="AD347">
        <v>0.6</v>
      </c>
      <c r="AE347">
        <v>5.69</v>
      </c>
      <c r="AG347" t="str" cm="1">
        <f t="array" ref="AG347:AH347">_xlfn.TEXTSPLIT(AC348," ")</f>
        <v>26.10.2023</v>
      </c>
      <c r="AH347" t="str">
        <v>05:46:22</v>
      </c>
      <c r="AI347">
        <f t="shared" si="90"/>
        <v>5.7333333333333183</v>
      </c>
      <c r="AJ347">
        <f t="shared" si="84"/>
        <v>1.1600000000000001</v>
      </c>
      <c r="AK347">
        <f t="shared" si="85"/>
        <v>0.6</v>
      </c>
      <c r="AL347">
        <f t="shared" si="78"/>
        <v>0.28500000000000009</v>
      </c>
      <c r="AN347" t="s">
        <v>1211</v>
      </c>
      <c r="AO347">
        <v>0.75</v>
      </c>
      <c r="AP347">
        <v>65.72</v>
      </c>
      <c r="AR347" t="str" cm="1">
        <f t="array" ref="AR347:AS347">_xlfn.TEXTSPLIT(AN347," ")</f>
        <v>26.10.2023</v>
      </c>
      <c r="AS347" t="str">
        <v>05:45:22</v>
      </c>
      <c r="AT347">
        <f t="shared" si="91"/>
        <v>5.7333333333333183</v>
      </c>
      <c r="AU347">
        <f t="shared" si="86"/>
        <v>4.4099999999999966</v>
      </c>
      <c r="AV347">
        <f t="shared" si="87"/>
        <v>0.75</v>
      </c>
      <c r="AW347">
        <f t="shared" si="79"/>
        <v>0.73750000000000004</v>
      </c>
    </row>
    <row r="348" spans="1:49" x14ac:dyDescent="0.25">
      <c r="A348" t="s">
        <v>1212</v>
      </c>
      <c r="B348">
        <v>0.3</v>
      </c>
      <c r="C348">
        <v>16.38</v>
      </c>
      <c r="E348" t="s">
        <v>1212</v>
      </c>
      <c r="F348">
        <v>0.45</v>
      </c>
      <c r="G348">
        <v>82.03</v>
      </c>
      <c r="I348" t="str" cm="1">
        <f t="array" ref="I348:J348">_xlfn.TEXTSPLIT(A348," ")</f>
        <v>27.10.2023</v>
      </c>
      <c r="J348" t="str">
        <v>05:46:19</v>
      </c>
      <c r="K348">
        <f t="shared" si="88"/>
        <v>5.7499999999999849</v>
      </c>
      <c r="L348">
        <f t="shared" si="81"/>
        <v>2.0599999999999987</v>
      </c>
      <c r="M348">
        <f t="shared" si="82"/>
        <v>0.3</v>
      </c>
      <c r="N348">
        <f t="shared" si="76"/>
        <v>0.29250000000000004</v>
      </c>
      <c r="Q348" t="str" cm="1">
        <f t="array" ref="Q348:R348">_xlfn.TEXTSPLIT(E348," ")</f>
        <v>27.10.2023</v>
      </c>
      <c r="R348" t="str">
        <v>05:46:19</v>
      </c>
      <c r="S348">
        <f t="shared" si="89"/>
        <v>5.7499999999999849</v>
      </c>
      <c r="T348">
        <f t="shared" si="80"/>
        <v>3.4300000000000068</v>
      </c>
      <c r="U348">
        <f t="shared" si="83"/>
        <v>0.45</v>
      </c>
      <c r="V348">
        <f t="shared" si="77"/>
        <v>0.53249999999999997</v>
      </c>
      <c r="AC348" t="s">
        <v>1213</v>
      </c>
      <c r="AD348">
        <v>0.3</v>
      </c>
      <c r="AE348">
        <v>5.69</v>
      </c>
      <c r="AG348" t="str" cm="1">
        <f t="array" ref="AG348:AH348">_xlfn.TEXTSPLIT(AC349," ")</f>
        <v>26.10.2023</v>
      </c>
      <c r="AH348" t="str">
        <v>05:47:22</v>
      </c>
      <c r="AI348">
        <f t="shared" si="90"/>
        <v>5.7499999999999849</v>
      </c>
      <c r="AJ348">
        <f t="shared" si="84"/>
        <v>1.1600000000000001</v>
      </c>
      <c r="AK348">
        <f t="shared" si="85"/>
        <v>0.3</v>
      </c>
      <c r="AL348">
        <f t="shared" si="78"/>
        <v>0.28750000000000003</v>
      </c>
      <c r="AN348" t="s">
        <v>1213</v>
      </c>
      <c r="AO348">
        <v>0.6</v>
      </c>
      <c r="AP348">
        <v>65.739999999999995</v>
      </c>
      <c r="AR348" t="str" cm="1">
        <f t="array" ref="AR348:AS348">_xlfn.TEXTSPLIT(AN348," ")</f>
        <v>26.10.2023</v>
      </c>
      <c r="AS348" t="str">
        <v>05:46:22</v>
      </c>
      <c r="AT348">
        <f t="shared" si="91"/>
        <v>5.7499999999999849</v>
      </c>
      <c r="AU348">
        <f t="shared" si="86"/>
        <v>4.4299999999999926</v>
      </c>
      <c r="AV348">
        <f t="shared" si="87"/>
        <v>0.6</v>
      </c>
      <c r="AW348">
        <f t="shared" si="79"/>
        <v>0.73750000000000016</v>
      </c>
    </row>
    <row r="349" spans="1:49" x14ac:dyDescent="0.25">
      <c r="A349" t="s">
        <v>1214</v>
      </c>
      <c r="B349">
        <v>0.15</v>
      </c>
      <c r="C349">
        <v>16.38</v>
      </c>
      <c r="E349" t="s">
        <v>1214</v>
      </c>
      <c r="F349">
        <v>0.6</v>
      </c>
      <c r="G349">
        <v>82.04</v>
      </c>
      <c r="I349" t="str" cm="1">
        <f t="array" ref="I349:J349">_xlfn.TEXTSPLIT(A349," ")</f>
        <v>27.10.2023</v>
      </c>
      <c r="J349" t="str">
        <v>05:47:20</v>
      </c>
      <c r="K349">
        <f t="shared" si="88"/>
        <v>5.7666666666666515</v>
      </c>
      <c r="L349">
        <f t="shared" si="81"/>
        <v>2.0599999999999987</v>
      </c>
      <c r="M349">
        <f t="shared" si="82"/>
        <v>0.15</v>
      </c>
      <c r="N349">
        <f t="shared" si="76"/>
        <v>0.29250000000000004</v>
      </c>
      <c r="Q349" t="str" cm="1">
        <f t="array" ref="Q349:R349">_xlfn.TEXTSPLIT(E349," ")</f>
        <v>27.10.2023</v>
      </c>
      <c r="R349" t="str">
        <v>05:47:20</v>
      </c>
      <c r="S349">
        <f t="shared" si="89"/>
        <v>5.7666666666666515</v>
      </c>
      <c r="T349">
        <f t="shared" si="80"/>
        <v>3.4400000000000119</v>
      </c>
      <c r="U349">
        <f t="shared" si="83"/>
        <v>0.6</v>
      </c>
      <c r="V349">
        <f t="shared" si="77"/>
        <v>0.53249999999999997</v>
      </c>
      <c r="AC349" t="s">
        <v>1215</v>
      </c>
      <c r="AD349">
        <v>0.3</v>
      </c>
      <c r="AE349">
        <v>5.7</v>
      </c>
      <c r="AG349" t="str" cm="1">
        <f t="array" ref="AG349:AH349">_xlfn.TEXTSPLIT(AC350," ")</f>
        <v>26.10.2023</v>
      </c>
      <c r="AH349" t="str">
        <v>05:48:22</v>
      </c>
      <c r="AI349">
        <f t="shared" si="90"/>
        <v>5.7666666666666515</v>
      </c>
      <c r="AJ349">
        <f t="shared" si="84"/>
        <v>1.17</v>
      </c>
      <c r="AK349">
        <f t="shared" si="85"/>
        <v>0.3</v>
      </c>
      <c r="AL349">
        <f t="shared" si="78"/>
        <v>0.29250000000000009</v>
      </c>
      <c r="AN349" t="s">
        <v>1215</v>
      </c>
      <c r="AO349">
        <v>0.9</v>
      </c>
      <c r="AP349">
        <v>65.739999999999995</v>
      </c>
      <c r="AR349" t="str" cm="1">
        <f t="array" ref="AR349:AS349">_xlfn.TEXTSPLIT(AN349," ")</f>
        <v>26.10.2023</v>
      </c>
      <c r="AS349" t="str">
        <v>05:47:22</v>
      </c>
      <c r="AT349">
        <f t="shared" si="91"/>
        <v>5.7666666666666515</v>
      </c>
      <c r="AU349">
        <f t="shared" si="86"/>
        <v>4.4299999999999926</v>
      </c>
      <c r="AV349">
        <f t="shared" si="87"/>
        <v>0.9</v>
      </c>
      <c r="AW349">
        <f t="shared" si="79"/>
        <v>0.7400000000000001</v>
      </c>
    </row>
    <row r="350" spans="1:49" x14ac:dyDescent="0.25">
      <c r="A350" t="s">
        <v>1216</v>
      </c>
      <c r="B350">
        <v>0.15</v>
      </c>
      <c r="C350">
        <v>16.39</v>
      </c>
      <c r="E350" t="s">
        <v>1216</v>
      </c>
      <c r="F350">
        <v>0.6</v>
      </c>
      <c r="G350">
        <v>82.05</v>
      </c>
      <c r="I350" t="str" cm="1">
        <f t="array" ref="I350:J350">_xlfn.TEXTSPLIT(A350," ")</f>
        <v>27.10.2023</v>
      </c>
      <c r="J350" t="str">
        <v>05:48:20</v>
      </c>
      <c r="K350">
        <f t="shared" si="88"/>
        <v>5.7833333333333181</v>
      </c>
      <c r="L350">
        <f t="shared" si="81"/>
        <v>2.0700000000000003</v>
      </c>
      <c r="M350">
        <f t="shared" si="82"/>
        <v>0.15</v>
      </c>
      <c r="N350">
        <f t="shared" si="76"/>
        <v>0.29000000000000004</v>
      </c>
      <c r="Q350" t="str" cm="1">
        <f t="array" ref="Q350:R350">_xlfn.TEXTSPLIT(E350," ")</f>
        <v>27.10.2023</v>
      </c>
      <c r="R350" t="str">
        <v>05:48:20</v>
      </c>
      <c r="S350">
        <f t="shared" si="89"/>
        <v>5.7833333333333181</v>
      </c>
      <c r="T350">
        <f t="shared" si="80"/>
        <v>3.4500000000000028</v>
      </c>
      <c r="U350">
        <f t="shared" si="83"/>
        <v>0.6</v>
      </c>
      <c r="V350">
        <f t="shared" si="77"/>
        <v>0.53499999999999992</v>
      </c>
      <c r="AC350" t="s">
        <v>1217</v>
      </c>
      <c r="AD350">
        <v>0.45</v>
      </c>
      <c r="AE350">
        <v>5.7</v>
      </c>
      <c r="AG350" t="str" cm="1">
        <f t="array" ref="AG350:AH350">_xlfn.TEXTSPLIT(AC351," ")</f>
        <v>26.10.2023</v>
      </c>
      <c r="AH350" t="str">
        <v>05:49:22</v>
      </c>
      <c r="AI350">
        <f t="shared" si="90"/>
        <v>5.7833333333333181</v>
      </c>
      <c r="AJ350">
        <f t="shared" si="84"/>
        <v>1.17</v>
      </c>
      <c r="AK350">
        <f t="shared" si="85"/>
        <v>0.45</v>
      </c>
      <c r="AL350">
        <f t="shared" si="78"/>
        <v>0.30000000000000004</v>
      </c>
      <c r="AN350" t="s">
        <v>1217</v>
      </c>
      <c r="AO350">
        <v>0.9</v>
      </c>
      <c r="AP350">
        <v>65.760000000000005</v>
      </c>
      <c r="AR350" t="str" cm="1">
        <f t="array" ref="AR350:AS350">_xlfn.TEXTSPLIT(AN350," ")</f>
        <v>26.10.2023</v>
      </c>
      <c r="AS350" t="str">
        <v>05:48:22</v>
      </c>
      <c r="AT350">
        <f t="shared" si="91"/>
        <v>5.7833333333333181</v>
      </c>
      <c r="AU350">
        <f t="shared" si="86"/>
        <v>4.4500000000000028</v>
      </c>
      <c r="AV350">
        <f t="shared" si="87"/>
        <v>0.9</v>
      </c>
      <c r="AW350">
        <f t="shared" si="79"/>
        <v>0.745</v>
      </c>
    </row>
    <row r="351" spans="1:49" x14ac:dyDescent="0.25">
      <c r="A351" t="s">
        <v>1218</v>
      </c>
      <c r="B351">
        <v>0.3</v>
      </c>
      <c r="C351">
        <v>16.39</v>
      </c>
      <c r="E351" t="s">
        <v>1218</v>
      </c>
      <c r="F351">
        <v>0.75</v>
      </c>
      <c r="G351">
        <v>82.06</v>
      </c>
      <c r="I351" t="str" cm="1">
        <f t="array" ref="I351:J351">_xlfn.TEXTSPLIT(A351," ")</f>
        <v>27.10.2023</v>
      </c>
      <c r="J351" t="str">
        <v>05:49:20</v>
      </c>
      <c r="K351">
        <f t="shared" si="88"/>
        <v>5.7999999999999847</v>
      </c>
      <c r="L351">
        <f t="shared" si="81"/>
        <v>2.0700000000000003</v>
      </c>
      <c r="M351">
        <f t="shared" si="82"/>
        <v>0.3</v>
      </c>
      <c r="N351">
        <f t="shared" si="76"/>
        <v>0.29000000000000004</v>
      </c>
      <c r="Q351" t="str" cm="1">
        <f t="array" ref="Q351:R351">_xlfn.TEXTSPLIT(E351," ")</f>
        <v>27.10.2023</v>
      </c>
      <c r="R351" t="str">
        <v>05:49:20</v>
      </c>
      <c r="S351">
        <f t="shared" si="89"/>
        <v>5.7999999999999847</v>
      </c>
      <c r="T351">
        <f t="shared" si="80"/>
        <v>3.460000000000008</v>
      </c>
      <c r="U351">
        <f t="shared" si="83"/>
        <v>0.75</v>
      </c>
      <c r="V351">
        <f t="shared" si="77"/>
        <v>0.53749999999999998</v>
      </c>
      <c r="AC351" t="s">
        <v>1219</v>
      </c>
      <c r="AD351">
        <v>0.3</v>
      </c>
      <c r="AE351">
        <v>5.71</v>
      </c>
      <c r="AG351" t="str" cm="1">
        <f t="array" ref="AG351:AH351">_xlfn.TEXTSPLIT(AC352," ")</f>
        <v>26.10.2023</v>
      </c>
      <c r="AH351" t="str">
        <v>05:50:23</v>
      </c>
      <c r="AI351">
        <f t="shared" si="90"/>
        <v>5.7999999999999847</v>
      </c>
      <c r="AJ351">
        <f t="shared" si="84"/>
        <v>1.1799999999999997</v>
      </c>
      <c r="AK351">
        <f t="shared" si="85"/>
        <v>0.3</v>
      </c>
      <c r="AL351">
        <f t="shared" si="78"/>
        <v>0.3025000000000001</v>
      </c>
      <c r="AN351" t="s">
        <v>1219</v>
      </c>
      <c r="AO351">
        <v>0.75</v>
      </c>
      <c r="AP351">
        <v>65.77</v>
      </c>
      <c r="AR351" t="str" cm="1">
        <f t="array" ref="AR351:AS351">_xlfn.TEXTSPLIT(AN351," ")</f>
        <v>26.10.2023</v>
      </c>
      <c r="AS351" t="str">
        <v>05:49:22</v>
      </c>
      <c r="AT351">
        <f t="shared" si="91"/>
        <v>5.7999999999999847</v>
      </c>
      <c r="AU351">
        <f t="shared" si="86"/>
        <v>4.4599999999999937</v>
      </c>
      <c r="AV351">
        <f t="shared" si="87"/>
        <v>0.75</v>
      </c>
      <c r="AW351">
        <f t="shared" si="79"/>
        <v>0.74750000000000005</v>
      </c>
    </row>
    <row r="352" spans="1:49" x14ac:dyDescent="0.25">
      <c r="A352" t="s">
        <v>1220</v>
      </c>
      <c r="B352">
        <v>0.3</v>
      </c>
      <c r="C352">
        <v>16.399999999999999</v>
      </c>
      <c r="E352" t="s">
        <v>1220</v>
      </c>
      <c r="F352">
        <v>0.6</v>
      </c>
      <c r="G352">
        <v>82.07</v>
      </c>
      <c r="I352" t="str" cm="1">
        <f t="array" ref="I352:J352">_xlfn.TEXTSPLIT(A352," ")</f>
        <v>27.10.2023</v>
      </c>
      <c r="J352" t="str">
        <v>05:50:20</v>
      </c>
      <c r="K352">
        <f t="shared" si="88"/>
        <v>5.8166666666666513</v>
      </c>
      <c r="L352">
        <f t="shared" si="81"/>
        <v>2.0799999999999983</v>
      </c>
      <c r="M352">
        <f t="shared" si="82"/>
        <v>0.3</v>
      </c>
      <c r="N352">
        <f t="shared" si="76"/>
        <v>0.28999999999999998</v>
      </c>
      <c r="Q352" t="str" cm="1">
        <f t="array" ref="Q352:R352">_xlfn.TEXTSPLIT(E352," ")</f>
        <v>27.10.2023</v>
      </c>
      <c r="R352" t="str">
        <v>05:50:20</v>
      </c>
      <c r="S352">
        <f t="shared" si="89"/>
        <v>5.8166666666666513</v>
      </c>
      <c r="T352">
        <f t="shared" si="80"/>
        <v>3.4699999999999989</v>
      </c>
      <c r="U352">
        <f t="shared" si="83"/>
        <v>0.6</v>
      </c>
      <c r="V352">
        <f t="shared" si="77"/>
        <v>0.53999999999999981</v>
      </c>
      <c r="AC352" t="s">
        <v>1221</v>
      </c>
      <c r="AD352">
        <v>0.45</v>
      </c>
      <c r="AE352">
        <v>5.72</v>
      </c>
      <c r="AG352" t="str" cm="1">
        <f t="array" ref="AG352:AH352">_xlfn.TEXTSPLIT(AC353," ")</f>
        <v>26.10.2023</v>
      </c>
      <c r="AH352" t="str">
        <v>05:51:23</v>
      </c>
      <c r="AI352">
        <f t="shared" si="90"/>
        <v>5.8166666666666513</v>
      </c>
      <c r="AJ352">
        <f t="shared" si="84"/>
        <v>1.1899999999999995</v>
      </c>
      <c r="AK352">
        <f t="shared" si="85"/>
        <v>0.45</v>
      </c>
      <c r="AL352">
        <f t="shared" si="78"/>
        <v>0.31000000000000011</v>
      </c>
      <c r="AN352" t="s">
        <v>1221</v>
      </c>
      <c r="AO352">
        <v>0.9</v>
      </c>
      <c r="AP352">
        <v>65.790000000000006</v>
      </c>
      <c r="AR352" t="str" cm="1">
        <f t="array" ref="AR352:AS352">_xlfn.TEXTSPLIT(AN352," ")</f>
        <v>26.10.2023</v>
      </c>
      <c r="AS352" t="str">
        <v>05:50:23</v>
      </c>
      <c r="AT352">
        <f t="shared" si="91"/>
        <v>5.8166666666666513</v>
      </c>
      <c r="AU352">
        <f t="shared" si="86"/>
        <v>4.480000000000004</v>
      </c>
      <c r="AV352">
        <f t="shared" si="87"/>
        <v>0.9</v>
      </c>
      <c r="AW352">
        <f t="shared" si="79"/>
        <v>0.74750000000000005</v>
      </c>
    </row>
    <row r="353" spans="1:49" x14ac:dyDescent="0.25">
      <c r="A353" t="s">
        <v>1222</v>
      </c>
      <c r="B353">
        <v>0.3</v>
      </c>
      <c r="C353">
        <v>16.399999999999999</v>
      </c>
      <c r="E353" t="s">
        <v>1222</v>
      </c>
      <c r="F353">
        <v>0.6</v>
      </c>
      <c r="G353">
        <v>82.08</v>
      </c>
      <c r="I353" t="str" cm="1">
        <f t="array" ref="I353:J353">_xlfn.TEXTSPLIT(A353," ")</f>
        <v>27.10.2023</v>
      </c>
      <c r="J353" t="str">
        <v>05:51:20</v>
      </c>
      <c r="K353">
        <f t="shared" si="88"/>
        <v>5.8333333333333179</v>
      </c>
      <c r="L353">
        <f t="shared" si="81"/>
        <v>2.0799999999999983</v>
      </c>
      <c r="M353">
        <f t="shared" si="82"/>
        <v>0.3</v>
      </c>
      <c r="N353">
        <f t="shared" si="76"/>
        <v>0.29250000000000004</v>
      </c>
      <c r="Q353" t="str" cm="1">
        <f t="array" ref="Q353:R353">_xlfn.TEXTSPLIT(E353," ")</f>
        <v>27.10.2023</v>
      </c>
      <c r="R353" t="str">
        <v>05:51:20</v>
      </c>
      <c r="S353">
        <f t="shared" si="89"/>
        <v>5.8333333333333179</v>
      </c>
      <c r="T353">
        <f t="shared" si="80"/>
        <v>3.480000000000004</v>
      </c>
      <c r="U353">
        <f t="shared" si="83"/>
        <v>0.6</v>
      </c>
      <c r="V353">
        <f t="shared" si="77"/>
        <v>0.53999999999999992</v>
      </c>
      <c r="AC353" t="s">
        <v>1223</v>
      </c>
      <c r="AD353">
        <v>0.3</v>
      </c>
      <c r="AE353">
        <v>5.72</v>
      </c>
      <c r="AG353" t="str" cm="1">
        <f t="array" ref="AG353:AH353">_xlfn.TEXTSPLIT(AC354," ")</f>
        <v>26.10.2023</v>
      </c>
      <c r="AH353" t="str">
        <v>05:52:23</v>
      </c>
      <c r="AI353">
        <f t="shared" si="90"/>
        <v>5.8333333333333179</v>
      </c>
      <c r="AJ353">
        <f t="shared" si="84"/>
        <v>1.1899999999999995</v>
      </c>
      <c r="AK353">
        <f t="shared" si="85"/>
        <v>0.3</v>
      </c>
      <c r="AL353">
        <f t="shared" si="78"/>
        <v>0.31500000000000011</v>
      </c>
      <c r="AN353" t="s">
        <v>1223</v>
      </c>
      <c r="AO353">
        <v>0.75</v>
      </c>
      <c r="AP353">
        <v>65.8</v>
      </c>
      <c r="AR353" t="str" cm="1">
        <f t="array" ref="AR353:AS353">_xlfn.TEXTSPLIT(AN353," ")</f>
        <v>26.10.2023</v>
      </c>
      <c r="AS353" t="str">
        <v>05:51:23</v>
      </c>
      <c r="AT353">
        <f t="shared" si="91"/>
        <v>5.8333333333333179</v>
      </c>
      <c r="AU353">
        <f t="shared" si="86"/>
        <v>4.4899999999999949</v>
      </c>
      <c r="AV353">
        <f t="shared" si="87"/>
        <v>0.75</v>
      </c>
      <c r="AW353">
        <f t="shared" si="79"/>
        <v>0.74</v>
      </c>
    </row>
    <row r="354" spans="1:49" x14ac:dyDescent="0.25">
      <c r="A354" t="s">
        <v>1224</v>
      </c>
      <c r="B354">
        <v>0.45</v>
      </c>
      <c r="C354">
        <v>16.41</v>
      </c>
      <c r="E354" t="s">
        <v>1224</v>
      </c>
      <c r="F354">
        <v>0</v>
      </c>
      <c r="G354">
        <v>82.08</v>
      </c>
      <c r="I354" t="str" cm="1">
        <f t="array" ref="I354:J354">_xlfn.TEXTSPLIT(A354," ")</f>
        <v>27.10.2023</v>
      </c>
      <c r="J354" t="str">
        <v>05:52:20</v>
      </c>
      <c r="K354">
        <f t="shared" si="88"/>
        <v>5.8499999999999845</v>
      </c>
      <c r="L354">
        <f t="shared" si="81"/>
        <v>2.09</v>
      </c>
      <c r="M354">
        <f t="shared" si="82"/>
        <v>0.45</v>
      </c>
      <c r="N354">
        <f t="shared" si="76"/>
        <v>0.29750000000000004</v>
      </c>
      <c r="Q354" t="str" cm="1">
        <f t="array" ref="Q354:R354">_xlfn.TEXTSPLIT(E354," ")</f>
        <v>27.10.2023</v>
      </c>
      <c r="R354" t="str">
        <v>05:52:20</v>
      </c>
      <c r="S354">
        <f t="shared" si="89"/>
        <v>5.8499999999999845</v>
      </c>
      <c r="T354">
        <f t="shared" si="80"/>
        <v>3.480000000000004</v>
      </c>
      <c r="U354">
        <f t="shared" si="83"/>
        <v>0</v>
      </c>
      <c r="V354">
        <f t="shared" si="77"/>
        <v>0.53749999999999987</v>
      </c>
      <c r="AC354" t="s">
        <v>1225</v>
      </c>
      <c r="AD354">
        <v>0</v>
      </c>
      <c r="AE354">
        <v>5.73</v>
      </c>
      <c r="AG354" t="str" cm="1">
        <f t="array" ref="AG354:AH354">_xlfn.TEXTSPLIT(AC355," ")</f>
        <v>26.10.2023</v>
      </c>
      <c r="AH354" t="str">
        <v>05:53:23</v>
      </c>
      <c r="AI354">
        <f t="shared" si="90"/>
        <v>5.8499999999999845</v>
      </c>
      <c r="AJ354">
        <f t="shared" si="84"/>
        <v>1.2000000000000002</v>
      </c>
      <c r="AK354">
        <f t="shared" si="85"/>
        <v>0</v>
      </c>
      <c r="AL354">
        <f t="shared" si="78"/>
        <v>0.31500000000000011</v>
      </c>
      <c r="AN354" t="s">
        <v>1225</v>
      </c>
      <c r="AO354">
        <v>0.3</v>
      </c>
      <c r="AP354">
        <v>65.8</v>
      </c>
      <c r="AR354" t="str" cm="1">
        <f t="array" ref="AR354:AS354">_xlfn.TEXTSPLIT(AN354," ")</f>
        <v>26.10.2023</v>
      </c>
      <c r="AS354" t="str">
        <v>05:52:23</v>
      </c>
      <c r="AT354">
        <f t="shared" si="91"/>
        <v>5.8499999999999845</v>
      </c>
      <c r="AU354">
        <f t="shared" si="86"/>
        <v>4.4899999999999949</v>
      </c>
      <c r="AV354">
        <f t="shared" si="87"/>
        <v>0.3</v>
      </c>
      <c r="AW354">
        <f t="shared" si="79"/>
        <v>0.73749999999999993</v>
      </c>
    </row>
    <row r="355" spans="1:49" x14ac:dyDescent="0.25">
      <c r="A355" t="s">
        <v>1226</v>
      </c>
      <c r="B355">
        <v>0</v>
      </c>
      <c r="C355">
        <v>16.41</v>
      </c>
      <c r="E355" t="s">
        <v>1226</v>
      </c>
      <c r="F355">
        <v>0.15</v>
      </c>
      <c r="G355">
        <v>82.08</v>
      </c>
      <c r="I355" t="str" cm="1">
        <f t="array" ref="I355:J355">_xlfn.TEXTSPLIT(A355," ")</f>
        <v>27.10.2023</v>
      </c>
      <c r="J355" t="str">
        <v>05:53:20</v>
      </c>
      <c r="K355">
        <f t="shared" si="88"/>
        <v>5.8666666666666512</v>
      </c>
      <c r="L355">
        <f t="shared" si="81"/>
        <v>2.09</v>
      </c>
      <c r="M355">
        <f t="shared" si="82"/>
        <v>0</v>
      </c>
      <c r="N355">
        <f t="shared" si="76"/>
        <v>0.29750000000000004</v>
      </c>
      <c r="Q355" t="str" cm="1">
        <f t="array" ref="Q355:R355">_xlfn.TEXTSPLIT(E355," ")</f>
        <v>27.10.2023</v>
      </c>
      <c r="R355" t="str">
        <v>05:53:20</v>
      </c>
      <c r="S355">
        <f t="shared" si="89"/>
        <v>5.8666666666666512</v>
      </c>
      <c r="T355">
        <f t="shared" si="80"/>
        <v>3.480000000000004</v>
      </c>
      <c r="U355">
        <f t="shared" si="83"/>
        <v>0.15</v>
      </c>
      <c r="V355">
        <f t="shared" si="77"/>
        <v>0.53749999999999987</v>
      </c>
      <c r="AC355" t="s">
        <v>1227</v>
      </c>
      <c r="AD355">
        <v>0.45</v>
      </c>
      <c r="AE355">
        <v>5.73</v>
      </c>
      <c r="AG355" t="str" cm="1">
        <f t="array" ref="AG355:AH355">_xlfn.TEXTSPLIT(AC356," ")</f>
        <v>26.10.2023</v>
      </c>
      <c r="AH355" t="str">
        <v>05:54:23</v>
      </c>
      <c r="AI355">
        <f t="shared" si="90"/>
        <v>5.8666666666666512</v>
      </c>
      <c r="AJ355">
        <f t="shared" si="84"/>
        <v>1.2000000000000002</v>
      </c>
      <c r="AK355">
        <f t="shared" si="85"/>
        <v>0.45</v>
      </c>
      <c r="AL355">
        <f t="shared" si="78"/>
        <v>0.32250000000000006</v>
      </c>
      <c r="AN355" t="s">
        <v>1227</v>
      </c>
      <c r="AO355">
        <v>0</v>
      </c>
      <c r="AP355">
        <v>65.8</v>
      </c>
      <c r="AR355" t="str" cm="1">
        <f t="array" ref="AR355:AS355">_xlfn.TEXTSPLIT(AN355," ")</f>
        <v>26.10.2023</v>
      </c>
      <c r="AS355" t="str">
        <v>05:53:23</v>
      </c>
      <c r="AT355">
        <f t="shared" si="91"/>
        <v>5.8666666666666512</v>
      </c>
      <c r="AU355">
        <f t="shared" si="86"/>
        <v>4.4899999999999949</v>
      </c>
      <c r="AV355">
        <f t="shared" si="87"/>
        <v>0</v>
      </c>
      <c r="AW355">
        <f t="shared" si="79"/>
        <v>0.73749999999999993</v>
      </c>
    </row>
    <row r="356" spans="1:49" x14ac:dyDescent="0.25">
      <c r="A356" t="s">
        <v>1228</v>
      </c>
      <c r="B356">
        <v>0</v>
      </c>
      <c r="C356">
        <v>16.41</v>
      </c>
      <c r="E356" t="s">
        <v>1228</v>
      </c>
      <c r="F356">
        <v>0</v>
      </c>
      <c r="G356">
        <v>82.08</v>
      </c>
      <c r="I356" t="str" cm="1">
        <f t="array" ref="I356:J356">_xlfn.TEXTSPLIT(A356," ")</f>
        <v>27.10.2023</v>
      </c>
      <c r="J356" t="str">
        <v>05:54:21</v>
      </c>
      <c r="K356">
        <f t="shared" si="88"/>
        <v>5.8833333333333178</v>
      </c>
      <c r="L356">
        <f t="shared" si="81"/>
        <v>2.09</v>
      </c>
      <c r="M356">
        <f t="shared" si="82"/>
        <v>0</v>
      </c>
      <c r="N356">
        <f t="shared" si="76"/>
        <v>0.29750000000000004</v>
      </c>
      <c r="Q356" t="str" cm="1">
        <f t="array" ref="Q356:R356">_xlfn.TEXTSPLIT(E356," ")</f>
        <v>27.10.2023</v>
      </c>
      <c r="R356" t="str">
        <v>05:54:21</v>
      </c>
      <c r="S356">
        <f t="shared" si="89"/>
        <v>5.8833333333333178</v>
      </c>
      <c r="T356">
        <f t="shared" si="80"/>
        <v>3.480000000000004</v>
      </c>
      <c r="U356">
        <f t="shared" si="83"/>
        <v>0</v>
      </c>
      <c r="V356">
        <f t="shared" si="77"/>
        <v>0.53749999999999987</v>
      </c>
      <c r="AC356" t="s">
        <v>1229</v>
      </c>
      <c r="AD356">
        <v>0</v>
      </c>
      <c r="AE356">
        <v>5.73</v>
      </c>
      <c r="AG356" t="str" cm="1">
        <f t="array" ref="AG356:AH356">_xlfn.TEXTSPLIT(AC357," ")</f>
        <v>26.10.2023</v>
      </c>
      <c r="AH356" t="str">
        <v>05:55:23</v>
      </c>
      <c r="AI356">
        <f t="shared" si="90"/>
        <v>5.8833333333333178</v>
      </c>
      <c r="AJ356">
        <f t="shared" si="84"/>
        <v>1.2000000000000002</v>
      </c>
      <c r="AK356">
        <f t="shared" si="85"/>
        <v>0</v>
      </c>
      <c r="AL356">
        <f t="shared" si="78"/>
        <v>0.32250000000000006</v>
      </c>
      <c r="AN356" t="s">
        <v>1229</v>
      </c>
      <c r="AO356">
        <v>0</v>
      </c>
      <c r="AP356">
        <v>65.8</v>
      </c>
      <c r="AR356" t="str" cm="1">
        <f t="array" ref="AR356:AS356">_xlfn.TEXTSPLIT(AN356," ")</f>
        <v>26.10.2023</v>
      </c>
      <c r="AS356" t="str">
        <v>05:54:23</v>
      </c>
      <c r="AT356">
        <f t="shared" si="91"/>
        <v>5.8833333333333178</v>
      </c>
      <c r="AU356">
        <f t="shared" si="86"/>
        <v>4.4899999999999949</v>
      </c>
      <c r="AV356">
        <f t="shared" si="87"/>
        <v>0</v>
      </c>
      <c r="AW356">
        <f t="shared" si="79"/>
        <v>0.73749999999999993</v>
      </c>
    </row>
    <row r="357" spans="1:49" x14ac:dyDescent="0.25">
      <c r="A357" t="s">
        <v>1230</v>
      </c>
      <c r="B357">
        <v>0</v>
      </c>
      <c r="C357">
        <v>16.41</v>
      </c>
      <c r="E357" t="s">
        <v>1230</v>
      </c>
      <c r="F357">
        <v>0</v>
      </c>
      <c r="G357">
        <v>82.08</v>
      </c>
      <c r="I357" t="str" cm="1">
        <f t="array" ref="I357:J357">_xlfn.TEXTSPLIT(A357," ")</f>
        <v>27.10.2023</v>
      </c>
      <c r="J357" t="str">
        <v>05:55:21</v>
      </c>
      <c r="K357">
        <f t="shared" si="88"/>
        <v>5.8999999999999844</v>
      </c>
      <c r="L357">
        <f t="shared" si="81"/>
        <v>2.09</v>
      </c>
      <c r="M357">
        <f t="shared" si="82"/>
        <v>0</v>
      </c>
      <c r="N357">
        <f t="shared" si="76"/>
        <v>0.29750000000000004</v>
      </c>
      <c r="Q357" t="str" cm="1">
        <f t="array" ref="Q357:R357">_xlfn.TEXTSPLIT(E357," ")</f>
        <v>27.10.2023</v>
      </c>
      <c r="R357" t="str">
        <v>05:55:21</v>
      </c>
      <c r="S357">
        <f t="shared" si="89"/>
        <v>5.8999999999999844</v>
      </c>
      <c r="T357">
        <f t="shared" si="80"/>
        <v>3.480000000000004</v>
      </c>
      <c r="U357">
        <f t="shared" si="83"/>
        <v>0</v>
      </c>
      <c r="V357">
        <f t="shared" si="77"/>
        <v>0.53499999999999992</v>
      </c>
      <c r="AC357" t="s">
        <v>1231</v>
      </c>
      <c r="AD357">
        <v>0</v>
      </c>
      <c r="AE357">
        <v>5.73</v>
      </c>
      <c r="AG357" t="str" cm="1">
        <f t="array" ref="AG357:AH357">_xlfn.TEXTSPLIT(AC358," ")</f>
        <v>26.10.2023</v>
      </c>
      <c r="AH357" t="str">
        <v>05:56:23</v>
      </c>
      <c r="AI357">
        <f t="shared" si="90"/>
        <v>5.8999999999999844</v>
      </c>
      <c r="AJ357">
        <f t="shared" si="84"/>
        <v>1.2000000000000002</v>
      </c>
      <c r="AK357">
        <f t="shared" si="85"/>
        <v>0</v>
      </c>
      <c r="AL357">
        <f t="shared" si="78"/>
        <v>0.32250000000000006</v>
      </c>
      <c r="AN357" t="s">
        <v>1231</v>
      </c>
      <c r="AO357">
        <v>0</v>
      </c>
      <c r="AP357">
        <v>65.8</v>
      </c>
      <c r="AR357" t="str" cm="1">
        <f t="array" ref="AR357:AS357">_xlfn.TEXTSPLIT(AN357," ")</f>
        <v>26.10.2023</v>
      </c>
      <c r="AS357" t="str">
        <v>05:55:23</v>
      </c>
      <c r="AT357">
        <f t="shared" si="91"/>
        <v>5.8999999999999844</v>
      </c>
      <c r="AU357">
        <f t="shared" si="86"/>
        <v>4.4899999999999949</v>
      </c>
      <c r="AV357">
        <f t="shared" si="87"/>
        <v>0</v>
      </c>
      <c r="AW357">
        <f t="shared" si="79"/>
        <v>0.73749999999999993</v>
      </c>
    </row>
    <row r="358" spans="1:49" x14ac:dyDescent="0.25">
      <c r="A358" t="s">
        <v>1232</v>
      </c>
      <c r="B358">
        <v>0</v>
      </c>
      <c r="C358">
        <v>16.41</v>
      </c>
      <c r="E358" t="s">
        <v>1232</v>
      </c>
      <c r="F358">
        <v>0.15</v>
      </c>
      <c r="G358">
        <v>82.08</v>
      </c>
      <c r="I358" t="str" cm="1">
        <f t="array" ref="I358:J358">_xlfn.TEXTSPLIT(A358," ")</f>
        <v>27.10.2023</v>
      </c>
      <c r="J358" t="str">
        <v>05:56:21</v>
      </c>
      <c r="K358">
        <f t="shared" si="88"/>
        <v>5.916666666666651</v>
      </c>
      <c r="L358">
        <f t="shared" si="81"/>
        <v>2.09</v>
      </c>
      <c r="M358">
        <f t="shared" si="82"/>
        <v>0</v>
      </c>
      <c r="N358">
        <f t="shared" si="76"/>
        <v>0.29750000000000004</v>
      </c>
      <c r="Q358" t="str" cm="1">
        <f t="array" ref="Q358:R358">_xlfn.TEXTSPLIT(E358," ")</f>
        <v>27.10.2023</v>
      </c>
      <c r="R358" t="str">
        <v>05:56:21</v>
      </c>
      <c r="S358">
        <f t="shared" si="89"/>
        <v>5.916666666666651</v>
      </c>
      <c r="T358">
        <f t="shared" si="80"/>
        <v>3.480000000000004</v>
      </c>
      <c r="U358">
        <f t="shared" si="83"/>
        <v>0.15</v>
      </c>
      <c r="V358">
        <f t="shared" si="77"/>
        <v>0.53749999999999987</v>
      </c>
      <c r="AC358" t="s">
        <v>1233</v>
      </c>
      <c r="AD358">
        <v>0</v>
      </c>
      <c r="AE358">
        <v>5.73</v>
      </c>
      <c r="AG358" t="str" cm="1">
        <f t="array" ref="AG358:AH358">_xlfn.TEXTSPLIT(AC359," ")</f>
        <v>26.10.2023</v>
      </c>
      <c r="AH358" t="str">
        <v>05:57:23</v>
      </c>
      <c r="AI358">
        <f t="shared" si="90"/>
        <v>5.916666666666651</v>
      </c>
      <c r="AJ358">
        <f t="shared" si="84"/>
        <v>1.2000000000000002</v>
      </c>
      <c r="AK358">
        <f t="shared" si="85"/>
        <v>0</v>
      </c>
      <c r="AL358">
        <f t="shared" si="78"/>
        <v>0.32250000000000006</v>
      </c>
      <c r="AN358" t="s">
        <v>1233</v>
      </c>
      <c r="AO358">
        <v>0</v>
      </c>
      <c r="AP358">
        <v>65.8</v>
      </c>
      <c r="AR358" t="str" cm="1">
        <f t="array" ref="AR358:AS358">_xlfn.TEXTSPLIT(AN358," ")</f>
        <v>26.10.2023</v>
      </c>
      <c r="AS358" t="str">
        <v>05:56:23</v>
      </c>
      <c r="AT358">
        <f t="shared" si="91"/>
        <v>5.916666666666651</v>
      </c>
      <c r="AU358">
        <f t="shared" si="86"/>
        <v>4.4899999999999949</v>
      </c>
      <c r="AV358">
        <f t="shared" si="87"/>
        <v>0</v>
      </c>
      <c r="AW358">
        <f t="shared" si="79"/>
        <v>0.73749999999999993</v>
      </c>
    </row>
    <row r="359" spans="1:49" x14ac:dyDescent="0.25">
      <c r="A359" t="s">
        <v>1234</v>
      </c>
      <c r="B359">
        <v>0</v>
      </c>
      <c r="C359">
        <v>16.41</v>
      </c>
      <c r="E359" t="s">
        <v>1234</v>
      </c>
      <c r="F359">
        <v>0</v>
      </c>
      <c r="G359">
        <v>82.08</v>
      </c>
      <c r="I359" t="str" cm="1">
        <f t="array" ref="I359:J359">_xlfn.TEXTSPLIT(A359," ")</f>
        <v>27.10.2023</v>
      </c>
      <c r="J359" t="str">
        <v>05:57:21</v>
      </c>
      <c r="K359">
        <f t="shared" si="88"/>
        <v>5.9333333333333176</v>
      </c>
      <c r="L359">
        <f t="shared" si="81"/>
        <v>2.09</v>
      </c>
      <c r="M359">
        <f t="shared" si="82"/>
        <v>0</v>
      </c>
      <c r="N359">
        <f t="shared" si="76"/>
        <v>0.29750000000000004</v>
      </c>
      <c r="Q359" t="str" cm="1">
        <f t="array" ref="Q359:R359">_xlfn.TEXTSPLIT(E359," ")</f>
        <v>27.10.2023</v>
      </c>
      <c r="R359" t="str">
        <v>05:57:21</v>
      </c>
      <c r="S359">
        <f t="shared" si="89"/>
        <v>5.9333333333333176</v>
      </c>
      <c r="T359">
        <f t="shared" si="80"/>
        <v>3.480000000000004</v>
      </c>
      <c r="U359">
        <f t="shared" si="83"/>
        <v>0</v>
      </c>
      <c r="V359">
        <f t="shared" si="77"/>
        <v>0.53499999999999992</v>
      </c>
      <c r="AC359" t="s">
        <v>1235</v>
      </c>
      <c r="AD359">
        <v>0</v>
      </c>
      <c r="AE359">
        <v>5.73</v>
      </c>
      <c r="AG359" t="str" cm="1">
        <f t="array" ref="AG359:AH359">_xlfn.TEXTSPLIT(AC360," ")</f>
        <v>26.10.2023</v>
      </c>
      <c r="AH359" t="str">
        <v>05:58:23</v>
      </c>
      <c r="AI359">
        <f t="shared" si="90"/>
        <v>5.9333333333333176</v>
      </c>
      <c r="AJ359">
        <f t="shared" si="84"/>
        <v>1.2000000000000002</v>
      </c>
      <c r="AK359">
        <f t="shared" si="85"/>
        <v>0</v>
      </c>
      <c r="AL359">
        <f t="shared" si="78"/>
        <v>0.32250000000000006</v>
      </c>
      <c r="AN359" t="s">
        <v>1235</v>
      </c>
      <c r="AO359">
        <v>0.15</v>
      </c>
      <c r="AP359">
        <v>65.8</v>
      </c>
      <c r="AR359" t="str" cm="1">
        <f t="array" ref="AR359:AS359">_xlfn.TEXTSPLIT(AN359," ")</f>
        <v>26.10.2023</v>
      </c>
      <c r="AS359" t="str">
        <v>05:57:23</v>
      </c>
      <c r="AT359">
        <f t="shared" si="91"/>
        <v>5.9333333333333176</v>
      </c>
      <c r="AU359">
        <f t="shared" si="86"/>
        <v>4.4899999999999949</v>
      </c>
      <c r="AV359">
        <f t="shared" si="87"/>
        <v>0.15</v>
      </c>
      <c r="AW359">
        <f t="shared" si="79"/>
        <v>0.73999999999999988</v>
      </c>
    </row>
    <row r="360" spans="1:49" x14ac:dyDescent="0.25">
      <c r="A360" t="s">
        <v>1236</v>
      </c>
      <c r="B360">
        <v>0</v>
      </c>
      <c r="C360">
        <v>16.41</v>
      </c>
      <c r="E360" t="s">
        <v>1236</v>
      </c>
      <c r="F360">
        <v>0</v>
      </c>
      <c r="G360">
        <v>82.08</v>
      </c>
      <c r="I360" t="str" cm="1">
        <f t="array" ref="I360:J360">_xlfn.TEXTSPLIT(A360," ")</f>
        <v>27.10.2023</v>
      </c>
      <c r="J360" t="str">
        <v>05:58:21</v>
      </c>
      <c r="K360">
        <f t="shared" si="88"/>
        <v>5.9499999999999842</v>
      </c>
      <c r="L360">
        <f t="shared" si="81"/>
        <v>2.09</v>
      </c>
      <c r="M360">
        <f t="shared" si="82"/>
        <v>0</v>
      </c>
      <c r="N360">
        <f t="shared" si="76"/>
        <v>0.29750000000000004</v>
      </c>
      <c r="Q360" t="str" cm="1">
        <f t="array" ref="Q360:R360">_xlfn.TEXTSPLIT(E360," ")</f>
        <v>27.10.2023</v>
      </c>
      <c r="R360" t="str">
        <v>05:58:21</v>
      </c>
      <c r="S360">
        <f t="shared" si="89"/>
        <v>5.9499999999999842</v>
      </c>
      <c r="T360">
        <f t="shared" si="80"/>
        <v>3.480000000000004</v>
      </c>
      <c r="U360">
        <f t="shared" si="83"/>
        <v>0</v>
      </c>
      <c r="V360">
        <f t="shared" si="77"/>
        <v>0.53499999999999992</v>
      </c>
      <c r="AC360" t="s">
        <v>1237</v>
      </c>
      <c r="AD360">
        <v>0</v>
      </c>
      <c r="AE360">
        <v>5.73</v>
      </c>
      <c r="AG360" t="str" cm="1">
        <f t="array" ref="AG360:AH360">_xlfn.TEXTSPLIT(AC361," ")</f>
        <v>26.10.2023</v>
      </c>
      <c r="AH360" t="str">
        <v>05:59:24</v>
      </c>
      <c r="AI360">
        <f t="shared" si="90"/>
        <v>5.9499999999999842</v>
      </c>
      <c r="AJ360">
        <f t="shared" si="84"/>
        <v>1.2000000000000002</v>
      </c>
      <c r="AK360">
        <f t="shared" si="85"/>
        <v>0</v>
      </c>
      <c r="AL360">
        <f t="shared" si="78"/>
        <v>0.32250000000000006</v>
      </c>
      <c r="AN360" t="s">
        <v>1237</v>
      </c>
      <c r="AO360">
        <v>0</v>
      </c>
      <c r="AP360">
        <v>65.81</v>
      </c>
      <c r="AR360" t="str" cm="1">
        <f t="array" ref="AR360:AS360">_xlfn.TEXTSPLIT(AN360," ")</f>
        <v>26.10.2023</v>
      </c>
      <c r="AS360" t="str">
        <v>05:58:23</v>
      </c>
      <c r="AT360">
        <f t="shared" si="91"/>
        <v>5.9499999999999842</v>
      </c>
      <c r="AU360">
        <f t="shared" si="86"/>
        <v>4.5</v>
      </c>
      <c r="AV360">
        <f t="shared" si="87"/>
        <v>0</v>
      </c>
      <c r="AW360">
        <f t="shared" si="79"/>
        <v>0.73749999999999993</v>
      </c>
    </row>
    <row r="361" spans="1:49" x14ac:dyDescent="0.25">
      <c r="A361" t="s">
        <v>1238</v>
      </c>
      <c r="B361">
        <v>0</v>
      </c>
      <c r="C361">
        <v>16.41</v>
      </c>
      <c r="E361" t="s">
        <v>1238</v>
      </c>
      <c r="F361">
        <v>0</v>
      </c>
      <c r="G361">
        <v>82.09</v>
      </c>
      <c r="I361" t="str" cm="1">
        <f t="array" ref="I361:J361">_xlfn.TEXTSPLIT(A361," ")</f>
        <v>27.10.2023</v>
      </c>
      <c r="J361" t="str">
        <v>05:59:21</v>
      </c>
      <c r="K361">
        <f t="shared" si="88"/>
        <v>5.9666666666666508</v>
      </c>
      <c r="L361">
        <f t="shared" si="81"/>
        <v>2.09</v>
      </c>
      <c r="M361">
        <f t="shared" si="82"/>
        <v>0</v>
      </c>
      <c r="N361">
        <f t="shared" si="76"/>
        <v>0.29750000000000004</v>
      </c>
      <c r="Q361" t="str" cm="1">
        <f t="array" ref="Q361:R361">_xlfn.TEXTSPLIT(E361," ")</f>
        <v>27.10.2023</v>
      </c>
      <c r="R361" t="str">
        <v>05:59:21</v>
      </c>
      <c r="S361">
        <f t="shared" si="89"/>
        <v>5.9666666666666508</v>
      </c>
      <c r="T361">
        <f t="shared" si="80"/>
        <v>3.4900000000000091</v>
      </c>
      <c r="U361">
        <f t="shared" si="83"/>
        <v>0</v>
      </c>
      <c r="V361">
        <f t="shared" si="77"/>
        <v>0.53249999999999986</v>
      </c>
      <c r="AC361" t="s">
        <v>1239</v>
      </c>
      <c r="AD361">
        <v>0</v>
      </c>
      <c r="AE361">
        <v>5.73</v>
      </c>
      <c r="AG361" t="str" cm="1">
        <f t="array" ref="AG361:AH361">_xlfn.TEXTSPLIT(AC362," ")</f>
        <v>26.10.2023</v>
      </c>
      <c r="AH361" t="str">
        <v>06:00:24</v>
      </c>
      <c r="AI361">
        <f t="shared" si="90"/>
        <v>5.9666666666666508</v>
      </c>
      <c r="AJ361">
        <f t="shared" si="84"/>
        <v>1.2000000000000002</v>
      </c>
      <c r="AK361">
        <f t="shared" si="85"/>
        <v>0</v>
      </c>
      <c r="AL361">
        <f t="shared" si="78"/>
        <v>0.32250000000000006</v>
      </c>
      <c r="AN361" t="s">
        <v>1239</v>
      </c>
      <c r="AO361">
        <v>0.3</v>
      </c>
      <c r="AP361">
        <v>65.81</v>
      </c>
      <c r="AR361" t="str" cm="1">
        <f t="array" ref="AR361:AS361">_xlfn.TEXTSPLIT(AN361," ")</f>
        <v>26.10.2023</v>
      </c>
      <c r="AS361" t="str">
        <v>05:59:24</v>
      </c>
      <c r="AT361">
        <f t="shared" si="91"/>
        <v>5.9666666666666508</v>
      </c>
      <c r="AU361">
        <f t="shared" si="86"/>
        <v>4.5</v>
      </c>
      <c r="AV361">
        <f t="shared" si="87"/>
        <v>0.3</v>
      </c>
      <c r="AW361">
        <f t="shared" si="79"/>
        <v>0.73749999999999971</v>
      </c>
    </row>
    <row r="362" spans="1:49" x14ac:dyDescent="0.25">
      <c r="A362" t="s">
        <v>1240</v>
      </c>
      <c r="B362">
        <v>0</v>
      </c>
      <c r="C362">
        <v>16.41</v>
      </c>
      <c r="E362" t="s">
        <v>1240</v>
      </c>
      <c r="F362">
        <v>0.3</v>
      </c>
      <c r="G362">
        <v>82.09</v>
      </c>
      <c r="I362" t="str" cm="1">
        <f t="array" ref="I362:J362">_xlfn.TEXTSPLIT(A362," ")</f>
        <v>27.10.2023</v>
      </c>
      <c r="J362" t="str">
        <v>06:00:21</v>
      </c>
      <c r="K362">
        <f t="shared" si="88"/>
        <v>5.9833333333333174</v>
      </c>
      <c r="L362">
        <f t="shared" si="81"/>
        <v>2.09</v>
      </c>
      <c r="M362">
        <f t="shared" si="82"/>
        <v>0</v>
      </c>
      <c r="N362">
        <f t="shared" si="76"/>
        <v>0.29750000000000004</v>
      </c>
      <c r="Q362" t="str" cm="1">
        <f t="array" ref="Q362:R362">_xlfn.TEXTSPLIT(E362," ")</f>
        <v>27.10.2023</v>
      </c>
      <c r="R362" t="str">
        <v>06:00:21</v>
      </c>
      <c r="S362">
        <f t="shared" si="89"/>
        <v>5.9833333333333174</v>
      </c>
      <c r="T362">
        <f t="shared" si="80"/>
        <v>3.4900000000000091</v>
      </c>
      <c r="U362">
        <f t="shared" si="83"/>
        <v>0.3</v>
      </c>
      <c r="V362">
        <f t="shared" si="77"/>
        <v>0.53499999999999992</v>
      </c>
      <c r="AC362" t="s">
        <v>1241</v>
      </c>
      <c r="AD362">
        <v>0</v>
      </c>
      <c r="AE362">
        <v>5.73</v>
      </c>
      <c r="AG362" t="str" cm="1">
        <f t="array" ref="AG362:AH362">_xlfn.TEXTSPLIT(AC363," ")</f>
        <v>26.10.2023</v>
      </c>
      <c r="AH362" t="str">
        <v>06:01:24</v>
      </c>
      <c r="AI362">
        <f t="shared" si="90"/>
        <v>5.9833333333333174</v>
      </c>
      <c r="AJ362">
        <f t="shared" si="84"/>
        <v>1.2000000000000002</v>
      </c>
      <c r="AK362">
        <f t="shared" si="85"/>
        <v>0</v>
      </c>
      <c r="AL362">
        <f t="shared" si="78"/>
        <v>0.32250000000000006</v>
      </c>
      <c r="AN362" t="s">
        <v>1241</v>
      </c>
      <c r="AO362">
        <v>0.3</v>
      </c>
      <c r="AP362">
        <v>65.81</v>
      </c>
      <c r="AR362" t="str" cm="1">
        <f t="array" ref="AR362:AS362">_xlfn.TEXTSPLIT(AN362," ")</f>
        <v>26.10.2023</v>
      </c>
      <c r="AS362" t="str">
        <v>06:00:24</v>
      </c>
      <c r="AT362">
        <f t="shared" si="91"/>
        <v>5.9833333333333174</v>
      </c>
      <c r="AU362">
        <f t="shared" si="86"/>
        <v>4.5</v>
      </c>
      <c r="AV362">
        <f t="shared" si="87"/>
        <v>0.3</v>
      </c>
      <c r="AW362">
        <f t="shared" si="79"/>
        <v>0.73999999999999977</v>
      </c>
    </row>
    <row r="363" spans="1:49" x14ac:dyDescent="0.25">
      <c r="A363" t="s">
        <v>1242</v>
      </c>
      <c r="B363">
        <v>0</v>
      </c>
      <c r="C363">
        <v>16.41</v>
      </c>
      <c r="E363" t="s">
        <v>1242</v>
      </c>
      <c r="F363">
        <v>0.15</v>
      </c>
      <c r="G363">
        <v>82.09</v>
      </c>
      <c r="I363" t="str" cm="1">
        <f t="array" ref="I363:J363">_xlfn.TEXTSPLIT(A363," ")</f>
        <v>27.10.2023</v>
      </c>
      <c r="J363" t="str">
        <v>06:01:22</v>
      </c>
      <c r="K363">
        <f t="shared" si="88"/>
        <v>5.999999999999984</v>
      </c>
      <c r="L363">
        <f t="shared" si="81"/>
        <v>2.09</v>
      </c>
      <c r="M363">
        <f t="shared" si="82"/>
        <v>0</v>
      </c>
      <c r="N363">
        <f t="shared" si="76"/>
        <v>0.29750000000000004</v>
      </c>
      <c r="Q363" t="str" cm="1">
        <f t="array" ref="Q363:R363">_xlfn.TEXTSPLIT(E363," ")</f>
        <v>27.10.2023</v>
      </c>
      <c r="R363" t="str">
        <v>06:01:22</v>
      </c>
      <c r="S363">
        <f t="shared" si="89"/>
        <v>5.999999999999984</v>
      </c>
      <c r="T363">
        <f t="shared" si="80"/>
        <v>3.4900000000000091</v>
      </c>
      <c r="U363">
        <f t="shared" si="83"/>
        <v>0.15</v>
      </c>
      <c r="V363">
        <f t="shared" si="77"/>
        <v>0.53249999999999997</v>
      </c>
      <c r="AC363" t="s">
        <v>1243</v>
      </c>
      <c r="AD363">
        <v>0</v>
      </c>
      <c r="AE363">
        <v>5.73</v>
      </c>
      <c r="AG363" t="str" cm="1">
        <f t="array" ref="AG363:AH363">_xlfn.TEXTSPLIT(AC364," ")</f>
        <v>26.10.2023</v>
      </c>
      <c r="AH363" t="str">
        <v>06:02:24</v>
      </c>
      <c r="AI363">
        <f t="shared" si="90"/>
        <v>5.999999999999984</v>
      </c>
      <c r="AJ363">
        <f t="shared" si="84"/>
        <v>1.2000000000000002</v>
      </c>
      <c r="AK363">
        <f t="shared" si="85"/>
        <v>0</v>
      </c>
      <c r="AL363">
        <f t="shared" si="78"/>
        <v>0.32250000000000006</v>
      </c>
      <c r="AN363" t="s">
        <v>1243</v>
      </c>
      <c r="AO363">
        <v>0.15</v>
      </c>
      <c r="AP363">
        <v>65.819999999999993</v>
      </c>
      <c r="AR363" t="str" cm="1">
        <f t="array" ref="AR363:AS363">_xlfn.TEXTSPLIT(AN363," ")</f>
        <v>26.10.2023</v>
      </c>
      <c r="AS363" t="str">
        <v>06:01:24</v>
      </c>
      <c r="AT363">
        <f t="shared" si="91"/>
        <v>5.999999999999984</v>
      </c>
      <c r="AU363">
        <f t="shared" si="86"/>
        <v>4.5099999999999909</v>
      </c>
      <c r="AV363">
        <f t="shared" si="87"/>
        <v>0.15</v>
      </c>
      <c r="AW363">
        <f t="shared" si="79"/>
        <v>0.73499999999999976</v>
      </c>
    </row>
    <row r="364" spans="1:49" x14ac:dyDescent="0.25">
      <c r="A364" t="s">
        <v>1244</v>
      </c>
      <c r="B364">
        <v>0</v>
      </c>
      <c r="C364">
        <v>16.41</v>
      </c>
      <c r="E364" t="s">
        <v>1244</v>
      </c>
      <c r="F364">
        <v>0.15</v>
      </c>
      <c r="G364">
        <v>82.09</v>
      </c>
      <c r="I364" t="str" cm="1">
        <f t="array" ref="I364:J364">_xlfn.TEXTSPLIT(A364," ")</f>
        <v>27.10.2023</v>
      </c>
      <c r="J364" t="str">
        <v>06:02:22</v>
      </c>
      <c r="K364">
        <f t="shared" si="88"/>
        <v>6.0166666666666506</v>
      </c>
      <c r="L364">
        <f t="shared" si="81"/>
        <v>2.09</v>
      </c>
      <c r="M364">
        <f t="shared" si="82"/>
        <v>0</v>
      </c>
      <c r="N364">
        <f t="shared" si="76"/>
        <v>0.29750000000000004</v>
      </c>
      <c r="Q364" t="str" cm="1">
        <f t="array" ref="Q364:R364">_xlfn.TEXTSPLIT(E364," ")</f>
        <v>27.10.2023</v>
      </c>
      <c r="R364" t="str">
        <v>06:02:22</v>
      </c>
      <c r="S364">
        <f t="shared" si="89"/>
        <v>6.0166666666666506</v>
      </c>
      <c r="T364">
        <f t="shared" si="80"/>
        <v>3.4900000000000091</v>
      </c>
      <c r="U364">
        <f t="shared" si="83"/>
        <v>0.15</v>
      </c>
      <c r="V364">
        <f t="shared" si="77"/>
        <v>0.52999999999999992</v>
      </c>
      <c r="AC364" t="s">
        <v>1245</v>
      </c>
      <c r="AD364">
        <v>0</v>
      </c>
      <c r="AE364">
        <v>5.73</v>
      </c>
      <c r="AG364" t="str" cm="1">
        <f t="array" ref="AG364:AH364">_xlfn.TEXTSPLIT(AC365," ")</f>
        <v>26.10.2023</v>
      </c>
      <c r="AH364" t="str">
        <v>06:03:24</v>
      </c>
      <c r="AI364">
        <f t="shared" si="90"/>
        <v>6.0166666666666506</v>
      </c>
      <c r="AJ364">
        <f t="shared" si="84"/>
        <v>1.2000000000000002</v>
      </c>
      <c r="AK364">
        <f t="shared" si="85"/>
        <v>0</v>
      </c>
      <c r="AL364">
        <f t="shared" si="78"/>
        <v>0.32250000000000006</v>
      </c>
      <c r="AN364" t="s">
        <v>1245</v>
      </c>
      <c r="AO364">
        <v>0.45</v>
      </c>
      <c r="AP364">
        <v>65.819999999999993</v>
      </c>
      <c r="AR364" t="str" cm="1">
        <f t="array" ref="AR364:AS364">_xlfn.TEXTSPLIT(AN364," ")</f>
        <v>26.10.2023</v>
      </c>
      <c r="AS364" t="str">
        <v>06:02:24</v>
      </c>
      <c r="AT364">
        <f t="shared" si="91"/>
        <v>6.0166666666666506</v>
      </c>
      <c r="AU364">
        <f t="shared" si="86"/>
        <v>4.5099999999999909</v>
      </c>
      <c r="AV364">
        <f t="shared" si="87"/>
        <v>0.45</v>
      </c>
      <c r="AW364">
        <f t="shared" si="79"/>
        <v>0.73749999999999993</v>
      </c>
    </row>
    <row r="365" spans="1:49" x14ac:dyDescent="0.25">
      <c r="A365" t="s">
        <v>1246</v>
      </c>
      <c r="B365">
        <v>0</v>
      </c>
      <c r="C365">
        <v>16.41</v>
      </c>
      <c r="E365" t="s">
        <v>1246</v>
      </c>
      <c r="F365">
        <v>0.15</v>
      </c>
      <c r="G365">
        <v>82.1</v>
      </c>
      <c r="I365" t="str" cm="1">
        <f t="array" ref="I365:J365">_xlfn.TEXTSPLIT(A365," ")</f>
        <v>27.10.2023</v>
      </c>
      <c r="J365" t="str">
        <v>06:03:22</v>
      </c>
      <c r="K365">
        <f t="shared" si="88"/>
        <v>6.0333333333333172</v>
      </c>
      <c r="L365">
        <f t="shared" si="81"/>
        <v>2.09</v>
      </c>
      <c r="M365">
        <f t="shared" si="82"/>
        <v>0</v>
      </c>
      <c r="N365">
        <f t="shared" si="76"/>
        <v>0.29750000000000004</v>
      </c>
      <c r="Q365" t="str" cm="1">
        <f t="array" ref="Q365:R365">_xlfn.TEXTSPLIT(E365," ")</f>
        <v>27.10.2023</v>
      </c>
      <c r="R365" t="str">
        <v>06:03:22</v>
      </c>
      <c r="S365">
        <f t="shared" si="89"/>
        <v>6.0333333333333172</v>
      </c>
      <c r="T365">
        <f t="shared" si="80"/>
        <v>3.5</v>
      </c>
      <c r="U365">
        <f t="shared" si="83"/>
        <v>0.15</v>
      </c>
      <c r="V365">
        <f t="shared" si="77"/>
        <v>0.53</v>
      </c>
      <c r="AC365" t="s">
        <v>1247</v>
      </c>
      <c r="AD365">
        <v>0</v>
      </c>
      <c r="AE365">
        <v>5.73</v>
      </c>
      <c r="AG365" t="str" cm="1">
        <f t="array" ref="AG365:AH365">_xlfn.TEXTSPLIT(AC366," ")</f>
        <v>26.10.2023</v>
      </c>
      <c r="AH365" t="str">
        <v>06:04:24</v>
      </c>
      <c r="AI365">
        <f t="shared" si="90"/>
        <v>6.0333333333333172</v>
      </c>
      <c r="AJ365">
        <f t="shared" si="84"/>
        <v>1.2000000000000002</v>
      </c>
      <c r="AK365">
        <f t="shared" si="85"/>
        <v>0</v>
      </c>
      <c r="AL365">
        <f t="shared" si="78"/>
        <v>0.32250000000000006</v>
      </c>
      <c r="AN365" t="s">
        <v>1247</v>
      </c>
      <c r="AO365">
        <v>0.3</v>
      </c>
      <c r="AP365">
        <v>65.83</v>
      </c>
      <c r="AR365" t="str" cm="1">
        <f t="array" ref="AR365:AS365">_xlfn.TEXTSPLIT(AN365," ")</f>
        <v>26.10.2023</v>
      </c>
      <c r="AS365" t="str">
        <v>06:03:24</v>
      </c>
      <c r="AT365">
        <f t="shared" si="91"/>
        <v>6.0333333333333172</v>
      </c>
      <c r="AU365">
        <f t="shared" si="86"/>
        <v>4.519999999999996</v>
      </c>
      <c r="AV365">
        <f t="shared" si="87"/>
        <v>0.3</v>
      </c>
      <c r="AW365">
        <f t="shared" si="79"/>
        <v>0.73749999999999971</v>
      </c>
    </row>
    <row r="366" spans="1:49" x14ac:dyDescent="0.25">
      <c r="A366" t="s">
        <v>1248</v>
      </c>
      <c r="B366">
        <v>0</v>
      </c>
      <c r="C366">
        <v>16.41</v>
      </c>
      <c r="E366" t="s">
        <v>1248</v>
      </c>
      <c r="F366">
        <v>0.3</v>
      </c>
      <c r="G366">
        <v>82.1</v>
      </c>
      <c r="I366" t="str" cm="1">
        <f t="array" ref="I366:J366">_xlfn.TEXTSPLIT(A366," ")</f>
        <v>27.10.2023</v>
      </c>
      <c r="J366" t="str">
        <v>06:04:22</v>
      </c>
      <c r="K366">
        <f t="shared" si="88"/>
        <v>6.0499999999999838</v>
      </c>
      <c r="L366">
        <f t="shared" si="81"/>
        <v>2.09</v>
      </c>
      <c r="M366">
        <f t="shared" si="82"/>
        <v>0</v>
      </c>
      <c r="N366">
        <f t="shared" si="76"/>
        <v>0.29750000000000004</v>
      </c>
      <c r="Q366" t="str" cm="1">
        <f t="array" ref="Q366:R366">_xlfn.TEXTSPLIT(E366," ")</f>
        <v>27.10.2023</v>
      </c>
      <c r="R366" t="str">
        <v>06:04:22</v>
      </c>
      <c r="S366">
        <f t="shared" si="89"/>
        <v>6.0499999999999838</v>
      </c>
      <c r="T366">
        <f t="shared" si="80"/>
        <v>3.5</v>
      </c>
      <c r="U366">
        <f t="shared" si="83"/>
        <v>0.3</v>
      </c>
      <c r="V366">
        <f t="shared" si="77"/>
        <v>0.52750000000000008</v>
      </c>
      <c r="AC366" t="s">
        <v>1249</v>
      </c>
      <c r="AD366">
        <v>0</v>
      </c>
      <c r="AE366">
        <v>5.73</v>
      </c>
      <c r="AG366" t="str" cm="1">
        <f t="array" ref="AG366:AH366">_xlfn.TEXTSPLIT(AC367," ")</f>
        <v>26.10.2023</v>
      </c>
      <c r="AH366" t="str">
        <v>06:05:24</v>
      </c>
      <c r="AI366">
        <f t="shared" si="90"/>
        <v>6.0499999999999838</v>
      </c>
      <c r="AJ366">
        <f t="shared" si="84"/>
        <v>1.2000000000000002</v>
      </c>
      <c r="AK366">
        <f t="shared" si="85"/>
        <v>0</v>
      </c>
      <c r="AL366">
        <f t="shared" si="78"/>
        <v>0.32250000000000006</v>
      </c>
      <c r="AN366" t="s">
        <v>1249</v>
      </c>
      <c r="AO366">
        <v>0.45</v>
      </c>
      <c r="AP366">
        <v>65.84</v>
      </c>
      <c r="AR366" t="str" cm="1">
        <f t="array" ref="AR366:AS366">_xlfn.TEXTSPLIT(AN366," ")</f>
        <v>26.10.2023</v>
      </c>
      <c r="AS366" t="str">
        <v>06:04:24</v>
      </c>
      <c r="AT366">
        <f t="shared" si="91"/>
        <v>6.0499999999999838</v>
      </c>
      <c r="AU366">
        <f t="shared" si="86"/>
        <v>4.5300000000000011</v>
      </c>
      <c r="AV366">
        <f t="shared" si="87"/>
        <v>0.45</v>
      </c>
      <c r="AW366">
        <f t="shared" si="79"/>
        <v>0.73749999999999971</v>
      </c>
    </row>
    <row r="367" spans="1:49" x14ac:dyDescent="0.25">
      <c r="A367" t="s">
        <v>1250</v>
      </c>
      <c r="B367">
        <v>0</v>
      </c>
      <c r="C367">
        <v>16.41</v>
      </c>
      <c r="E367" t="s">
        <v>1250</v>
      </c>
      <c r="F367">
        <v>0.15</v>
      </c>
      <c r="G367">
        <v>82.1</v>
      </c>
      <c r="I367" t="str" cm="1">
        <f t="array" ref="I367:J367">_xlfn.TEXTSPLIT(A367," ")</f>
        <v>27.10.2023</v>
      </c>
      <c r="J367" t="str">
        <v>06:05:22</v>
      </c>
      <c r="K367">
        <f t="shared" si="88"/>
        <v>6.0666666666666504</v>
      </c>
      <c r="L367">
        <f t="shared" si="81"/>
        <v>2.09</v>
      </c>
      <c r="M367">
        <f t="shared" si="82"/>
        <v>0</v>
      </c>
      <c r="N367">
        <f t="shared" si="76"/>
        <v>0.29750000000000004</v>
      </c>
      <c r="Q367" t="str" cm="1">
        <f t="array" ref="Q367:R367">_xlfn.TEXTSPLIT(E367," ")</f>
        <v>27.10.2023</v>
      </c>
      <c r="R367" t="str">
        <v>06:05:22</v>
      </c>
      <c r="S367">
        <f t="shared" si="89"/>
        <v>6.0666666666666504</v>
      </c>
      <c r="T367">
        <f t="shared" si="80"/>
        <v>3.5</v>
      </c>
      <c r="U367">
        <f t="shared" si="83"/>
        <v>0.15</v>
      </c>
      <c r="V367">
        <f t="shared" si="77"/>
        <v>0.52250000000000008</v>
      </c>
      <c r="AC367" t="s">
        <v>1251</v>
      </c>
      <c r="AD367">
        <v>0</v>
      </c>
      <c r="AE367">
        <v>5.73</v>
      </c>
      <c r="AG367" t="str" cm="1">
        <f t="array" ref="AG367:AH367">_xlfn.TEXTSPLIT(AC368," ")</f>
        <v>26.10.2023</v>
      </c>
      <c r="AH367" t="str">
        <v>06:06:24</v>
      </c>
      <c r="AI367">
        <f t="shared" si="90"/>
        <v>6.0666666666666504</v>
      </c>
      <c r="AJ367">
        <f t="shared" si="84"/>
        <v>1.2000000000000002</v>
      </c>
      <c r="AK367">
        <f t="shared" si="85"/>
        <v>0</v>
      </c>
      <c r="AL367">
        <f t="shared" si="78"/>
        <v>0.32250000000000006</v>
      </c>
      <c r="AN367" t="s">
        <v>1251</v>
      </c>
      <c r="AO367">
        <v>0.45</v>
      </c>
      <c r="AP367">
        <v>65.849999999999994</v>
      </c>
      <c r="AR367" t="str" cm="1">
        <f t="array" ref="AR367:AS367">_xlfn.TEXTSPLIT(AN367," ")</f>
        <v>26.10.2023</v>
      </c>
      <c r="AS367" t="str">
        <v>06:05:24</v>
      </c>
      <c r="AT367">
        <f t="shared" si="91"/>
        <v>6.0666666666666504</v>
      </c>
      <c r="AU367">
        <f t="shared" si="86"/>
        <v>4.539999999999992</v>
      </c>
      <c r="AV367">
        <f t="shared" si="87"/>
        <v>0.45</v>
      </c>
      <c r="AW367">
        <f t="shared" si="79"/>
        <v>0.73999999999999988</v>
      </c>
    </row>
    <row r="368" spans="1:49" x14ac:dyDescent="0.25">
      <c r="A368" t="s">
        <v>1252</v>
      </c>
      <c r="B368">
        <v>0</v>
      </c>
      <c r="C368">
        <v>16.41</v>
      </c>
      <c r="E368" t="s">
        <v>1252</v>
      </c>
      <c r="F368">
        <v>0.45</v>
      </c>
      <c r="G368">
        <v>82.11</v>
      </c>
      <c r="I368" t="str" cm="1">
        <f t="array" ref="I368:J368">_xlfn.TEXTSPLIT(A368," ")</f>
        <v>27.10.2023</v>
      </c>
      <c r="J368" t="str">
        <v>06:06:22</v>
      </c>
      <c r="K368">
        <f t="shared" si="88"/>
        <v>6.0833333333333171</v>
      </c>
      <c r="L368">
        <f t="shared" si="81"/>
        <v>2.09</v>
      </c>
      <c r="M368">
        <f t="shared" si="82"/>
        <v>0</v>
      </c>
      <c r="N368">
        <f t="shared" si="76"/>
        <v>0.29750000000000004</v>
      </c>
      <c r="Q368" t="str" cm="1">
        <f t="array" ref="Q368:R368">_xlfn.TEXTSPLIT(E368," ")</f>
        <v>27.10.2023</v>
      </c>
      <c r="R368" t="str">
        <v>06:06:22</v>
      </c>
      <c r="S368">
        <f t="shared" si="89"/>
        <v>6.0833333333333171</v>
      </c>
      <c r="T368">
        <f t="shared" si="80"/>
        <v>3.5100000000000051</v>
      </c>
      <c r="U368">
        <f t="shared" si="83"/>
        <v>0.45</v>
      </c>
      <c r="V368">
        <f t="shared" si="77"/>
        <v>0.51749999999999996</v>
      </c>
      <c r="AC368" t="s">
        <v>1253</v>
      </c>
      <c r="AD368">
        <v>0</v>
      </c>
      <c r="AE368">
        <v>5.73</v>
      </c>
      <c r="AG368" t="str" cm="1">
        <f t="array" ref="AG368:AH368">_xlfn.TEXTSPLIT(AC369," ")</f>
        <v>26.10.2023</v>
      </c>
      <c r="AH368" t="str">
        <v>06:07:24</v>
      </c>
      <c r="AI368">
        <f t="shared" si="90"/>
        <v>6.0833333333333171</v>
      </c>
      <c r="AJ368">
        <f t="shared" si="84"/>
        <v>1.2000000000000002</v>
      </c>
      <c r="AK368">
        <f t="shared" si="85"/>
        <v>0</v>
      </c>
      <c r="AL368">
        <f t="shared" si="78"/>
        <v>0.32250000000000006</v>
      </c>
      <c r="AN368" t="s">
        <v>1253</v>
      </c>
      <c r="AO368">
        <v>0.6</v>
      </c>
      <c r="AP368">
        <v>65.86</v>
      </c>
      <c r="AR368" t="str" cm="1">
        <f t="array" ref="AR368:AS368">_xlfn.TEXTSPLIT(AN368," ")</f>
        <v>26.10.2023</v>
      </c>
      <c r="AS368" t="str">
        <v>06:06:24</v>
      </c>
      <c r="AT368">
        <f t="shared" si="91"/>
        <v>6.0833333333333171</v>
      </c>
      <c r="AU368">
        <f t="shared" si="86"/>
        <v>4.5499999999999972</v>
      </c>
      <c r="AV368">
        <f t="shared" si="87"/>
        <v>0.6</v>
      </c>
      <c r="AW368">
        <f t="shared" si="79"/>
        <v>0.74249999999999994</v>
      </c>
    </row>
    <row r="369" spans="1:49" x14ac:dyDescent="0.25">
      <c r="A369" t="s">
        <v>1254</v>
      </c>
      <c r="B369">
        <v>0</v>
      </c>
      <c r="C369">
        <v>16.41</v>
      </c>
      <c r="E369" t="s">
        <v>1254</v>
      </c>
      <c r="F369">
        <v>1.2</v>
      </c>
      <c r="G369">
        <v>82.13</v>
      </c>
      <c r="I369" t="str" cm="1">
        <f t="array" ref="I369:J369">_xlfn.TEXTSPLIT(A369," ")</f>
        <v>27.10.2023</v>
      </c>
      <c r="J369" t="str">
        <v>06:07:22</v>
      </c>
      <c r="K369">
        <f t="shared" si="88"/>
        <v>6.0999999999999837</v>
      </c>
      <c r="L369">
        <f t="shared" si="81"/>
        <v>2.09</v>
      </c>
      <c r="M369">
        <f t="shared" si="82"/>
        <v>0</v>
      </c>
      <c r="N369">
        <f t="shared" si="76"/>
        <v>0.29750000000000004</v>
      </c>
      <c r="Q369" t="str" cm="1">
        <f t="array" ref="Q369:R369">_xlfn.TEXTSPLIT(E369," ")</f>
        <v>27.10.2023</v>
      </c>
      <c r="R369" t="str">
        <v>06:07:22</v>
      </c>
      <c r="S369">
        <f t="shared" si="89"/>
        <v>6.0999999999999837</v>
      </c>
      <c r="T369">
        <f t="shared" si="80"/>
        <v>3.5300000000000011</v>
      </c>
      <c r="U369">
        <f t="shared" si="83"/>
        <v>1.2</v>
      </c>
      <c r="V369">
        <f t="shared" si="77"/>
        <v>0.52</v>
      </c>
      <c r="AC369" t="s">
        <v>1255</v>
      </c>
      <c r="AD369">
        <v>0</v>
      </c>
      <c r="AE369">
        <v>5.73</v>
      </c>
      <c r="AG369" t="str" cm="1">
        <f t="array" ref="AG369:AH369">_xlfn.TEXTSPLIT(AC370," ")</f>
        <v>26.10.2023</v>
      </c>
      <c r="AH369" t="str">
        <v>06:08:25</v>
      </c>
      <c r="AI369">
        <f t="shared" si="90"/>
        <v>6.0999999999999837</v>
      </c>
      <c r="AJ369">
        <f t="shared" si="84"/>
        <v>1.2000000000000002</v>
      </c>
      <c r="AK369">
        <f t="shared" si="85"/>
        <v>0</v>
      </c>
      <c r="AL369">
        <f t="shared" si="78"/>
        <v>0.32250000000000006</v>
      </c>
      <c r="AN369" t="s">
        <v>1255</v>
      </c>
      <c r="AO369">
        <v>1.2</v>
      </c>
      <c r="AP369">
        <v>65.89</v>
      </c>
      <c r="AR369" t="str" cm="1">
        <f t="array" ref="AR369:AS369">_xlfn.TEXTSPLIT(AN369," ")</f>
        <v>26.10.2023</v>
      </c>
      <c r="AS369" t="str">
        <v>06:07:24</v>
      </c>
      <c r="AT369">
        <f t="shared" si="91"/>
        <v>6.0999999999999837</v>
      </c>
      <c r="AU369">
        <f t="shared" si="86"/>
        <v>4.5799999999999983</v>
      </c>
      <c r="AV369">
        <f t="shared" si="87"/>
        <v>1.2</v>
      </c>
      <c r="AW369">
        <f t="shared" si="79"/>
        <v>0.74249999999999994</v>
      </c>
    </row>
    <row r="370" spans="1:49" x14ac:dyDescent="0.25">
      <c r="A370" t="s">
        <v>1256</v>
      </c>
      <c r="B370">
        <v>1.65</v>
      </c>
      <c r="C370">
        <v>16.45</v>
      </c>
      <c r="E370" t="s">
        <v>1256</v>
      </c>
      <c r="F370">
        <v>1.5</v>
      </c>
      <c r="G370">
        <v>82.17</v>
      </c>
      <c r="I370" t="str" cm="1">
        <f t="array" ref="I370:J370">_xlfn.TEXTSPLIT(A370," ")</f>
        <v>27.10.2023</v>
      </c>
      <c r="J370" t="str">
        <v>06:08:23</v>
      </c>
      <c r="K370">
        <f t="shared" si="88"/>
        <v>6.1166666666666503</v>
      </c>
      <c r="L370">
        <f t="shared" si="81"/>
        <v>2.129999999999999</v>
      </c>
      <c r="M370">
        <f t="shared" si="82"/>
        <v>1.65</v>
      </c>
      <c r="N370">
        <f t="shared" si="76"/>
        <v>0.3075</v>
      </c>
      <c r="Q370" t="str" cm="1">
        <f t="array" ref="Q370:R370">_xlfn.TEXTSPLIT(E370," ")</f>
        <v>27.10.2023</v>
      </c>
      <c r="R370" t="str">
        <v>06:08:23</v>
      </c>
      <c r="S370">
        <f t="shared" si="89"/>
        <v>6.1166666666666503</v>
      </c>
      <c r="T370">
        <f t="shared" si="80"/>
        <v>3.5700000000000074</v>
      </c>
      <c r="U370">
        <f t="shared" si="83"/>
        <v>1.5</v>
      </c>
      <c r="V370">
        <f t="shared" si="77"/>
        <v>0.52</v>
      </c>
      <c r="AC370" t="s">
        <v>1257</v>
      </c>
      <c r="AD370">
        <v>0</v>
      </c>
      <c r="AE370">
        <v>5.74</v>
      </c>
      <c r="AG370" t="str" cm="1">
        <f t="array" ref="AG370:AH370">_xlfn.TEXTSPLIT(AC371," ")</f>
        <v>26.10.2023</v>
      </c>
      <c r="AH370" t="str">
        <v>06:09:25</v>
      </c>
      <c r="AI370">
        <f t="shared" si="90"/>
        <v>6.1166666666666503</v>
      </c>
      <c r="AJ370">
        <f t="shared" si="84"/>
        <v>1.21</v>
      </c>
      <c r="AK370">
        <f t="shared" si="85"/>
        <v>0</v>
      </c>
      <c r="AL370">
        <f t="shared" si="78"/>
        <v>0.32250000000000006</v>
      </c>
      <c r="AN370" t="s">
        <v>1257</v>
      </c>
      <c r="AO370">
        <v>2.4</v>
      </c>
      <c r="AP370">
        <v>65.930000000000007</v>
      </c>
      <c r="AR370" t="str" cm="1">
        <f t="array" ref="AR370:AS370">_xlfn.TEXTSPLIT(AN370," ")</f>
        <v>26.10.2023</v>
      </c>
      <c r="AS370" t="str">
        <v>06:08:25</v>
      </c>
      <c r="AT370">
        <f t="shared" si="91"/>
        <v>6.1166666666666503</v>
      </c>
      <c r="AU370">
        <f t="shared" si="86"/>
        <v>4.6200000000000045</v>
      </c>
      <c r="AV370">
        <f t="shared" si="87"/>
        <v>2.4</v>
      </c>
      <c r="AW370">
        <f t="shared" si="79"/>
        <v>0.73499999999999988</v>
      </c>
    </row>
    <row r="371" spans="1:49" x14ac:dyDescent="0.25">
      <c r="A371" t="s">
        <v>1258</v>
      </c>
      <c r="B371">
        <v>1.65</v>
      </c>
      <c r="C371">
        <v>16.47</v>
      </c>
      <c r="E371" t="s">
        <v>1258</v>
      </c>
      <c r="F371">
        <v>2.5499999999999998</v>
      </c>
      <c r="G371">
        <v>82.21</v>
      </c>
      <c r="I371" t="str" cm="1">
        <f t="array" ref="I371:J371">_xlfn.TEXTSPLIT(A371," ")</f>
        <v>27.10.2023</v>
      </c>
      <c r="J371" t="str">
        <v>06:09:23</v>
      </c>
      <c r="K371">
        <f t="shared" si="88"/>
        <v>6.1333333333333169</v>
      </c>
      <c r="L371">
        <f t="shared" si="81"/>
        <v>2.1499999999999986</v>
      </c>
      <c r="M371">
        <f t="shared" si="82"/>
        <v>1.65</v>
      </c>
      <c r="N371">
        <f t="shared" si="76"/>
        <v>0.30250000000000005</v>
      </c>
      <c r="Q371" t="str" cm="1">
        <f t="array" ref="Q371:R371">_xlfn.TEXTSPLIT(E371," ")</f>
        <v>27.10.2023</v>
      </c>
      <c r="R371" t="str">
        <v>06:09:23</v>
      </c>
      <c r="S371">
        <f t="shared" si="89"/>
        <v>6.1333333333333169</v>
      </c>
      <c r="T371">
        <f t="shared" si="80"/>
        <v>3.6099999999999994</v>
      </c>
      <c r="U371">
        <f t="shared" si="83"/>
        <v>2.5499999999999998</v>
      </c>
      <c r="V371">
        <f t="shared" si="77"/>
        <v>0.53999999999999992</v>
      </c>
      <c r="AC371" t="s">
        <v>1259</v>
      </c>
      <c r="AD371">
        <v>1.95</v>
      </c>
      <c r="AE371">
        <v>5.78</v>
      </c>
      <c r="AG371" t="str" cm="1">
        <f t="array" ref="AG371:AH371">_xlfn.TEXTSPLIT(AC372," ")</f>
        <v>26.10.2023</v>
      </c>
      <c r="AH371" t="str">
        <v>06:10:25</v>
      </c>
      <c r="AI371">
        <f t="shared" si="90"/>
        <v>6.1333333333333169</v>
      </c>
      <c r="AJ371">
        <f t="shared" si="84"/>
        <v>1.25</v>
      </c>
      <c r="AK371">
        <f t="shared" si="85"/>
        <v>1.95</v>
      </c>
      <c r="AL371">
        <f t="shared" si="78"/>
        <v>0.35500000000000009</v>
      </c>
      <c r="AN371" t="s">
        <v>1259</v>
      </c>
      <c r="AO371">
        <v>1.8</v>
      </c>
      <c r="AP371">
        <v>65.959999999999994</v>
      </c>
      <c r="AR371" t="str" cm="1">
        <f t="array" ref="AR371:AS371">_xlfn.TEXTSPLIT(AN371," ")</f>
        <v>26.10.2023</v>
      </c>
      <c r="AS371" t="str">
        <v>06:09:25</v>
      </c>
      <c r="AT371">
        <f t="shared" si="91"/>
        <v>6.1333333333333169</v>
      </c>
      <c r="AU371">
        <f t="shared" si="86"/>
        <v>4.6499999999999915</v>
      </c>
      <c r="AV371">
        <f t="shared" si="87"/>
        <v>1.8</v>
      </c>
      <c r="AW371">
        <f t="shared" si="79"/>
        <v>0.72749999999999992</v>
      </c>
    </row>
    <row r="372" spans="1:49" x14ac:dyDescent="0.25">
      <c r="A372" t="s">
        <v>1260</v>
      </c>
      <c r="B372">
        <v>1.5</v>
      </c>
      <c r="C372">
        <v>16.5</v>
      </c>
      <c r="E372" t="s">
        <v>1260</v>
      </c>
      <c r="F372">
        <v>1.8</v>
      </c>
      <c r="G372">
        <v>82.24</v>
      </c>
      <c r="I372" t="str" cm="1">
        <f t="array" ref="I372:J372">_xlfn.TEXTSPLIT(A372," ")</f>
        <v>27.10.2023</v>
      </c>
      <c r="J372" t="str">
        <v>06:10:23</v>
      </c>
      <c r="K372">
        <f t="shared" si="88"/>
        <v>6.1499999999999835</v>
      </c>
      <c r="L372">
        <f t="shared" si="81"/>
        <v>2.1799999999999997</v>
      </c>
      <c r="M372">
        <f t="shared" si="82"/>
        <v>1.5</v>
      </c>
      <c r="N372">
        <f t="shared" si="76"/>
        <v>0.30750000000000005</v>
      </c>
      <c r="Q372" t="str" cm="1">
        <f t="array" ref="Q372:R372">_xlfn.TEXTSPLIT(E372," ")</f>
        <v>27.10.2023</v>
      </c>
      <c r="R372" t="str">
        <v>06:10:23</v>
      </c>
      <c r="S372">
        <f t="shared" si="89"/>
        <v>6.1499999999999835</v>
      </c>
      <c r="T372">
        <f t="shared" si="80"/>
        <v>3.6400000000000006</v>
      </c>
      <c r="U372">
        <f t="shared" si="83"/>
        <v>1.8</v>
      </c>
      <c r="V372">
        <f t="shared" si="77"/>
        <v>0.54250000000000009</v>
      </c>
      <c r="AC372" t="s">
        <v>1261</v>
      </c>
      <c r="AD372">
        <v>1.35</v>
      </c>
      <c r="AE372">
        <v>5.8</v>
      </c>
      <c r="AG372" t="str" cm="1">
        <f t="array" ref="AG372:AH372">_xlfn.TEXTSPLIT(AC373," ")</f>
        <v>26.10.2023</v>
      </c>
      <c r="AH372" t="str">
        <v>06:11:25</v>
      </c>
      <c r="AI372">
        <f t="shared" si="90"/>
        <v>6.1499999999999835</v>
      </c>
      <c r="AJ372">
        <f t="shared" si="84"/>
        <v>1.2699999999999996</v>
      </c>
      <c r="AK372">
        <f t="shared" si="85"/>
        <v>1.35</v>
      </c>
      <c r="AL372">
        <f t="shared" si="78"/>
        <v>0.35</v>
      </c>
      <c r="AN372" t="s">
        <v>1261</v>
      </c>
      <c r="AO372">
        <v>1.65</v>
      </c>
      <c r="AP372">
        <v>65.989999999999995</v>
      </c>
      <c r="AR372" t="str" cm="1">
        <f t="array" ref="AR372:AS372">_xlfn.TEXTSPLIT(AN372," ")</f>
        <v>26.10.2023</v>
      </c>
      <c r="AS372" t="str">
        <v>06:10:25</v>
      </c>
      <c r="AT372">
        <f t="shared" si="91"/>
        <v>6.1499999999999835</v>
      </c>
      <c r="AU372">
        <f t="shared" si="86"/>
        <v>4.6799999999999926</v>
      </c>
      <c r="AV372">
        <f t="shared" si="87"/>
        <v>1.65</v>
      </c>
      <c r="AW372">
        <f t="shared" si="79"/>
        <v>0.72749999999999981</v>
      </c>
    </row>
    <row r="373" spans="1:49" x14ac:dyDescent="0.25">
      <c r="A373" t="s">
        <v>1262</v>
      </c>
      <c r="B373">
        <v>1.5</v>
      </c>
      <c r="C373">
        <v>16.52</v>
      </c>
      <c r="E373" t="s">
        <v>1262</v>
      </c>
      <c r="F373">
        <v>1.2</v>
      </c>
      <c r="G373">
        <v>82.25</v>
      </c>
      <c r="I373" t="str" cm="1">
        <f t="array" ref="I373:J373">_xlfn.TEXTSPLIT(A373," ")</f>
        <v>27.10.2023</v>
      </c>
      <c r="J373" t="str">
        <v>06:11:23</v>
      </c>
      <c r="K373">
        <f t="shared" si="88"/>
        <v>6.1666666666666501</v>
      </c>
      <c r="L373">
        <f t="shared" si="81"/>
        <v>2.1999999999999993</v>
      </c>
      <c r="M373">
        <f t="shared" si="82"/>
        <v>1.5</v>
      </c>
      <c r="N373">
        <f t="shared" si="76"/>
        <v>0.31</v>
      </c>
      <c r="Q373" t="str" cm="1">
        <f t="array" ref="Q373:R373">_xlfn.TEXTSPLIT(E373," ")</f>
        <v>27.10.2023</v>
      </c>
      <c r="R373" t="str">
        <v>06:11:23</v>
      </c>
      <c r="S373">
        <f t="shared" si="89"/>
        <v>6.1666666666666501</v>
      </c>
      <c r="T373">
        <f t="shared" si="80"/>
        <v>3.6500000000000057</v>
      </c>
      <c r="U373">
        <f t="shared" si="83"/>
        <v>1.2</v>
      </c>
      <c r="V373">
        <f t="shared" si="77"/>
        <v>0.54000000000000015</v>
      </c>
      <c r="AC373" t="s">
        <v>1263</v>
      </c>
      <c r="AD373">
        <v>0.9</v>
      </c>
      <c r="AE373">
        <v>5.81</v>
      </c>
      <c r="AG373" t="str" cm="1">
        <f t="array" ref="AG373:AH373">_xlfn.TEXTSPLIT(AC374," ")</f>
        <v>26.10.2023</v>
      </c>
      <c r="AH373" t="str">
        <v>06:12:25</v>
      </c>
      <c r="AI373">
        <f t="shared" si="90"/>
        <v>6.1666666666666501</v>
      </c>
      <c r="AJ373">
        <f t="shared" si="84"/>
        <v>1.2799999999999994</v>
      </c>
      <c r="AK373">
        <f t="shared" si="85"/>
        <v>0.9</v>
      </c>
      <c r="AL373">
        <f t="shared" si="78"/>
        <v>0.35249999999999998</v>
      </c>
      <c r="AN373" t="s">
        <v>1263</v>
      </c>
      <c r="AO373">
        <v>1.5</v>
      </c>
      <c r="AP373">
        <v>66.010000000000005</v>
      </c>
      <c r="AR373" t="str" cm="1">
        <f t="array" ref="AR373:AS373">_xlfn.TEXTSPLIT(AN373," ")</f>
        <v>26.10.2023</v>
      </c>
      <c r="AS373" t="str">
        <v>06:11:25</v>
      </c>
      <c r="AT373">
        <f t="shared" si="91"/>
        <v>6.1666666666666501</v>
      </c>
      <c r="AU373">
        <f t="shared" si="86"/>
        <v>4.7000000000000028</v>
      </c>
      <c r="AV373">
        <f t="shared" si="87"/>
        <v>1.5</v>
      </c>
      <c r="AW373">
        <f t="shared" si="79"/>
        <v>0.71750000000000003</v>
      </c>
    </row>
    <row r="374" spans="1:49" x14ac:dyDescent="0.25">
      <c r="A374" t="s">
        <v>1264</v>
      </c>
      <c r="B374">
        <v>1.2</v>
      </c>
      <c r="C374">
        <v>16.54</v>
      </c>
      <c r="E374" t="s">
        <v>1264</v>
      </c>
      <c r="F374">
        <v>0.9</v>
      </c>
      <c r="G374">
        <v>82.27</v>
      </c>
      <c r="I374" t="str" cm="1">
        <f t="array" ref="I374:J374">_xlfn.TEXTSPLIT(A374," ")</f>
        <v>27.10.2023</v>
      </c>
      <c r="J374" t="str">
        <v>06:12:23</v>
      </c>
      <c r="K374">
        <f t="shared" si="88"/>
        <v>6.1833333333333167</v>
      </c>
      <c r="L374">
        <f t="shared" si="81"/>
        <v>2.2199999999999989</v>
      </c>
      <c r="M374">
        <f t="shared" si="82"/>
        <v>1.2</v>
      </c>
      <c r="N374">
        <f t="shared" si="76"/>
        <v>0.32000000000000006</v>
      </c>
      <c r="Q374" t="str" cm="1">
        <f t="array" ref="Q374:R374">_xlfn.TEXTSPLIT(E374," ")</f>
        <v>27.10.2023</v>
      </c>
      <c r="R374" t="str">
        <v>06:12:23</v>
      </c>
      <c r="S374">
        <f t="shared" si="89"/>
        <v>6.1833333333333167</v>
      </c>
      <c r="T374">
        <f t="shared" si="80"/>
        <v>3.6700000000000017</v>
      </c>
      <c r="U374">
        <f t="shared" si="83"/>
        <v>0.9</v>
      </c>
      <c r="V374">
        <f t="shared" si="77"/>
        <v>0.53749999999999998</v>
      </c>
      <c r="AC374" t="s">
        <v>1265</v>
      </c>
      <c r="AD374">
        <v>0.75</v>
      </c>
      <c r="AE374">
        <v>5.82</v>
      </c>
      <c r="AG374" t="str" cm="1">
        <f t="array" ref="AG374:AH374">_xlfn.TEXTSPLIT(AC375," ")</f>
        <v>26.10.2023</v>
      </c>
      <c r="AH374" t="str">
        <v>06:13:25</v>
      </c>
      <c r="AI374">
        <f t="shared" si="90"/>
        <v>6.1833333333333167</v>
      </c>
      <c r="AJ374">
        <f t="shared" si="84"/>
        <v>1.29</v>
      </c>
      <c r="AK374">
        <f t="shared" si="85"/>
        <v>0.75</v>
      </c>
      <c r="AL374">
        <f t="shared" si="78"/>
        <v>0.34499999999999997</v>
      </c>
      <c r="AN374" t="s">
        <v>1265</v>
      </c>
      <c r="AO374">
        <v>1.65</v>
      </c>
      <c r="AP374">
        <v>66.040000000000006</v>
      </c>
      <c r="AR374" t="str" cm="1">
        <f t="array" ref="AR374:AS374">_xlfn.TEXTSPLIT(AN374," ")</f>
        <v>26.10.2023</v>
      </c>
      <c r="AS374" t="str">
        <v>06:12:25</v>
      </c>
      <c r="AT374">
        <f t="shared" si="91"/>
        <v>6.1833333333333167</v>
      </c>
      <c r="AU374">
        <f t="shared" si="86"/>
        <v>4.730000000000004</v>
      </c>
      <c r="AV374">
        <f t="shared" si="87"/>
        <v>1.65</v>
      </c>
      <c r="AW374">
        <f t="shared" si="79"/>
        <v>0.71249999999999991</v>
      </c>
    </row>
    <row r="375" spans="1:49" x14ac:dyDescent="0.25">
      <c r="A375" t="s">
        <v>1266</v>
      </c>
      <c r="B375">
        <v>1.2</v>
      </c>
      <c r="C375">
        <v>16.559999999999999</v>
      </c>
      <c r="E375" t="s">
        <v>1266</v>
      </c>
      <c r="F375">
        <v>0.9</v>
      </c>
      <c r="G375">
        <v>82.29</v>
      </c>
      <c r="I375" t="str" cm="1">
        <f t="array" ref="I375:J375">_xlfn.TEXTSPLIT(A375," ")</f>
        <v>27.10.2023</v>
      </c>
      <c r="J375" t="str">
        <v>06:13:23</v>
      </c>
      <c r="K375">
        <f t="shared" si="88"/>
        <v>6.1999999999999833</v>
      </c>
      <c r="L375">
        <f t="shared" si="81"/>
        <v>2.2399999999999984</v>
      </c>
      <c r="M375">
        <f t="shared" si="82"/>
        <v>1.2</v>
      </c>
      <c r="N375">
        <f t="shared" si="76"/>
        <v>0.33250000000000007</v>
      </c>
      <c r="Q375" t="str" cm="1">
        <f t="array" ref="Q375:R375">_xlfn.TEXTSPLIT(E375," ")</f>
        <v>27.10.2023</v>
      </c>
      <c r="R375" t="str">
        <v>06:13:23</v>
      </c>
      <c r="S375">
        <f t="shared" si="89"/>
        <v>6.1999999999999833</v>
      </c>
      <c r="T375">
        <f t="shared" si="80"/>
        <v>3.6900000000000119</v>
      </c>
      <c r="U375">
        <f t="shared" si="83"/>
        <v>0.9</v>
      </c>
      <c r="V375">
        <f t="shared" si="77"/>
        <v>0.54250000000000009</v>
      </c>
      <c r="AC375" t="s">
        <v>1267</v>
      </c>
      <c r="AD375">
        <v>0.6</v>
      </c>
      <c r="AE375">
        <v>5.83</v>
      </c>
      <c r="AG375" t="str" cm="1">
        <f t="array" ref="AG375:AH375">_xlfn.TEXTSPLIT(AC376," ")</f>
        <v>26.10.2023</v>
      </c>
      <c r="AH375" t="str">
        <v>06:14:25</v>
      </c>
      <c r="AI375">
        <f t="shared" si="90"/>
        <v>6.1999999999999833</v>
      </c>
      <c r="AJ375">
        <f t="shared" si="84"/>
        <v>1.2999999999999998</v>
      </c>
      <c r="AK375">
        <f t="shared" si="85"/>
        <v>0.6</v>
      </c>
      <c r="AL375">
        <f t="shared" si="78"/>
        <v>0.34750000000000003</v>
      </c>
      <c r="AN375" t="s">
        <v>1267</v>
      </c>
      <c r="AO375">
        <v>0.9</v>
      </c>
      <c r="AP375">
        <v>66.05</v>
      </c>
      <c r="AR375" t="str" cm="1">
        <f t="array" ref="AR375:AS375">_xlfn.TEXTSPLIT(AN375," ")</f>
        <v>26.10.2023</v>
      </c>
      <c r="AS375" t="str">
        <v>06:13:25</v>
      </c>
      <c r="AT375">
        <f t="shared" si="91"/>
        <v>6.1999999999999833</v>
      </c>
      <c r="AU375">
        <f t="shared" si="86"/>
        <v>4.7399999999999949</v>
      </c>
      <c r="AV375">
        <f t="shared" si="87"/>
        <v>0.9</v>
      </c>
      <c r="AW375">
        <f t="shared" si="79"/>
        <v>0.7074999999999998</v>
      </c>
    </row>
    <row r="376" spans="1:49" x14ac:dyDescent="0.25">
      <c r="A376" t="s">
        <v>1268</v>
      </c>
      <c r="B376">
        <v>0.75</v>
      </c>
      <c r="C376">
        <v>16.57</v>
      </c>
      <c r="E376" t="s">
        <v>1268</v>
      </c>
      <c r="F376">
        <v>1.65</v>
      </c>
      <c r="G376">
        <v>82.31</v>
      </c>
      <c r="I376" t="str" cm="1">
        <f t="array" ref="I376:J376">_xlfn.TEXTSPLIT(A376," ")</f>
        <v>27.10.2023</v>
      </c>
      <c r="J376" t="str">
        <v>06:14:23</v>
      </c>
      <c r="K376">
        <f t="shared" si="88"/>
        <v>6.2166666666666499</v>
      </c>
      <c r="L376">
        <f t="shared" si="81"/>
        <v>2.25</v>
      </c>
      <c r="M376">
        <f t="shared" si="82"/>
        <v>0.75</v>
      </c>
      <c r="N376">
        <f t="shared" si="76"/>
        <v>0.33500000000000002</v>
      </c>
      <c r="Q376" t="str" cm="1">
        <f t="array" ref="Q376:R376">_xlfn.TEXTSPLIT(E376," ")</f>
        <v>27.10.2023</v>
      </c>
      <c r="R376" t="str">
        <v>06:14:23</v>
      </c>
      <c r="S376">
        <f t="shared" si="89"/>
        <v>6.2166666666666499</v>
      </c>
      <c r="T376">
        <f t="shared" si="80"/>
        <v>3.710000000000008</v>
      </c>
      <c r="U376">
        <f t="shared" si="83"/>
        <v>1.65</v>
      </c>
      <c r="V376">
        <f t="shared" si="77"/>
        <v>0.56000000000000005</v>
      </c>
      <c r="AC376" t="s">
        <v>1269</v>
      </c>
      <c r="AD376">
        <v>0.75</v>
      </c>
      <c r="AE376">
        <v>5.84</v>
      </c>
      <c r="AG376" t="str" cm="1">
        <f t="array" ref="AG376:AH376">_xlfn.TEXTSPLIT(AC377," ")</f>
        <v>26.10.2023</v>
      </c>
      <c r="AH376" t="str">
        <v>06:15:25</v>
      </c>
      <c r="AI376">
        <f t="shared" si="90"/>
        <v>6.2166666666666499</v>
      </c>
      <c r="AJ376">
        <f t="shared" si="84"/>
        <v>1.3099999999999996</v>
      </c>
      <c r="AK376">
        <f t="shared" si="85"/>
        <v>0.75</v>
      </c>
      <c r="AL376">
        <f t="shared" si="78"/>
        <v>0.35000000000000003</v>
      </c>
      <c r="AN376" t="s">
        <v>1269</v>
      </c>
      <c r="AO376">
        <v>0.75</v>
      </c>
      <c r="AP376">
        <v>66.06</v>
      </c>
      <c r="AR376" t="str" cm="1">
        <f t="array" ref="AR376:AS376">_xlfn.TEXTSPLIT(AN376," ")</f>
        <v>26.10.2023</v>
      </c>
      <c r="AS376" t="str">
        <v>06:14:25</v>
      </c>
      <c r="AT376">
        <f t="shared" si="91"/>
        <v>6.2166666666666499</v>
      </c>
      <c r="AU376">
        <f t="shared" si="86"/>
        <v>4.75</v>
      </c>
      <c r="AV376">
        <f t="shared" si="87"/>
        <v>0.75</v>
      </c>
      <c r="AW376">
        <f t="shared" si="79"/>
        <v>0.70249999999999979</v>
      </c>
    </row>
    <row r="377" spans="1:49" x14ac:dyDescent="0.25">
      <c r="A377" t="s">
        <v>1270</v>
      </c>
      <c r="B377">
        <v>0.6</v>
      </c>
      <c r="C377">
        <v>16.579999999999998</v>
      </c>
      <c r="E377" t="s">
        <v>1270</v>
      </c>
      <c r="F377">
        <v>0.75</v>
      </c>
      <c r="G377">
        <v>82.33</v>
      </c>
      <c r="I377" t="str" cm="1">
        <f t="array" ref="I377:J377">_xlfn.TEXTSPLIT(A377," ")</f>
        <v>27.10.2023</v>
      </c>
      <c r="J377" t="str">
        <v>06:15:24</v>
      </c>
      <c r="K377">
        <f t="shared" si="88"/>
        <v>6.2333333333333165</v>
      </c>
      <c r="L377">
        <f t="shared" si="81"/>
        <v>2.259999999999998</v>
      </c>
      <c r="M377">
        <f t="shared" si="82"/>
        <v>0.6</v>
      </c>
      <c r="N377">
        <f t="shared" si="76"/>
        <v>0.33750000000000013</v>
      </c>
      <c r="Q377" t="str" cm="1">
        <f t="array" ref="Q377:R377">_xlfn.TEXTSPLIT(E377," ")</f>
        <v>27.10.2023</v>
      </c>
      <c r="R377" t="str">
        <v>06:15:24</v>
      </c>
      <c r="S377">
        <f t="shared" si="89"/>
        <v>6.2333333333333165</v>
      </c>
      <c r="T377">
        <f t="shared" si="80"/>
        <v>3.730000000000004</v>
      </c>
      <c r="U377">
        <f t="shared" si="83"/>
        <v>0.75</v>
      </c>
      <c r="V377">
        <f t="shared" si="77"/>
        <v>0.5625</v>
      </c>
      <c r="AC377" t="s">
        <v>1271</v>
      </c>
      <c r="AD377">
        <v>0.15</v>
      </c>
      <c r="AE377">
        <v>5.85</v>
      </c>
      <c r="AG377" t="str" cm="1">
        <f t="array" ref="AG377:AH377">_xlfn.TEXTSPLIT(AC378," ")</f>
        <v>26.10.2023</v>
      </c>
      <c r="AH377" t="str">
        <v>06:16:26</v>
      </c>
      <c r="AI377">
        <f t="shared" si="90"/>
        <v>6.2333333333333165</v>
      </c>
      <c r="AJ377">
        <f t="shared" si="84"/>
        <v>1.3199999999999994</v>
      </c>
      <c r="AK377">
        <f t="shared" si="85"/>
        <v>0.15</v>
      </c>
      <c r="AL377">
        <f t="shared" si="78"/>
        <v>0.34750000000000003</v>
      </c>
      <c r="AN377" t="s">
        <v>1271</v>
      </c>
      <c r="AO377">
        <v>0.6</v>
      </c>
      <c r="AP377">
        <v>66.069999999999993</v>
      </c>
      <c r="AR377" t="str" cm="1">
        <f t="array" ref="AR377:AS377">_xlfn.TEXTSPLIT(AN377," ")</f>
        <v>26.10.2023</v>
      </c>
      <c r="AS377" t="str">
        <v>06:15:25</v>
      </c>
      <c r="AT377">
        <f t="shared" si="91"/>
        <v>6.2333333333333165</v>
      </c>
      <c r="AU377">
        <f t="shared" si="86"/>
        <v>4.7599999999999909</v>
      </c>
      <c r="AV377">
        <f t="shared" si="87"/>
        <v>0.6</v>
      </c>
      <c r="AW377">
        <f t="shared" si="79"/>
        <v>0.69499999999999984</v>
      </c>
    </row>
    <row r="378" spans="1:49" x14ac:dyDescent="0.25">
      <c r="A378" t="s">
        <v>1272</v>
      </c>
      <c r="B378">
        <v>0.3</v>
      </c>
      <c r="C378">
        <v>16.59</v>
      </c>
      <c r="E378" t="s">
        <v>1272</v>
      </c>
      <c r="F378">
        <v>0.75</v>
      </c>
      <c r="G378">
        <v>82.35</v>
      </c>
      <c r="I378" t="str" cm="1">
        <f t="array" ref="I378:J378">_xlfn.TEXTSPLIT(A378," ")</f>
        <v>27.10.2023</v>
      </c>
      <c r="J378" t="str">
        <v>06:16:24</v>
      </c>
      <c r="K378">
        <f t="shared" si="88"/>
        <v>6.2499999999999831</v>
      </c>
      <c r="L378">
        <f t="shared" si="81"/>
        <v>2.2699999999999996</v>
      </c>
      <c r="M378">
        <f t="shared" si="82"/>
        <v>0.3</v>
      </c>
      <c r="N378">
        <f t="shared" si="76"/>
        <v>0.34</v>
      </c>
      <c r="Q378" t="str" cm="1">
        <f t="array" ref="Q378:R378">_xlfn.TEXTSPLIT(E378," ")</f>
        <v>27.10.2023</v>
      </c>
      <c r="R378" t="str">
        <v>06:16:24</v>
      </c>
      <c r="S378">
        <f t="shared" si="89"/>
        <v>6.2499999999999831</v>
      </c>
      <c r="T378">
        <f t="shared" si="80"/>
        <v>3.75</v>
      </c>
      <c r="U378">
        <f t="shared" si="83"/>
        <v>0.75</v>
      </c>
      <c r="V378">
        <f t="shared" si="77"/>
        <v>0.5675</v>
      </c>
      <c r="AC378" t="s">
        <v>1273</v>
      </c>
      <c r="AD378">
        <v>0.45</v>
      </c>
      <c r="AE378">
        <v>5.86</v>
      </c>
      <c r="AG378" t="str" cm="1">
        <f t="array" ref="AG378:AH378">_xlfn.TEXTSPLIT(AC379," ")</f>
        <v>26.10.2023</v>
      </c>
      <c r="AH378" t="str">
        <v>06:17:26</v>
      </c>
      <c r="AI378">
        <f t="shared" si="90"/>
        <v>6.2499999999999831</v>
      </c>
      <c r="AJ378">
        <f t="shared" si="84"/>
        <v>1.33</v>
      </c>
      <c r="AK378">
        <f t="shared" si="85"/>
        <v>0.45</v>
      </c>
      <c r="AL378">
        <f t="shared" si="78"/>
        <v>0.35249999999999998</v>
      </c>
      <c r="AN378" t="s">
        <v>1273</v>
      </c>
      <c r="AO378">
        <v>0.3</v>
      </c>
      <c r="AP378">
        <v>66.08</v>
      </c>
      <c r="AR378" t="str" cm="1">
        <f t="array" ref="AR378:AS378">_xlfn.TEXTSPLIT(AN378," ")</f>
        <v>26.10.2023</v>
      </c>
      <c r="AS378" t="str">
        <v>06:16:26</v>
      </c>
      <c r="AT378">
        <f t="shared" si="91"/>
        <v>6.2499999999999831</v>
      </c>
      <c r="AU378">
        <f t="shared" si="86"/>
        <v>4.769999999999996</v>
      </c>
      <c r="AV378">
        <f t="shared" si="87"/>
        <v>0.3</v>
      </c>
      <c r="AW378">
        <f t="shared" si="79"/>
        <v>0.68249999999999977</v>
      </c>
    </row>
    <row r="379" spans="1:49" x14ac:dyDescent="0.25">
      <c r="A379" t="s">
        <v>1274</v>
      </c>
      <c r="B379">
        <v>0.6</v>
      </c>
      <c r="C379">
        <v>16.600000000000001</v>
      </c>
      <c r="E379" t="s">
        <v>1274</v>
      </c>
      <c r="F379">
        <v>0.75</v>
      </c>
      <c r="G379">
        <v>82.35</v>
      </c>
      <c r="I379" t="str" cm="1">
        <f t="array" ref="I379:J379">_xlfn.TEXTSPLIT(A379," ")</f>
        <v>27.10.2023</v>
      </c>
      <c r="J379" t="str">
        <v>06:17:24</v>
      </c>
      <c r="K379">
        <f t="shared" si="88"/>
        <v>6.2666666666666497</v>
      </c>
      <c r="L379">
        <f t="shared" si="81"/>
        <v>2.2800000000000011</v>
      </c>
      <c r="M379">
        <f t="shared" si="82"/>
        <v>0.6</v>
      </c>
      <c r="N379">
        <f t="shared" si="76"/>
        <v>0.34750000000000009</v>
      </c>
      <c r="Q379" t="str" cm="1">
        <f t="array" ref="Q379:R379">_xlfn.TEXTSPLIT(E379," ")</f>
        <v>27.10.2023</v>
      </c>
      <c r="R379" t="str">
        <v>06:17:24</v>
      </c>
      <c r="S379">
        <f t="shared" si="89"/>
        <v>6.2666666666666497</v>
      </c>
      <c r="T379">
        <f t="shared" si="80"/>
        <v>3.75</v>
      </c>
      <c r="U379">
        <f t="shared" si="83"/>
        <v>0.75</v>
      </c>
      <c r="V379">
        <f t="shared" si="77"/>
        <v>0.5724999999999999</v>
      </c>
      <c r="AC379" t="s">
        <v>1275</v>
      </c>
      <c r="AD379">
        <v>0.6</v>
      </c>
      <c r="AE379">
        <v>5.86</v>
      </c>
      <c r="AG379" t="str" cm="1">
        <f t="array" ref="AG379:AH379">_xlfn.TEXTSPLIT(AC380," ")</f>
        <v>26.10.2023</v>
      </c>
      <c r="AH379" t="str">
        <v>06:18:26</v>
      </c>
      <c r="AI379">
        <f t="shared" si="90"/>
        <v>6.2666666666666497</v>
      </c>
      <c r="AJ379">
        <f t="shared" si="84"/>
        <v>1.33</v>
      </c>
      <c r="AK379">
        <f t="shared" si="85"/>
        <v>0.6</v>
      </c>
      <c r="AL379">
        <f t="shared" si="78"/>
        <v>0.34749999999999998</v>
      </c>
      <c r="AN379" t="s">
        <v>1275</v>
      </c>
      <c r="AO379">
        <v>0.6</v>
      </c>
      <c r="AP379">
        <v>66.09</v>
      </c>
      <c r="AR379" t="str" cm="1">
        <f t="array" ref="AR379:AS379">_xlfn.TEXTSPLIT(AN379," ")</f>
        <v>26.10.2023</v>
      </c>
      <c r="AS379" t="str">
        <v>06:17:26</v>
      </c>
      <c r="AT379">
        <f t="shared" si="91"/>
        <v>6.2666666666666497</v>
      </c>
      <c r="AU379">
        <f t="shared" si="86"/>
        <v>4.7800000000000011</v>
      </c>
      <c r="AV379">
        <f t="shared" si="87"/>
        <v>0.6</v>
      </c>
      <c r="AW379">
        <f t="shared" si="79"/>
        <v>0.67499999999999971</v>
      </c>
    </row>
    <row r="380" spans="1:49" x14ac:dyDescent="0.25">
      <c r="A380" t="s">
        <v>1276</v>
      </c>
      <c r="B380">
        <v>0.45</v>
      </c>
      <c r="C380">
        <v>16.600000000000001</v>
      </c>
      <c r="E380" t="s">
        <v>1276</v>
      </c>
      <c r="F380">
        <v>0.6</v>
      </c>
      <c r="G380">
        <v>82.36</v>
      </c>
      <c r="I380" t="str" cm="1">
        <f t="array" ref="I380:J380">_xlfn.TEXTSPLIT(A380," ")</f>
        <v>27.10.2023</v>
      </c>
      <c r="J380" t="str">
        <v>06:18:24</v>
      </c>
      <c r="K380">
        <f t="shared" si="88"/>
        <v>6.2833333333333163</v>
      </c>
      <c r="L380">
        <f t="shared" si="81"/>
        <v>2.2800000000000011</v>
      </c>
      <c r="M380">
        <f t="shared" si="82"/>
        <v>0.45</v>
      </c>
      <c r="N380">
        <f t="shared" si="76"/>
        <v>0.35000000000000003</v>
      </c>
      <c r="Q380" t="str" cm="1">
        <f t="array" ref="Q380:R380">_xlfn.TEXTSPLIT(E380," ")</f>
        <v>27.10.2023</v>
      </c>
      <c r="R380" t="str">
        <v>06:18:24</v>
      </c>
      <c r="S380">
        <f t="shared" si="89"/>
        <v>6.2833333333333163</v>
      </c>
      <c r="T380">
        <f t="shared" si="80"/>
        <v>3.7600000000000051</v>
      </c>
      <c r="U380">
        <f t="shared" si="83"/>
        <v>0.6</v>
      </c>
      <c r="V380">
        <f t="shared" si="77"/>
        <v>0.57249999999999979</v>
      </c>
      <c r="AC380" t="s">
        <v>1277</v>
      </c>
      <c r="AD380">
        <v>0.3</v>
      </c>
      <c r="AE380">
        <v>5.87</v>
      </c>
      <c r="AG380" t="str" cm="1">
        <f t="array" ref="AG380:AH380">_xlfn.TEXTSPLIT(AC381," ")</f>
        <v>26.10.2023</v>
      </c>
      <c r="AH380" t="str">
        <v>06:19:26</v>
      </c>
      <c r="AI380">
        <f t="shared" si="90"/>
        <v>6.2833333333333163</v>
      </c>
      <c r="AJ380">
        <f t="shared" si="84"/>
        <v>1.3399999999999999</v>
      </c>
      <c r="AK380">
        <f t="shared" si="85"/>
        <v>0.3</v>
      </c>
      <c r="AL380">
        <f t="shared" si="78"/>
        <v>0.33999999999999997</v>
      </c>
      <c r="AN380" t="s">
        <v>1277</v>
      </c>
      <c r="AO380">
        <v>0.6</v>
      </c>
      <c r="AP380">
        <v>66.099999999999994</v>
      </c>
      <c r="AR380" t="str" cm="1">
        <f t="array" ref="AR380:AS380">_xlfn.TEXTSPLIT(AN380," ")</f>
        <v>26.10.2023</v>
      </c>
      <c r="AS380" t="str">
        <v>06:18:26</v>
      </c>
      <c r="AT380">
        <f t="shared" si="91"/>
        <v>6.2833333333333163</v>
      </c>
      <c r="AU380">
        <f t="shared" si="86"/>
        <v>4.789999999999992</v>
      </c>
      <c r="AV380">
        <f t="shared" si="87"/>
        <v>0.6</v>
      </c>
      <c r="AW380">
        <f t="shared" si="79"/>
        <v>0.66749999999999998</v>
      </c>
    </row>
    <row r="381" spans="1:49" x14ac:dyDescent="0.25">
      <c r="A381" t="s">
        <v>1278</v>
      </c>
      <c r="B381">
        <v>0.45</v>
      </c>
      <c r="C381">
        <v>16.61</v>
      </c>
      <c r="E381" t="s">
        <v>1278</v>
      </c>
      <c r="F381">
        <v>0.45</v>
      </c>
      <c r="G381">
        <v>82.37</v>
      </c>
      <c r="I381" t="str" cm="1">
        <f t="array" ref="I381:J381">_xlfn.TEXTSPLIT(A381," ")</f>
        <v>27.10.2023</v>
      </c>
      <c r="J381" t="str">
        <v>06:19:24</v>
      </c>
      <c r="K381">
        <f t="shared" si="88"/>
        <v>6.2999999999999829</v>
      </c>
      <c r="L381">
        <f t="shared" si="81"/>
        <v>2.2899999999999991</v>
      </c>
      <c r="M381">
        <f t="shared" si="82"/>
        <v>0.45</v>
      </c>
      <c r="N381">
        <f t="shared" si="76"/>
        <v>0.35500000000000009</v>
      </c>
      <c r="Q381" t="str" cm="1">
        <f t="array" ref="Q381:R381">_xlfn.TEXTSPLIT(E381," ")</f>
        <v>27.10.2023</v>
      </c>
      <c r="R381" t="str">
        <v>06:19:24</v>
      </c>
      <c r="S381">
        <f t="shared" si="89"/>
        <v>6.2999999999999829</v>
      </c>
      <c r="T381">
        <f t="shared" si="80"/>
        <v>3.7700000000000102</v>
      </c>
      <c r="U381">
        <f t="shared" si="83"/>
        <v>0.45</v>
      </c>
      <c r="V381">
        <f t="shared" si="77"/>
        <v>0.56999999999999995</v>
      </c>
      <c r="AC381" t="s">
        <v>1279</v>
      </c>
      <c r="AD381">
        <v>0</v>
      </c>
      <c r="AE381">
        <v>5.87</v>
      </c>
      <c r="AG381" t="str" cm="1">
        <f t="array" ref="AG381:AH381">_xlfn.TEXTSPLIT(AC382," ")</f>
        <v>26.10.2023</v>
      </c>
      <c r="AH381" t="str">
        <v>06:20:26</v>
      </c>
      <c r="AI381">
        <f t="shared" si="90"/>
        <v>6.2999999999999829</v>
      </c>
      <c r="AJ381">
        <f t="shared" si="84"/>
        <v>1.3399999999999999</v>
      </c>
      <c r="AK381">
        <f t="shared" si="85"/>
        <v>0</v>
      </c>
      <c r="AL381">
        <f t="shared" si="78"/>
        <v>0.33249999999999996</v>
      </c>
      <c r="AN381" t="s">
        <v>1279</v>
      </c>
      <c r="AO381">
        <v>0.6</v>
      </c>
      <c r="AP381">
        <v>66.11</v>
      </c>
      <c r="AR381" t="str" cm="1">
        <f t="array" ref="AR381:AS381">_xlfn.TEXTSPLIT(AN381," ")</f>
        <v>26.10.2023</v>
      </c>
      <c r="AS381" t="str">
        <v>06:19:26</v>
      </c>
      <c r="AT381">
        <f t="shared" si="91"/>
        <v>6.2999999999999829</v>
      </c>
      <c r="AU381">
        <f t="shared" si="86"/>
        <v>4.7999999999999972</v>
      </c>
      <c r="AV381">
        <f t="shared" si="87"/>
        <v>0.6</v>
      </c>
      <c r="AW381">
        <f t="shared" si="79"/>
        <v>0.66499999999999992</v>
      </c>
    </row>
    <row r="382" spans="1:49" x14ac:dyDescent="0.25">
      <c r="A382" t="s">
        <v>1280</v>
      </c>
      <c r="B382">
        <v>0.45</v>
      </c>
      <c r="C382">
        <v>16.62</v>
      </c>
      <c r="E382" t="s">
        <v>1280</v>
      </c>
      <c r="F382">
        <v>0.6</v>
      </c>
      <c r="G382">
        <v>82.38</v>
      </c>
      <c r="I382" t="str" cm="1">
        <f t="array" ref="I382:J382">_xlfn.TEXTSPLIT(A382," ")</f>
        <v>27.10.2023</v>
      </c>
      <c r="J382" t="str">
        <v>06:20:24</v>
      </c>
      <c r="K382">
        <f t="shared" si="88"/>
        <v>6.3166666666666496</v>
      </c>
      <c r="L382">
        <f t="shared" si="81"/>
        <v>2.3000000000000007</v>
      </c>
      <c r="M382">
        <f t="shared" si="82"/>
        <v>0.45</v>
      </c>
      <c r="N382">
        <f t="shared" si="76"/>
        <v>0.35750000000000004</v>
      </c>
      <c r="Q382" t="str" cm="1">
        <f t="array" ref="Q382:R382">_xlfn.TEXTSPLIT(E382," ")</f>
        <v>27.10.2023</v>
      </c>
      <c r="R382" t="str">
        <v>06:20:24</v>
      </c>
      <c r="S382">
        <f t="shared" si="89"/>
        <v>6.3166666666666496</v>
      </c>
      <c r="T382">
        <f t="shared" si="80"/>
        <v>3.7800000000000011</v>
      </c>
      <c r="U382">
        <f t="shared" si="83"/>
        <v>0.6</v>
      </c>
      <c r="V382">
        <f t="shared" si="77"/>
        <v>0.56999999999999984</v>
      </c>
      <c r="AC382" t="s">
        <v>1281</v>
      </c>
      <c r="AD382">
        <v>0</v>
      </c>
      <c r="AE382">
        <v>5.87</v>
      </c>
      <c r="AG382" t="str" cm="1">
        <f t="array" ref="AG382:AH382">_xlfn.TEXTSPLIT(AC383," ")</f>
        <v>26.10.2023</v>
      </c>
      <c r="AH382" t="str">
        <v>06:21:26</v>
      </c>
      <c r="AI382">
        <f t="shared" si="90"/>
        <v>6.3166666666666496</v>
      </c>
      <c r="AJ382">
        <f t="shared" si="84"/>
        <v>1.3399999999999999</v>
      </c>
      <c r="AK382">
        <f t="shared" si="85"/>
        <v>0</v>
      </c>
      <c r="AL382">
        <f t="shared" si="78"/>
        <v>0.32250000000000001</v>
      </c>
      <c r="AN382" t="s">
        <v>1281</v>
      </c>
      <c r="AO382">
        <v>0.6</v>
      </c>
      <c r="AP382">
        <v>66.12</v>
      </c>
      <c r="AR382" t="str" cm="1">
        <f t="array" ref="AR382:AS382">_xlfn.TEXTSPLIT(AN382," ")</f>
        <v>26.10.2023</v>
      </c>
      <c r="AS382" t="str">
        <v>06:20:26</v>
      </c>
      <c r="AT382">
        <f t="shared" si="91"/>
        <v>6.3166666666666496</v>
      </c>
      <c r="AU382">
        <f t="shared" si="86"/>
        <v>4.8100000000000023</v>
      </c>
      <c r="AV382">
        <f t="shared" si="87"/>
        <v>0.6</v>
      </c>
      <c r="AW382">
        <f t="shared" si="79"/>
        <v>0.66499999999999992</v>
      </c>
    </row>
    <row r="383" spans="1:49" x14ac:dyDescent="0.25">
      <c r="A383" t="s">
        <v>1282</v>
      </c>
      <c r="B383">
        <v>0.3</v>
      </c>
      <c r="C383">
        <v>16.62</v>
      </c>
      <c r="E383" t="s">
        <v>1282</v>
      </c>
      <c r="F383">
        <v>0.6</v>
      </c>
      <c r="G383">
        <v>82.38</v>
      </c>
      <c r="I383" t="str" cm="1">
        <f t="array" ref="I383:J383">_xlfn.TEXTSPLIT(A383," ")</f>
        <v>27.10.2023</v>
      </c>
      <c r="J383" t="str">
        <v>06:21:24</v>
      </c>
      <c r="K383">
        <f t="shared" si="88"/>
        <v>6.3333333333333162</v>
      </c>
      <c r="L383">
        <f t="shared" si="81"/>
        <v>2.3000000000000007</v>
      </c>
      <c r="M383">
        <f t="shared" si="82"/>
        <v>0.3</v>
      </c>
      <c r="N383">
        <f t="shared" ref="N383:N446" si="92">AVERAGE(M324:M383)</f>
        <v>0.35750000000000004</v>
      </c>
      <c r="Q383" t="str" cm="1">
        <f t="array" ref="Q383:R383">_xlfn.TEXTSPLIT(E383," ")</f>
        <v>27.10.2023</v>
      </c>
      <c r="R383" t="str">
        <v>06:21:24</v>
      </c>
      <c r="S383">
        <f t="shared" si="89"/>
        <v>6.3333333333333162</v>
      </c>
      <c r="T383">
        <f t="shared" si="80"/>
        <v>3.7800000000000011</v>
      </c>
      <c r="U383">
        <f t="shared" si="83"/>
        <v>0.6</v>
      </c>
      <c r="V383">
        <f t="shared" ref="V383:V446" si="93">AVERAGE(U324:U383)</f>
        <v>0.56749999999999978</v>
      </c>
      <c r="AC383" t="s">
        <v>1283</v>
      </c>
      <c r="AD383">
        <v>0</v>
      </c>
      <c r="AE383">
        <v>5.87</v>
      </c>
      <c r="AG383" t="str" cm="1">
        <f t="array" ref="AG383:AH383">_xlfn.TEXTSPLIT(AC384," ")</f>
        <v>26.10.2023</v>
      </c>
      <c r="AH383" t="str">
        <v>06:22:26</v>
      </c>
      <c r="AI383">
        <f t="shared" si="90"/>
        <v>6.3333333333333162</v>
      </c>
      <c r="AJ383">
        <f t="shared" si="84"/>
        <v>1.3399999999999999</v>
      </c>
      <c r="AK383">
        <f t="shared" si="85"/>
        <v>0</v>
      </c>
      <c r="AL383">
        <f t="shared" ref="AL383:AL446" si="94">AVERAGE(AK324:AK383)</f>
        <v>0.3175</v>
      </c>
      <c r="AN383" t="s">
        <v>1283</v>
      </c>
      <c r="AO383">
        <v>1.05</v>
      </c>
      <c r="AP383">
        <v>66.14</v>
      </c>
      <c r="AR383" t="str" cm="1">
        <f t="array" ref="AR383:AS383">_xlfn.TEXTSPLIT(AN383," ")</f>
        <v>26.10.2023</v>
      </c>
      <c r="AS383" t="str">
        <v>06:21:26</v>
      </c>
      <c r="AT383">
        <f t="shared" si="91"/>
        <v>6.3333333333333162</v>
      </c>
      <c r="AU383">
        <f t="shared" si="86"/>
        <v>4.8299999999999983</v>
      </c>
      <c r="AV383">
        <f t="shared" si="87"/>
        <v>1.05</v>
      </c>
      <c r="AW383">
        <f t="shared" ref="AW383:AW446" si="95">AVERAGE(AV324:AV383)</f>
        <v>0.67249999999999976</v>
      </c>
    </row>
    <row r="384" spans="1:49" x14ac:dyDescent="0.25">
      <c r="A384" t="s">
        <v>1284</v>
      </c>
      <c r="B384">
        <v>0.3</v>
      </c>
      <c r="C384">
        <v>16.62</v>
      </c>
      <c r="E384" t="s">
        <v>1284</v>
      </c>
      <c r="F384">
        <v>0.15</v>
      </c>
      <c r="G384">
        <v>82.39</v>
      </c>
      <c r="I384" t="str" cm="1">
        <f t="array" ref="I384:J384">_xlfn.TEXTSPLIT(A384," ")</f>
        <v>27.10.2023</v>
      </c>
      <c r="J384" t="str">
        <v>06:22:25</v>
      </c>
      <c r="K384">
        <f t="shared" si="88"/>
        <v>6.3499999999999828</v>
      </c>
      <c r="L384">
        <f t="shared" si="81"/>
        <v>2.3000000000000007</v>
      </c>
      <c r="M384">
        <f t="shared" si="82"/>
        <v>0.3</v>
      </c>
      <c r="N384">
        <f t="shared" si="92"/>
        <v>0.3600000000000001</v>
      </c>
      <c r="Q384" t="str" cm="1">
        <f t="array" ref="Q384:R384">_xlfn.TEXTSPLIT(E384," ")</f>
        <v>27.10.2023</v>
      </c>
      <c r="R384" t="str">
        <v>06:22:25</v>
      </c>
      <c r="S384">
        <f t="shared" si="89"/>
        <v>6.3499999999999828</v>
      </c>
      <c r="T384">
        <f t="shared" si="80"/>
        <v>3.7900000000000063</v>
      </c>
      <c r="U384">
        <f t="shared" si="83"/>
        <v>0.15</v>
      </c>
      <c r="V384">
        <f t="shared" si="93"/>
        <v>0.56499999999999984</v>
      </c>
      <c r="AC384" t="s">
        <v>1285</v>
      </c>
      <c r="AD384">
        <v>0</v>
      </c>
      <c r="AE384">
        <v>5.87</v>
      </c>
      <c r="AG384" t="str" cm="1">
        <f t="array" ref="AG384:AH384">_xlfn.TEXTSPLIT(AC385," ")</f>
        <v>26.10.2023</v>
      </c>
      <c r="AH384" t="str">
        <v>06:23:26</v>
      </c>
      <c r="AI384">
        <f t="shared" si="90"/>
        <v>6.3499999999999828</v>
      </c>
      <c r="AJ384">
        <f t="shared" si="84"/>
        <v>1.3399999999999999</v>
      </c>
      <c r="AK384">
        <f t="shared" si="85"/>
        <v>0</v>
      </c>
      <c r="AL384">
        <f t="shared" si="94"/>
        <v>0.3125</v>
      </c>
      <c r="AN384" t="s">
        <v>1285</v>
      </c>
      <c r="AO384">
        <v>0.3</v>
      </c>
      <c r="AP384">
        <v>66.14</v>
      </c>
      <c r="AR384" t="str" cm="1">
        <f t="array" ref="AR384:AS384">_xlfn.TEXTSPLIT(AN384," ")</f>
        <v>26.10.2023</v>
      </c>
      <c r="AS384" t="str">
        <v>06:22:26</v>
      </c>
      <c r="AT384">
        <f t="shared" si="91"/>
        <v>6.3499999999999828</v>
      </c>
      <c r="AU384">
        <f t="shared" si="86"/>
        <v>4.8299999999999983</v>
      </c>
      <c r="AV384">
        <f t="shared" si="87"/>
        <v>0.3</v>
      </c>
      <c r="AW384">
        <f t="shared" si="95"/>
        <v>0.67499999999999993</v>
      </c>
    </row>
    <row r="385" spans="1:49" x14ac:dyDescent="0.25">
      <c r="A385" t="s">
        <v>1286</v>
      </c>
      <c r="B385">
        <v>0</v>
      </c>
      <c r="C385">
        <v>16.62</v>
      </c>
      <c r="E385" t="s">
        <v>1286</v>
      </c>
      <c r="F385">
        <v>0</v>
      </c>
      <c r="G385">
        <v>82.39</v>
      </c>
      <c r="I385" t="str" cm="1">
        <f t="array" ref="I385:J385">_xlfn.TEXTSPLIT(A385," ")</f>
        <v>27.10.2023</v>
      </c>
      <c r="J385" t="str">
        <v>06:23:25</v>
      </c>
      <c r="K385">
        <f t="shared" si="88"/>
        <v>6.3666666666666494</v>
      </c>
      <c r="L385">
        <f t="shared" si="81"/>
        <v>2.3000000000000007</v>
      </c>
      <c r="M385">
        <f t="shared" si="82"/>
        <v>0</v>
      </c>
      <c r="N385">
        <f t="shared" si="92"/>
        <v>0.35750000000000004</v>
      </c>
      <c r="Q385" t="str" cm="1">
        <f t="array" ref="Q385:R385">_xlfn.TEXTSPLIT(E385," ")</f>
        <v>27.10.2023</v>
      </c>
      <c r="R385" t="str">
        <v>06:23:25</v>
      </c>
      <c r="S385">
        <f t="shared" si="89"/>
        <v>6.3666666666666494</v>
      </c>
      <c r="T385">
        <f t="shared" si="80"/>
        <v>3.7900000000000063</v>
      </c>
      <c r="U385">
        <f t="shared" si="83"/>
        <v>0</v>
      </c>
      <c r="V385">
        <f t="shared" si="93"/>
        <v>0.56499999999999984</v>
      </c>
      <c r="AC385" t="s">
        <v>1287</v>
      </c>
      <c r="AD385">
        <v>0</v>
      </c>
      <c r="AE385">
        <v>5.87</v>
      </c>
      <c r="AG385" t="str" cm="1">
        <f t="array" ref="AG385:AH385">_xlfn.TEXTSPLIT(AC386," ")</f>
        <v>26.10.2023</v>
      </c>
      <c r="AH385" t="str">
        <v>06:24:26</v>
      </c>
      <c r="AI385">
        <f t="shared" si="90"/>
        <v>6.3666666666666494</v>
      </c>
      <c r="AJ385">
        <f t="shared" si="84"/>
        <v>1.3399999999999999</v>
      </c>
      <c r="AK385">
        <f t="shared" si="85"/>
        <v>0</v>
      </c>
      <c r="AL385">
        <f t="shared" si="94"/>
        <v>0.30750000000000005</v>
      </c>
      <c r="AN385" t="s">
        <v>1287</v>
      </c>
      <c r="AO385">
        <v>0</v>
      </c>
      <c r="AP385">
        <v>66.14</v>
      </c>
      <c r="AR385" t="str" cm="1">
        <f t="array" ref="AR385:AS385">_xlfn.TEXTSPLIT(AN385," ")</f>
        <v>26.10.2023</v>
      </c>
      <c r="AS385" t="str">
        <v>06:23:26</v>
      </c>
      <c r="AT385">
        <f t="shared" si="91"/>
        <v>6.3666666666666494</v>
      </c>
      <c r="AU385">
        <f t="shared" si="86"/>
        <v>4.8299999999999983</v>
      </c>
      <c r="AV385">
        <f t="shared" si="87"/>
        <v>0</v>
      </c>
      <c r="AW385">
        <f t="shared" si="95"/>
        <v>0.67499999999999993</v>
      </c>
    </row>
    <row r="386" spans="1:49" x14ac:dyDescent="0.25">
      <c r="A386" t="s">
        <v>1288</v>
      </c>
      <c r="B386">
        <v>0</v>
      </c>
      <c r="C386">
        <v>16.62</v>
      </c>
      <c r="E386" t="s">
        <v>1288</v>
      </c>
      <c r="F386">
        <v>0.15</v>
      </c>
      <c r="G386">
        <v>82.39</v>
      </c>
      <c r="I386" t="str" cm="1">
        <f t="array" ref="I386:J386">_xlfn.TEXTSPLIT(A386," ")</f>
        <v>27.10.2023</v>
      </c>
      <c r="J386" t="str">
        <v>06:24:25</v>
      </c>
      <c r="K386">
        <f t="shared" si="88"/>
        <v>6.383333333333316</v>
      </c>
      <c r="L386">
        <f t="shared" si="81"/>
        <v>2.3000000000000007</v>
      </c>
      <c r="M386">
        <f t="shared" si="82"/>
        <v>0</v>
      </c>
      <c r="N386">
        <f t="shared" si="92"/>
        <v>0.35750000000000004</v>
      </c>
      <c r="Q386" t="str" cm="1">
        <f t="array" ref="Q386:R386">_xlfn.TEXTSPLIT(E386," ")</f>
        <v>27.10.2023</v>
      </c>
      <c r="R386" t="str">
        <v>06:24:25</v>
      </c>
      <c r="S386">
        <f t="shared" si="89"/>
        <v>6.383333333333316</v>
      </c>
      <c r="T386">
        <f t="shared" si="80"/>
        <v>3.7900000000000063</v>
      </c>
      <c r="U386">
        <f t="shared" si="83"/>
        <v>0.15</v>
      </c>
      <c r="V386">
        <f t="shared" si="93"/>
        <v>0.56499999999999984</v>
      </c>
      <c r="AC386" t="s">
        <v>1289</v>
      </c>
      <c r="AD386">
        <v>0</v>
      </c>
      <c r="AE386">
        <v>5.87</v>
      </c>
      <c r="AG386" t="str" cm="1">
        <f t="array" ref="AG386:AH386">_xlfn.TEXTSPLIT(AC387," ")</f>
        <v>26.10.2023</v>
      </c>
      <c r="AH386" t="str">
        <v>06:25:27</v>
      </c>
      <c r="AI386">
        <f t="shared" si="90"/>
        <v>6.383333333333316</v>
      </c>
      <c r="AJ386">
        <f t="shared" si="84"/>
        <v>1.3399999999999999</v>
      </c>
      <c r="AK386">
        <f t="shared" si="85"/>
        <v>0</v>
      </c>
      <c r="AL386">
        <f t="shared" si="94"/>
        <v>0.30750000000000005</v>
      </c>
      <c r="AN386" t="s">
        <v>1289</v>
      </c>
      <c r="AO386">
        <v>0</v>
      </c>
      <c r="AP386">
        <v>66.14</v>
      </c>
      <c r="AR386" t="str" cm="1">
        <f t="array" ref="AR386:AS386">_xlfn.TEXTSPLIT(AN386," ")</f>
        <v>26.10.2023</v>
      </c>
      <c r="AS386" t="str">
        <v>06:24:26</v>
      </c>
      <c r="AT386">
        <f t="shared" si="91"/>
        <v>6.383333333333316</v>
      </c>
      <c r="AU386">
        <f t="shared" si="86"/>
        <v>4.8299999999999983</v>
      </c>
      <c r="AV386">
        <f t="shared" si="87"/>
        <v>0</v>
      </c>
      <c r="AW386">
        <f t="shared" si="95"/>
        <v>0.67499999999999993</v>
      </c>
    </row>
    <row r="387" spans="1:49" x14ac:dyDescent="0.25">
      <c r="A387" t="s">
        <v>1290</v>
      </c>
      <c r="B387">
        <v>0</v>
      </c>
      <c r="C387">
        <v>16.62</v>
      </c>
      <c r="E387" t="s">
        <v>1290</v>
      </c>
      <c r="F387">
        <v>0</v>
      </c>
      <c r="G387">
        <v>82.39</v>
      </c>
      <c r="I387" t="str" cm="1">
        <f t="array" ref="I387:J387">_xlfn.TEXTSPLIT(A387," ")</f>
        <v>27.10.2023</v>
      </c>
      <c r="J387" t="str">
        <v>06:25:25</v>
      </c>
      <c r="K387">
        <f t="shared" si="88"/>
        <v>6.3999999999999826</v>
      </c>
      <c r="L387">
        <f t="shared" si="81"/>
        <v>2.3000000000000007</v>
      </c>
      <c r="M387">
        <f t="shared" si="82"/>
        <v>0</v>
      </c>
      <c r="N387">
        <f t="shared" si="92"/>
        <v>0.35750000000000004</v>
      </c>
      <c r="Q387" t="str" cm="1">
        <f t="array" ref="Q387:R387">_xlfn.TEXTSPLIT(E387," ")</f>
        <v>27.10.2023</v>
      </c>
      <c r="R387" t="str">
        <v>06:25:25</v>
      </c>
      <c r="S387">
        <f t="shared" si="89"/>
        <v>6.3999999999999826</v>
      </c>
      <c r="T387">
        <f t="shared" ref="T387:T450" si="96">G387-78.6</f>
        <v>3.7900000000000063</v>
      </c>
      <c r="U387">
        <f t="shared" si="83"/>
        <v>0</v>
      </c>
      <c r="V387">
        <f t="shared" si="93"/>
        <v>0.56499999999999984</v>
      </c>
      <c r="AC387" t="s">
        <v>1291</v>
      </c>
      <c r="AD387">
        <v>0</v>
      </c>
      <c r="AE387">
        <v>5.87</v>
      </c>
      <c r="AG387" t="str" cm="1">
        <f t="array" ref="AG387:AH387">_xlfn.TEXTSPLIT(AC388," ")</f>
        <v>26.10.2023</v>
      </c>
      <c r="AH387" t="str">
        <v>06:26:27</v>
      </c>
      <c r="AI387">
        <f t="shared" si="90"/>
        <v>6.3999999999999826</v>
      </c>
      <c r="AJ387">
        <f t="shared" si="84"/>
        <v>1.3399999999999999</v>
      </c>
      <c r="AK387">
        <f t="shared" si="85"/>
        <v>0</v>
      </c>
      <c r="AL387">
        <f t="shared" si="94"/>
        <v>0.30750000000000005</v>
      </c>
      <c r="AN387" t="s">
        <v>1291</v>
      </c>
      <c r="AO387">
        <v>0</v>
      </c>
      <c r="AP387">
        <v>66.14</v>
      </c>
      <c r="AR387" t="str" cm="1">
        <f t="array" ref="AR387:AS387">_xlfn.TEXTSPLIT(AN387," ")</f>
        <v>26.10.2023</v>
      </c>
      <c r="AS387" t="str">
        <v>06:25:27</v>
      </c>
      <c r="AT387">
        <f t="shared" si="91"/>
        <v>6.3999999999999826</v>
      </c>
      <c r="AU387">
        <f t="shared" si="86"/>
        <v>4.8299999999999983</v>
      </c>
      <c r="AV387">
        <f t="shared" si="87"/>
        <v>0</v>
      </c>
      <c r="AW387">
        <f t="shared" si="95"/>
        <v>0.67499999999999993</v>
      </c>
    </row>
    <row r="388" spans="1:49" x14ac:dyDescent="0.25">
      <c r="A388" t="s">
        <v>1292</v>
      </c>
      <c r="B388">
        <v>0</v>
      </c>
      <c r="C388">
        <v>16.62</v>
      </c>
      <c r="E388" t="s">
        <v>1292</v>
      </c>
      <c r="F388">
        <v>0</v>
      </c>
      <c r="G388">
        <v>82.39</v>
      </c>
      <c r="I388" t="str" cm="1">
        <f t="array" ref="I388:J388">_xlfn.TEXTSPLIT(A388," ")</f>
        <v>27.10.2023</v>
      </c>
      <c r="J388" t="str">
        <v>06:26:25</v>
      </c>
      <c r="K388">
        <f t="shared" si="88"/>
        <v>6.4166666666666492</v>
      </c>
      <c r="L388">
        <f t="shared" ref="L388:L451" si="97">C388-14.32</f>
        <v>2.3000000000000007</v>
      </c>
      <c r="M388">
        <f t="shared" ref="M388:M451" si="98">B388</f>
        <v>0</v>
      </c>
      <c r="N388">
        <f t="shared" si="92"/>
        <v>0.35750000000000004</v>
      </c>
      <c r="Q388" t="str" cm="1">
        <f t="array" ref="Q388:R388">_xlfn.TEXTSPLIT(E388," ")</f>
        <v>27.10.2023</v>
      </c>
      <c r="R388" t="str">
        <v>06:26:25</v>
      </c>
      <c r="S388">
        <f t="shared" si="89"/>
        <v>6.4166666666666492</v>
      </c>
      <c r="T388">
        <f t="shared" si="96"/>
        <v>3.7900000000000063</v>
      </c>
      <c r="U388">
        <f t="shared" ref="U388:U451" si="99">F388</f>
        <v>0</v>
      </c>
      <c r="V388">
        <f t="shared" si="93"/>
        <v>0.56499999999999984</v>
      </c>
      <c r="AC388" t="s">
        <v>1293</v>
      </c>
      <c r="AD388">
        <v>0</v>
      </c>
      <c r="AE388">
        <v>5.87</v>
      </c>
      <c r="AG388" t="str" cm="1">
        <f t="array" ref="AG388:AH388">_xlfn.TEXTSPLIT(AC389," ")</f>
        <v>26.10.2023</v>
      </c>
      <c r="AH388" t="str">
        <v>06:27:27</v>
      </c>
      <c r="AI388">
        <f t="shared" si="90"/>
        <v>6.4166666666666492</v>
      </c>
      <c r="AJ388">
        <f t="shared" ref="AJ388:AJ451" si="100">AE388-4.53</f>
        <v>1.3399999999999999</v>
      </c>
      <c r="AK388">
        <f t="shared" ref="AK388:AK451" si="101">AD388</f>
        <v>0</v>
      </c>
      <c r="AL388">
        <f t="shared" si="94"/>
        <v>0.30750000000000005</v>
      </c>
      <c r="AN388" t="s">
        <v>1293</v>
      </c>
      <c r="AO388">
        <v>0</v>
      </c>
      <c r="AP388">
        <v>66.14</v>
      </c>
      <c r="AR388" t="str" cm="1">
        <f t="array" ref="AR388:AS388">_xlfn.TEXTSPLIT(AN388," ")</f>
        <v>26.10.2023</v>
      </c>
      <c r="AS388" t="str">
        <v>06:26:27</v>
      </c>
      <c r="AT388">
        <f t="shared" si="91"/>
        <v>6.4166666666666492</v>
      </c>
      <c r="AU388">
        <f t="shared" ref="AU388:AU451" si="102">AP388-61.31</f>
        <v>4.8299999999999983</v>
      </c>
      <c r="AV388">
        <f t="shared" ref="AV388:AV451" si="103">AO388</f>
        <v>0</v>
      </c>
      <c r="AW388">
        <f t="shared" si="95"/>
        <v>0.67249999999999976</v>
      </c>
    </row>
    <row r="389" spans="1:49" x14ac:dyDescent="0.25">
      <c r="A389" t="s">
        <v>1294</v>
      </c>
      <c r="B389">
        <v>0</v>
      </c>
      <c r="C389">
        <v>16.62</v>
      </c>
      <c r="E389" t="s">
        <v>1294</v>
      </c>
      <c r="F389">
        <v>0.15</v>
      </c>
      <c r="G389">
        <v>82.39</v>
      </c>
      <c r="I389" t="str" cm="1">
        <f t="array" ref="I389:J389">_xlfn.TEXTSPLIT(A389," ")</f>
        <v>27.10.2023</v>
      </c>
      <c r="J389" t="str">
        <v>06:27:25</v>
      </c>
      <c r="K389">
        <f t="shared" ref="K389:K452" si="104">1/60+K388</f>
        <v>6.4333333333333158</v>
      </c>
      <c r="L389">
        <f t="shared" si="97"/>
        <v>2.3000000000000007</v>
      </c>
      <c r="M389">
        <f t="shared" si="98"/>
        <v>0</v>
      </c>
      <c r="N389">
        <f t="shared" si="92"/>
        <v>0.35750000000000004</v>
      </c>
      <c r="Q389" t="str" cm="1">
        <f t="array" ref="Q389:R389">_xlfn.TEXTSPLIT(E389," ")</f>
        <v>27.10.2023</v>
      </c>
      <c r="R389" t="str">
        <v>06:27:25</v>
      </c>
      <c r="S389">
        <f t="shared" ref="S389:S452" si="105">1/60+S388</f>
        <v>6.4333333333333158</v>
      </c>
      <c r="T389">
        <f t="shared" si="96"/>
        <v>3.7900000000000063</v>
      </c>
      <c r="U389">
        <f t="shared" si="99"/>
        <v>0.15</v>
      </c>
      <c r="V389">
        <f t="shared" si="93"/>
        <v>0.56499999999999984</v>
      </c>
      <c r="AC389" t="s">
        <v>1295</v>
      </c>
      <c r="AD389">
        <v>0</v>
      </c>
      <c r="AE389">
        <v>5.87</v>
      </c>
      <c r="AG389" t="str" cm="1">
        <f t="array" ref="AG389:AH389">_xlfn.TEXTSPLIT(AC390," ")</f>
        <v>26.10.2023</v>
      </c>
      <c r="AH389" t="str">
        <v>06:28:27</v>
      </c>
      <c r="AI389">
        <f t="shared" ref="AI389:AI452" si="106">1/60+AI388</f>
        <v>6.4333333333333158</v>
      </c>
      <c r="AJ389">
        <f t="shared" si="100"/>
        <v>1.3399999999999999</v>
      </c>
      <c r="AK389">
        <f t="shared" si="101"/>
        <v>0</v>
      </c>
      <c r="AL389">
        <f t="shared" si="94"/>
        <v>0.30750000000000005</v>
      </c>
      <c r="AN389" t="s">
        <v>1295</v>
      </c>
      <c r="AO389">
        <v>0.15</v>
      </c>
      <c r="AP389">
        <v>66.14</v>
      </c>
      <c r="AR389" t="str" cm="1">
        <f t="array" ref="AR389:AS389">_xlfn.TEXTSPLIT(AN389," ")</f>
        <v>26.10.2023</v>
      </c>
      <c r="AS389" t="str">
        <v>06:27:27</v>
      </c>
      <c r="AT389">
        <f t="shared" ref="AT389:AT452" si="107">1/60+AT388</f>
        <v>6.4333333333333158</v>
      </c>
      <c r="AU389">
        <f t="shared" si="102"/>
        <v>4.8299999999999983</v>
      </c>
      <c r="AV389">
        <f t="shared" si="103"/>
        <v>0.15</v>
      </c>
      <c r="AW389">
        <f t="shared" si="95"/>
        <v>0.67499999999999971</v>
      </c>
    </row>
    <row r="390" spans="1:49" x14ac:dyDescent="0.25">
      <c r="A390" t="s">
        <v>1296</v>
      </c>
      <c r="B390">
        <v>0</v>
      </c>
      <c r="C390">
        <v>16.62</v>
      </c>
      <c r="E390" t="s">
        <v>1296</v>
      </c>
      <c r="F390">
        <v>0</v>
      </c>
      <c r="G390">
        <v>82.39</v>
      </c>
      <c r="I390" t="str" cm="1">
        <f t="array" ref="I390:J390">_xlfn.TEXTSPLIT(A390," ")</f>
        <v>27.10.2023</v>
      </c>
      <c r="J390" t="str">
        <v>06:28:26</v>
      </c>
      <c r="K390">
        <f t="shared" si="104"/>
        <v>6.4499999999999824</v>
      </c>
      <c r="L390">
        <f t="shared" si="97"/>
        <v>2.3000000000000007</v>
      </c>
      <c r="M390">
        <f t="shared" si="98"/>
        <v>0</v>
      </c>
      <c r="N390">
        <f t="shared" si="92"/>
        <v>0.35750000000000004</v>
      </c>
      <c r="Q390" t="str" cm="1">
        <f t="array" ref="Q390:R390">_xlfn.TEXTSPLIT(E390," ")</f>
        <v>27.10.2023</v>
      </c>
      <c r="R390" t="str">
        <v>06:28:26</v>
      </c>
      <c r="S390">
        <f t="shared" si="105"/>
        <v>6.4499999999999824</v>
      </c>
      <c r="T390">
        <f t="shared" si="96"/>
        <v>3.7900000000000063</v>
      </c>
      <c r="U390">
        <f t="shared" si="99"/>
        <v>0</v>
      </c>
      <c r="V390">
        <f t="shared" si="93"/>
        <v>0.56249999999999989</v>
      </c>
      <c r="AC390" t="s">
        <v>1297</v>
      </c>
      <c r="AD390">
        <v>0</v>
      </c>
      <c r="AE390">
        <v>5.87</v>
      </c>
      <c r="AG390" t="str" cm="1">
        <f t="array" ref="AG390:AH390">_xlfn.TEXTSPLIT(AC391," ")</f>
        <v>26.10.2023</v>
      </c>
      <c r="AH390" t="str">
        <v>06:29:27</v>
      </c>
      <c r="AI390">
        <f t="shared" si="106"/>
        <v>6.4499999999999824</v>
      </c>
      <c r="AJ390">
        <f t="shared" si="100"/>
        <v>1.3399999999999999</v>
      </c>
      <c r="AK390">
        <f t="shared" si="101"/>
        <v>0</v>
      </c>
      <c r="AL390">
        <f t="shared" si="94"/>
        <v>0.30750000000000005</v>
      </c>
      <c r="AN390" t="s">
        <v>1297</v>
      </c>
      <c r="AO390">
        <v>0.3</v>
      </c>
      <c r="AP390">
        <v>66.150000000000006</v>
      </c>
      <c r="AR390" t="str" cm="1">
        <f t="array" ref="AR390:AS390">_xlfn.TEXTSPLIT(AN390," ")</f>
        <v>26.10.2023</v>
      </c>
      <c r="AS390" t="str">
        <v>06:28:27</v>
      </c>
      <c r="AT390">
        <f t="shared" si="107"/>
        <v>6.4499999999999824</v>
      </c>
      <c r="AU390">
        <f t="shared" si="102"/>
        <v>4.8400000000000034</v>
      </c>
      <c r="AV390">
        <f t="shared" si="103"/>
        <v>0.3</v>
      </c>
      <c r="AW390">
        <f t="shared" si="95"/>
        <v>0.67749999999999977</v>
      </c>
    </row>
    <row r="391" spans="1:49" x14ac:dyDescent="0.25">
      <c r="A391" t="s">
        <v>1298</v>
      </c>
      <c r="B391">
        <v>0</v>
      </c>
      <c r="C391">
        <v>16.62</v>
      </c>
      <c r="E391" t="s">
        <v>1298</v>
      </c>
      <c r="F391">
        <v>0.15</v>
      </c>
      <c r="G391">
        <v>82.4</v>
      </c>
      <c r="I391" t="str" cm="1">
        <f t="array" ref="I391:J391">_xlfn.TEXTSPLIT(A391," ")</f>
        <v>27.10.2023</v>
      </c>
      <c r="J391" t="str">
        <v>06:29:26</v>
      </c>
      <c r="K391">
        <f t="shared" si="104"/>
        <v>6.466666666666649</v>
      </c>
      <c r="L391">
        <f t="shared" si="97"/>
        <v>2.3000000000000007</v>
      </c>
      <c r="M391">
        <f t="shared" si="98"/>
        <v>0</v>
      </c>
      <c r="N391">
        <f t="shared" si="92"/>
        <v>0.35750000000000004</v>
      </c>
      <c r="Q391" t="str" cm="1">
        <f t="array" ref="Q391:R391">_xlfn.TEXTSPLIT(E391," ")</f>
        <v>27.10.2023</v>
      </c>
      <c r="R391" t="str">
        <v>06:29:26</v>
      </c>
      <c r="S391">
        <f t="shared" si="105"/>
        <v>6.466666666666649</v>
      </c>
      <c r="T391">
        <f t="shared" si="96"/>
        <v>3.8000000000000114</v>
      </c>
      <c r="U391">
        <f t="shared" si="99"/>
        <v>0.15</v>
      </c>
      <c r="V391">
        <f t="shared" si="93"/>
        <v>0.56249999999999978</v>
      </c>
      <c r="AC391" t="s">
        <v>1299</v>
      </c>
      <c r="AD391">
        <v>0</v>
      </c>
      <c r="AE391">
        <v>5.87</v>
      </c>
      <c r="AG391" t="str" cm="1">
        <f t="array" ref="AG391:AH391">_xlfn.TEXTSPLIT(AC392," ")</f>
        <v>26.10.2023</v>
      </c>
      <c r="AH391" t="str">
        <v>06:30:27</v>
      </c>
      <c r="AI391">
        <f t="shared" si="106"/>
        <v>6.466666666666649</v>
      </c>
      <c r="AJ391">
        <f t="shared" si="100"/>
        <v>1.3399999999999999</v>
      </c>
      <c r="AK391">
        <f t="shared" si="101"/>
        <v>0</v>
      </c>
      <c r="AL391">
        <f t="shared" si="94"/>
        <v>0.30750000000000005</v>
      </c>
      <c r="AN391" t="s">
        <v>1299</v>
      </c>
      <c r="AO391">
        <v>0.45</v>
      </c>
      <c r="AP391">
        <v>66.150000000000006</v>
      </c>
      <c r="AR391" t="str" cm="1">
        <f t="array" ref="AR391:AS391">_xlfn.TEXTSPLIT(AN391," ")</f>
        <v>26.10.2023</v>
      </c>
      <c r="AS391" t="str">
        <v>06:29:27</v>
      </c>
      <c r="AT391">
        <f t="shared" si="107"/>
        <v>6.466666666666649</v>
      </c>
      <c r="AU391">
        <f t="shared" si="102"/>
        <v>4.8400000000000034</v>
      </c>
      <c r="AV391">
        <f t="shared" si="103"/>
        <v>0.45</v>
      </c>
      <c r="AW391">
        <f t="shared" si="95"/>
        <v>0.68249999999999977</v>
      </c>
    </row>
    <row r="392" spans="1:49" x14ac:dyDescent="0.25">
      <c r="A392" t="s">
        <v>1300</v>
      </c>
      <c r="B392">
        <v>0</v>
      </c>
      <c r="C392">
        <v>16.62</v>
      </c>
      <c r="E392" t="s">
        <v>1300</v>
      </c>
      <c r="F392">
        <v>0.15</v>
      </c>
      <c r="G392">
        <v>82.4</v>
      </c>
      <c r="I392" t="str" cm="1">
        <f t="array" ref="I392:J392">_xlfn.TEXTSPLIT(A392," ")</f>
        <v>27.10.2023</v>
      </c>
      <c r="J392" t="str">
        <v>06:30:26</v>
      </c>
      <c r="K392">
        <f t="shared" si="104"/>
        <v>6.4833333333333156</v>
      </c>
      <c r="L392">
        <f t="shared" si="97"/>
        <v>2.3000000000000007</v>
      </c>
      <c r="M392">
        <f t="shared" si="98"/>
        <v>0</v>
      </c>
      <c r="N392">
        <f t="shared" si="92"/>
        <v>0.35750000000000004</v>
      </c>
      <c r="Q392" t="str" cm="1">
        <f t="array" ref="Q392:R392">_xlfn.TEXTSPLIT(E392," ")</f>
        <v>27.10.2023</v>
      </c>
      <c r="R392" t="str">
        <v>06:30:26</v>
      </c>
      <c r="S392">
        <f t="shared" si="105"/>
        <v>6.4833333333333156</v>
      </c>
      <c r="T392">
        <f t="shared" si="96"/>
        <v>3.8000000000000114</v>
      </c>
      <c r="U392">
        <f t="shared" si="99"/>
        <v>0.15</v>
      </c>
      <c r="V392">
        <f t="shared" si="93"/>
        <v>0.56499999999999972</v>
      </c>
      <c r="AC392" t="s">
        <v>1301</v>
      </c>
      <c r="AD392">
        <v>0</v>
      </c>
      <c r="AE392">
        <v>5.87</v>
      </c>
      <c r="AG392" t="str" cm="1">
        <f t="array" ref="AG392:AH392">_xlfn.TEXTSPLIT(AC393," ")</f>
        <v>26.10.2023</v>
      </c>
      <c r="AH392" t="str">
        <v>06:31:27</v>
      </c>
      <c r="AI392">
        <f t="shared" si="106"/>
        <v>6.4833333333333156</v>
      </c>
      <c r="AJ392">
        <f t="shared" si="100"/>
        <v>1.3399999999999999</v>
      </c>
      <c r="AK392">
        <f t="shared" si="101"/>
        <v>0</v>
      </c>
      <c r="AL392">
        <f t="shared" si="94"/>
        <v>0.30750000000000005</v>
      </c>
      <c r="AN392" t="s">
        <v>1301</v>
      </c>
      <c r="AO392">
        <v>0.3</v>
      </c>
      <c r="AP392">
        <v>66.16</v>
      </c>
      <c r="AR392" t="str" cm="1">
        <f t="array" ref="AR392:AS392">_xlfn.TEXTSPLIT(AN392," ")</f>
        <v>26.10.2023</v>
      </c>
      <c r="AS392" t="str">
        <v>06:30:27</v>
      </c>
      <c r="AT392">
        <f t="shared" si="107"/>
        <v>6.4833333333333156</v>
      </c>
      <c r="AU392">
        <f t="shared" si="102"/>
        <v>4.8499999999999943</v>
      </c>
      <c r="AV392">
        <f t="shared" si="103"/>
        <v>0.3</v>
      </c>
      <c r="AW392">
        <f t="shared" si="95"/>
        <v>0.68249999999999977</v>
      </c>
    </row>
    <row r="393" spans="1:49" x14ac:dyDescent="0.25">
      <c r="A393" t="s">
        <v>1302</v>
      </c>
      <c r="B393">
        <v>0</v>
      </c>
      <c r="C393">
        <v>16.62</v>
      </c>
      <c r="E393" t="s">
        <v>1302</v>
      </c>
      <c r="F393">
        <v>0.3</v>
      </c>
      <c r="G393">
        <v>82.4</v>
      </c>
      <c r="I393" t="str" cm="1">
        <f t="array" ref="I393:J393">_xlfn.TEXTSPLIT(A393," ")</f>
        <v>27.10.2023</v>
      </c>
      <c r="J393" t="str">
        <v>06:31:26</v>
      </c>
      <c r="K393">
        <f t="shared" si="104"/>
        <v>6.4999999999999822</v>
      </c>
      <c r="L393">
        <f t="shared" si="97"/>
        <v>2.3000000000000007</v>
      </c>
      <c r="M393">
        <f t="shared" si="98"/>
        <v>0</v>
      </c>
      <c r="N393">
        <f t="shared" si="92"/>
        <v>0.35750000000000004</v>
      </c>
      <c r="Q393" t="str" cm="1">
        <f t="array" ref="Q393:R393">_xlfn.TEXTSPLIT(E393," ")</f>
        <v>27.10.2023</v>
      </c>
      <c r="R393" t="str">
        <v>06:31:26</v>
      </c>
      <c r="S393">
        <f t="shared" si="105"/>
        <v>6.4999999999999822</v>
      </c>
      <c r="T393">
        <f t="shared" si="96"/>
        <v>3.8000000000000114</v>
      </c>
      <c r="U393">
        <f t="shared" si="99"/>
        <v>0.3</v>
      </c>
      <c r="V393">
        <f t="shared" si="93"/>
        <v>0.56749999999999967</v>
      </c>
      <c r="AC393" t="s">
        <v>1303</v>
      </c>
      <c r="AD393">
        <v>0</v>
      </c>
      <c r="AE393">
        <v>5.87</v>
      </c>
      <c r="AG393" t="str" cm="1">
        <f t="array" ref="AG393:AH393">_xlfn.TEXTSPLIT(AC394," ")</f>
        <v>26.10.2023</v>
      </c>
      <c r="AH393" t="str">
        <v>06:32:27</v>
      </c>
      <c r="AI393">
        <f t="shared" si="106"/>
        <v>6.4999999999999822</v>
      </c>
      <c r="AJ393">
        <f t="shared" si="100"/>
        <v>1.3399999999999999</v>
      </c>
      <c r="AK393">
        <f t="shared" si="101"/>
        <v>0</v>
      </c>
      <c r="AL393">
        <f t="shared" si="94"/>
        <v>0.30750000000000005</v>
      </c>
      <c r="AN393" t="s">
        <v>1303</v>
      </c>
      <c r="AO393">
        <v>0.45</v>
      </c>
      <c r="AP393">
        <v>66.17</v>
      </c>
      <c r="AR393" t="str" cm="1">
        <f t="array" ref="AR393:AS393">_xlfn.TEXTSPLIT(AN393," ")</f>
        <v>26.10.2023</v>
      </c>
      <c r="AS393" t="str">
        <v>06:31:27</v>
      </c>
      <c r="AT393">
        <f t="shared" si="107"/>
        <v>6.4999999999999822</v>
      </c>
      <c r="AU393">
        <f t="shared" si="102"/>
        <v>4.8599999999999994</v>
      </c>
      <c r="AV393">
        <f t="shared" si="103"/>
        <v>0.45</v>
      </c>
      <c r="AW393">
        <f t="shared" si="95"/>
        <v>0.68499999999999983</v>
      </c>
    </row>
    <row r="394" spans="1:49" x14ac:dyDescent="0.25">
      <c r="A394" t="s">
        <v>1304</v>
      </c>
      <c r="B394">
        <v>0</v>
      </c>
      <c r="C394">
        <v>16.62</v>
      </c>
      <c r="E394" t="s">
        <v>1304</v>
      </c>
      <c r="F394">
        <v>0.15</v>
      </c>
      <c r="G394">
        <v>82.41</v>
      </c>
      <c r="I394" t="str" cm="1">
        <f t="array" ref="I394:J394">_xlfn.TEXTSPLIT(A394," ")</f>
        <v>27.10.2023</v>
      </c>
      <c r="J394" t="str">
        <v>06:32:26</v>
      </c>
      <c r="K394">
        <f t="shared" si="104"/>
        <v>6.5166666666666488</v>
      </c>
      <c r="L394">
        <f t="shared" si="97"/>
        <v>2.3000000000000007</v>
      </c>
      <c r="M394">
        <f t="shared" si="98"/>
        <v>0</v>
      </c>
      <c r="N394">
        <f t="shared" si="92"/>
        <v>0.35750000000000004</v>
      </c>
      <c r="Q394" t="str" cm="1">
        <f t="array" ref="Q394:R394">_xlfn.TEXTSPLIT(E394," ")</f>
        <v>27.10.2023</v>
      </c>
      <c r="R394" t="str">
        <v>06:32:26</v>
      </c>
      <c r="S394">
        <f t="shared" si="105"/>
        <v>6.5166666666666488</v>
      </c>
      <c r="T394">
        <f t="shared" si="96"/>
        <v>3.8100000000000023</v>
      </c>
      <c r="U394">
        <f t="shared" si="99"/>
        <v>0.15</v>
      </c>
      <c r="V394">
        <f t="shared" si="93"/>
        <v>0.56749999999999967</v>
      </c>
      <c r="AC394" t="s">
        <v>1305</v>
      </c>
      <c r="AD394">
        <v>0</v>
      </c>
      <c r="AE394">
        <v>5.87</v>
      </c>
      <c r="AG394" t="str" cm="1">
        <f t="array" ref="AG394:AH394">_xlfn.TEXTSPLIT(AC395," ")</f>
        <v>26.10.2023</v>
      </c>
      <c r="AH394" t="str">
        <v>06:33:28</v>
      </c>
      <c r="AI394">
        <f t="shared" si="106"/>
        <v>6.5166666666666488</v>
      </c>
      <c r="AJ394">
        <f t="shared" si="100"/>
        <v>1.3399999999999999</v>
      </c>
      <c r="AK394">
        <f t="shared" si="101"/>
        <v>0</v>
      </c>
      <c r="AL394">
        <f t="shared" si="94"/>
        <v>0.30750000000000005</v>
      </c>
      <c r="AN394" t="s">
        <v>1305</v>
      </c>
      <c r="AO394">
        <v>0.3</v>
      </c>
      <c r="AP394">
        <v>66.17</v>
      </c>
      <c r="AR394" t="str" cm="1">
        <f t="array" ref="AR394:AS394">_xlfn.TEXTSPLIT(AN394," ")</f>
        <v>26.10.2023</v>
      </c>
      <c r="AS394" t="str">
        <v>06:32:27</v>
      </c>
      <c r="AT394">
        <f t="shared" si="107"/>
        <v>6.5166666666666488</v>
      </c>
      <c r="AU394">
        <f t="shared" si="102"/>
        <v>4.8599999999999994</v>
      </c>
      <c r="AV394">
        <f t="shared" si="103"/>
        <v>0.3</v>
      </c>
      <c r="AW394">
        <f t="shared" si="95"/>
        <v>0.68499999999999983</v>
      </c>
    </row>
    <row r="395" spans="1:49" x14ac:dyDescent="0.25">
      <c r="A395" t="s">
        <v>1306</v>
      </c>
      <c r="B395">
        <v>0</v>
      </c>
      <c r="C395">
        <v>16.62</v>
      </c>
      <c r="E395" t="s">
        <v>1306</v>
      </c>
      <c r="F395">
        <v>0.3</v>
      </c>
      <c r="G395">
        <v>82.41</v>
      </c>
      <c r="I395" t="str" cm="1">
        <f t="array" ref="I395:J395">_xlfn.TEXTSPLIT(A395," ")</f>
        <v>27.10.2023</v>
      </c>
      <c r="J395" t="str">
        <v>06:33:26</v>
      </c>
      <c r="K395">
        <f t="shared" si="104"/>
        <v>6.5333333333333155</v>
      </c>
      <c r="L395">
        <f t="shared" si="97"/>
        <v>2.3000000000000007</v>
      </c>
      <c r="M395">
        <f t="shared" si="98"/>
        <v>0</v>
      </c>
      <c r="N395">
        <f t="shared" si="92"/>
        <v>0.35750000000000004</v>
      </c>
      <c r="Q395" t="str" cm="1">
        <f t="array" ref="Q395:R395">_xlfn.TEXTSPLIT(E395," ")</f>
        <v>27.10.2023</v>
      </c>
      <c r="R395" t="str">
        <v>06:33:26</v>
      </c>
      <c r="S395">
        <f t="shared" si="105"/>
        <v>6.5333333333333155</v>
      </c>
      <c r="T395">
        <f t="shared" si="96"/>
        <v>3.8100000000000023</v>
      </c>
      <c r="U395">
        <f t="shared" si="99"/>
        <v>0.3</v>
      </c>
      <c r="V395">
        <f t="shared" si="93"/>
        <v>0.56999999999999973</v>
      </c>
      <c r="AC395" t="s">
        <v>1307</v>
      </c>
      <c r="AD395">
        <v>0</v>
      </c>
      <c r="AE395">
        <v>5.87</v>
      </c>
      <c r="AG395" t="str" cm="1">
        <f t="array" ref="AG395:AH395">_xlfn.TEXTSPLIT(AC396," ")</f>
        <v>26.10.2023</v>
      </c>
      <c r="AH395" t="str">
        <v>06:34:28</v>
      </c>
      <c r="AI395">
        <f t="shared" si="106"/>
        <v>6.5333333333333155</v>
      </c>
      <c r="AJ395">
        <f t="shared" si="100"/>
        <v>1.3399999999999999</v>
      </c>
      <c r="AK395">
        <f t="shared" si="101"/>
        <v>0</v>
      </c>
      <c r="AL395">
        <f t="shared" si="94"/>
        <v>0.30750000000000005</v>
      </c>
      <c r="AN395" t="s">
        <v>1307</v>
      </c>
      <c r="AO395">
        <v>0.3</v>
      </c>
      <c r="AP395">
        <v>66.180000000000007</v>
      </c>
      <c r="AR395" t="str" cm="1">
        <f t="array" ref="AR395:AS395">_xlfn.TEXTSPLIT(AN395," ")</f>
        <v>26.10.2023</v>
      </c>
      <c r="AS395" t="str">
        <v>06:33:28</v>
      </c>
      <c r="AT395">
        <f t="shared" si="107"/>
        <v>6.5333333333333155</v>
      </c>
      <c r="AU395">
        <f t="shared" si="102"/>
        <v>4.8700000000000045</v>
      </c>
      <c r="AV395">
        <f t="shared" si="103"/>
        <v>0.3</v>
      </c>
      <c r="AW395">
        <f t="shared" si="95"/>
        <v>0.68499999999999983</v>
      </c>
    </row>
    <row r="396" spans="1:49" x14ac:dyDescent="0.25">
      <c r="A396" t="s">
        <v>1308</v>
      </c>
      <c r="B396">
        <v>0</v>
      </c>
      <c r="C396">
        <v>16.62</v>
      </c>
      <c r="E396" t="s">
        <v>1308</v>
      </c>
      <c r="F396">
        <v>0.3</v>
      </c>
      <c r="G396">
        <v>82.42</v>
      </c>
      <c r="I396" t="str" cm="1">
        <f t="array" ref="I396:J396">_xlfn.TEXTSPLIT(A396," ")</f>
        <v>27.10.2023</v>
      </c>
      <c r="J396" t="str">
        <v>06:34:26</v>
      </c>
      <c r="K396">
        <f t="shared" si="104"/>
        <v>6.5499999999999821</v>
      </c>
      <c r="L396">
        <f t="shared" si="97"/>
        <v>2.3000000000000007</v>
      </c>
      <c r="M396">
        <f t="shared" si="98"/>
        <v>0</v>
      </c>
      <c r="N396">
        <f t="shared" si="92"/>
        <v>0.35750000000000004</v>
      </c>
      <c r="Q396" t="str" cm="1">
        <f t="array" ref="Q396:R396">_xlfn.TEXTSPLIT(E396," ")</f>
        <v>27.10.2023</v>
      </c>
      <c r="R396" t="str">
        <v>06:34:26</v>
      </c>
      <c r="S396">
        <f t="shared" si="105"/>
        <v>6.5499999999999821</v>
      </c>
      <c r="T396">
        <f t="shared" si="96"/>
        <v>3.8200000000000074</v>
      </c>
      <c r="U396">
        <f t="shared" si="99"/>
        <v>0.3</v>
      </c>
      <c r="V396">
        <f t="shared" si="93"/>
        <v>0.56999999999999973</v>
      </c>
      <c r="AC396" t="s">
        <v>1309</v>
      </c>
      <c r="AD396">
        <v>0</v>
      </c>
      <c r="AE396">
        <v>5.87</v>
      </c>
      <c r="AG396" t="str" cm="1">
        <f t="array" ref="AG396:AH396">_xlfn.TEXTSPLIT(AC397," ")</f>
        <v>26.10.2023</v>
      </c>
      <c r="AH396" t="str">
        <v>06:35:28</v>
      </c>
      <c r="AI396">
        <f t="shared" si="106"/>
        <v>6.5499999999999821</v>
      </c>
      <c r="AJ396">
        <f t="shared" si="100"/>
        <v>1.3399999999999999</v>
      </c>
      <c r="AK396">
        <f t="shared" si="101"/>
        <v>0</v>
      </c>
      <c r="AL396">
        <f t="shared" si="94"/>
        <v>0.30750000000000005</v>
      </c>
      <c r="AN396" t="s">
        <v>1309</v>
      </c>
      <c r="AO396">
        <v>0.3</v>
      </c>
      <c r="AP396">
        <v>66.180000000000007</v>
      </c>
      <c r="AR396" t="str" cm="1">
        <f t="array" ref="AR396:AS396">_xlfn.TEXTSPLIT(AN396," ")</f>
        <v>26.10.2023</v>
      </c>
      <c r="AS396" t="str">
        <v>06:34:28</v>
      </c>
      <c r="AT396">
        <f t="shared" si="107"/>
        <v>6.5499999999999821</v>
      </c>
      <c r="AU396">
        <f t="shared" si="102"/>
        <v>4.8700000000000045</v>
      </c>
      <c r="AV396">
        <f t="shared" si="103"/>
        <v>0.3</v>
      </c>
      <c r="AW396">
        <f t="shared" si="95"/>
        <v>0.67999999999999972</v>
      </c>
    </row>
    <row r="397" spans="1:49" x14ac:dyDescent="0.25">
      <c r="A397" t="s">
        <v>1310</v>
      </c>
      <c r="B397">
        <v>0</v>
      </c>
      <c r="C397">
        <v>16.62</v>
      </c>
      <c r="E397" t="s">
        <v>1310</v>
      </c>
      <c r="F397">
        <v>0.6</v>
      </c>
      <c r="G397">
        <v>82.43</v>
      </c>
      <c r="I397" t="str" cm="1">
        <f t="array" ref="I397:J397">_xlfn.TEXTSPLIT(A397," ")</f>
        <v>27.10.2023</v>
      </c>
      <c r="J397" t="str">
        <v>06:35:27</v>
      </c>
      <c r="K397">
        <f t="shared" si="104"/>
        <v>6.5666666666666487</v>
      </c>
      <c r="L397">
        <f t="shared" si="97"/>
        <v>2.3000000000000007</v>
      </c>
      <c r="M397">
        <f t="shared" si="98"/>
        <v>0</v>
      </c>
      <c r="N397">
        <f t="shared" si="92"/>
        <v>0.35750000000000004</v>
      </c>
      <c r="Q397" t="str" cm="1">
        <f t="array" ref="Q397:R397">_xlfn.TEXTSPLIT(E397," ")</f>
        <v>27.10.2023</v>
      </c>
      <c r="R397" t="str">
        <v>06:35:27</v>
      </c>
      <c r="S397">
        <f t="shared" si="105"/>
        <v>6.5666666666666487</v>
      </c>
      <c r="T397">
        <f t="shared" si="96"/>
        <v>3.8300000000000125</v>
      </c>
      <c r="U397">
        <f t="shared" si="99"/>
        <v>0.6</v>
      </c>
      <c r="V397">
        <f t="shared" si="93"/>
        <v>0.57749999999999979</v>
      </c>
      <c r="AC397" t="s">
        <v>1311</v>
      </c>
      <c r="AD397">
        <v>0</v>
      </c>
      <c r="AE397">
        <v>5.87</v>
      </c>
      <c r="AG397" t="str" cm="1">
        <f t="array" ref="AG397:AH397">_xlfn.TEXTSPLIT(AC398," ")</f>
        <v>26.10.2023</v>
      </c>
      <c r="AH397" t="str">
        <v>06:36:28</v>
      </c>
      <c r="AI397">
        <f t="shared" si="106"/>
        <v>6.5666666666666487</v>
      </c>
      <c r="AJ397">
        <f t="shared" si="100"/>
        <v>1.3399999999999999</v>
      </c>
      <c r="AK397">
        <f t="shared" si="101"/>
        <v>0</v>
      </c>
      <c r="AL397">
        <f t="shared" si="94"/>
        <v>0.30750000000000005</v>
      </c>
      <c r="AN397" t="s">
        <v>1311</v>
      </c>
      <c r="AO397">
        <v>0.3</v>
      </c>
      <c r="AP397">
        <v>66.19</v>
      </c>
      <c r="AR397" t="str" cm="1">
        <f t="array" ref="AR397:AS397">_xlfn.TEXTSPLIT(AN397," ")</f>
        <v>26.10.2023</v>
      </c>
      <c r="AS397" t="str">
        <v>06:35:28</v>
      </c>
      <c r="AT397">
        <f t="shared" si="107"/>
        <v>6.5666666666666487</v>
      </c>
      <c r="AU397">
        <f t="shared" si="102"/>
        <v>4.8799999999999955</v>
      </c>
      <c r="AV397">
        <f t="shared" si="103"/>
        <v>0.3</v>
      </c>
      <c r="AW397">
        <f t="shared" si="95"/>
        <v>0.67749999999999977</v>
      </c>
    </row>
    <row r="398" spans="1:49" x14ac:dyDescent="0.25">
      <c r="A398" t="s">
        <v>1312</v>
      </c>
      <c r="B398">
        <v>0</v>
      </c>
      <c r="C398">
        <v>16.62</v>
      </c>
      <c r="E398" t="s">
        <v>1312</v>
      </c>
      <c r="F398">
        <v>1.2</v>
      </c>
      <c r="G398">
        <v>82.45</v>
      </c>
      <c r="I398" t="str" cm="1">
        <f t="array" ref="I398:J398">_xlfn.TEXTSPLIT(A398," ")</f>
        <v>27.10.2023</v>
      </c>
      <c r="J398" t="str">
        <v>06:36:27</v>
      </c>
      <c r="K398">
        <f t="shared" si="104"/>
        <v>6.5833333333333153</v>
      </c>
      <c r="L398">
        <f t="shared" si="97"/>
        <v>2.3000000000000007</v>
      </c>
      <c r="M398">
        <f t="shared" si="98"/>
        <v>0</v>
      </c>
      <c r="N398">
        <f t="shared" si="92"/>
        <v>0.35750000000000004</v>
      </c>
      <c r="Q398" t="str" cm="1">
        <f t="array" ref="Q398:R398">_xlfn.TEXTSPLIT(E398," ")</f>
        <v>27.10.2023</v>
      </c>
      <c r="R398" t="str">
        <v>06:36:27</v>
      </c>
      <c r="S398">
        <f t="shared" si="105"/>
        <v>6.5833333333333153</v>
      </c>
      <c r="T398">
        <f t="shared" si="96"/>
        <v>3.8500000000000085</v>
      </c>
      <c r="U398">
        <f t="shared" si="99"/>
        <v>1.2</v>
      </c>
      <c r="V398">
        <f t="shared" si="93"/>
        <v>0.5874999999999998</v>
      </c>
      <c r="AC398" t="s">
        <v>1313</v>
      </c>
      <c r="AD398">
        <v>0</v>
      </c>
      <c r="AE398">
        <v>5.87</v>
      </c>
      <c r="AG398" t="str" cm="1">
        <f t="array" ref="AG398:AH398">_xlfn.TEXTSPLIT(AC399," ")</f>
        <v>26.10.2023</v>
      </c>
      <c r="AH398" t="str">
        <v>06:37:28</v>
      </c>
      <c r="AI398">
        <f t="shared" si="106"/>
        <v>6.5833333333333153</v>
      </c>
      <c r="AJ398">
        <f t="shared" si="100"/>
        <v>1.3399999999999999</v>
      </c>
      <c r="AK398">
        <f t="shared" si="101"/>
        <v>0</v>
      </c>
      <c r="AL398">
        <f t="shared" si="94"/>
        <v>0.30750000000000005</v>
      </c>
      <c r="AN398" t="s">
        <v>1313</v>
      </c>
      <c r="AO398">
        <v>0.45</v>
      </c>
      <c r="AP398">
        <v>66.19</v>
      </c>
      <c r="AR398" t="str" cm="1">
        <f t="array" ref="AR398:AS398">_xlfn.TEXTSPLIT(AN398," ")</f>
        <v>26.10.2023</v>
      </c>
      <c r="AS398" t="str">
        <v>06:36:28</v>
      </c>
      <c r="AT398">
        <f t="shared" si="107"/>
        <v>6.5833333333333153</v>
      </c>
      <c r="AU398">
        <f t="shared" si="102"/>
        <v>4.8799999999999955</v>
      </c>
      <c r="AV398">
        <f t="shared" si="103"/>
        <v>0.45</v>
      </c>
      <c r="AW398">
        <f t="shared" si="95"/>
        <v>0.66999999999999971</v>
      </c>
    </row>
    <row r="399" spans="1:49" x14ac:dyDescent="0.25">
      <c r="A399" t="s">
        <v>1314</v>
      </c>
      <c r="B399">
        <v>0</v>
      </c>
      <c r="C399">
        <v>16.62</v>
      </c>
      <c r="E399" t="s">
        <v>1314</v>
      </c>
      <c r="F399">
        <v>1.65</v>
      </c>
      <c r="G399">
        <v>82.48</v>
      </c>
      <c r="I399" t="str" cm="1">
        <f t="array" ref="I399:J399">_xlfn.TEXTSPLIT(A399," ")</f>
        <v>27.10.2023</v>
      </c>
      <c r="J399" t="str">
        <v>06:37:27</v>
      </c>
      <c r="K399">
        <f t="shared" si="104"/>
        <v>6.5999999999999819</v>
      </c>
      <c r="L399">
        <f t="shared" si="97"/>
        <v>2.3000000000000007</v>
      </c>
      <c r="M399">
        <f t="shared" si="98"/>
        <v>0</v>
      </c>
      <c r="N399">
        <f t="shared" si="92"/>
        <v>0.35750000000000004</v>
      </c>
      <c r="Q399" t="str" cm="1">
        <f t="array" ref="Q399:R399">_xlfn.TEXTSPLIT(E399," ")</f>
        <v>27.10.2023</v>
      </c>
      <c r="R399" t="str">
        <v>06:37:27</v>
      </c>
      <c r="S399">
        <f t="shared" si="105"/>
        <v>6.5999999999999819</v>
      </c>
      <c r="T399">
        <f t="shared" si="96"/>
        <v>3.8800000000000097</v>
      </c>
      <c r="U399">
        <f t="shared" si="99"/>
        <v>1.65</v>
      </c>
      <c r="V399">
        <f t="shared" si="93"/>
        <v>0.59749999999999992</v>
      </c>
      <c r="AC399" t="s">
        <v>1315</v>
      </c>
      <c r="AD399">
        <v>0</v>
      </c>
      <c r="AE399">
        <v>5.87</v>
      </c>
      <c r="AG399" t="str" cm="1">
        <f t="array" ref="AG399:AH399">_xlfn.TEXTSPLIT(AC400," ")</f>
        <v>26.10.2023</v>
      </c>
      <c r="AH399" t="str">
        <v>06:38:28</v>
      </c>
      <c r="AI399">
        <f t="shared" si="106"/>
        <v>6.5999999999999819</v>
      </c>
      <c r="AJ399">
        <f t="shared" si="100"/>
        <v>1.3399999999999999</v>
      </c>
      <c r="AK399">
        <f t="shared" si="101"/>
        <v>0</v>
      </c>
      <c r="AL399">
        <f t="shared" si="94"/>
        <v>0.30750000000000005</v>
      </c>
      <c r="AN399" t="s">
        <v>1315</v>
      </c>
      <c r="AO399">
        <v>0.9</v>
      </c>
      <c r="AP399">
        <v>66.22</v>
      </c>
      <c r="AR399" t="str" cm="1">
        <f t="array" ref="AR399:AS399">_xlfn.TEXTSPLIT(AN399," ")</f>
        <v>26.10.2023</v>
      </c>
      <c r="AS399" t="str">
        <v>06:37:28</v>
      </c>
      <c r="AT399">
        <f t="shared" si="107"/>
        <v>6.5999999999999819</v>
      </c>
      <c r="AU399">
        <f t="shared" si="102"/>
        <v>4.9099999999999966</v>
      </c>
      <c r="AV399">
        <f t="shared" si="103"/>
        <v>0.9</v>
      </c>
      <c r="AW399">
        <f t="shared" si="95"/>
        <v>0.65499999999999969</v>
      </c>
    </row>
    <row r="400" spans="1:49" x14ac:dyDescent="0.25">
      <c r="A400" t="s">
        <v>1316</v>
      </c>
      <c r="B400">
        <v>1.05</v>
      </c>
      <c r="C400">
        <v>16.649999999999999</v>
      </c>
      <c r="E400" t="s">
        <v>1316</v>
      </c>
      <c r="F400">
        <v>1.65</v>
      </c>
      <c r="G400">
        <v>82.51</v>
      </c>
      <c r="I400" t="str" cm="1">
        <f t="array" ref="I400:J400">_xlfn.TEXTSPLIT(A400," ")</f>
        <v>27.10.2023</v>
      </c>
      <c r="J400" t="str">
        <v>06:38:27</v>
      </c>
      <c r="K400">
        <f t="shared" si="104"/>
        <v>6.6166666666666485</v>
      </c>
      <c r="L400">
        <f t="shared" si="97"/>
        <v>2.3299999999999983</v>
      </c>
      <c r="M400">
        <f t="shared" si="98"/>
        <v>1.05</v>
      </c>
      <c r="N400">
        <f t="shared" si="92"/>
        <v>0.36750000000000005</v>
      </c>
      <c r="Q400" t="str" cm="1">
        <f t="array" ref="Q400:R400">_xlfn.TEXTSPLIT(E400," ")</f>
        <v>27.10.2023</v>
      </c>
      <c r="R400" t="str">
        <v>06:38:27</v>
      </c>
      <c r="S400">
        <f t="shared" si="105"/>
        <v>6.6166666666666485</v>
      </c>
      <c r="T400">
        <f t="shared" si="96"/>
        <v>3.9100000000000108</v>
      </c>
      <c r="U400">
        <f t="shared" si="99"/>
        <v>1.65</v>
      </c>
      <c r="V400">
        <f t="shared" si="93"/>
        <v>0.59749999999999992</v>
      </c>
      <c r="AC400" t="s">
        <v>1317</v>
      </c>
      <c r="AD400">
        <v>0</v>
      </c>
      <c r="AE400">
        <v>5.88</v>
      </c>
      <c r="AG400" t="str" cm="1">
        <f t="array" ref="AG400:AH400">_xlfn.TEXTSPLIT(AC401," ")</f>
        <v>26.10.2023</v>
      </c>
      <c r="AH400" t="str">
        <v>06:39:28</v>
      </c>
      <c r="AI400">
        <f t="shared" si="106"/>
        <v>6.6166666666666485</v>
      </c>
      <c r="AJ400">
        <f t="shared" si="100"/>
        <v>1.3499999999999996</v>
      </c>
      <c r="AK400">
        <f t="shared" si="101"/>
        <v>0</v>
      </c>
      <c r="AL400">
        <f t="shared" si="94"/>
        <v>0.30750000000000005</v>
      </c>
      <c r="AN400" t="s">
        <v>1317</v>
      </c>
      <c r="AO400">
        <v>2.25</v>
      </c>
      <c r="AP400">
        <v>66.27</v>
      </c>
      <c r="AR400" t="str" cm="1">
        <f t="array" ref="AR400:AS400">_xlfn.TEXTSPLIT(AN400," ")</f>
        <v>26.10.2023</v>
      </c>
      <c r="AS400" t="str">
        <v>06:38:28</v>
      </c>
      <c r="AT400">
        <f t="shared" si="107"/>
        <v>6.6166666666666485</v>
      </c>
      <c r="AU400">
        <f t="shared" si="102"/>
        <v>4.9599999999999937</v>
      </c>
      <c r="AV400">
        <f t="shared" si="103"/>
        <v>2.25</v>
      </c>
      <c r="AW400">
        <f t="shared" si="95"/>
        <v>0.65999999999999992</v>
      </c>
    </row>
    <row r="401" spans="1:49" x14ac:dyDescent="0.25">
      <c r="A401" t="s">
        <v>1318</v>
      </c>
      <c r="B401">
        <v>1.65</v>
      </c>
      <c r="C401">
        <v>16.68</v>
      </c>
      <c r="E401" t="s">
        <v>1318</v>
      </c>
      <c r="F401">
        <v>1.35</v>
      </c>
      <c r="G401">
        <v>82.53</v>
      </c>
      <c r="I401" t="str" cm="1">
        <f t="array" ref="I401:J401">_xlfn.TEXTSPLIT(A401," ")</f>
        <v>27.10.2023</v>
      </c>
      <c r="J401" t="str">
        <v>06:39:27</v>
      </c>
      <c r="K401">
        <f t="shared" si="104"/>
        <v>6.6333333333333151</v>
      </c>
      <c r="L401">
        <f t="shared" si="97"/>
        <v>2.3599999999999994</v>
      </c>
      <c r="M401">
        <f t="shared" si="98"/>
        <v>1.65</v>
      </c>
      <c r="N401">
        <f t="shared" si="92"/>
        <v>0.35499999999999993</v>
      </c>
      <c r="Q401" t="str" cm="1">
        <f t="array" ref="Q401:R401">_xlfn.TEXTSPLIT(E401," ")</f>
        <v>27.10.2023</v>
      </c>
      <c r="R401" t="str">
        <v>06:39:27</v>
      </c>
      <c r="S401">
        <f t="shared" si="105"/>
        <v>6.6333333333333151</v>
      </c>
      <c r="T401">
        <f t="shared" si="96"/>
        <v>3.9300000000000068</v>
      </c>
      <c r="U401">
        <f t="shared" si="99"/>
        <v>1.35</v>
      </c>
      <c r="V401">
        <f t="shared" si="93"/>
        <v>0.59</v>
      </c>
      <c r="AC401" t="s">
        <v>1319</v>
      </c>
      <c r="AD401">
        <v>1.8</v>
      </c>
      <c r="AE401">
        <v>5.91</v>
      </c>
      <c r="AG401" t="str" cm="1">
        <f t="array" ref="AG401:AH401">_xlfn.TEXTSPLIT(AC402," ")</f>
        <v>26.10.2023</v>
      </c>
      <c r="AH401" t="str">
        <v>06:40:28</v>
      </c>
      <c r="AI401">
        <f t="shared" si="106"/>
        <v>6.6333333333333151</v>
      </c>
      <c r="AJ401">
        <f t="shared" si="100"/>
        <v>1.38</v>
      </c>
      <c r="AK401">
        <f t="shared" si="101"/>
        <v>1.8</v>
      </c>
      <c r="AL401">
        <f t="shared" si="94"/>
        <v>0.31500000000000006</v>
      </c>
      <c r="AN401" t="s">
        <v>1319</v>
      </c>
      <c r="AO401">
        <v>2.85</v>
      </c>
      <c r="AP401">
        <v>66.31</v>
      </c>
      <c r="AR401" t="str" cm="1">
        <f t="array" ref="AR401:AS401">_xlfn.TEXTSPLIT(AN401," ")</f>
        <v>26.10.2023</v>
      </c>
      <c r="AS401" t="str">
        <v>06:39:28</v>
      </c>
      <c r="AT401">
        <f t="shared" si="107"/>
        <v>6.6333333333333151</v>
      </c>
      <c r="AU401">
        <f t="shared" si="102"/>
        <v>5</v>
      </c>
      <c r="AV401">
        <f t="shared" si="103"/>
        <v>2.85</v>
      </c>
      <c r="AW401">
        <f t="shared" si="95"/>
        <v>0.67249999999999999</v>
      </c>
    </row>
    <row r="402" spans="1:49" x14ac:dyDescent="0.25">
      <c r="A402" t="s">
        <v>1320</v>
      </c>
      <c r="B402">
        <v>1.35</v>
      </c>
      <c r="C402">
        <v>16.7</v>
      </c>
      <c r="E402" t="s">
        <v>1320</v>
      </c>
      <c r="F402">
        <v>1.5</v>
      </c>
      <c r="G402">
        <v>82.56</v>
      </c>
      <c r="I402" t="str" cm="1">
        <f t="array" ref="I402:J402">_xlfn.TEXTSPLIT(A402," ")</f>
        <v>27.10.2023</v>
      </c>
      <c r="J402" t="str">
        <v>06:40:27</v>
      </c>
      <c r="K402">
        <f t="shared" si="104"/>
        <v>6.6499999999999817</v>
      </c>
      <c r="L402">
        <f t="shared" si="97"/>
        <v>2.379999999999999</v>
      </c>
      <c r="M402">
        <f t="shared" si="98"/>
        <v>1.35</v>
      </c>
      <c r="N402">
        <f t="shared" si="92"/>
        <v>0.35749999999999998</v>
      </c>
      <c r="Q402" t="str" cm="1">
        <f t="array" ref="Q402:R402">_xlfn.TEXTSPLIT(E402," ")</f>
        <v>27.10.2023</v>
      </c>
      <c r="R402" t="str">
        <v>06:40:27</v>
      </c>
      <c r="S402">
        <f t="shared" si="105"/>
        <v>6.6499999999999817</v>
      </c>
      <c r="T402">
        <f t="shared" si="96"/>
        <v>3.960000000000008</v>
      </c>
      <c r="U402">
        <f t="shared" si="99"/>
        <v>1.5</v>
      </c>
      <c r="V402">
        <f t="shared" si="93"/>
        <v>0.58499999999999985</v>
      </c>
      <c r="AC402" t="s">
        <v>1321</v>
      </c>
      <c r="AD402">
        <v>1.5</v>
      </c>
      <c r="AE402">
        <v>5.93</v>
      </c>
      <c r="AG402" t="str" cm="1">
        <f t="array" ref="AG402:AH402">_xlfn.TEXTSPLIT(AC403," ")</f>
        <v>26.10.2023</v>
      </c>
      <c r="AH402" t="str">
        <v>06:41:29</v>
      </c>
      <c r="AI402">
        <f t="shared" si="106"/>
        <v>6.6499999999999817</v>
      </c>
      <c r="AJ402">
        <f t="shared" si="100"/>
        <v>1.3999999999999995</v>
      </c>
      <c r="AK402">
        <f t="shared" si="101"/>
        <v>1.5</v>
      </c>
      <c r="AL402">
        <f t="shared" si="94"/>
        <v>0.3125</v>
      </c>
      <c r="AN402" t="s">
        <v>1321</v>
      </c>
      <c r="AO402">
        <v>1.65</v>
      </c>
      <c r="AP402">
        <v>66.33</v>
      </c>
      <c r="AR402" t="str" cm="1">
        <f t="array" ref="AR402:AS402">_xlfn.TEXTSPLIT(AN402," ")</f>
        <v>26.10.2023</v>
      </c>
      <c r="AS402" t="str">
        <v>06:40:28</v>
      </c>
      <c r="AT402">
        <f t="shared" si="107"/>
        <v>6.6499999999999817</v>
      </c>
      <c r="AU402">
        <f t="shared" si="102"/>
        <v>5.019999999999996</v>
      </c>
      <c r="AV402">
        <f t="shared" si="103"/>
        <v>1.65</v>
      </c>
      <c r="AW402">
        <f t="shared" si="95"/>
        <v>0.67000000000000015</v>
      </c>
    </row>
    <row r="403" spans="1:49" x14ac:dyDescent="0.25">
      <c r="A403" t="s">
        <v>1322</v>
      </c>
      <c r="B403">
        <v>0.75</v>
      </c>
      <c r="C403">
        <v>16.71</v>
      </c>
      <c r="E403" t="s">
        <v>1322</v>
      </c>
      <c r="F403">
        <v>1.2</v>
      </c>
      <c r="G403">
        <v>82.57</v>
      </c>
      <c r="I403" t="str" cm="1">
        <f t="array" ref="I403:J403">_xlfn.TEXTSPLIT(A403," ")</f>
        <v>27.10.2023</v>
      </c>
      <c r="J403" t="str">
        <v>06:41:27</v>
      </c>
      <c r="K403">
        <f t="shared" si="104"/>
        <v>6.6666666666666483</v>
      </c>
      <c r="L403">
        <f t="shared" si="97"/>
        <v>2.3900000000000006</v>
      </c>
      <c r="M403">
        <f t="shared" si="98"/>
        <v>0.75</v>
      </c>
      <c r="N403">
        <f t="shared" si="92"/>
        <v>0.35499999999999993</v>
      </c>
      <c r="Q403" t="str" cm="1">
        <f t="array" ref="Q403:R403">_xlfn.TEXTSPLIT(E403," ")</f>
        <v>27.10.2023</v>
      </c>
      <c r="R403" t="str">
        <v>06:41:27</v>
      </c>
      <c r="S403">
        <f t="shared" si="105"/>
        <v>6.6666666666666483</v>
      </c>
      <c r="T403">
        <f t="shared" si="96"/>
        <v>3.9699999999999989</v>
      </c>
      <c r="U403">
        <f t="shared" si="99"/>
        <v>1.2</v>
      </c>
      <c r="V403">
        <f t="shared" si="93"/>
        <v>0.58999999999999986</v>
      </c>
      <c r="AC403" t="s">
        <v>1323</v>
      </c>
      <c r="AD403">
        <v>1.35</v>
      </c>
      <c r="AE403">
        <v>5.95</v>
      </c>
      <c r="AG403" t="str" cm="1">
        <f t="array" ref="AG403:AH403">_xlfn.TEXTSPLIT(AC404," ")</f>
        <v>26.10.2023</v>
      </c>
      <c r="AH403" t="str">
        <v>06:42:29</v>
      </c>
      <c r="AI403">
        <f t="shared" si="106"/>
        <v>6.6666666666666483</v>
      </c>
      <c r="AJ403">
        <f t="shared" si="100"/>
        <v>1.42</v>
      </c>
      <c r="AK403">
        <f t="shared" si="101"/>
        <v>1.35</v>
      </c>
      <c r="AL403">
        <f t="shared" si="94"/>
        <v>0.30500000000000005</v>
      </c>
      <c r="AN403" t="s">
        <v>1323</v>
      </c>
      <c r="AO403">
        <v>1.2</v>
      </c>
      <c r="AP403">
        <v>66.349999999999994</v>
      </c>
      <c r="AR403" t="str" cm="1">
        <f t="array" ref="AR403:AS403">_xlfn.TEXTSPLIT(AN403," ")</f>
        <v>26.10.2023</v>
      </c>
      <c r="AS403" t="str">
        <v>06:41:29</v>
      </c>
      <c r="AT403">
        <f t="shared" si="107"/>
        <v>6.6666666666666483</v>
      </c>
      <c r="AU403">
        <f t="shared" si="102"/>
        <v>5.039999999999992</v>
      </c>
      <c r="AV403">
        <f t="shared" si="103"/>
        <v>1.2</v>
      </c>
      <c r="AW403">
        <f t="shared" si="95"/>
        <v>0.66250000000000009</v>
      </c>
    </row>
    <row r="404" spans="1:49" x14ac:dyDescent="0.25">
      <c r="A404" t="s">
        <v>1324</v>
      </c>
      <c r="B404">
        <v>0.75</v>
      </c>
      <c r="C404">
        <v>16.73</v>
      </c>
      <c r="E404" t="s">
        <v>1324</v>
      </c>
      <c r="F404">
        <v>0.9</v>
      </c>
      <c r="G404">
        <v>82.58</v>
      </c>
      <c r="I404" t="str" cm="1">
        <f t="array" ref="I404:J404">_xlfn.TEXTSPLIT(A404," ")</f>
        <v>27.10.2023</v>
      </c>
      <c r="J404" t="str">
        <v>06:42:28</v>
      </c>
      <c r="K404">
        <f t="shared" si="104"/>
        <v>6.6833333333333149</v>
      </c>
      <c r="L404">
        <f t="shared" si="97"/>
        <v>2.41</v>
      </c>
      <c r="M404">
        <f t="shared" si="98"/>
        <v>0.75</v>
      </c>
      <c r="N404">
        <f t="shared" si="92"/>
        <v>0.35499999999999993</v>
      </c>
      <c r="Q404" t="str" cm="1">
        <f t="array" ref="Q404:R404">_xlfn.TEXTSPLIT(E404," ")</f>
        <v>27.10.2023</v>
      </c>
      <c r="R404" t="str">
        <v>06:42:28</v>
      </c>
      <c r="S404">
        <f t="shared" si="105"/>
        <v>6.6833333333333149</v>
      </c>
      <c r="T404">
        <f t="shared" si="96"/>
        <v>3.980000000000004</v>
      </c>
      <c r="U404">
        <f t="shared" si="99"/>
        <v>0.9</v>
      </c>
      <c r="V404">
        <f t="shared" si="93"/>
        <v>0.59499999999999997</v>
      </c>
      <c r="AC404" t="s">
        <v>1325</v>
      </c>
      <c r="AD404">
        <v>0.75</v>
      </c>
      <c r="AE404">
        <v>5.96</v>
      </c>
      <c r="AG404" t="str" cm="1">
        <f t="array" ref="AG404:AH404">_xlfn.TEXTSPLIT(AC405," ")</f>
        <v>26.10.2023</v>
      </c>
      <c r="AH404" t="str">
        <v>06:43:29</v>
      </c>
      <c r="AI404">
        <f t="shared" si="106"/>
        <v>6.6833333333333149</v>
      </c>
      <c r="AJ404">
        <f t="shared" si="100"/>
        <v>1.4299999999999997</v>
      </c>
      <c r="AK404">
        <f t="shared" si="101"/>
        <v>0.75</v>
      </c>
      <c r="AL404">
        <f t="shared" si="94"/>
        <v>0.29500000000000004</v>
      </c>
      <c r="AN404" t="s">
        <v>1325</v>
      </c>
      <c r="AO404">
        <v>1.2</v>
      </c>
      <c r="AP404">
        <v>66.36</v>
      </c>
      <c r="AR404" t="str" cm="1">
        <f t="array" ref="AR404:AS404">_xlfn.TEXTSPLIT(AN404," ")</f>
        <v>26.10.2023</v>
      </c>
      <c r="AS404" t="str">
        <v>06:42:29</v>
      </c>
      <c r="AT404">
        <f t="shared" si="107"/>
        <v>6.6833333333333149</v>
      </c>
      <c r="AU404">
        <f t="shared" si="102"/>
        <v>5.0499999999999972</v>
      </c>
      <c r="AV404">
        <f t="shared" si="103"/>
        <v>1.2</v>
      </c>
      <c r="AW404">
        <f t="shared" si="95"/>
        <v>0.6675000000000002</v>
      </c>
    </row>
    <row r="405" spans="1:49" x14ac:dyDescent="0.25">
      <c r="A405" t="s">
        <v>1326</v>
      </c>
      <c r="B405">
        <v>0.6</v>
      </c>
      <c r="C405">
        <v>16.73</v>
      </c>
      <c r="E405" t="s">
        <v>1326</v>
      </c>
      <c r="F405">
        <v>0.6</v>
      </c>
      <c r="G405">
        <v>82.6</v>
      </c>
      <c r="I405" t="str" cm="1">
        <f t="array" ref="I405:J405">_xlfn.TEXTSPLIT(A405," ")</f>
        <v>27.10.2023</v>
      </c>
      <c r="J405" t="str">
        <v>06:43:28</v>
      </c>
      <c r="K405">
        <f t="shared" si="104"/>
        <v>6.6999999999999815</v>
      </c>
      <c r="L405">
        <f t="shared" si="97"/>
        <v>2.41</v>
      </c>
      <c r="M405">
        <f t="shared" si="98"/>
        <v>0.6</v>
      </c>
      <c r="N405">
        <f t="shared" si="92"/>
        <v>0.35749999999999998</v>
      </c>
      <c r="Q405" t="str" cm="1">
        <f t="array" ref="Q405:R405">_xlfn.TEXTSPLIT(E405," ")</f>
        <v>27.10.2023</v>
      </c>
      <c r="R405" t="str">
        <v>06:43:28</v>
      </c>
      <c r="S405">
        <f t="shared" si="105"/>
        <v>6.6999999999999815</v>
      </c>
      <c r="T405">
        <f t="shared" si="96"/>
        <v>4</v>
      </c>
      <c r="U405">
        <f t="shared" si="99"/>
        <v>0.6</v>
      </c>
      <c r="V405">
        <f t="shared" si="93"/>
        <v>0.58750000000000002</v>
      </c>
      <c r="AC405" t="s">
        <v>1327</v>
      </c>
      <c r="AD405">
        <v>0.6</v>
      </c>
      <c r="AE405">
        <v>5.97</v>
      </c>
      <c r="AG405" t="str" cm="1">
        <f t="array" ref="AG405:AH405">_xlfn.TEXTSPLIT(AC406," ")</f>
        <v>26.10.2023</v>
      </c>
      <c r="AH405" t="str">
        <v>06:44:29</v>
      </c>
      <c r="AI405">
        <f t="shared" si="106"/>
        <v>6.6999999999999815</v>
      </c>
      <c r="AJ405">
        <f t="shared" si="100"/>
        <v>1.4399999999999995</v>
      </c>
      <c r="AK405">
        <f t="shared" si="101"/>
        <v>0.6</v>
      </c>
      <c r="AL405">
        <f t="shared" si="94"/>
        <v>0.29000000000000004</v>
      </c>
      <c r="AN405" t="s">
        <v>1327</v>
      </c>
      <c r="AO405">
        <v>0.9</v>
      </c>
      <c r="AP405">
        <v>66.38</v>
      </c>
      <c r="AR405" t="str" cm="1">
        <f t="array" ref="AR405:AS405">_xlfn.TEXTSPLIT(AN405," ")</f>
        <v>26.10.2023</v>
      </c>
      <c r="AS405" t="str">
        <v>06:43:29</v>
      </c>
      <c r="AT405">
        <f t="shared" si="107"/>
        <v>6.6999999999999815</v>
      </c>
      <c r="AU405">
        <f t="shared" si="102"/>
        <v>5.0699999999999932</v>
      </c>
      <c r="AV405">
        <f t="shared" si="103"/>
        <v>0.9</v>
      </c>
      <c r="AW405">
        <f t="shared" si="95"/>
        <v>0.67500000000000016</v>
      </c>
    </row>
    <row r="406" spans="1:49" x14ac:dyDescent="0.25">
      <c r="A406" t="s">
        <v>1328</v>
      </c>
      <c r="B406">
        <v>0.3</v>
      </c>
      <c r="C406">
        <v>16.739999999999998</v>
      </c>
      <c r="E406" t="s">
        <v>1328</v>
      </c>
      <c r="F406">
        <v>0.6</v>
      </c>
      <c r="G406">
        <v>82.6</v>
      </c>
      <c r="I406" t="str" cm="1">
        <f t="array" ref="I406:J406">_xlfn.TEXTSPLIT(A406," ")</f>
        <v>27.10.2023</v>
      </c>
      <c r="J406" t="str">
        <v>06:44:28</v>
      </c>
      <c r="K406">
        <f t="shared" si="104"/>
        <v>6.7166666666666481</v>
      </c>
      <c r="L406">
        <f t="shared" si="97"/>
        <v>2.4199999999999982</v>
      </c>
      <c r="M406">
        <f t="shared" si="98"/>
        <v>0.3</v>
      </c>
      <c r="N406">
        <f t="shared" si="92"/>
        <v>0.35749999999999998</v>
      </c>
      <c r="Q406" t="str" cm="1">
        <f t="array" ref="Q406:R406">_xlfn.TEXTSPLIT(E406," ")</f>
        <v>27.10.2023</v>
      </c>
      <c r="R406" t="str">
        <v>06:44:28</v>
      </c>
      <c r="S406">
        <f t="shared" si="105"/>
        <v>6.7166666666666481</v>
      </c>
      <c r="T406">
        <f t="shared" si="96"/>
        <v>4</v>
      </c>
      <c r="U406">
        <f t="shared" si="99"/>
        <v>0.6</v>
      </c>
      <c r="V406">
        <f t="shared" si="93"/>
        <v>0.59</v>
      </c>
      <c r="AC406" t="s">
        <v>1329</v>
      </c>
      <c r="AD406">
        <v>0.45</v>
      </c>
      <c r="AE406">
        <v>5.97</v>
      </c>
      <c r="AG406" t="str" cm="1">
        <f t="array" ref="AG406:AH406">_xlfn.TEXTSPLIT(AC407," ")</f>
        <v>26.10.2023</v>
      </c>
      <c r="AH406" t="str">
        <v>06:45:29</v>
      </c>
      <c r="AI406">
        <f t="shared" si="106"/>
        <v>6.7166666666666481</v>
      </c>
      <c r="AJ406">
        <f t="shared" si="100"/>
        <v>1.4399999999999995</v>
      </c>
      <c r="AK406">
        <f t="shared" si="101"/>
        <v>0.45</v>
      </c>
      <c r="AL406">
        <f t="shared" si="94"/>
        <v>0.29000000000000004</v>
      </c>
      <c r="AN406" t="s">
        <v>1329</v>
      </c>
      <c r="AO406">
        <v>1.2</v>
      </c>
      <c r="AP406">
        <v>66.400000000000006</v>
      </c>
      <c r="AR406" t="str" cm="1">
        <f t="array" ref="AR406:AS406">_xlfn.TEXTSPLIT(AN406," ")</f>
        <v>26.10.2023</v>
      </c>
      <c r="AS406" t="str">
        <v>06:44:29</v>
      </c>
      <c r="AT406">
        <f t="shared" si="107"/>
        <v>6.7166666666666481</v>
      </c>
      <c r="AU406">
        <f t="shared" si="102"/>
        <v>5.0900000000000034</v>
      </c>
      <c r="AV406">
        <f t="shared" si="103"/>
        <v>1.2</v>
      </c>
      <c r="AW406">
        <f t="shared" si="95"/>
        <v>0.68250000000000022</v>
      </c>
    </row>
    <row r="407" spans="1:49" x14ac:dyDescent="0.25">
      <c r="A407" t="s">
        <v>1330</v>
      </c>
      <c r="B407">
        <v>0.3</v>
      </c>
      <c r="C407">
        <v>16.739999999999998</v>
      </c>
      <c r="E407" t="s">
        <v>1330</v>
      </c>
      <c r="F407">
        <v>0.45</v>
      </c>
      <c r="G407">
        <v>82.61</v>
      </c>
      <c r="I407" t="str" cm="1">
        <f t="array" ref="I407:J407">_xlfn.TEXTSPLIT(A407," ")</f>
        <v>27.10.2023</v>
      </c>
      <c r="J407" t="str">
        <v>06:45:28</v>
      </c>
      <c r="K407">
        <f t="shared" si="104"/>
        <v>6.7333333333333147</v>
      </c>
      <c r="L407">
        <f t="shared" si="97"/>
        <v>2.4199999999999982</v>
      </c>
      <c r="M407">
        <f t="shared" si="98"/>
        <v>0.3</v>
      </c>
      <c r="N407">
        <f t="shared" si="92"/>
        <v>0.36000000000000004</v>
      </c>
      <c r="Q407" t="str" cm="1">
        <f t="array" ref="Q407:R407">_xlfn.TEXTSPLIT(E407," ")</f>
        <v>27.10.2023</v>
      </c>
      <c r="R407" t="str">
        <v>06:45:28</v>
      </c>
      <c r="S407">
        <f t="shared" si="105"/>
        <v>6.7333333333333147</v>
      </c>
      <c r="T407">
        <f t="shared" si="96"/>
        <v>4.0100000000000051</v>
      </c>
      <c r="U407">
        <f t="shared" si="99"/>
        <v>0.45</v>
      </c>
      <c r="V407">
        <f t="shared" si="93"/>
        <v>0.58750000000000002</v>
      </c>
      <c r="AC407" t="s">
        <v>1331</v>
      </c>
      <c r="AD407">
        <v>0.3</v>
      </c>
      <c r="AE407">
        <v>5.98</v>
      </c>
      <c r="AG407" t="str" cm="1">
        <f t="array" ref="AG407:AH407">_xlfn.TEXTSPLIT(AC408," ")</f>
        <v>26.10.2023</v>
      </c>
      <c r="AH407" t="str">
        <v>06:46:29</v>
      </c>
      <c r="AI407">
        <f t="shared" si="106"/>
        <v>6.7333333333333147</v>
      </c>
      <c r="AJ407">
        <f t="shared" si="100"/>
        <v>1.4500000000000002</v>
      </c>
      <c r="AK407">
        <f t="shared" si="101"/>
        <v>0.3</v>
      </c>
      <c r="AL407">
        <f t="shared" si="94"/>
        <v>0.28500000000000003</v>
      </c>
      <c r="AN407" t="s">
        <v>1331</v>
      </c>
      <c r="AO407">
        <v>0.6</v>
      </c>
      <c r="AP407">
        <v>66.41</v>
      </c>
      <c r="AR407" t="str" cm="1">
        <f t="array" ref="AR407:AS407">_xlfn.TEXTSPLIT(AN407," ")</f>
        <v>26.10.2023</v>
      </c>
      <c r="AS407" t="str">
        <v>06:45:29</v>
      </c>
      <c r="AT407">
        <f t="shared" si="107"/>
        <v>6.7333333333333147</v>
      </c>
      <c r="AU407">
        <f t="shared" si="102"/>
        <v>5.0999999999999943</v>
      </c>
      <c r="AV407">
        <f t="shared" si="103"/>
        <v>0.6</v>
      </c>
      <c r="AW407">
        <f t="shared" si="95"/>
        <v>0.68000000000000016</v>
      </c>
    </row>
    <row r="408" spans="1:49" x14ac:dyDescent="0.25">
      <c r="A408" t="s">
        <v>1332</v>
      </c>
      <c r="B408">
        <v>0.3</v>
      </c>
      <c r="C408">
        <v>16.739999999999998</v>
      </c>
      <c r="E408" t="s">
        <v>1332</v>
      </c>
      <c r="F408">
        <v>0.3</v>
      </c>
      <c r="G408">
        <v>82.62</v>
      </c>
      <c r="I408" t="str" cm="1">
        <f t="array" ref="I408:J408">_xlfn.TEXTSPLIT(A408," ")</f>
        <v>27.10.2023</v>
      </c>
      <c r="J408" t="str">
        <v>06:46:28</v>
      </c>
      <c r="K408">
        <f t="shared" si="104"/>
        <v>6.7499999999999813</v>
      </c>
      <c r="L408">
        <f t="shared" si="97"/>
        <v>2.4199999999999982</v>
      </c>
      <c r="M408">
        <f t="shared" si="98"/>
        <v>0.3</v>
      </c>
      <c r="N408">
        <f t="shared" si="92"/>
        <v>0.36000000000000004</v>
      </c>
      <c r="Q408" t="str" cm="1">
        <f t="array" ref="Q408:R408">_xlfn.TEXTSPLIT(E408," ")</f>
        <v>27.10.2023</v>
      </c>
      <c r="R408" t="str">
        <v>06:46:28</v>
      </c>
      <c r="S408">
        <f t="shared" si="105"/>
        <v>6.7499999999999813</v>
      </c>
      <c r="T408">
        <f t="shared" si="96"/>
        <v>4.0200000000000102</v>
      </c>
      <c r="U408">
        <f t="shared" si="99"/>
        <v>0.3</v>
      </c>
      <c r="V408">
        <f t="shared" si="93"/>
        <v>0.58500000000000008</v>
      </c>
      <c r="AC408" t="s">
        <v>1333</v>
      </c>
      <c r="AD408">
        <v>0.6</v>
      </c>
      <c r="AE408">
        <v>5.99</v>
      </c>
      <c r="AG408" t="str" cm="1">
        <f t="array" ref="AG408:AH408">_xlfn.TEXTSPLIT(AC409," ")</f>
        <v>26.10.2023</v>
      </c>
      <c r="AH408" t="str">
        <v>06:47:29</v>
      </c>
      <c r="AI408">
        <f t="shared" si="106"/>
        <v>6.7499999999999813</v>
      </c>
      <c r="AJ408">
        <f t="shared" si="100"/>
        <v>1.46</v>
      </c>
      <c r="AK408">
        <f t="shared" si="101"/>
        <v>0.6</v>
      </c>
      <c r="AL408">
        <f t="shared" si="94"/>
        <v>0.29000000000000004</v>
      </c>
      <c r="AN408" t="s">
        <v>1333</v>
      </c>
      <c r="AO408">
        <v>0.45</v>
      </c>
      <c r="AP408">
        <v>66.42</v>
      </c>
      <c r="AR408" t="str" cm="1">
        <f t="array" ref="AR408:AS408">_xlfn.TEXTSPLIT(AN408," ")</f>
        <v>26.10.2023</v>
      </c>
      <c r="AS408" t="str">
        <v>06:46:29</v>
      </c>
      <c r="AT408">
        <f t="shared" si="107"/>
        <v>6.7499999999999813</v>
      </c>
      <c r="AU408">
        <f t="shared" si="102"/>
        <v>5.1099999999999994</v>
      </c>
      <c r="AV408">
        <f t="shared" si="103"/>
        <v>0.45</v>
      </c>
      <c r="AW408">
        <f t="shared" si="95"/>
        <v>0.67750000000000032</v>
      </c>
    </row>
    <row r="409" spans="1:49" x14ac:dyDescent="0.25">
      <c r="A409" t="s">
        <v>1334</v>
      </c>
      <c r="B409">
        <v>0.15</v>
      </c>
      <c r="C409">
        <v>16.75</v>
      </c>
      <c r="E409" t="s">
        <v>1334</v>
      </c>
      <c r="F409">
        <v>0.6</v>
      </c>
      <c r="G409">
        <v>82.62</v>
      </c>
      <c r="I409" t="str" cm="1">
        <f t="array" ref="I409:J409">_xlfn.TEXTSPLIT(A409," ")</f>
        <v>27.10.2023</v>
      </c>
      <c r="J409" t="str">
        <v>06:47:28</v>
      </c>
      <c r="K409">
        <f t="shared" si="104"/>
        <v>6.766666666666648</v>
      </c>
      <c r="L409">
        <f t="shared" si="97"/>
        <v>2.4299999999999997</v>
      </c>
      <c r="M409">
        <f t="shared" si="98"/>
        <v>0.15</v>
      </c>
      <c r="N409">
        <f t="shared" si="92"/>
        <v>0.36000000000000004</v>
      </c>
      <c r="Q409" t="str" cm="1">
        <f t="array" ref="Q409:R409">_xlfn.TEXTSPLIT(E409," ")</f>
        <v>27.10.2023</v>
      </c>
      <c r="R409" t="str">
        <v>06:47:28</v>
      </c>
      <c r="S409">
        <f t="shared" si="105"/>
        <v>6.766666666666648</v>
      </c>
      <c r="T409">
        <f t="shared" si="96"/>
        <v>4.0200000000000102</v>
      </c>
      <c r="U409">
        <f t="shared" si="99"/>
        <v>0.6</v>
      </c>
      <c r="V409">
        <f t="shared" si="93"/>
        <v>0.58500000000000008</v>
      </c>
      <c r="AC409" t="s">
        <v>1335</v>
      </c>
      <c r="AD409">
        <v>0.45</v>
      </c>
      <c r="AE409">
        <v>5.99</v>
      </c>
      <c r="AG409" t="str" cm="1">
        <f t="array" ref="AG409:AH409">_xlfn.TEXTSPLIT(AC410," ")</f>
        <v>26.10.2023</v>
      </c>
      <c r="AH409" t="str">
        <v>06:48:29</v>
      </c>
      <c r="AI409">
        <f t="shared" si="106"/>
        <v>6.766666666666648</v>
      </c>
      <c r="AJ409">
        <f t="shared" si="100"/>
        <v>1.46</v>
      </c>
      <c r="AK409">
        <f t="shared" si="101"/>
        <v>0.45</v>
      </c>
      <c r="AL409">
        <f t="shared" si="94"/>
        <v>0.29250000000000004</v>
      </c>
      <c r="AN409" t="s">
        <v>1335</v>
      </c>
      <c r="AO409">
        <v>0.6</v>
      </c>
      <c r="AP409">
        <v>66.42</v>
      </c>
      <c r="AR409" t="str" cm="1">
        <f t="array" ref="AR409:AS409">_xlfn.TEXTSPLIT(AN409," ")</f>
        <v>26.10.2023</v>
      </c>
      <c r="AS409" t="str">
        <v>06:47:29</v>
      </c>
      <c r="AT409">
        <f t="shared" si="107"/>
        <v>6.766666666666648</v>
      </c>
      <c r="AU409">
        <f t="shared" si="102"/>
        <v>5.1099999999999994</v>
      </c>
      <c r="AV409">
        <f t="shared" si="103"/>
        <v>0.6</v>
      </c>
      <c r="AW409">
        <f t="shared" si="95"/>
        <v>0.67250000000000021</v>
      </c>
    </row>
    <row r="410" spans="1:49" x14ac:dyDescent="0.25">
      <c r="A410" t="s">
        <v>1336</v>
      </c>
      <c r="B410">
        <v>0.15</v>
      </c>
      <c r="C410">
        <v>16.75</v>
      </c>
      <c r="E410" t="s">
        <v>1336</v>
      </c>
      <c r="F410">
        <v>0.3</v>
      </c>
      <c r="G410">
        <v>82.63</v>
      </c>
      <c r="I410" t="str" cm="1">
        <f t="array" ref="I410:J410">_xlfn.TEXTSPLIT(A410," ")</f>
        <v>27.10.2023</v>
      </c>
      <c r="J410" t="str">
        <v>06:48:29</v>
      </c>
      <c r="K410">
        <f t="shared" si="104"/>
        <v>6.7833333333333146</v>
      </c>
      <c r="L410">
        <f t="shared" si="97"/>
        <v>2.4299999999999997</v>
      </c>
      <c r="M410">
        <f t="shared" si="98"/>
        <v>0.15</v>
      </c>
      <c r="N410">
        <f t="shared" si="92"/>
        <v>0.36000000000000004</v>
      </c>
      <c r="Q410" t="str" cm="1">
        <f t="array" ref="Q410:R410">_xlfn.TEXTSPLIT(E410," ")</f>
        <v>27.10.2023</v>
      </c>
      <c r="R410" t="str">
        <v>06:48:29</v>
      </c>
      <c r="S410">
        <f t="shared" si="105"/>
        <v>6.7833333333333146</v>
      </c>
      <c r="T410">
        <f t="shared" si="96"/>
        <v>4.0300000000000011</v>
      </c>
      <c r="U410">
        <f t="shared" si="99"/>
        <v>0.3</v>
      </c>
      <c r="V410">
        <f t="shared" si="93"/>
        <v>0.57999999999999996</v>
      </c>
      <c r="AC410" t="s">
        <v>1337</v>
      </c>
      <c r="AD410">
        <v>0.6</v>
      </c>
      <c r="AE410">
        <v>6.01</v>
      </c>
      <c r="AG410" t="str" cm="1">
        <f t="array" ref="AG410:AH410">_xlfn.TEXTSPLIT(AC411," ")</f>
        <v>26.10.2023</v>
      </c>
      <c r="AH410" t="str">
        <v>06:49:29</v>
      </c>
      <c r="AI410">
        <f t="shared" si="106"/>
        <v>6.7833333333333146</v>
      </c>
      <c r="AJ410">
        <f t="shared" si="100"/>
        <v>1.4799999999999995</v>
      </c>
      <c r="AK410">
        <f t="shared" si="101"/>
        <v>0.6</v>
      </c>
      <c r="AL410">
        <f t="shared" si="94"/>
        <v>0.29500000000000004</v>
      </c>
      <c r="AN410" t="s">
        <v>1337</v>
      </c>
      <c r="AO410">
        <v>0.6</v>
      </c>
      <c r="AP410">
        <v>66.430000000000007</v>
      </c>
      <c r="AR410" t="str" cm="1">
        <f t="array" ref="AR410:AS410">_xlfn.TEXTSPLIT(AN410," ")</f>
        <v>26.10.2023</v>
      </c>
      <c r="AS410" t="str">
        <v>06:48:29</v>
      </c>
      <c r="AT410">
        <f t="shared" si="107"/>
        <v>6.7833333333333146</v>
      </c>
      <c r="AU410">
        <f t="shared" si="102"/>
        <v>5.1200000000000045</v>
      </c>
      <c r="AV410">
        <f t="shared" si="103"/>
        <v>0.6</v>
      </c>
      <c r="AW410">
        <f t="shared" si="95"/>
        <v>0.66750000000000043</v>
      </c>
    </row>
    <row r="411" spans="1:49" x14ac:dyDescent="0.25">
      <c r="A411" t="s">
        <v>1338</v>
      </c>
      <c r="B411">
        <v>0.3</v>
      </c>
      <c r="C411">
        <v>16.75</v>
      </c>
      <c r="E411" t="s">
        <v>1338</v>
      </c>
      <c r="F411">
        <v>0.45</v>
      </c>
      <c r="G411">
        <v>82.64</v>
      </c>
      <c r="I411" t="str" cm="1">
        <f t="array" ref="I411:J411">_xlfn.TEXTSPLIT(A411," ")</f>
        <v>27.10.2023</v>
      </c>
      <c r="J411" t="str">
        <v>06:49:29</v>
      </c>
      <c r="K411">
        <f t="shared" si="104"/>
        <v>6.7999999999999812</v>
      </c>
      <c r="L411">
        <f t="shared" si="97"/>
        <v>2.4299999999999997</v>
      </c>
      <c r="M411">
        <f t="shared" si="98"/>
        <v>0.3</v>
      </c>
      <c r="N411">
        <f t="shared" si="92"/>
        <v>0.36000000000000004</v>
      </c>
      <c r="Q411" t="str" cm="1">
        <f t="array" ref="Q411:R411">_xlfn.TEXTSPLIT(E411," ")</f>
        <v>27.10.2023</v>
      </c>
      <c r="R411" t="str">
        <v>06:49:29</v>
      </c>
      <c r="S411">
        <f t="shared" si="105"/>
        <v>6.7999999999999812</v>
      </c>
      <c r="T411">
        <f t="shared" si="96"/>
        <v>4.0400000000000063</v>
      </c>
      <c r="U411">
        <f t="shared" si="99"/>
        <v>0.45</v>
      </c>
      <c r="V411">
        <f t="shared" si="93"/>
        <v>0.57499999999999996</v>
      </c>
      <c r="AC411" t="s">
        <v>1339</v>
      </c>
      <c r="AD411">
        <v>0.6</v>
      </c>
      <c r="AE411">
        <v>6.01</v>
      </c>
      <c r="AG411" t="str" cm="1">
        <f t="array" ref="AG411:AH411">_xlfn.TEXTSPLIT(AC412," ")</f>
        <v>26.10.2023</v>
      </c>
      <c r="AH411" t="str">
        <v>06:50:29</v>
      </c>
      <c r="AI411">
        <f t="shared" si="106"/>
        <v>6.7999999999999812</v>
      </c>
      <c r="AJ411">
        <f t="shared" si="100"/>
        <v>1.4799999999999995</v>
      </c>
      <c r="AK411">
        <f t="shared" si="101"/>
        <v>0.6</v>
      </c>
      <c r="AL411">
        <f t="shared" si="94"/>
        <v>0.30000000000000004</v>
      </c>
      <c r="AN411" t="s">
        <v>1339</v>
      </c>
      <c r="AO411">
        <v>0.6</v>
      </c>
      <c r="AP411">
        <v>66.44</v>
      </c>
      <c r="AR411" t="str" cm="1">
        <f t="array" ref="AR411:AS411">_xlfn.TEXTSPLIT(AN411," ")</f>
        <v>26.10.2023</v>
      </c>
      <c r="AS411" t="str">
        <v>06:49:29</v>
      </c>
      <c r="AT411">
        <f t="shared" si="107"/>
        <v>6.7999999999999812</v>
      </c>
      <c r="AU411">
        <f t="shared" si="102"/>
        <v>5.1299999999999955</v>
      </c>
      <c r="AV411">
        <f t="shared" si="103"/>
        <v>0.6</v>
      </c>
      <c r="AW411">
        <f t="shared" si="95"/>
        <v>0.66500000000000048</v>
      </c>
    </row>
    <row r="412" spans="1:49" x14ac:dyDescent="0.25">
      <c r="A412" t="s">
        <v>1340</v>
      </c>
      <c r="B412">
        <v>0.15</v>
      </c>
      <c r="C412">
        <v>16.760000000000002</v>
      </c>
      <c r="E412" t="s">
        <v>1340</v>
      </c>
      <c r="F412">
        <v>0.45</v>
      </c>
      <c r="G412">
        <v>82.65</v>
      </c>
      <c r="I412" t="str" cm="1">
        <f t="array" ref="I412:J412">_xlfn.TEXTSPLIT(A412," ")</f>
        <v>27.10.2023</v>
      </c>
      <c r="J412" t="str">
        <v>06:50:29</v>
      </c>
      <c r="K412">
        <f t="shared" si="104"/>
        <v>6.8166666666666478</v>
      </c>
      <c r="L412">
        <f t="shared" si="97"/>
        <v>2.4400000000000013</v>
      </c>
      <c r="M412">
        <f t="shared" si="98"/>
        <v>0.15</v>
      </c>
      <c r="N412">
        <f t="shared" si="92"/>
        <v>0.35749999999999998</v>
      </c>
      <c r="Q412" t="str" cm="1">
        <f t="array" ref="Q412:R412">_xlfn.TEXTSPLIT(E412," ")</f>
        <v>27.10.2023</v>
      </c>
      <c r="R412" t="str">
        <v>06:50:29</v>
      </c>
      <c r="S412">
        <f t="shared" si="105"/>
        <v>6.8166666666666478</v>
      </c>
      <c r="T412">
        <f t="shared" si="96"/>
        <v>4.0500000000000114</v>
      </c>
      <c r="U412">
        <f t="shared" si="99"/>
        <v>0.45</v>
      </c>
      <c r="V412">
        <f t="shared" si="93"/>
        <v>0.57250000000000001</v>
      </c>
      <c r="AC412" t="s">
        <v>1341</v>
      </c>
      <c r="AD412">
        <v>0.3</v>
      </c>
      <c r="AE412">
        <v>6.01</v>
      </c>
      <c r="AG412" t="str" cm="1">
        <f t="array" ref="AG412:AH412">_xlfn.TEXTSPLIT(AC413," ")</f>
        <v>26.10.2023</v>
      </c>
      <c r="AH412" t="str">
        <v>06:51:30</v>
      </c>
      <c r="AI412">
        <f t="shared" si="106"/>
        <v>6.8166666666666478</v>
      </c>
      <c r="AJ412">
        <f t="shared" si="100"/>
        <v>1.4799999999999995</v>
      </c>
      <c r="AK412">
        <f t="shared" si="101"/>
        <v>0.3</v>
      </c>
      <c r="AL412">
        <f t="shared" si="94"/>
        <v>0.2975000000000001</v>
      </c>
      <c r="AN412" t="s">
        <v>1341</v>
      </c>
      <c r="AO412">
        <v>0.15</v>
      </c>
      <c r="AP412">
        <v>66.44</v>
      </c>
      <c r="AR412" t="str" cm="1">
        <f t="array" ref="AR412:AS412">_xlfn.TEXTSPLIT(AN412," ")</f>
        <v>26.10.2023</v>
      </c>
      <c r="AS412" t="str">
        <v>06:50:29</v>
      </c>
      <c r="AT412">
        <f t="shared" si="107"/>
        <v>6.8166666666666478</v>
      </c>
      <c r="AU412">
        <f t="shared" si="102"/>
        <v>5.1299999999999955</v>
      </c>
      <c r="AV412">
        <f t="shared" si="103"/>
        <v>0.15</v>
      </c>
      <c r="AW412">
        <f t="shared" si="95"/>
        <v>0.65250000000000041</v>
      </c>
    </row>
    <row r="413" spans="1:49" x14ac:dyDescent="0.25">
      <c r="A413" t="s">
        <v>1342</v>
      </c>
      <c r="B413">
        <v>0.15</v>
      </c>
      <c r="C413">
        <v>16.760000000000002</v>
      </c>
      <c r="E413" t="s">
        <v>1342</v>
      </c>
      <c r="F413">
        <v>0.6</v>
      </c>
      <c r="G413">
        <v>82.65</v>
      </c>
      <c r="I413" t="str" cm="1">
        <f t="array" ref="I413:J413">_xlfn.TEXTSPLIT(A413," ")</f>
        <v>27.10.2023</v>
      </c>
      <c r="J413" t="str">
        <v>06:51:29</v>
      </c>
      <c r="K413">
        <f t="shared" si="104"/>
        <v>6.8333333333333144</v>
      </c>
      <c r="L413">
        <f t="shared" si="97"/>
        <v>2.4400000000000013</v>
      </c>
      <c r="M413">
        <f t="shared" si="98"/>
        <v>0.15</v>
      </c>
      <c r="N413">
        <f t="shared" si="92"/>
        <v>0.35500000000000004</v>
      </c>
      <c r="Q413" t="str" cm="1">
        <f t="array" ref="Q413:R413">_xlfn.TEXTSPLIT(E413," ")</f>
        <v>27.10.2023</v>
      </c>
      <c r="R413" t="str">
        <v>06:51:29</v>
      </c>
      <c r="S413">
        <f t="shared" si="105"/>
        <v>6.8333333333333144</v>
      </c>
      <c r="T413">
        <f t="shared" si="96"/>
        <v>4.0500000000000114</v>
      </c>
      <c r="U413">
        <f t="shared" si="99"/>
        <v>0.6</v>
      </c>
      <c r="V413">
        <f t="shared" si="93"/>
        <v>0.57250000000000001</v>
      </c>
      <c r="AC413" t="s">
        <v>1343</v>
      </c>
      <c r="AD413">
        <v>0.15</v>
      </c>
      <c r="AE413">
        <v>6.02</v>
      </c>
      <c r="AG413" t="str" cm="1">
        <f t="array" ref="AG413:AH413">_xlfn.TEXTSPLIT(AC414," ")</f>
        <v>26.10.2023</v>
      </c>
      <c r="AH413" t="str">
        <v>06:52:30</v>
      </c>
      <c r="AI413">
        <f t="shared" si="106"/>
        <v>6.8333333333333144</v>
      </c>
      <c r="AJ413">
        <f t="shared" si="100"/>
        <v>1.4899999999999993</v>
      </c>
      <c r="AK413">
        <f t="shared" si="101"/>
        <v>0.15</v>
      </c>
      <c r="AL413">
        <f t="shared" si="94"/>
        <v>0.29500000000000004</v>
      </c>
      <c r="AN413" t="s">
        <v>1343</v>
      </c>
      <c r="AO413">
        <v>0.45</v>
      </c>
      <c r="AP413">
        <v>66.45</v>
      </c>
      <c r="AR413" t="str" cm="1">
        <f t="array" ref="AR413:AS413">_xlfn.TEXTSPLIT(AN413," ")</f>
        <v>26.10.2023</v>
      </c>
      <c r="AS413" t="str">
        <v>06:51:30</v>
      </c>
      <c r="AT413">
        <f t="shared" si="107"/>
        <v>6.8333333333333144</v>
      </c>
      <c r="AU413">
        <f t="shared" si="102"/>
        <v>5.1400000000000006</v>
      </c>
      <c r="AV413">
        <f t="shared" si="103"/>
        <v>0.45</v>
      </c>
      <c r="AW413">
        <f t="shared" si="95"/>
        <v>0.64750000000000041</v>
      </c>
    </row>
    <row r="414" spans="1:49" x14ac:dyDescent="0.25">
      <c r="A414" t="s">
        <v>1344</v>
      </c>
      <c r="B414">
        <v>0.3</v>
      </c>
      <c r="C414">
        <v>16.760000000000002</v>
      </c>
      <c r="E414" t="s">
        <v>1344</v>
      </c>
      <c r="F414">
        <v>0</v>
      </c>
      <c r="G414">
        <v>82.65</v>
      </c>
      <c r="I414" t="str" cm="1">
        <f t="array" ref="I414:J414">_xlfn.TEXTSPLIT(A414," ")</f>
        <v>27.10.2023</v>
      </c>
      <c r="J414" t="str">
        <v>06:52:29</v>
      </c>
      <c r="K414">
        <f t="shared" si="104"/>
        <v>6.849999999999981</v>
      </c>
      <c r="L414">
        <f t="shared" si="97"/>
        <v>2.4400000000000013</v>
      </c>
      <c r="M414">
        <f t="shared" si="98"/>
        <v>0.3</v>
      </c>
      <c r="N414">
        <f t="shared" si="92"/>
        <v>0.35249999999999998</v>
      </c>
      <c r="Q414" t="str" cm="1">
        <f t="array" ref="Q414:R414">_xlfn.TEXTSPLIT(E414," ")</f>
        <v>27.10.2023</v>
      </c>
      <c r="R414" t="str">
        <v>06:52:29</v>
      </c>
      <c r="S414">
        <f t="shared" si="105"/>
        <v>6.849999999999981</v>
      </c>
      <c r="T414">
        <f t="shared" si="96"/>
        <v>4.0500000000000114</v>
      </c>
      <c r="U414">
        <f t="shared" si="99"/>
        <v>0</v>
      </c>
      <c r="V414">
        <f t="shared" si="93"/>
        <v>0.57250000000000001</v>
      </c>
      <c r="AC414" t="s">
        <v>1345</v>
      </c>
      <c r="AD414">
        <v>0.3</v>
      </c>
      <c r="AE414">
        <v>6.03</v>
      </c>
      <c r="AG414" t="str" cm="1">
        <f t="array" ref="AG414:AH414">_xlfn.TEXTSPLIT(AC415," ")</f>
        <v>26.10.2023</v>
      </c>
      <c r="AH414" t="str">
        <v>06:53:30</v>
      </c>
      <c r="AI414">
        <f t="shared" si="106"/>
        <v>6.849999999999981</v>
      </c>
      <c r="AJ414">
        <f t="shared" si="100"/>
        <v>1.5</v>
      </c>
      <c r="AK414">
        <f t="shared" si="101"/>
        <v>0.3</v>
      </c>
      <c r="AL414">
        <f t="shared" si="94"/>
        <v>0.30000000000000004</v>
      </c>
      <c r="AN414" t="s">
        <v>1345</v>
      </c>
      <c r="AO414">
        <v>0.3</v>
      </c>
      <c r="AP414">
        <v>66.45</v>
      </c>
      <c r="AR414" t="str" cm="1">
        <f t="array" ref="AR414:AS414">_xlfn.TEXTSPLIT(AN414," ")</f>
        <v>26.10.2023</v>
      </c>
      <c r="AS414" t="str">
        <v>06:52:30</v>
      </c>
      <c r="AT414">
        <f t="shared" si="107"/>
        <v>6.849999999999981</v>
      </c>
      <c r="AU414">
        <f t="shared" si="102"/>
        <v>5.1400000000000006</v>
      </c>
      <c r="AV414">
        <f t="shared" si="103"/>
        <v>0.3</v>
      </c>
      <c r="AW414">
        <f t="shared" si="95"/>
        <v>0.6475000000000003</v>
      </c>
    </row>
    <row r="415" spans="1:49" x14ac:dyDescent="0.25">
      <c r="A415" t="s">
        <v>1346</v>
      </c>
      <c r="B415">
        <v>0</v>
      </c>
      <c r="C415">
        <v>16.760000000000002</v>
      </c>
      <c r="E415" t="s">
        <v>1346</v>
      </c>
      <c r="F415">
        <v>0.15</v>
      </c>
      <c r="G415">
        <v>82.65</v>
      </c>
      <c r="I415" t="str" cm="1">
        <f t="array" ref="I415:J415">_xlfn.TEXTSPLIT(A415," ")</f>
        <v>27.10.2023</v>
      </c>
      <c r="J415" t="str">
        <v>06:53:29</v>
      </c>
      <c r="K415">
        <f t="shared" si="104"/>
        <v>6.8666666666666476</v>
      </c>
      <c r="L415">
        <f t="shared" si="97"/>
        <v>2.4400000000000013</v>
      </c>
      <c r="M415">
        <f t="shared" si="98"/>
        <v>0</v>
      </c>
      <c r="N415">
        <f t="shared" si="92"/>
        <v>0.35249999999999998</v>
      </c>
      <c r="Q415" t="str" cm="1">
        <f t="array" ref="Q415:R415">_xlfn.TEXTSPLIT(E415," ")</f>
        <v>27.10.2023</v>
      </c>
      <c r="R415" t="str">
        <v>06:53:29</v>
      </c>
      <c r="S415">
        <f t="shared" si="105"/>
        <v>6.8666666666666476</v>
      </c>
      <c r="T415">
        <f t="shared" si="96"/>
        <v>4.0500000000000114</v>
      </c>
      <c r="U415">
        <f t="shared" si="99"/>
        <v>0.15</v>
      </c>
      <c r="V415">
        <f t="shared" si="93"/>
        <v>0.57250000000000001</v>
      </c>
      <c r="AC415" t="s">
        <v>1347</v>
      </c>
      <c r="AD415">
        <v>0.3</v>
      </c>
      <c r="AE415">
        <v>6.03</v>
      </c>
      <c r="AG415" t="str" cm="1">
        <f t="array" ref="AG415:AH415">_xlfn.TEXTSPLIT(AC416," ")</f>
        <v>26.10.2023</v>
      </c>
      <c r="AH415" t="str">
        <v>06:54:30</v>
      </c>
      <c r="AI415">
        <f t="shared" si="106"/>
        <v>6.8666666666666476</v>
      </c>
      <c r="AJ415">
        <f t="shared" si="100"/>
        <v>1.5</v>
      </c>
      <c r="AK415">
        <f t="shared" si="101"/>
        <v>0.3</v>
      </c>
      <c r="AL415">
        <f t="shared" si="94"/>
        <v>0.29750000000000004</v>
      </c>
      <c r="AN415" t="s">
        <v>1347</v>
      </c>
      <c r="AO415">
        <v>0</v>
      </c>
      <c r="AP415">
        <v>66.45</v>
      </c>
      <c r="AR415" t="str" cm="1">
        <f t="array" ref="AR415:AS415">_xlfn.TEXTSPLIT(AN415," ")</f>
        <v>26.10.2023</v>
      </c>
      <c r="AS415" t="str">
        <v>06:53:30</v>
      </c>
      <c r="AT415">
        <f t="shared" si="107"/>
        <v>6.8666666666666476</v>
      </c>
      <c r="AU415">
        <f t="shared" si="102"/>
        <v>5.1400000000000006</v>
      </c>
      <c r="AV415">
        <f t="shared" si="103"/>
        <v>0</v>
      </c>
      <c r="AW415">
        <f t="shared" si="95"/>
        <v>0.6475000000000003</v>
      </c>
    </row>
    <row r="416" spans="1:49" x14ac:dyDescent="0.25">
      <c r="A416" t="s">
        <v>1348</v>
      </c>
      <c r="B416">
        <v>0</v>
      </c>
      <c r="C416">
        <v>16.760000000000002</v>
      </c>
      <c r="E416" t="s">
        <v>1348</v>
      </c>
      <c r="F416">
        <v>0</v>
      </c>
      <c r="G416">
        <v>82.65</v>
      </c>
      <c r="I416" t="str" cm="1">
        <f t="array" ref="I416:J416">_xlfn.TEXTSPLIT(A416," ")</f>
        <v>27.10.2023</v>
      </c>
      <c r="J416" t="str">
        <v>06:54:29</v>
      </c>
      <c r="K416">
        <f t="shared" si="104"/>
        <v>6.8833333333333142</v>
      </c>
      <c r="L416">
        <f t="shared" si="97"/>
        <v>2.4400000000000013</v>
      </c>
      <c r="M416">
        <f t="shared" si="98"/>
        <v>0</v>
      </c>
      <c r="N416">
        <f t="shared" si="92"/>
        <v>0.35249999999999998</v>
      </c>
      <c r="Q416" t="str" cm="1">
        <f t="array" ref="Q416:R416">_xlfn.TEXTSPLIT(E416," ")</f>
        <v>27.10.2023</v>
      </c>
      <c r="R416" t="str">
        <v>06:54:29</v>
      </c>
      <c r="S416">
        <f t="shared" si="105"/>
        <v>6.8833333333333142</v>
      </c>
      <c r="T416">
        <f t="shared" si="96"/>
        <v>4.0500000000000114</v>
      </c>
      <c r="U416">
        <f t="shared" si="99"/>
        <v>0</v>
      </c>
      <c r="V416">
        <f t="shared" si="93"/>
        <v>0.57250000000000001</v>
      </c>
      <c r="AC416" t="s">
        <v>1349</v>
      </c>
      <c r="AD416">
        <v>0</v>
      </c>
      <c r="AE416">
        <v>6.03</v>
      </c>
      <c r="AG416" t="str" cm="1">
        <f t="array" ref="AG416:AH416">_xlfn.TEXTSPLIT(AC417," ")</f>
        <v>26.10.2023</v>
      </c>
      <c r="AH416" t="str">
        <v>06:55:30</v>
      </c>
      <c r="AI416">
        <f t="shared" si="106"/>
        <v>6.8833333333333142</v>
      </c>
      <c r="AJ416">
        <f t="shared" si="100"/>
        <v>1.5</v>
      </c>
      <c r="AK416">
        <f t="shared" si="101"/>
        <v>0</v>
      </c>
      <c r="AL416">
        <f t="shared" si="94"/>
        <v>0.29750000000000004</v>
      </c>
      <c r="AN416" t="s">
        <v>1349</v>
      </c>
      <c r="AO416">
        <v>0</v>
      </c>
      <c r="AP416">
        <v>66.45</v>
      </c>
      <c r="AR416" t="str" cm="1">
        <f t="array" ref="AR416:AS416">_xlfn.TEXTSPLIT(AN416," ")</f>
        <v>26.10.2023</v>
      </c>
      <c r="AS416" t="str">
        <v>06:54:30</v>
      </c>
      <c r="AT416">
        <f t="shared" si="107"/>
        <v>6.8833333333333142</v>
      </c>
      <c r="AU416">
        <f t="shared" si="102"/>
        <v>5.1400000000000006</v>
      </c>
      <c r="AV416">
        <f t="shared" si="103"/>
        <v>0</v>
      </c>
      <c r="AW416">
        <f t="shared" si="95"/>
        <v>0.6475000000000003</v>
      </c>
    </row>
    <row r="417" spans="1:49" x14ac:dyDescent="0.25">
      <c r="A417" t="s">
        <v>1350</v>
      </c>
      <c r="B417">
        <v>0</v>
      </c>
      <c r="C417">
        <v>16.760000000000002</v>
      </c>
      <c r="E417" t="s">
        <v>1350</v>
      </c>
      <c r="F417">
        <v>0</v>
      </c>
      <c r="G417">
        <v>82.66</v>
      </c>
      <c r="I417" t="str" cm="1">
        <f t="array" ref="I417:J417">_xlfn.TEXTSPLIT(A417," ")</f>
        <v>27.10.2023</v>
      </c>
      <c r="J417" t="str">
        <v>06:55:30</v>
      </c>
      <c r="K417">
        <f t="shared" si="104"/>
        <v>6.8999999999999808</v>
      </c>
      <c r="L417">
        <f t="shared" si="97"/>
        <v>2.4400000000000013</v>
      </c>
      <c r="M417">
        <f t="shared" si="98"/>
        <v>0</v>
      </c>
      <c r="N417">
        <f t="shared" si="92"/>
        <v>0.35249999999999998</v>
      </c>
      <c r="Q417" t="str" cm="1">
        <f t="array" ref="Q417:R417">_xlfn.TEXTSPLIT(E417," ")</f>
        <v>27.10.2023</v>
      </c>
      <c r="R417" t="str">
        <v>06:55:30</v>
      </c>
      <c r="S417">
        <f t="shared" si="105"/>
        <v>6.8999999999999808</v>
      </c>
      <c r="T417">
        <f t="shared" si="96"/>
        <v>4.0600000000000023</v>
      </c>
      <c r="U417">
        <f t="shared" si="99"/>
        <v>0</v>
      </c>
      <c r="V417">
        <f t="shared" si="93"/>
        <v>0.57250000000000001</v>
      </c>
      <c r="AC417" t="s">
        <v>1351</v>
      </c>
      <c r="AD417">
        <v>0</v>
      </c>
      <c r="AE417">
        <v>6.03</v>
      </c>
      <c r="AG417" t="str" cm="1">
        <f t="array" ref="AG417:AH417">_xlfn.TEXTSPLIT(AC418," ")</f>
        <v>26.10.2023</v>
      </c>
      <c r="AH417" t="str">
        <v>06:56:30</v>
      </c>
      <c r="AI417">
        <f t="shared" si="106"/>
        <v>6.8999999999999808</v>
      </c>
      <c r="AJ417">
        <f t="shared" si="100"/>
        <v>1.5</v>
      </c>
      <c r="AK417">
        <f t="shared" si="101"/>
        <v>0</v>
      </c>
      <c r="AL417">
        <f t="shared" si="94"/>
        <v>0.29750000000000004</v>
      </c>
      <c r="AN417" t="s">
        <v>1351</v>
      </c>
      <c r="AO417">
        <v>0</v>
      </c>
      <c r="AP417">
        <v>66.45</v>
      </c>
      <c r="AR417" t="str" cm="1">
        <f t="array" ref="AR417:AS417">_xlfn.TEXTSPLIT(AN417," ")</f>
        <v>26.10.2023</v>
      </c>
      <c r="AS417" t="str">
        <v>06:55:30</v>
      </c>
      <c r="AT417">
        <f t="shared" si="107"/>
        <v>6.8999999999999808</v>
      </c>
      <c r="AU417">
        <f t="shared" si="102"/>
        <v>5.1400000000000006</v>
      </c>
      <c r="AV417">
        <f t="shared" si="103"/>
        <v>0</v>
      </c>
      <c r="AW417">
        <f t="shared" si="95"/>
        <v>0.6475000000000003</v>
      </c>
    </row>
    <row r="418" spans="1:49" x14ac:dyDescent="0.25">
      <c r="A418" t="s">
        <v>1352</v>
      </c>
      <c r="B418">
        <v>0</v>
      </c>
      <c r="C418">
        <v>16.760000000000002</v>
      </c>
      <c r="E418" t="s">
        <v>1352</v>
      </c>
      <c r="F418">
        <v>0.15</v>
      </c>
      <c r="G418">
        <v>82.66</v>
      </c>
      <c r="I418" t="str" cm="1">
        <f t="array" ref="I418:J418">_xlfn.TEXTSPLIT(A418," ")</f>
        <v>27.10.2023</v>
      </c>
      <c r="J418" t="str">
        <v>06:56:30</v>
      </c>
      <c r="K418">
        <f t="shared" si="104"/>
        <v>6.9166666666666474</v>
      </c>
      <c r="L418">
        <f t="shared" si="97"/>
        <v>2.4400000000000013</v>
      </c>
      <c r="M418">
        <f t="shared" si="98"/>
        <v>0</v>
      </c>
      <c r="N418">
        <f t="shared" si="92"/>
        <v>0.35249999999999998</v>
      </c>
      <c r="Q418" t="str" cm="1">
        <f t="array" ref="Q418:R418">_xlfn.TEXTSPLIT(E418," ")</f>
        <v>27.10.2023</v>
      </c>
      <c r="R418" t="str">
        <v>06:56:30</v>
      </c>
      <c r="S418">
        <f t="shared" si="105"/>
        <v>6.9166666666666474</v>
      </c>
      <c r="T418">
        <f t="shared" si="96"/>
        <v>4.0600000000000023</v>
      </c>
      <c r="U418">
        <f t="shared" si="99"/>
        <v>0.15</v>
      </c>
      <c r="V418">
        <f t="shared" si="93"/>
        <v>0.5724999999999999</v>
      </c>
      <c r="AC418" t="s">
        <v>1353</v>
      </c>
      <c r="AD418">
        <v>0</v>
      </c>
      <c r="AE418">
        <v>6.03</v>
      </c>
      <c r="AG418" t="str" cm="1">
        <f t="array" ref="AG418:AH418">_xlfn.TEXTSPLIT(AC419," ")</f>
        <v>26.10.2023</v>
      </c>
      <c r="AH418" t="str">
        <v>06:57:30</v>
      </c>
      <c r="AI418">
        <f t="shared" si="106"/>
        <v>6.9166666666666474</v>
      </c>
      <c r="AJ418">
        <f t="shared" si="100"/>
        <v>1.5</v>
      </c>
      <c r="AK418">
        <f t="shared" si="101"/>
        <v>0</v>
      </c>
      <c r="AL418">
        <f t="shared" si="94"/>
        <v>0.29750000000000004</v>
      </c>
      <c r="AN418" t="s">
        <v>1353</v>
      </c>
      <c r="AO418">
        <v>0</v>
      </c>
      <c r="AP418">
        <v>66.45</v>
      </c>
      <c r="AR418" t="str" cm="1">
        <f t="array" ref="AR418:AS418">_xlfn.TEXTSPLIT(AN418," ")</f>
        <v>26.10.2023</v>
      </c>
      <c r="AS418" t="str">
        <v>06:56:30</v>
      </c>
      <c r="AT418">
        <f t="shared" si="107"/>
        <v>6.9166666666666474</v>
      </c>
      <c r="AU418">
        <f t="shared" si="102"/>
        <v>5.1400000000000006</v>
      </c>
      <c r="AV418">
        <f t="shared" si="103"/>
        <v>0</v>
      </c>
      <c r="AW418">
        <f t="shared" si="95"/>
        <v>0.6475000000000003</v>
      </c>
    </row>
    <row r="419" spans="1:49" x14ac:dyDescent="0.25">
      <c r="A419" t="s">
        <v>1354</v>
      </c>
      <c r="B419">
        <v>0</v>
      </c>
      <c r="C419">
        <v>16.760000000000002</v>
      </c>
      <c r="E419" t="s">
        <v>1354</v>
      </c>
      <c r="F419">
        <v>0.15</v>
      </c>
      <c r="G419">
        <v>82.66</v>
      </c>
      <c r="I419" t="str" cm="1">
        <f t="array" ref="I419:J419">_xlfn.TEXTSPLIT(A419," ")</f>
        <v>27.10.2023</v>
      </c>
      <c r="J419" t="str">
        <v>06:57:30</v>
      </c>
      <c r="K419">
        <f t="shared" si="104"/>
        <v>6.933333333333314</v>
      </c>
      <c r="L419">
        <f t="shared" si="97"/>
        <v>2.4400000000000013</v>
      </c>
      <c r="M419">
        <f t="shared" si="98"/>
        <v>0</v>
      </c>
      <c r="N419">
        <f t="shared" si="92"/>
        <v>0.35249999999999998</v>
      </c>
      <c r="Q419" t="str" cm="1">
        <f t="array" ref="Q419:R419">_xlfn.TEXTSPLIT(E419," ")</f>
        <v>27.10.2023</v>
      </c>
      <c r="R419" t="str">
        <v>06:57:30</v>
      </c>
      <c r="S419">
        <f t="shared" si="105"/>
        <v>6.933333333333314</v>
      </c>
      <c r="T419">
        <f t="shared" si="96"/>
        <v>4.0600000000000023</v>
      </c>
      <c r="U419">
        <f t="shared" si="99"/>
        <v>0.15</v>
      </c>
      <c r="V419">
        <f t="shared" si="93"/>
        <v>0.57499999999999984</v>
      </c>
      <c r="AC419" t="s">
        <v>1355</v>
      </c>
      <c r="AD419">
        <v>0</v>
      </c>
      <c r="AE419">
        <v>6.03</v>
      </c>
      <c r="AG419" t="str" cm="1">
        <f t="array" ref="AG419:AH419">_xlfn.TEXTSPLIT(AC420," ")</f>
        <v>26.10.2023</v>
      </c>
      <c r="AH419" t="str">
        <v>06:58:30</v>
      </c>
      <c r="AI419">
        <f t="shared" si="106"/>
        <v>6.933333333333314</v>
      </c>
      <c r="AJ419">
        <f t="shared" si="100"/>
        <v>1.5</v>
      </c>
      <c r="AK419">
        <f t="shared" si="101"/>
        <v>0</v>
      </c>
      <c r="AL419">
        <f t="shared" si="94"/>
        <v>0.29750000000000004</v>
      </c>
      <c r="AN419" t="s">
        <v>1355</v>
      </c>
      <c r="AO419">
        <v>0</v>
      </c>
      <c r="AP419">
        <v>66.459999999999994</v>
      </c>
      <c r="AR419" t="str" cm="1">
        <f t="array" ref="AR419:AS419">_xlfn.TEXTSPLIT(AN419," ")</f>
        <v>26.10.2023</v>
      </c>
      <c r="AS419" t="str">
        <v>06:57:30</v>
      </c>
      <c r="AT419">
        <f t="shared" si="107"/>
        <v>6.933333333333314</v>
      </c>
      <c r="AU419">
        <f t="shared" si="102"/>
        <v>5.1499999999999915</v>
      </c>
      <c r="AV419">
        <f t="shared" si="103"/>
        <v>0</v>
      </c>
      <c r="AW419">
        <f t="shared" si="95"/>
        <v>0.64500000000000024</v>
      </c>
    </row>
    <row r="420" spans="1:49" x14ac:dyDescent="0.25">
      <c r="A420" t="s">
        <v>1356</v>
      </c>
      <c r="B420">
        <v>0</v>
      </c>
      <c r="C420">
        <v>16.760000000000002</v>
      </c>
      <c r="E420" t="s">
        <v>1356</v>
      </c>
      <c r="F420">
        <v>0</v>
      </c>
      <c r="G420">
        <v>82.66</v>
      </c>
      <c r="I420" t="str" cm="1">
        <f t="array" ref="I420:J420">_xlfn.TEXTSPLIT(A420," ")</f>
        <v>27.10.2023</v>
      </c>
      <c r="J420" t="str">
        <v>06:58:30</v>
      </c>
      <c r="K420">
        <f t="shared" si="104"/>
        <v>6.9499999999999806</v>
      </c>
      <c r="L420">
        <f t="shared" si="97"/>
        <v>2.4400000000000013</v>
      </c>
      <c r="M420">
        <f t="shared" si="98"/>
        <v>0</v>
      </c>
      <c r="N420">
        <f t="shared" si="92"/>
        <v>0.35249999999999998</v>
      </c>
      <c r="Q420" t="str" cm="1">
        <f t="array" ref="Q420:R420">_xlfn.TEXTSPLIT(E420," ")</f>
        <v>27.10.2023</v>
      </c>
      <c r="R420" t="str">
        <v>06:58:30</v>
      </c>
      <c r="S420">
        <f t="shared" si="105"/>
        <v>6.9499999999999806</v>
      </c>
      <c r="T420">
        <f t="shared" si="96"/>
        <v>4.0600000000000023</v>
      </c>
      <c r="U420">
        <f t="shared" si="99"/>
        <v>0</v>
      </c>
      <c r="V420">
        <f t="shared" si="93"/>
        <v>0.57499999999999984</v>
      </c>
      <c r="AC420" t="s">
        <v>1357</v>
      </c>
      <c r="AD420">
        <v>0</v>
      </c>
      <c r="AE420">
        <v>6.03</v>
      </c>
      <c r="AG420" t="str" cm="1">
        <f t="array" ref="AG420:AH420">_xlfn.TEXTSPLIT(AC421," ")</f>
        <v>26.10.2023</v>
      </c>
      <c r="AH420" t="str">
        <v>06:59:31</v>
      </c>
      <c r="AI420">
        <f t="shared" si="106"/>
        <v>6.9499999999999806</v>
      </c>
      <c r="AJ420">
        <f t="shared" si="100"/>
        <v>1.5</v>
      </c>
      <c r="AK420">
        <f t="shared" si="101"/>
        <v>0</v>
      </c>
      <c r="AL420">
        <f t="shared" si="94"/>
        <v>0.29750000000000004</v>
      </c>
      <c r="AN420" t="s">
        <v>1357</v>
      </c>
      <c r="AO420">
        <v>0.3</v>
      </c>
      <c r="AP420">
        <v>66.459999999999994</v>
      </c>
      <c r="AR420" t="str" cm="1">
        <f t="array" ref="AR420:AS420">_xlfn.TEXTSPLIT(AN420," ")</f>
        <v>26.10.2023</v>
      </c>
      <c r="AS420" t="str">
        <v>06:58:30</v>
      </c>
      <c r="AT420">
        <f t="shared" si="107"/>
        <v>6.9499999999999806</v>
      </c>
      <c r="AU420">
        <f t="shared" si="102"/>
        <v>5.1499999999999915</v>
      </c>
      <c r="AV420">
        <f t="shared" si="103"/>
        <v>0.3</v>
      </c>
      <c r="AW420">
        <f t="shared" si="95"/>
        <v>0.65000000000000024</v>
      </c>
    </row>
    <row r="421" spans="1:49" x14ac:dyDescent="0.25">
      <c r="A421" t="s">
        <v>1358</v>
      </c>
      <c r="B421">
        <v>0</v>
      </c>
      <c r="C421">
        <v>16.760000000000002</v>
      </c>
      <c r="E421" t="s">
        <v>1358</v>
      </c>
      <c r="F421">
        <v>0.15</v>
      </c>
      <c r="G421">
        <v>82.66</v>
      </c>
      <c r="I421" t="str" cm="1">
        <f t="array" ref="I421:J421">_xlfn.TEXTSPLIT(A421," ")</f>
        <v>27.10.2023</v>
      </c>
      <c r="J421" t="str">
        <v>06:59:30</v>
      </c>
      <c r="K421">
        <f t="shared" si="104"/>
        <v>6.9666666666666472</v>
      </c>
      <c r="L421">
        <f t="shared" si="97"/>
        <v>2.4400000000000013</v>
      </c>
      <c r="M421">
        <f t="shared" si="98"/>
        <v>0</v>
      </c>
      <c r="N421">
        <f t="shared" si="92"/>
        <v>0.35249999999999998</v>
      </c>
      <c r="Q421" t="str" cm="1">
        <f t="array" ref="Q421:R421">_xlfn.TEXTSPLIT(E421," ")</f>
        <v>27.10.2023</v>
      </c>
      <c r="R421" t="str">
        <v>06:59:30</v>
      </c>
      <c r="S421">
        <f t="shared" si="105"/>
        <v>6.9666666666666472</v>
      </c>
      <c r="T421">
        <f t="shared" si="96"/>
        <v>4.0600000000000023</v>
      </c>
      <c r="U421">
        <f t="shared" si="99"/>
        <v>0.15</v>
      </c>
      <c r="V421">
        <f t="shared" si="93"/>
        <v>0.5774999999999999</v>
      </c>
      <c r="AC421" t="s">
        <v>1359</v>
      </c>
      <c r="AD421">
        <v>0</v>
      </c>
      <c r="AE421">
        <v>6.03</v>
      </c>
      <c r="AG421" t="str" cm="1">
        <f t="array" ref="AG421:AH421">_xlfn.TEXTSPLIT(AC422," ")</f>
        <v>26.10.2023</v>
      </c>
      <c r="AH421" t="str">
        <v>07:00:31</v>
      </c>
      <c r="AI421">
        <f t="shared" si="106"/>
        <v>6.9666666666666472</v>
      </c>
      <c r="AJ421">
        <f t="shared" si="100"/>
        <v>1.5</v>
      </c>
      <c r="AK421">
        <f t="shared" si="101"/>
        <v>0</v>
      </c>
      <c r="AL421">
        <f t="shared" si="94"/>
        <v>0.29750000000000004</v>
      </c>
      <c r="AN421" t="s">
        <v>1359</v>
      </c>
      <c r="AO421">
        <v>0.15</v>
      </c>
      <c r="AP421">
        <v>66.459999999999994</v>
      </c>
      <c r="AR421" t="str" cm="1">
        <f t="array" ref="AR421:AS421">_xlfn.TEXTSPLIT(AN421," ")</f>
        <v>26.10.2023</v>
      </c>
      <c r="AS421" t="str">
        <v>06:59:31</v>
      </c>
      <c r="AT421">
        <f t="shared" si="107"/>
        <v>6.9666666666666472</v>
      </c>
      <c r="AU421">
        <f t="shared" si="102"/>
        <v>5.1499999999999915</v>
      </c>
      <c r="AV421">
        <f t="shared" si="103"/>
        <v>0.15</v>
      </c>
      <c r="AW421">
        <f t="shared" si="95"/>
        <v>0.6475000000000003</v>
      </c>
    </row>
    <row r="422" spans="1:49" x14ac:dyDescent="0.25">
      <c r="A422" t="s">
        <v>1360</v>
      </c>
      <c r="B422">
        <v>0</v>
      </c>
      <c r="C422">
        <v>16.760000000000002</v>
      </c>
      <c r="E422" t="s">
        <v>1360</v>
      </c>
      <c r="F422">
        <v>0.15</v>
      </c>
      <c r="G422">
        <v>82.67</v>
      </c>
      <c r="I422" t="str" cm="1">
        <f t="array" ref="I422:J422">_xlfn.TEXTSPLIT(A422," ")</f>
        <v>27.10.2023</v>
      </c>
      <c r="J422" t="str">
        <v>07:00:30</v>
      </c>
      <c r="K422">
        <f t="shared" si="104"/>
        <v>6.9833333333333139</v>
      </c>
      <c r="L422">
        <f t="shared" si="97"/>
        <v>2.4400000000000013</v>
      </c>
      <c r="M422">
        <f t="shared" si="98"/>
        <v>0</v>
      </c>
      <c r="N422">
        <f t="shared" si="92"/>
        <v>0.35249999999999998</v>
      </c>
      <c r="Q422" t="str" cm="1">
        <f t="array" ref="Q422:R422">_xlfn.TEXTSPLIT(E422," ")</f>
        <v>27.10.2023</v>
      </c>
      <c r="R422" t="str">
        <v>07:00:30</v>
      </c>
      <c r="S422">
        <f t="shared" si="105"/>
        <v>6.9833333333333139</v>
      </c>
      <c r="T422">
        <f t="shared" si="96"/>
        <v>4.0700000000000074</v>
      </c>
      <c r="U422">
        <f t="shared" si="99"/>
        <v>0.15</v>
      </c>
      <c r="V422">
        <f t="shared" si="93"/>
        <v>0.57499999999999996</v>
      </c>
      <c r="AC422" t="s">
        <v>1361</v>
      </c>
      <c r="AD422">
        <v>0</v>
      </c>
      <c r="AE422">
        <v>6.03</v>
      </c>
      <c r="AG422" t="str" cm="1">
        <f t="array" ref="AG422:AH422">_xlfn.TEXTSPLIT(AC423," ")</f>
        <v>26.10.2023</v>
      </c>
      <c r="AH422" t="str">
        <v>07:01:31</v>
      </c>
      <c r="AI422">
        <f t="shared" si="106"/>
        <v>6.9833333333333139</v>
      </c>
      <c r="AJ422">
        <f t="shared" si="100"/>
        <v>1.5</v>
      </c>
      <c r="AK422">
        <f t="shared" si="101"/>
        <v>0</v>
      </c>
      <c r="AL422">
        <f t="shared" si="94"/>
        <v>0.29750000000000004</v>
      </c>
      <c r="AN422" t="s">
        <v>1361</v>
      </c>
      <c r="AO422">
        <v>0.3</v>
      </c>
      <c r="AP422">
        <v>66.47</v>
      </c>
      <c r="AR422" t="str" cm="1">
        <f t="array" ref="AR422:AS422">_xlfn.TEXTSPLIT(AN422," ")</f>
        <v>26.10.2023</v>
      </c>
      <c r="AS422" t="str">
        <v>07:00:31</v>
      </c>
      <c r="AT422">
        <f t="shared" si="107"/>
        <v>6.9833333333333139</v>
      </c>
      <c r="AU422">
        <f t="shared" si="102"/>
        <v>5.1599999999999966</v>
      </c>
      <c r="AV422">
        <f t="shared" si="103"/>
        <v>0.3</v>
      </c>
      <c r="AW422">
        <f t="shared" si="95"/>
        <v>0.64750000000000019</v>
      </c>
    </row>
    <row r="423" spans="1:49" x14ac:dyDescent="0.25">
      <c r="A423" t="s">
        <v>1362</v>
      </c>
      <c r="B423">
        <v>0</v>
      </c>
      <c r="C423">
        <v>16.760000000000002</v>
      </c>
      <c r="E423" t="s">
        <v>1362</v>
      </c>
      <c r="F423">
        <v>0.3</v>
      </c>
      <c r="G423">
        <v>82.67</v>
      </c>
      <c r="I423" t="str" cm="1">
        <f t="array" ref="I423:J423">_xlfn.TEXTSPLIT(A423," ")</f>
        <v>27.10.2023</v>
      </c>
      <c r="J423" t="str">
        <v>07:01:30</v>
      </c>
      <c r="K423">
        <f t="shared" si="104"/>
        <v>6.9999999999999805</v>
      </c>
      <c r="L423">
        <f t="shared" si="97"/>
        <v>2.4400000000000013</v>
      </c>
      <c r="M423">
        <f t="shared" si="98"/>
        <v>0</v>
      </c>
      <c r="N423">
        <f t="shared" si="92"/>
        <v>0.35249999999999998</v>
      </c>
      <c r="Q423" t="str" cm="1">
        <f t="array" ref="Q423:R423">_xlfn.TEXTSPLIT(E423," ")</f>
        <v>27.10.2023</v>
      </c>
      <c r="R423" t="str">
        <v>07:01:30</v>
      </c>
      <c r="S423">
        <f t="shared" si="105"/>
        <v>6.9999999999999805</v>
      </c>
      <c r="T423">
        <f t="shared" si="96"/>
        <v>4.0700000000000074</v>
      </c>
      <c r="U423">
        <f t="shared" si="99"/>
        <v>0.3</v>
      </c>
      <c r="V423">
        <f t="shared" si="93"/>
        <v>0.5774999999999999</v>
      </c>
      <c r="AC423" t="s">
        <v>1363</v>
      </c>
      <c r="AD423">
        <v>0</v>
      </c>
      <c r="AE423">
        <v>6.03</v>
      </c>
      <c r="AG423" t="str" cm="1">
        <f t="array" ref="AG423:AH423">_xlfn.TEXTSPLIT(AC424," ")</f>
        <v>26.10.2023</v>
      </c>
      <c r="AH423" t="str">
        <v>07:02:31</v>
      </c>
      <c r="AI423">
        <f t="shared" si="106"/>
        <v>6.9999999999999805</v>
      </c>
      <c r="AJ423">
        <f t="shared" si="100"/>
        <v>1.5</v>
      </c>
      <c r="AK423">
        <f t="shared" si="101"/>
        <v>0</v>
      </c>
      <c r="AL423">
        <f t="shared" si="94"/>
        <v>0.29750000000000004</v>
      </c>
      <c r="AN423" t="s">
        <v>1363</v>
      </c>
      <c r="AO423">
        <v>0.45</v>
      </c>
      <c r="AP423">
        <v>66.47</v>
      </c>
      <c r="AR423" t="str" cm="1">
        <f t="array" ref="AR423:AS423">_xlfn.TEXTSPLIT(AN423," ")</f>
        <v>26.10.2023</v>
      </c>
      <c r="AS423" t="str">
        <v>07:01:31</v>
      </c>
      <c r="AT423">
        <f t="shared" si="107"/>
        <v>6.9999999999999805</v>
      </c>
      <c r="AU423">
        <f t="shared" si="102"/>
        <v>5.1599999999999966</v>
      </c>
      <c r="AV423">
        <f t="shared" si="103"/>
        <v>0.45</v>
      </c>
      <c r="AW423">
        <f t="shared" si="95"/>
        <v>0.65250000000000008</v>
      </c>
    </row>
    <row r="424" spans="1:49" x14ac:dyDescent="0.25">
      <c r="A424" t="s">
        <v>1364</v>
      </c>
      <c r="B424">
        <v>0</v>
      </c>
      <c r="C424">
        <v>16.760000000000002</v>
      </c>
      <c r="E424" t="s">
        <v>1364</v>
      </c>
      <c r="F424">
        <v>0.45</v>
      </c>
      <c r="G424">
        <v>82.68</v>
      </c>
      <c r="I424" t="str" cm="1">
        <f t="array" ref="I424:J424">_xlfn.TEXTSPLIT(A424," ")</f>
        <v>27.10.2023</v>
      </c>
      <c r="J424" t="str">
        <v>07:02:31</v>
      </c>
      <c r="K424">
        <f t="shared" si="104"/>
        <v>7.0166666666666471</v>
      </c>
      <c r="L424">
        <f t="shared" si="97"/>
        <v>2.4400000000000013</v>
      </c>
      <c r="M424">
        <f t="shared" si="98"/>
        <v>0</v>
      </c>
      <c r="N424">
        <f t="shared" si="92"/>
        <v>0.35249999999999998</v>
      </c>
      <c r="Q424" t="str" cm="1">
        <f t="array" ref="Q424:R424">_xlfn.TEXTSPLIT(E424," ")</f>
        <v>27.10.2023</v>
      </c>
      <c r="R424" t="str">
        <v>07:02:31</v>
      </c>
      <c r="S424">
        <f t="shared" si="105"/>
        <v>7.0166666666666471</v>
      </c>
      <c r="T424">
        <f t="shared" si="96"/>
        <v>4.0800000000000125</v>
      </c>
      <c r="U424">
        <f t="shared" si="99"/>
        <v>0.45</v>
      </c>
      <c r="V424">
        <f t="shared" si="93"/>
        <v>0.58249999999999991</v>
      </c>
      <c r="AC424" t="s">
        <v>1365</v>
      </c>
      <c r="AD424">
        <v>0</v>
      </c>
      <c r="AE424">
        <v>6.03</v>
      </c>
      <c r="AG424" t="str" cm="1">
        <f t="array" ref="AG424:AH424">_xlfn.TEXTSPLIT(AC425," ")</f>
        <v>26.10.2023</v>
      </c>
      <c r="AH424" t="str">
        <v>07:03:31</v>
      </c>
      <c r="AI424">
        <f t="shared" si="106"/>
        <v>7.0166666666666471</v>
      </c>
      <c r="AJ424">
        <f t="shared" si="100"/>
        <v>1.5</v>
      </c>
      <c r="AK424">
        <f t="shared" si="101"/>
        <v>0</v>
      </c>
      <c r="AL424">
        <f t="shared" si="94"/>
        <v>0.29750000000000004</v>
      </c>
      <c r="AN424" t="s">
        <v>1365</v>
      </c>
      <c r="AO424">
        <v>0.6</v>
      </c>
      <c r="AP424">
        <v>66.489999999999995</v>
      </c>
      <c r="AR424" t="str" cm="1">
        <f t="array" ref="AR424:AS424">_xlfn.TEXTSPLIT(AN424," ")</f>
        <v>26.10.2023</v>
      </c>
      <c r="AS424" t="str">
        <v>07:02:31</v>
      </c>
      <c r="AT424">
        <f t="shared" si="107"/>
        <v>7.0166666666666471</v>
      </c>
      <c r="AU424">
        <f t="shared" si="102"/>
        <v>5.1799999999999926</v>
      </c>
      <c r="AV424">
        <f t="shared" si="103"/>
        <v>0.6</v>
      </c>
      <c r="AW424">
        <f t="shared" si="95"/>
        <v>0.65500000000000014</v>
      </c>
    </row>
    <row r="425" spans="1:49" x14ac:dyDescent="0.25">
      <c r="A425" t="s">
        <v>1366</v>
      </c>
      <c r="B425">
        <v>0</v>
      </c>
      <c r="C425">
        <v>16.760000000000002</v>
      </c>
      <c r="E425" t="s">
        <v>1366</v>
      </c>
      <c r="F425">
        <v>0.3</v>
      </c>
      <c r="G425">
        <v>82.69</v>
      </c>
      <c r="I425" t="str" cm="1">
        <f t="array" ref="I425:J425">_xlfn.TEXTSPLIT(A425," ")</f>
        <v>27.10.2023</v>
      </c>
      <c r="J425" t="str">
        <v>07:03:31</v>
      </c>
      <c r="K425">
        <f t="shared" si="104"/>
        <v>7.0333333333333137</v>
      </c>
      <c r="L425">
        <f t="shared" si="97"/>
        <v>2.4400000000000013</v>
      </c>
      <c r="M425">
        <f t="shared" si="98"/>
        <v>0</v>
      </c>
      <c r="N425">
        <f t="shared" si="92"/>
        <v>0.35249999999999998</v>
      </c>
      <c r="Q425" t="str" cm="1">
        <f t="array" ref="Q425:R425">_xlfn.TEXTSPLIT(E425," ")</f>
        <v>27.10.2023</v>
      </c>
      <c r="R425" t="str">
        <v>07:03:31</v>
      </c>
      <c r="S425">
        <f t="shared" si="105"/>
        <v>7.0333333333333137</v>
      </c>
      <c r="T425">
        <f t="shared" si="96"/>
        <v>4.0900000000000034</v>
      </c>
      <c r="U425">
        <f t="shared" si="99"/>
        <v>0.3</v>
      </c>
      <c r="V425">
        <f t="shared" si="93"/>
        <v>0.58499999999999985</v>
      </c>
      <c r="AC425" t="s">
        <v>1367</v>
      </c>
      <c r="AD425">
        <v>0</v>
      </c>
      <c r="AE425">
        <v>6.03</v>
      </c>
      <c r="AG425" t="str" cm="1">
        <f t="array" ref="AG425:AH425">_xlfn.TEXTSPLIT(AC426," ")</f>
        <v>26.10.2023</v>
      </c>
      <c r="AH425" t="str">
        <v>07:04:31</v>
      </c>
      <c r="AI425">
        <f t="shared" si="106"/>
        <v>7.0333333333333137</v>
      </c>
      <c r="AJ425">
        <f t="shared" si="100"/>
        <v>1.5</v>
      </c>
      <c r="AK425">
        <f t="shared" si="101"/>
        <v>0</v>
      </c>
      <c r="AL425">
        <f t="shared" si="94"/>
        <v>0.29750000000000004</v>
      </c>
      <c r="AN425" t="s">
        <v>1367</v>
      </c>
      <c r="AO425">
        <v>0.6</v>
      </c>
      <c r="AP425">
        <v>66.489999999999995</v>
      </c>
      <c r="AR425" t="str" cm="1">
        <f t="array" ref="AR425:AS425">_xlfn.TEXTSPLIT(AN425," ")</f>
        <v>26.10.2023</v>
      </c>
      <c r="AS425" t="str">
        <v>07:03:31</v>
      </c>
      <c r="AT425">
        <f t="shared" si="107"/>
        <v>7.0333333333333137</v>
      </c>
      <c r="AU425">
        <f t="shared" si="102"/>
        <v>5.1799999999999926</v>
      </c>
      <c r="AV425">
        <f t="shared" si="103"/>
        <v>0.6</v>
      </c>
      <c r="AW425">
        <f t="shared" si="95"/>
        <v>0.66000000000000014</v>
      </c>
    </row>
    <row r="426" spans="1:49" x14ac:dyDescent="0.25">
      <c r="A426" t="s">
        <v>1368</v>
      </c>
      <c r="B426">
        <v>0</v>
      </c>
      <c r="C426">
        <v>16.760000000000002</v>
      </c>
      <c r="E426" t="s">
        <v>1368</v>
      </c>
      <c r="F426">
        <v>0.45</v>
      </c>
      <c r="G426">
        <v>82.69</v>
      </c>
      <c r="I426" t="str" cm="1">
        <f t="array" ref="I426:J426">_xlfn.TEXTSPLIT(A426," ")</f>
        <v>27.10.2023</v>
      </c>
      <c r="J426" t="str">
        <v>07:04:31</v>
      </c>
      <c r="K426">
        <f t="shared" si="104"/>
        <v>7.0499999999999803</v>
      </c>
      <c r="L426">
        <f t="shared" si="97"/>
        <v>2.4400000000000013</v>
      </c>
      <c r="M426">
        <f t="shared" si="98"/>
        <v>0</v>
      </c>
      <c r="N426">
        <f t="shared" si="92"/>
        <v>0.35249999999999998</v>
      </c>
      <c r="Q426" t="str" cm="1">
        <f t="array" ref="Q426:R426">_xlfn.TEXTSPLIT(E426," ")</f>
        <v>27.10.2023</v>
      </c>
      <c r="R426" t="str">
        <v>07:04:31</v>
      </c>
      <c r="S426">
        <f t="shared" si="105"/>
        <v>7.0499999999999803</v>
      </c>
      <c r="T426">
        <f t="shared" si="96"/>
        <v>4.0900000000000034</v>
      </c>
      <c r="U426">
        <f t="shared" si="99"/>
        <v>0.45</v>
      </c>
      <c r="V426">
        <f t="shared" si="93"/>
        <v>0.58749999999999991</v>
      </c>
      <c r="AC426" t="s">
        <v>1369</v>
      </c>
      <c r="AD426">
        <v>0</v>
      </c>
      <c r="AE426">
        <v>6.03</v>
      </c>
      <c r="AG426" t="str" cm="1">
        <f t="array" ref="AG426:AH426">_xlfn.TEXTSPLIT(AC427," ")</f>
        <v>26.10.2023</v>
      </c>
      <c r="AH426" t="str">
        <v>07:05:31</v>
      </c>
      <c r="AI426">
        <f t="shared" si="106"/>
        <v>7.0499999999999803</v>
      </c>
      <c r="AJ426">
        <f t="shared" si="100"/>
        <v>1.5</v>
      </c>
      <c r="AK426">
        <f t="shared" si="101"/>
        <v>0</v>
      </c>
      <c r="AL426">
        <f t="shared" si="94"/>
        <v>0.29750000000000004</v>
      </c>
      <c r="AN426" t="s">
        <v>1369</v>
      </c>
      <c r="AO426">
        <v>0.6</v>
      </c>
      <c r="AP426">
        <v>66.510000000000005</v>
      </c>
      <c r="AR426" t="str" cm="1">
        <f t="array" ref="AR426:AS426">_xlfn.TEXTSPLIT(AN426," ")</f>
        <v>26.10.2023</v>
      </c>
      <c r="AS426" t="str">
        <v>07:04:31</v>
      </c>
      <c r="AT426">
        <f t="shared" si="107"/>
        <v>7.0499999999999803</v>
      </c>
      <c r="AU426">
        <f t="shared" si="102"/>
        <v>5.2000000000000028</v>
      </c>
      <c r="AV426">
        <f t="shared" si="103"/>
        <v>0.6</v>
      </c>
      <c r="AW426">
        <f t="shared" si="95"/>
        <v>0.66250000000000009</v>
      </c>
    </row>
    <row r="427" spans="1:49" x14ac:dyDescent="0.25">
      <c r="A427" t="s">
        <v>1370</v>
      </c>
      <c r="B427">
        <v>0</v>
      </c>
      <c r="C427">
        <v>16.760000000000002</v>
      </c>
      <c r="E427" t="s">
        <v>1370</v>
      </c>
      <c r="F427">
        <v>0.6</v>
      </c>
      <c r="G427">
        <v>82.71</v>
      </c>
      <c r="I427" t="str" cm="1">
        <f t="array" ref="I427:J427">_xlfn.TEXTSPLIT(A427," ")</f>
        <v>27.10.2023</v>
      </c>
      <c r="J427" t="str">
        <v>07:05:31</v>
      </c>
      <c r="K427">
        <f t="shared" si="104"/>
        <v>7.0666666666666469</v>
      </c>
      <c r="L427">
        <f t="shared" si="97"/>
        <v>2.4400000000000013</v>
      </c>
      <c r="M427">
        <f t="shared" si="98"/>
        <v>0</v>
      </c>
      <c r="N427">
        <f t="shared" si="92"/>
        <v>0.35249999999999998</v>
      </c>
      <c r="Q427" t="str" cm="1">
        <f t="array" ref="Q427:R427">_xlfn.TEXTSPLIT(E427," ")</f>
        <v>27.10.2023</v>
      </c>
      <c r="R427" t="str">
        <v>07:05:31</v>
      </c>
      <c r="S427">
        <f t="shared" si="105"/>
        <v>7.0666666666666469</v>
      </c>
      <c r="T427">
        <f t="shared" si="96"/>
        <v>4.1099999999999994</v>
      </c>
      <c r="U427">
        <f t="shared" si="99"/>
        <v>0.6</v>
      </c>
      <c r="V427">
        <f t="shared" si="93"/>
        <v>0.59499999999999997</v>
      </c>
      <c r="AC427" t="s">
        <v>1371</v>
      </c>
      <c r="AD427">
        <v>0</v>
      </c>
      <c r="AE427">
        <v>6.03</v>
      </c>
      <c r="AG427" t="str" cm="1">
        <f t="array" ref="AG427:AH427">_xlfn.TEXTSPLIT(AC428," ")</f>
        <v>26.10.2023</v>
      </c>
      <c r="AH427" t="str">
        <v>07:06:31</v>
      </c>
      <c r="AI427">
        <f t="shared" si="106"/>
        <v>7.0666666666666469</v>
      </c>
      <c r="AJ427">
        <f t="shared" si="100"/>
        <v>1.5</v>
      </c>
      <c r="AK427">
        <f t="shared" si="101"/>
        <v>0</v>
      </c>
      <c r="AL427">
        <f t="shared" si="94"/>
        <v>0.29750000000000004</v>
      </c>
      <c r="AN427" t="s">
        <v>1371</v>
      </c>
      <c r="AO427">
        <v>0.75</v>
      </c>
      <c r="AP427">
        <v>66.52</v>
      </c>
      <c r="AR427" t="str" cm="1">
        <f t="array" ref="AR427:AS427">_xlfn.TEXTSPLIT(AN427," ")</f>
        <v>26.10.2023</v>
      </c>
      <c r="AS427" t="str">
        <v>07:05:31</v>
      </c>
      <c r="AT427">
        <f t="shared" si="107"/>
        <v>7.0666666666666469</v>
      </c>
      <c r="AU427">
        <f t="shared" si="102"/>
        <v>5.2099999999999937</v>
      </c>
      <c r="AV427">
        <f t="shared" si="103"/>
        <v>0.75</v>
      </c>
      <c r="AW427">
        <f t="shared" si="95"/>
        <v>0.66750000000000009</v>
      </c>
    </row>
    <row r="428" spans="1:49" x14ac:dyDescent="0.25">
      <c r="A428" t="s">
        <v>1372</v>
      </c>
      <c r="B428">
        <v>0</v>
      </c>
      <c r="C428">
        <v>16.760000000000002</v>
      </c>
      <c r="E428" t="s">
        <v>1372</v>
      </c>
      <c r="F428">
        <v>0.9</v>
      </c>
      <c r="G428">
        <v>82.72</v>
      </c>
      <c r="I428" t="str" cm="1">
        <f t="array" ref="I428:J428">_xlfn.TEXTSPLIT(A428," ")</f>
        <v>27.10.2023</v>
      </c>
      <c r="J428" t="str">
        <v>07:06:31</v>
      </c>
      <c r="K428">
        <f t="shared" si="104"/>
        <v>7.0833333333333135</v>
      </c>
      <c r="L428">
        <f t="shared" si="97"/>
        <v>2.4400000000000013</v>
      </c>
      <c r="M428">
        <f t="shared" si="98"/>
        <v>0</v>
      </c>
      <c r="N428">
        <f t="shared" si="92"/>
        <v>0.35249999999999998</v>
      </c>
      <c r="Q428" t="str" cm="1">
        <f t="array" ref="Q428:R428">_xlfn.TEXTSPLIT(E428," ")</f>
        <v>27.10.2023</v>
      </c>
      <c r="R428" t="str">
        <v>07:06:31</v>
      </c>
      <c r="S428">
        <f t="shared" si="105"/>
        <v>7.0833333333333135</v>
      </c>
      <c r="T428">
        <f t="shared" si="96"/>
        <v>4.1200000000000045</v>
      </c>
      <c r="U428">
        <f t="shared" si="99"/>
        <v>0.9</v>
      </c>
      <c r="V428">
        <f t="shared" si="93"/>
        <v>0.6024999999999997</v>
      </c>
      <c r="AC428" t="s">
        <v>1373</v>
      </c>
      <c r="AD428">
        <v>0</v>
      </c>
      <c r="AE428">
        <v>6.03</v>
      </c>
      <c r="AG428" t="str" cm="1">
        <f t="array" ref="AG428:AH428">_xlfn.TEXTSPLIT(AC429," ")</f>
        <v>26.10.2023</v>
      </c>
      <c r="AH428" t="str">
        <v>07:07:32</v>
      </c>
      <c r="AI428">
        <f t="shared" si="106"/>
        <v>7.0833333333333135</v>
      </c>
      <c r="AJ428">
        <f t="shared" si="100"/>
        <v>1.5</v>
      </c>
      <c r="AK428">
        <f t="shared" si="101"/>
        <v>0</v>
      </c>
      <c r="AL428">
        <f t="shared" si="94"/>
        <v>0.29750000000000004</v>
      </c>
      <c r="AN428" t="s">
        <v>1373</v>
      </c>
      <c r="AO428">
        <v>0.6</v>
      </c>
      <c r="AP428">
        <v>66.53</v>
      </c>
      <c r="AR428" t="str" cm="1">
        <f t="array" ref="AR428:AS428">_xlfn.TEXTSPLIT(AN428," ")</f>
        <v>26.10.2023</v>
      </c>
      <c r="AS428" t="str">
        <v>07:06:31</v>
      </c>
      <c r="AT428">
        <f t="shared" si="107"/>
        <v>7.0833333333333135</v>
      </c>
      <c r="AU428">
        <f t="shared" si="102"/>
        <v>5.2199999999999989</v>
      </c>
      <c r="AV428">
        <f t="shared" si="103"/>
        <v>0.6</v>
      </c>
      <c r="AW428">
        <f t="shared" si="95"/>
        <v>0.66750000000000009</v>
      </c>
    </row>
    <row r="429" spans="1:49" x14ac:dyDescent="0.25">
      <c r="A429" t="s">
        <v>1374</v>
      </c>
      <c r="B429">
        <v>0</v>
      </c>
      <c r="C429">
        <v>16.760000000000002</v>
      </c>
      <c r="E429" t="s">
        <v>1374</v>
      </c>
      <c r="F429">
        <v>1.05</v>
      </c>
      <c r="G429">
        <v>82.74</v>
      </c>
      <c r="I429" t="str" cm="1">
        <f t="array" ref="I429:J429">_xlfn.TEXTSPLIT(A429," ")</f>
        <v>27.10.2023</v>
      </c>
      <c r="J429" t="str">
        <v>07:07:31</v>
      </c>
      <c r="K429">
        <f t="shared" si="104"/>
        <v>7.0999999999999801</v>
      </c>
      <c r="L429">
        <f t="shared" si="97"/>
        <v>2.4400000000000013</v>
      </c>
      <c r="M429">
        <f t="shared" si="98"/>
        <v>0</v>
      </c>
      <c r="N429">
        <f t="shared" si="92"/>
        <v>0.35249999999999998</v>
      </c>
      <c r="Q429" t="str" cm="1">
        <f t="array" ref="Q429:R429">_xlfn.TEXTSPLIT(E429," ")</f>
        <v>27.10.2023</v>
      </c>
      <c r="R429" t="str">
        <v>07:07:31</v>
      </c>
      <c r="S429">
        <f t="shared" si="105"/>
        <v>7.0999999999999801</v>
      </c>
      <c r="T429">
        <f t="shared" si="96"/>
        <v>4.1400000000000006</v>
      </c>
      <c r="U429">
        <f t="shared" si="99"/>
        <v>1.05</v>
      </c>
      <c r="V429">
        <f t="shared" si="93"/>
        <v>0.59999999999999987</v>
      </c>
      <c r="AC429" t="s">
        <v>1375</v>
      </c>
      <c r="AD429">
        <v>0</v>
      </c>
      <c r="AE429">
        <v>6.03</v>
      </c>
      <c r="AG429" t="str" cm="1">
        <f t="array" ref="AG429:AH429">_xlfn.TEXTSPLIT(AC430," ")</f>
        <v>26.10.2023</v>
      </c>
      <c r="AH429" t="str">
        <v>07:08:32</v>
      </c>
      <c r="AI429">
        <f t="shared" si="106"/>
        <v>7.0999999999999801</v>
      </c>
      <c r="AJ429">
        <f t="shared" si="100"/>
        <v>1.5</v>
      </c>
      <c r="AK429">
        <f t="shared" si="101"/>
        <v>0</v>
      </c>
      <c r="AL429">
        <f t="shared" si="94"/>
        <v>0.29750000000000004</v>
      </c>
      <c r="AN429" t="s">
        <v>1375</v>
      </c>
      <c r="AO429">
        <v>0.9</v>
      </c>
      <c r="AP429">
        <v>66.540000000000006</v>
      </c>
      <c r="AR429" t="str" cm="1">
        <f t="array" ref="AR429:AS429">_xlfn.TEXTSPLIT(AN429," ")</f>
        <v>26.10.2023</v>
      </c>
      <c r="AS429" t="str">
        <v>07:07:32</v>
      </c>
      <c r="AT429">
        <f t="shared" si="107"/>
        <v>7.0999999999999801</v>
      </c>
      <c r="AU429">
        <f t="shared" si="102"/>
        <v>5.230000000000004</v>
      </c>
      <c r="AV429">
        <f t="shared" si="103"/>
        <v>0.9</v>
      </c>
      <c r="AW429">
        <f t="shared" si="95"/>
        <v>0.66249999999999998</v>
      </c>
    </row>
    <row r="430" spans="1:49" x14ac:dyDescent="0.25">
      <c r="A430" t="s">
        <v>1376</v>
      </c>
      <c r="B430">
        <v>1.05</v>
      </c>
      <c r="C430">
        <v>16.8</v>
      </c>
      <c r="E430" t="s">
        <v>1376</v>
      </c>
      <c r="F430">
        <v>1.2</v>
      </c>
      <c r="G430">
        <v>82.76</v>
      </c>
      <c r="I430" t="str" cm="1">
        <f t="array" ref="I430:J430">_xlfn.TEXTSPLIT(A430," ")</f>
        <v>27.10.2023</v>
      </c>
      <c r="J430" t="str">
        <v>07:08:32</v>
      </c>
      <c r="K430">
        <f t="shared" si="104"/>
        <v>7.1166666666666467</v>
      </c>
      <c r="L430">
        <f t="shared" si="97"/>
        <v>2.4800000000000004</v>
      </c>
      <c r="M430">
        <f t="shared" si="98"/>
        <v>1.05</v>
      </c>
      <c r="N430">
        <f t="shared" si="92"/>
        <v>0.34250000000000003</v>
      </c>
      <c r="Q430" t="str" cm="1">
        <f t="array" ref="Q430:R430">_xlfn.TEXTSPLIT(E430," ")</f>
        <v>27.10.2023</v>
      </c>
      <c r="R430" t="str">
        <v>07:08:32</v>
      </c>
      <c r="S430">
        <f t="shared" si="105"/>
        <v>7.1166666666666467</v>
      </c>
      <c r="T430">
        <f t="shared" si="96"/>
        <v>4.1600000000000108</v>
      </c>
      <c r="U430">
        <f t="shared" si="99"/>
        <v>1.2</v>
      </c>
      <c r="V430">
        <f t="shared" si="93"/>
        <v>0.59499999999999997</v>
      </c>
      <c r="AC430" t="s">
        <v>1377</v>
      </c>
      <c r="AD430">
        <v>0</v>
      </c>
      <c r="AE430">
        <v>6.04</v>
      </c>
      <c r="AG430" t="str" cm="1">
        <f t="array" ref="AG430:AH430">_xlfn.TEXTSPLIT(AC431," ")</f>
        <v>26.10.2023</v>
      </c>
      <c r="AH430" t="str">
        <v>07:09:32</v>
      </c>
      <c r="AI430">
        <f t="shared" si="106"/>
        <v>7.1166666666666467</v>
      </c>
      <c r="AJ430">
        <f t="shared" si="100"/>
        <v>1.5099999999999998</v>
      </c>
      <c r="AK430">
        <f t="shared" si="101"/>
        <v>0</v>
      </c>
      <c r="AL430">
        <f t="shared" si="94"/>
        <v>0.29750000000000004</v>
      </c>
      <c r="AN430" t="s">
        <v>1377</v>
      </c>
      <c r="AO430">
        <v>1.8</v>
      </c>
      <c r="AP430">
        <v>66.58</v>
      </c>
      <c r="AR430" t="str" cm="1">
        <f t="array" ref="AR430:AS430">_xlfn.TEXTSPLIT(AN430," ")</f>
        <v>26.10.2023</v>
      </c>
      <c r="AS430" t="str">
        <v>07:08:32</v>
      </c>
      <c r="AT430">
        <f t="shared" si="107"/>
        <v>7.1166666666666467</v>
      </c>
      <c r="AU430">
        <f t="shared" si="102"/>
        <v>5.269999999999996</v>
      </c>
      <c r="AV430">
        <f t="shared" si="103"/>
        <v>1.8</v>
      </c>
      <c r="AW430">
        <f t="shared" si="95"/>
        <v>0.65249999999999997</v>
      </c>
    </row>
    <row r="431" spans="1:49" x14ac:dyDescent="0.25">
      <c r="A431" t="s">
        <v>1378</v>
      </c>
      <c r="B431">
        <v>2.25</v>
      </c>
      <c r="C431">
        <v>16.82</v>
      </c>
      <c r="E431" t="s">
        <v>1378</v>
      </c>
      <c r="F431">
        <v>1.5</v>
      </c>
      <c r="G431">
        <v>82.79</v>
      </c>
      <c r="I431" t="str" cm="1">
        <f t="array" ref="I431:J431">_xlfn.TEXTSPLIT(A431," ")</f>
        <v>27.10.2023</v>
      </c>
      <c r="J431" t="str">
        <v>07:09:32</v>
      </c>
      <c r="K431">
        <f t="shared" si="104"/>
        <v>7.1333333333333133</v>
      </c>
      <c r="L431">
        <f t="shared" si="97"/>
        <v>2.5</v>
      </c>
      <c r="M431">
        <f t="shared" si="98"/>
        <v>2.25</v>
      </c>
      <c r="N431">
        <f t="shared" si="92"/>
        <v>0.35249999999999998</v>
      </c>
      <c r="Q431" t="str" cm="1">
        <f t="array" ref="Q431:R431">_xlfn.TEXTSPLIT(E431," ")</f>
        <v>27.10.2023</v>
      </c>
      <c r="R431" t="str">
        <v>07:09:32</v>
      </c>
      <c r="S431">
        <f t="shared" si="105"/>
        <v>7.1333333333333133</v>
      </c>
      <c r="T431">
        <f t="shared" si="96"/>
        <v>4.1900000000000119</v>
      </c>
      <c r="U431">
        <f t="shared" si="99"/>
        <v>1.5</v>
      </c>
      <c r="V431">
        <f t="shared" si="93"/>
        <v>0.57750000000000001</v>
      </c>
      <c r="AC431" t="s">
        <v>1379</v>
      </c>
      <c r="AD431">
        <v>1.2</v>
      </c>
      <c r="AE431">
        <v>6.06</v>
      </c>
      <c r="AG431" t="str" cm="1">
        <f t="array" ref="AG431:AH431">_xlfn.TEXTSPLIT(AC432," ")</f>
        <v>26.10.2023</v>
      </c>
      <c r="AH431" t="str">
        <v>07:10:32</v>
      </c>
      <c r="AI431">
        <f t="shared" si="106"/>
        <v>7.1333333333333133</v>
      </c>
      <c r="AJ431">
        <f t="shared" si="100"/>
        <v>1.5299999999999994</v>
      </c>
      <c r="AK431">
        <f t="shared" si="101"/>
        <v>1.2</v>
      </c>
      <c r="AL431">
        <f t="shared" si="94"/>
        <v>0.28499999999999998</v>
      </c>
      <c r="AN431" t="s">
        <v>1379</v>
      </c>
      <c r="AO431">
        <v>2.25</v>
      </c>
      <c r="AP431">
        <v>66.62</v>
      </c>
      <c r="AR431" t="str" cm="1">
        <f t="array" ref="AR431:AS431">_xlfn.TEXTSPLIT(AN431," ")</f>
        <v>26.10.2023</v>
      </c>
      <c r="AS431" t="str">
        <v>07:09:32</v>
      </c>
      <c r="AT431">
        <f t="shared" si="107"/>
        <v>7.1333333333333133</v>
      </c>
      <c r="AU431">
        <f t="shared" si="102"/>
        <v>5.3100000000000023</v>
      </c>
      <c r="AV431">
        <f t="shared" si="103"/>
        <v>2.25</v>
      </c>
      <c r="AW431">
        <f t="shared" si="95"/>
        <v>0.66</v>
      </c>
    </row>
    <row r="432" spans="1:49" x14ac:dyDescent="0.25">
      <c r="A432" t="s">
        <v>1380</v>
      </c>
      <c r="B432">
        <v>1.2</v>
      </c>
      <c r="C432">
        <v>16.84</v>
      </c>
      <c r="E432" t="s">
        <v>1380</v>
      </c>
      <c r="F432">
        <v>1.65</v>
      </c>
      <c r="G432">
        <v>82.82</v>
      </c>
      <c r="I432" t="str" cm="1">
        <f t="array" ref="I432:J432">_xlfn.TEXTSPLIT(A432," ")</f>
        <v>27.10.2023</v>
      </c>
      <c r="J432" t="str">
        <v>07:10:32</v>
      </c>
      <c r="K432">
        <f t="shared" si="104"/>
        <v>7.1499999999999799</v>
      </c>
      <c r="L432">
        <f t="shared" si="97"/>
        <v>2.5199999999999996</v>
      </c>
      <c r="M432">
        <f t="shared" si="98"/>
        <v>1.2</v>
      </c>
      <c r="N432">
        <f t="shared" si="92"/>
        <v>0.34750000000000009</v>
      </c>
      <c r="Q432" t="str" cm="1">
        <f t="array" ref="Q432:R432">_xlfn.TEXTSPLIT(E432," ")</f>
        <v>27.10.2023</v>
      </c>
      <c r="R432" t="str">
        <v>07:10:32</v>
      </c>
      <c r="S432">
        <f t="shared" si="105"/>
        <v>7.1499999999999799</v>
      </c>
      <c r="T432">
        <f t="shared" si="96"/>
        <v>4.2199999999999989</v>
      </c>
      <c r="U432">
        <f t="shared" si="99"/>
        <v>1.65</v>
      </c>
      <c r="V432">
        <f t="shared" si="93"/>
        <v>0.57499999999999996</v>
      </c>
      <c r="AC432" t="s">
        <v>1381</v>
      </c>
      <c r="AD432">
        <v>1.35</v>
      </c>
      <c r="AE432">
        <v>6.08</v>
      </c>
      <c r="AG432" t="str" cm="1">
        <f t="array" ref="AG432:AH432">_xlfn.TEXTSPLIT(AC433," ")</f>
        <v>26.10.2023</v>
      </c>
      <c r="AH432" t="str">
        <v>07:11:32</v>
      </c>
      <c r="AI432">
        <f t="shared" si="106"/>
        <v>7.1499999999999799</v>
      </c>
      <c r="AJ432">
        <f t="shared" si="100"/>
        <v>1.5499999999999998</v>
      </c>
      <c r="AK432">
        <f t="shared" si="101"/>
        <v>1.35</v>
      </c>
      <c r="AL432">
        <f t="shared" si="94"/>
        <v>0.28500000000000003</v>
      </c>
      <c r="AN432" t="s">
        <v>1381</v>
      </c>
      <c r="AO432">
        <v>2.25</v>
      </c>
      <c r="AP432">
        <v>66.650000000000006</v>
      </c>
      <c r="AR432" t="str" cm="1">
        <f t="array" ref="AR432:AS432">_xlfn.TEXTSPLIT(AN432," ")</f>
        <v>26.10.2023</v>
      </c>
      <c r="AS432" t="str">
        <v>07:10:32</v>
      </c>
      <c r="AT432">
        <f t="shared" si="107"/>
        <v>7.1499999999999799</v>
      </c>
      <c r="AU432">
        <f t="shared" si="102"/>
        <v>5.3400000000000034</v>
      </c>
      <c r="AV432">
        <f t="shared" si="103"/>
        <v>2.25</v>
      </c>
      <c r="AW432">
        <f t="shared" si="95"/>
        <v>0.67</v>
      </c>
    </row>
    <row r="433" spans="1:49" x14ac:dyDescent="0.25">
      <c r="A433" t="s">
        <v>1382</v>
      </c>
      <c r="B433">
        <v>0.75</v>
      </c>
      <c r="C433">
        <v>16.850000000000001</v>
      </c>
      <c r="E433" t="s">
        <v>1382</v>
      </c>
      <c r="F433">
        <v>1.5</v>
      </c>
      <c r="G433">
        <v>82.83</v>
      </c>
      <c r="I433" t="str" cm="1">
        <f t="array" ref="I433:J433">_xlfn.TEXTSPLIT(A433," ")</f>
        <v>27.10.2023</v>
      </c>
      <c r="J433" t="str">
        <v>07:11:32</v>
      </c>
      <c r="K433">
        <f t="shared" si="104"/>
        <v>7.1666666666666465</v>
      </c>
      <c r="L433">
        <f t="shared" si="97"/>
        <v>2.5300000000000011</v>
      </c>
      <c r="M433">
        <f t="shared" si="98"/>
        <v>0.75</v>
      </c>
      <c r="N433">
        <f t="shared" si="92"/>
        <v>0.33500000000000008</v>
      </c>
      <c r="Q433" t="str" cm="1">
        <f t="array" ref="Q433:R433">_xlfn.TEXTSPLIT(E433," ")</f>
        <v>27.10.2023</v>
      </c>
      <c r="R433" t="str">
        <v>07:11:32</v>
      </c>
      <c r="S433">
        <f t="shared" si="105"/>
        <v>7.1666666666666465</v>
      </c>
      <c r="T433">
        <f t="shared" si="96"/>
        <v>4.230000000000004</v>
      </c>
      <c r="U433">
        <f t="shared" si="99"/>
        <v>1.5</v>
      </c>
      <c r="V433">
        <f t="shared" si="93"/>
        <v>0.57999999999999996</v>
      </c>
      <c r="AC433" t="s">
        <v>1383</v>
      </c>
      <c r="AD433">
        <v>1.5</v>
      </c>
      <c r="AE433">
        <v>6.11</v>
      </c>
      <c r="AG433" t="str" cm="1">
        <f t="array" ref="AG433:AH433">_xlfn.TEXTSPLIT(AC434," ")</f>
        <v>26.10.2023</v>
      </c>
      <c r="AH433" t="str">
        <v>07:12:32</v>
      </c>
      <c r="AI433">
        <f t="shared" si="106"/>
        <v>7.1666666666666465</v>
      </c>
      <c r="AJ433">
        <f t="shared" si="100"/>
        <v>1.58</v>
      </c>
      <c r="AK433">
        <f t="shared" si="101"/>
        <v>1.5</v>
      </c>
      <c r="AL433">
        <f t="shared" si="94"/>
        <v>0.29499999999999998</v>
      </c>
      <c r="AN433" t="s">
        <v>1383</v>
      </c>
      <c r="AO433">
        <v>0.9</v>
      </c>
      <c r="AP433">
        <v>66.66</v>
      </c>
      <c r="AR433" t="str" cm="1">
        <f t="array" ref="AR433:AS433">_xlfn.TEXTSPLIT(AN433," ")</f>
        <v>26.10.2023</v>
      </c>
      <c r="AS433" t="str">
        <v>07:11:32</v>
      </c>
      <c r="AT433">
        <f t="shared" si="107"/>
        <v>7.1666666666666465</v>
      </c>
      <c r="AU433">
        <f t="shared" si="102"/>
        <v>5.3499999999999943</v>
      </c>
      <c r="AV433">
        <f t="shared" si="103"/>
        <v>0.9</v>
      </c>
      <c r="AW433">
        <f t="shared" si="95"/>
        <v>0.66</v>
      </c>
    </row>
    <row r="434" spans="1:49" x14ac:dyDescent="0.25">
      <c r="A434" t="s">
        <v>1384</v>
      </c>
      <c r="B434">
        <v>0.6</v>
      </c>
      <c r="C434">
        <v>16.86</v>
      </c>
      <c r="E434" t="s">
        <v>1384</v>
      </c>
      <c r="F434">
        <v>0.6</v>
      </c>
      <c r="G434">
        <v>82.85</v>
      </c>
      <c r="I434" t="str" cm="1">
        <f t="array" ref="I434:J434">_xlfn.TEXTSPLIT(A434," ")</f>
        <v>27.10.2023</v>
      </c>
      <c r="J434" t="str">
        <v>07:12:32</v>
      </c>
      <c r="K434">
        <f t="shared" si="104"/>
        <v>7.1833333333333131</v>
      </c>
      <c r="L434">
        <f t="shared" si="97"/>
        <v>2.5399999999999991</v>
      </c>
      <c r="M434">
        <f t="shared" si="98"/>
        <v>0.6</v>
      </c>
      <c r="N434">
        <f t="shared" si="92"/>
        <v>0.32500000000000007</v>
      </c>
      <c r="Q434" t="str" cm="1">
        <f t="array" ref="Q434:R434">_xlfn.TEXTSPLIT(E434," ")</f>
        <v>27.10.2023</v>
      </c>
      <c r="R434" t="str">
        <v>07:12:32</v>
      </c>
      <c r="S434">
        <f t="shared" si="105"/>
        <v>7.1833333333333131</v>
      </c>
      <c r="T434">
        <f t="shared" si="96"/>
        <v>4.25</v>
      </c>
      <c r="U434">
        <f t="shared" si="99"/>
        <v>0.6</v>
      </c>
      <c r="V434">
        <f t="shared" si="93"/>
        <v>0.57499999999999996</v>
      </c>
      <c r="AC434" t="s">
        <v>1385</v>
      </c>
      <c r="AD434">
        <v>0.75</v>
      </c>
      <c r="AE434">
        <v>6.11</v>
      </c>
      <c r="AG434" t="str" cm="1">
        <f t="array" ref="AG434:AH434">_xlfn.TEXTSPLIT(AC435," ")</f>
        <v>26.10.2023</v>
      </c>
      <c r="AH434" t="str">
        <v>07:13:32</v>
      </c>
      <c r="AI434">
        <f t="shared" si="106"/>
        <v>7.1833333333333131</v>
      </c>
      <c r="AJ434">
        <f t="shared" si="100"/>
        <v>1.58</v>
      </c>
      <c r="AK434">
        <f t="shared" si="101"/>
        <v>0.75</v>
      </c>
      <c r="AL434">
        <f t="shared" si="94"/>
        <v>0.29499999999999998</v>
      </c>
      <c r="AN434" t="s">
        <v>1385</v>
      </c>
      <c r="AO434">
        <v>0.75</v>
      </c>
      <c r="AP434">
        <v>66.67</v>
      </c>
      <c r="AR434" t="str" cm="1">
        <f t="array" ref="AR434:AS434">_xlfn.TEXTSPLIT(AN434," ")</f>
        <v>26.10.2023</v>
      </c>
      <c r="AS434" t="str">
        <v>07:12:32</v>
      </c>
      <c r="AT434">
        <f t="shared" si="107"/>
        <v>7.1833333333333131</v>
      </c>
      <c r="AU434">
        <f t="shared" si="102"/>
        <v>5.3599999999999994</v>
      </c>
      <c r="AV434">
        <f t="shared" si="103"/>
        <v>0.75</v>
      </c>
      <c r="AW434">
        <f t="shared" si="95"/>
        <v>0.64500000000000002</v>
      </c>
    </row>
    <row r="435" spans="1:49" x14ac:dyDescent="0.25">
      <c r="A435" t="s">
        <v>1386</v>
      </c>
      <c r="B435">
        <v>0.3</v>
      </c>
      <c r="C435">
        <v>16.87</v>
      </c>
      <c r="E435" t="s">
        <v>1386</v>
      </c>
      <c r="F435">
        <v>0.6</v>
      </c>
      <c r="G435">
        <v>82.85</v>
      </c>
      <c r="I435" t="str" cm="1">
        <f t="array" ref="I435:J435">_xlfn.TEXTSPLIT(A435," ")</f>
        <v>27.10.2023</v>
      </c>
      <c r="J435" t="str">
        <v>07:13:32</v>
      </c>
      <c r="K435">
        <f t="shared" si="104"/>
        <v>7.1999999999999797</v>
      </c>
      <c r="L435">
        <f t="shared" si="97"/>
        <v>2.5500000000000007</v>
      </c>
      <c r="M435">
        <f t="shared" si="98"/>
        <v>0.3</v>
      </c>
      <c r="N435">
        <f t="shared" si="92"/>
        <v>0.31000000000000016</v>
      </c>
      <c r="Q435" t="str" cm="1">
        <f t="array" ref="Q435:R435">_xlfn.TEXTSPLIT(E435," ")</f>
        <v>27.10.2023</v>
      </c>
      <c r="R435" t="str">
        <v>07:13:32</v>
      </c>
      <c r="S435">
        <f t="shared" si="105"/>
        <v>7.1999999999999797</v>
      </c>
      <c r="T435">
        <f t="shared" si="96"/>
        <v>4.25</v>
      </c>
      <c r="U435">
        <f t="shared" si="99"/>
        <v>0.6</v>
      </c>
      <c r="V435">
        <f t="shared" si="93"/>
        <v>0.57000000000000006</v>
      </c>
      <c r="AC435" t="s">
        <v>1387</v>
      </c>
      <c r="AD435">
        <v>0.45</v>
      </c>
      <c r="AE435">
        <v>6.12</v>
      </c>
      <c r="AG435" t="str" cm="1">
        <f t="array" ref="AG435:AH435">_xlfn.TEXTSPLIT(AC436," ")</f>
        <v>26.10.2023</v>
      </c>
      <c r="AH435" t="str">
        <v>07:14:32</v>
      </c>
      <c r="AI435">
        <f t="shared" si="106"/>
        <v>7.1999999999999797</v>
      </c>
      <c r="AJ435">
        <f t="shared" si="100"/>
        <v>1.5899999999999999</v>
      </c>
      <c r="AK435">
        <f t="shared" si="101"/>
        <v>0.45</v>
      </c>
      <c r="AL435">
        <f t="shared" si="94"/>
        <v>0.29250000000000004</v>
      </c>
      <c r="AN435" t="s">
        <v>1387</v>
      </c>
      <c r="AO435">
        <v>0.75</v>
      </c>
      <c r="AP435">
        <v>66.680000000000007</v>
      </c>
      <c r="AR435" t="str" cm="1">
        <f t="array" ref="AR435:AS435">_xlfn.TEXTSPLIT(AN435," ")</f>
        <v>26.10.2023</v>
      </c>
      <c r="AS435" t="str">
        <v>07:13:32</v>
      </c>
      <c r="AT435">
        <f t="shared" si="107"/>
        <v>7.1999999999999797</v>
      </c>
      <c r="AU435">
        <f t="shared" si="102"/>
        <v>5.3700000000000045</v>
      </c>
      <c r="AV435">
        <f t="shared" si="103"/>
        <v>0.75</v>
      </c>
      <c r="AW435">
        <f t="shared" si="95"/>
        <v>0.64250000000000007</v>
      </c>
    </row>
    <row r="436" spans="1:49" x14ac:dyDescent="0.25">
      <c r="A436" t="s">
        <v>1388</v>
      </c>
      <c r="B436">
        <v>0.45</v>
      </c>
      <c r="C436">
        <v>16.88</v>
      </c>
      <c r="E436" t="s">
        <v>1388</v>
      </c>
      <c r="F436">
        <v>0.45</v>
      </c>
      <c r="G436">
        <v>82.86</v>
      </c>
      <c r="I436" t="str" cm="1">
        <f t="array" ref="I436:J436">_xlfn.TEXTSPLIT(A436," ")</f>
        <v>27.10.2023</v>
      </c>
      <c r="J436" t="str">
        <v>07:14:32</v>
      </c>
      <c r="K436">
        <f t="shared" si="104"/>
        <v>7.2166666666666464</v>
      </c>
      <c r="L436">
        <f t="shared" si="97"/>
        <v>2.5599999999999987</v>
      </c>
      <c r="M436">
        <f t="shared" si="98"/>
        <v>0.45</v>
      </c>
      <c r="N436">
        <f t="shared" si="92"/>
        <v>0.3050000000000001</v>
      </c>
      <c r="Q436" t="str" cm="1">
        <f t="array" ref="Q436:R436">_xlfn.TEXTSPLIT(E436," ")</f>
        <v>27.10.2023</v>
      </c>
      <c r="R436" t="str">
        <v>07:14:32</v>
      </c>
      <c r="S436">
        <f t="shared" si="105"/>
        <v>7.2166666666666464</v>
      </c>
      <c r="T436">
        <f t="shared" si="96"/>
        <v>4.2600000000000051</v>
      </c>
      <c r="U436">
        <f t="shared" si="99"/>
        <v>0.45</v>
      </c>
      <c r="V436">
        <f t="shared" si="93"/>
        <v>0.55000000000000004</v>
      </c>
      <c r="AC436" t="s">
        <v>1389</v>
      </c>
      <c r="AD436">
        <v>0.75</v>
      </c>
      <c r="AE436">
        <v>6.13</v>
      </c>
      <c r="AG436" t="str" cm="1">
        <f t="array" ref="AG436:AH436">_xlfn.TEXTSPLIT(AC437," ")</f>
        <v>26.10.2023</v>
      </c>
      <c r="AH436" t="str">
        <v>07:15:33</v>
      </c>
      <c r="AI436">
        <f t="shared" si="106"/>
        <v>7.2166666666666464</v>
      </c>
      <c r="AJ436">
        <f t="shared" si="100"/>
        <v>1.5999999999999996</v>
      </c>
      <c r="AK436">
        <f t="shared" si="101"/>
        <v>0.75</v>
      </c>
      <c r="AL436">
        <f t="shared" si="94"/>
        <v>0.29250000000000004</v>
      </c>
      <c r="AN436" t="s">
        <v>1389</v>
      </c>
      <c r="AO436">
        <v>0.6</v>
      </c>
      <c r="AP436">
        <v>66.7</v>
      </c>
      <c r="AR436" t="str" cm="1">
        <f t="array" ref="AR436:AS436">_xlfn.TEXTSPLIT(AN436," ")</f>
        <v>26.10.2023</v>
      </c>
      <c r="AS436" t="str">
        <v>07:14:32</v>
      </c>
      <c r="AT436">
        <f t="shared" si="107"/>
        <v>7.2166666666666464</v>
      </c>
      <c r="AU436">
        <f t="shared" si="102"/>
        <v>5.3900000000000006</v>
      </c>
      <c r="AV436">
        <f t="shared" si="103"/>
        <v>0.6</v>
      </c>
      <c r="AW436">
        <f t="shared" si="95"/>
        <v>0.64000000000000012</v>
      </c>
    </row>
    <row r="437" spans="1:49" x14ac:dyDescent="0.25">
      <c r="A437" t="s">
        <v>1390</v>
      </c>
      <c r="B437">
        <v>0.45</v>
      </c>
      <c r="C437">
        <v>16.88</v>
      </c>
      <c r="E437" t="s">
        <v>1390</v>
      </c>
      <c r="F437">
        <v>0.45</v>
      </c>
      <c r="G437">
        <v>82.87</v>
      </c>
      <c r="I437" t="str" cm="1">
        <f t="array" ref="I437:J437">_xlfn.TEXTSPLIT(A437," ")</f>
        <v>27.10.2023</v>
      </c>
      <c r="J437" t="str">
        <v>07:15:33</v>
      </c>
      <c r="K437">
        <f t="shared" si="104"/>
        <v>7.233333333333313</v>
      </c>
      <c r="L437">
        <f t="shared" si="97"/>
        <v>2.5599999999999987</v>
      </c>
      <c r="M437">
        <f t="shared" si="98"/>
        <v>0.45</v>
      </c>
      <c r="N437">
        <f t="shared" si="92"/>
        <v>0.30250000000000005</v>
      </c>
      <c r="Q437" t="str" cm="1">
        <f t="array" ref="Q437:R437">_xlfn.TEXTSPLIT(E437," ")</f>
        <v>27.10.2023</v>
      </c>
      <c r="R437" t="str">
        <v>07:15:33</v>
      </c>
      <c r="S437">
        <f t="shared" si="105"/>
        <v>7.233333333333313</v>
      </c>
      <c r="T437">
        <f t="shared" si="96"/>
        <v>4.2700000000000102</v>
      </c>
      <c r="U437">
        <f t="shared" si="99"/>
        <v>0.45</v>
      </c>
      <c r="V437">
        <f t="shared" si="93"/>
        <v>0.54500000000000004</v>
      </c>
      <c r="AC437" t="s">
        <v>1391</v>
      </c>
      <c r="AD437">
        <v>0.6</v>
      </c>
      <c r="AE437">
        <v>6.14</v>
      </c>
      <c r="AG437" t="str" cm="1">
        <f t="array" ref="AG437:AH437">_xlfn.TEXTSPLIT(AC438," ")</f>
        <v>26.10.2023</v>
      </c>
      <c r="AH437" t="str">
        <v>07:16:33</v>
      </c>
      <c r="AI437">
        <f t="shared" si="106"/>
        <v>7.233333333333313</v>
      </c>
      <c r="AJ437">
        <f t="shared" si="100"/>
        <v>1.6099999999999994</v>
      </c>
      <c r="AK437">
        <f t="shared" si="101"/>
        <v>0.6</v>
      </c>
      <c r="AL437">
        <f t="shared" si="94"/>
        <v>0.3</v>
      </c>
      <c r="AN437" t="s">
        <v>1391</v>
      </c>
      <c r="AO437">
        <v>0.75</v>
      </c>
      <c r="AP437">
        <v>66.709999999999994</v>
      </c>
      <c r="AR437" t="str" cm="1">
        <f t="array" ref="AR437:AS437">_xlfn.TEXTSPLIT(AN437," ")</f>
        <v>26.10.2023</v>
      </c>
      <c r="AS437" t="str">
        <v>07:15:33</v>
      </c>
      <c r="AT437">
        <f t="shared" si="107"/>
        <v>7.233333333333313</v>
      </c>
      <c r="AU437">
        <f t="shared" si="102"/>
        <v>5.3999999999999915</v>
      </c>
      <c r="AV437">
        <f t="shared" si="103"/>
        <v>0.75</v>
      </c>
      <c r="AW437">
        <f t="shared" si="95"/>
        <v>0.64250000000000007</v>
      </c>
    </row>
    <row r="438" spans="1:49" x14ac:dyDescent="0.25">
      <c r="A438" t="s">
        <v>1392</v>
      </c>
      <c r="B438">
        <v>0.45</v>
      </c>
      <c r="C438">
        <v>16.89</v>
      </c>
      <c r="E438" t="s">
        <v>1392</v>
      </c>
      <c r="F438">
        <v>0.45</v>
      </c>
      <c r="G438">
        <v>82.88</v>
      </c>
      <c r="I438" t="str" cm="1">
        <f t="array" ref="I438:J438">_xlfn.TEXTSPLIT(A438," ")</f>
        <v>27.10.2023</v>
      </c>
      <c r="J438" t="str">
        <v>07:16:33</v>
      </c>
      <c r="K438">
        <f t="shared" si="104"/>
        <v>7.2499999999999796</v>
      </c>
      <c r="L438">
        <f t="shared" si="97"/>
        <v>2.5700000000000003</v>
      </c>
      <c r="M438">
        <f t="shared" si="98"/>
        <v>0.45</v>
      </c>
      <c r="N438">
        <f t="shared" si="92"/>
        <v>0.30500000000000005</v>
      </c>
      <c r="Q438" t="str" cm="1">
        <f t="array" ref="Q438:R438">_xlfn.TEXTSPLIT(E438," ")</f>
        <v>27.10.2023</v>
      </c>
      <c r="R438" t="str">
        <v>07:16:33</v>
      </c>
      <c r="S438">
        <f t="shared" si="105"/>
        <v>7.2499999999999796</v>
      </c>
      <c r="T438">
        <f t="shared" si="96"/>
        <v>4.2800000000000011</v>
      </c>
      <c r="U438">
        <f t="shared" si="99"/>
        <v>0.45</v>
      </c>
      <c r="V438">
        <f t="shared" si="93"/>
        <v>0.53999999999999992</v>
      </c>
      <c r="AC438" t="s">
        <v>1393</v>
      </c>
      <c r="AD438">
        <v>0.6</v>
      </c>
      <c r="AE438">
        <v>6.15</v>
      </c>
      <c r="AG438" t="str" cm="1">
        <f t="array" ref="AG438:AH438">_xlfn.TEXTSPLIT(AC439," ")</f>
        <v>26.10.2023</v>
      </c>
      <c r="AH438" t="str">
        <v>07:17:33</v>
      </c>
      <c r="AI438">
        <f t="shared" si="106"/>
        <v>7.2499999999999796</v>
      </c>
      <c r="AJ438">
        <f t="shared" si="100"/>
        <v>1.62</v>
      </c>
      <c r="AK438">
        <f t="shared" si="101"/>
        <v>0.6</v>
      </c>
      <c r="AL438">
        <f t="shared" si="94"/>
        <v>0.30250000000000005</v>
      </c>
      <c r="AN438" t="s">
        <v>1393</v>
      </c>
      <c r="AO438">
        <v>0.9</v>
      </c>
      <c r="AP438">
        <v>66.72</v>
      </c>
      <c r="AR438" t="str" cm="1">
        <f t="array" ref="AR438:AS438">_xlfn.TEXTSPLIT(AN438," ")</f>
        <v>26.10.2023</v>
      </c>
      <c r="AS438" t="str">
        <v>07:16:33</v>
      </c>
      <c r="AT438">
        <f t="shared" si="107"/>
        <v>7.2499999999999796</v>
      </c>
      <c r="AU438">
        <f t="shared" si="102"/>
        <v>5.4099999999999966</v>
      </c>
      <c r="AV438">
        <f t="shared" si="103"/>
        <v>0.9</v>
      </c>
      <c r="AW438">
        <f t="shared" si="95"/>
        <v>0.65249999999999997</v>
      </c>
    </row>
    <row r="439" spans="1:49" x14ac:dyDescent="0.25">
      <c r="A439" t="s">
        <v>1394</v>
      </c>
      <c r="B439">
        <v>0.3</v>
      </c>
      <c r="C439">
        <v>16.899999999999999</v>
      </c>
      <c r="E439" t="s">
        <v>1394</v>
      </c>
      <c r="F439">
        <v>0.6</v>
      </c>
      <c r="G439">
        <v>82.89</v>
      </c>
      <c r="I439" t="str" cm="1">
        <f t="array" ref="I439:J439">_xlfn.TEXTSPLIT(A439," ")</f>
        <v>27.10.2023</v>
      </c>
      <c r="J439" t="str">
        <v>07:17:33</v>
      </c>
      <c r="K439">
        <f t="shared" si="104"/>
        <v>7.2666666666666462</v>
      </c>
      <c r="L439">
        <f t="shared" si="97"/>
        <v>2.5799999999999983</v>
      </c>
      <c r="M439">
        <f t="shared" si="98"/>
        <v>0.3</v>
      </c>
      <c r="N439">
        <f t="shared" si="92"/>
        <v>0.30000000000000004</v>
      </c>
      <c r="Q439" t="str" cm="1">
        <f t="array" ref="Q439:R439">_xlfn.TEXTSPLIT(E439," ")</f>
        <v>27.10.2023</v>
      </c>
      <c r="R439" t="str">
        <v>07:17:33</v>
      </c>
      <c r="S439">
        <f t="shared" si="105"/>
        <v>7.2666666666666462</v>
      </c>
      <c r="T439">
        <f t="shared" si="96"/>
        <v>4.2900000000000063</v>
      </c>
      <c r="U439">
        <f t="shared" si="99"/>
        <v>0.6</v>
      </c>
      <c r="V439">
        <f t="shared" si="93"/>
        <v>0.53749999999999987</v>
      </c>
      <c r="AC439" t="s">
        <v>1395</v>
      </c>
      <c r="AD439">
        <v>0.45</v>
      </c>
      <c r="AE439">
        <v>6.16</v>
      </c>
      <c r="AG439" t="str" cm="1">
        <f t="array" ref="AG439:AH439">_xlfn.TEXTSPLIT(AC440," ")</f>
        <v>26.10.2023</v>
      </c>
      <c r="AH439" t="str">
        <v>07:18:33</v>
      </c>
      <c r="AI439">
        <f t="shared" si="106"/>
        <v>7.2666666666666462</v>
      </c>
      <c r="AJ439">
        <f t="shared" si="100"/>
        <v>1.63</v>
      </c>
      <c r="AK439">
        <f t="shared" si="101"/>
        <v>0.45</v>
      </c>
      <c r="AL439">
        <f t="shared" si="94"/>
        <v>0.30000000000000004</v>
      </c>
      <c r="AN439" t="s">
        <v>1395</v>
      </c>
      <c r="AO439">
        <v>0.9</v>
      </c>
      <c r="AP439">
        <v>66.739999999999995</v>
      </c>
      <c r="AR439" t="str" cm="1">
        <f t="array" ref="AR439:AS439">_xlfn.TEXTSPLIT(AN439," ")</f>
        <v>26.10.2023</v>
      </c>
      <c r="AS439" t="str">
        <v>07:17:33</v>
      </c>
      <c r="AT439">
        <f t="shared" si="107"/>
        <v>7.2666666666666462</v>
      </c>
      <c r="AU439">
        <f t="shared" si="102"/>
        <v>5.4299999999999926</v>
      </c>
      <c r="AV439">
        <f t="shared" si="103"/>
        <v>0.9</v>
      </c>
      <c r="AW439">
        <f t="shared" si="95"/>
        <v>0.65750000000000008</v>
      </c>
    </row>
    <row r="440" spans="1:49" x14ac:dyDescent="0.25">
      <c r="A440" t="s">
        <v>1396</v>
      </c>
      <c r="B440">
        <v>0</v>
      </c>
      <c r="C440">
        <v>16.899999999999999</v>
      </c>
      <c r="E440" t="s">
        <v>1396</v>
      </c>
      <c r="F440">
        <v>0.45</v>
      </c>
      <c r="G440">
        <v>82.9</v>
      </c>
      <c r="I440" t="str" cm="1">
        <f t="array" ref="I440:J440">_xlfn.TEXTSPLIT(A440," ")</f>
        <v>27.10.2023</v>
      </c>
      <c r="J440" t="str">
        <v>07:18:33</v>
      </c>
      <c r="K440">
        <f t="shared" si="104"/>
        <v>7.2833333333333128</v>
      </c>
      <c r="L440">
        <f t="shared" si="97"/>
        <v>2.5799999999999983</v>
      </c>
      <c r="M440">
        <f t="shared" si="98"/>
        <v>0</v>
      </c>
      <c r="N440">
        <f t="shared" si="92"/>
        <v>0.29250000000000004</v>
      </c>
      <c r="Q440" t="str" cm="1">
        <f t="array" ref="Q440:R440">_xlfn.TEXTSPLIT(E440," ")</f>
        <v>27.10.2023</v>
      </c>
      <c r="R440" t="str">
        <v>07:18:33</v>
      </c>
      <c r="S440">
        <f t="shared" si="105"/>
        <v>7.2833333333333128</v>
      </c>
      <c r="T440">
        <f t="shared" si="96"/>
        <v>4.3000000000000114</v>
      </c>
      <c r="U440">
        <f t="shared" si="99"/>
        <v>0.45</v>
      </c>
      <c r="V440">
        <f t="shared" si="93"/>
        <v>0.53499999999999992</v>
      </c>
      <c r="AC440" t="s">
        <v>1397</v>
      </c>
      <c r="AD440">
        <v>0.15</v>
      </c>
      <c r="AE440">
        <v>6.16</v>
      </c>
      <c r="AG440" t="str" cm="1">
        <f t="array" ref="AG440:AH440">_xlfn.TEXTSPLIT(AC441," ")</f>
        <v>26.10.2023</v>
      </c>
      <c r="AH440" t="str">
        <v>07:19:33</v>
      </c>
      <c r="AI440">
        <f t="shared" si="106"/>
        <v>7.2833333333333128</v>
      </c>
      <c r="AJ440">
        <f t="shared" si="100"/>
        <v>1.63</v>
      </c>
      <c r="AK440">
        <f t="shared" si="101"/>
        <v>0.15</v>
      </c>
      <c r="AL440">
        <f t="shared" si="94"/>
        <v>0.29750000000000004</v>
      </c>
      <c r="AN440" t="s">
        <v>1397</v>
      </c>
      <c r="AO440">
        <v>0.9</v>
      </c>
      <c r="AP440">
        <v>66.75</v>
      </c>
      <c r="AR440" t="str" cm="1">
        <f t="array" ref="AR440:AS440">_xlfn.TEXTSPLIT(AN440," ")</f>
        <v>26.10.2023</v>
      </c>
      <c r="AS440" t="str">
        <v>07:18:33</v>
      </c>
      <c r="AT440">
        <f t="shared" si="107"/>
        <v>7.2833333333333128</v>
      </c>
      <c r="AU440">
        <f t="shared" si="102"/>
        <v>5.4399999999999977</v>
      </c>
      <c r="AV440">
        <f t="shared" si="103"/>
        <v>0.9</v>
      </c>
      <c r="AW440">
        <f t="shared" si="95"/>
        <v>0.66249999999999998</v>
      </c>
    </row>
    <row r="441" spans="1:49" x14ac:dyDescent="0.25">
      <c r="A441" t="s">
        <v>1398</v>
      </c>
      <c r="B441">
        <v>0.3</v>
      </c>
      <c r="C441">
        <v>16.899999999999999</v>
      </c>
      <c r="E441" t="s">
        <v>1398</v>
      </c>
      <c r="F441">
        <v>0.6</v>
      </c>
      <c r="G441">
        <v>82.91</v>
      </c>
      <c r="I441" t="str" cm="1">
        <f t="array" ref="I441:J441">_xlfn.TEXTSPLIT(A441," ")</f>
        <v>27.10.2023</v>
      </c>
      <c r="J441" t="str">
        <v>07:19:33</v>
      </c>
      <c r="K441">
        <f t="shared" si="104"/>
        <v>7.2999999999999794</v>
      </c>
      <c r="L441">
        <f t="shared" si="97"/>
        <v>2.5799999999999983</v>
      </c>
      <c r="M441">
        <f t="shared" si="98"/>
        <v>0.3</v>
      </c>
      <c r="N441">
        <f t="shared" si="92"/>
        <v>0.29000000000000004</v>
      </c>
      <c r="Q441" t="str" cm="1">
        <f t="array" ref="Q441:R441">_xlfn.TEXTSPLIT(E441," ")</f>
        <v>27.10.2023</v>
      </c>
      <c r="R441" t="str">
        <v>07:19:33</v>
      </c>
      <c r="S441">
        <f t="shared" si="105"/>
        <v>7.2999999999999794</v>
      </c>
      <c r="T441">
        <f t="shared" si="96"/>
        <v>4.3100000000000023</v>
      </c>
      <c r="U441">
        <f t="shared" si="99"/>
        <v>0.6</v>
      </c>
      <c r="V441">
        <f t="shared" si="93"/>
        <v>0.53749999999999987</v>
      </c>
      <c r="AC441" t="s">
        <v>1399</v>
      </c>
      <c r="AD441">
        <v>0.3</v>
      </c>
      <c r="AE441">
        <v>6.16</v>
      </c>
      <c r="AG441" t="str" cm="1">
        <f t="array" ref="AG441:AH441">_xlfn.TEXTSPLIT(AC442," ")</f>
        <v>26.10.2023</v>
      </c>
      <c r="AH441" t="str">
        <v>07:20:33</v>
      </c>
      <c r="AI441">
        <f t="shared" si="106"/>
        <v>7.2999999999999794</v>
      </c>
      <c r="AJ441">
        <f t="shared" si="100"/>
        <v>1.63</v>
      </c>
      <c r="AK441">
        <f t="shared" si="101"/>
        <v>0.3</v>
      </c>
      <c r="AL441">
        <f t="shared" si="94"/>
        <v>0.30250000000000005</v>
      </c>
      <c r="AN441" t="s">
        <v>1399</v>
      </c>
      <c r="AO441">
        <v>0.75</v>
      </c>
      <c r="AP441">
        <v>66.760000000000005</v>
      </c>
      <c r="AR441" t="str" cm="1">
        <f t="array" ref="AR441:AS441">_xlfn.TEXTSPLIT(AN441," ")</f>
        <v>26.10.2023</v>
      </c>
      <c r="AS441" t="str">
        <v>07:19:33</v>
      </c>
      <c r="AT441">
        <f t="shared" si="107"/>
        <v>7.2999999999999794</v>
      </c>
      <c r="AU441">
        <f t="shared" si="102"/>
        <v>5.4500000000000028</v>
      </c>
      <c r="AV441">
        <f t="shared" si="103"/>
        <v>0.75</v>
      </c>
      <c r="AW441">
        <f t="shared" si="95"/>
        <v>0.66499999999999992</v>
      </c>
    </row>
    <row r="442" spans="1:49" x14ac:dyDescent="0.25">
      <c r="A442" t="s">
        <v>1400</v>
      </c>
      <c r="B442">
        <v>0.45</v>
      </c>
      <c r="C442">
        <v>16.91</v>
      </c>
      <c r="E442" t="s">
        <v>1400</v>
      </c>
      <c r="F442">
        <v>0.6</v>
      </c>
      <c r="G442">
        <v>82.92</v>
      </c>
      <c r="I442" t="str" cm="1">
        <f t="array" ref="I442:J442">_xlfn.TEXTSPLIT(A442," ")</f>
        <v>27.10.2023</v>
      </c>
      <c r="J442" t="str">
        <v>07:20:33</v>
      </c>
      <c r="K442">
        <f t="shared" si="104"/>
        <v>7.316666666666646</v>
      </c>
      <c r="L442">
        <f t="shared" si="97"/>
        <v>2.59</v>
      </c>
      <c r="M442">
        <f t="shared" si="98"/>
        <v>0.45</v>
      </c>
      <c r="N442">
        <f t="shared" si="92"/>
        <v>0.29000000000000004</v>
      </c>
      <c r="Q442" t="str" cm="1">
        <f t="array" ref="Q442:R442">_xlfn.TEXTSPLIT(E442," ")</f>
        <v>27.10.2023</v>
      </c>
      <c r="R442" t="str">
        <v>07:20:33</v>
      </c>
      <c r="S442">
        <f t="shared" si="105"/>
        <v>7.316666666666646</v>
      </c>
      <c r="T442">
        <f t="shared" si="96"/>
        <v>4.3200000000000074</v>
      </c>
      <c r="U442">
        <f t="shared" si="99"/>
        <v>0.6</v>
      </c>
      <c r="V442">
        <f t="shared" si="93"/>
        <v>0.53749999999999987</v>
      </c>
      <c r="AC442" t="s">
        <v>1401</v>
      </c>
      <c r="AD442">
        <v>0.3</v>
      </c>
      <c r="AE442">
        <v>6.17</v>
      </c>
      <c r="AG442" t="str" cm="1">
        <f t="array" ref="AG442:AH442">_xlfn.TEXTSPLIT(AC443," ")</f>
        <v>26.10.2023</v>
      </c>
      <c r="AH442" t="str">
        <v>07:21:33</v>
      </c>
      <c r="AI442">
        <f t="shared" si="106"/>
        <v>7.316666666666646</v>
      </c>
      <c r="AJ442">
        <f t="shared" si="100"/>
        <v>1.6399999999999997</v>
      </c>
      <c r="AK442">
        <f t="shared" si="101"/>
        <v>0.3</v>
      </c>
      <c r="AL442">
        <f t="shared" si="94"/>
        <v>0.30750000000000005</v>
      </c>
      <c r="AN442" t="s">
        <v>1401</v>
      </c>
      <c r="AO442">
        <v>0.6</v>
      </c>
      <c r="AP442">
        <v>66.77</v>
      </c>
      <c r="AR442" t="str" cm="1">
        <f t="array" ref="AR442:AS442">_xlfn.TEXTSPLIT(AN442," ")</f>
        <v>26.10.2023</v>
      </c>
      <c r="AS442" t="str">
        <v>07:20:33</v>
      </c>
      <c r="AT442">
        <f t="shared" si="107"/>
        <v>7.316666666666646</v>
      </c>
      <c r="AU442">
        <f t="shared" si="102"/>
        <v>5.4599999999999937</v>
      </c>
      <c r="AV442">
        <f t="shared" si="103"/>
        <v>0.6</v>
      </c>
      <c r="AW442">
        <f t="shared" si="95"/>
        <v>0.66500000000000015</v>
      </c>
    </row>
    <row r="443" spans="1:49" x14ac:dyDescent="0.25">
      <c r="A443" t="s">
        <v>1402</v>
      </c>
      <c r="B443">
        <v>0.45</v>
      </c>
      <c r="C443">
        <v>16.920000000000002</v>
      </c>
      <c r="E443" t="s">
        <v>1402</v>
      </c>
      <c r="F443">
        <v>0.9</v>
      </c>
      <c r="G443">
        <v>82.93</v>
      </c>
      <c r="I443" t="str" cm="1">
        <f t="array" ref="I443:J443">_xlfn.TEXTSPLIT(A443," ")</f>
        <v>27.10.2023</v>
      </c>
      <c r="J443" t="str">
        <v>07:21:34</v>
      </c>
      <c r="K443">
        <f t="shared" si="104"/>
        <v>7.3333333333333126</v>
      </c>
      <c r="L443">
        <f t="shared" si="97"/>
        <v>2.6000000000000014</v>
      </c>
      <c r="M443">
        <f t="shared" si="98"/>
        <v>0.45</v>
      </c>
      <c r="N443">
        <f t="shared" si="92"/>
        <v>0.29250000000000004</v>
      </c>
      <c r="Q443" t="str" cm="1">
        <f t="array" ref="Q443:R443">_xlfn.TEXTSPLIT(E443," ")</f>
        <v>27.10.2023</v>
      </c>
      <c r="R443" t="str">
        <v>07:21:34</v>
      </c>
      <c r="S443">
        <f t="shared" si="105"/>
        <v>7.3333333333333126</v>
      </c>
      <c r="T443">
        <f t="shared" si="96"/>
        <v>4.3300000000000125</v>
      </c>
      <c r="U443">
        <f t="shared" si="99"/>
        <v>0.9</v>
      </c>
      <c r="V443">
        <f t="shared" si="93"/>
        <v>0.54249999999999998</v>
      </c>
      <c r="AC443" t="s">
        <v>1403</v>
      </c>
      <c r="AD443">
        <v>0.15</v>
      </c>
      <c r="AE443">
        <v>6.17</v>
      </c>
      <c r="AG443" t="str" cm="1">
        <f t="array" ref="AG443:AH443">_xlfn.TEXTSPLIT(AC444," ")</f>
        <v>26.10.2023</v>
      </c>
      <c r="AH443" t="str">
        <v>07:22:33</v>
      </c>
      <c r="AI443">
        <f t="shared" si="106"/>
        <v>7.3333333333333126</v>
      </c>
      <c r="AJ443">
        <f t="shared" si="100"/>
        <v>1.6399999999999997</v>
      </c>
      <c r="AK443">
        <f t="shared" si="101"/>
        <v>0.15</v>
      </c>
      <c r="AL443">
        <f t="shared" si="94"/>
        <v>0.31</v>
      </c>
      <c r="AN443" t="s">
        <v>1403</v>
      </c>
      <c r="AO443">
        <v>0.6</v>
      </c>
      <c r="AP443">
        <v>66.78</v>
      </c>
      <c r="AR443" t="str" cm="1">
        <f t="array" ref="AR443:AS443">_xlfn.TEXTSPLIT(AN443," ")</f>
        <v>26.10.2023</v>
      </c>
      <c r="AS443" t="str">
        <v>07:21:33</v>
      </c>
      <c r="AT443">
        <f t="shared" si="107"/>
        <v>7.3333333333333126</v>
      </c>
      <c r="AU443">
        <f t="shared" si="102"/>
        <v>5.4699999999999989</v>
      </c>
      <c r="AV443">
        <f t="shared" si="103"/>
        <v>0.6</v>
      </c>
      <c r="AW443">
        <f t="shared" si="95"/>
        <v>0.65750000000000008</v>
      </c>
    </row>
    <row r="444" spans="1:49" x14ac:dyDescent="0.25">
      <c r="A444" t="s">
        <v>1404</v>
      </c>
      <c r="B444">
        <v>0.45</v>
      </c>
      <c r="C444">
        <v>16.920000000000002</v>
      </c>
      <c r="E444" t="s">
        <v>1404</v>
      </c>
      <c r="F444">
        <v>0</v>
      </c>
      <c r="G444">
        <v>82.93</v>
      </c>
      <c r="I444" t="str" cm="1">
        <f t="array" ref="I444:J444">_xlfn.TEXTSPLIT(A444," ")</f>
        <v>27.10.2023</v>
      </c>
      <c r="J444" t="str">
        <v>07:22:34</v>
      </c>
      <c r="K444">
        <f t="shared" si="104"/>
        <v>7.3499999999999792</v>
      </c>
      <c r="L444">
        <f t="shared" si="97"/>
        <v>2.6000000000000014</v>
      </c>
      <c r="M444">
        <f t="shared" si="98"/>
        <v>0.45</v>
      </c>
      <c r="N444">
        <f t="shared" si="92"/>
        <v>0.29499999999999998</v>
      </c>
      <c r="Q444" t="str" cm="1">
        <f t="array" ref="Q444:R444">_xlfn.TEXTSPLIT(E444," ")</f>
        <v>27.10.2023</v>
      </c>
      <c r="R444" t="str">
        <v>07:22:34</v>
      </c>
      <c r="S444">
        <f t="shared" si="105"/>
        <v>7.3499999999999792</v>
      </c>
      <c r="T444">
        <f t="shared" si="96"/>
        <v>4.3300000000000125</v>
      </c>
      <c r="U444">
        <f t="shared" si="99"/>
        <v>0</v>
      </c>
      <c r="V444">
        <f t="shared" si="93"/>
        <v>0.53999999999999981</v>
      </c>
      <c r="AC444" t="s">
        <v>1405</v>
      </c>
      <c r="AD444">
        <v>0.15</v>
      </c>
      <c r="AE444">
        <v>6.18</v>
      </c>
      <c r="AG444" t="str" cm="1">
        <f t="array" ref="AG444:AH444">_xlfn.TEXTSPLIT(AC445," ")</f>
        <v>26.10.2023</v>
      </c>
      <c r="AH444" t="str">
        <v>07:23:33</v>
      </c>
      <c r="AI444">
        <f t="shared" si="106"/>
        <v>7.3499999999999792</v>
      </c>
      <c r="AJ444">
        <f t="shared" si="100"/>
        <v>1.6499999999999995</v>
      </c>
      <c r="AK444">
        <f t="shared" si="101"/>
        <v>0.15</v>
      </c>
      <c r="AL444">
        <f t="shared" si="94"/>
        <v>0.3125</v>
      </c>
      <c r="AN444" t="s">
        <v>1405</v>
      </c>
      <c r="AO444">
        <v>0.3</v>
      </c>
      <c r="AP444">
        <v>66.78</v>
      </c>
      <c r="AR444" t="str" cm="1">
        <f t="array" ref="AR444:AS444">_xlfn.TEXTSPLIT(AN444," ")</f>
        <v>26.10.2023</v>
      </c>
      <c r="AS444" t="str">
        <v>07:22:33</v>
      </c>
      <c r="AT444">
        <f t="shared" si="107"/>
        <v>7.3499999999999792</v>
      </c>
      <c r="AU444">
        <f t="shared" si="102"/>
        <v>5.4699999999999989</v>
      </c>
      <c r="AV444">
        <f t="shared" si="103"/>
        <v>0.3</v>
      </c>
      <c r="AW444">
        <f t="shared" si="95"/>
        <v>0.65750000000000008</v>
      </c>
    </row>
    <row r="445" spans="1:49" x14ac:dyDescent="0.25">
      <c r="A445" t="s">
        <v>1406</v>
      </c>
      <c r="B445">
        <v>0.15</v>
      </c>
      <c r="C445">
        <v>16.920000000000002</v>
      </c>
      <c r="E445" t="s">
        <v>1406</v>
      </c>
      <c r="F445">
        <v>0</v>
      </c>
      <c r="G445">
        <v>82.93</v>
      </c>
      <c r="I445" t="str" cm="1">
        <f t="array" ref="I445:J445">_xlfn.TEXTSPLIT(A445," ")</f>
        <v>27.10.2023</v>
      </c>
      <c r="J445" t="str">
        <v>07:23:34</v>
      </c>
      <c r="K445">
        <f t="shared" si="104"/>
        <v>7.3666666666666458</v>
      </c>
      <c r="L445">
        <f t="shared" si="97"/>
        <v>2.6000000000000014</v>
      </c>
      <c r="M445">
        <f t="shared" si="98"/>
        <v>0.15</v>
      </c>
      <c r="N445">
        <f t="shared" si="92"/>
        <v>0.29749999999999999</v>
      </c>
      <c r="Q445" t="str" cm="1">
        <f t="array" ref="Q445:R445">_xlfn.TEXTSPLIT(E445," ")</f>
        <v>27.10.2023</v>
      </c>
      <c r="R445" t="str">
        <v>07:23:34</v>
      </c>
      <c r="S445">
        <f t="shared" si="105"/>
        <v>7.3666666666666458</v>
      </c>
      <c r="T445">
        <f t="shared" si="96"/>
        <v>4.3300000000000125</v>
      </c>
      <c r="U445">
        <f t="shared" si="99"/>
        <v>0</v>
      </c>
      <c r="V445">
        <f t="shared" si="93"/>
        <v>0.53999999999999981</v>
      </c>
      <c r="AC445" t="s">
        <v>1407</v>
      </c>
      <c r="AD445">
        <v>0.15</v>
      </c>
      <c r="AE445">
        <v>6.18</v>
      </c>
      <c r="AG445" t="str" cm="1">
        <f t="array" ref="AG445:AH445">_xlfn.TEXTSPLIT(AC446," ")</f>
        <v>26.10.2023</v>
      </c>
      <c r="AH445" t="str">
        <v>07:24:34</v>
      </c>
      <c r="AI445">
        <f t="shared" si="106"/>
        <v>7.3666666666666458</v>
      </c>
      <c r="AJ445">
        <f t="shared" si="100"/>
        <v>1.6499999999999995</v>
      </c>
      <c r="AK445">
        <f t="shared" si="101"/>
        <v>0.15</v>
      </c>
      <c r="AL445">
        <f t="shared" si="94"/>
        <v>0.315</v>
      </c>
      <c r="AN445" t="s">
        <v>1407</v>
      </c>
      <c r="AO445">
        <v>0</v>
      </c>
      <c r="AP445">
        <v>66.78</v>
      </c>
      <c r="AR445" t="str" cm="1">
        <f t="array" ref="AR445:AS445">_xlfn.TEXTSPLIT(AN445," ")</f>
        <v>26.10.2023</v>
      </c>
      <c r="AS445" t="str">
        <v>07:23:33</v>
      </c>
      <c r="AT445">
        <f t="shared" si="107"/>
        <v>7.3666666666666458</v>
      </c>
      <c r="AU445">
        <f t="shared" si="102"/>
        <v>5.4699999999999989</v>
      </c>
      <c r="AV445">
        <f t="shared" si="103"/>
        <v>0</v>
      </c>
      <c r="AW445">
        <f t="shared" si="95"/>
        <v>0.65750000000000008</v>
      </c>
    </row>
    <row r="446" spans="1:49" x14ac:dyDescent="0.25">
      <c r="A446" t="s">
        <v>1408</v>
      </c>
      <c r="B446">
        <v>0</v>
      </c>
      <c r="C446">
        <v>16.920000000000002</v>
      </c>
      <c r="E446" t="s">
        <v>1408</v>
      </c>
      <c r="F446">
        <v>0</v>
      </c>
      <c r="G446">
        <v>82.93</v>
      </c>
      <c r="I446" t="str" cm="1">
        <f t="array" ref="I446:J446">_xlfn.TEXTSPLIT(A446," ")</f>
        <v>27.10.2023</v>
      </c>
      <c r="J446" t="str">
        <v>07:24:34</v>
      </c>
      <c r="K446">
        <f t="shared" si="104"/>
        <v>7.3833333333333124</v>
      </c>
      <c r="L446">
        <f t="shared" si="97"/>
        <v>2.6000000000000014</v>
      </c>
      <c r="M446">
        <f t="shared" si="98"/>
        <v>0</v>
      </c>
      <c r="N446">
        <f t="shared" si="92"/>
        <v>0.29749999999999999</v>
      </c>
      <c r="Q446" t="str" cm="1">
        <f t="array" ref="Q446:R446">_xlfn.TEXTSPLIT(E446," ")</f>
        <v>27.10.2023</v>
      </c>
      <c r="R446" t="str">
        <v>07:24:34</v>
      </c>
      <c r="S446">
        <f t="shared" si="105"/>
        <v>7.3833333333333124</v>
      </c>
      <c r="T446">
        <f t="shared" si="96"/>
        <v>4.3300000000000125</v>
      </c>
      <c r="U446">
        <f t="shared" si="99"/>
        <v>0</v>
      </c>
      <c r="V446">
        <f t="shared" si="93"/>
        <v>0.53749999999999987</v>
      </c>
      <c r="AC446" t="s">
        <v>1409</v>
      </c>
      <c r="AD446">
        <v>0.15</v>
      </c>
      <c r="AE446">
        <v>6.18</v>
      </c>
      <c r="AG446" t="str" cm="1">
        <f t="array" ref="AG446:AH446">_xlfn.TEXTSPLIT(AC447," ")</f>
        <v>26.10.2023</v>
      </c>
      <c r="AH446" t="str">
        <v>07:25:34</v>
      </c>
      <c r="AI446">
        <f t="shared" si="106"/>
        <v>7.3833333333333124</v>
      </c>
      <c r="AJ446">
        <f t="shared" si="100"/>
        <v>1.6499999999999995</v>
      </c>
      <c r="AK446">
        <f t="shared" si="101"/>
        <v>0.15</v>
      </c>
      <c r="AL446">
        <f t="shared" si="94"/>
        <v>0.31749999999999995</v>
      </c>
      <c r="AN446" t="s">
        <v>1409</v>
      </c>
      <c r="AO446">
        <v>0</v>
      </c>
      <c r="AP446">
        <v>66.78</v>
      </c>
      <c r="AR446" t="str" cm="1">
        <f t="array" ref="AR446:AS446">_xlfn.TEXTSPLIT(AN446," ")</f>
        <v>26.10.2023</v>
      </c>
      <c r="AS446" t="str">
        <v>07:24:34</v>
      </c>
      <c r="AT446">
        <f t="shared" si="107"/>
        <v>7.3833333333333124</v>
      </c>
      <c r="AU446">
        <f t="shared" si="102"/>
        <v>5.4699999999999989</v>
      </c>
      <c r="AV446">
        <f t="shared" si="103"/>
        <v>0</v>
      </c>
      <c r="AW446">
        <f t="shared" si="95"/>
        <v>0.65750000000000008</v>
      </c>
    </row>
    <row r="447" spans="1:49" x14ac:dyDescent="0.25">
      <c r="A447" t="s">
        <v>1410</v>
      </c>
      <c r="B447">
        <v>0</v>
      </c>
      <c r="C447">
        <v>16.920000000000002</v>
      </c>
      <c r="E447" t="s">
        <v>1410</v>
      </c>
      <c r="F447">
        <v>0</v>
      </c>
      <c r="G447">
        <v>82.93</v>
      </c>
      <c r="I447" t="str" cm="1">
        <f t="array" ref="I447:J447">_xlfn.TEXTSPLIT(A447," ")</f>
        <v>27.10.2023</v>
      </c>
      <c r="J447" t="str">
        <v>07:25:34</v>
      </c>
      <c r="K447">
        <f t="shared" si="104"/>
        <v>7.399999999999979</v>
      </c>
      <c r="L447">
        <f t="shared" si="97"/>
        <v>2.6000000000000014</v>
      </c>
      <c r="M447">
        <f t="shared" si="98"/>
        <v>0</v>
      </c>
      <c r="N447">
        <f t="shared" ref="N447:N510" si="108">AVERAGE(M388:M447)</f>
        <v>0.29749999999999999</v>
      </c>
      <c r="Q447" t="str" cm="1">
        <f t="array" ref="Q447:R447">_xlfn.TEXTSPLIT(E447," ")</f>
        <v>27.10.2023</v>
      </c>
      <c r="R447" t="str">
        <v>07:25:34</v>
      </c>
      <c r="S447">
        <f t="shared" si="105"/>
        <v>7.399999999999979</v>
      </c>
      <c r="T447">
        <f t="shared" si="96"/>
        <v>4.3300000000000125</v>
      </c>
      <c r="U447">
        <f t="shared" si="99"/>
        <v>0</v>
      </c>
      <c r="V447">
        <f t="shared" ref="V447:V510" si="109">AVERAGE(U388:U447)</f>
        <v>0.53749999999999987</v>
      </c>
      <c r="AC447" t="s">
        <v>1411</v>
      </c>
      <c r="AD447">
        <v>0</v>
      </c>
      <c r="AE447">
        <v>6.18</v>
      </c>
      <c r="AG447" t="str" cm="1">
        <f t="array" ref="AG447:AH447">_xlfn.TEXTSPLIT(AC448," ")</f>
        <v>26.10.2023</v>
      </c>
      <c r="AH447" t="str">
        <v>07:26:34</v>
      </c>
      <c r="AI447">
        <f t="shared" si="106"/>
        <v>7.399999999999979</v>
      </c>
      <c r="AJ447">
        <f t="shared" si="100"/>
        <v>1.6499999999999995</v>
      </c>
      <c r="AK447">
        <f t="shared" si="101"/>
        <v>0</v>
      </c>
      <c r="AL447">
        <f t="shared" ref="AL447:AL510" si="110">AVERAGE(AK388:AK447)</f>
        <v>0.31749999999999995</v>
      </c>
      <c r="AN447" t="s">
        <v>1411</v>
      </c>
      <c r="AO447">
        <v>0</v>
      </c>
      <c r="AP447">
        <v>66.78</v>
      </c>
      <c r="AR447" t="str" cm="1">
        <f t="array" ref="AR447:AS447">_xlfn.TEXTSPLIT(AN447," ")</f>
        <v>26.10.2023</v>
      </c>
      <c r="AS447" t="str">
        <v>07:25:34</v>
      </c>
      <c r="AT447">
        <f t="shared" si="107"/>
        <v>7.399999999999979</v>
      </c>
      <c r="AU447">
        <f t="shared" si="102"/>
        <v>5.4699999999999989</v>
      </c>
      <c r="AV447">
        <f t="shared" si="103"/>
        <v>0</v>
      </c>
      <c r="AW447">
        <f t="shared" ref="AW447:AW510" si="111">AVERAGE(AV388:AV447)</f>
        <v>0.65750000000000008</v>
      </c>
    </row>
    <row r="448" spans="1:49" x14ac:dyDescent="0.25">
      <c r="A448" t="s">
        <v>1412</v>
      </c>
      <c r="B448">
        <v>0</v>
      </c>
      <c r="C448">
        <v>16.920000000000002</v>
      </c>
      <c r="E448" t="s">
        <v>1412</v>
      </c>
      <c r="F448">
        <v>0</v>
      </c>
      <c r="G448">
        <v>82.93</v>
      </c>
      <c r="I448" t="str" cm="1">
        <f t="array" ref="I448:J448">_xlfn.TEXTSPLIT(A448," ")</f>
        <v>27.10.2023</v>
      </c>
      <c r="J448" t="str">
        <v>07:26:34</v>
      </c>
      <c r="K448">
        <f t="shared" si="104"/>
        <v>7.4166666666666456</v>
      </c>
      <c r="L448">
        <f t="shared" si="97"/>
        <v>2.6000000000000014</v>
      </c>
      <c r="M448">
        <f t="shared" si="98"/>
        <v>0</v>
      </c>
      <c r="N448">
        <f t="shared" si="108"/>
        <v>0.29749999999999999</v>
      </c>
      <c r="Q448" t="str" cm="1">
        <f t="array" ref="Q448:R448">_xlfn.TEXTSPLIT(E448," ")</f>
        <v>27.10.2023</v>
      </c>
      <c r="R448" t="str">
        <v>07:26:34</v>
      </c>
      <c r="S448">
        <f t="shared" si="105"/>
        <v>7.4166666666666456</v>
      </c>
      <c r="T448">
        <f t="shared" si="96"/>
        <v>4.3300000000000125</v>
      </c>
      <c r="U448">
        <f t="shared" si="99"/>
        <v>0</v>
      </c>
      <c r="V448">
        <f t="shared" si="109"/>
        <v>0.53749999999999987</v>
      </c>
      <c r="AC448" t="s">
        <v>1413</v>
      </c>
      <c r="AD448">
        <v>0</v>
      </c>
      <c r="AE448">
        <v>6.18</v>
      </c>
      <c r="AG448" t="str" cm="1">
        <f t="array" ref="AG448:AH448">_xlfn.TEXTSPLIT(AC449," ")</f>
        <v>26.10.2023</v>
      </c>
      <c r="AH448" t="str">
        <v>07:27:34</v>
      </c>
      <c r="AI448">
        <f t="shared" si="106"/>
        <v>7.4166666666666456</v>
      </c>
      <c r="AJ448">
        <f t="shared" si="100"/>
        <v>1.6499999999999995</v>
      </c>
      <c r="AK448">
        <f t="shared" si="101"/>
        <v>0</v>
      </c>
      <c r="AL448">
        <f t="shared" si="110"/>
        <v>0.31749999999999995</v>
      </c>
      <c r="AN448" t="s">
        <v>1413</v>
      </c>
      <c r="AO448">
        <v>0</v>
      </c>
      <c r="AP448">
        <v>66.78</v>
      </c>
      <c r="AR448" t="str" cm="1">
        <f t="array" ref="AR448:AS448">_xlfn.TEXTSPLIT(AN448," ")</f>
        <v>26.10.2023</v>
      </c>
      <c r="AS448" t="str">
        <v>07:26:34</v>
      </c>
      <c r="AT448">
        <f t="shared" si="107"/>
        <v>7.4166666666666456</v>
      </c>
      <c r="AU448">
        <f t="shared" si="102"/>
        <v>5.4699999999999989</v>
      </c>
      <c r="AV448">
        <f t="shared" si="103"/>
        <v>0</v>
      </c>
      <c r="AW448">
        <f t="shared" si="111"/>
        <v>0.65750000000000008</v>
      </c>
    </row>
    <row r="449" spans="1:49" x14ac:dyDescent="0.25">
      <c r="A449" t="s">
        <v>1414</v>
      </c>
      <c r="B449">
        <v>0</v>
      </c>
      <c r="C449">
        <v>16.920000000000002</v>
      </c>
      <c r="E449" t="s">
        <v>1414</v>
      </c>
      <c r="F449">
        <v>0</v>
      </c>
      <c r="G449">
        <v>82.93</v>
      </c>
      <c r="I449" t="str" cm="1">
        <f t="array" ref="I449:J449">_xlfn.TEXTSPLIT(A449," ")</f>
        <v>27.10.2023</v>
      </c>
      <c r="J449" t="str">
        <v>07:27:34</v>
      </c>
      <c r="K449">
        <f t="shared" si="104"/>
        <v>7.4333333333333123</v>
      </c>
      <c r="L449">
        <f t="shared" si="97"/>
        <v>2.6000000000000014</v>
      </c>
      <c r="M449">
        <f t="shared" si="98"/>
        <v>0</v>
      </c>
      <c r="N449">
        <f t="shared" si="108"/>
        <v>0.29749999999999999</v>
      </c>
      <c r="Q449" t="str" cm="1">
        <f t="array" ref="Q449:R449">_xlfn.TEXTSPLIT(E449," ")</f>
        <v>27.10.2023</v>
      </c>
      <c r="R449" t="str">
        <v>07:27:34</v>
      </c>
      <c r="S449">
        <f t="shared" si="105"/>
        <v>7.4333333333333123</v>
      </c>
      <c r="T449">
        <f t="shared" si="96"/>
        <v>4.3300000000000125</v>
      </c>
      <c r="U449">
        <f t="shared" si="99"/>
        <v>0</v>
      </c>
      <c r="V449">
        <f t="shared" si="109"/>
        <v>0.53499999999999992</v>
      </c>
      <c r="AC449" t="s">
        <v>1415</v>
      </c>
      <c r="AD449">
        <v>0</v>
      </c>
      <c r="AE449">
        <v>6.18</v>
      </c>
      <c r="AG449" t="str" cm="1">
        <f t="array" ref="AG449:AH449">_xlfn.TEXTSPLIT(AC450," ")</f>
        <v>26.10.2023</v>
      </c>
      <c r="AH449" t="str">
        <v>07:28:34</v>
      </c>
      <c r="AI449">
        <f t="shared" si="106"/>
        <v>7.4333333333333123</v>
      </c>
      <c r="AJ449">
        <f t="shared" si="100"/>
        <v>1.6499999999999995</v>
      </c>
      <c r="AK449">
        <f t="shared" si="101"/>
        <v>0</v>
      </c>
      <c r="AL449">
        <f t="shared" si="110"/>
        <v>0.31749999999999995</v>
      </c>
      <c r="AN449" t="s">
        <v>1415</v>
      </c>
      <c r="AO449">
        <v>0</v>
      </c>
      <c r="AP449">
        <v>66.78</v>
      </c>
      <c r="AR449" t="str" cm="1">
        <f t="array" ref="AR449:AS449">_xlfn.TEXTSPLIT(AN449," ")</f>
        <v>26.10.2023</v>
      </c>
      <c r="AS449" t="str">
        <v>07:27:34</v>
      </c>
      <c r="AT449">
        <f t="shared" si="107"/>
        <v>7.4333333333333123</v>
      </c>
      <c r="AU449">
        <f t="shared" si="102"/>
        <v>5.4699999999999989</v>
      </c>
      <c r="AV449">
        <f t="shared" si="103"/>
        <v>0</v>
      </c>
      <c r="AW449">
        <f t="shared" si="111"/>
        <v>0.65499999999999992</v>
      </c>
    </row>
    <row r="450" spans="1:49" x14ac:dyDescent="0.25">
      <c r="A450" t="s">
        <v>1416</v>
      </c>
      <c r="B450">
        <v>0</v>
      </c>
      <c r="C450">
        <v>16.920000000000002</v>
      </c>
      <c r="E450" t="s">
        <v>1416</v>
      </c>
      <c r="F450">
        <v>0.3</v>
      </c>
      <c r="G450">
        <v>82.93</v>
      </c>
      <c r="I450" t="str" cm="1">
        <f t="array" ref="I450:J450">_xlfn.TEXTSPLIT(A450," ")</f>
        <v>27.10.2023</v>
      </c>
      <c r="J450" t="str">
        <v>07:28:35</v>
      </c>
      <c r="K450">
        <f t="shared" si="104"/>
        <v>7.4499999999999789</v>
      </c>
      <c r="L450">
        <f t="shared" si="97"/>
        <v>2.6000000000000014</v>
      </c>
      <c r="M450">
        <f t="shared" si="98"/>
        <v>0</v>
      </c>
      <c r="N450">
        <f t="shared" si="108"/>
        <v>0.29749999999999999</v>
      </c>
      <c r="Q450" t="str" cm="1">
        <f t="array" ref="Q450:R450">_xlfn.TEXTSPLIT(E450," ")</f>
        <v>27.10.2023</v>
      </c>
      <c r="R450" t="str">
        <v>07:28:35</v>
      </c>
      <c r="S450">
        <f t="shared" si="105"/>
        <v>7.4499999999999789</v>
      </c>
      <c r="T450">
        <f t="shared" si="96"/>
        <v>4.3300000000000125</v>
      </c>
      <c r="U450">
        <f t="shared" si="99"/>
        <v>0.3</v>
      </c>
      <c r="V450">
        <f t="shared" si="109"/>
        <v>0.53999999999999981</v>
      </c>
      <c r="AC450" t="s">
        <v>1417</v>
      </c>
      <c r="AD450">
        <v>0</v>
      </c>
      <c r="AE450">
        <v>6.18</v>
      </c>
      <c r="AG450" t="str" cm="1">
        <f t="array" ref="AG450:AH450">_xlfn.TEXTSPLIT(AC451," ")</f>
        <v>26.10.2023</v>
      </c>
      <c r="AH450" t="str">
        <v>07:29:34</v>
      </c>
      <c r="AI450">
        <f t="shared" si="106"/>
        <v>7.4499999999999789</v>
      </c>
      <c r="AJ450">
        <f t="shared" si="100"/>
        <v>1.6499999999999995</v>
      </c>
      <c r="AK450">
        <f t="shared" si="101"/>
        <v>0</v>
      </c>
      <c r="AL450">
        <f t="shared" si="110"/>
        <v>0.31749999999999995</v>
      </c>
      <c r="AN450" t="s">
        <v>1417</v>
      </c>
      <c r="AO450">
        <v>0.15</v>
      </c>
      <c r="AP450">
        <v>66.790000000000006</v>
      </c>
      <c r="AR450" t="str" cm="1">
        <f t="array" ref="AR450:AS450">_xlfn.TEXTSPLIT(AN450," ")</f>
        <v>26.10.2023</v>
      </c>
      <c r="AS450" t="str">
        <v>07:28:34</v>
      </c>
      <c r="AT450">
        <f t="shared" si="107"/>
        <v>7.4499999999999789</v>
      </c>
      <c r="AU450">
        <f t="shared" si="102"/>
        <v>5.480000000000004</v>
      </c>
      <c r="AV450">
        <f t="shared" si="103"/>
        <v>0.15</v>
      </c>
      <c r="AW450">
        <f t="shared" si="111"/>
        <v>0.65249999999999997</v>
      </c>
    </row>
    <row r="451" spans="1:49" x14ac:dyDescent="0.25">
      <c r="A451" t="s">
        <v>1418</v>
      </c>
      <c r="B451">
        <v>0</v>
      </c>
      <c r="C451">
        <v>16.920000000000002</v>
      </c>
      <c r="E451" t="s">
        <v>1418</v>
      </c>
      <c r="F451">
        <v>0</v>
      </c>
      <c r="G451">
        <v>82.93</v>
      </c>
      <c r="I451" t="str" cm="1">
        <f t="array" ref="I451:J451">_xlfn.TEXTSPLIT(A451," ")</f>
        <v>27.10.2023</v>
      </c>
      <c r="J451" t="str">
        <v>07:29:35</v>
      </c>
      <c r="K451">
        <f t="shared" si="104"/>
        <v>7.4666666666666455</v>
      </c>
      <c r="L451">
        <f t="shared" si="97"/>
        <v>2.6000000000000014</v>
      </c>
      <c r="M451">
        <f t="shared" si="98"/>
        <v>0</v>
      </c>
      <c r="N451">
        <f t="shared" si="108"/>
        <v>0.29749999999999999</v>
      </c>
      <c r="Q451" t="str" cm="1">
        <f t="array" ref="Q451:R451">_xlfn.TEXTSPLIT(E451," ")</f>
        <v>27.10.2023</v>
      </c>
      <c r="R451" t="str">
        <v>07:29:35</v>
      </c>
      <c r="S451">
        <f t="shared" si="105"/>
        <v>7.4666666666666455</v>
      </c>
      <c r="T451">
        <f t="shared" ref="T451:T514" si="112">G451-78.6</f>
        <v>4.3300000000000125</v>
      </c>
      <c r="U451">
        <f t="shared" si="99"/>
        <v>0</v>
      </c>
      <c r="V451">
        <f t="shared" si="109"/>
        <v>0.53749999999999987</v>
      </c>
      <c r="AC451" t="s">
        <v>1419</v>
      </c>
      <c r="AD451">
        <v>0</v>
      </c>
      <c r="AE451">
        <v>6.18</v>
      </c>
      <c r="AG451" t="str" cm="1">
        <f t="array" ref="AG451:AH451">_xlfn.TEXTSPLIT(AC452," ")</f>
        <v>26.10.2023</v>
      </c>
      <c r="AH451" t="str">
        <v>07:30:34</v>
      </c>
      <c r="AI451">
        <f t="shared" si="106"/>
        <v>7.4666666666666455</v>
      </c>
      <c r="AJ451">
        <f t="shared" si="100"/>
        <v>1.6499999999999995</v>
      </c>
      <c r="AK451">
        <f t="shared" si="101"/>
        <v>0</v>
      </c>
      <c r="AL451">
        <f t="shared" si="110"/>
        <v>0.31749999999999995</v>
      </c>
      <c r="AN451" t="s">
        <v>1419</v>
      </c>
      <c r="AO451">
        <v>0.15</v>
      </c>
      <c r="AP451">
        <v>66.790000000000006</v>
      </c>
      <c r="AR451" t="str" cm="1">
        <f t="array" ref="AR451:AS451">_xlfn.TEXTSPLIT(AN451," ")</f>
        <v>26.10.2023</v>
      </c>
      <c r="AS451" t="str">
        <v>07:29:34</v>
      </c>
      <c r="AT451">
        <f t="shared" si="107"/>
        <v>7.4666666666666455</v>
      </c>
      <c r="AU451">
        <f t="shared" si="102"/>
        <v>5.480000000000004</v>
      </c>
      <c r="AV451">
        <f t="shared" si="103"/>
        <v>0.15</v>
      </c>
      <c r="AW451">
        <f t="shared" si="111"/>
        <v>0.64749999999999985</v>
      </c>
    </row>
    <row r="452" spans="1:49" x14ac:dyDescent="0.25">
      <c r="A452" t="s">
        <v>1420</v>
      </c>
      <c r="B452">
        <v>0</v>
      </c>
      <c r="C452">
        <v>16.920000000000002</v>
      </c>
      <c r="E452" t="s">
        <v>1420</v>
      </c>
      <c r="F452">
        <v>0.15</v>
      </c>
      <c r="G452">
        <v>82.93</v>
      </c>
      <c r="I452" t="str" cm="1">
        <f t="array" ref="I452:J452">_xlfn.TEXTSPLIT(A452," ")</f>
        <v>27.10.2023</v>
      </c>
      <c r="J452" t="str">
        <v>07:30:35</v>
      </c>
      <c r="K452">
        <f t="shared" si="104"/>
        <v>7.4833333333333121</v>
      </c>
      <c r="L452">
        <f t="shared" ref="L452:L515" si="113">C452-14.32</f>
        <v>2.6000000000000014</v>
      </c>
      <c r="M452">
        <f t="shared" ref="M452:M515" si="114">B452</f>
        <v>0</v>
      </c>
      <c r="N452">
        <f t="shared" si="108"/>
        <v>0.29749999999999999</v>
      </c>
      <c r="Q452" t="str" cm="1">
        <f t="array" ref="Q452:R452">_xlfn.TEXTSPLIT(E452," ")</f>
        <v>27.10.2023</v>
      </c>
      <c r="R452" t="str">
        <v>07:30:35</v>
      </c>
      <c r="S452">
        <f t="shared" si="105"/>
        <v>7.4833333333333121</v>
      </c>
      <c r="T452">
        <f t="shared" si="112"/>
        <v>4.3300000000000125</v>
      </c>
      <c r="U452">
        <f t="shared" ref="U452:U515" si="115">F452</f>
        <v>0.15</v>
      </c>
      <c r="V452">
        <f t="shared" si="109"/>
        <v>0.53749999999999987</v>
      </c>
      <c r="AC452" t="s">
        <v>1421</v>
      </c>
      <c r="AD452">
        <v>0</v>
      </c>
      <c r="AE452">
        <v>6.18</v>
      </c>
      <c r="AG452" t="str" cm="1">
        <f t="array" ref="AG452:AH452">_xlfn.TEXTSPLIT(AC453," ")</f>
        <v>26.10.2023</v>
      </c>
      <c r="AH452" t="str">
        <v>07:31:34</v>
      </c>
      <c r="AI452">
        <f t="shared" si="106"/>
        <v>7.4833333333333121</v>
      </c>
      <c r="AJ452">
        <f t="shared" ref="AJ452:AJ515" si="116">AE452-4.53</f>
        <v>1.6499999999999995</v>
      </c>
      <c r="AK452">
        <f t="shared" ref="AK452:AK515" si="117">AD452</f>
        <v>0</v>
      </c>
      <c r="AL452">
        <f t="shared" si="110"/>
        <v>0.31749999999999995</v>
      </c>
      <c r="AN452" t="s">
        <v>1421</v>
      </c>
      <c r="AO452">
        <v>0.3</v>
      </c>
      <c r="AP452">
        <v>66.8</v>
      </c>
      <c r="AR452" t="str" cm="1">
        <f t="array" ref="AR452:AS452">_xlfn.TEXTSPLIT(AN452," ")</f>
        <v>26.10.2023</v>
      </c>
      <c r="AS452" t="str">
        <v>07:30:34</v>
      </c>
      <c r="AT452">
        <f t="shared" si="107"/>
        <v>7.4833333333333121</v>
      </c>
      <c r="AU452">
        <f t="shared" ref="AU452:AU515" si="118">AP452-61.31</f>
        <v>5.4899999999999949</v>
      </c>
      <c r="AV452">
        <f t="shared" ref="AV452:AV515" si="119">AO452</f>
        <v>0.3</v>
      </c>
      <c r="AW452">
        <f t="shared" si="111"/>
        <v>0.64749999999999974</v>
      </c>
    </row>
    <row r="453" spans="1:49" x14ac:dyDescent="0.25">
      <c r="A453" t="s">
        <v>1422</v>
      </c>
      <c r="B453">
        <v>0</v>
      </c>
      <c r="C453">
        <v>16.920000000000002</v>
      </c>
      <c r="E453" t="s">
        <v>1422</v>
      </c>
      <c r="F453">
        <v>0.15</v>
      </c>
      <c r="G453">
        <v>82.94</v>
      </c>
      <c r="I453" t="str" cm="1">
        <f t="array" ref="I453:J453">_xlfn.TEXTSPLIT(A453," ")</f>
        <v>27.10.2023</v>
      </c>
      <c r="J453" t="str">
        <v>07:31:35</v>
      </c>
      <c r="K453">
        <f t="shared" ref="K453:K516" si="120">1/60+K452</f>
        <v>7.4999999999999787</v>
      </c>
      <c r="L453">
        <f t="shared" si="113"/>
        <v>2.6000000000000014</v>
      </c>
      <c r="M453">
        <f t="shared" si="114"/>
        <v>0</v>
      </c>
      <c r="N453">
        <f t="shared" si="108"/>
        <v>0.29749999999999999</v>
      </c>
      <c r="Q453" t="str" cm="1">
        <f t="array" ref="Q453:R453">_xlfn.TEXTSPLIT(E453," ")</f>
        <v>27.10.2023</v>
      </c>
      <c r="R453" t="str">
        <v>07:31:35</v>
      </c>
      <c r="S453">
        <f t="shared" ref="S453:S516" si="121">1/60+S452</f>
        <v>7.4999999999999787</v>
      </c>
      <c r="T453">
        <f t="shared" si="112"/>
        <v>4.3400000000000034</v>
      </c>
      <c r="U453">
        <f t="shared" si="115"/>
        <v>0.15</v>
      </c>
      <c r="V453">
        <f t="shared" si="109"/>
        <v>0.53500000000000003</v>
      </c>
      <c r="AC453" t="s">
        <v>1423</v>
      </c>
      <c r="AD453">
        <v>0</v>
      </c>
      <c r="AE453">
        <v>6.18</v>
      </c>
      <c r="AG453" t="str" cm="1">
        <f t="array" ref="AG453:AH453">_xlfn.TEXTSPLIT(AC454," ")</f>
        <v>26.10.2023</v>
      </c>
      <c r="AH453" t="str">
        <v>07:32:35</v>
      </c>
      <c r="AI453">
        <f t="shared" ref="AI453:AI516" si="122">1/60+AI452</f>
        <v>7.4999999999999787</v>
      </c>
      <c r="AJ453">
        <f t="shared" si="116"/>
        <v>1.6499999999999995</v>
      </c>
      <c r="AK453">
        <f t="shared" si="117"/>
        <v>0</v>
      </c>
      <c r="AL453">
        <f t="shared" si="110"/>
        <v>0.31749999999999995</v>
      </c>
      <c r="AN453" t="s">
        <v>1423</v>
      </c>
      <c r="AO453">
        <v>0.3</v>
      </c>
      <c r="AP453">
        <v>66.8</v>
      </c>
      <c r="AR453" t="str" cm="1">
        <f t="array" ref="AR453:AS453">_xlfn.TEXTSPLIT(AN453," ")</f>
        <v>26.10.2023</v>
      </c>
      <c r="AS453" t="str">
        <v>07:31:34</v>
      </c>
      <c r="AT453">
        <f t="shared" ref="AT453:AT516" si="123">1/60+AT452</f>
        <v>7.4999999999999787</v>
      </c>
      <c r="AU453">
        <f t="shared" si="118"/>
        <v>5.4899999999999949</v>
      </c>
      <c r="AV453">
        <f t="shared" si="119"/>
        <v>0.3</v>
      </c>
      <c r="AW453">
        <f t="shared" si="111"/>
        <v>0.6449999999999998</v>
      </c>
    </row>
    <row r="454" spans="1:49" x14ac:dyDescent="0.25">
      <c r="A454" t="s">
        <v>1424</v>
      </c>
      <c r="B454">
        <v>0</v>
      </c>
      <c r="C454">
        <v>16.920000000000002</v>
      </c>
      <c r="E454" t="s">
        <v>1424</v>
      </c>
      <c r="F454">
        <v>0.15</v>
      </c>
      <c r="G454">
        <v>82.94</v>
      </c>
      <c r="I454" t="str" cm="1">
        <f t="array" ref="I454:J454">_xlfn.TEXTSPLIT(A454," ")</f>
        <v>27.10.2023</v>
      </c>
      <c r="J454" t="str">
        <v>07:32:35</v>
      </c>
      <c r="K454">
        <f t="shared" si="120"/>
        <v>7.5166666666666453</v>
      </c>
      <c r="L454">
        <f t="shared" si="113"/>
        <v>2.6000000000000014</v>
      </c>
      <c r="M454">
        <f t="shared" si="114"/>
        <v>0</v>
      </c>
      <c r="N454">
        <f t="shared" si="108"/>
        <v>0.29749999999999999</v>
      </c>
      <c r="Q454" t="str" cm="1">
        <f t="array" ref="Q454:R454">_xlfn.TEXTSPLIT(E454," ")</f>
        <v>27.10.2023</v>
      </c>
      <c r="R454" t="str">
        <v>07:32:35</v>
      </c>
      <c r="S454">
        <f t="shared" si="121"/>
        <v>7.5166666666666453</v>
      </c>
      <c r="T454">
        <f t="shared" si="112"/>
        <v>4.3400000000000034</v>
      </c>
      <c r="U454">
        <f t="shared" si="115"/>
        <v>0.15</v>
      </c>
      <c r="V454">
        <f t="shared" si="109"/>
        <v>0.53499999999999992</v>
      </c>
      <c r="AC454" t="s">
        <v>1425</v>
      </c>
      <c r="AD454">
        <v>0</v>
      </c>
      <c r="AE454">
        <v>6.18</v>
      </c>
      <c r="AG454" t="str" cm="1">
        <f t="array" ref="AG454:AH454">_xlfn.TEXTSPLIT(AC455," ")</f>
        <v>26.10.2023</v>
      </c>
      <c r="AH454" t="str">
        <v>07:33:35</v>
      </c>
      <c r="AI454">
        <f t="shared" si="122"/>
        <v>7.5166666666666453</v>
      </c>
      <c r="AJ454">
        <f t="shared" si="116"/>
        <v>1.6499999999999995</v>
      </c>
      <c r="AK454">
        <f t="shared" si="117"/>
        <v>0</v>
      </c>
      <c r="AL454">
        <f t="shared" si="110"/>
        <v>0.31749999999999995</v>
      </c>
      <c r="AN454" t="s">
        <v>1425</v>
      </c>
      <c r="AO454">
        <v>0.3</v>
      </c>
      <c r="AP454">
        <v>66.81</v>
      </c>
      <c r="AR454" t="str" cm="1">
        <f t="array" ref="AR454:AS454">_xlfn.TEXTSPLIT(AN454," ")</f>
        <v>26.10.2023</v>
      </c>
      <c r="AS454" t="str">
        <v>07:32:35</v>
      </c>
      <c r="AT454">
        <f t="shared" si="123"/>
        <v>7.5166666666666453</v>
      </c>
      <c r="AU454">
        <f t="shared" si="118"/>
        <v>5.5</v>
      </c>
      <c r="AV454">
        <f t="shared" si="119"/>
        <v>0.3</v>
      </c>
      <c r="AW454">
        <f t="shared" si="111"/>
        <v>0.64499999999999968</v>
      </c>
    </row>
    <row r="455" spans="1:49" x14ac:dyDescent="0.25">
      <c r="A455" t="s">
        <v>1426</v>
      </c>
      <c r="B455">
        <v>0</v>
      </c>
      <c r="C455">
        <v>16.920000000000002</v>
      </c>
      <c r="E455" t="s">
        <v>1426</v>
      </c>
      <c r="F455">
        <v>0.3</v>
      </c>
      <c r="G455">
        <v>82.95</v>
      </c>
      <c r="I455" t="str" cm="1">
        <f t="array" ref="I455:J455">_xlfn.TEXTSPLIT(A455," ")</f>
        <v>27.10.2023</v>
      </c>
      <c r="J455" t="str">
        <v>07:33:35</v>
      </c>
      <c r="K455">
        <f t="shared" si="120"/>
        <v>7.5333333333333119</v>
      </c>
      <c r="L455">
        <f t="shared" si="113"/>
        <v>2.6000000000000014</v>
      </c>
      <c r="M455">
        <f t="shared" si="114"/>
        <v>0</v>
      </c>
      <c r="N455">
        <f t="shared" si="108"/>
        <v>0.29749999999999999</v>
      </c>
      <c r="Q455" t="str" cm="1">
        <f t="array" ref="Q455:R455">_xlfn.TEXTSPLIT(E455," ")</f>
        <v>27.10.2023</v>
      </c>
      <c r="R455" t="str">
        <v>07:33:35</v>
      </c>
      <c r="S455">
        <f t="shared" si="121"/>
        <v>7.5333333333333119</v>
      </c>
      <c r="T455">
        <f t="shared" si="112"/>
        <v>4.3500000000000085</v>
      </c>
      <c r="U455">
        <f t="shared" si="115"/>
        <v>0.3</v>
      </c>
      <c r="V455">
        <f t="shared" si="109"/>
        <v>0.53499999999999992</v>
      </c>
      <c r="AC455" t="s">
        <v>1427</v>
      </c>
      <c r="AD455">
        <v>0</v>
      </c>
      <c r="AE455">
        <v>6.18</v>
      </c>
      <c r="AG455" t="str" cm="1">
        <f t="array" ref="AG455:AH455">_xlfn.TEXTSPLIT(AC456," ")</f>
        <v>26.10.2023</v>
      </c>
      <c r="AH455" t="str">
        <v>07:34:35</v>
      </c>
      <c r="AI455">
        <f t="shared" si="122"/>
        <v>7.5333333333333119</v>
      </c>
      <c r="AJ455">
        <f t="shared" si="116"/>
        <v>1.6499999999999995</v>
      </c>
      <c r="AK455">
        <f t="shared" si="117"/>
        <v>0</v>
      </c>
      <c r="AL455">
        <f t="shared" si="110"/>
        <v>0.31749999999999995</v>
      </c>
      <c r="AN455" t="s">
        <v>1427</v>
      </c>
      <c r="AO455">
        <v>0.3</v>
      </c>
      <c r="AP455">
        <v>66.81</v>
      </c>
      <c r="AR455" t="str" cm="1">
        <f t="array" ref="AR455:AS455">_xlfn.TEXTSPLIT(AN455," ")</f>
        <v>26.10.2023</v>
      </c>
      <c r="AS455" t="str">
        <v>07:33:35</v>
      </c>
      <c r="AT455">
        <f t="shared" si="123"/>
        <v>7.5333333333333119</v>
      </c>
      <c r="AU455">
        <f t="shared" si="118"/>
        <v>5.5</v>
      </c>
      <c r="AV455">
        <f t="shared" si="119"/>
        <v>0.3</v>
      </c>
      <c r="AW455">
        <f t="shared" si="111"/>
        <v>0.64499999999999968</v>
      </c>
    </row>
    <row r="456" spans="1:49" x14ac:dyDescent="0.25">
      <c r="A456" t="s">
        <v>1428</v>
      </c>
      <c r="B456">
        <v>0</v>
      </c>
      <c r="C456">
        <v>16.920000000000002</v>
      </c>
      <c r="E456" t="s">
        <v>1428</v>
      </c>
      <c r="F456">
        <v>0.6</v>
      </c>
      <c r="G456">
        <v>82.96</v>
      </c>
      <c r="I456" t="str" cm="1">
        <f t="array" ref="I456:J456">_xlfn.TEXTSPLIT(A456," ")</f>
        <v>27.10.2023</v>
      </c>
      <c r="J456" t="str">
        <v>07:34:35</v>
      </c>
      <c r="K456">
        <f t="shared" si="120"/>
        <v>7.5499999999999785</v>
      </c>
      <c r="L456">
        <f t="shared" si="113"/>
        <v>2.6000000000000014</v>
      </c>
      <c r="M456">
        <f t="shared" si="114"/>
        <v>0</v>
      </c>
      <c r="N456">
        <f t="shared" si="108"/>
        <v>0.29749999999999999</v>
      </c>
      <c r="Q456" t="str" cm="1">
        <f t="array" ref="Q456:R456">_xlfn.TEXTSPLIT(E456," ")</f>
        <v>27.10.2023</v>
      </c>
      <c r="R456" t="str">
        <v>07:34:35</v>
      </c>
      <c r="S456">
        <f t="shared" si="121"/>
        <v>7.5499999999999785</v>
      </c>
      <c r="T456">
        <f t="shared" si="112"/>
        <v>4.3599999999999994</v>
      </c>
      <c r="U456">
        <f t="shared" si="115"/>
        <v>0.6</v>
      </c>
      <c r="V456">
        <f t="shared" si="109"/>
        <v>0.53999999999999992</v>
      </c>
      <c r="AC456" t="s">
        <v>1429</v>
      </c>
      <c r="AD456">
        <v>0</v>
      </c>
      <c r="AE456">
        <v>6.18</v>
      </c>
      <c r="AG456" t="str" cm="1">
        <f t="array" ref="AG456:AH456">_xlfn.TEXTSPLIT(AC457," ")</f>
        <v>26.10.2023</v>
      </c>
      <c r="AH456" t="str">
        <v>07:35:35</v>
      </c>
      <c r="AI456">
        <f t="shared" si="122"/>
        <v>7.5499999999999785</v>
      </c>
      <c r="AJ456">
        <f t="shared" si="116"/>
        <v>1.6499999999999995</v>
      </c>
      <c r="AK456">
        <f t="shared" si="117"/>
        <v>0</v>
      </c>
      <c r="AL456">
        <f t="shared" si="110"/>
        <v>0.31749999999999995</v>
      </c>
      <c r="AN456" t="s">
        <v>1429</v>
      </c>
      <c r="AO456">
        <v>0.6</v>
      </c>
      <c r="AP456">
        <v>66.819999999999993</v>
      </c>
      <c r="AR456" t="str" cm="1">
        <f t="array" ref="AR456:AS456">_xlfn.TEXTSPLIT(AN456," ")</f>
        <v>26.10.2023</v>
      </c>
      <c r="AS456" t="str">
        <v>07:34:35</v>
      </c>
      <c r="AT456">
        <f t="shared" si="123"/>
        <v>7.5499999999999785</v>
      </c>
      <c r="AU456">
        <f t="shared" si="118"/>
        <v>5.5099999999999909</v>
      </c>
      <c r="AV456">
        <f t="shared" si="119"/>
        <v>0.6</v>
      </c>
      <c r="AW456">
        <f t="shared" si="111"/>
        <v>0.6499999999999998</v>
      </c>
    </row>
    <row r="457" spans="1:49" x14ac:dyDescent="0.25">
      <c r="A457" t="s">
        <v>1430</v>
      </c>
      <c r="B457">
        <v>0</v>
      </c>
      <c r="C457">
        <v>16.920000000000002</v>
      </c>
      <c r="E457" t="s">
        <v>1430</v>
      </c>
      <c r="F457">
        <v>0.15</v>
      </c>
      <c r="G457">
        <v>82.96</v>
      </c>
      <c r="I457" t="str" cm="1">
        <f t="array" ref="I457:J457">_xlfn.TEXTSPLIT(A457," ")</f>
        <v>27.10.2023</v>
      </c>
      <c r="J457" t="str">
        <v>07:35:36</v>
      </c>
      <c r="K457">
        <f t="shared" si="120"/>
        <v>7.5666666666666451</v>
      </c>
      <c r="L457">
        <f t="shared" si="113"/>
        <v>2.6000000000000014</v>
      </c>
      <c r="M457">
        <f t="shared" si="114"/>
        <v>0</v>
      </c>
      <c r="N457">
        <f t="shared" si="108"/>
        <v>0.29749999999999999</v>
      </c>
      <c r="Q457" t="str" cm="1">
        <f t="array" ref="Q457:R457">_xlfn.TEXTSPLIT(E457," ")</f>
        <v>27.10.2023</v>
      </c>
      <c r="R457" t="str">
        <v>07:35:36</v>
      </c>
      <c r="S457">
        <f t="shared" si="121"/>
        <v>7.5666666666666451</v>
      </c>
      <c r="T457">
        <f t="shared" si="112"/>
        <v>4.3599999999999994</v>
      </c>
      <c r="U457">
        <f t="shared" si="115"/>
        <v>0.15</v>
      </c>
      <c r="V457">
        <f t="shared" si="109"/>
        <v>0.53249999999999997</v>
      </c>
      <c r="AC457" t="s">
        <v>1431</v>
      </c>
      <c r="AD457">
        <v>0</v>
      </c>
      <c r="AE457">
        <v>6.18</v>
      </c>
      <c r="AG457" t="str" cm="1">
        <f t="array" ref="AG457:AH457">_xlfn.TEXTSPLIT(AC458," ")</f>
        <v>26.10.2023</v>
      </c>
      <c r="AH457" t="str">
        <v>07:36:35</v>
      </c>
      <c r="AI457">
        <f t="shared" si="122"/>
        <v>7.5666666666666451</v>
      </c>
      <c r="AJ457">
        <f t="shared" si="116"/>
        <v>1.6499999999999995</v>
      </c>
      <c r="AK457">
        <f t="shared" si="117"/>
        <v>0</v>
      </c>
      <c r="AL457">
        <f t="shared" si="110"/>
        <v>0.31749999999999995</v>
      </c>
      <c r="AN457" t="s">
        <v>1431</v>
      </c>
      <c r="AO457">
        <v>0.45</v>
      </c>
      <c r="AP457">
        <v>66.83</v>
      </c>
      <c r="AR457" t="str" cm="1">
        <f t="array" ref="AR457:AS457">_xlfn.TEXTSPLIT(AN457," ")</f>
        <v>26.10.2023</v>
      </c>
      <c r="AS457" t="str">
        <v>07:35:35</v>
      </c>
      <c r="AT457">
        <f t="shared" si="123"/>
        <v>7.5666666666666451</v>
      </c>
      <c r="AU457">
        <f t="shared" si="118"/>
        <v>5.519999999999996</v>
      </c>
      <c r="AV457">
        <f t="shared" si="119"/>
        <v>0.45</v>
      </c>
      <c r="AW457">
        <f t="shared" si="111"/>
        <v>0.65249999999999986</v>
      </c>
    </row>
    <row r="458" spans="1:49" x14ac:dyDescent="0.25">
      <c r="A458" t="s">
        <v>1432</v>
      </c>
      <c r="B458">
        <v>0</v>
      </c>
      <c r="C458">
        <v>16.920000000000002</v>
      </c>
      <c r="E458" t="s">
        <v>1432</v>
      </c>
      <c r="F458">
        <v>0.6</v>
      </c>
      <c r="G458">
        <v>82.98</v>
      </c>
      <c r="I458" t="str" cm="1">
        <f t="array" ref="I458:J458">_xlfn.TEXTSPLIT(A458," ")</f>
        <v>27.10.2023</v>
      </c>
      <c r="J458" t="str">
        <v>07:36:36</v>
      </c>
      <c r="K458">
        <f t="shared" si="120"/>
        <v>7.5833333333333117</v>
      </c>
      <c r="L458">
        <f t="shared" si="113"/>
        <v>2.6000000000000014</v>
      </c>
      <c r="M458">
        <f t="shared" si="114"/>
        <v>0</v>
      </c>
      <c r="N458">
        <f t="shared" si="108"/>
        <v>0.29749999999999999</v>
      </c>
      <c r="Q458" t="str" cm="1">
        <f t="array" ref="Q458:R458">_xlfn.TEXTSPLIT(E458," ")</f>
        <v>27.10.2023</v>
      </c>
      <c r="R458" t="str">
        <v>07:36:36</v>
      </c>
      <c r="S458">
        <f t="shared" si="121"/>
        <v>7.5833333333333117</v>
      </c>
      <c r="T458">
        <f t="shared" si="112"/>
        <v>4.3800000000000097</v>
      </c>
      <c r="U458">
        <f t="shared" si="115"/>
        <v>0.6</v>
      </c>
      <c r="V458">
        <f t="shared" si="109"/>
        <v>0.52249999999999996</v>
      </c>
      <c r="AC458" t="s">
        <v>1433</v>
      </c>
      <c r="AD458">
        <v>0</v>
      </c>
      <c r="AE458">
        <v>6.18</v>
      </c>
      <c r="AG458" t="str" cm="1">
        <f t="array" ref="AG458:AH458">_xlfn.TEXTSPLIT(AC459," ")</f>
        <v>26.10.2023</v>
      </c>
      <c r="AH458" t="str">
        <v>07:37:35</v>
      </c>
      <c r="AI458">
        <f t="shared" si="122"/>
        <v>7.5833333333333117</v>
      </c>
      <c r="AJ458">
        <f t="shared" si="116"/>
        <v>1.6499999999999995</v>
      </c>
      <c r="AK458">
        <f t="shared" si="117"/>
        <v>0</v>
      </c>
      <c r="AL458">
        <f t="shared" si="110"/>
        <v>0.31749999999999995</v>
      </c>
      <c r="AN458" t="s">
        <v>1433</v>
      </c>
      <c r="AO458">
        <v>0.6</v>
      </c>
      <c r="AP458">
        <v>66.84</v>
      </c>
      <c r="AR458" t="str" cm="1">
        <f t="array" ref="AR458:AS458">_xlfn.TEXTSPLIT(AN458," ")</f>
        <v>26.10.2023</v>
      </c>
      <c r="AS458" t="str">
        <v>07:36:35</v>
      </c>
      <c r="AT458">
        <f t="shared" si="123"/>
        <v>7.5833333333333117</v>
      </c>
      <c r="AU458">
        <f t="shared" si="118"/>
        <v>5.5300000000000011</v>
      </c>
      <c r="AV458">
        <f t="shared" si="119"/>
        <v>0.6</v>
      </c>
      <c r="AW458">
        <f t="shared" si="111"/>
        <v>0.6549999999999998</v>
      </c>
    </row>
    <row r="459" spans="1:49" x14ac:dyDescent="0.25">
      <c r="A459" t="s">
        <v>1434</v>
      </c>
      <c r="B459">
        <v>0.15</v>
      </c>
      <c r="C459">
        <v>16.93</v>
      </c>
      <c r="E459" t="s">
        <v>1434</v>
      </c>
      <c r="F459">
        <v>1.35</v>
      </c>
      <c r="G459">
        <v>83</v>
      </c>
      <c r="I459" t="str" cm="1">
        <f t="array" ref="I459:J459">_xlfn.TEXTSPLIT(A459," ")</f>
        <v>27.10.2023</v>
      </c>
      <c r="J459" t="str">
        <v>07:37:36</v>
      </c>
      <c r="K459">
        <f t="shared" si="120"/>
        <v>7.5999999999999783</v>
      </c>
      <c r="L459">
        <f t="shared" si="113"/>
        <v>2.6099999999999994</v>
      </c>
      <c r="M459">
        <f t="shared" si="114"/>
        <v>0.15</v>
      </c>
      <c r="N459">
        <f t="shared" si="108"/>
        <v>0.29999999999999993</v>
      </c>
      <c r="Q459" t="str" cm="1">
        <f t="array" ref="Q459:R459">_xlfn.TEXTSPLIT(E459," ")</f>
        <v>27.10.2023</v>
      </c>
      <c r="R459" t="str">
        <v>07:37:36</v>
      </c>
      <c r="S459">
        <f t="shared" si="121"/>
        <v>7.5999999999999783</v>
      </c>
      <c r="T459">
        <f t="shared" si="112"/>
        <v>4.4000000000000057</v>
      </c>
      <c r="U459">
        <f t="shared" si="115"/>
        <v>1.35</v>
      </c>
      <c r="V459">
        <f t="shared" si="109"/>
        <v>0.51750000000000007</v>
      </c>
      <c r="AC459" t="s">
        <v>1435</v>
      </c>
      <c r="AD459">
        <v>0</v>
      </c>
      <c r="AE459">
        <v>6.18</v>
      </c>
      <c r="AG459" t="str" cm="1">
        <f t="array" ref="AG459:AH459">_xlfn.TEXTSPLIT(AC460," ")</f>
        <v>26.10.2023</v>
      </c>
      <c r="AH459" t="str">
        <v>07:38:35</v>
      </c>
      <c r="AI459">
        <f t="shared" si="122"/>
        <v>7.5999999999999783</v>
      </c>
      <c r="AJ459">
        <f t="shared" si="116"/>
        <v>1.6499999999999995</v>
      </c>
      <c r="AK459">
        <f t="shared" si="117"/>
        <v>0</v>
      </c>
      <c r="AL459">
        <f t="shared" si="110"/>
        <v>0.31749999999999995</v>
      </c>
      <c r="AN459" t="s">
        <v>1435</v>
      </c>
      <c r="AO459">
        <v>1.5</v>
      </c>
      <c r="AP459">
        <v>66.88</v>
      </c>
      <c r="AR459" t="str" cm="1">
        <f t="array" ref="AR459:AS459">_xlfn.TEXTSPLIT(AN459," ")</f>
        <v>26.10.2023</v>
      </c>
      <c r="AS459" t="str">
        <v>07:37:35</v>
      </c>
      <c r="AT459">
        <f t="shared" si="123"/>
        <v>7.5999999999999783</v>
      </c>
      <c r="AU459">
        <f t="shared" si="118"/>
        <v>5.5699999999999932</v>
      </c>
      <c r="AV459">
        <f t="shared" si="119"/>
        <v>1.5</v>
      </c>
      <c r="AW459">
        <f t="shared" si="111"/>
        <v>0.66499999999999981</v>
      </c>
    </row>
    <row r="460" spans="1:49" x14ac:dyDescent="0.25">
      <c r="A460" t="s">
        <v>1436</v>
      </c>
      <c r="B460">
        <v>1.35</v>
      </c>
      <c r="C460">
        <v>16.97</v>
      </c>
      <c r="E460" t="s">
        <v>1436</v>
      </c>
      <c r="F460">
        <v>1.95</v>
      </c>
      <c r="G460">
        <v>83.03</v>
      </c>
      <c r="I460" t="str" cm="1">
        <f t="array" ref="I460:J460">_xlfn.TEXTSPLIT(A460," ")</f>
        <v>27.10.2023</v>
      </c>
      <c r="J460" t="str">
        <v>07:38:36</v>
      </c>
      <c r="K460">
        <f t="shared" si="120"/>
        <v>7.6166666666666449</v>
      </c>
      <c r="L460">
        <f t="shared" si="113"/>
        <v>2.6499999999999986</v>
      </c>
      <c r="M460">
        <f t="shared" si="114"/>
        <v>1.35</v>
      </c>
      <c r="N460">
        <f t="shared" si="108"/>
        <v>0.30499999999999994</v>
      </c>
      <c r="Q460" t="str" cm="1">
        <f t="array" ref="Q460:R460">_xlfn.TEXTSPLIT(E460," ")</f>
        <v>27.10.2023</v>
      </c>
      <c r="R460" t="str">
        <v>07:38:36</v>
      </c>
      <c r="S460">
        <f t="shared" si="121"/>
        <v>7.6166666666666449</v>
      </c>
      <c r="T460">
        <f t="shared" si="112"/>
        <v>4.4300000000000068</v>
      </c>
      <c r="U460">
        <f t="shared" si="115"/>
        <v>1.95</v>
      </c>
      <c r="V460">
        <f t="shared" si="109"/>
        <v>0.52249999999999996</v>
      </c>
      <c r="AC460" t="s">
        <v>1437</v>
      </c>
      <c r="AD460">
        <v>0</v>
      </c>
      <c r="AE460">
        <v>6.19</v>
      </c>
      <c r="AG460" t="str" cm="1">
        <f t="array" ref="AG460:AH460">_xlfn.TEXTSPLIT(AC461," ")</f>
        <v>26.10.2023</v>
      </c>
      <c r="AH460" t="str">
        <v>07:39:36</v>
      </c>
      <c r="AI460">
        <f t="shared" si="122"/>
        <v>7.6166666666666449</v>
      </c>
      <c r="AJ460">
        <f t="shared" si="116"/>
        <v>1.6600000000000001</v>
      </c>
      <c r="AK460">
        <f t="shared" si="117"/>
        <v>0</v>
      </c>
      <c r="AL460">
        <f t="shared" si="110"/>
        <v>0.31749999999999995</v>
      </c>
      <c r="AN460" t="s">
        <v>1437</v>
      </c>
      <c r="AO460">
        <v>2.25</v>
      </c>
      <c r="AP460">
        <v>66.92</v>
      </c>
      <c r="AR460" t="str" cm="1">
        <f t="array" ref="AR460:AS460">_xlfn.TEXTSPLIT(AN460," ")</f>
        <v>26.10.2023</v>
      </c>
      <c r="AS460" t="str">
        <v>07:38:35</v>
      </c>
      <c r="AT460">
        <f t="shared" si="123"/>
        <v>7.6166666666666449</v>
      </c>
      <c r="AU460">
        <f t="shared" si="118"/>
        <v>5.6099999999999994</v>
      </c>
      <c r="AV460">
        <f t="shared" si="119"/>
        <v>2.25</v>
      </c>
      <c r="AW460">
        <f t="shared" si="111"/>
        <v>0.6649999999999997</v>
      </c>
    </row>
    <row r="461" spans="1:49" x14ac:dyDescent="0.25">
      <c r="A461" t="s">
        <v>1438</v>
      </c>
      <c r="B461">
        <v>1.5</v>
      </c>
      <c r="C461">
        <v>16.989999999999998</v>
      </c>
      <c r="E461" t="s">
        <v>1438</v>
      </c>
      <c r="F461">
        <v>1.65</v>
      </c>
      <c r="G461">
        <v>83.06</v>
      </c>
      <c r="I461" t="str" cm="1">
        <f t="array" ref="I461:J461">_xlfn.TEXTSPLIT(A461," ")</f>
        <v>27.10.2023</v>
      </c>
      <c r="J461" t="str">
        <v>07:39:36</v>
      </c>
      <c r="K461">
        <f t="shared" si="120"/>
        <v>7.6333333333333115</v>
      </c>
      <c r="L461">
        <f t="shared" si="113"/>
        <v>2.6699999999999982</v>
      </c>
      <c r="M461">
        <f t="shared" si="114"/>
        <v>1.5</v>
      </c>
      <c r="N461">
        <f t="shared" si="108"/>
        <v>0.30249999999999999</v>
      </c>
      <c r="Q461" t="str" cm="1">
        <f t="array" ref="Q461:R461">_xlfn.TEXTSPLIT(E461," ")</f>
        <v>27.10.2023</v>
      </c>
      <c r="R461" t="str">
        <v>07:39:36</v>
      </c>
      <c r="S461">
        <f t="shared" si="121"/>
        <v>7.6333333333333115</v>
      </c>
      <c r="T461">
        <f t="shared" si="112"/>
        <v>4.460000000000008</v>
      </c>
      <c r="U461">
        <f t="shared" si="115"/>
        <v>1.65</v>
      </c>
      <c r="V461">
        <f t="shared" si="109"/>
        <v>0.52750000000000008</v>
      </c>
      <c r="AC461" t="s">
        <v>1439</v>
      </c>
      <c r="AD461">
        <v>1.65</v>
      </c>
      <c r="AE461">
        <v>6.23</v>
      </c>
      <c r="AG461" t="str" cm="1">
        <f t="array" ref="AG461:AH461">_xlfn.TEXTSPLIT(AC462," ")</f>
        <v>26.10.2023</v>
      </c>
      <c r="AH461" t="str">
        <v>07:40:36</v>
      </c>
      <c r="AI461">
        <f t="shared" si="122"/>
        <v>7.6333333333333115</v>
      </c>
      <c r="AJ461">
        <f t="shared" si="116"/>
        <v>1.7000000000000002</v>
      </c>
      <c r="AK461">
        <f t="shared" si="117"/>
        <v>1.65</v>
      </c>
      <c r="AL461">
        <f t="shared" si="110"/>
        <v>0.31499999999999984</v>
      </c>
      <c r="AN461" t="s">
        <v>1439</v>
      </c>
      <c r="AO461">
        <v>1.95</v>
      </c>
      <c r="AP461">
        <v>66.95</v>
      </c>
      <c r="AR461" t="str" cm="1">
        <f t="array" ref="AR461:AS461">_xlfn.TEXTSPLIT(AN461," ")</f>
        <v>26.10.2023</v>
      </c>
      <c r="AS461" t="str">
        <v>07:39:36</v>
      </c>
      <c r="AT461">
        <f t="shared" si="123"/>
        <v>7.6333333333333115</v>
      </c>
      <c r="AU461">
        <f t="shared" si="118"/>
        <v>5.6400000000000006</v>
      </c>
      <c r="AV461">
        <f t="shared" si="119"/>
        <v>1.95</v>
      </c>
      <c r="AW461">
        <f t="shared" si="111"/>
        <v>0.65000000000000013</v>
      </c>
    </row>
    <row r="462" spans="1:49" x14ac:dyDescent="0.25">
      <c r="A462" t="s">
        <v>1440</v>
      </c>
      <c r="B462">
        <v>1.2</v>
      </c>
      <c r="C462">
        <v>17.010000000000002</v>
      </c>
      <c r="E462" t="s">
        <v>1440</v>
      </c>
      <c r="F462">
        <v>1.5</v>
      </c>
      <c r="G462">
        <v>83.08</v>
      </c>
      <c r="I462" t="str" cm="1">
        <f t="array" ref="I462:J462">_xlfn.TEXTSPLIT(A462," ")</f>
        <v>27.10.2023</v>
      </c>
      <c r="J462" t="str">
        <v>07:40:36</v>
      </c>
      <c r="K462">
        <f t="shared" si="120"/>
        <v>7.6499999999999782</v>
      </c>
      <c r="L462">
        <f t="shared" si="113"/>
        <v>2.6900000000000013</v>
      </c>
      <c r="M462">
        <f t="shared" si="114"/>
        <v>1.2</v>
      </c>
      <c r="N462">
        <f t="shared" si="108"/>
        <v>0.29999999999999993</v>
      </c>
      <c r="Q462" t="str" cm="1">
        <f t="array" ref="Q462:R462">_xlfn.TEXTSPLIT(E462," ")</f>
        <v>27.10.2023</v>
      </c>
      <c r="R462" t="str">
        <v>07:40:36</v>
      </c>
      <c r="S462">
        <f t="shared" si="121"/>
        <v>7.6499999999999782</v>
      </c>
      <c r="T462">
        <f t="shared" si="112"/>
        <v>4.480000000000004</v>
      </c>
      <c r="U462">
        <f t="shared" si="115"/>
        <v>1.5</v>
      </c>
      <c r="V462">
        <f t="shared" si="109"/>
        <v>0.52750000000000008</v>
      </c>
      <c r="AC462" t="s">
        <v>1441</v>
      </c>
      <c r="AD462">
        <v>2.4</v>
      </c>
      <c r="AE462">
        <v>6.26</v>
      </c>
      <c r="AG462" t="str" cm="1">
        <f t="array" ref="AG462:AH462">_xlfn.TEXTSPLIT(AC463," ")</f>
        <v>26.10.2023</v>
      </c>
      <c r="AH462" t="str">
        <v>07:41:36</v>
      </c>
      <c r="AI462">
        <f t="shared" si="122"/>
        <v>7.6499999999999782</v>
      </c>
      <c r="AJ462">
        <f t="shared" si="116"/>
        <v>1.7299999999999995</v>
      </c>
      <c r="AK462">
        <f t="shared" si="117"/>
        <v>2.4</v>
      </c>
      <c r="AL462">
        <f t="shared" si="110"/>
        <v>0.32999999999999996</v>
      </c>
      <c r="AN462" t="s">
        <v>1441</v>
      </c>
      <c r="AO462">
        <v>2.1</v>
      </c>
      <c r="AP462">
        <v>66.989999999999995</v>
      </c>
      <c r="AR462" t="str" cm="1">
        <f t="array" ref="AR462:AS462">_xlfn.TEXTSPLIT(AN462," ")</f>
        <v>26.10.2023</v>
      </c>
      <c r="AS462" t="str">
        <v>07:40:36</v>
      </c>
      <c r="AT462">
        <f t="shared" si="123"/>
        <v>7.6499999999999782</v>
      </c>
      <c r="AU462">
        <f t="shared" si="118"/>
        <v>5.6799999999999926</v>
      </c>
      <c r="AV462">
        <f t="shared" si="119"/>
        <v>2.1</v>
      </c>
      <c r="AW462">
        <f t="shared" si="111"/>
        <v>0.6575000000000002</v>
      </c>
    </row>
    <row r="463" spans="1:49" x14ac:dyDescent="0.25">
      <c r="A463" t="s">
        <v>1442</v>
      </c>
      <c r="B463">
        <v>1.05</v>
      </c>
      <c r="C463">
        <v>17.02</v>
      </c>
      <c r="E463" t="s">
        <v>1442</v>
      </c>
      <c r="F463">
        <v>0.9</v>
      </c>
      <c r="G463">
        <v>83.09</v>
      </c>
      <c r="I463" t="str" cm="1">
        <f t="array" ref="I463:J463">_xlfn.TEXTSPLIT(A463," ")</f>
        <v>27.10.2023</v>
      </c>
      <c r="J463" t="str">
        <v>07:41:37</v>
      </c>
      <c r="K463">
        <f t="shared" si="120"/>
        <v>7.6666666666666448</v>
      </c>
      <c r="L463">
        <f t="shared" si="113"/>
        <v>2.6999999999999993</v>
      </c>
      <c r="M463">
        <f t="shared" si="114"/>
        <v>1.05</v>
      </c>
      <c r="N463">
        <f t="shared" si="108"/>
        <v>0.30499999999999994</v>
      </c>
      <c r="Q463" t="str" cm="1">
        <f t="array" ref="Q463:R463">_xlfn.TEXTSPLIT(E463," ")</f>
        <v>27.10.2023</v>
      </c>
      <c r="R463" t="str">
        <v>07:41:37</v>
      </c>
      <c r="S463">
        <f t="shared" si="121"/>
        <v>7.6666666666666448</v>
      </c>
      <c r="T463">
        <f t="shared" si="112"/>
        <v>4.4900000000000091</v>
      </c>
      <c r="U463">
        <f t="shared" si="115"/>
        <v>0.9</v>
      </c>
      <c r="V463">
        <f t="shared" si="109"/>
        <v>0.52250000000000008</v>
      </c>
      <c r="AC463" t="s">
        <v>1443</v>
      </c>
      <c r="AD463">
        <v>1.35</v>
      </c>
      <c r="AE463">
        <v>6.28</v>
      </c>
      <c r="AG463" t="str" cm="1">
        <f t="array" ref="AG463:AH463">_xlfn.TEXTSPLIT(AC464," ")</f>
        <v>26.10.2023</v>
      </c>
      <c r="AH463" t="str">
        <v>07:42:36</v>
      </c>
      <c r="AI463">
        <f t="shared" si="122"/>
        <v>7.6666666666666448</v>
      </c>
      <c r="AJ463">
        <f t="shared" si="116"/>
        <v>1.75</v>
      </c>
      <c r="AK463">
        <f t="shared" si="117"/>
        <v>1.35</v>
      </c>
      <c r="AL463">
        <f t="shared" si="110"/>
        <v>0.33</v>
      </c>
      <c r="AN463" t="s">
        <v>1443</v>
      </c>
      <c r="AO463">
        <v>2.1</v>
      </c>
      <c r="AP463">
        <v>67.02</v>
      </c>
      <c r="AR463" t="str" cm="1">
        <f t="array" ref="AR463:AS463">_xlfn.TEXTSPLIT(AN463," ")</f>
        <v>26.10.2023</v>
      </c>
      <c r="AS463" t="str">
        <v>07:41:36</v>
      </c>
      <c r="AT463">
        <f t="shared" si="123"/>
        <v>7.6666666666666448</v>
      </c>
      <c r="AU463">
        <f t="shared" si="118"/>
        <v>5.7099999999999937</v>
      </c>
      <c r="AV463">
        <f t="shared" si="119"/>
        <v>2.1</v>
      </c>
      <c r="AW463">
        <f t="shared" si="111"/>
        <v>0.6725000000000001</v>
      </c>
    </row>
    <row r="464" spans="1:49" x14ac:dyDescent="0.25">
      <c r="A464" t="s">
        <v>1444</v>
      </c>
      <c r="B464">
        <v>0.75</v>
      </c>
      <c r="C464">
        <v>17.04</v>
      </c>
      <c r="E464" t="s">
        <v>1444</v>
      </c>
      <c r="F464">
        <v>0.6</v>
      </c>
      <c r="G464">
        <v>83.1</v>
      </c>
      <c r="I464" t="str" cm="1">
        <f t="array" ref="I464:J464">_xlfn.TEXTSPLIT(A464," ")</f>
        <v>27.10.2023</v>
      </c>
      <c r="J464" t="str">
        <v>07:42:37</v>
      </c>
      <c r="K464">
        <f t="shared" si="120"/>
        <v>7.6833333333333114</v>
      </c>
      <c r="L464">
        <f t="shared" si="113"/>
        <v>2.7199999999999989</v>
      </c>
      <c r="M464">
        <f t="shared" si="114"/>
        <v>0.75</v>
      </c>
      <c r="N464">
        <f t="shared" si="108"/>
        <v>0.30499999999999994</v>
      </c>
      <c r="Q464" t="str" cm="1">
        <f t="array" ref="Q464:R464">_xlfn.TEXTSPLIT(E464," ")</f>
        <v>27.10.2023</v>
      </c>
      <c r="R464" t="str">
        <v>07:42:37</v>
      </c>
      <c r="S464">
        <f t="shared" si="121"/>
        <v>7.6833333333333114</v>
      </c>
      <c r="T464">
        <f t="shared" si="112"/>
        <v>4.5</v>
      </c>
      <c r="U464">
        <f t="shared" si="115"/>
        <v>0.6</v>
      </c>
      <c r="V464">
        <f t="shared" si="109"/>
        <v>0.51749999999999996</v>
      </c>
      <c r="AC464" t="s">
        <v>1445</v>
      </c>
      <c r="AD464">
        <v>0.9</v>
      </c>
      <c r="AE464">
        <v>6.3</v>
      </c>
      <c r="AG464" t="str" cm="1">
        <f t="array" ref="AG464:AH464">_xlfn.TEXTSPLIT(AC465," ")</f>
        <v>26.10.2023</v>
      </c>
      <c r="AH464" t="str">
        <v>07:43:36</v>
      </c>
      <c r="AI464">
        <f t="shared" si="122"/>
        <v>7.6833333333333114</v>
      </c>
      <c r="AJ464">
        <f t="shared" si="116"/>
        <v>1.7699999999999996</v>
      </c>
      <c r="AK464">
        <f t="shared" si="117"/>
        <v>0.9</v>
      </c>
      <c r="AL464">
        <f t="shared" si="110"/>
        <v>0.33250000000000007</v>
      </c>
      <c r="AN464" t="s">
        <v>1445</v>
      </c>
      <c r="AO464">
        <v>1.5</v>
      </c>
      <c r="AP464">
        <v>67.040000000000006</v>
      </c>
      <c r="AR464" t="str" cm="1">
        <f t="array" ref="AR464:AS464">_xlfn.TEXTSPLIT(AN464," ")</f>
        <v>26.10.2023</v>
      </c>
      <c r="AS464" t="str">
        <v>07:42:36</v>
      </c>
      <c r="AT464">
        <f t="shared" si="123"/>
        <v>7.6833333333333114</v>
      </c>
      <c r="AU464">
        <f t="shared" si="118"/>
        <v>5.730000000000004</v>
      </c>
      <c r="AV464">
        <f t="shared" si="119"/>
        <v>1.5</v>
      </c>
      <c r="AW464">
        <f t="shared" si="111"/>
        <v>0.6775000000000001</v>
      </c>
    </row>
    <row r="465" spans="1:49" x14ac:dyDescent="0.25">
      <c r="A465" t="s">
        <v>1446</v>
      </c>
      <c r="B465">
        <v>1.05</v>
      </c>
      <c r="C465">
        <v>17.05</v>
      </c>
      <c r="E465" t="s">
        <v>1446</v>
      </c>
      <c r="F465">
        <v>0.6</v>
      </c>
      <c r="G465">
        <v>83.11</v>
      </c>
      <c r="I465" t="str" cm="1">
        <f t="array" ref="I465:J465">_xlfn.TEXTSPLIT(A465," ")</f>
        <v>27.10.2023</v>
      </c>
      <c r="J465" t="str">
        <v>07:43:37</v>
      </c>
      <c r="K465">
        <f t="shared" si="120"/>
        <v>7.699999999999978</v>
      </c>
      <c r="L465">
        <f t="shared" si="113"/>
        <v>2.7300000000000004</v>
      </c>
      <c r="M465">
        <f t="shared" si="114"/>
        <v>1.05</v>
      </c>
      <c r="N465">
        <f t="shared" si="108"/>
        <v>0.31249999999999994</v>
      </c>
      <c r="Q465" t="str" cm="1">
        <f t="array" ref="Q465:R465">_xlfn.TEXTSPLIT(E465," ")</f>
        <v>27.10.2023</v>
      </c>
      <c r="R465" t="str">
        <v>07:43:37</v>
      </c>
      <c r="S465">
        <f t="shared" si="121"/>
        <v>7.699999999999978</v>
      </c>
      <c r="T465">
        <f t="shared" si="112"/>
        <v>4.5100000000000051</v>
      </c>
      <c r="U465">
        <f t="shared" si="115"/>
        <v>0.6</v>
      </c>
      <c r="V465">
        <f t="shared" si="109"/>
        <v>0.51749999999999996</v>
      </c>
      <c r="AC465" t="s">
        <v>1447</v>
      </c>
      <c r="AD465">
        <v>0.9</v>
      </c>
      <c r="AE465">
        <v>6.31</v>
      </c>
      <c r="AG465" t="str" cm="1">
        <f t="array" ref="AG465:AH465">_xlfn.TEXTSPLIT(AC466," ")</f>
        <v>26.10.2023</v>
      </c>
      <c r="AH465" t="str">
        <v>07:44:36</v>
      </c>
      <c r="AI465">
        <f t="shared" si="122"/>
        <v>7.699999999999978</v>
      </c>
      <c r="AJ465">
        <f t="shared" si="116"/>
        <v>1.7799999999999994</v>
      </c>
      <c r="AK465">
        <f t="shared" si="117"/>
        <v>0.9</v>
      </c>
      <c r="AL465">
        <f t="shared" si="110"/>
        <v>0.33750000000000002</v>
      </c>
      <c r="AN465" t="s">
        <v>1447</v>
      </c>
      <c r="AO465">
        <v>1.05</v>
      </c>
      <c r="AP465">
        <v>67.06</v>
      </c>
      <c r="AR465" t="str" cm="1">
        <f t="array" ref="AR465:AS465">_xlfn.TEXTSPLIT(AN465," ")</f>
        <v>26.10.2023</v>
      </c>
      <c r="AS465" t="str">
        <v>07:43:36</v>
      </c>
      <c r="AT465">
        <f t="shared" si="123"/>
        <v>7.699999999999978</v>
      </c>
      <c r="AU465">
        <f t="shared" si="118"/>
        <v>5.75</v>
      </c>
      <c r="AV465">
        <f t="shared" si="119"/>
        <v>1.05</v>
      </c>
      <c r="AW465">
        <f t="shared" si="111"/>
        <v>0.68</v>
      </c>
    </row>
    <row r="466" spans="1:49" x14ac:dyDescent="0.25">
      <c r="A466" t="s">
        <v>1448</v>
      </c>
      <c r="B466">
        <v>0.45</v>
      </c>
      <c r="C466">
        <v>17.059999999999999</v>
      </c>
      <c r="E466" t="s">
        <v>1448</v>
      </c>
      <c r="F466">
        <v>0.6</v>
      </c>
      <c r="G466">
        <v>83.12</v>
      </c>
      <c r="I466" t="str" cm="1">
        <f t="array" ref="I466:J466">_xlfn.TEXTSPLIT(A466," ")</f>
        <v>27.10.2023</v>
      </c>
      <c r="J466" t="str">
        <v>07:44:37</v>
      </c>
      <c r="K466">
        <f t="shared" si="120"/>
        <v>7.7166666666666446</v>
      </c>
      <c r="L466">
        <f t="shared" si="113"/>
        <v>2.7399999999999984</v>
      </c>
      <c r="M466">
        <f t="shared" si="114"/>
        <v>0.45</v>
      </c>
      <c r="N466">
        <f t="shared" si="108"/>
        <v>0.31499999999999989</v>
      </c>
      <c r="Q466" t="str" cm="1">
        <f t="array" ref="Q466:R466">_xlfn.TEXTSPLIT(E466," ")</f>
        <v>27.10.2023</v>
      </c>
      <c r="R466" t="str">
        <v>07:44:37</v>
      </c>
      <c r="S466">
        <f t="shared" si="121"/>
        <v>7.7166666666666446</v>
      </c>
      <c r="T466">
        <f t="shared" si="112"/>
        <v>4.5200000000000102</v>
      </c>
      <c r="U466">
        <f t="shared" si="115"/>
        <v>0.6</v>
      </c>
      <c r="V466">
        <f t="shared" si="109"/>
        <v>0.51749999999999996</v>
      </c>
      <c r="AC466" t="s">
        <v>1449</v>
      </c>
      <c r="AD466">
        <v>0.75</v>
      </c>
      <c r="AE466">
        <v>6.32</v>
      </c>
      <c r="AG466" t="str" cm="1">
        <f t="array" ref="AG466:AH466">_xlfn.TEXTSPLIT(AC467," ")</f>
        <v>26.10.2023</v>
      </c>
      <c r="AH466" t="str">
        <v>07:45:36</v>
      </c>
      <c r="AI466">
        <f t="shared" si="122"/>
        <v>7.7166666666666446</v>
      </c>
      <c r="AJ466">
        <f t="shared" si="116"/>
        <v>1.79</v>
      </c>
      <c r="AK466">
        <f t="shared" si="117"/>
        <v>0.75</v>
      </c>
      <c r="AL466">
        <f t="shared" si="110"/>
        <v>0.34249999999999997</v>
      </c>
      <c r="AN466" t="s">
        <v>1449</v>
      </c>
      <c r="AO466">
        <v>1.05</v>
      </c>
      <c r="AP466">
        <v>67.069999999999993</v>
      </c>
      <c r="AR466" t="str" cm="1">
        <f t="array" ref="AR466:AS466">_xlfn.TEXTSPLIT(AN466," ")</f>
        <v>26.10.2023</v>
      </c>
      <c r="AS466" t="str">
        <v>07:44:36</v>
      </c>
      <c r="AT466">
        <f t="shared" si="123"/>
        <v>7.7166666666666446</v>
      </c>
      <c r="AU466">
        <f t="shared" si="118"/>
        <v>5.7599999999999909</v>
      </c>
      <c r="AV466">
        <f t="shared" si="119"/>
        <v>1.05</v>
      </c>
      <c r="AW466">
        <f t="shared" si="111"/>
        <v>0.67749999999999999</v>
      </c>
    </row>
    <row r="467" spans="1:49" x14ac:dyDescent="0.25">
      <c r="A467" t="s">
        <v>1450</v>
      </c>
      <c r="B467">
        <v>0.45</v>
      </c>
      <c r="C467">
        <v>17.07</v>
      </c>
      <c r="E467" t="s">
        <v>1450</v>
      </c>
      <c r="F467">
        <v>0.45</v>
      </c>
      <c r="G467">
        <v>83.12</v>
      </c>
      <c r="I467" t="str" cm="1">
        <f t="array" ref="I467:J467">_xlfn.TEXTSPLIT(A467," ")</f>
        <v>27.10.2023</v>
      </c>
      <c r="J467" t="str">
        <v>07:45:37</v>
      </c>
      <c r="K467">
        <f t="shared" si="120"/>
        <v>7.7333333333333112</v>
      </c>
      <c r="L467">
        <f t="shared" si="113"/>
        <v>2.75</v>
      </c>
      <c r="M467">
        <f t="shared" si="114"/>
        <v>0.45</v>
      </c>
      <c r="N467">
        <f t="shared" si="108"/>
        <v>0.31749999999999995</v>
      </c>
      <c r="Q467" t="str" cm="1">
        <f t="array" ref="Q467:R467">_xlfn.TEXTSPLIT(E467," ")</f>
        <v>27.10.2023</v>
      </c>
      <c r="R467" t="str">
        <v>07:45:37</v>
      </c>
      <c r="S467">
        <f t="shared" si="121"/>
        <v>7.7333333333333112</v>
      </c>
      <c r="T467">
        <f t="shared" si="112"/>
        <v>4.5200000000000102</v>
      </c>
      <c r="U467">
        <f t="shared" si="115"/>
        <v>0.45</v>
      </c>
      <c r="V467">
        <f t="shared" si="109"/>
        <v>0.51749999999999996</v>
      </c>
      <c r="AC467" t="s">
        <v>1451</v>
      </c>
      <c r="AD467">
        <v>0.6</v>
      </c>
      <c r="AE467">
        <v>6.33</v>
      </c>
      <c r="AG467" t="str" cm="1">
        <f t="array" ref="AG467:AH467">_xlfn.TEXTSPLIT(AC468," ")</f>
        <v>26.10.2023</v>
      </c>
      <c r="AH467" t="str">
        <v>07:46:36</v>
      </c>
      <c r="AI467">
        <f t="shared" si="122"/>
        <v>7.7333333333333112</v>
      </c>
      <c r="AJ467">
        <f t="shared" si="116"/>
        <v>1.7999999999999998</v>
      </c>
      <c r="AK467">
        <f t="shared" si="117"/>
        <v>0.6</v>
      </c>
      <c r="AL467">
        <f t="shared" si="110"/>
        <v>0.34750000000000003</v>
      </c>
      <c r="AN467" t="s">
        <v>1451</v>
      </c>
      <c r="AO467">
        <v>1.05</v>
      </c>
      <c r="AP467">
        <v>67.099999999999994</v>
      </c>
      <c r="AR467" t="str" cm="1">
        <f t="array" ref="AR467:AS467">_xlfn.TEXTSPLIT(AN467," ")</f>
        <v>26.10.2023</v>
      </c>
      <c r="AS467" t="str">
        <v>07:45:36</v>
      </c>
      <c r="AT467">
        <f t="shared" si="123"/>
        <v>7.7333333333333112</v>
      </c>
      <c r="AU467">
        <f t="shared" si="118"/>
        <v>5.789999999999992</v>
      </c>
      <c r="AV467">
        <f t="shared" si="119"/>
        <v>1.05</v>
      </c>
      <c r="AW467">
        <f t="shared" si="111"/>
        <v>0.68500000000000005</v>
      </c>
    </row>
    <row r="468" spans="1:49" x14ac:dyDescent="0.25">
      <c r="A468" t="s">
        <v>1452</v>
      </c>
      <c r="B468">
        <v>0.3</v>
      </c>
      <c r="C468">
        <v>17.07</v>
      </c>
      <c r="E468" t="s">
        <v>1452</v>
      </c>
      <c r="F468">
        <v>0.6</v>
      </c>
      <c r="G468">
        <v>83.13</v>
      </c>
      <c r="I468" t="str" cm="1">
        <f t="array" ref="I468:J468">_xlfn.TEXTSPLIT(A468," ")</f>
        <v>27.10.2023</v>
      </c>
      <c r="J468" t="str">
        <v>07:46:37</v>
      </c>
      <c r="K468">
        <f t="shared" si="120"/>
        <v>7.7499999999999778</v>
      </c>
      <c r="L468">
        <f t="shared" si="113"/>
        <v>2.75</v>
      </c>
      <c r="M468">
        <f t="shared" si="114"/>
        <v>0.3</v>
      </c>
      <c r="N468">
        <f t="shared" si="108"/>
        <v>0.31749999999999995</v>
      </c>
      <c r="Q468" t="str" cm="1">
        <f t="array" ref="Q468:R468">_xlfn.TEXTSPLIT(E468," ")</f>
        <v>27.10.2023</v>
      </c>
      <c r="R468" t="str">
        <v>07:46:37</v>
      </c>
      <c r="S468">
        <f t="shared" si="121"/>
        <v>7.7499999999999778</v>
      </c>
      <c r="T468">
        <f t="shared" si="112"/>
        <v>4.5300000000000011</v>
      </c>
      <c r="U468">
        <f t="shared" si="115"/>
        <v>0.6</v>
      </c>
      <c r="V468">
        <f t="shared" si="109"/>
        <v>0.52249999999999996</v>
      </c>
      <c r="AC468" t="s">
        <v>1453</v>
      </c>
      <c r="AD468">
        <v>0.9</v>
      </c>
      <c r="AE468">
        <v>6.34</v>
      </c>
      <c r="AG468" t="str" cm="1">
        <f t="array" ref="AG468:AH468">_xlfn.TEXTSPLIT(AC469," ")</f>
        <v>26.10.2023</v>
      </c>
      <c r="AH468" t="str">
        <v>07:47:36</v>
      </c>
      <c r="AI468">
        <f t="shared" si="122"/>
        <v>7.7499999999999778</v>
      </c>
      <c r="AJ468">
        <f t="shared" si="116"/>
        <v>1.8099999999999996</v>
      </c>
      <c r="AK468">
        <f t="shared" si="117"/>
        <v>0.9</v>
      </c>
      <c r="AL468">
        <f t="shared" si="110"/>
        <v>0.35249999999999998</v>
      </c>
      <c r="AN468" t="s">
        <v>1453</v>
      </c>
      <c r="AO468">
        <v>1.2</v>
      </c>
      <c r="AP468">
        <v>67.12</v>
      </c>
      <c r="AR468" t="str" cm="1">
        <f t="array" ref="AR468:AS468">_xlfn.TEXTSPLIT(AN468," ")</f>
        <v>26.10.2023</v>
      </c>
      <c r="AS468" t="str">
        <v>07:46:36</v>
      </c>
      <c r="AT468">
        <f t="shared" si="123"/>
        <v>7.7499999999999778</v>
      </c>
      <c r="AU468">
        <f t="shared" si="118"/>
        <v>5.8100000000000023</v>
      </c>
      <c r="AV468">
        <f t="shared" si="119"/>
        <v>1.2</v>
      </c>
      <c r="AW468">
        <f t="shared" si="111"/>
        <v>0.6974999999999999</v>
      </c>
    </row>
    <row r="469" spans="1:49" x14ac:dyDescent="0.25">
      <c r="A469" t="s">
        <v>1454</v>
      </c>
      <c r="B469">
        <v>0.45</v>
      </c>
      <c r="C469">
        <v>17.07</v>
      </c>
      <c r="E469" t="s">
        <v>1454</v>
      </c>
      <c r="F469">
        <v>0.6</v>
      </c>
      <c r="G469">
        <v>83.14</v>
      </c>
      <c r="I469" t="str" cm="1">
        <f t="array" ref="I469:J469">_xlfn.TEXTSPLIT(A469," ")</f>
        <v>27.10.2023</v>
      </c>
      <c r="J469" t="str">
        <v>07:47:37</v>
      </c>
      <c r="K469">
        <f t="shared" si="120"/>
        <v>7.7666666666666444</v>
      </c>
      <c r="L469">
        <f t="shared" si="113"/>
        <v>2.75</v>
      </c>
      <c r="M469">
        <f t="shared" si="114"/>
        <v>0.45</v>
      </c>
      <c r="N469">
        <f t="shared" si="108"/>
        <v>0.32249999999999995</v>
      </c>
      <c r="Q469" t="str" cm="1">
        <f t="array" ref="Q469:R469">_xlfn.TEXTSPLIT(E469," ")</f>
        <v>27.10.2023</v>
      </c>
      <c r="R469" t="str">
        <v>07:47:37</v>
      </c>
      <c r="S469">
        <f t="shared" si="121"/>
        <v>7.7666666666666444</v>
      </c>
      <c r="T469">
        <f t="shared" si="112"/>
        <v>4.5400000000000063</v>
      </c>
      <c r="U469">
        <f t="shared" si="115"/>
        <v>0.6</v>
      </c>
      <c r="V469">
        <f t="shared" si="109"/>
        <v>0.52250000000000008</v>
      </c>
      <c r="AC469" t="s">
        <v>1455</v>
      </c>
      <c r="AD469">
        <v>0.75</v>
      </c>
      <c r="AE469">
        <v>6.36</v>
      </c>
      <c r="AG469" t="str" cm="1">
        <f t="array" ref="AG469:AH469">_xlfn.TEXTSPLIT(AC470," ")</f>
        <v>26.10.2023</v>
      </c>
      <c r="AH469" t="str">
        <v>07:48:37</v>
      </c>
      <c r="AI469">
        <f t="shared" si="122"/>
        <v>7.7666666666666444</v>
      </c>
      <c r="AJ469">
        <f t="shared" si="116"/>
        <v>1.83</v>
      </c>
      <c r="AK469">
        <f t="shared" si="117"/>
        <v>0.75</v>
      </c>
      <c r="AL469">
        <f t="shared" si="110"/>
        <v>0.35749999999999998</v>
      </c>
      <c r="AN469" t="s">
        <v>1455</v>
      </c>
      <c r="AO469">
        <v>1.05</v>
      </c>
      <c r="AP469">
        <v>67.13</v>
      </c>
      <c r="AR469" t="str" cm="1">
        <f t="array" ref="AR469:AS469">_xlfn.TEXTSPLIT(AN469," ")</f>
        <v>26.10.2023</v>
      </c>
      <c r="AS469" t="str">
        <v>07:47:36</v>
      </c>
      <c r="AT469">
        <f t="shared" si="123"/>
        <v>7.7666666666666444</v>
      </c>
      <c r="AU469">
        <f t="shared" si="118"/>
        <v>5.8199999999999932</v>
      </c>
      <c r="AV469">
        <f t="shared" si="119"/>
        <v>1.05</v>
      </c>
      <c r="AW469">
        <f t="shared" si="111"/>
        <v>0.70499999999999985</v>
      </c>
    </row>
    <row r="470" spans="1:49" x14ac:dyDescent="0.25">
      <c r="A470" t="s">
        <v>1456</v>
      </c>
      <c r="B470">
        <v>0.3</v>
      </c>
      <c r="C470">
        <v>17.079999999999998</v>
      </c>
      <c r="E470" t="s">
        <v>1456</v>
      </c>
      <c r="F470">
        <v>0.6</v>
      </c>
      <c r="G470">
        <v>83.15</v>
      </c>
      <c r="I470" t="str" cm="1">
        <f t="array" ref="I470:J470">_xlfn.TEXTSPLIT(A470," ")</f>
        <v>27.10.2023</v>
      </c>
      <c r="J470" t="str">
        <v>07:48:38</v>
      </c>
      <c r="K470">
        <f t="shared" si="120"/>
        <v>7.783333333333311</v>
      </c>
      <c r="L470">
        <f t="shared" si="113"/>
        <v>2.759999999999998</v>
      </c>
      <c r="M470">
        <f t="shared" si="114"/>
        <v>0.3</v>
      </c>
      <c r="N470">
        <f t="shared" si="108"/>
        <v>0.32500000000000001</v>
      </c>
      <c r="Q470" t="str" cm="1">
        <f t="array" ref="Q470:R470">_xlfn.TEXTSPLIT(E470," ")</f>
        <v>27.10.2023</v>
      </c>
      <c r="R470" t="str">
        <v>07:48:38</v>
      </c>
      <c r="S470">
        <f t="shared" si="121"/>
        <v>7.783333333333311</v>
      </c>
      <c r="T470">
        <f t="shared" si="112"/>
        <v>4.5500000000000114</v>
      </c>
      <c r="U470">
        <f t="shared" si="115"/>
        <v>0.6</v>
      </c>
      <c r="V470">
        <f t="shared" si="109"/>
        <v>0.52750000000000008</v>
      </c>
      <c r="AC470" t="s">
        <v>1457</v>
      </c>
      <c r="AD470">
        <v>0.3</v>
      </c>
      <c r="AE470">
        <v>6.36</v>
      </c>
      <c r="AG470" t="str" cm="1">
        <f t="array" ref="AG470:AH470">_xlfn.TEXTSPLIT(AC471," ")</f>
        <v>26.10.2023</v>
      </c>
      <c r="AH470" t="str">
        <v>07:49:37</v>
      </c>
      <c r="AI470">
        <f t="shared" si="122"/>
        <v>7.783333333333311</v>
      </c>
      <c r="AJ470">
        <f t="shared" si="116"/>
        <v>1.83</v>
      </c>
      <c r="AK470">
        <f t="shared" si="117"/>
        <v>0.3</v>
      </c>
      <c r="AL470">
        <f t="shared" si="110"/>
        <v>0.35250000000000004</v>
      </c>
      <c r="AN470" t="s">
        <v>1457</v>
      </c>
      <c r="AO470">
        <v>0.75</v>
      </c>
      <c r="AP470">
        <v>67.14</v>
      </c>
      <c r="AR470" t="str" cm="1">
        <f t="array" ref="AR470:AS470">_xlfn.TEXTSPLIT(AN470," ")</f>
        <v>26.10.2023</v>
      </c>
      <c r="AS470" t="str">
        <v>07:48:37</v>
      </c>
      <c r="AT470">
        <f t="shared" si="123"/>
        <v>7.783333333333311</v>
      </c>
      <c r="AU470">
        <f t="shared" si="118"/>
        <v>5.8299999999999983</v>
      </c>
      <c r="AV470">
        <f t="shared" si="119"/>
        <v>0.75</v>
      </c>
      <c r="AW470">
        <f t="shared" si="111"/>
        <v>0.70749999999999991</v>
      </c>
    </row>
    <row r="471" spans="1:49" x14ac:dyDescent="0.25">
      <c r="A471" t="s">
        <v>1458</v>
      </c>
      <c r="B471">
        <v>0.3</v>
      </c>
      <c r="C471">
        <v>17.079999999999998</v>
      </c>
      <c r="E471" t="s">
        <v>1458</v>
      </c>
      <c r="F471">
        <v>0.6</v>
      </c>
      <c r="G471">
        <v>83.17</v>
      </c>
      <c r="I471" t="str" cm="1">
        <f t="array" ref="I471:J471">_xlfn.TEXTSPLIT(A471," ")</f>
        <v>27.10.2023</v>
      </c>
      <c r="J471" t="str">
        <v>07:49:38</v>
      </c>
      <c r="K471">
        <f t="shared" si="120"/>
        <v>7.7999999999999776</v>
      </c>
      <c r="L471">
        <f t="shared" si="113"/>
        <v>2.759999999999998</v>
      </c>
      <c r="M471">
        <f t="shared" si="114"/>
        <v>0.3</v>
      </c>
      <c r="N471">
        <f t="shared" si="108"/>
        <v>0.32500000000000001</v>
      </c>
      <c r="Q471" t="str" cm="1">
        <f t="array" ref="Q471:R471">_xlfn.TEXTSPLIT(E471," ")</f>
        <v>27.10.2023</v>
      </c>
      <c r="R471" t="str">
        <v>07:49:38</v>
      </c>
      <c r="S471">
        <f t="shared" si="121"/>
        <v>7.7999999999999776</v>
      </c>
      <c r="T471">
        <f t="shared" si="112"/>
        <v>4.5700000000000074</v>
      </c>
      <c r="U471">
        <f t="shared" si="115"/>
        <v>0.6</v>
      </c>
      <c r="V471">
        <f t="shared" si="109"/>
        <v>0.53</v>
      </c>
      <c r="AC471" t="s">
        <v>1459</v>
      </c>
      <c r="AD471">
        <v>0</v>
      </c>
      <c r="AE471">
        <v>6.36</v>
      </c>
      <c r="AG471" t="str" cm="1">
        <f t="array" ref="AG471:AH471">_xlfn.TEXTSPLIT(AC472," ")</f>
        <v>26.10.2023</v>
      </c>
      <c r="AH471" t="str">
        <v>07:50:37</v>
      </c>
      <c r="AI471">
        <f t="shared" si="122"/>
        <v>7.7999999999999776</v>
      </c>
      <c r="AJ471">
        <f t="shared" si="116"/>
        <v>1.83</v>
      </c>
      <c r="AK471">
        <f t="shared" si="117"/>
        <v>0</v>
      </c>
      <c r="AL471">
        <f t="shared" si="110"/>
        <v>0.34250000000000003</v>
      </c>
      <c r="AN471" t="s">
        <v>1459</v>
      </c>
      <c r="AO471">
        <v>0.75</v>
      </c>
      <c r="AP471">
        <v>67.150000000000006</v>
      </c>
      <c r="AR471" t="str" cm="1">
        <f t="array" ref="AR471:AS471">_xlfn.TEXTSPLIT(AN471," ")</f>
        <v>26.10.2023</v>
      </c>
      <c r="AS471" t="str">
        <v>07:49:37</v>
      </c>
      <c r="AT471">
        <f t="shared" si="123"/>
        <v>7.7999999999999776</v>
      </c>
      <c r="AU471">
        <f t="shared" si="118"/>
        <v>5.8400000000000034</v>
      </c>
      <c r="AV471">
        <f t="shared" si="119"/>
        <v>0.75</v>
      </c>
      <c r="AW471">
        <f t="shared" si="111"/>
        <v>0.70999999999999985</v>
      </c>
    </row>
    <row r="472" spans="1:49" x14ac:dyDescent="0.25">
      <c r="A472" t="s">
        <v>1460</v>
      </c>
      <c r="B472">
        <v>0.15</v>
      </c>
      <c r="C472">
        <v>17.079999999999998</v>
      </c>
      <c r="E472" t="s">
        <v>1460</v>
      </c>
      <c r="F472">
        <v>0.9</v>
      </c>
      <c r="G472">
        <v>83.18</v>
      </c>
      <c r="I472" t="str" cm="1">
        <f t="array" ref="I472:J472">_xlfn.TEXTSPLIT(A472," ")</f>
        <v>27.10.2023</v>
      </c>
      <c r="J472" t="str">
        <v>07:50:38</v>
      </c>
      <c r="K472">
        <f t="shared" si="120"/>
        <v>7.8166666666666442</v>
      </c>
      <c r="L472">
        <f t="shared" si="113"/>
        <v>2.759999999999998</v>
      </c>
      <c r="M472">
        <f t="shared" si="114"/>
        <v>0.15</v>
      </c>
      <c r="N472">
        <f t="shared" si="108"/>
        <v>0.32499999999999996</v>
      </c>
      <c r="Q472" t="str" cm="1">
        <f t="array" ref="Q472:R472">_xlfn.TEXTSPLIT(E472," ")</f>
        <v>27.10.2023</v>
      </c>
      <c r="R472" t="str">
        <v>07:50:38</v>
      </c>
      <c r="S472">
        <f t="shared" si="121"/>
        <v>7.8166666666666442</v>
      </c>
      <c r="T472">
        <f t="shared" si="112"/>
        <v>4.5800000000000125</v>
      </c>
      <c r="U472">
        <f t="shared" si="115"/>
        <v>0.9</v>
      </c>
      <c r="V472">
        <f t="shared" si="109"/>
        <v>0.53749999999999998</v>
      </c>
      <c r="AC472" t="s">
        <v>1461</v>
      </c>
      <c r="AD472">
        <v>0</v>
      </c>
      <c r="AE472">
        <v>6.36</v>
      </c>
      <c r="AG472" t="str" cm="1">
        <f t="array" ref="AG472:AH472">_xlfn.TEXTSPLIT(AC473," ")</f>
        <v>26.10.2023</v>
      </c>
      <c r="AH472" t="str">
        <v>07:51:37</v>
      </c>
      <c r="AI472">
        <f t="shared" si="122"/>
        <v>7.8166666666666442</v>
      </c>
      <c r="AJ472">
        <f t="shared" si="116"/>
        <v>1.83</v>
      </c>
      <c r="AK472">
        <f t="shared" si="117"/>
        <v>0</v>
      </c>
      <c r="AL472">
        <f t="shared" si="110"/>
        <v>0.33750000000000002</v>
      </c>
      <c r="AN472" t="s">
        <v>1461</v>
      </c>
      <c r="AO472">
        <v>0.6</v>
      </c>
      <c r="AP472">
        <v>67.16</v>
      </c>
      <c r="AR472" t="str" cm="1">
        <f t="array" ref="AR472:AS472">_xlfn.TEXTSPLIT(AN472," ")</f>
        <v>26.10.2023</v>
      </c>
      <c r="AS472" t="str">
        <v>07:50:37</v>
      </c>
      <c r="AT472">
        <f t="shared" si="123"/>
        <v>7.8166666666666442</v>
      </c>
      <c r="AU472">
        <f t="shared" si="118"/>
        <v>5.8499999999999943</v>
      </c>
      <c r="AV472">
        <f t="shared" si="119"/>
        <v>0.6</v>
      </c>
      <c r="AW472">
        <f t="shared" si="111"/>
        <v>0.71749999999999992</v>
      </c>
    </row>
    <row r="473" spans="1:49" x14ac:dyDescent="0.25">
      <c r="A473" t="s">
        <v>1462</v>
      </c>
      <c r="B473">
        <v>0</v>
      </c>
      <c r="C473">
        <v>17.09</v>
      </c>
      <c r="E473" t="s">
        <v>1462</v>
      </c>
      <c r="F473">
        <v>0.9</v>
      </c>
      <c r="G473">
        <v>83.19</v>
      </c>
      <c r="I473" t="str" cm="1">
        <f t="array" ref="I473:J473">_xlfn.TEXTSPLIT(A473," ")</f>
        <v>27.10.2023</v>
      </c>
      <c r="J473" t="str">
        <v>07:51:38</v>
      </c>
      <c r="K473">
        <f t="shared" si="120"/>
        <v>7.8333333333333108</v>
      </c>
      <c r="L473">
        <f t="shared" si="113"/>
        <v>2.7699999999999996</v>
      </c>
      <c r="M473">
        <f t="shared" si="114"/>
        <v>0</v>
      </c>
      <c r="N473">
        <f t="shared" si="108"/>
        <v>0.32249999999999995</v>
      </c>
      <c r="Q473" t="str" cm="1">
        <f t="array" ref="Q473:R473">_xlfn.TEXTSPLIT(E473," ")</f>
        <v>27.10.2023</v>
      </c>
      <c r="R473" t="str">
        <v>07:51:38</v>
      </c>
      <c r="S473">
        <f t="shared" si="121"/>
        <v>7.8333333333333108</v>
      </c>
      <c r="T473">
        <f t="shared" si="112"/>
        <v>4.5900000000000034</v>
      </c>
      <c r="U473">
        <f t="shared" si="115"/>
        <v>0.9</v>
      </c>
      <c r="V473">
        <f t="shared" si="109"/>
        <v>0.54249999999999998</v>
      </c>
      <c r="AC473" t="s">
        <v>1463</v>
      </c>
      <c r="AD473">
        <v>0</v>
      </c>
      <c r="AE473">
        <v>6.36</v>
      </c>
      <c r="AG473" t="str" cm="1">
        <f t="array" ref="AG473:AH473">_xlfn.TEXTSPLIT(AC474," ")</f>
        <v>26.10.2023</v>
      </c>
      <c r="AH473" t="str">
        <v>07:52:37</v>
      </c>
      <c r="AI473">
        <f t="shared" si="122"/>
        <v>7.8333333333333108</v>
      </c>
      <c r="AJ473">
        <f t="shared" si="116"/>
        <v>1.83</v>
      </c>
      <c r="AK473">
        <f t="shared" si="117"/>
        <v>0</v>
      </c>
      <c r="AL473">
        <f t="shared" si="110"/>
        <v>0.33500000000000008</v>
      </c>
      <c r="AN473" t="s">
        <v>1463</v>
      </c>
      <c r="AO473">
        <v>0.3</v>
      </c>
      <c r="AP473">
        <v>67.17</v>
      </c>
      <c r="AR473" t="str" cm="1">
        <f t="array" ref="AR473:AS473">_xlfn.TEXTSPLIT(AN473," ")</f>
        <v>26.10.2023</v>
      </c>
      <c r="AS473" t="str">
        <v>07:51:37</v>
      </c>
      <c r="AT473">
        <f t="shared" si="123"/>
        <v>7.8333333333333108</v>
      </c>
      <c r="AU473">
        <f t="shared" si="118"/>
        <v>5.8599999999999994</v>
      </c>
      <c r="AV473">
        <f t="shared" si="119"/>
        <v>0.3</v>
      </c>
      <c r="AW473">
        <f t="shared" si="111"/>
        <v>0.71499999999999986</v>
      </c>
    </row>
    <row r="474" spans="1:49" x14ac:dyDescent="0.25">
      <c r="A474" t="s">
        <v>1464</v>
      </c>
      <c r="B474">
        <v>0.15</v>
      </c>
      <c r="C474">
        <v>17.09</v>
      </c>
      <c r="E474" t="s">
        <v>1464</v>
      </c>
      <c r="F474">
        <v>0</v>
      </c>
      <c r="G474">
        <v>83.19</v>
      </c>
      <c r="I474" t="str" cm="1">
        <f t="array" ref="I474:J474">_xlfn.TEXTSPLIT(A474," ")</f>
        <v>27.10.2023</v>
      </c>
      <c r="J474" t="str">
        <v>07:52:38</v>
      </c>
      <c r="K474">
        <f t="shared" si="120"/>
        <v>7.8499999999999774</v>
      </c>
      <c r="L474">
        <f t="shared" si="113"/>
        <v>2.7699999999999996</v>
      </c>
      <c r="M474">
        <f t="shared" si="114"/>
        <v>0.15</v>
      </c>
      <c r="N474">
        <f t="shared" si="108"/>
        <v>0.31999999999999995</v>
      </c>
      <c r="Q474" t="str" cm="1">
        <f t="array" ref="Q474:R474">_xlfn.TEXTSPLIT(E474," ")</f>
        <v>27.10.2023</v>
      </c>
      <c r="R474" t="str">
        <v>07:52:38</v>
      </c>
      <c r="S474">
        <f t="shared" si="121"/>
        <v>7.8499999999999774</v>
      </c>
      <c r="T474">
        <f t="shared" si="112"/>
        <v>4.5900000000000034</v>
      </c>
      <c r="U474">
        <f t="shared" si="115"/>
        <v>0</v>
      </c>
      <c r="V474">
        <f t="shared" si="109"/>
        <v>0.54249999999999998</v>
      </c>
      <c r="AC474" t="s">
        <v>1465</v>
      </c>
      <c r="AD474">
        <v>0.15</v>
      </c>
      <c r="AE474">
        <v>6.37</v>
      </c>
      <c r="AG474" t="str" cm="1">
        <f t="array" ref="AG474:AH474">_xlfn.TEXTSPLIT(AC475," ")</f>
        <v>26.10.2023</v>
      </c>
      <c r="AH474" t="str">
        <v>07:53:37</v>
      </c>
      <c r="AI474">
        <f t="shared" si="122"/>
        <v>7.8499999999999774</v>
      </c>
      <c r="AJ474">
        <f t="shared" si="116"/>
        <v>1.8399999999999999</v>
      </c>
      <c r="AK474">
        <f t="shared" si="117"/>
        <v>0.15</v>
      </c>
      <c r="AL474">
        <f t="shared" si="110"/>
        <v>0.33250000000000007</v>
      </c>
      <c r="AN474" t="s">
        <v>1465</v>
      </c>
      <c r="AO474">
        <v>0.15</v>
      </c>
      <c r="AP474">
        <v>67.17</v>
      </c>
      <c r="AR474" t="str" cm="1">
        <f t="array" ref="AR474:AS474">_xlfn.TEXTSPLIT(AN474," ")</f>
        <v>26.10.2023</v>
      </c>
      <c r="AS474" t="str">
        <v>07:52:37</v>
      </c>
      <c r="AT474">
        <f t="shared" si="123"/>
        <v>7.8499999999999774</v>
      </c>
      <c r="AU474">
        <f t="shared" si="118"/>
        <v>5.8599999999999994</v>
      </c>
      <c r="AV474">
        <f t="shared" si="119"/>
        <v>0.15</v>
      </c>
      <c r="AW474">
        <f t="shared" si="111"/>
        <v>0.71249999999999991</v>
      </c>
    </row>
    <row r="475" spans="1:49" x14ac:dyDescent="0.25">
      <c r="A475" t="s">
        <v>1466</v>
      </c>
      <c r="B475">
        <v>0</v>
      </c>
      <c r="C475">
        <v>17.09</v>
      </c>
      <c r="E475" t="s">
        <v>1466</v>
      </c>
      <c r="F475">
        <v>0</v>
      </c>
      <c r="G475">
        <v>83.19</v>
      </c>
      <c r="I475" t="str" cm="1">
        <f t="array" ref="I475:J475">_xlfn.TEXTSPLIT(A475," ")</f>
        <v>27.10.2023</v>
      </c>
      <c r="J475" t="str">
        <v>07:53:38</v>
      </c>
      <c r="K475">
        <f t="shared" si="120"/>
        <v>7.866666666666644</v>
      </c>
      <c r="L475">
        <f t="shared" si="113"/>
        <v>2.7699999999999996</v>
      </c>
      <c r="M475">
        <f t="shared" si="114"/>
        <v>0</v>
      </c>
      <c r="N475">
        <f t="shared" si="108"/>
        <v>0.31999999999999995</v>
      </c>
      <c r="Q475" t="str" cm="1">
        <f t="array" ref="Q475:R475">_xlfn.TEXTSPLIT(E475," ")</f>
        <v>27.10.2023</v>
      </c>
      <c r="R475" t="str">
        <v>07:53:38</v>
      </c>
      <c r="S475">
        <f t="shared" si="121"/>
        <v>7.866666666666644</v>
      </c>
      <c r="T475">
        <f t="shared" si="112"/>
        <v>4.5900000000000034</v>
      </c>
      <c r="U475">
        <f t="shared" si="115"/>
        <v>0</v>
      </c>
      <c r="V475">
        <f t="shared" si="109"/>
        <v>0.53999999999999992</v>
      </c>
      <c r="AC475" t="s">
        <v>1467</v>
      </c>
      <c r="AD475">
        <v>0.75</v>
      </c>
      <c r="AE475">
        <v>6.37</v>
      </c>
      <c r="AG475" t="str" cm="1">
        <f t="array" ref="AG475:AH475">_xlfn.TEXTSPLIT(AC476," ")</f>
        <v>26.10.2023</v>
      </c>
      <c r="AH475" t="str">
        <v>07:54:37</v>
      </c>
      <c r="AI475">
        <f t="shared" si="122"/>
        <v>7.866666666666644</v>
      </c>
      <c r="AJ475">
        <f t="shared" si="116"/>
        <v>1.8399999999999999</v>
      </c>
      <c r="AK475">
        <f t="shared" si="117"/>
        <v>0.75</v>
      </c>
      <c r="AL475">
        <f t="shared" si="110"/>
        <v>0.34</v>
      </c>
      <c r="AN475" t="s">
        <v>1467</v>
      </c>
      <c r="AO475">
        <v>0</v>
      </c>
      <c r="AP475">
        <v>67.17</v>
      </c>
      <c r="AR475" t="str" cm="1">
        <f t="array" ref="AR475:AS475">_xlfn.TEXTSPLIT(AN475," ")</f>
        <v>26.10.2023</v>
      </c>
      <c r="AS475" t="str">
        <v>07:53:37</v>
      </c>
      <c r="AT475">
        <f t="shared" si="123"/>
        <v>7.866666666666644</v>
      </c>
      <c r="AU475">
        <f t="shared" si="118"/>
        <v>5.8599999999999994</v>
      </c>
      <c r="AV475">
        <f t="shared" si="119"/>
        <v>0</v>
      </c>
      <c r="AW475">
        <f t="shared" si="111"/>
        <v>0.71249999999999991</v>
      </c>
    </row>
    <row r="476" spans="1:49" x14ac:dyDescent="0.25">
      <c r="A476" t="s">
        <v>1468</v>
      </c>
      <c r="B476">
        <v>0</v>
      </c>
      <c r="C476">
        <v>17.09</v>
      </c>
      <c r="E476" t="s">
        <v>1468</v>
      </c>
      <c r="F476">
        <v>0</v>
      </c>
      <c r="G476">
        <v>83.19</v>
      </c>
      <c r="I476" t="str" cm="1">
        <f t="array" ref="I476:J476">_xlfn.TEXTSPLIT(A476," ")</f>
        <v>27.10.2023</v>
      </c>
      <c r="J476" t="str">
        <v>07:54:39</v>
      </c>
      <c r="K476">
        <f t="shared" si="120"/>
        <v>7.8833333333333107</v>
      </c>
      <c r="L476">
        <f t="shared" si="113"/>
        <v>2.7699999999999996</v>
      </c>
      <c r="M476">
        <f t="shared" si="114"/>
        <v>0</v>
      </c>
      <c r="N476">
        <f t="shared" si="108"/>
        <v>0.31999999999999995</v>
      </c>
      <c r="Q476" t="str" cm="1">
        <f t="array" ref="Q476:R476">_xlfn.TEXTSPLIT(E476," ")</f>
        <v>27.10.2023</v>
      </c>
      <c r="R476" t="str">
        <v>07:54:39</v>
      </c>
      <c r="S476">
        <f t="shared" si="121"/>
        <v>7.8833333333333107</v>
      </c>
      <c r="T476">
        <f t="shared" si="112"/>
        <v>4.5900000000000034</v>
      </c>
      <c r="U476">
        <f t="shared" si="115"/>
        <v>0</v>
      </c>
      <c r="V476">
        <f t="shared" si="109"/>
        <v>0.53999999999999992</v>
      </c>
      <c r="AC476" t="s">
        <v>1469</v>
      </c>
      <c r="AD476">
        <v>0</v>
      </c>
      <c r="AE476">
        <v>6.37</v>
      </c>
      <c r="AG476" t="str" cm="1">
        <f t="array" ref="AG476:AH476">_xlfn.TEXTSPLIT(AC477," ")</f>
        <v>26.10.2023</v>
      </c>
      <c r="AH476" t="str">
        <v>07:55:38</v>
      </c>
      <c r="AI476">
        <f t="shared" si="122"/>
        <v>7.8833333333333107</v>
      </c>
      <c r="AJ476">
        <f t="shared" si="116"/>
        <v>1.8399999999999999</v>
      </c>
      <c r="AK476">
        <f t="shared" si="117"/>
        <v>0</v>
      </c>
      <c r="AL476">
        <f t="shared" si="110"/>
        <v>0.34</v>
      </c>
      <c r="AN476" t="s">
        <v>1469</v>
      </c>
      <c r="AO476">
        <v>0</v>
      </c>
      <c r="AP476">
        <v>67.17</v>
      </c>
      <c r="AR476" t="str" cm="1">
        <f t="array" ref="AR476:AS476">_xlfn.TEXTSPLIT(AN476," ")</f>
        <v>26.10.2023</v>
      </c>
      <c r="AS476" t="str">
        <v>07:54:37</v>
      </c>
      <c r="AT476">
        <f t="shared" si="123"/>
        <v>7.8833333333333107</v>
      </c>
      <c r="AU476">
        <f t="shared" si="118"/>
        <v>5.8599999999999994</v>
      </c>
      <c r="AV476">
        <f t="shared" si="119"/>
        <v>0</v>
      </c>
      <c r="AW476">
        <f t="shared" si="111"/>
        <v>0.71249999999999991</v>
      </c>
    </row>
    <row r="477" spans="1:49" x14ac:dyDescent="0.25">
      <c r="A477" t="s">
        <v>1470</v>
      </c>
      <c r="B477">
        <v>0</v>
      </c>
      <c r="C477">
        <v>17.09</v>
      </c>
      <c r="E477" t="s">
        <v>1470</v>
      </c>
      <c r="F477">
        <v>0</v>
      </c>
      <c r="G477">
        <v>83.19</v>
      </c>
      <c r="I477" t="str" cm="1">
        <f t="array" ref="I477:J477">_xlfn.TEXTSPLIT(A477," ")</f>
        <v>27.10.2023</v>
      </c>
      <c r="J477" t="str">
        <v>07:55:39</v>
      </c>
      <c r="K477">
        <f t="shared" si="120"/>
        <v>7.8999999999999773</v>
      </c>
      <c r="L477">
        <f t="shared" si="113"/>
        <v>2.7699999999999996</v>
      </c>
      <c r="M477">
        <f t="shared" si="114"/>
        <v>0</v>
      </c>
      <c r="N477">
        <f t="shared" si="108"/>
        <v>0.31999999999999995</v>
      </c>
      <c r="Q477" t="str" cm="1">
        <f t="array" ref="Q477:R477">_xlfn.TEXTSPLIT(E477," ")</f>
        <v>27.10.2023</v>
      </c>
      <c r="R477" t="str">
        <v>07:55:39</v>
      </c>
      <c r="S477">
        <f t="shared" si="121"/>
        <v>7.8999999999999773</v>
      </c>
      <c r="T477">
        <f t="shared" si="112"/>
        <v>4.5900000000000034</v>
      </c>
      <c r="U477">
        <f t="shared" si="115"/>
        <v>0</v>
      </c>
      <c r="V477">
        <f t="shared" si="109"/>
        <v>0.53999999999999992</v>
      </c>
      <c r="AC477" t="s">
        <v>1471</v>
      </c>
      <c r="AD477">
        <v>0</v>
      </c>
      <c r="AE477">
        <v>6.37</v>
      </c>
      <c r="AG477" t="str" cm="1">
        <f t="array" ref="AG477:AH477">_xlfn.TEXTSPLIT(AC478," ")</f>
        <v>26.10.2023</v>
      </c>
      <c r="AH477" t="str">
        <v>07:56:38</v>
      </c>
      <c r="AI477">
        <f t="shared" si="122"/>
        <v>7.8999999999999773</v>
      </c>
      <c r="AJ477">
        <f t="shared" si="116"/>
        <v>1.8399999999999999</v>
      </c>
      <c r="AK477">
        <f t="shared" si="117"/>
        <v>0</v>
      </c>
      <c r="AL477">
        <f t="shared" si="110"/>
        <v>0.34</v>
      </c>
      <c r="AN477" t="s">
        <v>1471</v>
      </c>
      <c r="AO477">
        <v>0</v>
      </c>
      <c r="AP477">
        <v>67.17</v>
      </c>
      <c r="AR477" t="str" cm="1">
        <f t="array" ref="AR477:AS477">_xlfn.TEXTSPLIT(AN477," ")</f>
        <v>26.10.2023</v>
      </c>
      <c r="AS477" t="str">
        <v>07:55:38</v>
      </c>
      <c r="AT477">
        <f t="shared" si="123"/>
        <v>7.8999999999999773</v>
      </c>
      <c r="AU477">
        <f t="shared" si="118"/>
        <v>5.8599999999999994</v>
      </c>
      <c r="AV477">
        <f t="shared" si="119"/>
        <v>0</v>
      </c>
      <c r="AW477">
        <f t="shared" si="111"/>
        <v>0.71249999999999991</v>
      </c>
    </row>
    <row r="478" spans="1:49" x14ac:dyDescent="0.25">
      <c r="A478" t="s">
        <v>1472</v>
      </c>
      <c r="B478">
        <v>0</v>
      </c>
      <c r="C478">
        <v>17.09</v>
      </c>
      <c r="E478" t="s">
        <v>1472</v>
      </c>
      <c r="F478">
        <v>0</v>
      </c>
      <c r="G478">
        <v>83.19</v>
      </c>
      <c r="I478" t="str" cm="1">
        <f t="array" ref="I478:J478">_xlfn.TEXTSPLIT(A478," ")</f>
        <v>27.10.2023</v>
      </c>
      <c r="J478" t="str">
        <v>07:56:39</v>
      </c>
      <c r="K478">
        <f t="shared" si="120"/>
        <v>7.9166666666666439</v>
      </c>
      <c r="L478">
        <f t="shared" si="113"/>
        <v>2.7699999999999996</v>
      </c>
      <c r="M478">
        <f t="shared" si="114"/>
        <v>0</v>
      </c>
      <c r="N478">
        <f t="shared" si="108"/>
        <v>0.31999999999999995</v>
      </c>
      <c r="Q478" t="str" cm="1">
        <f t="array" ref="Q478:R478">_xlfn.TEXTSPLIT(E478," ")</f>
        <v>27.10.2023</v>
      </c>
      <c r="R478" t="str">
        <v>07:56:39</v>
      </c>
      <c r="S478">
        <f t="shared" si="121"/>
        <v>7.9166666666666439</v>
      </c>
      <c r="T478">
        <f t="shared" si="112"/>
        <v>4.5900000000000034</v>
      </c>
      <c r="U478">
        <f t="shared" si="115"/>
        <v>0</v>
      </c>
      <c r="V478">
        <f t="shared" si="109"/>
        <v>0.53749999999999998</v>
      </c>
      <c r="AC478" t="s">
        <v>1473</v>
      </c>
      <c r="AD478">
        <v>0</v>
      </c>
      <c r="AE478">
        <v>6.37</v>
      </c>
      <c r="AG478" t="str" cm="1">
        <f t="array" ref="AG478:AH478">_xlfn.TEXTSPLIT(AC479," ")</f>
        <v>26.10.2023</v>
      </c>
      <c r="AH478" t="str">
        <v>07:57:38</v>
      </c>
      <c r="AI478">
        <f t="shared" si="122"/>
        <v>7.9166666666666439</v>
      </c>
      <c r="AJ478">
        <f t="shared" si="116"/>
        <v>1.8399999999999999</v>
      </c>
      <c r="AK478">
        <f t="shared" si="117"/>
        <v>0</v>
      </c>
      <c r="AL478">
        <f t="shared" si="110"/>
        <v>0.34</v>
      </c>
      <c r="AN478" t="s">
        <v>1473</v>
      </c>
      <c r="AO478">
        <v>0.15</v>
      </c>
      <c r="AP478">
        <v>67.17</v>
      </c>
      <c r="AR478" t="str" cm="1">
        <f t="array" ref="AR478:AS478">_xlfn.TEXTSPLIT(AN478," ")</f>
        <v>26.10.2023</v>
      </c>
      <c r="AS478" t="str">
        <v>07:56:38</v>
      </c>
      <c r="AT478">
        <f t="shared" si="123"/>
        <v>7.9166666666666439</v>
      </c>
      <c r="AU478">
        <f t="shared" si="118"/>
        <v>5.8599999999999994</v>
      </c>
      <c r="AV478">
        <f t="shared" si="119"/>
        <v>0.15</v>
      </c>
      <c r="AW478">
        <f t="shared" si="111"/>
        <v>0.71499999999999986</v>
      </c>
    </row>
    <row r="479" spans="1:49" x14ac:dyDescent="0.25">
      <c r="A479" t="s">
        <v>1474</v>
      </c>
      <c r="B479">
        <v>0</v>
      </c>
      <c r="C479">
        <v>17.09</v>
      </c>
      <c r="E479" t="s">
        <v>1474</v>
      </c>
      <c r="F479">
        <v>0</v>
      </c>
      <c r="G479">
        <v>83.19</v>
      </c>
      <c r="I479" t="str" cm="1">
        <f t="array" ref="I479:J479">_xlfn.TEXTSPLIT(A479," ")</f>
        <v>27.10.2023</v>
      </c>
      <c r="J479" t="str">
        <v>07:57:39</v>
      </c>
      <c r="K479">
        <f t="shared" si="120"/>
        <v>7.9333333333333105</v>
      </c>
      <c r="L479">
        <f t="shared" si="113"/>
        <v>2.7699999999999996</v>
      </c>
      <c r="M479">
        <f t="shared" si="114"/>
        <v>0</v>
      </c>
      <c r="N479">
        <f t="shared" si="108"/>
        <v>0.31999999999999995</v>
      </c>
      <c r="Q479" t="str" cm="1">
        <f t="array" ref="Q479:R479">_xlfn.TEXTSPLIT(E479," ")</f>
        <v>27.10.2023</v>
      </c>
      <c r="R479" t="str">
        <v>07:57:39</v>
      </c>
      <c r="S479">
        <f t="shared" si="121"/>
        <v>7.9333333333333105</v>
      </c>
      <c r="T479">
        <f t="shared" si="112"/>
        <v>4.5900000000000034</v>
      </c>
      <c r="U479">
        <f t="shared" si="115"/>
        <v>0</v>
      </c>
      <c r="V479">
        <f t="shared" si="109"/>
        <v>0.53500000000000003</v>
      </c>
      <c r="AC479" t="s">
        <v>1475</v>
      </c>
      <c r="AD479">
        <v>0</v>
      </c>
      <c r="AE479">
        <v>6.37</v>
      </c>
      <c r="AG479" t="str" cm="1">
        <f t="array" ref="AG479:AH479">_xlfn.TEXTSPLIT(AC480," ")</f>
        <v>26.10.2023</v>
      </c>
      <c r="AH479" t="str">
        <v>07:58:38</v>
      </c>
      <c r="AI479">
        <f t="shared" si="122"/>
        <v>7.9333333333333105</v>
      </c>
      <c r="AJ479">
        <f t="shared" si="116"/>
        <v>1.8399999999999999</v>
      </c>
      <c r="AK479">
        <f t="shared" si="117"/>
        <v>0</v>
      </c>
      <c r="AL479">
        <f t="shared" si="110"/>
        <v>0.34</v>
      </c>
      <c r="AN479" t="s">
        <v>1475</v>
      </c>
      <c r="AO479">
        <v>0.15</v>
      </c>
      <c r="AP479">
        <v>67.17</v>
      </c>
      <c r="AR479" t="str" cm="1">
        <f t="array" ref="AR479:AS479">_xlfn.TEXTSPLIT(AN479," ")</f>
        <v>26.10.2023</v>
      </c>
      <c r="AS479" t="str">
        <v>07:57:38</v>
      </c>
      <c r="AT479">
        <f t="shared" si="123"/>
        <v>7.9333333333333105</v>
      </c>
      <c r="AU479">
        <f t="shared" si="118"/>
        <v>5.8599999999999994</v>
      </c>
      <c r="AV479">
        <f t="shared" si="119"/>
        <v>0.15</v>
      </c>
      <c r="AW479">
        <f t="shared" si="111"/>
        <v>0.7174999999999998</v>
      </c>
    </row>
    <row r="480" spans="1:49" x14ac:dyDescent="0.25">
      <c r="A480" t="s">
        <v>1476</v>
      </c>
      <c r="B480">
        <v>0</v>
      </c>
      <c r="C480">
        <v>17.09</v>
      </c>
      <c r="E480" t="s">
        <v>1476</v>
      </c>
      <c r="F480">
        <v>0</v>
      </c>
      <c r="G480">
        <v>83.19</v>
      </c>
      <c r="I480" t="str" cm="1">
        <f t="array" ref="I480:J480">_xlfn.TEXTSPLIT(A480," ")</f>
        <v>27.10.2023</v>
      </c>
      <c r="J480" t="str">
        <v>07:58:39</v>
      </c>
      <c r="K480">
        <f t="shared" si="120"/>
        <v>7.9499999999999771</v>
      </c>
      <c r="L480">
        <f t="shared" si="113"/>
        <v>2.7699999999999996</v>
      </c>
      <c r="M480">
        <f t="shared" si="114"/>
        <v>0</v>
      </c>
      <c r="N480">
        <f t="shared" si="108"/>
        <v>0.31999999999999995</v>
      </c>
      <c r="Q480" t="str" cm="1">
        <f t="array" ref="Q480:R480">_xlfn.TEXTSPLIT(E480," ")</f>
        <v>27.10.2023</v>
      </c>
      <c r="R480" t="str">
        <v>07:58:39</v>
      </c>
      <c r="S480">
        <f t="shared" si="121"/>
        <v>7.9499999999999771</v>
      </c>
      <c r="T480">
        <f t="shared" si="112"/>
        <v>4.5900000000000034</v>
      </c>
      <c r="U480">
        <f t="shared" si="115"/>
        <v>0</v>
      </c>
      <c r="V480">
        <f t="shared" si="109"/>
        <v>0.53500000000000003</v>
      </c>
      <c r="AC480" t="s">
        <v>1477</v>
      </c>
      <c r="AD480">
        <v>0</v>
      </c>
      <c r="AE480">
        <v>6.37</v>
      </c>
      <c r="AG480" t="str" cm="1">
        <f t="array" ref="AG480:AH480">_xlfn.TEXTSPLIT(AC481," ")</f>
        <v>26.10.2023</v>
      </c>
      <c r="AH480" t="str">
        <v>07:59:38</v>
      </c>
      <c r="AI480">
        <f t="shared" si="122"/>
        <v>7.9499999999999771</v>
      </c>
      <c r="AJ480">
        <f t="shared" si="116"/>
        <v>1.8399999999999999</v>
      </c>
      <c r="AK480">
        <f t="shared" si="117"/>
        <v>0</v>
      </c>
      <c r="AL480">
        <f t="shared" si="110"/>
        <v>0.34</v>
      </c>
      <c r="AN480" t="s">
        <v>1477</v>
      </c>
      <c r="AO480">
        <v>0</v>
      </c>
      <c r="AP480">
        <v>67.17</v>
      </c>
      <c r="AR480" t="str" cm="1">
        <f t="array" ref="AR480:AS480">_xlfn.TEXTSPLIT(AN480," ")</f>
        <v>26.10.2023</v>
      </c>
      <c r="AS480" t="str">
        <v>07:58:38</v>
      </c>
      <c r="AT480">
        <f t="shared" si="123"/>
        <v>7.9499999999999771</v>
      </c>
      <c r="AU480">
        <f t="shared" si="118"/>
        <v>5.8599999999999994</v>
      </c>
      <c r="AV480">
        <f t="shared" si="119"/>
        <v>0</v>
      </c>
      <c r="AW480">
        <f t="shared" si="111"/>
        <v>0.71249999999999991</v>
      </c>
    </row>
    <row r="481" spans="1:49" x14ac:dyDescent="0.25">
      <c r="A481" t="s">
        <v>1478</v>
      </c>
      <c r="B481">
        <v>0</v>
      </c>
      <c r="C481">
        <v>17.09</v>
      </c>
      <c r="E481" t="s">
        <v>1478</v>
      </c>
      <c r="F481">
        <v>0.15</v>
      </c>
      <c r="G481">
        <v>83.19</v>
      </c>
      <c r="I481" t="str" cm="1">
        <f t="array" ref="I481:J481">_xlfn.TEXTSPLIT(A481," ")</f>
        <v>27.10.2023</v>
      </c>
      <c r="J481" t="str">
        <v>07:59:39</v>
      </c>
      <c r="K481">
        <f t="shared" si="120"/>
        <v>7.9666666666666437</v>
      </c>
      <c r="L481">
        <f t="shared" si="113"/>
        <v>2.7699999999999996</v>
      </c>
      <c r="M481">
        <f t="shared" si="114"/>
        <v>0</v>
      </c>
      <c r="N481">
        <f t="shared" si="108"/>
        <v>0.31999999999999995</v>
      </c>
      <c r="Q481" t="str" cm="1">
        <f t="array" ref="Q481:R481">_xlfn.TEXTSPLIT(E481," ")</f>
        <v>27.10.2023</v>
      </c>
      <c r="R481" t="str">
        <v>07:59:39</v>
      </c>
      <c r="S481">
        <f t="shared" si="121"/>
        <v>7.9666666666666437</v>
      </c>
      <c r="T481">
        <f t="shared" si="112"/>
        <v>4.5900000000000034</v>
      </c>
      <c r="U481">
        <f t="shared" si="115"/>
        <v>0.15</v>
      </c>
      <c r="V481">
        <f t="shared" si="109"/>
        <v>0.53500000000000003</v>
      </c>
      <c r="AC481" t="s">
        <v>1479</v>
      </c>
      <c r="AD481">
        <v>0</v>
      </c>
      <c r="AE481">
        <v>6.37</v>
      </c>
      <c r="AG481" t="str" cm="1">
        <f t="array" ref="AG481:AH481">_xlfn.TEXTSPLIT(AC482," ")</f>
        <v>26.10.2023</v>
      </c>
      <c r="AH481" t="str">
        <v>08:00:38</v>
      </c>
      <c r="AI481">
        <f t="shared" si="122"/>
        <v>7.9666666666666437</v>
      </c>
      <c r="AJ481">
        <f t="shared" si="116"/>
        <v>1.8399999999999999</v>
      </c>
      <c r="AK481">
        <f t="shared" si="117"/>
        <v>0</v>
      </c>
      <c r="AL481">
        <f t="shared" si="110"/>
        <v>0.34</v>
      </c>
      <c r="AN481" t="s">
        <v>1479</v>
      </c>
      <c r="AO481">
        <v>0.3</v>
      </c>
      <c r="AP481">
        <v>67.180000000000007</v>
      </c>
      <c r="AR481" t="str" cm="1">
        <f t="array" ref="AR481:AS481">_xlfn.TEXTSPLIT(AN481," ")</f>
        <v>26.10.2023</v>
      </c>
      <c r="AS481" t="str">
        <v>07:59:38</v>
      </c>
      <c r="AT481">
        <f t="shared" si="123"/>
        <v>7.9666666666666437</v>
      </c>
      <c r="AU481">
        <f t="shared" si="118"/>
        <v>5.8700000000000045</v>
      </c>
      <c r="AV481">
        <f t="shared" si="119"/>
        <v>0.3</v>
      </c>
      <c r="AW481">
        <f t="shared" si="111"/>
        <v>0.71499999999999986</v>
      </c>
    </row>
    <row r="482" spans="1:49" x14ac:dyDescent="0.25">
      <c r="A482" t="s">
        <v>1480</v>
      </c>
      <c r="B482">
        <v>0</v>
      </c>
      <c r="C482">
        <v>17.09</v>
      </c>
      <c r="E482" t="s">
        <v>1480</v>
      </c>
      <c r="F482">
        <v>0</v>
      </c>
      <c r="G482">
        <v>83.19</v>
      </c>
      <c r="I482" t="str" cm="1">
        <f t="array" ref="I482:J482">_xlfn.TEXTSPLIT(A482," ")</f>
        <v>27.10.2023</v>
      </c>
      <c r="J482" t="str">
        <v>08:00:39</v>
      </c>
      <c r="K482">
        <f t="shared" si="120"/>
        <v>7.9833333333333103</v>
      </c>
      <c r="L482">
        <f t="shared" si="113"/>
        <v>2.7699999999999996</v>
      </c>
      <c r="M482">
        <f t="shared" si="114"/>
        <v>0</v>
      </c>
      <c r="N482">
        <f t="shared" si="108"/>
        <v>0.31999999999999995</v>
      </c>
      <c r="Q482" t="str" cm="1">
        <f t="array" ref="Q482:R482">_xlfn.TEXTSPLIT(E482," ")</f>
        <v>27.10.2023</v>
      </c>
      <c r="R482" t="str">
        <v>08:00:39</v>
      </c>
      <c r="S482">
        <f t="shared" si="121"/>
        <v>7.9833333333333103</v>
      </c>
      <c r="T482">
        <f t="shared" si="112"/>
        <v>4.5900000000000034</v>
      </c>
      <c r="U482">
        <f t="shared" si="115"/>
        <v>0</v>
      </c>
      <c r="V482">
        <f t="shared" si="109"/>
        <v>0.53249999999999997</v>
      </c>
      <c r="AC482" t="s">
        <v>1481</v>
      </c>
      <c r="AD482">
        <v>0</v>
      </c>
      <c r="AE482">
        <v>6.37</v>
      </c>
      <c r="AG482" t="str" cm="1">
        <f t="array" ref="AG482:AH482">_xlfn.TEXTSPLIT(AC483," ")</f>
        <v>26.10.2023</v>
      </c>
      <c r="AH482" t="str">
        <v>08:01:38</v>
      </c>
      <c r="AI482">
        <f t="shared" si="122"/>
        <v>7.9833333333333103</v>
      </c>
      <c r="AJ482">
        <f t="shared" si="116"/>
        <v>1.8399999999999999</v>
      </c>
      <c r="AK482">
        <f t="shared" si="117"/>
        <v>0</v>
      </c>
      <c r="AL482">
        <f t="shared" si="110"/>
        <v>0.34</v>
      </c>
      <c r="AN482" t="s">
        <v>1481</v>
      </c>
      <c r="AO482">
        <v>0.15</v>
      </c>
      <c r="AP482">
        <v>67.180000000000007</v>
      </c>
      <c r="AR482" t="str" cm="1">
        <f t="array" ref="AR482:AS482">_xlfn.TEXTSPLIT(AN482," ")</f>
        <v>26.10.2023</v>
      </c>
      <c r="AS482" t="str">
        <v>08:00:38</v>
      </c>
      <c r="AT482">
        <f t="shared" si="123"/>
        <v>7.9833333333333103</v>
      </c>
      <c r="AU482">
        <f t="shared" si="118"/>
        <v>5.8700000000000045</v>
      </c>
      <c r="AV482">
        <f t="shared" si="119"/>
        <v>0.15</v>
      </c>
      <c r="AW482">
        <f t="shared" si="111"/>
        <v>0.7124999999999998</v>
      </c>
    </row>
    <row r="483" spans="1:49" x14ac:dyDescent="0.25">
      <c r="A483" t="s">
        <v>1482</v>
      </c>
      <c r="B483">
        <v>0</v>
      </c>
      <c r="C483">
        <v>17.09</v>
      </c>
      <c r="E483" t="s">
        <v>1482</v>
      </c>
      <c r="F483">
        <v>0.3</v>
      </c>
      <c r="G483">
        <v>83.2</v>
      </c>
      <c r="I483" t="str" cm="1">
        <f t="array" ref="I483:J483">_xlfn.TEXTSPLIT(A483," ")</f>
        <v>27.10.2023</v>
      </c>
      <c r="J483" t="str">
        <v>08:01:39</v>
      </c>
      <c r="K483">
        <f t="shared" si="120"/>
        <v>7.9999999999999769</v>
      </c>
      <c r="L483">
        <f t="shared" si="113"/>
        <v>2.7699999999999996</v>
      </c>
      <c r="M483">
        <f t="shared" si="114"/>
        <v>0</v>
      </c>
      <c r="N483">
        <f t="shared" si="108"/>
        <v>0.31999999999999995</v>
      </c>
      <c r="Q483" t="str" cm="1">
        <f t="array" ref="Q483:R483">_xlfn.TEXTSPLIT(E483," ")</f>
        <v>27.10.2023</v>
      </c>
      <c r="R483" t="str">
        <v>08:01:39</v>
      </c>
      <c r="S483">
        <f t="shared" si="121"/>
        <v>7.9999999999999769</v>
      </c>
      <c r="T483">
        <f t="shared" si="112"/>
        <v>4.6000000000000085</v>
      </c>
      <c r="U483">
        <f t="shared" si="115"/>
        <v>0.3</v>
      </c>
      <c r="V483">
        <f t="shared" si="109"/>
        <v>0.53250000000000008</v>
      </c>
      <c r="AC483" t="s">
        <v>1483</v>
      </c>
      <c r="AD483">
        <v>0</v>
      </c>
      <c r="AE483">
        <v>6.37</v>
      </c>
      <c r="AG483" t="str" cm="1">
        <f t="array" ref="AG483:AH483">_xlfn.TEXTSPLIT(AC484," ")</f>
        <v>26.10.2023</v>
      </c>
      <c r="AH483" t="str">
        <v>08:02:38</v>
      </c>
      <c r="AI483">
        <f t="shared" si="122"/>
        <v>7.9999999999999769</v>
      </c>
      <c r="AJ483">
        <f t="shared" si="116"/>
        <v>1.8399999999999999</v>
      </c>
      <c r="AK483">
        <f t="shared" si="117"/>
        <v>0</v>
      </c>
      <c r="AL483">
        <f t="shared" si="110"/>
        <v>0.34</v>
      </c>
      <c r="AN483" t="s">
        <v>1483</v>
      </c>
      <c r="AO483">
        <v>0.3</v>
      </c>
      <c r="AP483">
        <v>67.19</v>
      </c>
      <c r="AR483" t="str" cm="1">
        <f t="array" ref="AR483:AS483">_xlfn.TEXTSPLIT(AN483," ")</f>
        <v>26.10.2023</v>
      </c>
      <c r="AS483" t="str">
        <v>08:01:38</v>
      </c>
      <c r="AT483">
        <f t="shared" si="123"/>
        <v>7.9999999999999769</v>
      </c>
      <c r="AU483">
        <f t="shared" si="118"/>
        <v>5.8799999999999955</v>
      </c>
      <c r="AV483">
        <f t="shared" si="119"/>
        <v>0.3</v>
      </c>
      <c r="AW483">
        <f t="shared" si="111"/>
        <v>0.70999999999999974</v>
      </c>
    </row>
    <row r="484" spans="1:49" x14ac:dyDescent="0.25">
      <c r="A484" t="s">
        <v>1484</v>
      </c>
      <c r="B484">
        <v>0</v>
      </c>
      <c r="C484">
        <v>17.09</v>
      </c>
      <c r="E484" t="s">
        <v>1484</v>
      </c>
      <c r="F484">
        <v>0</v>
      </c>
      <c r="G484">
        <v>83.2</v>
      </c>
      <c r="I484" t="str" cm="1">
        <f t="array" ref="I484:J484">_xlfn.TEXTSPLIT(A484," ")</f>
        <v>27.10.2023</v>
      </c>
      <c r="J484" t="str">
        <v>08:02:40</v>
      </c>
      <c r="K484">
        <f t="shared" si="120"/>
        <v>8.0166666666666444</v>
      </c>
      <c r="L484">
        <f t="shared" si="113"/>
        <v>2.7699999999999996</v>
      </c>
      <c r="M484">
        <f t="shared" si="114"/>
        <v>0</v>
      </c>
      <c r="N484">
        <f t="shared" si="108"/>
        <v>0.31999999999999995</v>
      </c>
      <c r="Q484" t="str" cm="1">
        <f t="array" ref="Q484:R484">_xlfn.TEXTSPLIT(E484," ")</f>
        <v>27.10.2023</v>
      </c>
      <c r="R484" t="str">
        <v>08:02:40</v>
      </c>
      <c r="S484">
        <f t="shared" si="121"/>
        <v>8.0166666666666444</v>
      </c>
      <c r="T484">
        <f t="shared" si="112"/>
        <v>4.6000000000000085</v>
      </c>
      <c r="U484">
        <f t="shared" si="115"/>
        <v>0</v>
      </c>
      <c r="V484">
        <f t="shared" si="109"/>
        <v>0.52500000000000002</v>
      </c>
      <c r="AC484" t="s">
        <v>1485</v>
      </c>
      <c r="AD484">
        <v>0</v>
      </c>
      <c r="AE484">
        <v>6.37</v>
      </c>
      <c r="AG484" t="str" cm="1">
        <f t="array" ref="AG484:AH484">_xlfn.TEXTSPLIT(AC485," ")</f>
        <v>26.10.2023</v>
      </c>
      <c r="AH484" t="str">
        <v>08:03:39</v>
      </c>
      <c r="AI484">
        <f t="shared" si="122"/>
        <v>8.0166666666666444</v>
      </c>
      <c r="AJ484">
        <f t="shared" si="116"/>
        <v>1.8399999999999999</v>
      </c>
      <c r="AK484">
        <f t="shared" si="117"/>
        <v>0</v>
      </c>
      <c r="AL484">
        <f t="shared" si="110"/>
        <v>0.34</v>
      </c>
      <c r="AN484" t="s">
        <v>1485</v>
      </c>
      <c r="AO484">
        <v>0.3</v>
      </c>
      <c r="AP484">
        <v>67.19</v>
      </c>
      <c r="AR484" t="str" cm="1">
        <f t="array" ref="AR484:AS484">_xlfn.TEXTSPLIT(AN484," ")</f>
        <v>26.10.2023</v>
      </c>
      <c r="AS484" t="str">
        <v>08:02:38</v>
      </c>
      <c r="AT484">
        <f t="shared" si="123"/>
        <v>8.0166666666666444</v>
      </c>
      <c r="AU484">
        <f t="shared" si="118"/>
        <v>5.8799999999999955</v>
      </c>
      <c r="AV484">
        <f t="shared" si="119"/>
        <v>0.3</v>
      </c>
      <c r="AW484">
        <f t="shared" si="111"/>
        <v>0.70499999999999974</v>
      </c>
    </row>
    <row r="485" spans="1:49" x14ac:dyDescent="0.25">
      <c r="A485" t="s">
        <v>1486</v>
      </c>
      <c r="B485">
        <v>0</v>
      </c>
      <c r="C485">
        <v>17.09</v>
      </c>
      <c r="E485" t="s">
        <v>1486</v>
      </c>
      <c r="F485">
        <v>0.3</v>
      </c>
      <c r="G485">
        <v>83.21</v>
      </c>
      <c r="I485" t="str" cm="1">
        <f t="array" ref="I485:J485">_xlfn.TEXTSPLIT(A485," ")</f>
        <v>27.10.2023</v>
      </c>
      <c r="J485" t="str">
        <v>08:03:40</v>
      </c>
      <c r="K485">
        <f t="shared" si="120"/>
        <v>8.0333333333333119</v>
      </c>
      <c r="L485">
        <f t="shared" si="113"/>
        <v>2.7699999999999996</v>
      </c>
      <c r="M485">
        <f t="shared" si="114"/>
        <v>0</v>
      </c>
      <c r="N485">
        <f t="shared" si="108"/>
        <v>0.31999999999999995</v>
      </c>
      <c r="Q485" t="str" cm="1">
        <f t="array" ref="Q485:R485">_xlfn.TEXTSPLIT(E485," ")</f>
        <v>27.10.2023</v>
      </c>
      <c r="R485" t="str">
        <v>08:03:40</v>
      </c>
      <c r="S485">
        <f t="shared" si="121"/>
        <v>8.0333333333333119</v>
      </c>
      <c r="T485">
        <f t="shared" si="112"/>
        <v>4.6099999999999994</v>
      </c>
      <c r="U485">
        <f t="shared" si="115"/>
        <v>0.3</v>
      </c>
      <c r="V485">
        <f t="shared" si="109"/>
        <v>0.52500000000000002</v>
      </c>
      <c r="AC485" t="s">
        <v>1487</v>
      </c>
      <c r="AD485">
        <v>0</v>
      </c>
      <c r="AE485">
        <v>6.37</v>
      </c>
      <c r="AG485" t="str" cm="1">
        <f t="array" ref="AG485:AH485">_xlfn.TEXTSPLIT(AC486," ")</f>
        <v>26.10.2023</v>
      </c>
      <c r="AH485" t="str">
        <v>08:04:39</v>
      </c>
      <c r="AI485">
        <f t="shared" si="122"/>
        <v>8.0333333333333119</v>
      </c>
      <c r="AJ485">
        <f t="shared" si="116"/>
        <v>1.8399999999999999</v>
      </c>
      <c r="AK485">
        <f t="shared" si="117"/>
        <v>0</v>
      </c>
      <c r="AL485">
        <f t="shared" si="110"/>
        <v>0.34</v>
      </c>
      <c r="AN485" t="s">
        <v>1487</v>
      </c>
      <c r="AO485">
        <v>0.45</v>
      </c>
      <c r="AP485">
        <v>67.2</v>
      </c>
      <c r="AR485" t="str" cm="1">
        <f t="array" ref="AR485:AS485">_xlfn.TEXTSPLIT(AN485," ")</f>
        <v>26.10.2023</v>
      </c>
      <c r="AS485" t="str">
        <v>08:03:39</v>
      </c>
      <c r="AT485">
        <f t="shared" si="123"/>
        <v>8.0333333333333119</v>
      </c>
      <c r="AU485">
        <f t="shared" si="118"/>
        <v>5.8900000000000006</v>
      </c>
      <c r="AV485">
        <f t="shared" si="119"/>
        <v>0.45</v>
      </c>
      <c r="AW485">
        <f t="shared" si="111"/>
        <v>0.70249999999999979</v>
      </c>
    </row>
    <row r="486" spans="1:49" x14ac:dyDescent="0.25">
      <c r="A486" t="s">
        <v>1488</v>
      </c>
      <c r="B486">
        <v>0</v>
      </c>
      <c r="C486">
        <v>17.09</v>
      </c>
      <c r="E486" t="s">
        <v>1488</v>
      </c>
      <c r="F486">
        <v>0.15</v>
      </c>
      <c r="G486">
        <v>83.21</v>
      </c>
      <c r="I486" t="str" cm="1">
        <f t="array" ref="I486:J486">_xlfn.TEXTSPLIT(A486," ")</f>
        <v>27.10.2023</v>
      </c>
      <c r="J486" t="str">
        <v>08:04:40</v>
      </c>
      <c r="K486">
        <f t="shared" si="120"/>
        <v>8.0499999999999794</v>
      </c>
      <c r="L486">
        <f t="shared" si="113"/>
        <v>2.7699999999999996</v>
      </c>
      <c r="M486">
        <f t="shared" si="114"/>
        <v>0</v>
      </c>
      <c r="N486">
        <f t="shared" si="108"/>
        <v>0.31999999999999995</v>
      </c>
      <c r="Q486" t="str" cm="1">
        <f t="array" ref="Q486:R486">_xlfn.TEXTSPLIT(E486," ")</f>
        <v>27.10.2023</v>
      </c>
      <c r="R486" t="str">
        <v>08:04:40</v>
      </c>
      <c r="S486">
        <f t="shared" si="121"/>
        <v>8.0499999999999794</v>
      </c>
      <c r="T486">
        <f t="shared" si="112"/>
        <v>4.6099999999999994</v>
      </c>
      <c r="U486">
        <f t="shared" si="115"/>
        <v>0.15</v>
      </c>
      <c r="V486">
        <f t="shared" si="109"/>
        <v>0.52</v>
      </c>
      <c r="AC486" t="s">
        <v>1489</v>
      </c>
      <c r="AD486">
        <v>0</v>
      </c>
      <c r="AE486">
        <v>6.37</v>
      </c>
      <c r="AG486" t="str" cm="1">
        <f t="array" ref="AG486:AH486">_xlfn.TEXTSPLIT(AC487," ")</f>
        <v>26.10.2023</v>
      </c>
      <c r="AH486" t="str">
        <v>08:05:39</v>
      </c>
      <c r="AI486">
        <f t="shared" si="122"/>
        <v>8.0499999999999794</v>
      </c>
      <c r="AJ486">
        <f t="shared" si="116"/>
        <v>1.8399999999999999</v>
      </c>
      <c r="AK486">
        <f t="shared" si="117"/>
        <v>0</v>
      </c>
      <c r="AL486">
        <f t="shared" si="110"/>
        <v>0.34</v>
      </c>
      <c r="AN486" t="s">
        <v>1489</v>
      </c>
      <c r="AO486">
        <v>0.6</v>
      </c>
      <c r="AP486">
        <v>67.209999999999994</v>
      </c>
      <c r="AR486" t="str" cm="1">
        <f t="array" ref="AR486:AS486">_xlfn.TEXTSPLIT(AN486," ")</f>
        <v>26.10.2023</v>
      </c>
      <c r="AS486" t="str">
        <v>08:04:39</v>
      </c>
      <c r="AT486">
        <f t="shared" si="123"/>
        <v>8.0499999999999794</v>
      </c>
      <c r="AU486">
        <f t="shared" si="118"/>
        <v>5.8999999999999915</v>
      </c>
      <c r="AV486">
        <f t="shared" si="119"/>
        <v>0.6</v>
      </c>
      <c r="AW486">
        <f t="shared" si="111"/>
        <v>0.7024999999999999</v>
      </c>
    </row>
    <row r="487" spans="1:49" x14ac:dyDescent="0.25">
      <c r="A487" t="s">
        <v>1490</v>
      </c>
      <c r="B487">
        <v>0</v>
      </c>
      <c r="C487">
        <v>17.09</v>
      </c>
      <c r="E487" t="s">
        <v>1490</v>
      </c>
      <c r="F487">
        <v>0.15</v>
      </c>
      <c r="G487">
        <v>83.21</v>
      </c>
      <c r="I487" t="str" cm="1">
        <f t="array" ref="I487:J487">_xlfn.TEXTSPLIT(A487," ")</f>
        <v>27.10.2023</v>
      </c>
      <c r="J487" t="str">
        <v>08:05:40</v>
      </c>
      <c r="K487">
        <f t="shared" si="120"/>
        <v>8.0666666666666469</v>
      </c>
      <c r="L487">
        <f t="shared" si="113"/>
        <v>2.7699999999999996</v>
      </c>
      <c r="M487">
        <f t="shared" si="114"/>
        <v>0</v>
      </c>
      <c r="N487">
        <f t="shared" si="108"/>
        <v>0.31999999999999995</v>
      </c>
      <c r="Q487" t="str" cm="1">
        <f t="array" ref="Q487:R487">_xlfn.TEXTSPLIT(E487," ")</f>
        <v>27.10.2023</v>
      </c>
      <c r="R487" t="str">
        <v>08:05:40</v>
      </c>
      <c r="S487">
        <f t="shared" si="121"/>
        <v>8.0666666666666469</v>
      </c>
      <c r="T487">
        <f t="shared" si="112"/>
        <v>4.6099999999999994</v>
      </c>
      <c r="U487">
        <f t="shared" si="115"/>
        <v>0.15</v>
      </c>
      <c r="V487">
        <f t="shared" si="109"/>
        <v>0.51249999999999996</v>
      </c>
      <c r="AC487" t="s">
        <v>1491</v>
      </c>
      <c r="AD487">
        <v>0</v>
      </c>
      <c r="AE487">
        <v>6.37</v>
      </c>
      <c r="AG487" t="str" cm="1">
        <f t="array" ref="AG487:AH487">_xlfn.TEXTSPLIT(AC488," ")</f>
        <v>26.10.2023</v>
      </c>
      <c r="AH487" t="str">
        <v>08:06:39</v>
      </c>
      <c r="AI487">
        <f t="shared" si="122"/>
        <v>8.0666666666666469</v>
      </c>
      <c r="AJ487">
        <f t="shared" si="116"/>
        <v>1.8399999999999999</v>
      </c>
      <c r="AK487">
        <f t="shared" si="117"/>
        <v>0</v>
      </c>
      <c r="AL487">
        <f t="shared" si="110"/>
        <v>0.34</v>
      </c>
      <c r="AN487" t="s">
        <v>1491</v>
      </c>
      <c r="AO487">
        <v>0.75</v>
      </c>
      <c r="AP487">
        <v>67.23</v>
      </c>
      <c r="AR487" t="str" cm="1">
        <f t="array" ref="AR487:AS487">_xlfn.TEXTSPLIT(AN487," ")</f>
        <v>26.10.2023</v>
      </c>
      <c r="AS487" t="str">
        <v>08:05:39</v>
      </c>
      <c r="AT487">
        <f t="shared" si="123"/>
        <v>8.0666666666666469</v>
      </c>
      <c r="AU487">
        <f t="shared" si="118"/>
        <v>5.9200000000000017</v>
      </c>
      <c r="AV487">
        <f t="shared" si="119"/>
        <v>0.75</v>
      </c>
      <c r="AW487">
        <f t="shared" si="111"/>
        <v>0.70249999999999979</v>
      </c>
    </row>
    <row r="488" spans="1:49" x14ac:dyDescent="0.25">
      <c r="A488" t="s">
        <v>1492</v>
      </c>
      <c r="B488">
        <v>0</v>
      </c>
      <c r="C488">
        <v>17.09</v>
      </c>
      <c r="E488" t="s">
        <v>1492</v>
      </c>
      <c r="F488">
        <v>0.45</v>
      </c>
      <c r="G488">
        <v>83.23</v>
      </c>
      <c r="I488" t="str" cm="1">
        <f t="array" ref="I488:J488">_xlfn.TEXTSPLIT(A488," ")</f>
        <v>27.10.2023</v>
      </c>
      <c r="J488" t="str">
        <v>08:06:40</v>
      </c>
      <c r="K488">
        <f t="shared" si="120"/>
        <v>8.0833333333333144</v>
      </c>
      <c r="L488">
        <f t="shared" si="113"/>
        <v>2.7699999999999996</v>
      </c>
      <c r="M488">
        <f t="shared" si="114"/>
        <v>0</v>
      </c>
      <c r="N488">
        <f t="shared" si="108"/>
        <v>0.31999999999999995</v>
      </c>
      <c r="Q488" t="str" cm="1">
        <f t="array" ref="Q488:R488">_xlfn.TEXTSPLIT(E488," ")</f>
        <v>27.10.2023</v>
      </c>
      <c r="R488" t="str">
        <v>08:06:40</v>
      </c>
      <c r="S488">
        <f t="shared" si="121"/>
        <v>8.0833333333333144</v>
      </c>
      <c r="T488">
        <f t="shared" si="112"/>
        <v>4.6300000000000097</v>
      </c>
      <c r="U488">
        <f t="shared" si="115"/>
        <v>0.45</v>
      </c>
      <c r="V488">
        <f t="shared" si="109"/>
        <v>0.505</v>
      </c>
      <c r="AC488" t="s">
        <v>1493</v>
      </c>
      <c r="AD488">
        <v>0</v>
      </c>
      <c r="AE488">
        <v>6.37</v>
      </c>
      <c r="AG488" t="str" cm="1">
        <f t="array" ref="AG488:AH488">_xlfn.TEXTSPLIT(AC489," ")</f>
        <v>26.10.2023</v>
      </c>
      <c r="AH488" t="str">
        <v>08:07:39</v>
      </c>
      <c r="AI488">
        <f t="shared" si="122"/>
        <v>8.0833333333333144</v>
      </c>
      <c r="AJ488">
        <f t="shared" si="116"/>
        <v>1.8399999999999999</v>
      </c>
      <c r="AK488">
        <f t="shared" si="117"/>
        <v>0</v>
      </c>
      <c r="AL488">
        <f t="shared" si="110"/>
        <v>0.34</v>
      </c>
      <c r="AN488" t="s">
        <v>1493</v>
      </c>
      <c r="AO488">
        <v>0.6</v>
      </c>
      <c r="AP488">
        <v>67.239999999999995</v>
      </c>
      <c r="AR488" t="str" cm="1">
        <f t="array" ref="AR488:AS488">_xlfn.TEXTSPLIT(AN488," ")</f>
        <v>26.10.2023</v>
      </c>
      <c r="AS488" t="str">
        <v>08:06:39</v>
      </c>
      <c r="AT488">
        <f t="shared" si="123"/>
        <v>8.0833333333333144</v>
      </c>
      <c r="AU488">
        <f t="shared" si="118"/>
        <v>5.9299999999999926</v>
      </c>
      <c r="AV488">
        <f t="shared" si="119"/>
        <v>0.6</v>
      </c>
      <c r="AW488">
        <f t="shared" si="111"/>
        <v>0.7024999999999999</v>
      </c>
    </row>
    <row r="489" spans="1:49" x14ac:dyDescent="0.25">
      <c r="A489" t="s">
        <v>1494</v>
      </c>
      <c r="B489">
        <v>0</v>
      </c>
      <c r="C489">
        <v>17.09</v>
      </c>
      <c r="E489" t="s">
        <v>1494</v>
      </c>
      <c r="F489">
        <v>1.05</v>
      </c>
      <c r="G489">
        <v>83.25</v>
      </c>
      <c r="I489" t="str" cm="1">
        <f t="array" ref="I489:J489">_xlfn.TEXTSPLIT(A489," ")</f>
        <v>27.10.2023</v>
      </c>
      <c r="J489" t="str">
        <v>08:07:40</v>
      </c>
      <c r="K489">
        <f t="shared" si="120"/>
        <v>8.0999999999999819</v>
      </c>
      <c r="L489">
        <f t="shared" si="113"/>
        <v>2.7699999999999996</v>
      </c>
      <c r="M489">
        <f t="shared" si="114"/>
        <v>0</v>
      </c>
      <c r="N489">
        <f t="shared" si="108"/>
        <v>0.31999999999999995</v>
      </c>
      <c r="Q489" t="str" cm="1">
        <f t="array" ref="Q489:R489">_xlfn.TEXTSPLIT(E489," ")</f>
        <v>27.10.2023</v>
      </c>
      <c r="R489" t="str">
        <v>08:07:40</v>
      </c>
      <c r="S489">
        <f t="shared" si="121"/>
        <v>8.0999999999999819</v>
      </c>
      <c r="T489">
        <f t="shared" si="112"/>
        <v>4.6500000000000057</v>
      </c>
      <c r="U489">
        <f t="shared" si="115"/>
        <v>1.05</v>
      </c>
      <c r="V489">
        <f t="shared" si="109"/>
        <v>0.505</v>
      </c>
      <c r="AC489" t="s">
        <v>1495</v>
      </c>
      <c r="AD489">
        <v>0</v>
      </c>
      <c r="AE489">
        <v>6.37</v>
      </c>
      <c r="AG489" t="str" cm="1">
        <f t="array" ref="AG489:AH489">_xlfn.TEXTSPLIT(AC490," ")</f>
        <v>26.10.2023</v>
      </c>
      <c r="AH489" t="str">
        <v>08:08:39</v>
      </c>
      <c r="AI489">
        <f t="shared" si="122"/>
        <v>8.0999999999999819</v>
      </c>
      <c r="AJ489">
        <f t="shared" si="116"/>
        <v>1.8399999999999999</v>
      </c>
      <c r="AK489">
        <f t="shared" si="117"/>
        <v>0</v>
      </c>
      <c r="AL489">
        <f t="shared" si="110"/>
        <v>0.34</v>
      </c>
      <c r="AN489" t="s">
        <v>1495</v>
      </c>
      <c r="AO489">
        <v>1.65</v>
      </c>
      <c r="AP489">
        <v>67.28</v>
      </c>
      <c r="AR489" t="str" cm="1">
        <f t="array" ref="AR489:AS489">_xlfn.TEXTSPLIT(AN489," ")</f>
        <v>26.10.2023</v>
      </c>
      <c r="AS489" t="str">
        <v>08:07:39</v>
      </c>
      <c r="AT489">
        <f t="shared" si="123"/>
        <v>8.0999999999999819</v>
      </c>
      <c r="AU489">
        <f t="shared" si="118"/>
        <v>5.9699999999999989</v>
      </c>
      <c r="AV489">
        <f t="shared" si="119"/>
        <v>1.65</v>
      </c>
      <c r="AW489">
        <f t="shared" si="111"/>
        <v>0.71499999999999997</v>
      </c>
    </row>
    <row r="490" spans="1:49" x14ac:dyDescent="0.25">
      <c r="A490" t="s">
        <v>1496</v>
      </c>
      <c r="B490">
        <v>0.75</v>
      </c>
      <c r="C490">
        <v>17.12</v>
      </c>
      <c r="E490" t="s">
        <v>1496</v>
      </c>
      <c r="F490">
        <v>1.95</v>
      </c>
      <c r="G490">
        <v>83.29</v>
      </c>
      <c r="I490" t="str" cm="1">
        <f t="array" ref="I490:J490">_xlfn.TEXTSPLIT(A490," ")</f>
        <v>27.10.2023</v>
      </c>
      <c r="J490" t="str">
        <v>08:08:40</v>
      </c>
      <c r="K490">
        <f t="shared" si="120"/>
        <v>8.1166666666666494</v>
      </c>
      <c r="L490">
        <f t="shared" si="113"/>
        <v>2.8000000000000007</v>
      </c>
      <c r="M490">
        <f t="shared" si="114"/>
        <v>0.75</v>
      </c>
      <c r="N490">
        <f t="shared" si="108"/>
        <v>0.315</v>
      </c>
      <c r="Q490" t="str" cm="1">
        <f t="array" ref="Q490:R490">_xlfn.TEXTSPLIT(E490," ")</f>
        <v>27.10.2023</v>
      </c>
      <c r="R490" t="str">
        <v>08:08:40</v>
      </c>
      <c r="S490">
        <f t="shared" si="121"/>
        <v>8.1166666666666494</v>
      </c>
      <c r="T490">
        <f t="shared" si="112"/>
        <v>4.6900000000000119</v>
      </c>
      <c r="U490">
        <f t="shared" si="115"/>
        <v>1.95</v>
      </c>
      <c r="V490">
        <f t="shared" si="109"/>
        <v>0.51749999999999996</v>
      </c>
      <c r="AC490" t="s">
        <v>1497</v>
      </c>
      <c r="AD490">
        <v>0</v>
      </c>
      <c r="AE490">
        <v>6.39</v>
      </c>
      <c r="AG490" t="str" cm="1">
        <f t="array" ref="AG490:AH490">_xlfn.TEXTSPLIT(AC491," ")</f>
        <v>26.10.2023</v>
      </c>
      <c r="AH490" t="str">
        <v>08:09:39</v>
      </c>
      <c r="AI490">
        <f t="shared" si="122"/>
        <v>8.1166666666666494</v>
      </c>
      <c r="AJ490">
        <f t="shared" si="116"/>
        <v>1.8599999999999994</v>
      </c>
      <c r="AK490">
        <f t="shared" si="117"/>
        <v>0</v>
      </c>
      <c r="AL490">
        <f t="shared" si="110"/>
        <v>0.34</v>
      </c>
      <c r="AN490" t="s">
        <v>1497</v>
      </c>
      <c r="AO490">
        <v>1.8</v>
      </c>
      <c r="AP490">
        <v>67.31</v>
      </c>
      <c r="AR490" t="str" cm="1">
        <f t="array" ref="AR490:AS490">_xlfn.TEXTSPLIT(AN490," ")</f>
        <v>26.10.2023</v>
      </c>
      <c r="AS490" t="str">
        <v>08:08:39</v>
      </c>
      <c r="AT490">
        <f t="shared" si="123"/>
        <v>8.1166666666666494</v>
      </c>
      <c r="AU490">
        <f t="shared" si="118"/>
        <v>6</v>
      </c>
      <c r="AV490">
        <f t="shared" si="119"/>
        <v>1.8</v>
      </c>
      <c r="AW490">
        <f t="shared" si="111"/>
        <v>0.71499999999999986</v>
      </c>
    </row>
    <row r="491" spans="1:49" x14ac:dyDescent="0.25">
      <c r="A491" t="s">
        <v>1498</v>
      </c>
      <c r="B491">
        <v>1.95</v>
      </c>
      <c r="C491">
        <v>17.149999999999999</v>
      </c>
      <c r="E491" t="s">
        <v>1498</v>
      </c>
      <c r="F491">
        <v>2.1</v>
      </c>
      <c r="G491">
        <v>83.32</v>
      </c>
      <c r="I491" t="str" cm="1">
        <f t="array" ref="I491:J491">_xlfn.TEXTSPLIT(A491," ")</f>
        <v>27.10.2023</v>
      </c>
      <c r="J491" t="str">
        <v>08:09:41</v>
      </c>
      <c r="K491">
        <f t="shared" si="120"/>
        <v>8.1333333333333169</v>
      </c>
      <c r="L491">
        <f t="shared" si="113"/>
        <v>2.8299999999999983</v>
      </c>
      <c r="M491">
        <f t="shared" si="114"/>
        <v>1.95</v>
      </c>
      <c r="N491">
        <f t="shared" si="108"/>
        <v>0.31</v>
      </c>
      <c r="Q491" t="str" cm="1">
        <f t="array" ref="Q491:R491">_xlfn.TEXTSPLIT(E491," ")</f>
        <v>27.10.2023</v>
      </c>
      <c r="R491" t="str">
        <v>08:09:41</v>
      </c>
      <c r="S491">
        <f t="shared" si="121"/>
        <v>8.1333333333333169</v>
      </c>
      <c r="T491">
        <f t="shared" si="112"/>
        <v>4.7199999999999989</v>
      </c>
      <c r="U491">
        <f t="shared" si="115"/>
        <v>2.1</v>
      </c>
      <c r="V491">
        <f t="shared" si="109"/>
        <v>0.52750000000000008</v>
      </c>
      <c r="AC491" t="s">
        <v>1499</v>
      </c>
      <c r="AD491">
        <v>1.65</v>
      </c>
      <c r="AE491">
        <v>6.41</v>
      </c>
      <c r="AG491" t="str" cm="1">
        <f t="array" ref="AG491:AH491">_xlfn.TEXTSPLIT(AC492," ")</f>
        <v>26.10.2023</v>
      </c>
      <c r="AH491" t="str">
        <v>08:10:40</v>
      </c>
      <c r="AI491">
        <f t="shared" si="122"/>
        <v>8.1333333333333169</v>
      </c>
      <c r="AJ491">
        <f t="shared" si="116"/>
        <v>1.88</v>
      </c>
      <c r="AK491">
        <f t="shared" si="117"/>
        <v>1.65</v>
      </c>
      <c r="AL491">
        <f t="shared" si="110"/>
        <v>0.34749999999999998</v>
      </c>
      <c r="AN491" t="s">
        <v>1499</v>
      </c>
      <c r="AO491">
        <v>2.25</v>
      </c>
      <c r="AP491">
        <v>67.349999999999994</v>
      </c>
      <c r="AR491" t="str" cm="1">
        <f t="array" ref="AR491:AS491">_xlfn.TEXTSPLIT(AN491," ")</f>
        <v>26.10.2023</v>
      </c>
      <c r="AS491" t="str">
        <v>08:09:39</v>
      </c>
      <c r="AT491">
        <f t="shared" si="123"/>
        <v>8.1333333333333169</v>
      </c>
      <c r="AU491">
        <f t="shared" si="118"/>
        <v>6.039999999999992</v>
      </c>
      <c r="AV491">
        <f t="shared" si="119"/>
        <v>2.25</v>
      </c>
      <c r="AW491">
        <f t="shared" si="111"/>
        <v>0.71499999999999986</v>
      </c>
    </row>
    <row r="492" spans="1:49" x14ac:dyDescent="0.25">
      <c r="A492" t="s">
        <v>1500</v>
      </c>
      <c r="B492">
        <v>0.75</v>
      </c>
      <c r="C492">
        <v>17.16</v>
      </c>
      <c r="E492" t="s">
        <v>1500</v>
      </c>
      <c r="F492">
        <v>1.35</v>
      </c>
      <c r="G492">
        <v>83.33</v>
      </c>
      <c r="I492" t="str" cm="1">
        <f t="array" ref="I492:J492">_xlfn.TEXTSPLIT(A492," ")</f>
        <v>27.10.2023</v>
      </c>
      <c r="J492" t="str">
        <v>08:10:41</v>
      </c>
      <c r="K492">
        <f t="shared" si="120"/>
        <v>8.1499999999999844</v>
      </c>
      <c r="L492">
        <f t="shared" si="113"/>
        <v>2.84</v>
      </c>
      <c r="M492">
        <f t="shared" si="114"/>
        <v>0.75</v>
      </c>
      <c r="N492">
        <f t="shared" si="108"/>
        <v>0.30250000000000005</v>
      </c>
      <c r="Q492" t="str" cm="1">
        <f t="array" ref="Q492:R492">_xlfn.TEXTSPLIT(E492," ")</f>
        <v>27.10.2023</v>
      </c>
      <c r="R492" t="str">
        <v>08:10:41</v>
      </c>
      <c r="S492">
        <f t="shared" si="121"/>
        <v>8.1499999999999844</v>
      </c>
      <c r="T492">
        <f t="shared" si="112"/>
        <v>4.730000000000004</v>
      </c>
      <c r="U492">
        <f t="shared" si="115"/>
        <v>1.35</v>
      </c>
      <c r="V492">
        <f t="shared" si="109"/>
        <v>0.52250000000000008</v>
      </c>
      <c r="AC492" t="s">
        <v>1501</v>
      </c>
      <c r="AD492">
        <v>1.35</v>
      </c>
      <c r="AE492">
        <v>6.44</v>
      </c>
      <c r="AG492" t="str" cm="1">
        <f t="array" ref="AG492:AH492">_xlfn.TEXTSPLIT(AC493," ")</f>
        <v>26.10.2023</v>
      </c>
      <c r="AH492" t="str">
        <v>08:11:40</v>
      </c>
      <c r="AI492">
        <f t="shared" si="122"/>
        <v>8.1499999999999844</v>
      </c>
      <c r="AJ492">
        <f t="shared" si="116"/>
        <v>1.9100000000000001</v>
      </c>
      <c r="AK492">
        <f t="shared" si="117"/>
        <v>1.35</v>
      </c>
      <c r="AL492">
        <f t="shared" si="110"/>
        <v>0.34750000000000003</v>
      </c>
      <c r="AN492" t="s">
        <v>1501</v>
      </c>
      <c r="AO492">
        <v>2.1</v>
      </c>
      <c r="AP492">
        <v>67.37</v>
      </c>
      <c r="AR492" t="str" cm="1">
        <f t="array" ref="AR492:AS492">_xlfn.TEXTSPLIT(AN492," ")</f>
        <v>26.10.2023</v>
      </c>
      <c r="AS492" t="str">
        <v>08:10:40</v>
      </c>
      <c r="AT492">
        <f t="shared" si="123"/>
        <v>8.1499999999999844</v>
      </c>
      <c r="AU492">
        <f t="shared" si="118"/>
        <v>6.0600000000000023</v>
      </c>
      <c r="AV492">
        <f t="shared" si="119"/>
        <v>2.1</v>
      </c>
      <c r="AW492">
        <f t="shared" si="111"/>
        <v>0.71250000000000013</v>
      </c>
    </row>
    <row r="493" spans="1:49" x14ac:dyDescent="0.25">
      <c r="A493" t="s">
        <v>1502</v>
      </c>
      <c r="B493">
        <v>1.35</v>
      </c>
      <c r="C493">
        <v>17.170000000000002</v>
      </c>
      <c r="E493" t="s">
        <v>1502</v>
      </c>
      <c r="F493">
        <v>0.75</v>
      </c>
      <c r="G493">
        <v>83.35</v>
      </c>
      <c r="I493" t="str" cm="1">
        <f t="array" ref="I493:J493">_xlfn.TEXTSPLIT(A493," ")</f>
        <v>27.10.2023</v>
      </c>
      <c r="J493" t="str">
        <v>08:11:41</v>
      </c>
      <c r="K493">
        <f t="shared" si="120"/>
        <v>8.1666666666666519</v>
      </c>
      <c r="L493">
        <f t="shared" si="113"/>
        <v>2.8500000000000014</v>
      </c>
      <c r="M493">
        <f t="shared" si="114"/>
        <v>1.35</v>
      </c>
      <c r="N493">
        <f t="shared" si="108"/>
        <v>0.31250000000000006</v>
      </c>
      <c r="Q493" t="str" cm="1">
        <f t="array" ref="Q493:R493">_xlfn.TEXTSPLIT(E493," ")</f>
        <v>27.10.2023</v>
      </c>
      <c r="R493" t="str">
        <v>08:11:41</v>
      </c>
      <c r="S493">
        <f t="shared" si="121"/>
        <v>8.1666666666666519</v>
      </c>
      <c r="T493">
        <f t="shared" si="112"/>
        <v>4.75</v>
      </c>
      <c r="U493">
        <f t="shared" si="115"/>
        <v>0.75</v>
      </c>
      <c r="V493">
        <f t="shared" si="109"/>
        <v>0.51000000000000012</v>
      </c>
      <c r="AC493" t="s">
        <v>1503</v>
      </c>
      <c r="AD493">
        <v>1.35</v>
      </c>
      <c r="AE493">
        <v>6.45</v>
      </c>
      <c r="AG493" t="str" cm="1">
        <f t="array" ref="AG493:AH493">_xlfn.TEXTSPLIT(AC494," ")</f>
        <v>26.10.2023</v>
      </c>
      <c r="AH493" t="str">
        <v>08:12:40</v>
      </c>
      <c r="AI493">
        <f t="shared" si="122"/>
        <v>8.1666666666666519</v>
      </c>
      <c r="AJ493">
        <f t="shared" si="116"/>
        <v>1.92</v>
      </c>
      <c r="AK493">
        <f t="shared" si="117"/>
        <v>1.35</v>
      </c>
      <c r="AL493">
        <f t="shared" si="110"/>
        <v>0.34500000000000003</v>
      </c>
      <c r="AN493" t="s">
        <v>1503</v>
      </c>
      <c r="AO493">
        <v>1.35</v>
      </c>
      <c r="AP493">
        <v>67.39</v>
      </c>
      <c r="AR493" t="str" cm="1">
        <f t="array" ref="AR493:AS493">_xlfn.TEXTSPLIT(AN493," ")</f>
        <v>26.10.2023</v>
      </c>
      <c r="AS493" t="str">
        <v>08:11:40</v>
      </c>
      <c r="AT493">
        <f t="shared" si="123"/>
        <v>8.1666666666666519</v>
      </c>
      <c r="AU493">
        <f t="shared" si="118"/>
        <v>6.0799999999999983</v>
      </c>
      <c r="AV493">
        <f t="shared" si="119"/>
        <v>1.35</v>
      </c>
      <c r="AW493">
        <f t="shared" si="111"/>
        <v>0.7200000000000002</v>
      </c>
    </row>
    <row r="494" spans="1:49" x14ac:dyDescent="0.25">
      <c r="A494" t="s">
        <v>1504</v>
      </c>
      <c r="B494">
        <v>0.75</v>
      </c>
      <c r="C494">
        <v>17.190000000000001</v>
      </c>
      <c r="E494" t="s">
        <v>1504</v>
      </c>
      <c r="F494">
        <v>0.6</v>
      </c>
      <c r="G494">
        <v>83.35</v>
      </c>
      <c r="I494" t="str" cm="1">
        <f t="array" ref="I494:J494">_xlfn.TEXTSPLIT(A494," ")</f>
        <v>27.10.2023</v>
      </c>
      <c r="J494" t="str">
        <v>08:12:41</v>
      </c>
      <c r="K494">
        <f t="shared" si="120"/>
        <v>8.1833333333333194</v>
      </c>
      <c r="L494">
        <f t="shared" si="113"/>
        <v>2.870000000000001</v>
      </c>
      <c r="M494">
        <f t="shared" si="114"/>
        <v>0.75</v>
      </c>
      <c r="N494">
        <f t="shared" si="108"/>
        <v>0.31500000000000006</v>
      </c>
      <c r="Q494" t="str" cm="1">
        <f t="array" ref="Q494:R494">_xlfn.TEXTSPLIT(E494," ")</f>
        <v>27.10.2023</v>
      </c>
      <c r="R494" t="str">
        <v>08:12:41</v>
      </c>
      <c r="S494">
        <f t="shared" si="121"/>
        <v>8.1833333333333194</v>
      </c>
      <c r="T494">
        <f t="shared" si="112"/>
        <v>4.75</v>
      </c>
      <c r="U494">
        <f t="shared" si="115"/>
        <v>0.6</v>
      </c>
      <c r="V494">
        <f t="shared" si="109"/>
        <v>0.51000000000000012</v>
      </c>
      <c r="AC494" t="s">
        <v>1505</v>
      </c>
      <c r="AD494">
        <v>1.2</v>
      </c>
      <c r="AE494">
        <v>6.48</v>
      </c>
      <c r="AG494" t="str" cm="1">
        <f t="array" ref="AG494:AH494">_xlfn.TEXTSPLIT(AC495," ")</f>
        <v>26.10.2023</v>
      </c>
      <c r="AH494" t="str">
        <v>08:13:40</v>
      </c>
      <c r="AI494">
        <f t="shared" si="122"/>
        <v>8.1833333333333194</v>
      </c>
      <c r="AJ494">
        <f t="shared" si="116"/>
        <v>1.9500000000000002</v>
      </c>
      <c r="AK494">
        <f t="shared" si="117"/>
        <v>1.2</v>
      </c>
      <c r="AL494">
        <f t="shared" si="110"/>
        <v>0.35250000000000004</v>
      </c>
      <c r="AN494" t="s">
        <v>1505</v>
      </c>
      <c r="AO494">
        <v>0.9</v>
      </c>
      <c r="AP494">
        <v>67.400000000000006</v>
      </c>
      <c r="AR494" t="str" cm="1">
        <f t="array" ref="AR494:AS494">_xlfn.TEXTSPLIT(AN494," ")</f>
        <v>26.10.2023</v>
      </c>
      <c r="AS494" t="str">
        <v>08:12:40</v>
      </c>
      <c r="AT494">
        <f t="shared" si="123"/>
        <v>8.1833333333333194</v>
      </c>
      <c r="AU494">
        <f t="shared" si="118"/>
        <v>6.0900000000000034</v>
      </c>
      <c r="AV494">
        <f t="shared" si="119"/>
        <v>0.9</v>
      </c>
      <c r="AW494">
        <f t="shared" si="111"/>
        <v>0.72250000000000003</v>
      </c>
    </row>
    <row r="495" spans="1:49" x14ac:dyDescent="0.25">
      <c r="A495" t="s">
        <v>1506</v>
      </c>
      <c r="B495">
        <v>0.75</v>
      </c>
      <c r="C495">
        <v>17.190000000000001</v>
      </c>
      <c r="E495" t="s">
        <v>1506</v>
      </c>
      <c r="F495">
        <v>0.6</v>
      </c>
      <c r="G495">
        <v>83.36</v>
      </c>
      <c r="I495" t="str" cm="1">
        <f t="array" ref="I495:J495">_xlfn.TEXTSPLIT(A495," ")</f>
        <v>27.10.2023</v>
      </c>
      <c r="J495" t="str">
        <v>08:13:41</v>
      </c>
      <c r="K495">
        <f t="shared" si="120"/>
        <v>8.1999999999999869</v>
      </c>
      <c r="L495">
        <f t="shared" si="113"/>
        <v>2.870000000000001</v>
      </c>
      <c r="M495">
        <f t="shared" si="114"/>
        <v>0.75</v>
      </c>
      <c r="N495">
        <f t="shared" si="108"/>
        <v>0.32250000000000001</v>
      </c>
      <c r="Q495" t="str" cm="1">
        <f t="array" ref="Q495:R495">_xlfn.TEXTSPLIT(E495," ")</f>
        <v>27.10.2023</v>
      </c>
      <c r="R495" t="str">
        <v>08:13:41</v>
      </c>
      <c r="S495">
        <f t="shared" si="121"/>
        <v>8.1999999999999869</v>
      </c>
      <c r="T495">
        <f t="shared" si="112"/>
        <v>4.7600000000000051</v>
      </c>
      <c r="U495">
        <f t="shared" si="115"/>
        <v>0.6</v>
      </c>
      <c r="V495">
        <f t="shared" si="109"/>
        <v>0.51000000000000012</v>
      </c>
      <c r="AC495" t="s">
        <v>1507</v>
      </c>
      <c r="AD495">
        <v>1.5</v>
      </c>
      <c r="AE495">
        <v>6.5</v>
      </c>
      <c r="AG495" t="str" cm="1">
        <f t="array" ref="AG495:AH495">_xlfn.TEXTSPLIT(AC496," ")</f>
        <v>26.10.2023</v>
      </c>
      <c r="AH495" t="str">
        <v>08:14:40</v>
      </c>
      <c r="AI495">
        <f t="shared" si="122"/>
        <v>8.1999999999999869</v>
      </c>
      <c r="AJ495">
        <f t="shared" si="116"/>
        <v>1.9699999999999998</v>
      </c>
      <c r="AK495">
        <f t="shared" si="117"/>
        <v>1.5</v>
      </c>
      <c r="AL495">
        <f t="shared" si="110"/>
        <v>0.37000000000000005</v>
      </c>
      <c r="AN495" t="s">
        <v>1507</v>
      </c>
      <c r="AO495">
        <v>0.45</v>
      </c>
      <c r="AP495">
        <v>67.41</v>
      </c>
      <c r="AR495" t="str" cm="1">
        <f t="array" ref="AR495:AS495">_xlfn.TEXTSPLIT(AN495," ")</f>
        <v>26.10.2023</v>
      </c>
      <c r="AS495" t="str">
        <v>08:13:40</v>
      </c>
      <c r="AT495">
        <f t="shared" si="123"/>
        <v>8.1999999999999869</v>
      </c>
      <c r="AU495">
        <f t="shared" si="118"/>
        <v>6.0999999999999943</v>
      </c>
      <c r="AV495">
        <f t="shared" si="119"/>
        <v>0.45</v>
      </c>
      <c r="AW495">
        <f t="shared" si="111"/>
        <v>0.71749999999999992</v>
      </c>
    </row>
    <row r="496" spans="1:49" x14ac:dyDescent="0.25">
      <c r="A496" t="s">
        <v>1508</v>
      </c>
      <c r="B496">
        <v>0.3</v>
      </c>
      <c r="C496">
        <v>17.2</v>
      </c>
      <c r="E496" t="s">
        <v>1508</v>
      </c>
      <c r="F496">
        <v>0.45</v>
      </c>
      <c r="G496">
        <v>83.37</v>
      </c>
      <c r="I496" t="str" cm="1">
        <f t="array" ref="I496:J496">_xlfn.TEXTSPLIT(A496," ")</f>
        <v>27.10.2023</v>
      </c>
      <c r="J496" t="str">
        <v>08:14:41</v>
      </c>
      <c r="K496">
        <f t="shared" si="120"/>
        <v>8.2166666666666544</v>
      </c>
      <c r="L496">
        <f t="shared" si="113"/>
        <v>2.879999999999999</v>
      </c>
      <c r="M496">
        <f t="shared" si="114"/>
        <v>0.3</v>
      </c>
      <c r="N496">
        <f t="shared" si="108"/>
        <v>0.32000000000000006</v>
      </c>
      <c r="Q496" t="str" cm="1">
        <f t="array" ref="Q496:R496">_xlfn.TEXTSPLIT(E496," ")</f>
        <v>27.10.2023</v>
      </c>
      <c r="R496" t="str">
        <v>08:14:41</v>
      </c>
      <c r="S496">
        <f t="shared" si="121"/>
        <v>8.2166666666666544</v>
      </c>
      <c r="T496">
        <f t="shared" si="112"/>
        <v>4.7700000000000102</v>
      </c>
      <c r="U496">
        <f t="shared" si="115"/>
        <v>0.45</v>
      </c>
      <c r="V496">
        <f t="shared" si="109"/>
        <v>0.51000000000000012</v>
      </c>
      <c r="AC496" t="s">
        <v>1509</v>
      </c>
      <c r="AD496">
        <v>0.9</v>
      </c>
      <c r="AE496">
        <v>6.51</v>
      </c>
      <c r="AG496" t="str" cm="1">
        <f t="array" ref="AG496:AH496">_xlfn.TEXTSPLIT(AC497," ")</f>
        <v>26.10.2023</v>
      </c>
      <c r="AH496" t="str">
        <v>08:15:40</v>
      </c>
      <c r="AI496">
        <f t="shared" si="122"/>
        <v>8.2166666666666544</v>
      </c>
      <c r="AJ496">
        <f t="shared" si="116"/>
        <v>1.9799999999999995</v>
      </c>
      <c r="AK496">
        <f t="shared" si="117"/>
        <v>0.9</v>
      </c>
      <c r="AL496">
        <f t="shared" si="110"/>
        <v>0.3725</v>
      </c>
      <c r="AN496" t="s">
        <v>1509</v>
      </c>
      <c r="AO496">
        <v>0.6</v>
      </c>
      <c r="AP496">
        <v>67.42</v>
      </c>
      <c r="AR496" t="str" cm="1">
        <f t="array" ref="AR496:AS496">_xlfn.TEXTSPLIT(AN496," ")</f>
        <v>26.10.2023</v>
      </c>
      <c r="AS496" t="str">
        <v>08:14:40</v>
      </c>
      <c r="AT496">
        <f t="shared" si="123"/>
        <v>8.2166666666666544</v>
      </c>
      <c r="AU496">
        <f t="shared" si="118"/>
        <v>6.1099999999999994</v>
      </c>
      <c r="AV496">
        <f t="shared" si="119"/>
        <v>0.6</v>
      </c>
      <c r="AW496">
        <f t="shared" si="111"/>
        <v>0.71750000000000003</v>
      </c>
    </row>
    <row r="497" spans="1:49" x14ac:dyDescent="0.25">
      <c r="A497" t="s">
        <v>1510</v>
      </c>
      <c r="B497">
        <v>0.3</v>
      </c>
      <c r="C497">
        <v>17.2</v>
      </c>
      <c r="E497" t="s">
        <v>1510</v>
      </c>
      <c r="F497">
        <v>0.45</v>
      </c>
      <c r="G497">
        <v>83.38</v>
      </c>
      <c r="I497" t="str" cm="1">
        <f t="array" ref="I497:J497">_xlfn.TEXTSPLIT(A497," ")</f>
        <v>27.10.2023</v>
      </c>
      <c r="J497" t="str">
        <v>08:15:42</v>
      </c>
      <c r="K497">
        <f t="shared" si="120"/>
        <v>8.2333333333333218</v>
      </c>
      <c r="L497">
        <f t="shared" si="113"/>
        <v>2.879999999999999</v>
      </c>
      <c r="M497">
        <f t="shared" si="114"/>
        <v>0.3</v>
      </c>
      <c r="N497">
        <f t="shared" si="108"/>
        <v>0.31750000000000006</v>
      </c>
      <c r="Q497" t="str" cm="1">
        <f t="array" ref="Q497:R497">_xlfn.TEXTSPLIT(E497," ")</f>
        <v>27.10.2023</v>
      </c>
      <c r="R497" t="str">
        <v>08:15:42</v>
      </c>
      <c r="S497">
        <f t="shared" si="121"/>
        <v>8.2333333333333218</v>
      </c>
      <c r="T497">
        <f t="shared" si="112"/>
        <v>4.7800000000000011</v>
      </c>
      <c r="U497">
        <f t="shared" si="115"/>
        <v>0.45</v>
      </c>
      <c r="V497">
        <f t="shared" si="109"/>
        <v>0.51</v>
      </c>
      <c r="AC497" t="s">
        <v>1511</v>
      </c>
      <c r="AD497">
        <v>0.75</v>
      </c>
      <c r="AE497">
        <v>6.52</v>
      </c>
      <c r="AG497" t="str" cm="1">
        <f t="array" ref="AG497:AH497">_xlfn.TEXTSPLIT(AC498," ")</f>
        <v>26.10.2023</v>
      </c>
      <c r="AH497" t="str">
        <v>08:16:40</v>
      </c>
      <c r="AI497">
        <f t="shared" si="122"/>
        <v>8.2333333333333218</v>
      </c>
      <c r="AJ497">
        <f t="shared" si="116"/>
        <v>1.9899999999999993</v>
      </c>
      <c r="AK497">
        <f t="shared" si="117"/>
        <v>0.75</v>
      </c>
      <c r="AL497">
        <f t="shared" si="110"/>
        <v>0.375</v>
      </c>
      <c r="AN497" t="s">
        <v>1511</v>
      </c>
      <c r="AO497">
        <v>0.45</v>
      </c>
      <c r="AP497">
        <v>67.430000000000007</v>
      </c>
      <c r="AR497" t="str" cm="1">
        <f t="array" ref="AR497:AS497">_xlfn.TEXTSPLIT(AN497," ")</f>
        <v>26.10.2023</v>
      </c>
      <c r="AS497" t="str">
        <v>08:15:40</v>
      </c>
      <c r="AT497">
        <f t="shared" si="123"/>
        <v>8.2333333333333218</v>
      </c>
      <c r="AU497">
        <f t="shared" si="118"/>
        <v>6.1200000000000045</v>
      </c>
      <c r="AV497">
        <f t="shared" si="119"/>
        <v>0.45</v>
      </c>
      <c r="AW497">
        <f t="shared" si="111"/>
        <v>0.71250000000000013</v>
      </c>
    </row>
    <row r="498" spans="1:49" x14ac:dyDescent="0.25">
      <c r="A498" t="s">
        <v>1512</v>
      </c>
      <c r="B498">
        <v>0.15</v>
      </c>
      <c r="C498">
        <v>17.21</v>
      </c>
      <c r="E498" t="s">
        <v>1512</v>
      </c>
      <c r="F498">
        <v>0.6</v>
      </c>
      <c r="G498">
        <v>83.39</v>
      </c>
      <c r="I498" t="str" cm="1">
        <f t="array" ref="I498:J498">_xlfn.TEXTSPLIT(A498," ")</f>
        <v>27.10.2023</v>
      </c>
      <c r="J498" t="str">
        <v>08:16:42</v>
      </c>
      <c r="K498">
        <f t="shared" si="120"/>
        <v>8.2499999999999893</v>
      </c>
      <c r="L498">
        <f t="shared" si="113"/>
        <v>2.8900000000000006</v>
      </c>
      <c r="M498">
        <f t="shared" si="114"/>
        <v>0.15</v>
      </c>
      <c r="N498">
        <f t="shared" si="108"/>
        <v>0.3125</v>
      </c>
      <c r="Q498" t="str" cm="1">
        <f t="array" ref="Q498:R498">_xlfn.TEXTSPLIT(E498," ")</f>
        <v>27.10.2023</v>
      </c>
      <c r="R498" t="str">
        <v>08:16:42</v>
      </c>
      <c r="S498">
        <f t="shared" si="121"/>
        <v>8.2499999999999893</v>
      </c>
      <c r="T498">
        <f t="shared" si="112"/>
        <v>4.7900000000000063</v>
      </c>
      <c r="U498">
        <f t="shared" si="115"/>
        <v>0.6</v>
      </c>
      <c r="V498">
        <f t="shared" si="109"/>
        <v>0.51249999999999996</v>
      </c>
      <c r="AC498" t="s">
        <v>1513</v>
      </c>
      <c r="AD498">
        <v>0.45</v>
      </c>
      <c r="AE498">
        <v>6.52</v>
      </c>
      <c r="AG498" t="str" cm="1">
        <f t="array" ref="AG498:AH498">_xlfn.TEXTSPLIT(AC499," ")</f>
        <v>26.10.2023</v>
      </c>
      <c r="AH498" t="str">
        <v>08:17:40</v>
      </c>
      <c r="AI498">
        <f t="shared" si="122"/>
        <v>8.2499999999999893</v>
      </c>
      <c r="AJ498">
        <f t="shared" si="116"/>
        <v>1.9899999999999993</v>
      </c>
      <c r="AK498">
        <f t="shared" si="117"/>
        <v>0.45</v>
      </c>
      <c r="AL498">
        <f t="shared" si="110"/>
        <v>0.3725</v>
      </c>
      <c r="AN498" t="s">
        <v>1513</v>
      </c>
      <c r="AO498">
        <v>0.6</v>
      </c>
      <c r="AP498">
        <v>67.44</v>
      </c>
      <c r="AR498" t="str" cm="1">
        <f t="array" ref="AR498:AS498">_xlfn.TEXTSPLIT(AN498," ")</f>
        <v>26.10.2023</v>
      </c>
      <c r="AS498" t="str">
        <v>08:16:40</v>
      </c>
      <c r="AT498">
        <f t="shared" si="123"/>
        <v>8.2499999999999893</v>
      </c>
      <c r="AU498">
        <f t="shared" si="118"/>
        <v>6.1299999999999955</v>
      </c>
      <c r="AV498">
        <f t="shared" si="119"/>
        <v>0.6</v>
      </c>
      <c r="AW498">
        <f t="shared" si="111"/>
        <v>0.70750000000000013</v>
      </c>
    </row>
    <row r="499" spans="1:49" x14ac:dyDescent="0.25">
      <c r="A499" t="s">
        <v>1514</v>
      </c>
      <c r="B499">
        <v>0.45</v>
      </c>
      <c r="C499">
        <v>17.21</v>
      </c>
      <c r="E499" t="s">
        <v>1514</v>
      </c>
      <c r="F499">
        <v>0.6</v>
      </c>
      <c r="G499">
        <v>83.4</v>
      </c>
      <c r="I499" t="str" cm="1">
        <f t="array" ref="I499:J499">_xlfn.TEXTSPLIT(A499," ")</f>
        <v>27.10.2023</v>
      </c>
      <c r="J499" t="str">
        <v>08:17:42</v>
      </c>
      <c r="K499">
        <f t="shared" si="120"/>
        <v>8.2666666666666568</v>
      </c>
      <c r="L499">
        <f t="shared" si="113"/>
        <v>2.8900000000000006</v>
      </c>
      <c r="M499">
        <f t="shared" si="114"/>
        <v>0.45</v>
      </c>
      <c r="N499">
        <f t="shared" si="108"/>
        <v>0.315</v>
      </c>
      <c r="Q499" t="str" cm="1">
        <f t="array" ref="Q499:R499">_xlfn.TEXTSPLIT(E499," ")</f>
        <v>27.10.2023</v>
      </c>
      <c r="R499" t="str">
        <v>08:17:42</v>
      </c>
      <c r="S499">
        <f t="shared" si="121"/>
        <v>8.2666666666666568</v>
      </c>
      <c r="T499">
        <f t="shared" si="112"/>
        <v>4.8000000000000114</v>
      </c>
      <c r="U499">
        <f t="shared" si="115"/>
        <v>0.6</v>
      </c>
      <c r="V499">
        <f t="shared" si="109"/>
        <v>0.51249999999999996</v>
      </c>
      <c r="AC499" t="s">
        <v>1515</v>
      </c>
      <c r="AD499">
        <v>0.15</v>
      </c>
      <c r="AE499">
        <v>6.53</v>
      </c>
      <c r="AG499" t="str" cm="1">
        <f t="array" ref="AG499:AH499">_xlfn.TEXTSPLIT(AC500," ")</f>
        <v>26.10.2023</v>
      </c>
      <c r="AH499" t="str">
        <v>08:18:41</v>
      </c>
      <c r="AI499">
        <f t="shared" si="122"/>
        <v>8.2666666666666568</v>
      </c>
      <c r="AJ499">
        <f t="shared" si="116"/>
        <v>2</v>
      </c>
      <c r="AK499">
        <f t="shared" si="117"/>
        <v>0.15</v>
      </c>
      <c r="AL499">
        <f t="shared" si="110"/>
        <v>0.36749999999999994</v>
      </c>
      <c r="AN499" t="s">
        <v>1515</v>
      </c>
      <c r="AO499">
        <v>0.75</v>
      </c>
      <c r="AP499">
        <v>67.459999999999994</v>
      </c>
      <c r="AR499" t="str" cm="1">
        <f t="array" ref="AR499:AS499">_xlfn.TEXTSPLIT(AN499," ")</f>
        <v>26.10.2023</v>
      </c>
      <c r="AS499" t="str">
        <v>08:17:40</v>
      </c>
      <c r="AT499">
        <f t="shared" si="123"/>
        <v>8.2666666666666568</v>
      </c>
      <c r="AU499">
        <f t="shared" si="118"/>
        <v>6.1499999999999915</v>
      </c>
      <c r="AV499">
        <f t="shared" si="119"/>
        <v>0.75</v>
      </c>
      <c r="AW499">
        <f t="shared" si="111"/>
        <v>0.70500000000000018</v>
      </c>
    </row>
    <row r="500" spans="1:49" x14ac:dyDescent="0.25">
      <c r="A500" t="s">
        <v>1516</v>
      </c>
      <c r="B500">
        <v>0.15</v>
      </c>
      <c r="C500">
        <v>17.22</v>
      </c>
      <c r="E500" t="s">
        <v>1516</v>
      </c>
      <c r="F500">
        <v>0.75</v>
      </c>
      <c r="G500">
        <v>83.42</v>
      </c>
      <c r="I500" t="str" cm="1">
        <f t="array" ref="I500:J500">_xlfn.TEXTSPLIT(A500," ")</f>
        <v>27.10.2023</v>
      </c>
      <c r="J500" t="str">
        <v>08:18:42</v>
      </c>
      <c r="K500">
        <f t="shared" si="120"/>
        <v>8.2833333333333243</v>
      </c>
      <c r="L500">
        <f t="shared" si="113"/>
        <v>2.8999999999999986</v>
      </c>
      <c r="M500">
        <f t="shared" si="114"/>
        <v>0.15</v>
      </c>
      <c r="N500">
        <f t="shared" si="108"/>
        <v>0.31749999999999995</v>
      </c>
      <c r="Q500" t="str" cm="1">
        <f t="array" ref="Q500:R500">_xlfn.TEXTSPLIT(E500," ")</f>
        <v>27.10.2023</v>
      </c>
      <c r="R500" t="str">
        <v>08:18:42</v>
      </c>
      <c r="S500">
        <f t="shared" si="121"/>
        <v>8.2833333333333243</v>
      </c>
      <c r="T500">
        <f t="shared" si="112"/>
        <v>4.8200000000000074</v>
      </c>
      <c r="U500">
        <f t="shared" si="115"/>
        <v>0.75</v>
      </c>
      <c r="V500">
        <f t="shared" si="109"/>
        <v>0.51749999999999996</v>
      </c>
      <c r="AC500" t="s">
        <v>1517</v>
      </c>
      <c r="AD500">
        <v>0.45</v>
      </c>
      <c r="AE500">
        <v>6.53</v>
      </c>
      <c r="AG500" t="str" cm="1">
        <f t="array" ref="AG500:AH500">_xlfn.TEXTSPLIT(AC501," ")</f>
        <v>26.10.2023</v>
      </c>
      <c r="AH500" t="str">
        <v>08:19:41</v>
      </c>
      <c r="AI500">
        <f t="shared" si="122"/>
        <v>8.2833333333333243</v>
      </c>
      <c r="AJ500">
        <f t="shared" si="116"/>
        <v>2</v>
      </c>
      <c r="AK500">
        <f t="shared" si="117"/>
        <v>0.45</v>
      </c>
      <c r="AL500">
        <f t="shared" si="110"/>
        <v>0.37249999999999994</v>
      </c>
      <c r="AN500" t="s">
        <v>1517</v>
      </c>
      <c r="AO500">
        <v>0.75</v>
      </c>
      <c r="AP500">
        <v>67.47</v>
      </c>
      <c r="AR500" t="str" cm="1">
        <f t="array" ref="AR500:AS500">_xlfn.TEXTSPLIT(AN500," ")</f>
        <v>26.10.2023</v>
      </c>
      <c r="AS500" t="str">
        <v>08:18:41</v>
      </c>
      <c r="AT500">
        <f t="shared" si="123"/>
        <v>8.2833333333333243</v>
      </c>
      <c r="AU500">
        <f t="shared" si="118"/>
        <v>6.1599999999999966</v>
      </c>
      <c r="AV500">
        <f t="shared" si="119"/>
        <v>0.75</v>
      </c>
      <c r="AW500">
        <f t="shared" si="111"/>
        <v>0.70250000000000024</v>
      </c>
    </row>
    <row r="501" spans="1:49" x14ac:dyDescent="0.25">
      <c r="A501" t="s">
        <v>1518</v>
      </c>
      <c r="B501">
        <v>0.15</v>
      </c>
      <c r="C501">
        <v>17.22</v>
      </c>
      <c r="E501" t="s">
        <v>1518</v>
      </c>
      <c r="F501">
        <v>1.05</v>
      </c>
      <c r="G501">
        <v>83.43</v>
      </c>
      <c r="I501" t="str" cm="1">
        <f t="array" ref="I501:J501">_xlfn.TEXTSPLIT(A501," ")</f>
        <v>27.10.2023</v>
      </c>
      <c r="J501" t="str">
        <v>08:19:42</v>
      </c>
      <c r="K501">
        <f t="shared" si="120"/>
        <v>8.2999999999999918</v>
      </c>
      <c r="L501">
        <f t="shared" si="113"/>
        <v>2.8999999999999986</v>
      </c>
      <c r="M501">
        <f t="shared" si="114"/>
        <v>0.15</v>
      </c>
      <c r="N501">
        <f t="shared" si="108"/>
        <v>0.31499999999999989</v>
      </c>
      <c r="Q501" t="str" cm="1">
        <f t="array" ref="Q501:R501">_xlfn.TEXTSPLIT(E501," ")</f>
        <v>27.10.2023</v>
      </c>
      <c r="R501" t="str">
        <v>08:19:42</v>
      </c>
      <c r="S501">
        <f t="shared" si="121"/>
        <v>8.2999999999999918</v>
      </c>
      <c r="T501">
        <f t="shared" si="112"/>
        <v>4.8300000000000125</v>
      </c>
      <c r="U501">
        <f t="shared" si="115"/>
        <v>1.05</v>
      </c>
      <c r="V501">
        <f t="shared" si="109"/>
        <v>0.52500000000000002</v>
      </c>
      <c r="AC501" t="s">
        <v>1519</v>
      </c>
      <c r="AD501">
        <v>0.15</v>
      </c>
      <c r="AE501">
        <v>6.54</v>
      </c>
      <c r="AG501" t="str" cm="1">
        <f t="array" ref="AG501:AH501">_xlfn.TEXTSPLIT(AC502," ")</f>
        <v>26.10.2023</v>
      </c>
      <c r="AH501" t="str">
        <v>08:20:41</v>
      </c>
      <c r="AI501">
        <f t="shared" si="122"/>
        <v>8.2999999999999918</v>
      </c>
      <c r="AJ501">
        <f t="shared" si="116"/>
        <v>2.0099999999999998</v>
      </c>
      <c r="AK501">
        <f t="shared" si="117"/>
        <v>0.15</v>
      </c>
      <c r="AL501">
        <f t="shared" si="110"/>
        <v>0.36999999999999994</v>
      </c>
      <c r="AN501" t="s">
        <v>1519</v>
      </c>
      <c r="AO501">
        <v>0.9</v>
      </c>
      <c r="AP501">
        <v>67.489999999999995</v>
      </c>
      <c r="AR501" t="str" cm="1">
        <f t="array" ref="AR501:AS501">_xlfn.TEXTSPLIT(AN501," ")</f>
        <v>26.10.2023</v>
      </c>
      <c r="AS501" t="str">
        <v>08:19:41</v>
      </c>
      <c r="AT501">
        <f t="shared" si="123"/>
        <v>8.2999999999999918</v>
      </c>
      <c r="AU501">
        <f t="shared" si="118"/>
        <v>6.1799999999999926</v>
      </c>
      <c r="AV501">
        <f t="shared" si="119"/>
        <v>0.9</v>
      </c>
      <c r="AW501">
        <f t="shared" si="111"/>
        <v>0.70500000000000018</v>
      </c>
    </row>
    <row r="502" spans="1:49" x14ac:dyDescent="0.25">
      <c r="A502" t="s">
        <v>1520</v>
      </c>
      <c r="B502">
        <v>0.15</v>
      </c>
      <c r="C502">
        <v>17.22</v>
      </c>
      <c r="E502" t="s">
        <v>1520</v>
      </c>
      <c r="F502">
        <v>0.6</v>
      </c>
      <c r="G502">
        <v>83.43</v>
      </c>
      <c r="I502" t="str" cm="1">
        <f t="array" ref="I502:J502">_xlfn.TEXTSPLIT(A502," ")</f>
        <v>27.10.2023</v>
      </c>
      <c r="J502" t="str">
        <v>08:20:42</v>
      </c>
      <c r="K502">
        <f t="shared" si="120"/>
        <v>8.3166666666666593</v>
      </c>
      <c r="L502">
        <f t="shared" si="113"/>
        <v>2.8999999999999986</v>
      </c>
      <c r="M502">
        <f t="shared" si="114"/>
        <v>0.15</v>
      </c>
      <c r="N502">
        <f t="shared" si="108"/>
        <v>0.30999999999999989</v>
      </c>
      <c r="Q502" t="str" cm="1">
        <f t="array" ref="Q502:R502">_xlfn.TEXTSPLIT(E502," ")</f>
        <v>27.10.2023</v>
      </c>
      <c r="R502" t="str">
        <v>08:20:42</v>
      </c>
      <c r="S502">
        <f t="shared" si="121"/>
        <v>8.3166666666666593</v>
      </c>
      <c r="T502">
        <f t="shared" si="112"/>
        <v>4.8300000000000125</v>
      </c>
      <c r="U502">
        <f t="shared" si="115"/>
        <v>0.6</v>
      </c>
      <c r="V502">
        <f t="shared" si="109"/>
        <v>0.52500000000000002</v>
      </c>
      <c r="AC502" t="s">
        <v>1521</v>
      </c>
      <c r="AD502">
        <v>0.15</v>
      </c>
      <c r="AE502">
        <v>6.54</v>
      </c>
      <c r="AG502" t="str" cm="1">
        <f t="array" ref="AG502:AH502">_xlfn.TEXTSPLIT(AC503," ")</f>
        <v>26.10.2023</v>
      </c>
      <c r="AH502" t="str">
        <v>08:21:41</v>
      </c>
      <c r="AI502">
        <f t="shared" si="122"/>
        <v>8.3166666666666593</v>
      </c>
      <c r="AJ502">
        <f t="shared" si="116"/>
        <v>2.0099999999999998</v>
      </c>
      <c r="AK502">
        <f t="shared" si="117"/>
        <v>0.15</v>
      </c>
      <c r="AL502">
        <f t="shared" si="110"/>
        <v>0.36749999999999988</v>
      </c>
      <c r="AN502" t="s">
        <v>1521</v>
      </c>
      <c r="AO502">
        <v>0.9</v>
      </c>
      <c r="AP502">
        <v>67.5</v>
      </c>
      <c r="AR502" t="str" cm="1">
        <f t="array" ref="AR502:AS502">_xlfn.TEXTSPLIT(AN502," ")</f>
        <v>26.10.2023</v>
      </c>
      <c r="AS502" t="str">
        <v>08:20:41</v>
      </c>
      <c r="AT502">
        <f t="shared" si="123"/>
        <v>8.3166666666666593</v>
      </c>
      <c r="AU502">
        <f t="shared" si="118"/>
        <v>6.1899999999999977</v>
      </c>
      <c r="AV502">
        <f t="shared" si="119"/>
        <v>0.9</v>
      </c>
      <c r="AW502">
        <f t="shared" si="111"/>
        <v>0.71000000000000019</v>
      </c>
    </row>
    <row r="503" spans="1:49" x14ac:dyDescent="0.25">
      <c r="A503" t="s">
        <v>1522</v>
      </c>
      <c r="B503">
        <v>0.15</v>
      </c>
      <c r="C503">
        <v>17.22</v>
      </c>
      <c r="E503" t="s">
        <v>1522</v>
      </c>
      <c r="F503">
        <v>0.45</v>
      </c>
      <c r="G503">
        <v>83.44</v>
      </c>
      <c r="I503" t="str" cm="1">
        <f t="array" ref="I503:J503">_xlfn.TEXTSPLIT(A503," ")</f>
        <v>27.10.2023</v>
      </c>
      <c r="J503" t="str">
        <v>08:21:42</v>
      </c>
      <c r="K503">
        <f t="shared" si="120"/>
        <v>8.3333333333333268</v>
      </c>
      <c r="L503">
        <f t="shared" si="113"/>
        <v>2.8999999999999986</v>
      </c>
      <c r="M503">
        <f t="shared" si="114"/>
        <v>0.15</v>
      </c>
      <c r="N503">
        <f t="shared" si="108"/>
        <v>0.30499999999999988</v>
      </c>
      <c r="Q503" t="str" cm="1">
        <f t="array" ref="Q503:R503">_xlfn.TEXTSPLIT(E503," ")</f>
        <v>27.10.2023</v>
      </c>
      <c r="R503" t="str">
        <v>08:21:42</v>
      </c>
      <c r="S503">
        <f t="shared" si="121"/>
        <v>8.3333333333333268</v>
      </c>
      <c r="T503">
        <f t="shared" si="112"/>
        <v>4.8400000000000034</v>
      </c>
      <c r="U503">
        <f t="shared" si="115"/>
        <v>0.45</v>
      </c>
      <c r="V503">
        <f t="shared" si="109"/>
        <v>0.51749999999999996</v>
      </c>
      <c r="AC503" t="s">
        <v>1523</v>
      </c>
      <c r="AD503">
        <v>0.15</v>
      </c>
      <c r="AE503">
        <v>6.54</v>
      </c>
      <c r="AG503" t="str" cm="1">
        <f t="array" ref="AG503:AH503">_xlfn.TEXTSPLIT(AC504," ")</f>
        <v>26.10.2023</v>
      </c>
      <c r="AH503" t="str">
        <v>08:22:41</v>
      </c>
      <c r="AI503">
        <f t="shared" si="122"/>
        <v>8.3333333333333268</v>
      </c>
      <c r="AJ503">
        <f t="shared" si="116"/>
        <v>2.0099999999999998</v>
      </c>
      <c r="AK503">
        <f t="shared" si="117"/>
        <v>0.15</v>
      </c>
      <c r="AL503">
        <f t="shared" si="110"/>
        <v>0.36749999999999988</v>
      </c>
      <c r="AN503" t="s">
        <v>1523</v>
      </c>
      <c r="AO503">
        <v>0.75</v>
      </c>
      <c r="AP503">
        <v>67.510000000000005</v>
      </c>
      <c r="AR503" t="str" cm="1">
        <f t="array" ref="AR503:AS503">_xlfn.TEXTSPLIT(AN503," ")</f>
        <v>26.10.2023</v>
      </c>
      <c r="AS503" t="str">
        <v>08:21:41</v>
      </c>
      <c r="AT503">
        <f t="shared" si="123"/>
        <v>8.3333333333333268</v>
      </c>
      <c r="AU503">
        <f t="shared" si="118"/>
        <v>6.2000000000000028</v>
      </c>
      <c r="AV503">
        <f t="shared" si="119"/>
        <v>0.75</v>
      </c>
      <c r="AW503">
        <f t="shared" si="111"/>
        <v>0.71250000000000013</v>
      </c>
    </row>
    <row r="504" spans="1:49" x14ac:dyDescent="0.25">
      <c r="A504" t="s">
        <v>1524</v>
      </c>
      <c r="B504">
        <v>0.15</v>
      </c>
      <c r="C504">
        <v>17.22</v>
      </c>
      <c r="E504" t="s">
        <v>1524</v>
      </c>
      <c r="F504">
        <v>0</v>
      </c>
      <c r="G504">
        <v>83.44</v>
      </c>
      <c r="I504" t="str" cm="1">
        <f t="array" ref="I504:J504">_xlfn.TEXTSPLIT(A504," ")</f>
        <v>27.10.2023</v>
      </c>
      <c r="J504" t="str">
        <v>08:22:42</v>
      </c>
      <c r="K504">
        <f t="shared" si="120"/>
        <v>8.3499999999999943</v>
      </c>
      <c r="L504">
        <f t="shared" si="113"/>
        <v>2.8999999999999986</v>
      </c>
      <c r="M504">
        <f t="shared" si="114"/>
        <v>0.15</v>
      </c>
      <c r="N504">
        <f t="shared" si="108"/>
        <v>0.29999999999999988</v>
      </c>
      <c r="Q504" t="str" cm="1">
        <f t="array" ref="Q504:R504">_xlfn.TEXTSPLIT(E504," ")</f>
        <v>27.10.2023</v>
      </c>
      <c r="R504" t="str">
        <v>08:22:42</v>
      </c>
      <c r="S504">
        <f t="shared" si="121"/>
        <v>8.3499999999999943</v>
      </c>
      <c r="T504">
        <f t="shared" si="112"/>
        <v>4.8400000000000034</v>
      </c>
      <c r="U504">
        <f t="shared" si="115"/>
        <v>0</v>
      </c>
      <c r="V504">
        <f t="shared" si="109"/>
        <v>0.51749999999999996</v>
      </c>
      <c r="AC504" t="s">
        <v>1525</v>
      </c>
      <c r="AD504">
        <v>0</v>
      </c>
      <c r="AE504">
        <v>6.54</v>
      </c>
      <c r="AG504" t="str" cm="1">
        <f t="array" ref="AG504:AH504">_xlfn.TEXTSPLIT(AC505," ")</f>
        <v>26.10.2023</v>
      </c>
      <c r="AH504" t="str">
        <v>08:23:41</v>
      </c>
      <c r="AI504">
        <f t="shared" si="122"/>
        <v>8.3499999999999943</v>
      </c>
      <c r="AJ504">
        <f t="shared" si="116"/>
        <v>2.0099999999999998</v>
      </c>
      <c r="AK504">
        <f t="shared" si="117"/>
        <v>0</v>
      </c>
      <c r="AL504">
        <f t="shared" si="110"/>
        <v>0.36499999999999988</v>
      </c>
      <c r="AN504" t="s">
        <v>1525</v>
      </c>
      <c r="AO504">
        <v>0.3</v>
      </c>
      <c r="AP504">
        <v>67.510000000000005</v>
      </c>
      <c r="AR504" t="str" cm="1">
        <f t="array" ref="AR504:AS504">_xlfn.TEXTSPLIT(AN504," ")</f>
        <v>26.10.2023</v>
      </c>
      <c r="AS504" t="str">
        <v>08:22:41</v>
      </c>
      <c r="AT504">
        <f t="shared" si="123"/>
        <v>8.3499999999999943</v>
      </c>
      <c r="AU504">
        <f t="shared" si="118"/>
        <v>6.2000000000000028</v>
      </c>
      <c r="AV504">
        <f t="shared" si="119"/>
        <v>0.3</v>
      </c>
      <c r="AW504">
        <f t="shared" si="111"/>
        <v>0.71250000000000002</v>
      </c>
    </row>
    <row r="505" spans="1:49" x14ac:dyDescent="0.25">
      <c r="A505" t="s">
        <v>1526</v>
      </c>
      <c r="B505">
        <v>0</v>
      </c>
      <c r="C505">
        <v>17.22</v>
      </c>
      <c r="E505" t="s">
        <v>1526</v>
      </c>
      <c r="F505">
        <v>0</v>
      </c>
      <c r="G505">
        <v>83.44</v>
      </c>
      <c r="I505" t="str" cm="1">
        <f t="array" ref="I505:J505">_xlfn.TEXTSPLIT(A505," ")</f>
        <v>27.10.2023</v>
      </c>
      <c r="J505" t="str">
        <v>08:23:43</v>
      </c>
      <c r="K505">
        <f t="shared" si="120"/>
        <v>8.3666666666666618</v>
      </c>
      <c r="L505">
        <f t="shared" si="113"/>
        <v>2.8999999999999986</v>
      </c>
      <c r="M505">
        <f t="shared" si="114"/>
        <v>0</v>
      </c>
      <c r="N505">
        <f t="shared" si="108"/>
        <v>0.29749999999999982</v>
      </c>
      <c r="Q505" t="str" cm="1">
        <f t="array" ref="Q505:R505">_xlfn.TEXTSPLIT(E505," ")</f>
        <v>27.10.2023</v>
      </c>
      <c r="R505" t="str">
        <v>08:23:43</v>
      </c>
      <c r="S505">
        <f t="shared" si="121"/>
        <v>8.3666666666666618</v>
      </c>
      <c r="T505">
        <f t="shared" si="112"/>
        <v>4.8400000000000034</v>
      </c>
      <c r="U505">
        <f t="shared" si="115"/>
        <v>0</v>
      </c>
      <c r="V505">
        <f t="shared" si="109"/>
        <v>0.51749999999999996</v>
      </c>
      <c r="AC505" t="s">
        <v>1527</v>
      </c>
      <c r="AD505">
        <v>0.15</v>
      </c>
      <c r="AE505">
        <v>6.55</v>
      </c>
      <c r="AG505" t="str" cm="1">
        <f t="array" ref="AG505:AH505">_xlfn.TEXTSPLIT(AC506," ")</f>
        <v>26.10.2023</v>
      </c>
      <c r="AH505" t="str">
        <v>08:24:41</v>
      </c>
      <c r="AI505">
        <f t="shared" si="122"/>
        <v>8.3666666666666618</v>
      </c>
      <c r="AJ505">
        <f t="shared" si="116"/>
        <v>2.0199999999999996</v>
      </c>
      <c r="AK505">
        <f t="shared" si="117"/>
        <v>0.15</v>
      </c>
      <c r="AL505">
        <f t="shared" si="110"/>
        <v>0.36499999999999988</v>
      </c>
      <c r="AN505" t="s">
        <v>1527</v>
      </c>
      <c r="AO505">
        <v>0</v>
      </c>
      <c r="AP505">
        <v>67.510000000000005</v>
      </c>
      <c r="AR505" t="str" cm="1">
        <f t="array" ref="AR505:AS505">_xlfn.TEXTSPLIT(AN505," ")</f>
        <v>26.10.2023</v>
      </c>
      <c r="AS505" t="str">
        <v>08:23:41</v>
      </c>
      <c r="AT505">
        <f t="shared" si="123"/>
        <v>8.3666666666666618</v>
      </c>
      <c r="AU505">
        <f t="shared" si="118"/>
        <v>6.2000000000000028</v>
      </c>
      <c r="AV505">
        <f t="shared" si="119"/>
        <v>0</v>
      </c>
      <c r="AW505">
        <f t="shared" si="111"/>
        <v>0.71250000000000002</v>
      </c>
    </row>
    <row r="506" spans="1:49" x14ac:dyDescent="0.25">
      <c r="A506" t="s">
        <v>1528</v>
      </c>
      <c r="B506">
        <v>0</v>
      </c>
      <c r="C506">
        <v>17.22</v>
      </c>
      <c r="E506" t="s">
        <v>1528</v>
      </c>
      <c r="F506">
        <v>0</v>
      </c>
      <c r="G506">
        <v>83.44</v>
      </c>
      <c r="I506" t="str" cm="1">
        <f t="array" ref="I506:J506">_xlfn.TEXTSPLIT(A506," ")</f>
        <v>27.10.2023</v>
      </c>
      <c r="J506" t="str">
        <v>08:24:43</v>
      </c>
      <c r="K506">
        <f t="shared" si="120"/>
        <v>8.3833333333333293</v>
      </c>
      <c r="L506">
        <f t="shared" si="113"/>
        <v>2.8999999999999986</v>
      </c>
      <c r="M506">
        <f t="shared" si="114"/>
        <v>0</v>
      </c>
      <c r="N506">
        <f t="shared" si="108"/>
        <v>0.29749999999999982</v>
      </c>
      <c r="Q506" t="str" cm="1">
        <f t="array" ref="Q506:R506">_xlfn.TEXTSPLIT(E506," ")</f>
        <v>27.10.2023</v>
      </c>
      <c r="R506" t="str">
        <v>08:24:43</v>
      </c>
      <c r="S506">
        <f t="shared" si="121"/>
        <v>8.3833333333333293</v>
      </c>
      <c r="T506">
        <f t="shared" si="112"/>
        <v>4.8400000000000034</v>
      </c>
      <c r="U506">
        <f t="shared" si="115"/>
        <v>0</v>
      </c>
      <c r="V506">
        <f t="shared" si="109"/>
        <v>0.51749999999999996</v>
      </c>
      <c r="AC506" t="s">
        <v>1529</v>
      </c>
      <c r="AD506">
        <v>0</v>
      </c>
      <c r="AE506">
        <v>6.55</v>
      </c>
      <c r="AG506" t="str" cm="1">
        <f t="array" ref="AG506:AH506">_xlfn.TEXTSPLIT(AC507," ")</f>
        <v>26.10.2023</v>
      </c>
      <c r="AH506" t="str">
        <v>08:25:41</v>
      </c>
      <c r="AI506">
        <f t="shared" si="122"/>
        <v>8.3833333333333293</v>
      </c>
      <c r="AJ506">
        <f t="shared" si="116"/>
        <v>2.0199999999999996</v>
      </c>
      <c r="AK506">
        <f t="shared" si="117"/>
        <v>0</v>
      </c>
      <c r="AL506">
        <f t="shared" si="110"/>
        <v>0.36249999999999988</v>
      </c>
      <c r="AN506" t="s">
        <v>1529</v>
      </c>
      <c r="AO506">
        <v>0</v>
      </c>
      <c r="AP506">
        <v>67.510000000000005</v>
      </c>
      <c r="AR506" t="str" cm="1">
        <f t="array" ref="AR506:AS506">_xlfn.TEXTSPLIT(AN506," ")</f>
        <v>26.10.2023</v>
      </c>
      <c r="AS506" t="str">
        <v>08:24:41</v>
      </c>
      <c r="AT506">
        <f t="shared" si="123"/>
        <v>8.3833333333333293</v>
      </c>
      <c r="AU506">
        <f t="shared" si="118"/>
        <v>6.2000000000000028</v>
      </c>
      <c r="AV506">
        <f t="shared" si="119"/>
        <v>0</v>
      </c>
      <c r="AW506">
        <f t="shared" si="111"/>
        <v>0.71250000000000002</v>
      </c>
    </row>
    <row r="507" spans="1:49" x14ac:dyDescent="0.25">
      <c r="A507" t="s">
        <v>1530</v>
      </c>
      <c r="B507">
        <v>0</v>
      </c>
      <c r="C507">
        <v>17.22</v>
      </c>
      <c r="E507" t="s">
        <v>1530</v>
      </c>
      <c r="F507">
        <v>0</v>
      </c>
      <c r="G507">
        <v>83.44</v>
      </c>
      <c r="I507" t="str" cm="1">
        <f t="array" ref="I507:J507">_xlfn.TEXTSPLIT(A507," ")</f>
        <v>27.10.2023</v>
      </c>
      <c r="J507" t="str">
        <v>08:25:43</v>
      </c>
      <c r="K507">
        <f t="shared" si="120"/>
        <v>8.3999999999999968</v>
      </c>
      <c r="L507">
        <f t="shared" si="113"/>
        <v>2.8999999999999986</v>
      </c>
      <c r="M507">
        <f t="shared" si="114"/>
        <v>0</v>
      </c>
      <c r="N507">
        <f t="shared" si="108"/>
        <v>0.29749999999999982</v>
      </c>
      <c r="Q507" t="str" cm="1">
        <f t="array" ref="Q507:R507">_xlfn.TEXTSPLIT(E507," ")</f>
        <v>27.10.2023</v>
      </c>
      <c r="R507" t="str">
        <v>08:25:43</v>
      </c>
      <c r="S507">
        <f t="shared" si="121"/>
        <v>8.3999999999999968</v>
      </c>
      <c r="T507">
        <f t="shared" si="112"/>
        <v>4.8400000000000034</v>
      </c>
      <c r="U507">
        <f t="shared" si="115"/>
        <v>0</v>
      </c>
      <c r="V507">
        <f t="shared" si="109"/>
        <v>0.51749999999999996</v>
      </c>
      <c r="AC507" t="s">
        <v>1531</v>
      </c>
      <c r="AD507">
        <v>0</v>
      </c>
      <c r="AE507">
        <v>6.55</v>
      </c>
      <c r="AG507" t="str" cm="1">
        <f t="array" ref="AG507:AH507">_xlfn.TEXTSPLIT(AC508," ")</f>
        <v>26.10.2023</v>
      </c>
      <c r="AH507" t="str">
        <v>08:26:42</v>
      </c>
      <c r="AI507">
        <f t="shared" si="122"/>
        <v>8.3999999999999968</v>
      </c>
      <c r="AJ507">
        <f t="shared" si="116"/>
        <v>2.0199999999999996</v>
      </c>
      <c r="AK507">
        <f t="shared" si="117"/>
        <v>0</v>
      </c>
      <c r="AL507">
        <f t="shared" si="110"/>
        <v>0.36249999999999988</v>
      </c>
      <c r="AN507" t="s">
        <v>1531</v>
      </c>
      <c r="AO507">
        <v>0.15</v>
      </c>
      <c r="AP507">
        <v>67.510000000000005</v>
      </c>
      <c r="AR507" t="str" cm="1">
        <f t="array" ref="AR507:AS507">_xlfn.TEXTSPLIT(AN507," ")</f>
        <v>26.10.2023</v>
      </c>
      <c r="AS507" t="str">
        <v>08:25:41</v>
      </c>
      <c r="AT507">
        <f t="shared" si="123"/>
        <v>8.3999999999999968</v>
      </c>
      <c r="AU507">
        <f t="shared" si="118"/>
        <v>6.2000000000000028</v>
      </c>
      <c r="AV507">
        <f t="shared" si="119"/>
        <v>0.15</v>
      </c>
      <c r="AW507">
        <f t="shared" si="111"/>
        <v>0.71499999999999997</v>
      </c>
    </row>
    <row r="508" spans="1:49" x14ac:dyDescent="0.25">
      <c r="A508" t="s">
        <v>1532</v>
      </c>
      <c r="B508">
        <v>0</v>
      </c>
      <c r="C508">
        <v>17.22</v>
      </c>
      <c r="E508" t="s">
        <v>1532</v>
      </c>
      <c r="F508">
        <v>0</v>
      </c>
      <c r="G508">
        <v>83.44</v>
      </c>
      <c r="I508" t="str" cm="1">
        <f t="array" ref="I508:J508">_xlfn.TEXTSPLIT(A508," ")</f>
        <v>27.10.2023</v>
      </c>
      <c r="J508" t="str">
        <v>08:26:43</v>
      </c>
      <c r="K508">
        <f t="shared" si="120"/>
        <v>8.4166666666666643</v>
      </c>
      <c r="L508">
        <f t="shared" si="113"/>
        <v>2.8999999999999986</v>
      </c>
      <c r="M508">
        <f t="shared" si="114"/>
        <v>0</v>
      </c>
      <c r="N508">
        <f t="shared" si="108"/>
        <v>0.29749999999999982</v>
      </c>
      <c r="Q508" t="str" cm="1">
        <f t="array" ref="Q508:R508">_xlfn.TEXTSPLIT(E508," ")</f>
        <v>27.10.2023</v>
      </c>
      <c r="R508" t="str">
        <v>08:26:43</v>
      </c>
      <c r="S508">
        <f t="shared" si="121"/>
        <v>8.4166666666666643</v>
      </c>
      <c r="T508">
        <f t="shared" si="112"/>
        <v>4.8400000000000034</v>
      </c>
      <c r="U508">
        <f t="shared" si="115"/>
        <v>0</v>
      </c>
      <c r="V508">
        <f t="shared" si="109"/>
        <v>0.51749999999999996</v>
      </c>
      <c r="AC508" t="s">
        <v>1533</v>
      </c>
      <c r="AD508">
        <v>0</v>
      </c>
      <c r="AE508">
        <v>6.55</v>
      </c>
      <c r="AG508" t="str" cm="1">
        <f t="array" ref="AG508:AH508">_xlfn.TEXTSPLIT(AC509," ")</f>
        <v>26.10.2023</v>
      </c>
      <c r="AH508" t="str">
        <v>08:27:42</v>
      </c>
      <c r="AI508">
        <f t="shared" si="122"/>
        <v>8.4166666666666643</v>
      </c>
      <c r="AJ508">
        <f t="shared" si="116"/>
        <v>2.0199999999999996</v>
      </c>
      <c r="AK508">
        <f t="shared" si="117"/>
        <v>0</v>
      </c>
      <c r="AL508">
        <f t="shared" si="110"/>
        <v>0.36249999999999988</v>
      </c>
      <c r="AN508" t="s">
        <v>1533</v>
      </c>
      <c r="AO508">
        <v>0</v>
      </c>
      <c r="AP508">
        <v>67.510000000000005</v>
      </c>
      <c r="AR508" t="str" cm="1">
        <f t="array" ref="AR508:AS508">_xlfn.TEXTSPLIT(AN508," ")</f>
        <v>26.10.2023</v>
      </c>
      <c r="AS508" t="str">
        <v>08:26:42</v>
      </c>
      <c r="AT508">
        <f t="shared" si="123"/>
        <v>8.4166666666666643</v>
      </c>
      <c r="AU508">
        <f t="shared" si="118"/>
        <v>6.2000000000000028</v>
      </c>
      <c r="AV508">
        <f t="shared" si="119"/>
        <v>0</v>
      </c>
      <c r="AW508">
        <f t="shared" si="111"/>
        <v>0.71499999999999997</v>
      </c>
    </row>
    <row r="509" spans="1:49" x14ac:dyDescent="0.25">
      <c r="A509" t="s">
        <v>1534</v>
      </c>
      <c r="B509">
        <v>0</v>
      </c>
      <c r="C509">
        <v>17.22</v>
      </c>
      <c r="E509" t="s">
        <v>1534</v>
      </c>
      <c r="F509">
        <v>0</v>
      </c>
      <c r="G509">
        <v>83.44</v>
      </c>
      <c r="I509" t="str" cm="1">
        <f t="array" ref="I509:J509">_xlfn.TEXTSPLIT(A509," ")</f>
        <v>27.10.2023</v>
      </c>
      <c r="J509" t="str">
        <v>08:27:43</v>
      </c>
      <c r="K509">
        <f t="shared" si="120"/>
        <v>8.4333333333333318</v>
      </c>
      <c r="L509">
        <f t="shared" si="113"/>
        <v>2.8999999999999986</v>
      </c>
      <c r="M509">
        <f t="shared" si="114"/>
        <v>0</v>
      </c>
      <c r="N509">
        <f t="shared" si="108"/>
        <v>0.29749999999999982</v>
      </c>
      <c r="Q509" t="str" cm="1">
        <f t="array" ref="Q509:R509">_xlfn.TEXTSPLIT(E509," ")</f>
        <v>27.10.2023</v>
      </c>
      <c r="R509" t="str">
        <v>08:27:43</v>
      </c>
      <c r="S509">
        <f t="shared" si="121"/>
        <v>8.4333333333333318</v>
      </c>
      <c r="T509">
        <f t="shared" si="112"/>
        <v>4.8400000000000034</v>
      </c>
      <c r="U509">
        <f t="shared" si="115"/>
        <v>0</v>
      </c>
      <c r="V509">
        <f t="shared" si="109"/>
        <v>0.51749999999999996</v>
      </c>
      <c r="AC509" t="s">
        <v>1535</v>
      </c>
      <c r="AD509">
        <v>0</v>
      </c>
      <c r="AE509">
        <v>6.55</v>
      </c>
      <c r="AG509" t="str" cm="1">
        <f t="array" ref="AG509:AH509">_xlfn.TEXTSPLIT(AC510," ")</f>
        <v>26.10.2023</v>
      </c>
      <c r="AH509" t="str">
        <v>08:28:42</v>
      </c>
      <c r="AI509">
        <f t="shared" si="122"/>
        <v>8.4333333333333318</v>
      </c>
      <c r="AJ509">
        <f t="shared" si="116"/>
        <v>2.0199999999999996</v>
      </c>
      <c r="AK509">
        <f t="shared" si="117"/>
        <v>0</v>
      </c>
      <c r="AL509">
        <f t="shared" si="110"/>
        <v>0.36249999999999988</v>
      </c>
      <c r="AN509" t="s">
        <v>1535</v>
      </c>
      <c r="AO509">
        <v>0.15</v>
      </c>
      <c r="AP509">
        <v>67.52</v>
      </c>
      <c r="AR509" t="str" cm="1">
        <f t="array" ref="AR509:AS509">_xlfn.TEXTSPLIT(AN509," ")</f>
        <v>26.10.2023</v>
      </c>
      <c r="AS509" t="str">
        <v>08:27:42</v>
      </c>
      <c r="AT509">
        <f t="shared" si="123"/>
        <v>8.4333333333333318</v>
      </c>
      <c r="AU509">
        <f t="shared" si="118"/>
        <v>6.2099999999999937</v>
      </c>
      <c r="AV509">
        <f t="shared" si="119"/>
        <v>0.15</v>
      </c>
      <c r="AW509">
        <f t="shared" si="111"/>
        <v>0.71749999999999992</v>
      </c>
    </row>
    <row r="510" spans="1:49" x14ac:dyDescent="0.25">
      <c r="A510" t="s">
        <v>1536</v>
      </c>
      <c r="B510">
        <v>0</v>
      </c>
      <c r="C510">
        <v>17.22</v>
      </c>
      <c r="E510" t="s">
        <v>1536</v>
      </c>
      <c r="F510">
        <v>0</v>
      </c>
      <c r="G510">
        <v>83.44</v>
      </c>
      <c r="I510" t="str" cm="1">
        <f t="array" ref="I510:J510">_xlfn.TEXTSPLIT(A510," ")</f>
        <v>27.10.2023</v>
      </c>
      <c r="J510" t="str">
        <v>08:28:43</v>
      </c>
      <c r="K510">
        <f t="shared" si="120"/>
        <v>8.4499999999999993</v>
      </c>
      <c r="L510">
        <f t="shared" si="113"/>
        <v>2.8999999999999986</v>
      </c>
      <c r="M510">
        <f t="shared" si="114"/>
        <v>0</v>
      </c>
      <c r="N510">
        <f t="shared" si="108"/>
        <v>0.29749999999999982</v>
      </c>
      <c r="Q510" t="str" cm="1">
        <f t="array" ref="Q510:R510">_xlfn.TEXTSPLIT(E510," ")</f>
        <v>27.10.2023</v>
      </c>
      <c r="R510" t="str">
        <v>08:28:43</v>
      </c>
      <c r="S510">
        <f t="shared" si="121"/>
        <v>8.4499999999999993</v>
      </c>
      <c r="T510">
        <f t="shared" si="112"/>
        <v>4.8400000000000034</v>
      </c>
      <c r="U510">
        <f t="shared" si="115"/>
        <v>0</v>
      </c>
      <c r="V510">
        <f t="shared" si="109"/>
        <v>0.51250000000000007</v>
      </c>
      <c r="AC510" t="s">
        <v>1537</v>
      </c>
      <c r="AD510">
        <v>0</v>
      </c>
      <c r="AE510">
        <v>6.55</v>
      </c>
      <c r="AG510" t="str" cm="1">
        <f t="array" ref="AG510:AH510">_xlfn.TEXTSPLIT(AC511," ")</f>
        <v>26.10.2023</v>
      </c>
      <c r="AH510" t="str">
        <v>08:29:42</v>
      </c>
      <c r="AI510">
        <f t="shared" si="122"/>
        <v>8.4499999999999993</v>
      </c>
      <c r="AJ510">
        <f t="shared" si="116"/>
        <v>2.0199999999999996</v>
      </c>
      <c r="AK510">
        <f t="shared" si="117"/>
        <v>0</v>
      </c>
      <c r="AL510">
        <f t="shared" si="110"/>
        <v>0.36249999999999988</v>
      </c>
      <c r="AN510" t="s">
        <v>1537</v>
      </c>
      <c r="AO510">
        <v>0.15</v>
      </c>
      <c r="AP510">
        <v>67.52</v>
      </c>
      <c r="AR510" t="str" cm="1">
        <f t="array" ref="AR510:AS510">_xlfn.TEXTSPLIT(AN510," ")</f>
        <v>26.10.2023</v>
      </c>
      <c r="AS510" t="str">
        <v>08:28:42</v>
      </c>
      <c r="AT510">
        <f t="shared" si="123"/>
        <v>8.4499999999999993</v>
      </c>
      <c r="AU510">
        <f t="shared" si="118"/>
        <v>6.2099999999999937</v>
      </c>
      <c r="AV510">
        <f t="shared" si="119"/>
        <v>0.15</v>
      </c>
      <c r="AW510">
        <f t="shared" si="111"/>
        <v>0.71749999999999992</v>
      </c>
    </row>
    <row r="511" spans="1:49" x14ac:dyDescent="0.25">
      <c r="A511" t="s">
        <v>1538</v>
      </c>
      <c r="B511">
        <v>0</v>
      </c>
      <c r="C511">
        <v>17.22</v>
      </c>
      <c r="E511" t="s">
        <v>1538</v>
      </c>
      <c r="F511">
        <v>0</v>
      </c>
      <c r="G511">
        <v>83.44</v>
      </c>
      <c r="I511" t="str" cm="1">
        <f t="array" ref="I511:J511">_xlfn.TEXTSPLIT(A511," ")</f>
        <v>27.10.2023</v>
      </c>
      <c r="J511" t="str">
        <v>08:29:43</v>
      </c>
      <c r="K511">
        <f t="shared" si="120"/>
        <v>8.4666666666666668</v>
      </c>
      <c r="L511">
        <f t="shared" si="113"/>
        <v>2.8999999999999986</v>
      </c>
      <c r="M511">
        <f t="shared" si="114"/>
        <v>0</v>
      </c>
      <c r="N511">
        <f t="shared" ref="N511:N574" si="124">AVERAGE(M452:M511)</f>
        <v>0.29749999999999982</v>
      </c>
      <c r="Q511" t="str" cm="1">
        <f t="array" ref="Q511:R511">_xlfn.TEXTSPLIT(E511," ")</f>
        <v>27.10.2023</v>
      </c>
      <c r="R511" t="str">
        <v>08:29:43</v>
      </c>
      <c r="S511">
        <f t="shared" si="121"/>
        <v>8.4666666666666668</v>
      </c>
      <c r="T511">
        <f t="shared" si="112"/>
        <v>4.8400000000000034</v>
      </c>
      <c r="U511">
        <f t="shared" si="115"/>
        <v>0</v>
      </c>
      <c r="V511">
        <f t="shared" ref="V511:V574" si="125">AVERAGE(U452:U511)</f>
        <v>0.51250000000000007</v>
      </c>
      <c r="AC511" t="s">
        <v>1539</v>
      </c>
      <c r="AD511">
        <v>0</v>
      </c>
      <c r="AE511">
        <v>6.55</v>
      </c>
      <c r="AG511" t="str" cm="1">
        <f t="array" ref="AG511:AH511">_xlfn.TEXTSPLIT(AC512," ")</f>
        <v>26.10.2023</v>
      </c>
      <c r="AH511" t="str">
        <v>08:30:42</v>
      </c>
      <c r="AI511">
        <f t="shared" si="122"/>
        <v>8.4666666666666668</v>
      </c>
      <c r="AJ511">
        <f t="shared" si="116"/>
        <v>2.0199999999999996</v>
      </c>
      <c r="AK511">
        <f t="shared" si="117"/>
        <v>0</v>
      </c>
      <c r="AL511">
        <f t="shared" ref="AL511:AL574" si="126">AVERAGE(AK452:AK511)</f>
        <v>0.36249999999999988</v>
      </c>
      <c r="AN511" t="s">
        <v>1539</v>
      </c>
      <c r="AO511">
        <v>0.15</v>
      </c>
      <c r="AP511">
        <v>67.52</v>
      </c>
      <c r="AR511" t="str" cm="1">
        <f t="array" ref="AR511:AS511">_xlfn.TEXTSPLIT(AN511," ")</f>
        <v>26.10.2023</v>
      </c>
      <c r="AS511" t="str">
        <v>08:29:42</v>
      </c>
      <c r="AT511">
        <f t="shared" si="123"/>
        <v>8.4666666666666668</v>
      </c>
      <c r="AU511">
        <f t="shared" si="118"/>
        <v>6.2099999999999937</v>
      </c>
      <c r="AV511">
        <f t="shared" si="119"/>
        <v>0.15</v>
      </c>
      <c r="AW511">
        <f t="shared" ref="AW511:AW574" si="127">AVERAGE(AV452:AV511)</f>
        <v>0.71749999999999992</v>
      </c>
    </row>
    <row r="512" spans="1:49" x14ac:dyDescent="0.25">
      <c r="A512" t="s">
        <v>1540</v>
      </c>
      <c r="B512">
        <v>0</v>
      </c>
      <c r="C512">
        <v>17.22</v>
      </c>
      <c r="E512" t="s">
        <v>1540</v>
      </c>
      <c r="F512">
        <v>0</v>
      </c>
      <c r="G512">
        <v>83.44</v>
      </c>
      <c r="I512" t="str" cm="1">
        <f t="array" ref="I512:J512">_xlfn.TEXTSPLIT(A512," ")</f>
        <v>27.10.2023</v>
      </c>
      <c r="J512" t="str">
        <v>08:30:43</v>
      </c>
      <c r="K512">
        <f t="shared" si="120"/>
        <v>8.4833333333333343</v>
      </c>
      <c r="L512">
        <f t="shared" si="113"/>
        <v>2.8999999999999986</v>
      </c>
      <c r="M512">
        <f t="shared" si="114"/>
        <v>0</v>
      </c>
      <c r="N512">
        <f t="shared" si="124"/>
        <v>0.29749999999999982</v>
      </c>
      <c r="Q512" t="str" cm="1">
        <f t="array" ref="Q512:R512">_xlfn.TEXTSPLIT(E512," ")</f>
        <v>27.10.2023</v>
      </c>
      <c r="R512" t="str">
        <v>08:30:43</v>
      </c>
      <c r="S512">
        <f t="shared" si="121"/>
        <v>8.4833333333333343</v>
      </c>
      <c r="T512">
        <f t="shared" si="112"/>
        <v>4.8400000000000034</v>
      </c>
      <c r="U512">
        <f t="shared" si="115"/>
        <v>0</v>
      </c>
      <c r="V512">
        <f t="shared" si="125"/>
        <v>0.51000000000000012</v>
      </c>
      <c r="AC512" t="s">
        <v>1541</v>
      </c>
      <c r="AD512">
        <v>0</v>
      </c>
      <c r="AE512">
        <v>6.55</v>
      </c>
      <c r="AG512" t="str" cm="1">
        <f t="array" ref="AG512:AH512">_xlfn.TEXTSPLIT(AC513," ")</f>
        <v>26.10.2023</v>
      </c>
      <c r="AH512" t="str">
        <v>08:31:42</v>
      </c>
      <c r="AI512">
        <f t="shared" si="122"/>
        <v>8.4833333333333343</v>
      </c>
      <c r="AJ512">
        <f t="shared" si="116"/>
        <v>2.0199999999999996</v>
      </c>
      <c r="AK512">
        <f t="shared" si="117"/>
        <v>0</v>
      </c>
      <c r="AL512">
        <f t="shared" si="126"/>
        <v>0.36249999999999988</v>
      </c>
      <c r="AN512" t="s">
        <v>1541</v>
      </c>
      <c r="AO512">
        <v>0.15</v>
      </c>
      <c r="AP512">
        <v>67.53</v>
      </c>
      <c r="AR512" t="str" cm="1">
        <f t="array" ref="AR512:AS512">_xlfn.TEXTSPLIT(AN512," ")</f>
        <v>26.10.2023</v>
      </c>
      <c r="AS512" t="str">
        <v>08:30:42</v>
      </c>
      <c r="AT512">
        <f t="shared" si="123"/>
        <v>8.4833333333333343</v>
      </c>
      <c r="AU512">
        <f t="shared" si="118"/>
        <v>6.2199999999999989</v>
      </c>
      <c r="AV512">
        <f t="shared" si="119"/>
        <v>0.15</v>
      </c>
      <c r="AW512">
        <f t="shared" si="127"/>
        <v>0.71499999999999997</v>
      </c>
    </row>
    <row r="513" spans="1:49" x14ac:dyDescent="0.25">
      <c r="A513" t="s">
        <v>1542</v>
      </c>
      <c r="B513">
        <v>0</v>
      </c>
      <c r="C513">
        <v>17.22</v>
      </c>
      <c r="E513" t="s">
        <v>1542</v>
      </c>
      <c r="F513">
        <v>0.15</v>
      </c>
      <c r="G513">
        <v>83.44</v>
      </c>
      <c r="I513" t="str" cm="1">
        <f t="array" ref="I513:J513">_xlfn.TEXTSPLIT(A513," ")</f>
        <v>27.10.2023</v>
      </c>
      <c r="J513" t="str">
        <v>08:31:44</v>
      </c>
      <c r="K513">
        <f t="shared" si="120"/>
        <v>8.5000000000000018</v>
      </c>
      <c r="L513">
        <f t="shared" si="113"/>
        <v>2.8999999999999986</v>
      </c>
      <c r="M513">
        <f t="shared" si="114"/>
        <v>0</v>
      </c>
      <c r="N513">
        <f t="shared" si="124"/>
        <v>0.29749999999999982</v>
      </c>
      <c r="Q513" t="str" cm="1">
        <f t="array" ref="Q513:R513">_xlfn.TEXTSPLIT(E513," ")</f>
        <v>27.10.2023</v>
      </c>
      <c r="R513" t="str">
        <v>08:31:44</v>
      </c>
      <c r="S513">
        <f t="shared" si="121"/>
        <v>8.5000000000000018</v>
      </c>
      <c r="T513">
        <f t="shared" si="112"/>
        <v>4.8400000000000034</v>
      </c>
      <c r="U513">
        <f t="shared" si="115"/>
        <v>0.15</v>
      </c>
      <c r="V513">
        <f t="shared" si="125"/>
        <v>0.51</v>
      </c>
      <c r="AC513" t="s">
        <v>1543</v>
      </c>
      <c r="AD513">
        <v>0</v>
      </c>
      <c r="AE513">
        <v>6.55</v>
      </c>
      <c r="AG513" t="str" cm="1">
        <f t="array" ref="AG513:AH513">_xlfn.TEXTSPLIT(AC514," ")</f>
        <v>26.10.2023</v>
      </c>
      <c r="AH513" t="str">
        <v>08:32:42</v>
      </c>
      <c r="AI513">
        <f t="shared" si="122"/>
        <v>8.5000000000000018</v>
      </c>
      <c r="AJ513">
        <f t="shared" si="116"/>
        <v>2.0199999999999996</v>
      </c>
      <c r="AK513">
        <f t="shared" si="117"/>
        <v>0</v>
      </c>
      <c r="AL513">
        <f t="shared" si="126"/>
        <v>0.36249999999999988</v>
      </c>
      <c r="AN513" t="s">
        <v>1543</v>
      </c>
      <c r="AO513">
        <v>0.3</v>
      </c>
      <c r="AP513">
        <v>67.53</v>
      </c>
      <c r="AR513" t="str" cm="1">
        <f t="array" ref="AR513:AS513">_xlfn.TEXTSPLIT(AN513," ")</f>
        <v>26.10.2023</v>
      </c>
      <c r="AS513" t="str">
        <v>08:31:42</v>
      </c>
      <c r="AT513">
        <f t="shared" si="123"/>
        <v>8.5000000000000018</v>
      </c>
      <c r="AU513">
        <f t="shared" si="118"/>
        <v>6.2199999999999989</v>
      </c>
      <c r="AV513">
        <f t="shared" si="119"/>
        <v>0.3</v>
      </c>
      <c r="AW513">
        <f t="shared" si="127"/>
        <v>0.71499999999999986</v>
      </c>
    </row>
    <row r="514" spans="1:49" x14ac:dyDescent="0.25">
      <c r="A514" t="s">
        <v>1544</v>
      </c>
      <c r="B514">
        <v>0</v>
      </c>
      <c r="C514">
        <v>17.22</v>
      </c>
      <c r="E514" t="s">
        <v>1544</v>
      </c>
      <c r="F514">
        <v>0.15</v>
      </c>
      <c r="G514">
        <v>83.44</v>
      </c>
      <c r="I514" t="str" cm="1">
        <f t="array" ref="I514:J514">_xlfn.TEXTSPLIT(A514," ")</f>
        <v>27.10.2023</v>
      </c>
      <c r="J514" t="str">
        <v>08:32:44</v>
      </c>
      <c r="K514">
        <f t="shared" si="120"/>
        <v>8.5166666666666693</v>
      </c>
      <c r="L514">
        <f t="shared" si="113"/>
        <v>2.8999999999999986</v>
      </c>
      <c r="M514">
        <f t="shared" si="114"/>
        <v>0</v>
      </c>
      <c r="N514">
        <f t="shared" si="124"/>
        <v>0.29749999999999982</v>
      </c>
      <c r="Q514" t="str" cm="1">
        <f t="array" ref="Q514:R514">_xlfn.TEXTSPLIT(E514," ")</f>
        <v>27.10.2023</v>
      </c>
      <c r="R514" t="str">
        <v>08:32:44</v>
      </c>
      <c r="S514">
        <f t="shared" si="121"/>
        <v>8.5166666666666693</v>
      </c>
      <c r="T514">
        <f t="shared" si="112"/>
        <v>4.8400000000000034</v>
      </c>
      <c r="U514">
        <f t="shared" si="115"/>
        <v>0.15</v>
      </c>
      <c r="V514">
        <f t="shared" si="125"/>
        <v>0.51</v>
      </c>
      <c r="AC514" t="s">
        <v>1545</v>
      </c>
      <c r="AD514">
        <v>0</v>
      </c>
      <c r="AE514">
        <v>6.55</v>
      </c>
      <c r="AG514" t="str" cm="1">
        <f t="array" ref="AG514:AH514">_xlfn.TEXTSPLIT(AC515," ")</f>
        <v>26.10.2023</v>
      </c>
      <c r="AH514" t="str">
        <v>08:33:42</v>
      </c>
      <c r="AI514">
        <f t="shared" si="122"/>
        <v>8.5166666666666693</v>
      </c>
      <c r="AJ514">
        <f t="shared" si="116"/>
        <v>2.0199999999999996</v>
      </c>
      <c r="AK514">
        <f t="shared" si="117"/>
        <v>0</v>
      </c>
      <c r="AL514">
        <f t="shared" si="126"/>
        <v>0.36249999999999988</v>
      </c>
      <c r="AN514" t="s">
        <v>1545</v>
      </c>
      <c r="AO514">
        <v>0.3</v>
      </c>
      <c r="AP514">
        <v>67.53</v>
      </c>
      <c r="AR514" t="str" cm="1">
        <f t="array" ref="AR514:AS514">_xlfn.TEXTSPLIT(AN514," ")</f>
        <v>26.10.2023</v>
      </c>
      <c r="AS514" t="str">
        <v>08:32:42</v>
      </c>
      <c r="AT514">
        <f t="shared" si="123"/>
        <v>8.5166666666666693</v>
      </c>
      <c r="AU514">
        <f t="shared" si="118"/>
        <v>6.2199999999999989</v>
      </c>
      <c r="AV514">
        <f t="shared" si="119"/>
        <v>0.3</v>
      </c>
      <c r="AW514">
        <f t="shared" si="127"/>
        <v>0.71499999999999986</v>
      </c>
    </row>
    <row r="515" spans="1:49" x14ac:dyDescent="0.25">
      <c r="A515" t="s">
        <v>1546</v>
      </c>
      <c r="B515">
        <v>0</v>
      </c>
      <c r="C515">
        <v>17.22</v>
      </c>
      <c r="E515" t="s">
        <v>1546</v>
      </c>
      <c r="F515">
        <v>0.3</v>
      </c>
      <c r="G515">
        <v>83.45</v>
      </c>
      <c r="I515" t="str" cm="1">
        <f t="array" ref="I515:J515">_xlfn.TEXTSPLIT(A515," ")</f>
        <v>27.10.2023</v>
      </c>
      <c r="J515" t="str">
        <v>08:33:44</v>
      </c>
      <c r="K515">
        <f t="shared" si="120"/>
        <v>8.5333333333333368</v>
      </c>
      <c r="L515">
        <f t="shared" si="113"/>
        <v>2.8999999999999986</v>
      </c>
      <c r="M515">
        <f t="shared" si="114"/>
        <v>0</v>
      </c>
      <c r="N515">
        <f t="shared" si="124"/>
        <v>0.29749999999999982</v>
      </c>
      <c r="Q515" t="str" cm="1">
        <f t="array" ref="Q515:R515">_xlfn.TEXTSPLIT(E515," ")</f>
        <v>27.10.2023</v>
      </c>
      <c r="R515" t="str">
        <v>08:33:44</v>
      </c>
      <c r="S515">
        <f t="shared" si="121"/>
        <v>8.5333333333333368</v>
      </c>
      <c r="T515">
        <f t="shared" ref="T515:T578" si="128">G515-78.6</f>
        <v>4.8500000000000085</v>
      </c>
      <c r="U515">
        <f t="shared" si="115"/>
        <v>0.3</v>
      </c>
      <c r="V515">
        <f t="shared" si="125"/>
        <v>0.51000000000000012</v>
      </c>
      <c r="AC515" t="s">
        <v>1547</v>
      </c>
      <c r="AD515">
        <v>0</v>
      </c>
      <c r="AE515">
        <v>6.55</v>
      </c>
      <c r="AG515" t="str" cm="1">
        <f t="array" ref="AG515:AH515">_xlfn.TEXTSPLIT(AC516," ")</f>
        <v>26.10.2023</v>
      </c>
      <c r="AH515" t="str">
        <v>08:34:43</v>
      </c>
      <c r="AI515">
        <f t="shared" si="122"/>
        <v>8.5333333333333368</v>
      </c>
      <c r="AJ515">
        <f t="shared" si="116"/>
        <v>2.0199999999999996</v>
      </c>
      <c r="AK515">
        <f t="shared" si="117"/>
        <v>0</v>
      </c>
      <c r="AL515">
        <f t="shared" si="126"/>
        <v>0.36249999999999988</v>
      </c>
      <c r="AN515" t="s">
        <v>1547</v>
      </c>
      <c r="AO515">
        <v>0.3</v>
      </c>
      <c r="AP515">
        <v>67.540000000000006</v>
      </c>
      <c r="AR515" t="str" cm="1">
        <f t="array" ref="AR515:AS515">_xlfn.TEXTSPLIT(AN515," ")</f>
        <v>26.10.2023</v>
      </c>
      <c r="AS515" t="str">
        <v>08:33:42</v>
      </c>
      <c r="AT515">
        <f t="shared" si="123"/>
        <v>8.5333333333333368</v>
      </c>
      <c r="AU515">
        <f t="shared" si="118"/>
        <v>6.230000000000004</v>
      </c>
      <c r="AV515">
        <f t="shared" si="119"/>
        <v>0.3</v>
      </c>
      <c r="AW515">
        <f t="shared" si="127"/>
        <v>0.71499999999999986</v>
      </c>
    </row>
    <row r="516" spans="1:49" x14ac:dyDescent="0.25">
      <c r="A516" t="s">
        <v>1548</v>
      </c>
      <c r="B516">
        <v>0</v>
      </c>
      <c r="C516">
        <v>17.22</v>
      </c>
      <c r="E516" t="s">
        <v>1548</v>
      </c>
      <c r="F516">
        <v>0.3</v>
      </c>
      <c r="G516">
        <v>83.46</v>
      </c>
      <c r="I516" t="str" cm="1">
        <f t="array" ref="I516:J516">_xlfn.TEXTSPLIT(A516," ")</f>
        <v>27.10.2023</v>
      </c>
      <c r="J516" t="str">
        <v>08:34:44</v>
      </c>
      <c r="K516">
        <f t="shared" si="120"/>
        <v>8.5500000000000043</v>
      </c>
      <c r="L516">
        <f t="shared" ref="L516:L579" si="129">C516-14.32</f>
        <v>2.8999999999999986</v>
      </c>
      <c r="M516">
        <f t="shared" ref="M516:M579" si="130">B516</f>
        <v>0</v>
      </c>
      <c r="N516">
        <f t="shared" si="124"/>
        <v>0.29749999999999982</v>
      </c>
      <c r="Q516" t="str" cm="1">
        <f t="array" ref="Q516:R516">_xlfn.TEXTSPLIT(E516," ")</f>
        <v>27.10.2023</v>
      </c>
      <c r="R516" t="str">
        <v>08:34:44</v>
      </c>
      <c r="S516">
        <f t="shared" si="121"/>
        <v>8.5500000000000043</v>
      </c>
      <c r="T516">
        <f t="shared" si="128"/>
        <v>4.8599999999999994</v>
      </c>
      <c r="U516">
        <f t="shared" ref="U516:U579" si="131">F516</f>
        <v>0.3</v>
      </c>
      <c r="V516">
        <f t="shared" si="125"/>
        <v>0.50500000000000012</v>
      </c>
      <c r="AC516" t="s">
        <v>1549</v>
      </c>
      <c r="AD516">
        <v>0</v>
      </c>
      <c r="AE516">
        <v>6.55</v>
      </c>
      <c r="AG516" t="str" cm="1">
        <f t="array" ref="AG516:AH516">_xlfn.TEXTSPLIT(AC517," ")</f>
        <v>26.10.2023</v>
      </c>
      <c r="AH516" t="str">
        <v>08:35:43</v>
      </c>
      <c r="AI516">
        <f t="shared" si="122"/>
        <v>8.5500000000000043</v>
      </c>
      <c r="AJ516">
        <f t="shared" ref="AJ516:AJ579" si="132">AE516-4.53</f>
        <v>2.0199999999999996</v>
      </c>
      <c r="AK516">
        <f t="shared" ref="AK516:AK579" si="133">AD516</f>
        <v>0</v>
      </c>
      <c r="AL516">
        <f t="shared" si="126"/>
        <v>0.36249999999999988</v>
      </c>
      <c r="AN516" t="s">
        <v>1549</v>
      </c>
      <c r="AO516">
        <v>0.45</v>
      </c>
      <c r="AP516">
        <v>67.55</v>
      </c>
      <c r="AR516" t="str" cm="1">
        <f t="array" ref="AR516:AS516">_xlfn.TEXTSPLIT(AN516," ")</f>
        <v>26.10.2023</v>
      </c>
      <c r="AS516" t="str">
        <v>08:34:43</v>
      </c>
      <c r="AT516">
        <f t="shared" si="123"/>
        <v>8.5500000000000043</v>
      </c>
      <c r="AU516">
        <f t="shared" ref="AU516:AU579" si="134">AP516-61.31</f>
        <v>6.2399999999999949</v>
      </c>
      <c r="AV516">
        <f t="shared" ref="AV516:AV579" si="135">AO516</f>
        <v>0.45</v>
      </c>
      <c r="AW516">
        <f t="shared" si="127"/>
        <v>0.71249999999999991</v>
      </c>
    </row>
    <row r="517" spans="1:49" x14ac:dyDescent="0.25">
      <c r="A517" t="s">
        <v>1550</v>
      </c>
      <c r="B517">
        <v>0</v>
      </c>
      <c r="C517">
        <v>17.22</v>
      </c>
      <c r="E517" t="s">
        <v>1550</v>
      </c>
      <c r="F517">
        <v>0.15</v>
      </c>
      <c r="G517">
        <v>83.46</v>
      </c>
      <c r="I517" t="str" cm="1">
        <f t="array" ref="I517:J517">_xlfn.TEXTSPLIT(A517," ")</f>
        <v>27.10.2023</v>
      </c>
      <c r="J517" t="str">
        <v>08:35:44</v>
      </c>
      <c r="K517">
        <f t="shared" ref="K517:K580" si="136">1/60+K516</f>
        <v>8.5666666666666718</v>
      </c>
      <c r="L517">
        <f t="shared" si="129"/>
        <v>2.8999999999999986</v>
      </c>
      <c r="M517">
        <f t="shared" si="130"/>
        <v>0</v>
      </c>
      <c r="N517">
        <f t="shared" si="124"/>
        <v>0.29749999999999982</v>
      </c>
      <c r="Q517" t="str" cm="1">
        <f t="array" ref="Q517:R517">_xlfn.TEXTSPLIT(E517," ")</f>
        <v>27.10.2023</v>
      </c>
      <c r="R517" t="str">
        <v>08:35:44</v>
      </c>
      <c r="S517">
        <f t="shared" ref="S517:S580" si="137">1/60+S516</f>
        <v>8.5666666666666718</v>
      </c>
      <c r="T517">
        <f t="shared" si="128"/>
        <v>4.8599999999999994</v>
      </c>
      <c r="U517">
        <f t="shared" si="131"/>
        <v>0.15</v>
      </c>
      <c r="V517">
        <f t="shared" si="125"/>
        <v>0.50500000000000012</v>
      </c>
      <c r="AC517" t="s">
        <v>1551</v>
      </c>
      <c r="AD517">
        <v>0</v>
      </c>
      <c r="AE517">
        <v>6.55</v>
      </c>
      <c r="AG517" t="str" cm="1">
        <f t="array" ref="AG517:AH517">_xlfn.TEXTSPLIT(AC518," ")</f>
        <v>26.10.2023</v>
      </c>
      <c r="AH517" t="str">
        <v>08:36:43</v>
      </c>
      <c r="AI517">
        <f t="shared" ref="AI517:AI580" si="138">1/60+AI516</f>
        <v>8.5666666666666718</v>
      </c>
      <c r="AJ517">
        <f t="shared" si="132"/>
        <v>2.0199999999999996</v>
      </c>
      <c r="AK517">
        <f t="shared" si="133"/>
        <v>0</v>
      </c>
      <c r="AL517">
        <f t="shared" si="126"/>
        <v>0.36249999999999988</v>
      </c>
      <c r="AN517" t="s">
        <v>1551</v>
      </c>
      <c r="AO517">
        <v>0.3</v>
      </c>
      <c r="AP517">
        <v>67.56</v>
      </c>
      <c r="AR517" t="str" cm="1">
        <f t="array" ref="AR517:AS517">_xlfn.TEXTSPLIT(AN517," ")</f>
        <v>26.10.2023</v>
      </c>
      <c r="AS517" t="str">
        <v>08:35:43</v>
      </c>
      <c r="AT517">
        <f t="shared" ref="AT517:AT580" si="139">1/60+AT516</f>
        <v>8.5666666666666718</v>
      </c>
      <c r="AU517">
        <f t="shared" si="134"/>
        <v>6.25</v>
      </c>
      <c r="AV517">
        <f t="shared" si="135"/>
        <v>0.3</v>
      </c>
      <c r="AW517">
        <f t="shared" si="127"/>
        <v>0.70999999999999974</v>
      </c>
    </row>
    <row r="518" spans="1:49" x14ac:dyDescent="0.25">
      <c r="A518" t="s">
        <v>1552</v>
      </c>
      <c r="B518">
        <v>0</v>
      </c>
      <c r="C518">
        <v>17.22</v>
      </c>
      <c r="E518" t="s">
        <v>1552</v>
      </c>
      <c r="F518">
        <v>0.75</v>
      </c>
      <c r="G518">
        <v>83.48</v>
      </c>
      <c r="I518" t="str" cm="1">
        <f t="array" ref="I518:J518">_xlfn.TEXTSPLIT(A518," ")</f>
        <v>27.10.2023</v>
      </c>
      <c r="J518" t="str">
        <v>08:36:44</v>
      </c>
      <c r="K518">
        <f t="shared" si="136"/>
        <v>8.5833333333333393</v>
      </c>
      <c r="L518">
        <f t="shared" si="129"/>
        <v>2.8999999999999986</v>
      </c>
      <c r="M518">
        <f t="shared" si="130"/>
        <v>0</v>
      </c>
      <c r="N518">
        <f t="shared" si="124"/>
        <v>0.29749999999999982</v>
      </c>
      <c r="Q518" t="str" cm="1">
        <f t="array" ref="Q518:R518">_xlfn.TEXTSPLIT(E518," ")</f>
        <v>27.10.2023</v>
      </c>
      <c r="R518" t="str">
        <v>08:36:44</v>
      </c>
      <c r="S518">
        <f t="shared" si="137"/>
        <v>8.5833333333333393</v>
      </c>
      <c r="T518">
        <f t="shared" si="128"/>
        <v>4.8800000000000097</v>
      </c>
      <c r="U518">
        <f t="shared" si="131"/>
        <v>0.75</v>
      </c>
      <c r="V518">
        <f t="shared" si="125"/>
        <v>0.50750000000000006</v>
      </c>
      <c r="AC518" t="s">
        <v>1553</v>
      </c>
      <c r="AD518">
        <v>0</v>
      </c>
      <c r="AE518">
        <v>6.55</v>
      </c>
      <c r="AG518" t="str" cm="1">
        <f t="array" ref="AG518:AH518">_xlfn.TEXTSPLIT(AC519," ")</f>
        <v>26.10.2023</v>
      </c>
      <c r="AH518" t="str">
        <v>08:37:43</v>
      </c>
      <c r="AI518">
        <f t="shared" si="138"/>
        <v>8.5833333333333393</v>
      </c>
      <c r="AJ518">
        <f t="shared" si="132"/>
        <v>2.0199999999999996</v>
      </c>
      <c r="AK518">
        <f t="shared" si="133"/>
        <v>0</v>
      </c>
      <c r="AL518">
        <f t="shared" si="126"/>
        <v>0.36249999999999988</v>
      </c>
      <c r="AN518" t="s">
        <v>1553</v>
      </c>
      <c r="AO518">
        <v>0.6</v>
      </c>
      <c r="AP518">
        <v>67.569999999999993</v>
      </c>
      <c r="AR518" t="str" cm="1">
        <f t="array" ref="AR518:AS518">_xlfn.TEXTSPLIT(AN518," ")</f>
        <v>26.10.2023</v>
      </c>
      <c r="AS518" t="str">
        <v>08:36:43</v>
      </c>
      <c r="AT518">
        <f t="shared" si="139"/>
        <v>8.5833333333333393</v>
      </c>
      <c r="AU518">
        <f t="shared" si="134"/>
        <v>6.2599999999999909</v>
      </c>
      <c r="AV518">
        <f t="shared" si="135"/>
        <v>0.6</v>
      </c>
      <c r="AW518">
        <f t="shared" si="127"/>
        <v>0.70999999999999974</v>
      </c>
    </row>
    <row r="519" spans="1:49" x14ac:dyDescent="0.25">
      <c r="A519" t="s">
        <v>1554</v>
      </c>
      <c r="B519">
        <v>0</v>
      </c>
      <c r="C519">
        <v>17.23</v>
      </c>
      <c r="E519" t="s">
        <v>1554</v>
      </c>
      <c r="F519">
        <v>1.2</v>
      </c>
      <c r="G519">
        <v>83.51</v>
      </c>
      <c r="I519" t="str" cm="1">
        <f t="array" ref="I519:J519">_xlfn.TEXTSPLIT(A519," ")</f>
        <v>27.10.2023</v>
      </c>
      <c r="J519" t="str">
        <v>08:37:45</v>
      </c>
      <c r="K519">
        <f t="shared" si="136"/>
        <v>8.6000000000000068</v>
      </c>
      <c r="L519">
        <f t="shared" si="129"/>
        <v>2.91</v>
      </c>
      <c r="M519">
        <f t="shared" si="130"/>
        <v>0</v>
      </c>
      <c r="N519">
        <f t="shared" si="124"/>
        <v>0.29499999999999987</v>
      </c>
      <c r="Q519" t="str" cm="1">
        <f t="array" ref="Q519:R519">_xlfn.TEXTSPLIT(E519," ")</f>
        <v>27.10.2023</v>
      </c>
      <c r="R519" t="str">
        <v>08:37:45</v>
      </c>
      <c r="S519">
        <f t="shared" si="137"/>
        <v>8.6000000000000068</v>
      </c>
      <c r="T519">
        <f t="shared" si="128"/>
        <v>4.9100000000000108</v>
      </c>
      <c r="U519">
        <f t="shared" si="131"/>
        <v>1.2</v>
      </c>
      <c r="V519">
        <f t="shared" si="125"/>
        <v>0.50500000000000012</v>
      </c>
      <c r="AC519" t="s">
        <v>1555</v>
      </c>
      <c r="AD519">
        <v>0</v>
      </c>
      <c r="AE519">
        <v>6.55</v>
      </c>
      <c r="AG519" t="str" cm="1">
        <f t="array" ref="AG519:AH519">_xlfn.TEXTSPLIT(AC520," ")</f>
        <v>26.10.2023</v>
      </c>
      <c r="AH519" t="str">
        <v>08:38:43</v>
      </c>
      <c r="AI519">
        <f t="shared" si="138"/>
        <v>8.6000000000000068</v>
      </c>
      <c r="AJ519">
        <f t="shared" si="132"/>
        <v>2.0199999999999996</v>
      </c>
      <c r="AK519">
        <f t="shared" si="133"/>
        <v>0</v>
      </c>
      <c r="AL519">
        <f t="shared" si="126"/>
        <v>0.36249999999999988</v>
      </c>
      <c r="AN519" t="s">
        <v>1555</v>
      </c>
      <c r="AO519">
        <v>1.2</v>
      </c>
      <c r="AP519">
        <v>67.61</v>
      </c>
      <c r="AR519" t="str" cm="1">
        <f t="array" ref="AR519:AS519">_xlfn.TEXTSPLIT(AN519," ")</f>
        <v>26.10.2023</v>
      </c>
      <c r="AS519" t="str">
        <v>08:37:43</v>
      </c>
      <c r="AT519">
        <f t="shared" si="139"/>
        <v>8.6000000000000068</v>
      </c>
      <c r="AU519">
        <f t="shared" si="134"/>
        <v>6.2999999999999972</v>
      </c>
      <c r="AV519">
        <f t="shared" si="135"/>
        <v>1.2</v>
      </c>
      <c r="AW519">
        <f t="shared" si="127"/>
        <v>0.70499999999999996</v>
      </c>
    </row>
    <row r="520" spans="1:49" x14ac:dyDescent="0.25">
      <c r="A520" t="s">
        <v>1556</v>
      </c>
      <c r="B520">
        <v>0.45</v>
      </c>
      <c r="C520">
        <v>17.25</v>
      </c>
      <c r="E520" t="s">
        <v>1556</v>
      </c>
      <c r="F520">
        <v>2.1</v>
      </c>
      <c r="G520">
        <v>83.55</v>
      </c>
      <c r="I520" t="str" cm="1">
        <f t="array" ref="I520:J520">_xlfn.TEXTSPLIT(A520," ")</f>
        <v>27.10.2023</v>
      </c>
      <c r="J520" t="str">
        <v>08:38:45</v>
      </c>
      <c r="K520">
        <f t="shared" si="136"/>
        <v>8.6166666666666742</v>
      </c>
      <c r="L520">
        <f t="shared" si="129"/>
        <v>2.9299999999999997</v>
      </c>
      <c r="M520">
        <f t="shared" si="130"/>
        <v>0.45</v>
      </c>
      <c r="N520">
        <f t="shared" si="124"/>
        <v>0.27999999999999997</v>
      </c>
      <c r="Q520" t="str" cm="1">
        <f t="array" ref="Q520:R520">_xlfn.TEXTSPLIT(E520," ")</f>
        <v>27.10.2023</v>
      </c>
      <c r="R520" t="str">
        <v>08:38:45</v>
      </c>
      <c r="S520">
        <f t="shared" si="137"/>
        <v>8.6166666666666742</v>
      </c>
      <c r="T520">
        <f t="shared" si="128"/>
        <v>4.9500000000000028</v>
      </c>
      <c r="U520">
        <f t="shared" si="131"/>
        <v>2.1</v>
      </c>
      <c r="V520">
        <f t="shared" si="125"/>
        <v>0.50750000000000006</v>
      </c>
      <c r="AC520" t="s">
        <v>1557</v>
      </c>
      <c r="AD520">
        <v>0</v>
      </c>
      <c r="AE520">
        <v>6.55</v>
      </c>
      <c r="AG520" t="str" cm="1">
        <f t="array" ref="AG520:AH520">_xlfn.TEXTSPLIT(AC521," ")</f>
        <v>26.10.2023</v>
      </c>
      <c r="AH520" t="str">
        <v>08:39:43</v>
      </c>
      <c r="AI520">
        <f t="shared" si="138"/>
        <v>8.6166666666666742</v>
      </c>
      <c r="AJ520">
        <f t="shared" si="132"/>
        <v>2.0199999999999996</v>
      </c>
      <c r="AK520">
        <f t="shared" si="133"/>
        <v>0</v>
      </c>
      <c r="AL520">
        <f t="shared" si="126"/>
        <v>0.36249999999999988</v>
      </c>
      <c r="AN520" t="s">
        <v>1557</v>
      </c>
      <c r="AO520">
        <v>2.85</v>
      </c>
      <c r="AP520">
        <v>67.650000000000006</v>
      </c>
      <c r="AR520" t="str" cm="1">
        <f t="array" ref="AR520:AS520">_xlfn.TEXTSPLIT(AN520," ")</f>
        <v>26.10.2023</v>
      </c>
      <c r="AS520" t="str">
        <v>08:38:43</v>
      </c>
      <c r="AT520">
        <f t="shared" si="139"/>
        <v>8.6166666666666742</v>
      </c>
      <c r="AU520">
        <f t="shared" si="134"/>
        <v>6.3400000000000034</v>
      </c>
      <c r="AV520">
        <f t="shared" si="135"/>
        <v>2.85</v>
      </c>
      <c r="AW520">
        <f t="shared" si="127"/>
        <v>0.71499999999999986</v>
      </c>
    </row>
    <row r="521" spans="1:49" x14ac:dyDescent="0.25">
      <c r="A521" t="s">
        <v>1558</v>
      </c>
      <c r="B521">
        <v>1.95</v>
      </c>
      <c r="C521">
        <v>17.29</v>
      </c>
      <c r="E521" t="s">
        <v>1558</v>
      </c>
      <c r="F521">
        <v>2.1</v>
      </c>
      <c r="G521">
        <v>83.58</v>
      </c>
      <c r="I521" t="str" cm="1">
        <f t="array" ref="I521:J521">_xlfn.TEXTSPLIT(A521," ")</f>
        <v>27.10.2023</v>
      </c>
      <c r="J521" t="str">
        <v>08:39:45</v>
      </c>
      <c r="K521">
        <f t="shared" si="136"/>
        <v>8.6333333333333417</v>
      </c>
      <c r="L521">
        <f t="shared" si="129"/>
        <v>2.9699999999999989</v>
      </c>
      <c r="M521">
        <f t="shared" si="130"/>
        <v>1.95</v>
      </c>
      <c r="N521">
        <f t="shared" si="124"/>
        <v>0.28750000000000003</v>
      </c>
      <c r="Q521" t="str" cm="1">
        <f t="array" ref="Q521:R521">_xlfn.TEXTSPLIT(E521," ")</f>
        <v>27.10.2023</v>
      </c>
      <c r="R521" t="str">
        <v>08:39:45</v>
      </c>
      <c r="S521">
        <f t="shared" si="137"/>
        <v>8.6333333333333417</v>
      </c>
      <c r="T521">
        <f t="shared" si="128"/>
        <v>4.980000000000004</v>
      </c>
      <c r="U521">
        <f t="shared" si="131"/>
        <v>2.1</v>
      </c>
      <c r="V521">
        <f t="shared" si="125"/>
        <v>0.51500000000000012</v>
      </c>
      <c r="AC521" t="s">
        <v>1559</v>
      </c>
      <c r="AD521">
        <v>1.2</v>
      </c>
      <c r="AE521">
        <v>6.59</v>
      </c>
      <c r="AG521" t="str" cm="1">
        <f t="array" ref="AG521:AH521">_xlfn.TEXTSPLIT(AC522," ")</f>
        <v>26.10.2023</v>
      </c>
      <c r="AH521" t="str">
        <v>08:40:43</v>
      </c>
      <c r="AI521">
        <f t="shared" si="138"/>
        <v>8.6333333333333417</v>
      </c>
      <c r="AJ521">
        <f t="shared" si="132"/>
        <v>2.0599999999999996</v>
      </c>
      <c r="AK521">
        <f t="shared" si="133"/>
        <v>1.2</v>
      </c>
      <c r="AL521">
        <f t="shared" si="126"/>
        <v>0.35499999999999982</v>
      </c>
      <c r="AN521" t="s">
        <v>1559</v>
      </c>
      <c r="AO521">
        <v>1.8</v>
      </c>
      <c r="AP521">
        <v>67.67</v>
      </c>
      <c r="AR521" t="str" cm="1">
        <f t="array" ref="AR521:AS521">_xlfn.TEXTSPLIT(AN521," ")</f>
        <v>26.10.2023</v>
      </c>
      <c r="AS521" t="str">
        <v>08:39:43</v>
      </c>
      <c r="AT521">
        <f t="shared" si="139"/>
        <v>8.6333333333333417</v>
      </c>
      <c r="AU521">
        <f t="shared" si="134"/>
        <v>6.3599999999999994</v>
      </c>
      <c r="AV521">
        <f t="shared" si="135"/>
        <v>1.8</v>
      </c>
      <c r="AW521">
        <f t="shared" si="127"/>
        <v>0.71249999999999991</v>
      </c>
    </row>
    <row r="522" spans="1:49" x14ac:dyDescent="0.25">
      <c r="A522" t="s">
        <v>1560</v>
      </c>
      <c r="B522">
        <v>1.95</v>
      </c>
      <c r="C522">
        <v>17.309999999999999</v>
      </c>
      <c r="E522" t="s">
        <v>1560</v>
      </c>
      <c r="F522">
        <v>1.2</v>
      </c>
      <c r="G522">
        <v>83.59</v>
      </c>
      <c r="I522" t="str" cm="1">
        <f t="array" ref="I522:J522">_xlfn.TEXTSPLIT(A522," ")</f>
        <v>27.10.2023</v>
      </c>
      <c r="J522" t="str">
        <v>08:40:45</v>
      </c>
      <c r="K522">
        <f t="shared" si="136"/>
        <v>8.6500000000000092</v>
      </c>
      <c r="L522">
        <f t="shared" si="129"/>
        <v>2.9899999999999984</v>
      </c>
      <c r="M522">
        <f t="shared" si="130"/>
        <v>1.95</v>
      </c>
      <c r="N522">
        <f t="shared" si="124"/>
        <v>0.30000000000000004</v>
      </c>
      <c r="Q522" t="str" cm="1">
        <f t="array" ref="Q522:R522">_xlfn.TEXTSPLIT(E522," ")</f>
        <v>27.10.2023</v>
      </c>
      <c r="R522" t="str">
        <v>08:40:45</v>
      </c>
      <c r="S522">
        <f t="shared" si="137"/>
        <v>8.6500000000000092</v>
      </c>
      <c r="T522">
        <f t="shared" si="128"/>
        <v>4.9900000000000091</v>
      </c>
      <c r="U522">
        <f t="shared" si="131"/>
        <v>1.2</v>
      </c>
      <c r="V522">
        <f t="shared" si="125"/>
        <v>0.51000000000000012</v>
      </c>
      <c r="AC522" t="s">
        <v>1561</v>
      </c>
      <c r="AD522">
        <v>2.25</v>
      </c>
      <c r="AE522">
        <v>6.61</v>
      </c>
      <c r="AG522" t="str" cm="1">
        <f t="array" ref="AG522:AH522">_xlfn.TEXTSPLIT(AC523," ")</f>
        <v>26.10.2023</v>
      </c>
      <c r="AH522" t="str">
        <v>08:41:44</v>
      </c>
      <c r="AI522">
        <f t="shared" si="138"/>
        <v>8.6500000000000092</v>
      </c>
      <c r="AJ522">
        <f t="shared" si="132"/>
        <v>2.08</v>
      </c>
      <c r="AK522">
        <f t="shared" si="133"/>
        <v>2.25</v>
      </c>
      <c r="AL522">
        <f t="shared" si="126"/>
        <v>0.35249999999999981</v>
      </c>
      <c r="AN522" t="s">
        <v>1561</v>
      </c>
      <c r="AO522">
        <v>1.2</v>
      </c>
      <c r="AP522">
        <v>67.69</v>
      </c>
      <c r="AR522" t="str" cm="1">
        <f t="array" ref="AR522:AS522">_xlfn.TEXTSPLIT(AN522," ")</f>
        <v>26.10.2023</v>
      </c>
      <c r="AS522" t="str">
        <v>08:40:43</v>
      </c>
      <c r="AT522">
        <f t="shared" si="139"/>
        <v>8.6500000000000092</v>
      </c>
      <c r="AU522">
        <f t="shared" si="134"/>
        <v>6.3799999999999955</v>
      </c>
      <c r="AV522">
        <f t="shared" si="135"/>
        <v>1.2</v>
      </c>
      <c r="AW522">
        <f t="shared" si="127"/>
        <v>0.6974999999999999</v>
      </c>
    </row>
    <row r="523" spans="1:49" x14ac:dyDescent="0.25">
      <c r="A523" t="s">
        <v>1562</v>
      </c>
      <c r="B523">
        <v>1.2</v>
      </c>
      <c r="C523">
        <v>17.32</v>
      </c>
      <c r="E523" t="s">
        <v>1562</v>
      </c>
      <c r="F523">
        <v>1.05</v>
      </c>
      <c r="G523">
        <v>83.6</v>
      </c>
      <c r="I523" t="str" cm="1">
        <f t="array" ref="I523:J523">_xlfn.TEXTSPLIT(A523," ")</f>
        <v>27.10.2023</v>
      </c>
      <c r="J523" t="str">
        <v>08:41:45</v>
      </c>
      <c r="K523">
        <f t="shared" si="136"/>
        <v>8.6666666666666767</v>
      </c>
      <c r="L523">
        <f t="shared" si="129"/>
        <v>3</v>
      </c>
      <c r="M523">
        <f t="shared" si="130"/>
        <v>1.2</v>
      </c>
      <c r="N523">
        <f t="shared" si="124"/>
        <v>0.30250000000000005</v>
      </c>
      <c r="Q523" t="str" cm="1">
        <f t="array" ref="Q523:R523">_xlfn.TEXTSPLIT(E523," ")</f>
        <v>27.10.2023</v>
      </c>
      <c r="R523" t="str">
        <v>08:41:45</v>
      </c>
      <c r="S523">
        <f t="shared" si="137"/>
        <v>8.6666666666666767</v>
      </c>
      <c r="T523">
        <f t="shared" si="128"/>
        <v>5</v>
      </c>
      <c r="U523">
        <f t="shared" si="131"/>
        <v>1.05</v>
      </c>
      <c r="V523">
        <f t="shared" si="125"/>
        <v>0.51250000000000007</v>
      </c>
      <c r="AC523" t="s">
        <v>1563</v>
      </c>
      <c r="AD523">
        <v>1.05</v>
      </c>
      <c r="AE523">
        <v>6.63</v>
      </c>
      <c r="AG523" t="str" cm="1">
        <f t="array" ref="AG523:AH523">_xlfn.TEXTSPLIT(AC524," ")</f>
        <v>26.10.2023</v>
      </c>
      <c r="AH523" t="str">
        <v>08:42:44</v>
      </c>
      <c r="AI523">
        <f t="shared" si="138"/>
        <v>8.6666666666666767</v>
      </c>
      <c r="AJ523">
        <f t="shared" si="132"/>
        <v>2.0999999999999996</v>
      </c>
      <c r="AK523">
        <f t="shared" si="133"/>
        <v>1.05</v>
      </c>
      <c r="AL523">
        <f t="shared" si="126"/>
        <v>0.34749999999999992</v>
      </c>
      <c r="AN523" t="s">
        <v>1563</v>
      </c>
      <c r="AO523">
        <v>1.2</v>
      </c>
      <c r="AP523">
        <v>67.709999999999994</v>
      </c>
      <c r="AR523" t="str" cm="1">
        <f t="array" ref="AR523:AS523">_xlfn.TEXTSPLIT(AN523," ")</f>
        <v>26.10.2023</v>
      </c>
      <c r="AS523" t="str">
        <v>08:41:44</v>
      </c>
      <c r="AT523">
        <f t="shared" si="139"/>
        <v>8.6666666666666767</v>
      </c>
      <c r="AU523">
        <f t="shared" si="134"/>
        <v>6.3999999999999915</v>
      </c>
      <c r="AV523">
        <f t="shared" si="135"/>
        <v>1.2</v>
      </c>
      <c r="AW523">
        <f t="shared" si="127"/>
        <v>0.6825</v>
      </c>
    </row>
    <row r="524" spans="1:49" x14ac:dyDescent="0.25">
      <c r="A524" t="s">
        <v>1564</v>
      </c>
      <c r="B524">
        <v>0.9</v>
      </c>
      <c r="C524">
        <v>17.34</v>
      </c>
      <c r="E524" t="s">
        <v>1564</v>
      </c>
      <c r="F524">
        <v>0.9</v>
      </c>
      <c r="G524">
        <v>83.62</v>
      </c>
      <c r="I524" t="str" cm="1">
        <f t="array" ref="I524:J524">_xlfn.TEXTSPLIT(A524," ")</f>
        <v>27.10.2023</v>
      </c>
      <c r="J524" t="str">
        <v>08:42:45</v>
      </c>
      <c r="K524">
        <f t="shared" si="136"/>
        <v>8.6833333333333442</v>
      </c>
      <c r="L524">
        <f t="shared" si="129"/>
        <v>3.0199999999999996</v>
      </c>
      <c r="M524">
        <f t="shared" si="130"/>
        <v>0.9</v>
      </c>
      <c r="N524">
        <f t="shared" si="124"/>
        <v>0.30499999999999999</v>
      </c>
      <c r="Q524" t="str" cm="1">
        <f t="array" ref="Q524:R524">_xlfn.TEXTSPLIT(E524," ")</f>
        <v>27.10.2023</v>
      </c>
      <c r="R524" t="str">
        <v>08:42:45</v>
      </c>
      <c r="S524">
        <f t="shared" si="137"/>
        <v>8.6833333333333442</v>
      </c>
      <c r="T524">
        <f t="shared" si="128"/>
        <v>5.0200000000000102</v>
      </c>
      <c r="U524">
        <f t="shared" si="131"/>
        <v>0.9</v>
      </c>
      <c r="V524">
        <f t="shared" si="125"/>
        <v>0.51749999999999996</v>
      </c>
      <c r="AC524" t="s">
        <v>1565</v>
      </c>
      <c r="AD524">
        <v>1.2</v>
      </c>
      <c r="AE524">
        <v>6.65</v>
      </c>
      <c r="AG524" t="str" cm="1">
        <f t="array" ref="AG524:AH524">_xlfn.TEXTSPLIT(AC525," ")</f>
        <v>26.10.2023</v>
      </c>
      <c r="AH524" t="str">
        <v>08:43:44</v>
      </c>
      <c r="AI524">
        <f t="shared" si="138"/>
        <v>8.6833333333333442</v>
      </c>
      <c r="AJ524">
        <f t="shared" si="132"/>
        <v>2.12</v>
      </c>
      <c r="AK524">
        <f t="shared" si="133"/>
        <v>1.2</v>
      </c>
      <c r="AL524">
        <f t="shared" si="126"/>
        <v>0.35249999999999998</v>
      </c>
      <c r="AN524" t="s">
        <v>1565</v>
      </c>
      <c r="AO524">
        <v>1.35</v>
      </c>
      <c r="AP524">
        <v>67.73</v>
      </c>
      <c r="AR524" t="str" cm="1">
        <f t="array" ref="AR524:AS524">_xlfn.TEXTSPLIT(AN524," ")</f>
        <v>26.10.2023</v>
      </c>
      <c r="AS524" t="str">
        <v>08:42:44</v>
      </c>
      <c r="AT524">
        <f t="shared" si="139"/>
        <v>8.6833333333333442</v>
      </c>
      <c r="AU524">
        <f t="shared" si="134"/>
        <v>6.4200000000000017</v>
      </c>
      <c r="AV524">
        <f t="shared" si="135"/>
        <v>1.35</v>
      </c>
      <c r="AW524">
        <f t="shared" si="127"/>
        <v>0.68</v>
      </c>
    </row>
    <row r="525" spans="1:49" x14ac:dyDescent="0.25">
      <c r="A525" t="s">
        <v>1566</v>
      </c>
      <c r="B525">
        <v>0.9</v>
      </c>
      <c r="C525">
        <v>17.350000000000001</v>
      </c>
      <c r="E525" t="s">
        <v>1566</v>
      </c>
      <c r="F525">
        <v>1.05</v>
      </c>
      <c r="G525">
        <v>83.64</v>
      </c>
      <c r="I525" t="str" cm="1">
        <f t="array" ref="I525:J525">_xlfn.TEXTSPLIT(A525," ")</f>
        <v>27.10.2023</v>
      </c>
      <c r="J525" t="str">
        <v>08:43:45</v>
      </c>
      <c r="K525">
        <f t="shared" si="136"/>
        <v>8.7000000000000117</v>
      </c>
      <c r="L525">
        <f t="shared" si="129"/>
        <v>3.0300000000000011</v>
      </c>
      <c r="M525">
        <f t="shared" si="130"/>
        <v>0.9</v>
      </c>
      <c r="N525">
        <f t="shared" si="124"/>
        <v>0.30249999999999999</v>
      </c>
      <c r="Q525" t="str" cm="1">
        <f t="array" ref="Q525:R525">_xlfn.TEXTSPLIT(E525," ")</f>
        <v>27.10.2023</v>
      </c>
      <c r="R525" t="str">
        <v>08:43:45</v>
      </c>
      <c r="S525">
        <f t="shared" si="137"/>
        <v>8.7000000000000117</v>
      </c>
      <c r="T525">
        <f t="shared" si="128"/>
        <v>5.0400000000000063</v>
      </c>
      <c r="U525">
        <f t="shared" si="131"/>
        <v>1.05</v>
      </c>
      <c r="V525">
        <f t="shared" si="125"/>
        <v>0.52500000000000002</v>
      </c>
      <c r="AC525" t="s">
        <v>1567</v>
      </c>
      <c r="AD525">
        <v>0.6</v>
      </c>
      <c r="AE525">
        <v>6.66</v>
      </c>
      <c r="AG525" t="str" cm="1">
        <f t="array" ref="AG525:AH525">_xlfn.TEXTSPLIT(AC526," ")</f>
        <v>26.10.2023</v>
      </c>
      <c r="AH525" t="str">
        <v>08:44:44</v>
      </c>
      <c r="AI525">
        <f t="shared" si="138"/>
        <v>8.7000000000000117</v>
      </c>
      <c r="AJ525">
        <f t="shared" si="132"/>
        <v>2.13</v>
      </c>
      <c r="AK525">
        <f t="shared" si="133"/>
        <v>0.6</v>
      </c>
      <c r="AL525">
        <f t="shared" si="126"/>
        <v>0.34750000000000003</v>
      </c>
      <c r="AN525" t="s">
        <v>1567</v>
      </c>
      <c r="AO525">
        <v>1.05</v>
      </c>
      <c r="AP525">
        <v>67.75</v>
      </c>
      <c r="AR525" t="str" cm="1">
        <f t="array" ref="AR525:AS525">_xlfn.TEXTSPLIT(AN525," ")</f>
        <v>26.10.2023</v>
      </c>
      <c r="AS525" t="str">
        <v>08:43:44</v>
      </c>
      <c r="AT525">
        <f t="shared" si="139"/>
        <v>8.7000000000000117</v>
      </c>
      <c r="AU525">
        <f t="shared" si="134"/>
        <v>6.4399999999999977</v>
      </c>
      <c r="AV525">
        <f t="shared" si="135"/>
        <v>1.05</v>
      </c>
      <c r="AW525">
        <f t="shared" si="127"/>
        <v>0.67999999999999994</v>
      </c>
    </row>
    <row r="526" spans="1:49" x14ac:dyDescent="0.25">
      <c r="A526" t="s">
        <v>1568</v>
      </c>
      <c r="B526">
        <v>0.75</v>
      </c>
      <c r="C526">
        <v>17.37</v>
      </c>
      <c r="E526" t="s">
        <v>1568</v>
      </c>
      <c r="F526">
        <v>0.9</v>
      </c>
      <c r="G526">
        <v>83.65</v>
      </c>
      <c r="I526" t="str" cm="1">
        <f t="array" ref="I526:J526">_xlfn.TEXTSPLIT(A526," ")</f>
        <v>27.10.2023</v>
      </c>
      <c r="J526" t="str">
        <v>08:44:46</v>
      </c>
      <c r="K526">
        <f t="shared" si="136"/>
        <v>8.7166666666666792</v>
      </c>
      <c r="L526">
        <f t="shared" si="129"/>
        <v>3.0500000000000007</v>
      </c>
      <c r="M526">
        <f t="shared" si="130"/>
        <v>0.75</v>
      </c>
      <c r="N526">
        <f t="shared" si="124"/>
        <v>0.3075</v>
      </c>
      <c r="Q526" t="str" cm="1">
        <f t="array" ref="Q526:R526">_xlfn.TEXTSPLIT(E526," ")</f>
        <v>27.10.2023</v>
      </c>
      <c r="R526" t="str">
        <v>08:44:46</v>
      </c>
      <c r="S526">
        <f t="shared" si="137"/>
        <v>8.7166666666666792</v>
      </c>
      <c r="T526">
        <f t="shared" si="128"/>
        <v>5.0500000000000114</v>
      </c>
      <c r="U526">
        <f t="shared" si="131"/>
        <v>0.9</v>
      </c>
      <c r="V526">
        <f t="shared" si="125"/>
        <v>0.52999999999999992</v>
      </c>
      <c r="AC526" t="s">
        <v>1569</v>
      </c>
      <c r="AD526">
        <v>0.45</v>
      </c>
      <c r="AE526">
        <v>6.66</v>
      </c>
      <c r="AG526" t="str" cm="1">
        <f t="array" ref="AG526:AH526">_xlfn.TEXTSPLIT(AC527," ")</f>
        <v>26.10.2023</v>
      </c>
      <c r="AH526" t="str">
        <v>08:45:44</v>
      </c>
      <c r="AI526">
        <f t="shared" si="138"/>
        <v>8.7166666666666792</v>
      </c>
      <c r="AJ526">
        <f t="shared" si="132"/>
        <v>2.13</v>
      </c>
      <c r="AK526">
        <f t="shared" si="133"/>
        <v>0.45</v>
      </c>
      <c r="AL526">
        <f t="shared" si="126"/>
        <v>0.34250000000000003</v>
      </c>
      <c r="AN526" t="s">
        <v>1569</v>
      </c>
      <c r="AO526">
        <v>1.2</v>
      </c>
      <c r="AP526">
        <v>67.760000000000005</v>
      </c>
      <c r="AR526" t="str" cm="1">
        <f t="array" ref="AR526:AS526">_xlfn.TEXTSPLIT(AN526," ")</f>
        <v>26.10.2023</v>
      </c>
      <c r="AS526" t="str">
        <v>08:44:44</v>
      </c>
      <c r="AT526">
        <f t="shared" si="139"/>
        <v>8.7166666666666792</v>
      </c>
      <c r="AU526">
        <f t="shared" si="134"/>
        <v>6.4500000000000028</v>
      </c>
      <c r="AV526">
        <f t="shared" si="135"/>
        <v>1.2</v>
      </c>
      <c r="AW526">
        <f t="shared" si="127"/>
        <v>0.6825</v>
      </c>
    </row>
    <row r="527" spans="1:49" x14ac:dyDescent="0.25">
      <c r="A527" t="s">
        <v>1570</v>
      </c>
      <c r="B527">
        <v>0.9</v>
      </c>
      <c r="C527">
        <v>17.38</v>
      </c>
      <c r="E527" t="s">
        <v>1570</v>
      </c>
      <c r="F527">
        <v>1.35</v>
      </c>
      <c r="G527">
        <v>83.67</v>
      </c>
      <c r="I527" t="str" cm="1">
        <f t="array" ref="I527:J527">_xlfn.TEXTSPLIT(A527," ")</f>
        <v>27.10.2023</v>
      </c>
      <c r="J527" t="str">
        <v>08:45:46</v>
      </c>
      <c r="K527">
        <f t="shared" si="136"/>
        <v>8.7333333333333467</v>
      </c>
      <c r="L527">
        <f t="shared" si="129"/>
        <v>3.0599999999999987</v>
      </c>
      <c r="M527">
        <f t="shared" si="130"/>
        <v>0.9</v>
      </c>
      <c r="N527">
        <f t="shared" si="124"/>
        <v>0.31499999999999989</v>
      </c>
      <c r="Q527" t="str" cm="1">
        <f t="array" ref="Q527:R527">_xlfn.TEXTSPLIT(E527," ")</f>
        <v>27.10.2023</v>
      </c>
      <c r="R527" t="str">
        <v>08:45:46</v>
      </c>
      <c r="S527">
        <f t="shared" si="137"/>
        <v>8.7333333333333467</v>
      </c>
      <c r="T527">
        <f t="shared" si="128"/>
        <v>5.0700000000000074</v>
      </c>
      <c r="U527">
        <f t="shared" si="131"/>
        <v>1.35</v>
      </c>
      <c r="V527">
        <f t="shared" si="125"/>
        <v>0.54499999999999993</v>
      </c>
      <c r="AC527" t="s">
        <v>1571</v>
      </c>
      <c r="AD527">
        <v>0.45</v>
      </c>
      <c r="AE527">
        <v>6.67</v>
      </c>
      <c r="AG527" t="str" cm="1">
        <f t="array" ref="AG527:AH527">_xlfn.TEXTSPLIT(AC528," ")</f>
        <v>26.10.2023</v>
      </c>
      <c r="AH527" t="str">
        <v>08:46:44</v>
      </c>
      <c r="AI527">
        <f t="shared" si="138"/>
        <v>8.7333333333333467</v>
      </c>
      <c r="AJ527">
        <f t="shared" si="132"/>
        <v>2.1399999999999997</v>
      </c>
      <c r="AK527">
        <f t="shared" si="133"/>
        <v>0.45</v>
      </c>
      <c r="AL527">
        <f t="shared" si="126"/>
        <v>0.33999999999999997</v>
      </c>
      <c r="AN527" t="s">
        <v>1571</v>
      </c>
      <c r="AO527">
        <v>0.75</v>
      </c>
      <c r="AP527">
        <v>67.78</v>
      </c>
      <c r="AR527" t="str" cm="1">
        <f t="array" ref="AR527:AS527">_xlfn.TEXTSPLIT(AN527," ")</f>
        <v>26.10.2023</v>
      </c>
      <c r="AS527" t="str">
        <v>08:45:44</v>
      </c>
      <c r="AT527">
        <f t="shared" si="139"/>
        <v>8.7333333333333467</v>
      </c>
      <c r="AU527">
        <f t="shared" si="134"/>
        <v>6.4699999999999989</v>
      </c>
      <c r="AV527">
        <f t="shared" si="135"/>
        <v>0.75</v>
      </c>
      <c r="AW527">
        <f t="shared" si="127"/>
        <v>0.67749999999999999</v>
      </c>
    </row>
    <row r="528" spans="1:49" x14ac:dyDescent="0.25">
      <c r="A528" t="s">
        <v>1572</v>
      </c>
      <c r="B528">
        <v>1.05</v>
      </c>
      <c r="C528">
        <v>17.39</v>
      </c>
      <c r="E528" t="s">
        <v>1572</v>
      </c>
      <c r="F528">
        <v>0.9</v>
      </c>
      <c r="G528">
        <v>83.68</v>
      </c>
      <c r="I528" t="str" cm="1">
        <f t="array" ref="I528:J528">_xlfn.TEXTSPLIT(A528," ")</f>
        <v>27.10.2023</v>
      </c>
      <c r="J528" t="str">
        <v>08:46:46</v>
      </c>
      <c r="K528">
        <f t="shared" si="136"/>
        <v>8.7500000000000142</v>
      </c>
      <c r="L528">
        <f t="shared" si="129"/>
        <v>3.0700000000000003</v>
      </c>
      <c r="M528">
        <f t="shared" si="130"/>
        <v>1.05</v>
      </c>
      <c r="N528">
        <f t="shared" si="124"/>
        <v>0.3274999999999999</v>
      </c>
      <c r="Q528" t="str" cm="1">
        <f t="array" ref="Q528:R528">_xlfn.TEXTSPLIT(E528," ")</f>
        <v>27.10.2023</v>
      </c>
      <c r="R528" t="str">
        <v>08:46:46</v>
      </c>
      <c r="S528">
        <f t="shared" si="137"/>
        <v>8.7500000000000142</v>
      </c>
      <c r="T528">
        <f t="shared" si="128"/>
        <v>5.0800000000000125</v>
      </c>
      <c r="U528">
        <f t="shared" si="131"/>
        <v>0.9</v>
      </c>
      <c r="V528">
        <f t="shared" si="125"/>
        <v>0.54999999999999993</v>
      </c>
      <c r="AC528" t="s">
        <v>1573</v>
      </c>
      <c r="AD528">
        <v>0.3</v>
      </c>
      <c r="AE528">
        <v>6.67</v>
      </c>
      <c r="AG528" t="str" cm="1">
        <f t="array" ref="AG528:AH528">_xlfn.TEXTSPLIT(AC529," ")</f>
        <v>26.10.2023</v>
      </c>
      <c r="AH528" t="str">
        <v>08:47:44</v>
      </c>
      <c r="AI528">
        <f t="shared" si="138"/>
        <v>8.7500000000000142</v>
      </c>
      <c r="AJ528">
        <f t="shared" si="132"/>
        <v>2.1399999999999997</v>
      </c>
      <c r="AK528">
        <f t="shared" si="133"/>
        <v>0.3</v>
      </c>
      <c r="AL528">
        <f t="shared" si="126"/>
        <v>0.33</v>
      </c>
      <c r="AN528" t="s">
        <v>1573</v>
      </c>
      <c r="AO528">
        <v>0.45</v>
      </c>
      <c r="AP528">
        <v>67.790000000000006</v>
      </c>
      <c r="AR528" t="str" cm="1">
        <f t="array" ref="AR528:AS528">_xlfn.TEXTSPLIT(AN528," ")</f>
        <v>26.10.2023</v>
      </c>
      <c r="AS528" t="str">
        <v>08:46:44</v>
      </c>
      <c r="AT528">
        <f t="shared" si="139"/>
        <v>8.7500000000000142</v>
      </c>
      <c r="AU528">
        <f t="shared" si="134"/>
        <v>6.480000000000004</v>
      </c>
      <c r="AV528">
        <f t="shared" si="135"/>
        <v>0.45</v>
      </c>
      <c r="AW528">
        <f t="shared" si="127"/>
        <v>0.66500000000000015</v>
      </c>
    </row>
    <row r="529" spans="1:49" x14ac:dyDescent="0.25">
      <c r="A529" t="s">
        <v>1574</v>
      </c>
      <c r="B529">
        <v>0</v>
      </c>
      <c r="C529">
        <v>17.399999999999999</v>
      </c>
      <c r="E529" t="s">
        <v>1574</v>
      </c>
      <c r="F529">
        <v>0.75</v>
      </c>
      <c r="G529">
        <v>83.69</v>
      </c>
      <c r="I529" t="str" cm="1">
        <f t="array" ref="I529:J529">_xlfn.TEXTSPLIT(A529," ")</f>
        <v>27.10.2023</v>
      </c>
      <c r="J529" t="str">
        <v>08:47:46</v>
      </c>
      <c r="K529">
        <f t="shared" si="136"/>
        <v>8.7666666666666817</v>
      </c>
      <c r="L529">
        <f t="shared" si="129"/>
        <v>3.0799999999999983</v>
      </c>
      <c r="M529">
        <f t="shared" si="130"/>
        <v>0</v>
      </c>
      <c r="N529">
        <f t="shared" si="124"/>
        <v>0.31999999999999995</v>
      </c>
      <c r="Q529" t="str" cm="1">
        <f t="array" ref="Q529:R529">_xlfn.TEXTSPLIT(E529," ")</f>
        <v>27.10.2023</v>
      </c>
      <c r="R529" t="str">
        <v>08:47:46</v>
      </c>
      <c r="S529">
        <f t="shared" si="137"/>
        <v>8.7666666666666817</v>
      </c>
      <c r="T529">
        <f t="shared" si="128"/>
        <v>5.0900000000000034</v>
      </c>
      <c r="U529">
        <f t="shared" si="131"/>
        <v>0.75</v>
      </c>
      <c r="V529">
        <f t="shared" si="125"/>
        <v>0.55249999999999999</v>
      </c>
      <c r="AC529" t="s">
        <v>1575</v>
      </c>
      <c r="AD529">
        <v>0.3</v>
      </c>
      <c r="AE529">
        <v>6.68</v>
      </c>
      <c r="AG529" t="str" cm="1">
        <f t="array" ref="AG529:AH529">_xlfn.TEXTSPLIT(AC530," ")</f>
        <v>26.10.2023</v>
      </c>
      <c r="AH529" t="str">
        <v>08:48:44</v>
      </c>
      <c r="AI529">
        <f t="shared" si="138"/>
        <v>8.7666666666666817</v>
      </c>
      <c r="AJ529">
        <f t="shared" si="132"/>
        <v>2.1499999999999995</v>
      </c>
      <c r="AK529">
        <f t="shared" si="133"/>
        <v>0.3</v>
      </c>
      <c r="AL529">
        <f t="shared" si="126"/>
        <v>0.32250000000000001</v>
      </c>
      <c r="AN529" t="s">
        <v>1575</v>
      </c>
      <c r="AO529">
        <v>0.6</v>
      </c>
      <c r="AP529">
        <v>67.8</v>
      </c>
      <c r="AR529" t="str" cm="1">
        <f t="array" ref="AR529:AS529">_xlfn.TEXTSPLIT(AN529," ")</f>
        <v>26.10.2023</v>
      </c>
      <c r="AS529" t="str">
        <v>08:47:44</v>
      </c>
      <c r="AT529">
        <f t="shared" si="139"/>
        <v>8.7666666666666817</v>
      </c>
      <c r="AU529">
        <f t="shared" si="134"/>
        <v>6.4899999999999949</v>
      </c>
      <c r="AV529">
        <f t="shared" si="135"/>
        <v>0.6</v>
      </c>
      <c r="AW529">
        <f t="shared" si="127"/>
        <v>0.65750000000000008</v>
      </c>
    </row>
    <row r="530" spans="1:49" x14ac:dyDescent="0.25">
      <c r="A530" t="s">
        <v>1576</v>
      </c>
      <c r="B530">
        <v>0.9</v>
      </c>
      <c r="C530">
        <v>17.41</v>
      </c>
      <c r="E530" t="s">
        <v>1576</v>
      </c>
      <c r="F530">
        <v>0.6</v>
      </c>
      <c r="G530">
        <v>83.7</v>
      </c>
      <c r="I530" t="str" cm="1">
        <f t="array" ref="I530:J530">_xlfn.TEXTSPLIT(A530," ")</f>
        <v>27.10.2023</v>
      </c>
      <c r="J530" t="str">
        <v>08:48:46</v>
      </c>
      <c r="K530">
        <f t="shared" si="136"/>
        <v>8.7833333333333492</v>
      </c>
      <c r="L530">
        <f t="shared" si="129"/>
        <v>3.09</v>
      </c>
      <c r="M530">
        <f t="shared" si="130"/>
        <v>0.9</v>
      </c>
      <c r="N530">
        <f t="shared" si="124"/>
        <v>0.32999999999999996</v>
      </c>
      <c r="Q530" t="str" cm="1">
        <f t="array" ref="Q530:R530">_xlfn.TEXTSPLIT(E530," ")</f>
        <v>27.10.2023</v>
      </c>
      <c r="R530" t="str">
        <v>08:48:46</v>
      </c>
      <c r="S530">
        <f t="shared" si="137"/>
        <v>8.7833333333333492</v>
      </c>
      <c r="T530">
        <f t="shared" si="128"/>
        <v>5.1000000000000085</v>
      </c>
      <c r="U530">
        <f t="shared" si="131"/>
        <v>0.6</v>
      </c>
      <c r="V530">
        <f t="shared" si="125"/>
        <v>0.55249999999999999</v>
      </c>
      <c r="AC530" t="s">
        <v>1577</v>
      </c>
      <c r="AD530">
        <v>0.15</v>
      </c>
      <c r="AE530">
        <v>6.68</v>
      </c>
      <c r="AG530" t="str" cm="1">
        <f t="array" ref="AG530:AH530">_xlfn.TEXTSPLIT(AC531," ")</f>
        <v>26.10.2023</v>
      </c>
      <c r="AH530" t="str">
        <v>08:49:45</v>
      </c>
      <c r="AI530">
        <f t="shared" si="138"/>
        <v>8.7833333333333492</v>
      </c>
      <c r="AJ530">
        <f t="shared" si="132"/>
        <v>2.1499999999999995</v>
      </c>
      <c r="AK530">
        <f t="shared" si="133"/>
        <v>0.15</v>
      </c>
      <c r="AL530">
        <f t="shared" si="126"/>
        <v>0.32</v>
      </c>
      <c r="AN530" t="s">
        <v>1577</v>
      </c>
      <c r="AO530">
        <v>0.45</v>
      </c>
      <c r="AP530">
        <v>67.81</v>
      </c>
      <c r="AR530" t="str" cm="1">
        <f t="array" ref="AR530:AS530">_xlfn.TEXTSPLIT(AN530," ")</f>
        <v>26.10.2023</v>
      </c>
      <c r="AS530" t="str">
        <v>08:48:44</v>
      </c>
      <c r="AT530">
        <f t="shared" si="139"/>
        <v>8.7833333333333492</v>
      </c>
      <c r="AU530">
        <f t="shared" si="134"/>
        <v>6.5</v>
      </c>
      <c r="AV530">
        <f t="shared" si="135"/>
        <v>0.45</v>
      </c>
      <c r="AW530">
        <f t="shared" si="127"/>
        <v>0.65250000000000019</v>
      </c>
    </row>
    <row r="531" spans="1:49" x14ac:dyDescent="0.25">
      <c r="A531" t="s">
        <v>1578</v>
      </c>
      <c r="B531">
        <v>0.6</v>
      </c>
      <c r="C531">
        <v>17.41</v>
      </c>
      <c r="E531" t="s">
        <v>1578</v>
      </c>
      <c r="F531">
        <v>0.45</v>
      </c>
      <c r="G531">
        <v>83.71</v>
      </c>
      <c r="I531" t="str" cm="1">
        <f t="array" ref="I531:J531">_xlfn.TEXTSPLIT(A531," ")</f>
        <v>27.10.2023</v>
      </c>
      <c r="J531" t="str">
        <v>08:49:46</v>
      </c>
      <c r="K531">
        <f t="shared" si="136"/>
        <v>8.8000000000000167</v>
      </c>
      <c r="L531">
        <f t="shared" si="129"/>
        <v>3.09</v>
      </c>
      <c r="M531">
        <f t="shared" si="130"/>
        <v>0.6</v>
      </c>
      <c r="N531">
        <f t="shared" si="124"/>
        <v>0.33499999999999996</v>
      </c>
      <c r="Q531" t="str" cm="1">
        <f t="array" ref="Q531:R531">_xlfn.TEXTSPLIT(E531," ")</f>
        <v>27.10.2023</v>
      </c>
      <c r="R531" t="str">
        <v>08:49:46</v>
      </c>
      <c r="S531">
        <f t="shared" si="137"/>
        <v>8.8000000000000167</v>
      </c>
      <c r="T531">
        <f t="shared" si="128"/>
        <v>5.1099999999999994</v>
      </c>
      <c r="U531">
        <f t="shared" si="131"/>
        <v>0.45</v>
      </c>
      <c r="V531">
        <f t="shared" si="125"/>
        <v>0.55000000000000004</v>
      </c>
      <c r="AC531" t="s">
        <v>1579</v>
      </c>
      <c r="AD531">
        <v>0.15</v>
      </c>
      <c r="AE531">
        <v>6.69</v>
      </c>
      <c r="AG531" t="str" cm="1">
        <f t="array" ref="AG531:AH531">_xlfn.TEXTSPLIT(AC532," ")</f>
        <v>26.10.2023</v>
      </c>
      <c r="AH531" t="str">
        <v>08:50:45</v>
      </c>
      <c r="AI531">
        <f t="shared" si="138"/>
        <v>8.8000000000000167</v>
      </c>
      <c r="AJ531">
        <f t="shared" si="132"/>
        <v>2.16</v>
      </c>
      <c r="AK531">
        <f t="shared" si="133"/>
        <v>0.15</v>
      </c>
      <c r="AL531">
        <f t="shared" si="126"/>
        <v>0.32249999999999995</v>
      </c>
      <c r="AN531" t="s">
        <v>1579</v>
      </c>
      <c r="AO531">
        <v>0.3</v>
      </c>
      <c r="AP531">
        <v>67.81</v>
      </c>
      <c r="AR531" t="str" cm="1">
        <f t="array" ref="AR531:AS531">_xlfn.TEXTSPLIT(AN531," ")</f>
        <v>26.10.2023</v>
      </c>
      <c r="AS531" t="str">
        <v>08:49:45</v>
      </c>
      <c r="AT531">
        <f t="shared" si="139"/>
        <v>8.8000000000000167</v>
      </c>
      <c r="AU531">
        <f t="shared" si="134"/>
        <v>6.5</v>
      </c>
      <c r="AV531">
        <f t="shared" si="135"/>
        <v>0.3</v>
      </c>
      <c r="AW531">
        <f t="shared" si="127"/>
        <v>0.64500000000000002</v>
      </c>
    </row>
    <row r="532" spans="1:49" x14ac:dyDescent="0.25">
      <c r="A532" t="s">
        <v>1580</v>
      </c>
      <c r="B532">
        <v>0.3</v>
      </c>
      <c r="C532">
        <v>17.420000000000002</v>
      </c>
      <c r="E532" t="s">
        <v>1580</v>
      </c>
      <c r="F532">
        <v>0.45</v>
      </c>
      <c r="G532">
        <v>83.72</v>
      </c>
      <c r="I532" t="str" cm="1">
        <f t="array" ref="I532:J532">_xlfn.TEXTSPLIT(A532," ")</f>
        <v>27.10.2023</v>
      </c>
      <c r="J532" t="str">
        <v>08:50:46</v>
      </c>
      <c r="K532">
        <f t="shared" si="136"/>
        <v>8.8166666666666842</v>
      </c>
      <c r="L532">
        <f t="shared" si="129"/>
        <v>3.1000000000000014</v>
      </c>
      <c r="M532">
        <f t="shared" si="130"/>
        <v>0.3</v>
      </c>
      <c r="N532">
        <f t="shared" si="124"/>
        <v>0.33750000000000002</v>
      </c>
      <c r="Q532" t="str" cm="1">
        <f t="array" ref="Q532:R532">_xlfn.TEXTSPLIT(E532," ")</f>
        <v>27.10.2023</v>
      </c>
      <c r="R532" t="str">
        <v>08:50:46</v>
      </c>
      <c r="S532">
        <f t="shared" si="137"/>
        <v>8.8166666666666842</v>
      </c>
      <c r="T532">
        <f t="shared" si="128"/>
        <v>5.1200000000000045</v>
      </c>
      <c r="U532">
        <f t="shared" si="131"/>
        <v>0.45</v>
      </c>
      <c r="V532">
        <f t="shared" si="125"/>
        <v>0.54250000000000009</v>
      </c>
      <c r="AC532" t="s">
        <v>1581</v>
      </c>
      <c r="AD532">
        <v>0.45</v>
      </c>
      <c r="AE532">
        <v>6.69</v>
      </c>
      <c r="AG532" t="str" cm="1">
        <f t="array" ref="AG532:AH532">_xlfn.TEXTSPLIT(AC533," ")</f>
        <v>26.10.2023</v>
      </c>
      <c r="AH532" t="str">
        <v>08:51:45</v>
      </c>
      <c r="AI532">
        <f t="shared" si="138"/>
        <v>8.8166666666666842</v>
      </c>
      <c r="AJ532">
        <f t="shared" si="132"/>
        <v>2.16</v>
      </c>
      <c r="AK532">
        <f t="shared" si="133"/>
        <v>0.45</v>
      </c>
      <c r="AL532">
        <f t="shared" si="126"/>
        <v>0.32999999999999996</v>
      </c>
      <c r="AN532" t="s">
        <v>1581</v>
      </c>
      <c r="AO532">
        <v>0.6</v>
      </c>
      <c r="AP532">
        <v>67.819999999999993</v>
      </c>
      <c r="AR532" t="str" cm="1">
        <f t="array" ref="AR532:AS532">_xlfn.TEXTSPLIT(AN532," ")</f>
        <v>26.10.2023</v>
      </c>
      <c r="AS532" t="str">
        <v>08:50:45</v>
      </c>
      <c r="AT532">
        <f t="shared" si="139"/>
        <v>8.8166666666666842</v>
      </c>
      <c r="AU532">
        <f t="shared" si="134"/>
        <v>6.5099999999999909</v>
      </c>
      <c r="AV532">
        <f t="shared" si="135"/>
        <v>0.6</v>
      </c>
      <c r="AW532">
        <f t="shared" si="127"/>
        <v>0.64499999999999991</v>
      </c>
    </row>
    <row r="533" spans="1:49" x14ac:dyDescent="0.25">
      <c r="A533" t="s">
        <v>1582</v>
      </c>
      <c r="B533">
        <v>0.3</v>
      </c>
      <c r="C533">
        <v>17.420000000000002</v>
      </c>
      <c r="E533" t="s">
        <v>1582</v>
      </c>
      <c r="F533">
        <v>0.45</v>
      </c>
      <c r="G533">
        <v>83.72</v>
      </c>
      <c r="I533" t="str" cm="1">
        <f t="array" ref="I533:J533">_xlfn.TEXTSPLIT(A533," ")</f>
        <v>27.10.2023</v>
      </c>
      <c r="J533" t="str">
        <v>08:51:46</v>
      </c>
      <c r="K533">
        <f t="shared" si="136"/>
        <v>8.8333333333333517</v>
      </c>
      <c r="L533">
        <f t="shared" si="129"/>
        <v>3.1000000000000014</v>
      </c>
      <c r="M533">
        <f t="shared" si="130"/>
        <v>0.3</v>
      </c>
      <c r="N533">
        <f t="shared" si="124"/>
        <v>0.34250000000000003</v>
      </c>
      <c r="Q533" t="str" cm="1">
        <f t="array" ref="Q533:R533">_xlfn.TEXTSPLIT(E533," ")</f>
        <v>27.10.2023</v>
      </c>
      <c r="R533" t="str">
        <v>08:51:46</v>
      </c>
      <c r="S533">
        <f t="shared" si="137"/>
        <v>8.8333333333333517</v>
      </c>
      <c r="T533">
        <f t="shared" si="128"/>
        <v>5.1200000000000045</v>
      </c>
      <c r="U533">
        <f t="shared" si="131"/>
        <v>0.45</v>
      </c>
      <c r="V533">
        <f t="shared" si="125"/>
        <v>0.53500000000000003</v>
      </c>
      <c r="AC533" t="s">
        <v>1583</v>
      </c>
      <c r="AD533">
        <v>0.3</v>
      </c>
      <c r="AE533">
        <v>6.7</v>
      </c>
      <c r="AG533" t="str" cm="1">
        <f t="array" ref="AG533:AH533">_xlfn.TEXTSPLIT(AC534," ")</f>
        <v>26.10.2023</v>
      </c>
      <c r="AH533" t="str">
        <v>08:52:45</v>
      </c>
      <c r="AI533">
        <f t="shared" si="138"/>
        <v>8.8333333333333517</v>
      </c>
      <c r="AJ533">
        <f t="shared" si="132"/>
        <v>2.17</v>
      </c>
      <c r="AK533">
        <f t="shared" si="133"/>
        <v>0.3</v>
      </c>
      <c r="AL533">
        <f t="shared" si="126"/>
        <v>0.33499999999999996</v>
      </c>
      <c r="AN533" t="s">
        <v>1583</v>
      </c>
      <c r="AO533">
        <v>0.6</v>
      </c>
      <c r="AP533">
        <v>67.83</v>
      </c>
      <c r="AR533" t="str" cm="1">
        <f t="array" ref="AR533:AS533">_xlfn.TEXTSPLIT(AN533," ")</f>
        <v>26.10.2023</v>
      </c>
      <c r="AS533" t="str">
        <v>08:51:45</v>
      </c>
      <c r="AT533">
        <f t="shared" si="139"/>
        <v>8.8333333333333517</v>
      </c>
      <c r="AU533">
        <f t="shared" si="134"/>
        <v>6.519999999999996</v>
      </c>
      <c r="AV533">
        <f t="shared" si="135"/>
        <v>0.6</v>
      </c>
      <c r="AW533">
        <f t="shared" si="127"/>
        <v>0.65</v>
      </c>
    </row>
    <row r="534" spans="1:49" x14ac:dyDescent="0.25">
      <c r="A534" t="s">
        <v>1584</v>
      </c>
      <c r="B534">
        <v>0.45</v>
      </c>
      <c r="C534">
        <v>17.43</v>
      </c>
      <c r="E534" t="s">
        <v>1584</v>
      </c>
      <c r="F534">
        <v>0</v>
      </c>
      <c r="G534">
        <v>83.72</v>
      </c>
      <c r="I534" t="str" cm="1">
        <f t="array" ref="I534:J534">_xlfn.TEXTSPLIT(A534," ")</f>
        <v>27.10.2023</v>
      </c>
      <c r="J534" t="str">
        <v>08:52:47</v>
      </c>
      <c r="K534">
        <f t="shared" si="136"/>
        <v>8.8500000000000192</v>
      </c>
      <c r="L534">
        <f t="shared" si="129"/>
        <v>3.1099999999999994</v>
      </c>
      <c r="M534">
        <f t="shared" si="130"/>
        <v>0.45</v>
      </c>
      <c r="N534">
        <f t="shared" si="124"/>
        <v>0.34750000000000003</v>
      </c>
      <c r="Q534" t="str" cm="1">
        <f t="array" ref="Q534:R534">_xlfn.TEXTSPLIT(E534," ")</f>
        <v>27.10.2023</v>
      </c>
      <c r="R534" t="str">
        <v>08:52:47</v>
      </c>
      <c r="S534">
        <f t="shared" si="137"/>
        <v>8.8500000000000192</v>
      </c>
      <c r="T534">
        <f t="shared" si="128"/>
        <v>5.1200000000000045</v>
      </c>
      <c r="U534">
        <f t="shared" si="131"/>
        <v>0</v>
      </c>
      <c r="V534">
        <f t="shared" si="125"/>
        <v>0.53500000000000003</v>
      </c>
      <c r="AC534" t="s">
        <v>1585</v>
      </c>
      <c r="AD534">
        <v>0.45</v>
      </c>
      <c r="AE534">
        <v>6.7</v>
      </c>
      <c r="AG534" t="str" cm="1">
        <f t="array" ref="AG534:AH534">_xlfn.TEXTSPLIT(AC535," ")</f>
        <v>26.10.2023</v>
      </c>
      <c r="AH534" t="str">
        <v>08:53:45</v>
      </c>
      <c r="AI534">
        <f t="shared" si="138"/>
        <v>8.8500000000000192</v>
      </c>
      <c r="AJ534">
        <f t="shared" si="132"/>
        <v>2.17</v>
      </c>
      <c r="AK534">
        <f t="shared" si="133"/>
        <v>0.45</v>
      </c>
      <c r="AL534">
        <f t="shared" si="126"/>
        <v>0.33999999999999997</v>
      </c>
      <c r="AN534" t="s">
        <v>1585</v>
      </c>
      <c r="AO534">
        <v>0.3</v>
      </c>
      <c r="AP534">
        <v>67.83</v>
      </c>
      <c r="AR534" t="str" cm="1">
        <f t="array" ref="AR534:AS534">_xlfn.TEXTSPLIT(AN534," ")</f>
        <v>26.10.2023</v>
      </c>
      <c r="AS534" t="str">
        <v>08:52:45</v>
      </c>
      <c r="AT534">
        <f t="shared" si="139"/>
        <v>8.8500000000000192</v>
      </c>
      <c r="AU534">
        <f t="shared" si="134"/>
        <v>6.519999999999996</v>
      </c>
      <c r="AV534">
        <f t="shared" si="135"/>
        <v>0.3</v>
      </c>
      <c r="AW534">
        <f t="shared" si="127"/>
        <v>0.65249999999999997</v>
      </c>
    </row>
    <row r="535" spans="1:49" x14ac:dyDescent="0.25">
      <c r="A535" t="s">
        <v>1586</v>
      </c>
      <c r="B535">
        <v>0</v>
      </c>
      <c r="C535">
        <v>17.43</v>
      </c>
      <c r="E535" t="s">
        <v>1586</v>
      </c>
      <c r="F535">
        <v>0</v>
      </c>
      <c r="G535">
        <v>83.72</v>
      </c>
      <c r="I535" t="str" cm="1">
        <f t="array" ref="I535:J535">_xlfn.TEXTSPLIT(A535," ")</f>
        <v>27.10.2023</v>
      </c>
      <c r="J535" t="str">
        <v>08:53:47</v>
      </c>
      <c r="K535">
        <f t="shared" si="136"/>
        <v>8.8666666666666867</v>
      </c>
      <c r="L535">
        <f t="shared" si="129"/>
        <v>3.1099999999999994</v>
      </c>
      <c r="M535">
        <f t="shared" si="130"/>
        <v>0</v>
      </c>
      <c r="N535">
        <f t="shared" si="124"/>
        <v>0.34750000000000003</v>
      </c>
      <c r="Q535" t="str" cm="1">
        <f t="array" ref="Q535:R535">_xlfn.TEXTSPLIT(E535," ")</f>
        <v>27.10.2023</v>
      </c>
      <c r="R535" t="str">
        <v>08:53:47</v>
      </c>
      <c r="S535">
        <f t="shared" si="137"/>
        <v>8.8666666666666867</v>
      </c>
      <c r="T535">
        <f t="shared" si="128"/>
        <v>5.1200000000000045</v>
      </c>
      <c r="U535">
        <f t="shared" si="131"/>
        <v>0</v>
      </c>
      <c r="V535">
        <f t="shared" si="125"/>
        <v>0.53500000000000003</v>
      </c>
      <c r="AC535" t="s">
        <v>1587</v>
      </c>
      <c r="AD535">
        <v>0.15</v>
      </c>
      <c r="AE535">
        <v>6.7</v>
      </c>
      <c r="AG535" t="str" cm="1">
        <f t="array" ref="AG535:AH535">_xlfn.TEXTSPLIT(AC536," ")</f>
        <v>26.10.2023</v>
      </c>
      <c r="AH535" t="str">
        <v>08:54:45</v>
      </c>
      <c r="AI535">
        <f t="shared" si="138"/>
        <v>8.8666666666666867</v>
      </c>
      <c r="AJ535">
        <f t="shared" si="132"/>
        <v>2.17</v>
      </c>
      <c r="AK535">
        <f t="shared" si="133"/>
        <v>0.15</v>
      </c>
      <c r="AL535">
        <f t="shared" si="126"/>
        <v>0.32999999999999996</v>
      </c>
      <c r="AN535" t="s">
        <v>1587</v>
      </c>
      <c r="AO535">
        <v>0</v>
      </c>
      <c r="AP535">
        <v>67.83</v>
      </c>
      <c r="AR535" t="str" cm="1">
        <f t="array" ref="AR535:AS535">_xlfn.TEXTSPLIT(AN535," ")</f>
        <v>26.10.2023</v>
      </c>
      <c r="AS535" t="str">
        <v>08:53:45</v>
      </c>
      <c r="AT535">
        <f t="shared" si="139"/>
        <v>8.8666666666666867</v>
      </c>
      <c r="AU535">
        <f t="shared" si="134"/>
        <v>6.519999999999996</v>
      </c>
      <c r="AV535">
        <f t="shared" si="135"/>
        <v>0</v>
      </c>
      <c r="AW535">
        <f t="shared" si="127"/>
        <v>0.65249999999999997</v>
      </c>
    </row>
    <row r="536" spans="1:49" x14ac:dyDescent="0.25">
      <c r="A536" t="s">
        <v>1588</v>
      </c>
      <c r="B536">
        <v>0</v>
      </c>
      <c r="C536">
        <v>17.43</v>
      </c>
      <c r="E536" t="s">
        <v>1588</v>
      </c>
      <c r="F536">
        <v>0</v>
      </c>
      <c r="G536">
        <v>83.72</v>
      </c>
      <c r="I536" t="str" cm="1">
        <f t="array" ref="I536:J536">_xlfn.TEXTSPLIT(A536," ")</f>
        <v>27.10.2023</v>
      </c>
      <c r="J536" t="str">
        <v>08:54:47</v>
      </c>
      <c r="K536">
        <f t="shared" si="136"/>
        <v>8.8833333333333542</v>
      </c>
      <c r="L536">
        <f t="shared" si="129"/>
        <v>3.1099999999999994</v>
      </c>
      <c r="M536">
        <f t="shared" si="130"/>
        <v>0</v>
      </c>
      <c r="N536">
        <f t="shared" si="124"/>
        <v>0.34750000000000003</v>
      </c>
      <c r="Q536" t="str" cm="1">
        <f t="array" ref="Q536:R536">_xlfn.TEXTSPLIT(E536," ")</f>
        <v>27.10.2023</v>
      </c>
      <c r="R536" t="str">
        <v>08:54:47</v>
      </c>
      <c r="S536">
        <f t="shared" si="137"/>
        <v>8.8833333333333542</v>
      </c>
      <c r="T536">
        <f t="shared" si="128"/>
        <v>5.1200000000000045</v>
      </c>
      <c r="U536">
        <f t="shared" si="131"/>
        <v>0</v>
      </c>
      <c r="V536">
        <f t="shared" si="125"/>
        <v>0.53500000000000003</v>
      </c>
      <c r="AC536" t="s">
        <v>1589</v>
      </c>
      <c r="AD536">
        <v>0</v>
      </c>
      <c r="AE536">
        <v>6.7</v>
      </c>
      <c r="AG536" t="str" cm="1">
        <f t="array" ref="AG536:AH536">_xlfn.TEXTSPLIT(AC537," ")</f>
        <v>26.10.2023</v>
      </c>
      <c r="AH536" t="str">
        <v>08:55:46</v>
      </c>
      <c r="AI536">
        <f t="shared" si="138"/>
        <v>8.8833333333333542</v>
      </c>
      <c r="AJ536">
        <f t="shared" si="132"/>
        <v>2.17</v>
      </c>
      <c r="AK536">
        <f t="shared" si="133"/>
        <v>0</v>
      </c>
      <c r="AL536">
        <f t="shared" si="126"/>
        <v>0.32999999999999996</v>
      </c>
      <c r="AN536" t="s">
        <v>1589</v>
      </c>
      <c r="AO536">
        <v>0</v>
      </c>
      <c r="AP536">
        <v>67.83</v>
      </c>
      <c r="AR536" t="str" cm="1">
        <f t="array" ref="AR536:AS536">_xlfn.TEXTSPLIT(AN536," ")</f>
        <v>26.10.2023</v>
      </c>
      <c r="AS536" t="str">
        <v>08:54:45</v>
      </c>
      <c r="AT536">
        <f t="shared" si="139"/>
        <v>8.8833333333333542</v>
      </c>
      <c r="AU536">
        <f t="shared" si="134"/>
        <v>6.519999999999996</v>
      </c>
      <c r="AV536">
        <f t="shared" si="135"/>
        <v>0</v>
      </c>
      <c r="AW536">
        <f t="shared" si="127"/>
        <v>0.65249999999999997</v>
      </c>
    </row>
    <row r="537" spans="1:49" x14ac:dyDescent="0.25">
      <c r="A537" t="s">
        <v>1590</v>
      </c>
      <c r="B537">
        <v>0</v>
      </c>
      <c r="C537">
        <v>17.43</v>
      </c>
      <c r="E537" t="s">
        <v>1590</v>
      </c>
      <c r="F537">
        <v>0.15</v>
      </c>
      <c r="G537">
        <v>83.72</v>
      </c>
      <c r="I537" t="str" cm="1">
        <f t="array" ref="I537:J537">_xlfn.TEXTSPLIT(A537," ")</f>
        <v>27.10.2023</v>
      </c>
      <c r="J537" t="str">
        <v>08:55:47</v>
      </c>
      <c r="K537">
        <f t="shared" si="136"/>
        <v>8.9000000000000217</v>
      </c>
      <c r="L537">
        <f t="shared" si="129"/>
        <v>3.1099999999999994</v>
      </c>
      <c r="M537">
        <f t="shared" si="130"/>
        <v>0</v>
      </c>
      <c r="N537">
        <f t="shared" si="124"/>
        <v>0.34750000000000003</v>
      </c>
      <c r="Q537" t="str" cm="1">
        <f t="array" ref="Q537:R537">_xlfn.TEXTSPLIT(E537," ")</f>
        <v>27.10.2023</v>
      </c>
      <c r="R537" t="str">
        <v>08:55:47</v>
      </c>
      <c r="S537">
        <f t="shared" si="137"/>
        <v>8.9000000000000217</v>
      </c>
      <c r="T537">
        <f t="shared" si="128"/>
        <v>5.1200000000000045</v>
      </c>
      <c r="U537">
        <f t="shared" si="131"/>
        <v>0.15</v>
      </c>
      <c r="V537">
        <f t="shared" si="125"/>
        <v>0.53749999999999998</v>
      </c>
      <c r="AC537" t="s">
        <v>1591</v>
      </c>
      <c r="AD537">
        <v>0</v>
      </c>
      <c r="AE537">
        <v>6.7</v>
      </c>
      <c r="AG537" t="str" cm="1">
        <f t="array" ref="AG537:AH537">_xlfn.TEXTSPLIT(AC538," ")</f>
        <v>26.10.2023</v>
      </c>
      <c r="AH537" t="str">
        <v>08:56:46</v>
      </c>
      <c r="AI537">
        <f t="shared" si="138"/>
        <v>8.9000000000000217</v>
      </c>
      <c r="AJ537">
        <f t="shared" si="132"/>
        <v>2.17</v>
      </c>
      <c r="AK537">
        <f t="shared" si="133"/>
        <v>0</v>
      </c>
      <c r="AL537">
        <f t="shared" si="126"/>
        <v>0.32999999999999996</v>
      </c>
      <c r="AN537" t="s">
        <v>1591</v>
      </c>
      <c r="AO537">
        <v>0.15</v>
      </c>
      <c r="AP537">
        <v>67.83</v>
      </c>
      <c r="AR537" t="str" cm="1">
        <f t="array" ref="AR537:AS537">_xlfn.TEXTSPLIT(AN537," ")</f>
        <v>26.10.2023</v>
      </c>
      <c r="AS537" t="str">
        <v>08:55:46</v>
      </c>
      <c r="AT537">
        <f t="shared" si="139"/>
        <v>8.9000000000000217</v>
      </c>
      <c r="AU537">
        <f t="shared" si="134"/>
        <v>6.519999999999996</v>
      </c>
      <c r="AV537">
        <f t="shared" si="135"/>
        <v>0.15</v>
      </c>
      <c r="AW537">
        <f t="shared" si="127"/>
        <v>0.65499999999999992</v>
      </c>
    </row>
    <row r="538" spans="1:49" x14ac:dyDescent="0.25">
      <c r="A538" t="s">
        <v>1592</v>
      </c>
      <c r="B538">
        <v>0</v>
      </c>
      <c r="C538">
        <v>17.43</v>
      </c>
      <c r="E538" t="s">
        <v>1592</v>
      </c>
      <c r="F538">
        <v>0</v>
      </c>
      <c r="G538">
        <v>83.72</v>
      </c>
      <c r="I538" t="str" cm="1">
        <f t="array" ref="I538:J538">_xlfn.TEXTSPLIT(A538," ")</f>
        <v>27.10.2023</v>
      </c>
      <c r="J538" t="str">
        <v>08:56:47</v>
      </c>
      <c r="K538">
        <f t="shared" si="136"/>
        <v>8.9166666666666892</v>
      </c>
      <c r="L538">
        <f t="shared" si="129"/>
        <v>3.1099999999999994</v>
      </c>
      <c r="M538">
        <f t="shared" si="130"/>
        <v>0</v>
      </c>
      <c r="N538">
        <f t="shared" si="124"/>
        <v>0.34750000000000003</v>
      </c>
      <c r="Q538" t="str" cm="1">
        <f t="array" ref="Q538:R538">_xlfn.TEXTSPLIT(E538," ")</f>
        <v>27.10.2023</v>
      </c>
      <c r="R538" t="str">
        <v>08:56:47</v>
      </c>
      <c r="S538">
        <f t="shared" si="137"/>
        <v>8.9166666666666892</v>
      </c>
      <c r="T538">
        <f t="shared" si="128"/>
        <v>5.1200000000000045</v>
      </c>
      <c r="U538">
        <f t="shared" si="131"/>
        <v>0</v>
      </c>
      <c r="V538">
        <f t="shared" si="125"/>
        <v>0.53749999999999998</v>
      </c>
      <c r="AC538" t="s">
        <v>1593</v>
      </c>
      <c r="AD538">
        <v>0</v>
      </c>
      <c r="AE538">
        <v>6.7</v>
      </c>
      <c r="AG538" t="str" cm="1">
        <f t="array" ref="AG538:AH538">_xlfn.TEXTSPLIT(AC539," ")</f>
        <v>26.10.2023</v>
      </c>
      <c r="AH538" t="str">
        <v>08:57:46</v>
      </c>
      <c r="AI538">
        <f t="shared" si="138"/>
        <v>8.9166666666666892</v>
      </c>
      <c r="AJ538">
        <f t="shared" si="132"/>
        <v>2.17</v>
      </c>
      <c r="AK538">
        <f t="shared" si="133"/>
        <v>0</v>
      </c>
      <c r="AL538">
        <f t="shared" si="126"/>
        <v>0.32999999999999996</v>
      </c>
      <c r="AN538" t="s">
        <v>1593</v>
      </c>
      <c r="AO538">
        <v>0</v>
      </c>
      <c r="AP538">
        <v>67.84</v>
      </c>
      <c r="AR538" t="str" cm="1">
        <f t="array" ref="AR538:AS538">_xlfn.TEXTSPLIT(AN538," ")</f>
        <v>26.10.2023</v>
      </c>
      <c r="AS538" t="str">
        <v>08:56:46</v>
      </c>
      <c r="AT538">
        <f t="shared" si="139"/>
        <v>8.9166666666666892</v>
      </c>
      <c r="AU538">
        <f t="shared" si="134"/>
        <v>6.5300000000000011</v>
      </c>
      <c r="AV538">
        <f t="shared" si="135"/>
        <v>0</v>
      </c>
      <c r="AW538">
        <f t="shared" si="127"/>
        <v>0.65249999999999997</v>
      </c>
    </row>
    <row r="539" spans="1:49" x14ac:dyDescent="0.25">
      <c r="A539" t="s">
        <v>1594</v>
      </c>
      <c r="B539">
        <v>0</v>
      </c>
      <c r="C539">
        <v>17.43</v>
      </c>
      <c r="E539" t="s">
        <v>1594</v>
      </c>
      <c r="F539">
        <v>0</v>
      </c>
      <c r="G539">
        <v>83.72</v>
      </c>
      <c r="I539" t="str" cm="1">
        <f t="array" ref="I539:J539">_xlfn.TEXTSPLIT(A539," ")</f>
        <v>27.10.2023</v>
      </c>
      <c r="J539" t="str">
        <v>08:57:47</v>
      </c>
      <c r="K539">
        <f t="shared" si="136"/>
        <v>8.9333333333333567</v>
      </c>
      <c r="L539">
        <f t="shared" si="129"/>
        <v>3.1099999999999994</v>
      </c>
      <c r="M539">
        <f t="shared" si="130"/>
        <v>0</v>
      </c>
      <c r="N539">
        <f t="shared" si="124"/>
        <v>0.34750000000000003</v>
      </c>
      <c r="Q539" t="str" cm="1">
        <f t="array" ref="Q539:R539">_xlfn.TEXTSPLIT(E539," ")</f>
        <v>27.10.2023</v>
      </c>
      <c r="R539" t="str">
        <v>08:57:47</v>
      </c>
      <c r="S539">
        <f t="shared" si="137"/>
        <v>8.9333333333333567</v>
      </c>
      <c r="T539">
        <f t="shared" si="128"/>
        <v>5.1200000000000045</v>
      </c>
      <c r="U539">
        <f t="shared" si="131"/>
        <v>0</v>
      </c>
      <c r="V539">
        <f t="shared" si="125"/>
        <v>0.53749999999999998</v>
      </c>
      <c r="AC539" t="s">
        <v>1595</v>
      </c>
      <c r="AD539">
        <v>0</v>
      </c>
      <c r="AE539">
        <v>6.7</v>
      </c>
      <c r="AG539" t="str" cm="1">
        <f t="array" ref="AG539:AH539">_xlfn.TEXTSPLIT(AC540," ")</f>
        <v>26.10.2023</v>
      </c>
      <c r="AH539" t="str">
        <v>08:58:46</v>
      </c>
      <c r="AI539">
        <f t="shared" si="138"/>
        <v>8.9333333333333567</v>
      </c>
      <c r="AJ539">
        <f t="shared" si="132"/>
        <v>2.17</v>
      </c>
      <c r="AK539">
        <f t="shared" si="133"/>
        <v>0</v>
      </c>
      <c r="AL539">
        <f t="shared" si="126"/>
        <v>0.32999999999999996</v>
      </c>
      <c r="AN539" t="s">
        <v>1595</v>
      </c>
      <c r="AO539">
        <v>0.3</v>
      </c>
      <c r="AP539">
        <v>67.84</v>
      </c>
      <c r="AR539" t="str" cm="1">
        <f t="array" ref="AR539:AS539">_xlfn.TEXTSPLIT(AN539," ")</f>
        <v>26.10.2023</v>
      </c>
      <c r="AS539" t="str">
        <v>08:57:46</v>
      </c>
      <c r="AT539">
        <f t="shared" si="139"/>
        <v>8.9333333333333567</v>
      </c>
      <c r="AU539">
        <f t="shared" si="134"/>
        <v>6.5300000000000011</v>
      </c>
      <c r="AV539">
        <f t="shared" si="135"/>
        <v>0.3</v>
      </c>
      <c r="AW539">
        <f t="shared" si="127"/>
        <v>0.6549999999999998</v>
      </c>
    </row>
    <row r="540" spans="1:49" x14ac:dyDescent="0.25">
      <c r="A540" t="s">
        <v>1596</v>
      </c>
      <c r="B540">
        <v>0</v>
      </c>
      <c r="C540">
        <v>17.43</v>
      </c>
      <c r="E540" t="s">
        <v>1596</v>
      </c>
      <c r="F540">
        <v>0</v>
      </c>
      <c r="G540">
        <v>83.72</v>
      </c>
      <c r="I540" t="str" cm="1">
        <f t="array" ref="I540:J540">_xlfn.TEXTSPLIT(A540," ")</f>
        <v>27.10.2023</v>
      </c>
      <c r="J540" t="str">
        <v>08:58:48</v>
      </c>
      <c r="K540">
        <f t="shared" si="136"/>
        <v>8.9500000000000242</v>
      </c>
      <c r="L540">
        <f t="shared" si="129"/>
        <v>3.1099999999999994</v>
      </c>
      <c r="M540">
        <f t="shared" si="130"/>
        <v>0</v>
      </c>
      <c r="N540">
        <f t="shared" si="124"/>
        <v>0.34750000000000003</v>
      </c>
      <c r="Q540" t="str" cm="1">
        <f t="array" ref="Q540:R540">_xlfn.TEXTSPLIT(E540," ")</f>
        <v>27.10.2023</v>
      </c>
      <c r="R540" t="str">
        <v>08:58:48</v>
      </c>
      <c r="S540">
        <f t="shared" si="137"/>
        <v>8.9500000000000242</v>
      </c>
      <c r="T540">
        <f t="shared" si="128"/>
        <v>5.1200000000000045</v>
      </c>
      <c r="U540">
        <f t="shared" si="131"/>
        <v>0</v>
      </c>
      <c r="V540">
        <f t="shared" si="125"/>
        <v>0.53749999999999998</v>
      </c>
      <c r="AC540" t="s">
        <v>1597</v>
      </c>
      <c r="AD540">
        <v>0</v>
      </c>
      <c r="AE540">
        <v>6.7</v>
      </c>
      <c r="AG540" t="str" cm="1">
        <f t="array" ref="AG540:AH540">_xlfn.TEXTSPLIT(AC541," ")</f>
        <v>26.10.2023</v>
      </c>
      <c r="AH540" t="str">
        <v>08:59:46</v>
      </c>
      <c r="AI540">
        <f t="shared" si="138"/>
        <v>8.9500000000000242</v>
      </c>
      <c r="AJ540">
        <f t="shared" si="132"/>
        <v>2.17</v>
      </c>
      <c r="AK540">
        <f t="shared" si="133"/>
        <v>0</v>
      </c>
      <c r="AL540">
        <f t="shared" si="126"/>
        <v>0.32999999999999996</v>
      </c>
      <c r="AN540" t="s">
        <v>1597</v>
      </c>
      <c r="AO540">
        <v>0</v>
      </c>
      <c r="AP540">
        <v>67.849999999999994</v>
      </c>
      <c r="AR540" t="str" cm="1">
        <f t="array" ref="AR540:AS540">_xlfn.TEXTSPLIT(AN540," ")</f>
        <v>26.10.2023</v>
      </c>
      <c r="AS540" t="str">
        <v>08:58:46</v>
      </c>
      <c r="AT540">
        <f t="shared" si="139"/>
        <v>8.9500000000000242</v>
      </c>
      <c r="AU540">
        <f t="shared" si="134"/>
        <v>6.539999999999992</v>
      </c>
      <c r="AV540">
        <f t="shared" si="135"/>
        <v>0</v>
      </c>
      <c r="AW540">
        <f t="shared" si="127"/>
        <v>0.6549999999999998</v>
      </c>
    </row>
    <row r="541" spans="1:49" x14ac:dyDescent="0.25">
      <c r="A541" t="s">
        <v>1598</v>
      </c>
      <c r="B541">
        <v>0</v>
      </c>
      <c r="C541">
        <v>17.43</v>
      </c>
      <c r="E541" t="s">
        <v>1598</v>
      </c>
      <c r="F541">
        <v>0.15</v>
      </c>
      <c r="G541">
        <v>83.73</v>
      </c>
      <c r="I541" t="str" cm="1">
        <f t="array" ref="I541:J541">_xlfn.TEXTSPLIT(A541," ")</f>
        <v>27.10.2023</v>
      </c>
      <c r="J541" t="str">
        <v>08:59:48</v>
      </c>
      <c r="K541">
        <f t="shared" si="136"/>
        <v>8.9666666666666917</v>
      </c>
      <c r="L541">
        <f t="shared" si="129"/>
        <v>3.1099999999999994</v>
      </c>
      <c r="M541">
        <f t="shared" si="130"/>
        <v>0</v>
      </c>
      <c r="N541">
        <f t="shared" si="124"/>
        <v>0.34750000000000003</v>
      </c>
      <c r="Q541" t="str" cm="1">
        <f t="array" ref="Q541:R541">_xlfn.TEXTSPLIT(E541," ")</f>
        <v>27.10.2023</v>
      </c>
      <c r="R541" t="str">
        <v>08:59:48</v>
      </c>
      <c r="S541">
        <f t="shared" si="137"/>
        <v>8.9666666666666917</v>
      </c>
      <c r="T541">
        <f t="shared" si="128"/>
        <v>5.1300000000000097</v>
      </c>
      <c r="U541">
        <f t="shared" si="131"/>
        <v>0.15</v>
      </c>
      <c r="V541">
        <f t="shared" si="125"/>
        <v>0.53749999999999998</v>
      </c>
      <c r="AC541" t="s">
        <v>1599</v>
      </c>
      <c r="AD541">
        <v>0</v>
      </c>
      <c r="AE541">
        <v>6.7</v>
      </c>
      <c r="AG541" t="str" cm="1">
        <f t="array" ref="AG541:AH541">_xlfn.TEXTSPLIT(AC542," ")</f>
        <v>26.10.2023</v>
      </c>
      <c r="AH541" t="str">
        <v>09:00:46</v>
      </c>
      <c r="AI541">
        <f t="shared" si="138"/>
        <v>8.9666666666666917</v>
      </c>
      <c r="AJ541">
        <f t="shared" si="132"/>
        <v>2.17</v>
      </c>
      <c r="AK541">
        <f t="shared" si="133"/>
        <v>0</v>
      </c>
      <c r="AL541">
        <f t="shared" si="126"/>
        <v>0.32999999999999996</v>
      </c>
      <c r="AN541" t="s">
        <v>1599</v>
      </c>
      <c r="AO541">
        <v>0.45</v>
      </c>
      <c r="AP541">
        <v>67.849999999999994</v>
      </c>
      <c r="AR541" t="str" cm="1">
        <f t="array" ref="AR541:AS541">_xlfn.TEXTSPLIT(AN541," ")</f>
        <v>26.10.2023</v>
      </c>
      <c r="AS541" t="str">
        <v>08:59:46</v>
      </c>
      <c r="AT541">
        <f t="shared" si="139"/>
        <v>8.9666666666666917</v>
      </c>
      <c r="AU541">
        <f t="shared" si="134"/>
        <v>6.539999999999992</v>
      </c>
      <c r="AV541">
        <f t="shared" si="135"/>
        <v>0.45</v>
      </c>
      <c r="AW541">
        <f t="shared" si="127"/>
        <v>0.65749999999999997</v>
      </c>
    </row>
    <row r="542" spans="1:49" x14ac:dyDescent="0.25">
      <c r="A542" t="s">
        <v>1600</v>
      </c>
      <c r="B542">
        <v>0</v>
      </c>
      <c r="C542">
        <v>17.43</v>
      </c>
      <c r="E542" t="s">
        <v>1600</v>
      </c>
      <c r="F542">
        <v>0.15</v>
      </c>
      <c r="G542">
        <v>83.73</v>
      </c>
      <c r="I542" t="str" cm="1">
        <f t="array" ref="I542:J542">_xlfn.TEXTSPLIT(A542," ")</f>
        <v>27.10.2023</v>
      </c>
      <c r="J542" t="str">
        <v>09:00:48</v>
      </c>
      <c r="K542">
        <f t="shared" si="136"/>
        <v>8.9833333333333591</v>
      </c>
      <c r="L542">
        <f t="shared" si="129"/>
        <v>3.1099999999999994</v>
      </c>
      <c r="M542">
        <f t="shared" si="130"/>
        <v>0</v>
      </c>
      <c r="N542">
        <f t="shared" si="124"/>
        <v>0.34750000000000003</v>
      </c>
      <c r="Q542" t="str" cm="1">
        <f t="array" ref="Q542:R542">_xlfn.TEXTSPLIT(E542," ")</f>
        <v>27.10.2023</v>
      </c>
      <c r="R542" t="str">
        <v>09:00:48</v>
      </c>
      <c r="S542">
        <f t="shared" si="137"/>
        <v>8.9833333333333591</v>
      </c>
      <c r="T542">
        <f t="shared" si="128"/>
        <v>5.1300000000000097</v>
      </c>
      <c r="U542">
        <f t="shared" si="131"/>
        <v>0.15</v>
      </c>
      <c r="V542">
        <f t="shared" si="125"/>
        <v>0.53999999999999992</v>
      </c>
      <c r="AC542" t="s">
        <v>1601</v>
      </c>
      <c r="AD542">
        <v>0</v>
      </c>
      <c r="AE542">
        <v>6.7</v>
      </c>
      <c r="AG542" t="str" cm="1">
        <f t="array" ref="AG542:AH542">_xlfn.TEXTSPLIT(AC543," ")</f>
        <v>26.10.2023</v>
      </c>
      <c r="AH542" t="str">
        <v>09:01:46</v>
      </c>
      <c r="AI542">
        <f t="shared" si="138"/>
        <v>8.9833333333333591</v>
      </c>
      <c r="AJ542">
        <f t="shared" si="132"/>
        <v>2.17</v>
      </c>
      <c r="AK542">
        <f t="shared" si="133"/>
        <v>0</v>
      </c>
      <c r="AL542">
        <f t="shared" si="126"/>
        <v>0.32999999999999996</v>
      </c>
      <c r="AN542" t="s">
        <v>1601</v>
      </c>
      <c r="AO542">
        <v>0.3</v>
      </c>
      <c r="AP542">
        <v>67.849999999999994</v>
      </c>
      <c r="AR542" t="str" cm="1">
        <f t="array" ref="AR542:AS542">_xlfn.TEXTSPLIT(AN542," ")</f>
        <v>26.10.2023</v>
      </c>
      <c r="AS542" t="str">
        <v>09:00:46</v>
      </c>
      <c r="AT542">
        <f t="shared" si="139"/>
        <v>8.9833333333333591</v>
      </c>
      <c r="AU542">
        <f t="shared" si="134"/>
        <v>6.539999999999992</v>
      </c>
      <c r="AV542">
        <f t="shared" si="135"/>
        <v>0.3</v>
      </c>
      <c r="AW542">
        <f t="shared" si="127"/>
        <v>0.65999999999999992</v>
      </c>
    </row>
    <row r="543" spans="1:49" x14ac:dyDescent="0.25">
      <c r="A543" t="s">
        <v>1602</v>
      </c>
      <c r="B543">
        <v>0</v>
      </c>
      <c r="C543">
        <v>17.43</v>
      </c>
      <c r="E543" t="s">
        <v>1602</v>
      </c>
      <c r="F543">
        <v>0</v>
      </c>
      <c r="G543">
        <v>83.73</v>
      </c>
      <c r="I543" t="str" cm="1">
        <f t="array" ref="I543:J543">_xlfn.TEXTSPLIT(A543," ")</f>
        <v>27.10.2023</v>
      </c>
      <c r="J543" t="str">
        <v>09:01:48</v>
      </c>
      <c r="K543">
        <f t="shared" si="136"/>
        <v>9.0000000000000266</v>
      </c>
      <c r="L543">
        <f t="shared" si="129"/>
        <v>3.1099999999999994</v>
      </c>
      <c r="M543">
        <f t="shared" si="130"/>
        <v>0</v>
      </c>
      <c r="N543">
        <f t="shared" si="124"/>
        <v>0.34750000000000003</v>
      </c>
      <c r="Q543" t="str" cm="1">
        <f t="array" ref="Q543:R543">_xlfn.TEXTSPLIT(E543," ")</f>
        <v>27.10.2023</v>
      </c>
      <c r="R543" t="str">
        <v>09:01:48</v>
      </c>
      <c r="S543">
        <f t="shared" si="137"/>
        <v>9.0000000000000266</v>
      </c>
      <c r="T543">
        <f t="shared" si="128"/>
        <v>5.1300000000000097</v>
      </c>
      <c r="U543">
        <f t="shared" si="131"/>
        <v>0</v>
      </c>
      <c r="V543">
        <f t="shared" si="125"/>
        <v>0.53499999999999992</v>
      </c>
      <c r="AC543" t="s">
        <v>1603</v>
      </c>
      <c r="AD543">
        <v>0</v>
      </c>
      <c r="AE543">
        <v>6.7</v>
      </c>
      <c r="AG543" t="str" cm="1">
        <f t="array" ref="AG543:AH543">_xlfn.TEXTSPLIT(AC544," ")</f>
        <v>26.10.2023</v>
      </c>
      <c r="AH543" t="str">
        <v>09:02:47</v>
      </c>
      <c r="AI543">
        <f t="shared" si="138"/>
        <v>9.0000000000000266</v>
      </c>
      <c r="AJ543">
        <f t="shared" si="132"/>
        <v>2.17</v>
      </c>
      <c r="AK543">
        <f t="shared" si="133"/>
        <v>0</v>
      </c>
      <c r="AL543">
        <f t="shared" si="126"/>
        <v>0.32999999999999996</v>
      </c>
      <c r="AN543" t="s">
        <v>1603</v>
      </c>
      <c r="AO543">
        <v>0.3</v>
      </c>
      <c r="AP543">
        <v>67.86</v>
      </c>
      <c r="AR543" t="str" cm="1">
        <f t="array" ref="AR543:AS543">_xlfn.TEXTSPLIT(AN543," ")</f>
        <v>26.10.2023</v>
      </c>
      <c r="AS543" t="str">
        <v>09:01:46</v>
      </c>
      <c r="AT543">
        <f t="shared" si="139"/>
        <v>9.0000000000000266</v>
      </c>
      <c r="AU543">
        <f t="shared" si="134"/>
        <v>6.5499999999999972</v>
      </c>
      <c r="AV543">
        <f t="shared" si="135"/>
        <v>0.3</v>
      </c>
      <c r="AW543">
        <f t="shared" si="127"/>
        <v>0.65999999999999981</v>
      </c>
    </row>
    <row r="544" spans="1:49" x14ac:dyDescent="0.25">
      <c r="A544" t="s">
        <v>1604</v>
      </c>
      <c r="B544">
        <v>0</v>
      </c>
      <c r="C544">
        <v>17.43</v>
      </c>
      <c r="E544" t="s">
        <v>1604</v>
      </c>
      <c r="F544">
        <v>0.3</v>
      </c>
      <c r="G544">
        <v>83.74</v>
      </c>
      <c r="I544" t="str" cm="1">
        <f t="array" ref="I544:J544">_xlfn.TEXTSPLIT(A544," ")</f>
        <v>27.10.2023</v>
      </c>
      <c r="J544" t="str">
        <v>09:02:48</v>
      </c>
      <c r="K544">
        <f t="shared" si="136"/>
        <v>9.0166666666666941</v>
      </c>
      <c r="L544">
        <f t="shared" si="129"/>
        <v>3.1099999999999994</v>
      </c>
      <c r="M544">
        <f t="shared" si="130"/>
        <v>0</v>
      </c>
      <c r="N544">
        <f t="shared" si="124"/>
        <v>0.34750000000000003</v>
      </c>
      <c r="Q544" t="str" cm="1">
        <f t="array" ref="Q544:R544">_xlfn.TEXTSPLIT(E544," ")</f>
        <v>27.10.2023</v>
      </c>
      <c r="R544" t="str">
        <v>09:02:48</v>
      </c>
      <c r="S544">
        <f t="shared" si="137"/>
        <v>9.0166666666666941</v>
      </c>
      <c r="T544">
        <f t="shared" si="128"/>
        <v>5.1400000000000006</v>
      </c>
      <c r="U544">
        <f t="shared" si="131"/>
        <v>0.3</v>
      </c>
      <c r="V544">
        <f t="shared" si="125"/>
        <v>0.53999999999999981</v>
      </c>
      <c r="AC544" t="s">
        <v>1605</v>
      </c>
      <c r="AD544">
        <v>0</v>
      </c>
      <c r="AE544">
        <v>6.7</v>
      </c>
      <c r="AG544" t="str" cm="1">
        <f t="array" ref="AG544:AH544">_xlfn.TEXTSPLIT(AC545," ")</f>
        <v>26.10.2023</v>
      </c>
      <c r="AH544" t="str">
        <v>09:03:47</v>
      </c>
      <c r="AI544">
        <f t="shared" si="138"/>
        <v>9.0166666666666941</v>
      </c>
      <c r="AJ544">
        <f t="shared" si="132"/>
        <v>2.17</v>
      </c>
      <c r="AK544">
        <f t="shared" si="133"/>
        <v>0</v>
      </c>
      <c r="AL544">
        <f t="shared" si="126"/>
        <v>0.32999999999999996</v>
      </c>
      <c r="AN544" t="s">
        <v>1605</v>
      </c>
      <c r="AO544">
        <v>0.6</v>
      </c>
      <c r="AP544">
        <v>67.87</v>
      </c>
      <c r="AR544" t="str" cm="1">
        <f t="array" ref="AR544:AS544">_xlfn.TEXTSPLIT(AN544," ")</f>
        <v>26.10.2023</v>
      </c>
      <c r="AS544" t="str">
        <v>09:02:47</v>
      </c>
      <c r="AT544">
        <f t="shared" si="139"/>
        <v>9.0166666666666941</v>
      </c>
      <c r="AU544">
        <f t="shared" si="134"/>
        <v>6.5600000000000023</v>
      </c>
      <c r="AV544">
        <f t="shared" si="135"/>
        <v>0.6</v>
      </c>
      <c r="AW544">
        <f t="shared" si="127"/>
        <v>0.66499999999999981</v>
      </c>
    </row>
    <row r="545" spans="1:49" x14ac:dyDescent="0.25">
      <c r="A545" t="s">
        <v>1606</v>
      </c>
      <c r="B545">
        <v>0</v>
      </c>
      <c r="C545">
        <v>17.43</v>
      </c>
      <c r="E545" t="s">
        <v>1606</v>
      </c>
      <c r="F545">
        <v>0.15</v>
      </c>
      <c r="G545">
        <v>83.74</v>
      </c>
      <c r="I545" t="str" cm="1">
        <f t="array" ref="I545:J545">_xlfn.TEXTSPLIT(A545," ")</f>
        <v>27.10.2023</v>
      </c>
      <c r="J545" t="str">
        <v>09:03:48</v>
      </c>
      <c r="K545">
        <f t="shared" si="136"/>
        <v>9.0333333333333616</v>
      </c>
      <c r="L545">
        <f t="shared" si="129"/>
        <v>3.1099999999999994</v>
      </c>
      <c r="M545">
        <f t="shared" si="130"/>
        <v>0</v>
      </c>
      <c r="N545">
        <f t="shared" si="124"/>
        <v>0.34750000000000003</v>
      </c>
      <c r="Q545" t="str" cm="1">
        <f t="array" ref="Q545:R545">_xlfn.TEXTSPLIT(E545," ")</f>
        <v>27.10.2023</v>
      </c>
      <c r="R545" t="str">
        <v>09:03:48</v>
      </c>
      <c r="S545">
        <f t="shared" si="137"/>
        <v>9.0333333333333616</v>
      </c>
      <c r="T545">
        <f t="shared" si="128"/>
        <v>5.1400000000000006</v>
      </c>
      <c r="U545">
        <f t="shared" si="131"/>
        <v>0.15</v>
      </c>
      <c r="V545">
        <f t="shared" si="125"/>
        <v>0.53749999999999987</v>
      </c>
      <c r="AC545" t="s">
        <v>1607</v>
      </c>
      <c r="AD545">
        <v>0</v>
      </c>
      <c r="AE545">
        <v>6.7</v>
      </c>
      <c r="AG545" t="str" cm="1">
        <f t="array" ref="AG545:AH545">_xlfn.TEXTSPLIT(AC546," ")</f>
        <v>26.10.2023</v>
      </c>
      <c r="AH545" t="str">
        <v>09:04:47</v>
      </c>
      <c r="AI545">
        <f t="shared" si="138"/>
        <v>9.0333333333333616</v>
      </c>
      <c r="AJ545">
        <f t="shared" si="132"/>
        <v>2.17</v>
      </c>
      <c r="AK545">
        <f t="shared" si="133"/>
        <v>0</v>
      </c>
      <c r="AL545">
        <f t="shared" si="126"/>
        <v>0.32999999999999996</v>
      </c>
      <c r="AN545" t="s">
        <v>1607</v>
      </c>
      <c r="AO545">
        <v>0.3</v>
      </c>
      <c r="AP545">
        <v>67.88</v>
      </c>
      <c r="AR545" t="str" cm="1">
        <f t="array" ref="AR545:AS545">_xlfn.TEXTSPLIT(AN545," ")</f>
        <v>26.10.2023</v>
      </c>
      <c r="AS545" t="str">
        <v>09:03:47</v>
      </c>
      <c r="AT545">
        <f t="shared" si="139"/>
        <v>9.0333333333333616</v>
      </c>
      <c r="AU545">
        <f t="shared" si="134"/>
        <v>6.5699999999999932</v>
      </c>
      <c r="AV545">
        <f t="shared" si="135"/>
        <v>0.3</v>
      </c>
      <c r="AW545">
        <f t="shared" si="127"/>
        <v>0.66249999999999987</v>
      </c>
    </row>
    <row r="546" spans="1:49" x14ac:dyDescent="0.25">
      <c r="A546" t="s">
        <v>1608</v>
      </c>
      <c r="B546">
        <v>0</v>
      </c>
      <c r="C546">
        <v>17.43</v>
      </c>
      <c r="E546" t="s">
        <v>1608</v>
      </c>
      <c r="F546">
        <v>0.3</v>
      </c>
      <c r="G546">
        <v>83.75</v>
      </c>
      <c r="I546" t="str" cm="1">
        <f t="array" ref="I546:J546">_xlfn.TEXTSPLIT(A546," ")</f>
        <v>27.10.2023</v>
      </c>
      <c r="J546" t="str">
        <v>09:04:48</v>
      </c>
      <c r="K546">
        <f t="shared" si="136"/>
        <v>9.0500000000000291</v>
      </c>
      <c r="L546">
        <f t="shared" si="129"/>
        <v>3.1099999999999994</v>
      </c>
      <c r="M546">
        <f t="shared" si="130"/>
        <v>0</v>
      </c>
      <c r="N546">
        <f t="shared" si="124"/>
        <v>0.34750000000000003</v>
      </c>
      <c r="Q546" t="str" cm="1">
        <f t="array" ref="Q546:R546">_xlfn.TEXTSPLIT(E546," ")</f>
        <v>27.10.2023</v>
      </c>
      <c r="R546" t="str">
        <v>09:04:48</v>
      </c>
      <c r="S546">
        <f t="shared" si="137"/>
        <v>9.0500000000000291</v>
      </c>
      <c r="T546">
        <f t="shared" si="128"/>
        <v>5.1500000000000057</v>
      </c>
      <c r="U546">
        <f t="shared" si="131"/>
        <v>0.3</v>
      </c>
      <c r="V546">
        <f t="shared" si="125"/>
        <v>0.53999999999999981</v>
      </c>
      <c r="AC546" t="s">
        <v>1609</v>
      </c>
      <c r="AD546">
        <v>0</v>
      </c>
      <c r="AE546">
        <v>6.7</v>
      </c>
      <c r="AG546" t="str" cm="1">
        <f t="array" ref="AG546:AH546">_xlfn.TEXTSPLIT(AC547," ")</f>
        <v>26.10.2023</v>
      </c>
      <c r="AH546" t="str">
        <v>09:05:47</v>
      </c>
      <c r="AI546">
        <f t="shared" si="138"/>
        <v>9.0500000000000291</v>
      </c>
      <c r="AJ546">
        <f t="shared" si="132"/>
        <v>2.17</v>
      </c>
      <c r="AK546">
        <f t="shared" si="133"/>
        <v>0</v>
      </c>
      <c r="AL546">
        <f t="shared" si="126"/>
        <v>0.32999999999999996</v>
      </c>
      <c r="AN546" t="s">
        <v>1609</v>
      </c>
      <c r="AO546">
        <v>0.45</v>
      </c>
      <c r="AP546">
        <v>67.89</v>
      </c>
      <c r="AR546" t="str" cm="1">
        <f t="array" ref="AR546:AS546">_xlfn.TEXTSPLIT(AN546," ")</f>
        <v>26.10.2023</v>
      </c>
      <c r="AS546" t="str">
        <v>09:04:47</v>
      </c>
      <c r="AT546">
        <f t="shared" si="139"/>
        <v>9.0500000000000291</v>
      </c>
      <c r="AU546">
        <f t="shared" si="134"/>
        <v>6.5799999999999983</v>
      </c>
      <c r="AV546">
        <f t="shared" si="135"/>
        <v>0.45</v>
      </c>
      <c r="AW546">
        <f t="shared" si="127"/>
        <v>0.65999999999999992</v>
      </c>
    </row>
    <row r="547" spans="1:49" x14ac:dyDescent="0.25">
      <c r="A547" t="s">
        <v>1610</v>
      </c>
      <c r="B547">
        <v>0</v>
      </c>
      <c r="C547">
        <v>17.43</v>
      </c>
      <c r="E547" t="s">
        <v>1610</v>
      </c>
      <c r="F547">
        <v>0.45</v>
      </c>
      <c r="G547">
        <v>83.75</v>
      </c>
      <c r="I547" t="str" cm="1">
        <f t="array" ref="I547:J547">_xlfn.TEXTSPLIT(A547," ")</f>
        <v>27.10.2023</v>
      </c>
      <c r="J547" t="str">
        <v>09:05:49</v>
      </c>
      <c r="K547">
        <f t="shared" si="136"/>
        <v>9.0666666666666966</v>
      </c>
      <c r="L547">
        <f t="shared" si="129"/>
        <v>3.1099999999999994</v>
      </c>
      <c r="M547">
        <f t="shared" si="130"/>
        <v>0</v>
      </c>
      <c r="N547">
        <f t="shared" si="124"/>
        <v>0.34750000000000003</v>
      </c>
      <c r="Q547" t="str" cm="1">
        <f t="array" ref="Q547:R547">_xlfn.TEXTSPLIT(E547," ")</f>
        <v>27.10.2023</v>
      </c>
      <c r="R547" t="str">
        <v>09:05:49</v>
      </c>
      <c r="S547">
        <f t="shared" si="137"/>
        <v>9.0666666666666966</v>
      </c>
      <c r="T547">
        <f t="shared" si="128"/>
        <v>5.1500000000000057</v>
      </c>
      <c r="U547">
        <f t="shared" si="131"/>
        <v>0.45</v>
      </c>
      <c r="V547">
        <f t="shared" si="125"/>
        <v>0.54499999999999993</v>
      </c>
      <c r="AC547" t="s">
        <v>1611</v>
      </c>
      <c r="AD547">
        <v>0</v>
      </c>
      <c r="AE547">
        <v>6.7</v>
      </c>
      <c r="AG547" t="str" cm="1">
        <f t="array" ref="AG547:AH547">_xlfn.TEXTSPLIT(AC548," ")</f>
        <v>26.10.2023</v>
      </c>
      <c r="AH547" t="str">
        <v>09:06:47</v>
      </c>
      <c r="AI547">
        <f t="shared" si="138"/>
        <v>9.0666666666666966</v>
      </c>
      <c r="AJ547">
        <f t="shared" si="132"/>
        <v>2.17</v>
      </c>
      <c r="AK547">
        <f t="shared" si="133"/>
        <v>0</v>
      </c>
      <c r="AL547">
        <f t="shared" si="126"/>
        <v>0.32999999999999996</v>
      </c>
      <c r="AN547" t="s">
        <v>1611</v>
      </c>
      <c r="AO547">
        <v>0.45</v>
      </c>
      <c r="AP547">
        <v>67.89</v>
      </c>
      <c r="AR547" t="str" cm="1">
        <f t="array" ref="AR547:AS547">_xlfn.TEXTSPLIT(AN547," ")</f>
        <v>26.10.2023</v>
      </c>
      <c r="AS547" t="str">
        <v>09:05:47</v>
      </c>
      <c r="AT547">
        <f t="shared" si="139"/>
        <v>9.0666666666666966</v>
      </c>
      <c r="AU547">
        <f t="shared" si="134"/>
        <v>6.5799999999999983</v>
      </c>
      <c r="AV547">
        <f t="shared" si="135"/>
        <v>0.45</v>
      </c>
      <c r="AW547">
        <f t="shared" si="127"/>
        <v>0.65499999999999992</v>
      </c>
    </row>
    <row r="548" spans="1:49" x14ac:dyDescent="0.25">
      <c r="A548" t="s">
        <v>1612</v>
      </c>
      <c r="B548">
        <v>0.15</v>
      </c>
      <c r="C548">
        <v>17.43</v>
      </c>
      <c r="E548" t="s">
        <v>1612</v>
      </c>
      <c r="F548">
        <v>1.2</v>
      </c>
      <c r="G548">
        <v>83.79</v>
      </c>
      <c r="I548" t="str" cm="1">
        <f t="array" ref="I548:J548">_xlfn.TEXTSPLIT(A548," ")</f>
        <v>27.10.2023</v>
      </c>
      <c r="J548" t="str">
        <v>09:06:49</v>
      </c>
      <c r="K548">
        <f t="shared" si="136"/>
        <v>9.0833333333333641</v>
      </c>
      <c r="L548">
        <f t="shared" si="129"/>
        <v>3.1099999999999994</v>
      </c>
      <c r="M548">
        <f t="shared" si="130"/>
        <v>0.15</v>
      </c>
      <c r="N548">
        <f t="shared" si="124"/>
        <v>0.35</v>
      </c>
      <c r="Q548" t="str" cm="1">
        <f t="array" ref="Q548:R548">_xlfn.TEXTSPLIT(E548," ")</f>
        <v>27.10.2023</v>
      </c>
      <c r="R548" t="str">
        <v>09:06:49</v>
      </c>
      <c r="S548">
        <f t="shared" si="137"/>
        <v>9.0833333333333641</v>
      </c>
      <c r="T548">
        <f t="shared" si="128"/>
        <v>5.1900000000000119</v>
      </c>
      <c r="U548">
        <f t="shared" si="131"/>
        <v>1.2</v>
      </c>
      <c r="V548">
        <f t="shared" si="125"/>
        <v>0.55749999999999988</v>
      </c>
      <c r="AC548" t="s">
        <v>1613</v>
      </c>
      <c r="AD548">
        <v>0</v>
      </c>
      <c r="AE548">
        <v>6.7</v>
      </c>
      <c r="AG548" t="str" cm="1">
        <f t="array" ref="AG548:AH548">_xlfn.TEXTSPLIT(AC549," ")</f>
        <v>26.10.2023</v>
      </c>
      <c r="AH548" t="str">
        <v>09:07:47</v>
      </c>
      <c r="AI548">
        <f t="shared" si="138"/>
        <v>9.0833333333333641</v>
      </c>
      <c r="AJ548">
        <f t="shared" si="132"/>
        <v>2.17</v>
      </c>
      <c r="AK548">
        <f t="shared" si="133"/>
        <v>0</v>
      </c>
      <c r="AL548">
        <f t="shared" si="126"/>
        <v>0.32999999999999996</v>
      </c>
      <c r="AN548" t="s">
        <v>1613</v>
      </c>
      <c r="AO548">
        <v>0.3</v>
      </c>
      <c r="AP548">
        <v>67.900000000000006</v>
      </c>
      <c r="AR548" t="str" cm="1">
        <f t="array" ref="AR548:AS548">_xlfn.TEXTSPLIT(AN548," ")</f>
        <v>26.10.2023</v>
      </c>
      <c r="AS548" t="str">
        <v>09:06:47</v>
      </c>
      <c r="AT548">
        <f t="shared" si="139"/>
        <v>9.0833333333333641</v>
      </c>
      <c r="AU548">
        <f t="shared" si="134"/>
        <v>6.5900000000000034</v>
      </c>
      <c r="AV548">
        <f t="shared" si="135"/>
        <v>0.3</v>
      </c>
      <c r="AW548">
        <f t="shared" si="127"/>
        <v>0.64999999999999991</v>
      </c>
    </row>
    <row r="549" spans="1:49" x14ac:dyDescent="0.25">
      <c r="A549" t="s">
        <v>1614</v>
      </c>
      <c r="B549">
        <v>0</v>
      </c>
      <c r="C549">
        <v>17.45</v>
      </c>
      <c r="E549" t="s">
        <v>1614</v>
      </c>
      <c r="F549">
        <v>1.65</v>
      </c>
      <c r="G549">
        <v>83.81</v>
      </c>
      <c r="I549" t="str" cm="1">
        <f t="array" ref="I549:J549">_xlfn.TEXTSPLIT(A549," ")</f>
        <v>27.10.2023</v>
      </c>
      <c r="J549" t="str">
        <v>09:07:49</v>
      </c>
      <c r="K549">
        <f t="shared" si="136"/>
        <v>9.1000000000000316</v>
      </c>
      <c r="L549">
        <f t="shared" si="129"/>
        <v>3.129999999999999</v>
      </c>
      <c r="M549">
        <f t="shared" si="130"/>
        <v>0</v>
      </c>
      <c r="N549">
        <f t="shared" si="124"/>
        <v>0.35</v>
      </c>
      <c r="Q549" t="str" cm="1">
        <f t="array" ref="Q549:R549">_xlfn.TEXTSPLIT(E549," ")</f>
        <v>27.10.2023</v>
      </c>
      <c r="R549" t="str">
        <v>09:07:49</v>
      </c>
      <c r="S549">
        <f t="shared" si="137"/>
        <v>9.1000000000000316</v>
      </c>
      <c r="T549">
        <f t="shared" si="128"/>
        <v>5.210000000000008</v>
      </c>
      <c r="U549">
        <f t="shared" si="131"/>
        <v>1.65</v>
      </c>
      <c r="V549">
        <f t="shared" si="125"/>
        <v>0.5675</v>
      </c>
      <c r="AC549" t="s">
        <v>1615</v>
      </c>
      <c r="AD549">
        <v>0</v>
      </c>
      <c r="AE549">
        <v>6.7</v>
      </c>
      <c r="AG549" t="str" cm="1">
        <f t="array" ref="AG549:AH549">_xlfn.TEXTSPLIT(AC550," ")</f>
        <v>26.10.2023</v>
      </c>
      <c r="AH549" t="str">
        <v>09:08:47</v>
      </c>
      <c r="AI549">
        <f t="shared" si="138"/>
        <v>9.1000000000000316</v>
      </c>
      <c r="AJ549">
        <f t="shared" si="132"/>
        <v>2.17</v>
      </c>
      <c r="AK549">
        <f t="shared" si="133"/>
        <v>0</v>
      </c>
      <c r="AL549">
        <f t="shared" si="126"/>
        <v>0.32999999999999996</v>
      </c>
      <c r="AN549" t="s">
        <v>1615</v>
      </c>
      <c r="AO549">
        <v>0.75</v>
      </c>
      <c r="AP549">
        <v>67.930000000000007</v>
      </c>
      <c r="AR549" t="str" cm="1">
        <f t="array" ref="AR549:AS549">_xlfn.TEXTSPLIT(AN549," ")</f>
        <v>26.10.2023</v>
      </c>
      <c r="AS549" t="str">
        <v>09:07:47</v>
      </c>
      <c r="AT549">
        <f t="shared" si="139"/>
        <v>9.1000000000000316</v>
      </c>
      <c r="AU549">
        <f t="shared" si="134"/>
        <v>6.6200000000000045</v>
      </c>
      <c r="AV549">
        <f t="shared" si="135"/>
        <v>0.75</v>
      </c>
      <c r="AW549">
        <f t="shared" si="127"/>
        <v>0.63500000000000001</v>
      </c>
    </row>
    <row r="550" spans="1:49" x14ac:dyDescent="0.25">
      <c r="A550" t="s">
        <v>1616</v>
      </c>
      <c r="B550">
        <v>1.5</v>
      </c>
      <c r="C550">
        <v>17.48</v>
      </c>
      <c r="E550" t="s">
        <v>1616</v>
      </c>
      <c r="F550">
        <v>1.65</v>
      </c>
      <c r="G550">
        <v>83.84</v>
      </c>
      <c r="I550" t="str" cm="1">
        <f t="array" ref="I550:J550">_xlfn.TEXTSPLIT(A550," ")</f>
        <v>27.10.2023</v>
      </c>
      <c r="J550" t="str">
        <v>09:08:49</v>
      </c>
      <c r="K550">
        <f t="shared" si="136"/>
        <v>9.1166666666666991</v>
      </c>
      <c r="L550">
        <f t="shared" si="129"/>
        <v>3.16</v>
      </c>
      <c r="M550">
        <f t="shared" si="130"/>
        <v>1.5</v>
      </c>
      <c r="N550">
        <f t="shared" si="124"/>
        <v>0.36249999999999999</v>
      </c>
      <c r="Q550" t="str" cm="1">
        <f t="array" ref="Q550:R550">_xlfn.TEXTSPLIT(E550," ")</f>
        <v>27.10.2023</v>
      </c>
      <c r="R550" t="str">
        <v>09:08:49</v>
      </c>
      <c r="S550">
        <f t="shared" si="137"/>
        <v>9.1166666666666991</v>
      </c>
      <c r="T550">
        <f t="shared" si="128"/>
        <v>5.2400000000000091</v>
      </c>
      <c r="U550">
        <f t="shared" si="131"/>
        <v>1.65</v>
      </c>
      <c r="V550">
        <f t="shared" si="125"/>
        <v>0.56249999999999989</v>
      </c>
      <c r="AC550" t="s">
        <v>1617</v>
      </c>
      <c r="AD550">
        <v>0</v>
      </c>
      <c r="AE550">
        <v>6.73</v>
      </c>
      <c r="AG550" t="str" cm="1">
        <f t="array" ref="AG550:AH550">_xlfn.TEXTSPLIT(AC551," ")</f>
        <v>26.10.2023</v>
      </c>
      <c r="AH550" t="str">
        <v>09:09:47</v>
      </c>
      <c r="AI550">
        <f t="shared" si="138"/>
        <v>9.1166666666666991</v>
      </c>
      <c r="AJ550">
        <f t="shared" si="132"/>
        <v>2.2000000000000002</v>
      </c>
      <c r="AK550">
        <f t="shared" si="133"/>
        <v>0</v>
      </c>
      <c r="AL550">
        <f t="shared" si="126"/>
        <v>0.32999999999999996</v>
      </c>
      <c r="AN550" t="s">
        <v>1617</v>
      </c>
      <c r="AO550">
        <v>1.65</v>
      </c>
      <c r="AP550">
        <v>67.97</v>
      </c>
      <c r="AR550" t="str" cm="1">
        <f t="array" ref="AR550:AS550">_xlfn.TEXTSPLIT(AN550," ")</f>
        <v>26.10.2023</v>
      </c>
      <c r="AS550" t="str">
        <v>09:08:47</v>
      </c>
      <c r="AT550">
        <f t="shared" si="139"/>
        <v>9.1166666666666991</v>
      </c>
      <c r="AU550">
        <f t="shared" si="134"/>
        <v>6.6599999999999966</v>
      </c>
      <c r="AV550">
        <f t="shared" si="135"/>
        <v>1.65</v>
      </c>
      <c r="AW550">
        <f t="shared" si="127"/>
        <v>0.63250000000000006</v>
      </c>
    </row>
    <row r="551" spans="1:49" x14ac:dyDescent="0.25">
      <c r="A551" t="s">
        <v>1618</v>
      </c>
      <c r="B551">
        <v>1.8</v>
      </c>
      <c r="C551">
        <v>17.5</v>
      </c>
      <c r="E551" t="s">
        <v>1618</v>
      </c>
      <c r="F551">
        <v>1.35</v>
      </c>
      <c r="G551">
        <v>83.85</v>
      </c>
      <c r="I551" t="str" cm="1">
        <f t="array" ref="I551:J551">_xlfn.TEXTSPLIT(A551," ")</f>
        <v>27.10.2023</v>
      </c>
      <c r="J551" t="str">
        <v>09:09:49</v>
      </c>
      <c r="K551">
        <f t="shared" si="136"/>
        <v>9.1333333333333666</v>
      </c>
      <c r="L551">
        <f t="shared" si="129"/>
        <v>3.1799999999999997</v>
      </c>
      <c r="M551">
        <f t="shared" si="130"/>
        <v>1.8</v>
      </c>
      <c r="N551">
        <f t="shared" si="124"/>
        <v>0.3600000000000001</v>
      </c>
      <c r="Q551" t="str" cm="1">
        <f t="array" ref="Q551:R551">_xlfn.TEXTSPLIT(E551," ")</f>
        <v>27.10.2023</v>
      </c>
      <c r="R551" t="str">
        <v>09:09:49</v>
      </c>
      <c r="S551">
        <f t="shared" si="137"/>
        <v>9.1333333333333666</v>
      </c>
      <c r="T551">
        <f t="shared" si="128"/>
        <v>5.25</v>
      </c>
      <c r="U551">
        <f t="shared" si="131"/>
        <v>1.35</v>
      </c>
      <c r="V551">
        <f t="shared" si="125"/>
        <v>0.54999999999999971</v>
      </c>
      <c r="AC551" t="s">
        <v>1619</v>
      </c>
      <c r="AD551">
        <v>1.8</v>
      </c>
      <c r="AE551">
        <v>6.76</v>
      </c>
      <c r="AG551" t="str" cm="1">
        <f t="array" ref="AG551:AH551">_xlfn.TEXTSPLIT(AC552," ")</f>
        <v>26.10.2023</v>
      </c>
      <c r="AH551" t="str">
        <v>09:10:48</v>
      </c>
      <c r="AI551">
        <f t="shared" si="138"/>
        <v>9.1333333333333666</v>
      </c>
      <c r="AJ551">
        <f t="shared" si="132"/>
        <v>2.2299999999999995</v>
      </c>
      <c r="AK551">
        <f t="shared" si="133"/>
        <v>1.8</v>
      </c>
      <c r="AL551">
        <f t="shared" si="126"/>
        <v>0.33249999999999991</v>
      </c>
      <c r="AN551" t="s">
        <v>1619</v>
      </c>
      <c r="AO551">
        <v>2.7</v>
      </c>
      <c r="AP551">
        <v>68.010000000000005</v>
      </c>
      <c r="AR551" t="str" cm="1">
        <f t="array" ref="AR551:AS551">_xlfn.TEXTSPLIT(AN551," ")</f>
        <v>26.10.2023</v>
      </c>
      <c r="AS551" t="str">
        <v>09:09:47</v>
      </c>
      <c r="AT551">
        <f t="shared" si="139"/>
        <v>9.1333333333333666</v>
      </c>
      <c r="AU551">
        <f t="shared" si="134"/>
        <v>6.7000000000000028</v>
      </c>
      <c r="AV551">
        <f t="shared" si="135"/>
        <v>2.7</v>
      </c>
      <c r="AW551">
        <f t="shared" si="127"/>
        <v>0.64000000000000024</v>
      </c>
    </row>
    <row r="552" spans="1:49" x14ac:dyDescent="0.25">
      <c r="A552" t="s">
        <v>1620</v>
      </c>
      <c r="B552">
        <v>1.05</v>
      </c>
      <c r="C552">
        <v>17.52</v>
      </c>
      <c r="E552" t="s">
        <v>1620</v>
      </c>
      <c r="F552">
        <v>0.9</v>
      </c>
      <c r="G552">
        <v>83.87</v>
      </c>
      <c r="I552" t="str" cm="1">
        <f t="array" ref="I552:J552">_xlfn.TEXTSPLIT(A552," ")</f>
        <v>27.10.2023</v>
      </c>
      <c r="J552" t="str">
        <v>09:10:49</v>
      </c>
      <c r="K552">
        <f t="shared" si="136"/>
        <v>9.1500000000000341</v>
      </c>
      <c r="L552">
        <f t="shared" si="129"/>
        <v>3.1999999999999993</v>
      </c>
      <c r="M552">
        <f t="shared" si="130"/>
        <v>1.05</v>
      </c>
      <c r="N552">
        <f t="shared" si="124"/>
        <v>0.3650000000000001</v>
      </c>
      <c r="Q552" t="str" cm="1">
        <f t="array" ref="Q552:R552">_xlfn.TEXTSPLIT(E552," ")</f>
        <v>27.10.2023</v>
      </c>
      <c r="R552" t="str">
        <v>09:10:49</v>
      </c>
      <c r="S552">
        <f t="shared" si="137"/>
        <v>9.1500000000000341</v>
      </c>
      <c r="T552">
        <f t="shared" si="128"/>
        <v>5.2700000000000102</v>
      </c>
      <c r="U552">
        <f t="shared" si="131"/>
        <v>0.9</v>
      </c>
      <c r="V552">
        <f t="shared" si="125"/>
        <v>0.54249999999999987</v>
      </c>
      <c r="AC552" t="s">
        <v>1621</v>
      </c>
      <c r="AD552">
        <v>1.5</v>
      </c>
      <c r="AE552">
        <v>6.78</v>
      </c>
      <c r="AG552" t="str" cm="1">
        <f t="array" ref="AG552:AH552">_xlfn.TEXTSPLIT(AC553," ")</f>
        <v>26.10.2023</v>
      </c>
      <c r="AH552" t="str">
        <v>09:11:48</v>
      </c>
      <c r="AI552">
        <f t="shared" si="138"/>
        <v>9.1500000000000341</v>
      </c>
      <c r="AJ552">
        <f t="shared" si="132"/>
        <v>2.25</v>
      </c>
      <c r="AK552">
        <f t="shared" si="133"/>
        <v>1.5</v>
      </c>
      <c r="AL552">
        <f t="shared" si="126"/>
        <v>0.33500000000000002</v>
      </c>
      <c r="AN552" t="s">
        <v>1621</v>
      </c>
      <c r="AO552">
        <v>1.95</v>
      </c>
      <c r="AP552">
        <v>68.03</v>
      </c>
      <c r="AR552" t="str" cm="1">
        <f t="array" ref="AR552:AS552">_xlfn.TEXTSPLIT(AN552," ")</f>
        <v>26.10.2023</v>
      </c>
      <c r="AS552" t="str">
        <v>09:10:48</v>
      </c>
      <c r="AT552">
        <f t="shared" si="139"/>
        <v>9.1500000000000341</v>
      </c>
      <c r="AU552">
        <f t="shared" si="134"/>
        <v>6.7199999999999989</v>
      </c>
      <c r="AV552">
        <f t="shared" si="135"/>
        <v>1.95</v>
      </c>
      <c r="AW552">
        <f t="shared" si="127"/>
        <v>0.63750000000000029</v>
      </c>
    </row>
    <row r="553" spans="1:49" x14ac:dyDescent="0.25">
      <c r="A553" t="s">
        <v>1622</v>
      </c>
      <c r="B553">
        <v>1.35</v>
      </c>
      <c r="C553">
        <v>17.54</v>
      </c>
      <c r="E553" t="s">
        <v>1622</v>
      </c>
      <c r="F553">
        <v>1.05</v>
      </c>
      <c r="G553">
        <v>83.89</v>
      </c>
      <c r="I553" t="str" cm="1">
        <f t="array" ref="I553:J553">_xlfn.TEXTSPLIT(A553," ")</f>
        <v>27.10.2023</v>
      </c>
      <c r="J553" t="str">
        <v>09:11:49</v>
      </c>
      <c r="K553">
        <f t="shared" si="136"/>
        <v>9.1666666666667016</v>
      </c>
      <c r="L553">
        <f t="shared" si="129"/>
        <v>3.2199999999999989</v>
      </c>
      <c r="M553">
        <f t="shared" si="130"/>
        <v>1.35</v>
      </c>
      <c r="N553">
        <f t="shared" si="124"/>
        <v>0.3650000000000001</v>
      </c>
      <c r="Q553" t="str" cm="1">
        <f t="array" ref="Q553:R553">_xlfn.TEXTSPLIT(E553," ")</f>
        <v>27.10.2023</v>
      </c>
      <c r="R553" t="str">
        <v>09:11:49</v>
      </c>
      <c r="S553">
        <f t="shared" si="137"/>
        <v>9.1666666666667016</v>
      </c>
      <c r="T553">
        <f t="shared" si="128"/>
        <v>5.2900000000000063</v>
      </c>
      <c r="U553">
        <f t="shared" si="131"/>
        <v>1.05</v>
      </c>
      <c r="V553">
        <f t="shared" si="125"/>
        <v>0.54749999999999976</v>
      </c>
      <c r="AC553" t="s">
        <v>1623</v>
      </c>
      <c r="AD553">
        <v>1.5</v>
      </c>
      <c r="AE553">
        <v>6.8</v>
      </c>
      <c r="AG553" t="str" cm="1">
        <f t="array" ref="AG553:AH553">_xlfn.TEXTSPLIT(AC554," ")</f>
        <v>26.10.2023</v>
      </c>
      <c r="AH553" t="str">
        <v>09:12:48</v>
      </c>
      <c r="AI553">
        <f t="shared" si="138"/>
        <v>9.1666666666667016</v>
      </c>
      <c r="AJ553">
        <f t="shared" si="132"/>
        <v>2.2699999999999996</v>
      </c>
      <c r="AK553">
        <f t="shared" si="133"/>
        <v>1.5</v>
      </c>
      <c r="AL553">
        <f t="shared" si="126"/>
        <v>0.33750000000000008</v>
      </c>
      <c r="AN553" t="s">
        <v>1623</v>
      </c>
      <c r="AO553">
        <v>1.2</v>
      </c>
      <c r="AP553">
        <v>68.05</v>
      </c>
      <c r="AR553" t="str" cm="1">
        <f t="array" ref="AR553:AS553">_xlfn.TEXTSPLIT(AN553," ")</f>
        <v>26.10.2023</v>
      </c>
      <c r="AS553" t="str">
        <v>09:11:48</v>
      </c>
      <c r="AT553">
        <f t="shared" si="139"/>
        <v>9.1666666666667016</v>
      </c>
      <c r="AU553">
        <f t="shared" si="134"/>
        <v>6.7399999999999949</v>
      </c>
      <c r="AV553">
        <f t="shared" si="135"/>
        <v>1.2</v>
      </c>
      <c r="AW553">
        <f t="shared" si="127"/>
        <v>0.63500000000000023</v>
      </c>
    </row>
    <row r="554" spans="1:49" x14ac:dyDescent="0.25">
      <c r="A554" t="s">
        <v>1624</v>
      </c>
      <c r="B554">
        <v>0.9</v>
      </c>
      <c r="C554">
        <v>17.55</v>
      </c>
      <c r="E554" t="s">
        <v>1624</v>
      </c>
      <c r="F554">
        <v>1.2</v>
      </c>
      <c r="G554">
        <v>83.91</v>
      </c>
      <c r="I554" t="str" cm="1">
        <f t="array" ref="I554:J554">_xlfn.TEXTSPLIT(A554," ")</f>
        <v>27.10.2023</v>
      </c>
      <c r="J554" t="str">
        <v>09:12:49</v>
      </c>
      <c r="K554">
        <f t="shared" si="136"/>
        <v>9.1833333333333691</v>
      </c>
      <c r="L554">
        <f t="shared" si="129"/>
        <v>3.2300000000000004</v>
      </c>
      <c r="M554">
        <f t="shared" si="130"/>
        <v>0.9</v>
      </c>
      <c r="N554">
        <f t="shared" si="124"/>
        <v>0.36750000000000005</v>
      </c>
      <c r="Q554" t="str" cm="1">
        <f t="array" ref="Q554:R554">_xlfn.TEXTSPLIT(E554," ")</f>
        <v>27.10.2023</v>
      </c>
      <c r="R554" t="str">
        <v>09:12:49</v>
      </c>
      <c r="S554">
        <f t="shared" si="137"/>
        <v>9.1833333333333691</v>
      </c>
      <c r="T554">
        <f t="shared" si="128"/>
        <v>5.3100000000000023</v>
      </c>
      <c r="U554">
        <f t="shared" si="131"/>
        <v>1.2</v>
      </c>
      <c r="V554">
        <f t="shared" si="125"/>
        <v>0.55749999999999977</v>
      </c>
      <c r="AC554" t="s">
        <v>1625</v>
      </c>
      <c r="AD554">
        <v>0.6</v>
      </c>
      <c r="AE554">
        <v>6.8</v>
      </c>
      <c r="AG554" t="str" cm="1">
        <f t="array" ref="AG554:AH554">_xlfn.TEXTSPLIT(AC555," ")</f>
        <v>26.10.2023</v>
      </c>
      <c r="AH554" t="str">
        <v>09:13:48</v>
      </c>
      <c r="AI554">
        <f t="shared" si="138"/>
        <v>9.1833333333333691</v>
      </c>
      <c r="AJ554">
        <f t="shared" si="132"/>
        <v>2.2699999999999996</v>
      </c>
      <c r="AK554">
        <f t="shared" si="133"/>
        <v>0.6</v>
      </c>
      <c r="AL554">
        <f t="shared" si="126"/>
        <v>0.32750000000000001</v>
      </c>
      <c r="AN554" t="s">
        <v>1625</v>
      </c>
      <c r="AO554">
        <v>0.9</v>
      </c>
      <c r="AP554">
        <v>68.06</v>
      </c>
      <c r="AR554" t="str" cm="1">
        <f t="array" ref="AR554:AS554">_xlfn.TEXTSPLIT(AN554," ")</f>
        <v>26.10.2023</v>
      </c>
      <c r="AS554" t="str">
        <v>09:12:48</v>
      </c>
      <c r="AT554">
        <f t="shared" si="139"/>
        <v>9.1833333333333691</v>
      </c>
      <c r="AU554">
        <f t="shared" si="134"/>
        <v>6.75</v>
      </c>
      <c r="AV554">
        <f t="shared" si="135"/>
        <v>0.9</v>
      </c>
      <c r="AW554">
        <f t="shared" si="127"/>
        <v>0.63500000000000012</v>
      </c>
    </row>
    <row r="555" spans="1:49" x14ac:dyDescent="0.25">
      <c r="A555" t="s">
        <v>1626</v>
      </c>
      <c r="B555">
        <v>0.45</v>
      </c>
      <c r="C555">
        <v>17.559999999999999</v>
      </c>
      <c r="E555" t="s">
        <v>1626</v>
      </c>
      <c r="F555">
        <v>1.05</v>
      </c>
      <c r="G555">
        <v>83.92</v>
      </c>
      <c r="I555" t="str" cm="1">
        <f t="array" ref="I555:J555">_xlfn.TEXTSPLIT(A555," ")</f>
        <v>27.10.2023</v>
      </c>
      <c r="J555" t="str">
        <v>09:13:49</v>
      </c>
      <c r="K555">
        <f t="shared" si="136"/>
        <v>9.2000000000000366</v>
      </c>
      <c r="L555">
        <f t="shared" si="129"/>
        <v>3.2399999999999984</v>
      </c>
      <c r="M555">
        <f t="shared" si="130"/>
        <v>0.45</v>
      </c>
      <c r="N555">
        <f t="shared" si="124"/>
        <v>0.36250000000000004</v>
      </c>
      <c r="Q555" t="str" cm="1">
        <f t="array" ref="Q555:R555">_xlfn.TEXTSPLIT(E555," ")</f>
        <v>27.10.2023</v>
      </c>
      <c r="R555" t="str">
        <v>09:13:49</v>
      </c>
      <c r="S555">
        <f t="shared" si="137"/>
        <v>9.2000000000000366</v>
      </c>
      <c r="T555">
        <f t="shared" si="128"/>
        <v>5.3200000000000074</v>
      </c>
      <c r="U555">
        <f t="shared" si="131"/>
        <v>1.05</v>
      </c>
      <c r="V555">
        <f t="shared" si="125"/>
        <v>0.56499999999999984</v>
      </c>
      <c r="AC555" t="s">
        <v>1627</v>
      </c>
      <c r="AD555">
        <v>0.75</v>
      </c>
      <c r="AE555">
        <v>6.81</v>
      </c>
      <c r="AG555" t="str" cm="1">
        <f t="array" ref="AG555:AH555">_xlfn.TEXTSPLIT(AC556," ")</f>
        <v>26.10.2023</v>
      </c>
      <c r="AH555" t="str">
        <v>09:14:48</v>
      </c>
      <c r="AI555">
        <f t="shared" si="138"/>
        <v>9.2000000000000366</v>
      </c>
      <c r="AJ555">
        <f t="shared" si="132"/>
        <v>2.2799999999999994</v>
      </c>
      <c r="AK555">
        <f t="shared" si="133"/>
        <v>0.75</v>
      </c>
      <c r="AL555">
        <f t="shared" si="126"/>
        <v>0.31500000000000006</v>
      </c>
      <c r="AN555" t="s">
        <v>1627</v>
      </c>
      <c r="AO555">
        <v>0.9</v>
      </c>
      <c r="AP555">
        <v>68.069999999999993</v>
      </c>
      <c r="AR555" t="str" cm="1">
        <f t="array" ref="AR555:AS555">_xlfn.TEXTSPLIT(AN555," ")</f>
        <v>26.10.2023</v>
      </c>
      <c r="AS555" t="str">
        <v>09:13:48</v>
      </c>
      <c r="AT555">
        <f t="shared" si="139"/>
        <v>9.2000000000000366</v>
      </c>
      <c r="AU555">
        <f t="shared" si="134"/>
        <v>6.7599999999999909</v>
      </c>
      <c r="AV555">
        <f t="shared" si="135"/>
        <v>0.9</v>
      </c>
      <c r="AW555">
        <f t="shared" si="127"/>
        <v>0.64250000000000018</v>
      </c>
    </row>
    <row r="556" spans="1:49" x14ac:dyDescent="0.25">
      <c r="A556" t="s">
        <v>1628</v>
      </c>
      <c r="B556">
        <v>0.45</v>
      </c>
      <c r="C556">
        <v>17.559999999999999</v>
      </c>
      <c r="E556" t="s">
        <v>1628</v>
      </c>
      <c r="F556">
        <v>0.9</v>
      </c>
      <c r="G556">
        <v>83.93</v>
      </c>
      <c r="I556" t="str" cm="1">
        <f t="array" ref="I556:J556">_xlfn.TEXTSPLIT(A556," ")</f>
        <v>27.10.2023</v>
      </c>
      <c r="J556" t="str">
        <v>09:14:50</v>
      </c>
      <c r="K556">
        <f t="shared" si="136"/>
        <v>9.2166666666667041</v>
      </c>
      <c r="L556">
        <f t="shared" si="129"/>
        <v>3.2399999999999984</v>
      </c>
      <c r="M556">
        <f t="shared" si="130"/>
        <v>0.45</v>
      </c>
      <c r="N556">
        <f t="shared" si="124"/>
        <v>0.36500000000000005</v>
      </c>
      <c r="Q556" t="str" cm="1">
        <f t="array" ref="Q556:R556">_xlfn.TEXTSPLIT(E556," ")</f>
        <v>27.10.2023</v>
      </c>
      <c r="R556" t="str">
        <v>09:14:50</v>
      </c>
      <c r="S556">
        <f t="shared" si="137"/>
        <v>9.2166666666667041</v>
      </c>
      <c r="T556">
        <f t="shared" si="128"/>
        <v>5.3300000000000125</v>
      </c>
      <c r="U556">
        <f t="shared" si="131"/>
        <v>0.9</v>
      </c>
      <c r="V556">
        <f t="shared" si="125"/>
        <v>0.57249999999999979</v>
      </c>
      <c r="AC556" t="s">
        <v>1629</v>
      </c>
      <c r="AD556">
        <v>0.3</v>
      </c>
      <c r="AE556">
        <v>6.82</v>
      </c>
      <c r="AG556" t="str" cm="1">
        <f t="array" ref="AG556:AH556">_xlfn.TEXTSPLIT(AC557," ")</f>
        <v>26.10.2023</v>
      </c>
      <c r="AH556" t="str">
        <v>09:15:48</v>
      </c>
      <c r="AI556">
        <f t="shared" si="138"/>
        <v>9.2166666666667041</v>
      </c>
      <c r="AJ556">
        <f t="shared" si="132"/>
        <v>2.29</v>
      </c>
      <c r="AK556">
        <f t="shared" si="133"/>
        <v>0.3</v>
      </c>
      <c r="AL556">
        <f t="shared" si="126"/>
        <v>0.30499999999999999</v>
      </c>
      <c r="AN556" t="s">
        <v>1629</v>
      </c>
      <c r="AO556">
        <v>0.75</v>
      </c>
      <c r="AP556">
        <v>68.09</v>
      </c>
      <c r="AR556" t="str" cm="1">
        <f t="array" ref="AR556:AS556">_xlfn.TEXTSPLIT(AN556," ")</f>
        <v>26.10.2023</v>
      </c>
      <c r="AS556" t="str">
        <v>09:14:48</v>
      </c>
      <c r="AT556">
        <f t="shared" si="139"/>
        <v>9.2166666666667041</v>
      </c>
      <c r="AU556">
        <f t="shared" si="134"/>
        <v>6.7800000000000011</v>
      </c>
      <c r="AV556">
        <f t="shared" si="135"/>
        <v>0.75</v>
      </c>
      <c r="AW556">
        <f t="shared" si="127"/>
        <v>0.64500000000000013</v>
      </c>
    </row>
    <row r="557" spans="1:49" x14ac:dyDescent="0.25">
      <c r="A557" t="s">
        <v>1630</v>
      </c>
      <c r="B557">
        <v>0.45</v>
      </c>
      <c r="C557">
        <v>17.57</v>
      </c>
      <c r="E557" t="s">
        <v>1630</v>
      </c>
      <c r="F557">
        <v>0.6</v>
      </c>
      <c r="G557">
        <v>83.94</v>
      </c>
      <c r="I557" t="str" cm="1">
        <f t="array" ref="I557:J557">_xlfn.TEXTSPLIT(A557," ")</f>
        <v>27.10.2023</v>
      </c>
      <c r="J557" t="str">
        <v>09:15:50</v>
      </c>
      <c r="K557">
        <f t="shared" si="136"/>
        <v>9.2333333333333716</v>
      </c>
      <c r="L557">
        <f t="shared" si="129"/>
        <v>3.25</v>
      </c>
      <c r="M557">
        <f t="shared" si="130"/>
        <v>0.45</v>
      </c>
      <c r="N557">
        <f t="shared" si="124"/>
        <v>0.36749999999999999</v>
      </c>
      <c r="Q557" t="str" cm="1">
        <f t="array" ref="Q557:R557">_xlfn.TEXTSPLIT(E557," ")</f>
        <v>27.10.2023</v>
      </c>
      <c r="R557" t="str">
        <v>09:15:50</v>
      </c>
      <c r="S557">
        <f t="shared" si="137"/>
        <v>9.2333333333333716</v>
      </c>
      <c r="T557">
        <f t="shared" si="128"/>
        <v>5.3400000000000034</v>
      </c>
      <c r="U557">
        <f t="shared" si="131"/>
        <v>0.6</v>
      </c>
      <c r="V557">
        <f t="shared" si="125"/>
        <v>0.57499999999999984</v>
      </c>
      <c r="AC557" t="s">
        <v>1631</v>
      </c>
      <c r="AD557">
        <v>0.3</v>
      </c>
      <c r="AE557">
        <v>6.82</v>
      </c>
      <c r="AG557" t="str" cm="1">
        <f t="array" ref="AG557:AH557">_xlfn.TEXTSPLIT(AC558," ")</f>
        <v>26.10.2023</v>
      </c>
      <c r="AH557" t="str">
        <v>09:16:48</v>
      </c>
      <c r="AI557">
        <f t="shared" si="138"/>
        <v>9.2333333333333716</v>
      </c>
      <c r="AJ557">
        <f t="shared" si="132"/>
        <v>2.29</v>
      </c>
      <c r="AK557">
        <f t="shared" si="133"/>
        <v>0.3</v>
      </c>
      <c r="AL557">
        <f t="shared" si="126"/>
        <v>0.29750000000000004</v>
      </c>
      <c r="AN557" t="s">
        <v>1631</v>
      </c>
      <c r="AO557">
        <v>1.05</v>
      </c>
      <c r="AP557">
        <v>68.099999999999994</v>
      </c>
      <c r="AR557" t="str" cm="1">
        <f t="array" ref="AR557:AS557">_xlfn.TEXTSPLIT(AN557," ")</f>
        <v>26.10.2023</v>
      </c>
      <c r="AS557" t="str">
        <v>09:15:48</v>
      </c>
      <c r="AT557">
        <f t="shared" si="139"/>
        <v>9.2333333333333716</v>
      </c>
      <c r="AU557">
        <f t="shared" si="134"/>
        <v>6.789999999999992</v>
      </c>
      <c r="AV557">
        <f t="shared" si="135"/>
        <v>1.05</v>
      </c>
      <c r="AW557">
        <f t="shared" si="127"/>
        <v>0.65500000000000003</v>
      </c>
    </row>
    <row r="558" spans="1:49" x14ac:dyDescent="0.25">
      <c r="A558" t="s">
        <v>1632</v>
      </c>
      <c r="B558">
        <v>0.15</v>
      </c>
      <c r="C558">
        <v>17.57</v>
      </c>
      <c r="E558" t="s">
        <v>1632</v>
      </c>
      <c r="F558">
        <v>0.45</v>
      </c>
      <c r="G558">
        <v>83.95</v>
      </c>
      <c r="I558" t="str" cm="1">
        <f t="array" ref="I558:J558">_xlfn.TEXTSPLIT(A558," ")</f>
        <v>27.10.2023</v>
      </c>
      <c r="J558" t="str">
        <v>09:16:50</v>
      </c>
      <c r="K558">
        <f t="shared" si="136"/>
        <v>9.2500000000000391</v>
      </c>
      <c r="L558">
        <f t="shared" si="129"/>
        <v>3.25</v>
      </c>
      <c r="M558">
        <f t="shared" si="130"/>
        <v>0.15</v>
      </c>
      <c r="N558">
        <f t="shared" si="124"/>
        <v>0.36749999999999999</v>
      </c>
      <c r="Q558" t="str" cm="1">
        <f t="array" ref="Q558:R558">_xlfn.TEXTSPLIT(E558," ")</f>
        <v>27.10.2023</v>
      </c>
      <c r="R558" t="str">
        <v>09:16:50</v>
      </c>
      <c r="S558">
        <f t="shared" si="137"/>
        <v>9.2500000000000391</v>
      </c>
      <c r="T558">
        <f t="shared" si="128"/>
        <v>5.3500000000000085</v>
      </c>
      <c r="U558">
        <f t="shared" si="131"/>
        <v>0.45</v>
      </c>
      <c r="V558">
        <f t="shared" si="125"/>
        <v>0.5724999999999999</v>
      </c>
      <c r="AC558" t="s">
        <v>1633</v>
      </c>
      <c r="AD558">
        <v>0.3</v>
      </c>
      <c r="AE558">
        <v>6.82</v>
      </c>
      <c r="AG558" t="str" cm="1">
        <f t="array" ref="AG558:AH558">_xlfn.TEXTSPLIT(AC559," ")</f>
        <v>26.10.2023</v>
      </c>
      <c r="AH558" t="str">
        <v>09:17:48</v>
      </c>
      <c r="AI558">
        <f t="shared" si="138"/>
        <v>9.2500000000000391</v>
      </c>
      <c r="AJ558">
        <f t="shared" si="132"/>
        <v>2.29</v>
      </c>
      <c r="AK558">
        <f t="shared" si="133"/>
        <v>0.3</v>
      </c>
      <c r="AL558">
        <f t="shared" si="126"/>
        <v>0.2950000000000001</v>
      </c>
      <c r="AN558" t="s">
        <v>1633</v>
      </c>
      <c r="AO558">
        <v>0.75</v>
      </c>
      <c r="AP558">
        <v>68.12</v>
      </c>
      <c r="AR558" t="str" cm="1">
        <f t="array" ref="AR558:AS558">_xlfn.TEXTSPLIT(AN558," ")</f>
        <v>26.10.2023</v>
      </c>
      <c r="AS558" t="str">
        <v>09:16:48</v>
      </c>
      <c r="AT558">
        <f t="shared" si="139"/>
        <v>9.2500000000000391</v>
      </c>
      <c r="AU558">
        <f t="shared" si="134"/>
        <v>6.8100000000000023</v>
      </c>
      <c r="AV558">
        <f t="shared" si="135"/>
        <v>0.75</v>
      </c>
      <c r="AW558">
        <f t="shared" si="127"/>
        <v>0.65750000000000008</v>
      </c>
    </row>
    <row r="559" spans="1:49" x14ac:dyDescent="0.25">
      <c r="A559" t="s">
        <v>1634</v>
      </c>
      <c r="B559">
        <v>0.3</v>
      </c>
      <c r="C559">
        <v>17.57</v>
      </c>
      <c r="E559" t="s">
        <v>1634</v>
      </c>
      <c r="F559">
        <v>0.45</v>
      </c>
      <c r="G559">
        <v>83.96</v>
      </c>
      <c r="I559" t="str" cm="1">
        <f t="array" ref="I559:J559">_xlfn.TEXTSPLIT(A559," ")</f>
        <v>27.10.2023</v>
      </c>
      <c r="J559" t="str">
        <v>09:17:50</v>
      </c>
      <c r="K559">
        <f t="shared" si="136"/>
        <v>9.2666666666667066</v>
      </c>
      <c r="L559">
        <f t="shared" si="129"/>
        <v>3.25</v>
      </c>
      <c r="M559">
        <f t="shared" si="130"/>
        <v>0.3</v>
      </c>
      <c r="N559">
        <f t="shared" si="124"/>
        <v>0.36499999999999999</v>
      </c>
      <c r="Q559" t="str" cm="1">
        <f t="array" ref="Q559:R559">_xlfn.TEXTSPLIT(E559," ")</f>
        <v>27.10.2023</v>
      </c>
      <c r="R559" t="str">
        <v>09:17:50</v>
      </c>
      <c r="S559">
        <f t="shared" si="137"/>
        <v>9.2666666666667066</v>
      </c>
      <c r="T559">
        <f t="shared" si="128"/>
        <v>5.3599999999999994</v>
      </c>
      <c r="U559">
        <f t="shared" si="131"/>
        <v>0.45</v>
      </c>
      <c r="V559">
        <f t="shared" si="125"/>
        <v>0.56999999999999995</v>
      </c>
      <c r="AC559" t="s">
        <v>1635</v>
      </c>
      <c r="AD559">
        <v>0.15</v>
      </c>
      <c r="AE559">
        <v>6.83</v>
      </c>
      <c r="AG559" t="str" cm="1">
        <f t="array" ref="AG559:AH559">_xlfn.TEXTSPLIT(AC560," ")</f>
        <v>26.10.2023</v>
      </c>
      <c r="AH559" t="str">
        <v>09:18:48</v>
      </c>
      <c r="AI559">
        <f t="shared" si="138"/>
        <v>9.2666666666667066</v>
      </c>
      <c r="AJ559">
        <f t="shared" si="132"/>
        <v>2.2999999999999998</v>
      </c>
      <c r="AK559">
        <f t="shared" si="133"/>
        <v>0.15</v>
      </c>
      <c r="AL559">
        <f t="shared" si="126"/>
        <v>0.29500000000000004</v>
      </c>
      <c r="AN559" t="s">
        <v>1635</v>
      </c>
      <c r="AO559">
        <v>0.9</v>
      </c>
      <c r="AP559">
        <v>68.13</v>
      </c>
      <c r="AR559" t="str" cm="1">
        <f t="array" ref="AR559:AS559">_xlfn.TEXTSPLIT(AN559," ")</f>
        <v>26.10.2023</v>
      </c>
      <c r="AS559" t="str">
        <v>09:17:48</v>
      </c>
      <c r="AT559">
        <f t="shared" si="139"/>
        <v>9.2666666666667066</v>
      </c>
      <c r="AU559">
        <f t="shared" si="134"/>
        <v>6.8199999999999932</v>
      </c>
      <c r="AV559">
        <f t="shared" si="135"/>
        <v>0.9</v>
      </c>
      <c r="AW559">
        <f t="shared" si="127"/>
        <v>0.66</v>
      </c>
    </row>
    <row r="560" spans="1:49" x14ac:dyDescent="0.25">
      <c r="A560" t="s">
        <v>1636</v>
      </c>
      <c r="B560">
        <v>0.3</v>
      </c>
      <c r="C560">
        <v>17.579999999999998</v>
      </c>
      <c r="E560" t="s">
        <v>1636</v>
      </c>
      <c r="F560">
        <v>0.45</v>
      </c>
      <c r="G560">
        <v>83.96</v>
      </c>
      <c r="I560" t="str" cm="1">
        <f t="array" ref="I560:J560">_xlfn.TEXTSPLIT(A560," ")</f>
        <v>27.10.2023</v>
      </c>
      <c r="J560" t="str">
        <v>09:18:50</v>
      </c>
      <c r="K560">
        <f t="shared" si="136"/>
        <v>9.2833333333333741</v>
      </c>
      <c r="L560">
        <f t="shared" si="129"/>
        <v>3.259999999999998</v>
      </c>
      <c r="M560">
        <f t="shared" si="130"/>
        <v>0.3</v>
      </c>
      <c r="N560">
        <f t="shared" si="124"/>
        <v>0.36749999999999999</v>
      </c>
      <c r="Q560" t="str" cm="1">
        <f t="array" ref="Q560:R560">_xlfn.TEXTSPLIT(E560," ")</f>
        <v>27.10.2023</v>
      </c>
      <c r="R560" t="str">
        <v>09:18:50</v>
      </c>
      <c r="S560">
        <f t="shared" si="137"/>
        <v>9.2833333333333741</v>
      </c>
      <c r="T560">
        <f t="shared" si="128"/>
        <v>5.3599999999999994</v>
      </c>
      <c r="U560">
        <f t="shared" si="131"/>
        <v>0.45</v>
      </c>
      <c r="V560">
        <f t="shared" si="125"/>
        <v>0.56499999999999995</v>
      </c>
      <c r="AC560" t="s">
        <v>1637</v>
      </c>
      <c r="AD560">
        <v>0.3</v>
      </c>
      <c r="AE560">
        <v>6.83</v>
      </c>
      <c r="AG560" t="str" cm="1">
        <f t="array" ref="AG560:AH560">_xlfn.TEXTSPLIT(AC561," ")</f>
        <v>26.10.2023</v>
      </c>
      <c r="AH560" t="str">
        <v>09:19:49</v>
      </c>
      <c r="AI560">
        <f t="shared" si="138"/>
        <v>9.2833333333333741</v>
      </c>
      <c r="AJ560">
        <f t="shared" si="132"/>
        <v>2.2999999999999998</v>
      </c>
      <c r="AK560">
        <f t="shared" si="133"/>
        <v>0.3</v>
      </c>
      <c r="AL560">
        <f t="shared" si="126"/>
        <v>0.29250000000000009</v>
      </c>
      <c r="AN560" t="s">
        <v>1637</v>
      </c>
      <c r="AO560">
        <v>0.6</v>
      </c>
      <c r="AP560">
        <v>68.14</v>
      </c>
      <c r="AR560" t="str" cm="1">
        <f t="array" ref="AR560:AS560">_xlfn.TEXTSPLIT(AN560," ")</f>
        <v>26.10.2023</v>
      </c>
      <c r="AS560" t="str">
        <v>09:18:48</v>
      </c>
      <c r="AT560">
        <f t="shared" si="139"/>
        <v>9.2833333333333741</v>
      </c>
      <c r="AU560">
        <f t="shared" si="134"/>
        <v>6.8299999999999983</v>
      </c>
      <c r="AV560">
        <f t="shared" si="135"/>
        <v>0.6</v>
      </c>
      <c r="AW560">
        <f t="shared" si="127"/>
        <v>0.65749999999999997</v>
      </c>
    </row>
    <row r="561" spans="1:49" x14ac:dyDescent="0.25">
      <c r="A561" t="s">
        <v>1638</v>
      </c>
      <c r="B561">
        <v>0.15</v>
      </c>
      <c r="C561">
        <v>17.579999999999998</v>
      </c>
      <c r="E561" t="s">
        <v>1638</v>
      </c>
      <c r="F561">
        <v>0.45</v>
      </c>
      <c r="G561">
        <v>83.97</v>
      </c>
      <c r="I561" t="str" cm="1">
        <f t="array" ref="I561:J561">_xlfn.TEXTSPLIT(A561," ")</f>
        <v>27.10.2023</v>
      </c>
      <c r="J561" t="str">
        <v>09:19:50</v>
      </c>
      <c r="K561">
        <f t="shared" si="136"/>
        <v>9.3000000000000416</v>
      </c>
      <c r="L561">
        <f t="shared" si="129"/>
        <v>3.259999999999998</v>
      </c>
      <c r="M561">
        <f t="shared" si="130"/>
        <v>0.15</v>
      </c>
      <c r="N561">
        <f t="shared" si="124"/>
        <v>0.36749999999999999</v>
      </c>
      <c r="Q561" t="str" cm="1">
        <f t="array" ref="Q561:R561">_xlfn.TEXTSPLIT(E561," ")</f>
        <v>27.10.2023</v>
      </c>
      <c r="R561" t="str">
        <v>09:19:50</v>
      </c>
      <c r="S561">
        <f t="shared" si="137"/>
        <v>9.3000000000000416</v>
      </c>
      <c r="T561">
        <f t="shared" si="128"/>
        <v>5.3700000000000045</v>
      </c>
      <c r="U561">
        <f t="shared" si="131"/>
        <v>0.45</v>
      </c>
      <c r="V561">
        <f t="shared" si="125"/>
        <v>0.55499999999999994</v>
      </c>
      <c r="AC561" t="s">
        <v>1639</v>
      </c>
      <c r="AD561">
        <v>0.3</v>
      </c>
      <c r="AE561">
        <v>6.84</v>
      </c>
      <c r="AG561" t="str" cm="1">
        <f t="array" ref="AG561:AH561">_xlfn.TEXTSPLIT(AC562," ")</f>
        <v>26.10.2023</v>
      </c>
      <c r="AH561" t="str">
        <v>09:20:49</v>
      </c>
      <c r="AI561">
        <f t="shared" si="138"/>
        <v>9.3000000000000416</v>
      </c>
      <c r="AJ561">
        <f t="shared" si="132"/>
        <v>2.3099999999999996</v>
      </c>
      <c r="AK561">
        <f t="shared" si="133"/>
        <v>0.3</v>
      </c>
      <c r="AL561">
        <f t="shared" si="126"/>
        <v>0.29500000000000004</v>
      </c>
      <c r="AN561" t="s">
        <v>1639</v>
      </c>
      <c r="AO561">
        <v>0.45</v>
      </c>
      <c r="AP561">
        <v>68.150000000000006</v>
      </c>
      <c r="AR561" t="str" cm="1">
        <f t="array" ref="AR561:AS561">_xlfn.TEXTSPLIT(AN561," ")</f>
        <v>26.10.2023</v>
      </c>
      <c r="AS561" t="str">
        <v>09:19:49</v>
      </c>
      <c r="AT561">
        <f t="shared" si="139"/>
        <v>9.3000000000000416</v>
      </c>
      <c r="AU561">
        <f t="shared" si="134"/>
        <v>6.8400000000000034</v>
      </c>
      <c r="AV561">
        <f t="shared" si="135"/>
        <v>0.45</v>
      </c>
      <c r="AW561">
        <f t="shared" si="127"/>
        <v>0.65</v>
      </c>
    </row>
    <row r="562" spans="1:49" x14ac:dyDescent="0.25">
      <c r="A562" t="s">
        <v>1640</v>
      </c>
      <c r="B562">
        <v>0.15</v>
      </c>
      <c r="C562">
        <v>17.579999999999998</v>
      </c>
      <c r="E562" t="s">
        <v>1640</v>
      </c>
      <c r="F562">
        <v>0.45</v>
      </c>
      <c r="G562">
        <v>83.98</v>
      </c>
      <c r="I562" t="str" cm="1">
        <f t="array" ref="I562:J562">_xlfn.TEXTSPLIT(A562," ")</f>
        <v>27.10.2023</v>
      </c>
      <c r="J562" t="str">
        <v>09:20:50</v>
      </c>
      <c r="K562">
        <f t="shared" si="136"/>
        <v>9.3166666666667091</v>
      </c>
      <c r="L562">
        <f t="shared" si="129"/>
        <v>3.259999999999998</v>
      </c>
      <c r="M562">
        <f t="shared" si="130"/>
        <v>0.15</v>
      </c>
      <c r="N562">
        <f t="shared" si="124"/>
        <v>0.36749999999999999</v>
      </c>
      <c r="Q562" t="str" cm="1">
        <f t="array" ref="Q562:R562">_xlfn.TEXTSPLIT(E562," ")</f>
        <v>27.10.2023</v>
      </c>
      <c r="R562" t="str">
        <v>09:20:50</v>
      </c>
      <c r="S562">
        <f t="shared" si="137"/>
        <v>9.3166666666667091</v>
      </c>
      <c r="T562">
        <f t="shared" si="128"/>
        <v>5.3800000000000097</v>
      </c>
      <c r="U562">
        <f t="shared" si="131"/>
        <v>0.45</v>
      </c>
      <c r="V562">
        <f t="shared" si="125"/>
        <v>0.55249999999999999</v>
      </c>
      <c r="AC562" t="s">
        <v>1641</v>
      </c>
      <c r="AD562">
        <v>0.15</v>
      </c>
      <c r="AE562">
        <v>6.84</v>
      </c>
      <c r="AG562" t="str" cm="1">
        <f t="array" ref="AG562:AH562">_xlfn.TEXTSPLIT(AC563," ")</f>
        <v>26.10.2023</v>
      </c>
      <c r="AH562" t="str">
        <v>09:21:49</v>
      </c>
      <c r="AI562">
        <f t="shared" si="138"/>
        <v>9.3166666666667091</v>
      </c>
      <c r="AJ562">
        <f t="shared" si="132"/>
        <v>2.3099999999999996</v>
      </c>
      <c r="AK562">
        <f t="shared" si="133"/>
        <v>0.15</v>
      </c>
      <c r="AL562">
        <f t="shared" si="126"/>
        <v>0.29499999999999998</v>
      </c>
      <c r="AN562" t="s">
        <v>1641</v>
      </c>
      <c r="AO562">
        <v>0.6</v>
      </c>
      <c r="AP562">
        <v>68.16</v>
      </c>
      <c r="AR562" t="str" cm="1">
        <f t="array" ref="AR562:AS562">_xlfn.TEXTSPLIT(AN562," ")</f>
        <v>26.10.2023</v>
      </c>
      <c r="AS562" t="str">
        <v>09:20:49</v>
      </c>
      <c r="AT562">
        <f t="shared" si="139"/>
        <v>9.3166666666667091</v>
      </c>
      <c r="AU562">
        <f t="shared" si="134"/>
        <v>6.8499999999999943</v>
      </c>
      <c r="AV562">
        <f t="shared" si="135"/>
        <v>0.6</v>
      </c>
      <c r="AW562">
        <f t="shared" si="127"/>
        <v>0.64500000000000002</v>
      </c>
    </row>
    <row r="563" spans="1:49" x14ac:dyDescent="0.25">
      <c r="A563" t="s">
        <v>1642</v>
      </c>
      <c r="B563">
        <v>0.15</v>
      </c>
      <c r="C563">
        <v>17.579999999999998</v>
      </c>
      <c r="E563" t="s">
        <v>1642</v>
      </c>
      <c r="F563">
        <v>0.45</v>
      </c>
      <c r="G563">
        <v>83.98</v>
      </c>
      <c r="I563" t="str" cm="1">
        <f t="array" ref="I563:J563">_xlfn.TEXTSPLIT(A563," ")</f>
        <v>27.10.2023</v>
      </c>
      <c r="J563" t="str">
        <v>09:21:50</v>
      </c>
      <c r="K563">
        <f t="shared" si="136"/>
        <v>9.3333333333333766</v>
      </c>
      <c r="L563">
        <f t="shared" si="129"/>
        <v>3.259999999999998</v>
      </c>
      <c r="M563">
        <f t="shared" si="130"/>
        <v>0.15</v>
      </c>
      <c r="N563">
        <f t="shared" si="124"/>
        <v>0.36749999999999994</v>
      </c>
      <c r="Q563" t="str" cm="1">
        <f t="array" ref="Q563:R563">_xlfn.TEXTSPLIT(E563," ")</f>
        <v>27.10.2023</v>
      </c>
      <c r="R563" t="str">
        <v>09:21:50</v>
      </c>
      <c r="S563">
        <f t="shared" si="137"/>
        <v>9.3333333333333766</v>
      </c>
      <c r="T563">
        <f t="shared" si="128"/>
        <v>5.3800000000000097</v>
      </c>
      <c r="U563">
        <f t="shared" si="131"/>
        <v>0.45</v>
      </c>
      <c r="V563">
        <f t="shared" si="125"/>
        <v>0.55249999999999999</v>
      </c>
      <c r="AC563" t="s">
        <v>1643</v>
      </c>
      <c r="AD563">
        <v>0.3</v>
      </c>
      <c r="AE563">
        <v>6.84</v>
      </c>
      <c r="AG563" t="str" cm="1">
        <f t="array" ref="AG563:AH563">_xlfn.TEXTSPLIT(AC564," ")</f>
        <v>26.10.2023</v>
      </c>
      <c r="AH563" t="str">
        <v>09:22:49</v>
      </c>
      <c r="AI563">
        <f t="shared" si="138"/>
        <v>9.3333333333333766</v>
      </c>
      <c r="AJ563">
        <f t="shared" si="132"/>
        <v>2.3099999999999996</v>
      </c>
      <c r="AK563">
        <f t="shared" si="133"/>
        <v>0.3</v>
      </c>
      <c r="AL563">
        <f t="shared" si="126"/>
        <v>0.29750000000000004</v>
      </c>
      <c r="AN563" t="s">
        <v>1643</v>
      </c>
      <c r="AO563">
        <v>0.6</v>
      </c>
      <c r="AP563">
        <v>68.17</v>
      </c>
      <c r="AR563" t="str" cm="1">
        <f t="array" ref="AR563:AS563">_xlfn.TEXTSPLIT(AN563," ")</f>
        <v>26.10.2023</v>
      </c>
      <c r="AS563" t="str">
        <v>09:21:49</v>
      </c>
      <c r="AT563">
        <f t="shared" si="139"/>
        <v>9.3333333333333766</v>
      </c>
      <c r="AU563">
        <f t="shared" si="134"/>
        <v>6.8599999999999994</v>
      </c>
      <c r="AV563">
        <f t="shared" si="135"/>
        <v>0.6</v>
      </c>
      <c r="AW563">
        <f t="shared" si="127"/>
        <v>0.64250000000000007</v>
      </c>
    </row>
    <row r="564" spans="1:49" x14ac:dyDescent="0.25">
      <c r="A564" t="s">
        <v>1644</v>
      </c>
      <c r="B564">
        <v>0.15</v>
      </c>
      <c r="C564">
        <v>17.59</v>
      </c>
      <c r="E564" t="s">
        <v>1644</v>
      </c>
      <c r="F564">
        <v>0</v>
      </c>
      <c r="G564">
        <v>83.98</v>
      </c>
      <c r="I564" t="str" cm="1">
        <f t="array" ref="I564:J564">_xlfn.TEXTSPLIT(A564," ")</f>
        <v>27.10.2023</v>
      </c>
      <c r="J564" t="str">
        <v>09:22:51</v>
      </c>
      <c r="K564">
        <f t="shared" si="136"/>
        <v>9.3500000000000441</v>
      </c>
      <c r="L564">
        <f t="shared" si="129"/>
        <v>3.2699999999999996</v>
      </c>
      <c r="M564">
        <f t="shared" si="130"/>
        <v>0.15</v>
      </c>
      <c r="N564">
        <f t="shared" si="124"/>
        <v>0.36749999999999994</v>
      </c>
      <c r="Q564" t="str" cm="1">
        <f t="array" ref="Q564:R564">_xlfn.TEXTSPLIT(E564," ")</f>
        <v>27.10.2023</v>
      </c>
      <c r="R564" t="str">
        <v>09:22:51</v>
      </c>
      <c r="S564">
        <f t="shared" si="137"/>
        <v>9.3500000000000441</v>
      </c>
      <c r="T564">
        <f t="shared" si="128"/>
        <v>5.3800000000000097</v>
      </c>
      <c r="U564">
        <f t="shared" si="131"/>
        <v>0</v>
      </c>
      <c r="V564">
        <f t="shared" si="125"/>
        <v>0.55249999999999999</v>
      </c>
      <c r="AC564" t="s">
        <v>1645</v>
      </c>
      <c r="AD564">
        <v>0</v>
      </c>
      <c r="AE564">
        <v>6.84</v>
      </c>
      <c r="AG564" t="str" cm="1">
        <f t="array" ref="AG564:AH564">_xlfn.TEXTSPLIT(AC565," ")</f>
        <v>26.10.2023</v>
      </c>
      <c r="AH564" t="str">
        <v>09:23:49</v>
      </c>
      <c r="AI564">
        <f t="shared" si="138"/>
        <v>9.3500000000000441</v>
      </c>
      <c r="AJ564">
        <f t="shared" si="132"/>
        <v>2.3099999999999996</v>
      </c>
      <c r="AK564">
        <f t="shared" si="133"/>
        <v>0</v>
      </c>
      <c r="AL564">
        <f t="shared" si="126"/>
        <v>0.29750000000000004</v>
      </c>
      <c r="AN564" t="s">
        <v>1645</v>
      </c>
      <c r="AO564">
        <v>0.15</v>
      </c>
      <c r="AP564">
        <v>68.17</v>
      </c>
      <c r="AR564" t="str" cm="1">
        <f t="array" ref="AR564:AS564">_xlfn.TEXTSPLIT(AN564," ")</f>
        <v>26.10.2023</v>
      </c>
      <c r="AS564" t="str">
        <v>09:22:49</v>
      </c>
      <c r="AT564">
        <f t="shared" si="139"/>
        <v>9.3500000000000441</v>
      </c>
      <c r="AU564">
        <f t="shared" si="134"/>
        <v>6.8599999999999994</v>
      </c>
      <c r="AV564">
        <f t="shared" si="135"/>
        <v>0.15</v>
      </c>
      <c r="AW564">
        <f t="shared" si="127"/>
        <v>0.64000000000000012</v>
      </c>
    </row>
    <row r="565" spans="1:49" x14ac:dyDescent="0.25">
      <c r="A565" t="s">
        <v>1646</v>
      </c>
      <c r="B565">
        <v>0</v>
      </c>
      <c r="C565">
        <v>17.59</v>
      </c>
      <c r="E565" t="s">
        <v>1646</v>
      </c>
      <c r="F565">
        <v>0</v>
      </c>
      <c r="G565">
        <v>83.98</v>
      </c>
      <c r="I565" t="str" cm="1">
        <f t="array" ref="I565:J565">_xlfn.TEXTSPLIT(A565," ")</f>
        <v>27.10.2023</v>
      </c>
      <c r="J565" t="str">
        <v>09:23:51</v>
      </c>
      <c r="K565">
        <f t="shared" si="136"/>
        <v>9.3666666666667115</v>
      </c>
      <c r="L565">
        <f t="shared" si="129"/>
        <v>3.2699999999999996</v>
      </c>
      <c r="M565">
        <f t="shared" si="130"/>
        <v>0</v>
      </c>
      <c r="N565">
        <f t="shared" si="124"/>
        <v>0.36749999999999994</v>
      </c>
      <c r="Q565" t="str" cm="1">
        <f t="array" ref="Q565:R565">_xlfn.TEXTSPLIT(E565," ")</f>
        <v>27.10.2023</v>
      </c>
      <c r="R565" t="str">
        <v>09:23:51</v>
      </c>
      <c r="S565">
        <f t="shared" si="137"/>
        <v>9.3666666666667115</v>
      </c>
      <c r="T565">
        <f t="shared" si="128"/>
        <v>5.3800000000000097</v>
      </c>
      <c r="U565">
        <f t="shared" si="131"/>
        <v>0</v>
      </c>
      <c r="V565">
        <f t="shared" si="125"/>
        <v>0.55249999999999999</v>
      </c>
      <c r="AC565" t="s">
        <v>1647</v>
      </c>
      <c r="AD565">
        <v>0</v>
      </c>
      <c r="AE565">
        <v>6.84</v>
      </c>
      <c r="AG565" t="str" cm="1">
        <f t="array" ref="AG565:AH565">_xlfn.TEXTSPLIT(AC566," ")</f>
        <v>26.10.2023</v>
      </c>
      <c r="AH565" t="str">
        <v>09:24:49</v>
      </c>
      <c r="AI565">
        <f t="shared" si="138"/>
        <v>9.3666666666667115</v>
      </c>
      <c r="AJ565">
        <f t="shared" si="132"/>
        <v>2.3099999999999996</v>
      </c>
      <c r="AK565">
        <f t="shared" si="133"/>
        <v>0</v>
      </c>
      <c r="AL565">
        <f t="shared" si="126"/>
        <v>0.29499999999999998</v>
      </c>
      <c r="AN565" t="s">
        <v>1647</v>
      </c>
      <c r="AO565">
        <v>0</v>
      </c>
      <c r="AP565">
        <v>68.17</v>
      </c>
      <c r="AR565" t="str" cm="1">
        <f t="array" ref="AR565:AS565">_xlfn.TEXTSPLIT(AN565," ")</f>
        <v>26.10.2023</v>
      </c>
      <c r="AS565" t="str">
        <v>09:23:49</v>
      </c>
      <c r="AT565">
        <f t="shared" si="139"/>
        <v>9.3666666666667115</v>
      </c>
      <c r="AU565">
        <f t="shared" si="134"/>
        <v>6.8599999999999994</v>
      </c>
      <c r="AV565">
        <f t="shared" si="135"/>
        <v>0</v>
      </c>
      <c r="AW565">
        <f t="shared" si="127"/>
        <v>0.64000000000000012</v>
      </c>
    </row>
    <row r="566" spans="1:49" x14ac:dyDescent="0.25">
      <c r="A566" t="s">
        <v>1648</v>
      </c>
      <c r="B566">
        <v>0</v>
      </c>
      <c r="C566">
        <v>17.59</v>
      </c>
      <c r="E566" t="s">
        <v>1648</v>
      </c>
      <c r="F566">
        <v>0</v>
      </c>
      <c r="G566">
        <v>83.98</v>
      </c>
      <c r="I566" t="str" cm="1">
        <f t="array" ref="I566:J566">_xlfn.TEXTSPLIT(A566," ")</f>
        <v>27.10.2023</v>
      </c>
      <c r="J566" t="str">
        <v>09:24:51</v>
      </c>
      <c r="K566">
        <f t="shared" si="136"/>
        <v>9.383333333333379</v>
      </c>
      <c r="L566">
        <f t="shared" si="129"/>
        <v>3.2699999999999996</v>
      </c>
      <c r="M566">
        <f t="shared" si="130"/>
        <v>0</v>
      </c>
      <c r="N566">
        <f t="shared" si="124"/>
        <v>0.36749999999999994</v>
      </c>
      <c r="Q566" t="str" cm="1">
        <f t="array" ref="Q566:R566">_xlfn.TEXTSPLIT(E566," ")</f>
        <v>27.10.2023</v>
      </c>
      <c r="R566" t="str">
        <v>09:24:51</v>
      </c>
      <c r="S566">
        <f t="shared" si="137"/>
        <v>9.383333333333379</v>
      </c>
      <c r="T566">
        <f t="shared" si="128"/>
        <v>5.3800000000000097</v>
      </c>
      <c r="U566">
        <f t="shared" si="131"/>
        <v>0</v>
      </c>
      <c r="V566">
        <f t="shared" si="125"/>
        <v>0.55249999999999999</v>
      </c>
      <c r="AC566" t="s">
        <v>1649</v>
      </c>
      <c r="AD566">
        <v>0</v>
      </c>
      <c r="AE566">
        <v>6.84</v>
      </c>
      <c r="AG566" t="str" cm="1">
        <f t="array" ref="AG566:AH566">_xlfn.TEXTSPLIT(AC567," ")</f>
        <v>26.10.2023</v>
      </c>
      <c r="AH566" t="str">
        <v>09:25:49</v>
      </c>
      <c r="AI566">
        <f t="shared" si="138"/>
        <v>9.383333333333379</v>
      </c>
      <c r="AJ566">
        <f t="shared" si="132"/>
        <v>2.3099999999999996</v>
      </c>
      <c r="AK566">
        <f t="shared" si="133"/>
        <v>0</v>
      </c>
      <c r="AL566">
        <f t="shared" si="126"/>
        <v>0.29499999999999998</v>
      </c>
      <c r="AN566" t="s">
        <v>1649</v>
      </c>
      <c r="AO566">
        <v>0</v>
      </c>
      <c r="AP566">
        <v>68.17</v>
      </c>
      <c r="AR566" t="str" cm="1">
        <f t="array" ref="AR566:AS566">_xlfn.TEXTSPLIT(AN566," ")</f>
        <v>26.10.2023</v>
      </c>
      <c r="AS566" t="str">
        <v>09:24:49</v>
      </c>
      <c r="AT566">
        <f t="shared" si="139"/>
        <v>9.383333333333379</v>
      </c>
      <c r="AU566">
        <f t="shared" si="134"/>
        <v>6.8599999999999994</v>
      </c>
      <c r="AV566">
        <f t="shared" si="135"/>
        <v>0</v>
      </c>
      <c r="AW566">
        <f t="shared" si="127"/>
        <v>0.64000000000000012</v>
      </c>
    </row>
    <row r="567" spans="1:49" x14ac:dyDescent="0.25">
      <c r="A567" t="s">
        <v>1650</v>
      </c>
      <c r="B567">
        <v>0</v>
      </c>
      <c r="C567">
        <v>17.59</v>
      </c>
      <c r="E567" t="s">
        <v>1650</v>
      </c>
      <c r="F567">
        <v>0.15</v>
      </c>
      <c r="G567">
        <v>83.99</v>
      </c>
      <c r="I567" t="str" cm="1">
        <f t="array" ref="I567:J567">_xlfn.TEXTSPLIT(A567," ")</f>
        <v>27.10.2023</v>
      </c>
      <c r="J567" t="str">
        <v>09:25:51</v>
      </c>
      <c r="K567">
        <f t="shared" si="136"/>
        <v>9.4000000000000465</v>
      </c>
      <c r="L567">
        <f t="shared" si="129"/>
        <v>3.2699999999999996</v>
      </c>
      <c r="M567">
        <f t="shared" si="130"/>
        <v>0</v>
      </c>
      <c r="N567">
        <f t="shared" si="124"/>
        <v>0.36749999999999994</v>
      </c>
      <c r="Q567" t="str" cm="1">
        <f t="array" ref="Q567:R567">_xlfn.TEXTSPLIT(E567," ")</f>
        <v>27.10.2023</v>
      </c>
      <c r="R567" t="str">
        <v>09:25:51</v>
      </c>
      <c r="S567">
        <f t="shared" si="137"/>
        <v>9.4000000000000465</v>
      </c>
      <c r="T567">
        <f t="shared" si="128"/>
        <v>5.3900000000000006</v>
      </c>
      <c r="U567">
        <f t="shared" si="131"/>
        <v>0.15</v>
      </c>
      <c r="V567">
        <f t="shared" si="125"/>
        <v>0.55499999999999994</v>
      </c>
      <c r="AC567" t="s">
        <v>1651</v>
      </c>
      <c r="AD567">
        <v>0</v>
      </c>
      <c r="AE567">
        <v>6.84</v>
      </c>
      <c r="AG567" t="str" cm="1">
        <f t="array" ref="AG567:AH567">_xlfn.TEXTSPLIT(AC568," ")</f>
        <v>26.10.2023</v>
      </c>
      <c r="AH567" t="str">
        <v>09:26:50</v>
      </c>
      <c r="AI567">
        <f t="shared" si="138"/>
        <v>9.4000000000000465</v>
      </c>
      <c r="AJ567">
        <f t="shared" si="132"/>
        <v>2.3099999999999996</v>
      </c>
      <c r="AK567">
        <f t="shared" si="133"/>
        <v>0</v>
      </c>
      <c r="AL567">
        <f t="shared" si="126"/>
        <v>0.29499999999999998</v>
      </c>
      <c r="AN567" t="s">
        <v>1651</v>
      </c>
      <c r="AO567">
        <v>0</v>
      </c>
      <c r="AP567">
        <v>68.17</v>
      </c>
      <c r="AR567" t="str" cm="1">
        <f t="array" ref="AR567:AS567">_xlfn.TEXTSPLIT(AN567," ")</f>
        <v>26.10.2023</v>
      </c>
      <c r="AS567" t="str">
        <v>09:25:49</v>
      </c>
      <c r="AT567">
        <f t="shared" si="139"/>
        <v>9.4000000000000465</v>
      </c>
      <c r="AU567">
        <f t="shared" si="134"/>
        <v>6.8599999999999994</v>
      </c>
      <c r="AV567">
        <f t="shared" si="135"/>
        <v>0</v>
      </c>
      <c r="AW567">
        <f t="shared" si="127"/>
        <v>0.63749999999999996</v>
      </c>
    </row>
    <row r="568" spans="1:49" x14ac:dyDescent="0.25">
      <c r="A568" t="s">
        <v>1652</v>
      </c>
      <c r="B568">
        <v>0</v>
      </c>
      <c r="C568">
        <v>17.59</v>
      </c>
      <c r="E568" t="s">
        <v>1652</v>
      </c>
      <c r="F568">
        <v>0</v>
      </c>
      <c r="G568">
        <v>83.99</v>
      </c>
      <c r="I568" t="str" cm="1">
        <f t="array" ref="I568:J568">_xlfn.TEXTSPLIT(A568," ")</f>
        <v>27.10.2023</v>
      </c>
      <c r="J568" t="str">
        <v>09:26:51</v>
      </c>
      <c r="K568">
        <f t="shared" si="136"/>
        <v>9.416666666666714</v>
      </c>
      <c r="L568">
        <f t="shared" si="129"/>
        <v>3.2699999999999996</v>
      </c>
      <c r="M568">
        <f t="shared" si="130"/>
        <v>0</v>
      </c>
      <c r="N568">
        <f t="shared" si="124"/>
        <v>0.36749999999999994</v>
      </c>
      <c r="Q568" t="str" cm="1">
        <f t="array" ref="Q568:R568">_xlfn.TEXTSPLIT(E568," ")</f>
        <v>27.10.2023</v>
      </c>
      <c r="R568" t="str">
        <v>09:26:51</v>
      </c>
      <c r="S568">
        <f t="shared" si="137"/>
        <v>9.416666666666714</v>
      </c>
      <c r="T568">
        <f t="shared" si="128"/>
        <v>5.3900000000000006</v>
      </c>
      <c r="U568">
        <f t="shared" si="131"/>
        <v>0</v>
      </c>
      <c r="V568">
        <f t="shared" si="125"/>
        <v>0.55499999999999994</v>
      </c>
      <c r="AC568" t="s">
        <v>1653</v>
      </c>
      <c r="AD568">
        <v>0</v>
      </c>
      <c r="AE568">
        <v>6.84</v>
      </c>
      <c r="AG568" t="str" cm="1">
        <f t="array" ref="AG568:AH568">_xlfn.TEXTSPLIT(AC569," ")</f>
        <v>26.10.2023</v>
      </c>
      <c r="AH568" t="str">
        <v>09:27:50</v>
      </c>
      <c r="AI568">
        <f t="shared" si="138"/>
        <v>9.416666666666714</v>
      </c>
      <c r="AJ568">
        <f t="shared" si="132"/>
        <v>2.3099999999999996</v>
      </c>
      <c r="AK568">
        <f t="shared" si="133"/>
        <v>0</v>
      </c>
      <c r="AL568">
        <f t="shared" si="126"/>
        <v>0.29499999999999998</v>
      </c>
      <c r="AN568" t="s">
        <v>1653</v>
      </c>
      <c r="AO568">
        <v>0.15</v>
      </c>
      <c r="AP568">
        <v>68.17</v>
      </c>
      <c r="AR568" t="str" cm="1">
        <f t="array" ref="AR568:AS568">_xlfn.TEXTSPLIT(AN568," ")</f>
        <v>26.10.2023</v>
      </c>
      <c r="AS568" t="str">
        <v>09:26:50</v>
      </c>
      <c r="AT568">
        <f t="shared" si="139"/>
        <v>9.416666666666714</v>
      </c>
      <c r="AU568">
        <f t="shared" si="134"/>
        <v>6.8599999999999994</v>
      </c>
      <c r="AV568">
        <f t="shared" si="135"/>
        <v>0.15</v>
      </c>
      <c r="AW568">
        <f t="shared" si="127"/>
        <v>0.64</v>
      </c>
    </row>
    <row r="569" spans="1:49" x14ac:dyDescent="0.25">
      <c r="A569" t="s">
        <v>1654</v>
      </c>
      <c r="B569">
        <v>0</v>
      </c>
      <c r="C569">
        <v>17.59</v>
      </c>
      <c r="E569" t="s">
        <v>1654</v>
      </c>
      <c r="F569">
        <v>0</v>
      </c>
      <c r="G569">
        <v>83.99</v>
      </c>
      <c r="I569" t="str" cm="1">
        <f t="array" ref="I569:J569">_xlfn.TEXTSPLIT(A569," ")</f>
        <v>27.10.2023</v>
      </c>
      <c r="J569" t="str">
        <v>09:27:51</v>
      </c>
      <c r="K569">
        <f t="shared" si="136"/>
        <v>9.4333333333333815</v>
      </c>
      <c r="L569">
        <f t="shared" si="129"/>
        <v>3.2699999999999996</v>
      </c>
      <c r="M569">
        <f t="shared" si="130"/>
        <v>0</v>
      </c>
      <c r="N569">
        <f t="shared" si="124"/>
        <v>0.36749999999999994</v>
      </c>
      <c r="Q569" t="str" cm="1">
        <f t="array" ref="Q569:R569">_xlfn.TEXTSPLIT(E569," ")</f>
        <v>27.10.2023</v>
      </c>
      <c r="R569" t="str">
        <v>09:27:51</v>
      </c>
      <c r="S569">
        <f t="shared" si="137"/>
        <v>9.4333333333333815</v>
      </c>
      <c r="T569">
        <f t="shared" si="128"/>
        <v>5.3900000000000006</v>
      </c>
      <c r="U569">
        <f t="shared" si="131"/>
        <v>0</v>
      </c>
      <c r="V569">
        <f t="shared" si="125"/>
        <v>0.55499999999999994</v>
      </c>
      <c r="AC569" t="s">
        <v>1655</v>
      </c>
      <c r="AD569">
        <v>0</v>
      </c>
      <c r="AE569">
        <v>6.84</v>
      </c>
      <c r="AG569" t="str" cm="1">
        <f t="array" ref="AG569:AH569">_xlfn.TEXTSPLIT(AC570," ")</f>
        <v>26.10.2023</v>
      </c>
      <c r="AH569" t="str">
        <v>09:28:50</v>
      </c>
      <c r="AI569">
        <f t="shared" si="138"/>
        <v>9.4333333333333815</v>
      </c>
      <c r="AJ569">
        <f t="shared" si="132"/>
        <v>2.3099999999999996</v>
      </c>
      <c r="AK569">
        <f t="shared" si="133"/>
        <v>0</v>
      </c>
      <c r="AL569">
        <f t="shared" si="126"/>
        <v>0.29499999999999998</v>
      </c>
      <c r="AN569" t="s">
        <v>1655</v>
      </c>
      <c r="AO569">
        <v>0</v>
      </c>
      <c r="AP569">
        <v>68.17</v>
      </c>
      <c r="AR569" t="str" cm="1">
        <f t="array" ref="AR569:AS569">_xlfn.TEXTSPLIT(AN569," ")</f>
        <v>26.10.2023</v>
      </c>
      <c r="AS569" t="str">
        <v>09:27:50</v>
      </c>
      <c r="AT569">
        <f t="shared" si="139"/>
        <v>9.4333333333333815</v>
      </c>
      <c r="AU569">
        <f t="shared" si="134"/>
        <v>6.8599999999999994</v>
      </c>
      <c r="AV569">
        <f t="shared" si="135"/>
        <v>0</v>
      </c>
      <c r="AW569">
        <f t="shared" si="127"/>
        <v>0.63749999999999996</v>
      </c>
    </row>
    <row r="570" spans="1:49" x14ac:dyDescent="0.25">
      <c r="A570" t="s">
        <v>1656</v>
      </c>
      <c r="B570">
        <v>0</v>
      </c>
      <c r="C570">
        <v>17.59</v>
      </c>
      <c r="E570" t="s">
        <v>1656</v>
      </c>
      <c r="F570">
        <v>0</v>
      </c>
      <c r="G570">
        <v>83.99</v>
      </c>
      <c r="I570" t="str" cm="1">
        <f t="array" ref="I570:J570">_xlfn.TEXTSPLIT(A570," ")</f>
        <v>27.10.2023</v>
      </c>
      <c r="J570" t="str">
        <v>09:28:51</v>
      </c>
      <c r="K570">
        <f t="shared" si="136"/>
        <v>9.450000000000049</v>
      </c>
      <c r="L570">
        <f t="shared" si="129"/>
        <v>3.2699999999999996</v>
      </c>
      <c r="M570">
        <f t="shared" si="130"/>
        <v>0</v>
      </c>
      <c r="N570">
        <f t="shared" si="124"/>
        <v>0.36749999999999994</v>
      </c>
      <c r="Q570" t="str" cm="1">
        <f t="array" ref="Q570:R570">_xlfn.TEXTSPLIT(E570," ")</f>
        <v>27.10.2023</v>
      </c>
      <c r="R570" t="str">
        <v>09:28:51</v>
      </c>
      <c r="S570">
        <f t="shared" si="137"/>
        <v>9.450000000000049</v>
      </c>
      <c r="T570">
        <f t="shared" si="128"/>
        <v>5.3900000000000006</v>
      </c>
      <c r="U570">
        <f t="shared" si="131"/>
        <v>0</v>
      </c>
      <c r="V570">
        <f t="shared" si="125"/>
        <v>0.55499999999999994</v>
      </c>
      <c r="AC570" t="s">
        <v>1657</v>
      </c>
      <c r="AD570">
        <v>0</v>
      </c>
      <c r="AE570">
        <v>6.84</v>
      </c>
      <c r="AG570" t="str" cm="1">
        <f t="array" ref="AG570:AH570">_xlfn.TEXTSPLIT(AC571," ")</f>
        <v>26.10.2023</v>
      </c>
      <c r="AH570" t="str">
        <v>09:29:50</v>
      </c>
      <c r="AI570">
        <f t="shared" si="138"/>
        <v>9.450000000000049</v>
      </c>
      <c r="AJ570">
        <f t="shared" si="132"/>
        <v>2.3099999999999996</v>
      </c>
      <c r="AK570">
        <f t="shared" si="133"/>
        <v>0</v>
      </c>
      <c r="AL570">
        <f t="shared" si="126"/>
        <v>0.29499999999999998</v>
      </c>
      <c r="AN570" t="s">
        <v>1657</v>
      </c>
      <c r="AO570">
        <v>0.3</v>
      </c>
      <c r="AP570">
        <v>68.17</v>
      </c>
      <c r="AR570" t="str" cm="1">
        <f t="array" ref="AR570:AS570">_xlfn.TEXTSPLIT(AN570," ")</f>
        <v>26.10.2023</v>
      </c>
      <c r="AS570" t="str">
        <v>09:28:50</v>
      </c>
      <c r="AT570">
        <f t="shared" si="139"/>
        <v>9.450000000000049</v>
      </c>
      <c r="AU570">
        <f t="shared" si="134"/>
        <v>6.8599999999999994</v>
      </c>
      <c r="AV570">
        <f t="shared" si="135"/>
        <v>0.3</v>
      </c>
      <c r="AW570">
        <f t="shared" si="127"/>
        <v>0.64</v>
      </c>
    </row>
    <row r="571" spans="1:49" x14ac:dyDescent="0.25">
      <c r="A571" t="s">
        <v>1658</v>
      </c>
      <c r="B571">
        <v>0</v>
      </c>
      <c r="C571">
        <v>17.59</v>
      </c>
      <c r="E571" t="s">
        <v>1658</v>
      </c>
      <c r="F571">
        <v>0</v>
      </c>
      <c r="G571">
        <v>83.99</v>
      </c>
      <c r="I571" t="str" cm="1">
        <f t="array" ref="I571:J571">_xlfn.TEXTSPLIT(A571," ")</f>
        <v>27.10.2023</v>
      </c>
      <c r="J571" t="str">
        <v>09:29:52</v>
      </c>
      <c r="K571">
        <f t="shared" si="136"/>
        <v>9.4666666666667165</v>
      </c>
      <c r="L571">
        <f t="shared" si="129"/>
        <v>3.2699999999999996</v>
      </c>
      <c r="M571">
        <f t="shared" si="130"/>
        <v>0</v>
      </c>
      <c r="N571">
        <f t="shared" si="124"/>
        <v>0.36749999999999994</v>
      </c>
      <c r="Q571" t="str" cm="1">
        <f t="array" ref="Q571:R571">_xlfn.TEXTSPLIT(E571," ")</f>
        <v>27.10.2023</v>
      </c>
      <c r="R571" t="str">
        <v>09:29:52</v>
      </c>
      <c r="S571">
        <f t="shared" si="137"/>
        <v>9.4666666666667165</v>
      </c>
      <c r="T571">
        <f t="shared" si="128"/>
        <v>5.3900000000000006</v>
      </c>
      <c r="U571">
        <f t="shared" si="131"/>
        <v>0</v>
      </c>
      <c r="V571">
        <f t="shared" si="125"/>
        <v>0.55499999999999994</v>
      </c>
      <c r="AC571" t="s">
        <v>1659</v>
      </c>
      <c r="AD571">
        <v>0</v>
      </c>
      <c r="AE571">
        <v>6.84</v>
      </c>
      <c r="AG571" t="str" cm="1">
        <f t="array" ref="AG571:AH571">_xlfn.TEXTSPLIT(AC572," ")</f>
        <v>26.10.2023</v>
      </c>
      <c r="AH571" t="str">
        <v>09:30:50</v>
      </c>
      <c r="AI571">
        <f t="shared" si="138"/>
        <v>9.4666666666667165</v>
      </c>
      <c r="AJ571">
        <f t="shared" si="132"/>
        <v>2.3099999999999996</v>
      </c>
      <c r="AK571">
        <f t="shared" si="133"/>
        <v>0</v>
      </c>
      <c r="AL571">
        <f t="shared" si="126"/>
        <v>0.29499999999999998</v>
      </c>
      <c r="AN571" t="s">
        <v>1659</v>
      </c>
      <c r="AO571">
        <v>0.15</v>
      </c>
      <c r="AP571">
        <v>68.180000000000007</v>
      </c>
      <c r="AR571" t="str" cm="1">
        <f t="array" ref="AR571:AS571">_xlfn.TEXTSPLIT(AN571," ")</f>
        <v>26.10.2023</v>
      </c>
      <c r="AS571" t="str">
        <v>09:29:50</v>
      </c>
      <c r="AT571">
        <f t="shared" si="139"/>
        <v>9.4666666666667165</v>
      </c>
      <c r="AU571">
        <f t="shared" si="134"/>
        <v>6.8700000000000045</v>
      </c>
      <c r="AV571">
        <f t="shared" si="135"/>
        <v>0.15</v>
      </c>
      <c r="AW571">
        <f t="shared" si="127"/>
        <v>0.6399999999999999</v>
      </c>
    </row>
    <row r="572" spans="1:49" x14ac:dyDescent="0.25">
      <c r="A572" t="s">
        <v>1660</v>
      </c>
      <c r="B572">
        <v>0</v>
      </c>
      <c r="C572">
        <v>17.59</v>
      </c>
      <c r="E572" t="s">
        <v>1660</v>
      </c>
      <c r="F572">
        <v>0.15</v>
      </c>
      <c r="G572">
        <v>83.99</v>
      </c>
      <c r="I572" t="str" cm="1">
        <f t="array" ref="I572:J572">_xlfn.TEXTSPLIT(A572," ")</f>
        <v>27.10.2023</v>
      </c>
      <c r="J572" t="str">
        <v>09:30:52</v>
      </c>
      <c r="K572">
        <f t="shared" si="136"/>
        <v>9.483333333333384</v>
      </c>
      <c r="L572">
        <f t="shared" si="129"/>
        <v>3.2699999999999996</v>
      </c>
      <c r="M572">
        <f t="shared" si="130"/>
        <v>0</v>
      </c>
      <c r="N572">
        <f t="shared" si="124"/>
        <v>0.36749999999999994</v>
      </c>
      <c r="Q572" t="str" cm="1">
        <f t="array" ref="Q572:R572">_xlfn.TEXTSPLIT(E572," ")</f>
        <v>27.10.2023</v>
      </c>
      <c r="R572" t="str">
        <v>09:30:52</v>
      </c>
      <c r="S572">
        <f t="shared" si="137"/>
        <v>9.483333333333384</v>
      </c>
      <c r="T572">
        <f t="shared" si="128"/>
        <v>5.3900000000000006</v>
      </c>
      <c r="U572">
        <f t="shared" si="131"/>
        <v>0.15</v>
      </c>
      <c r="V572">
        <f t="shared" si="125"/>
        <v>0.55749999999999988</v>
      </c>
      <c r="AC572" t="s">
        <v>1661</v>
      </c>
      <c r="AD572">
        <v>0</v>
      </c>
      <c r="AE572">
        <v>6.84</v>
      </c>
      <c r="AG572" t="str" cm="1">
        <f t="array" ref="AG572:AH572">_xlfn.TEXTSPLIT(AC573," ")</f>
        <v>26.10.2023</v>
      </c>
      <c r="AH572" t="str">
        <v>09:31:50</v>
      </c>
      <c r="AI572">
        <f t="shared" si="138"/>
        <v>9.483333333333384</v>
      </c>
      <c r="AJ572">
        <f t="shared" si="132"/>
        <v>2.3099999999999996</v>
      </c>
      <c r="AK572">
        <f t="shared" si="133"/>
        <v>0</v>
      </c>
      <c r="AL572">
        <f t="shared" si="126"/>
        <v>0.29499999999999998</v>
      </c>
      <c r="AN572" t="s">
        <v>1661</v>
      </c>
      <c r="AO572">
        <v>0.15</v>
      </c>
      <c r="AP572">
        <v>68.180000000000007</v>
      </c>
      <c r="AR572" t="str" cm="1">
        <f t="array" ref="AR572:AS572">_xlfn.TEXTSPLIT(AN572," ")</f>
        <v>26.10.2023</v>
      </c>
      <c r="AS572" t="str">
        <v>09:30:50</v>
      </c>
      <c r="AT572">
        <f t="shared" si="139"/>
        <v>9.483333333333384</v>
      </c>
      <c r="AU572">
        <f t="shared" si="134"/>
        <v>6.8700000000000045</v>
      </c>
      <c r="AV572">
        <f t="shared" si="135"/>
        <v>0.15</v>
      </c>
      <c r="AW572">
        <f t="shared" si="127"/>
        <v>0.6399999999999999</v>
      </c>
    </row>
    <row r="573" spans="1:49" x14ac:dyDescent="0.25">
      <c r="A573" t="s">
        <v>1662</v>
      </c>
      <c r="B573">
        <v>0</v>
      </c>
      <c r="C573">
        <v>17.59</v>
      </c>
      <c r="E573" t="s">
        <v>1662</v>
      </c>
      <c r="F573">
        <v>0.15</v>
      </c>
      <c r="G573">
        <v>83.99</v>
      </c>
      <c r="I573" t="str" cm="1">
        <f t="array" ref="I573:J573">_xlfn.TEXTSPLIT(A573," ")</f>
        <v>27.10.2023</v>
      </c>
      <c r="J573" t="str">
        <v>09:31:52</v>
      </c>
      <c r="K573">
        <f t="shared" si="136"/>
        <v>9.5000000000000515</v>
      </c>
      <c r="L573">
        <f t="shared" si="129"/>
        <v>3.2699999999999996</v>
      </c>
      <c r="M573">
        <f t="shared" si="130"/>
        <v>0</v>
      </c>
      <c r="N573">
        <f t="shared" si="124"/>
        <v>0.36749999999999994</v>
      </c>
      <c r="Q573" t="str" cm="1">
        <f t="array" ref="Q573:R573">_xlfn.TEXTSPLIT(E573," ")</f>
        <v>27.10.2023</v>
      </c>
      <c r="R573" t="str">
        <v>09:31:52</v>
      </c>
      <c r="S573">
        <f t="shared" si="137"/>
        <v>9.5000000000000515</v>
      </c>
      <c r="T573">
        <f t="shared" si="128"/>
        <v>5.3900000000000006</v>
      </c>
      <c r="U573">
        <f t="shared" si="131"/>
        <v>0.15</v>
      </c>
      <c r="V573">
        <f t="shared" si="125"/>
        <v>0.55749999999999977</v>
      </c>
      <c r="AC573" t="s">
        <v>1663</v>
      </c>
      <c r="AD573">
        <v>0</v>
      </c>
      <c r="AE573">
        <v>6.84</v>
      </c>
      <c r="AG573" t="str" cm="1">
        <f t="array" ref="AG573:AH573">_xlfn.TEXTSPLIT(AC574," ")</f>
        <v>26.10.2023</v>
      </c>
      <c r="AH573" t="str">
        <v>09:32:50</v>
      </c>
      <c r="AI573">
        <f t="shared" si="138"/>
        <v>9.5000000000000515</v>
      </c>
      <c r="AJ573">
        <f t="shared" si="132"/>
        <v>2.3099999999999996</v>
      </c>
      <c r="AK573">
        <f t="shared" si="133"/>
        <v>0</v>
      </c>
      <c r="AL573">
        <f t="shared" si="126"/>
        <v>0.29499999999999998</v>
      </c>
      <c r="AN573" t="s">
        <v>1663</v>
      </c>
      <c r="AO573">
        <v>0.3</v>
      </c>
      <c r="AP573">
        <v>68.19</v>
      </c>
      <c r="AR573" t="str" cm="1">
        <f t="array" ref="AR573:AS573">_xlfn.TEXTSPLIT(AN573," ")</f>
        <v>26.10.2023</v>
      </c>
      <c r="AS573" t="str">
        <v>09:31:50</v>
      </c>
      <c r="AT573">
        <f t="shared" si="139"/>
        <v>9.5000000000000515</v>
      </c>
      <c r="AU573">
        <f t="shared" si="134"/>
        <v>6.8799999999999955</v>
      </c>
      <c r="AV573">
        <f t="shared" si="135"/>
        <v>0.3</v>
      </c>
      <c r="AW573">
        <f t="shared" si="127"/>
        <v>0.6399999999999999</v>
      </c>
    </row>
    <row r="574" spans="1:49" x14ac:dyDescent="0.25">
      <c r="A574" t="s">
        <v>1664</v>
      </c>
      <c r="B574">
        <v>0</v>
      </c>
      <c r="C574">
        <v>17.59</v>
      </c>
      <c r="E574" t="s">
        <v>1664</v>
      </c>
      <c r="F574">
        <v>0.15</v>
      </c>
      <c r="G574">
        <v>83.99</v>
      </c>
      <c r="I574" t="str" cm="1">
        <f t="array" ref="I574:J574">_xlfn.TEXTSPLIT(A574," ")</f>
        <v>27.10.2023</v>
      </c>
      <c r="J574" t="str">
        <v>09:32:52</v>
      </c>
      <c r="K574">
        <f t="shared" si="136"/>
        <v>9.516666666666719</v>
      </c>
      <c r="L574">
        <f t="shared" si="129"/>
        <v>3.2699999999999996</v>
      </c>
      <c r="M574">
        <f t="shared" si="130"/>
        <v>0</v>
      </c>
      <c r="N574">
        <f t="shared" si="124"/>
        <v>0.36749999999999994</v>
      </c>
      <c r="Q574" t="str" cm="1">
        <f t="array" ref="Q574:R574">_xlfn.TEXTSPLIT(E574," ")</f>
        <v>27.10.2023</v>
      </c>
      <c r="R574" t="str">
        <v>09:32:52</v>
      </c>
      <c r="S574">
        <f t="shared" si="137"/>
        <v>9.516666666666719</v>
      </c>
      <c r="T574">
        <f t="shared" si="128"/>
        <v>5.3900000000000006</v>
      </c>
      <c r="U574">
        <f t="shared" si="131"/>
        <v>0.15</v>
      </c>
      <c r="V574">
        <f t="shared" si="125"/>
        <v>0.55749999999999977</v>
      </c>
      <c r="AC574" t="s">
        <v>1665</v>
      </c>
      <c r="AD574">
        <v>0</v>
      </c>
      <c r="AE574">
        <v>6.84</v>
      </c>
      <c r="AG574" t="str" cm="1">
        <f t="array" ref="AG574:AH574">_xlfn.TEXTSPLIT(AC575," ")</f>
        <v>26.10.2023</v>
      </c>
      <c r="AH574" t="str">
        <v>09:33:51</v>
      </c>
      <c r="AI574">
        <f t="shared" si="138"/>
        <v>9.516666666666719</v>
      </c>
      <c r="AJ574">
        <f t="shared" si="132"/>
        <v>2.3099999999999996</v>
      </c>
      <c r="AK574">
        <f t="shared" si="133"/>
        <v>0</v>
      </c>
      <c r="AL574">
        <f t="shared" si="126"/>
        <v>0.29499999999999998</v>
      </c>
      <c r="AN574" t="s">
        <v>1665</v>
      </c>
      <c r="AO574">
        <v>0.45</v>
      </c>
      <c r="AP574">
        <v>68.19</v>
      </c>
      <c r="AR574" t="str" cm="1">
        <f t="array" ref="AR574:AS574">_xlfn.TEXTSPLIT(AN574," ")</f>
        <v>26.10.2023</v>
      </c>
      <c r="AS574" t="str">
        <v>09:32:50</v>
      </c>
      <c r="AT574">
        <f t="shared" si="139"/>
        <v>9.516666666666719</v>
      </c>
      <c r="AU574">
        <f t="shared" si="134"/>
        <v>6.8799999999999955</v>
      </c>
      <c r="AV574">
        <f t="shared" si="135"/>
        <v>0.45</v>
      </c>
      <c r="AW574">
        <f t="shared" si="127"/>
        <v>0.64249999999999985</v>
      </c>
    </row>
    <row r="575" spans="1:49" x14ac:dyDescent="0.25">
      <c r="A575" t="s">
        <v>1666</v>
      </c>
      <c r="B575">
        <v>0</v>
      </c>
      <c r="C575">
        <v>17.59</v>
      </c>
      <c r="E575" t="s">
        <v>1666</v>
      </c>
      <c r="F575">
        <v>0.3</v>
      </c>
      <c r="G575">
        <v>84</v>
      </c>
      <c r="I575" t="str" cm="1">
        <f t="array" ref="I575:J575">_xlfn.TEXTSPLIT(A575," ")</f>
        <v>27.10.2023</v>
      </c>
      <c r="J575" t="str">
        <v>09:33:52</v>
      </c>
      <c r="K575">
        <f t="shared" si="136"/>
        <v>9.5333333333333865</v>
      </c>
      <c r="L575">
        <f t="shared" si="129"/>
        <v>3.2699999999999996</v>
      </c>
      <c r="M575">
        <f t="shared" si="130"/>
        <v>0</v>
      </c>
      <c r="N575">
        <f t="shared" ref="N575:N638" si="140">AVERAGE(M516:M575)</f>
        <v>0.36749999999999994</v>
      </c>
      <c r="Q575" t="str" cm="1">
        <f t="array" ref="Q575:R575">_xlfn.TEXTSPLIT(E575," ")</f>
        <v>27.10.2023</v>
      </c>
      <c r="R575" t="str">
        <v>09:33:52</v>
      </c>
      <c r="S575">
        <f t="shared" si="137"/>
        <v>9.5333333333333865</v>
      </c>
      <c r="T575">
        <f t="shared" si="128"/>
        <v>5.4000000000000057</v>
      </c>
      <c r="U575">
        <f t="shared" si="131"/>
        <v>0.3</v>
      </c>
      <c r="V575">
        <f t="shared" ref="V575:V638" si="141">AVERAGE(U516:U575)</f>
        <v>0.55749999999999966</v>
      </c>
      <c r="AC575" t="s">
        <v>1667</v>
      </c>
      <c r="AD575">
        <v>0</v>
      </c>
      <c r="AE575">
        <v>6.84</v>
      </c>
      <c r="AG575" t="str" cm="1">
        <f t="array" ref="AG575:AH575">_xlfn.TEXTSPLIT(AC576," ")</f>
        <v>26.10.2023</v>
      </c>
      <c r="AH575" t="str">
        <v>09:34:51</v>
      </c>
      <c r="AI575">
        <f t="shared" si="138"/>
        <v>9.5333333333333865</v>
      </c>
      <c r="AJ575">
        <f t="shared" si="132"/>
        <v>2.3099999999999996</v>
      </c>
      <c r="AK575">
        <f t="shared" si="133"/>
        <v>0</v>
      </c>
      <c r="AL575">
        <f t="shared" ref="AL575:AL638" si="142">AVERAGE(AK516:AK575)</f>
        <v>0.29499999999999998</v>
      </c>
      <c r="AN575" t="s">
        <v>1667</v>
      </c>
      <c r="AO575">
        <v>0.3</v>
      </c>
      <c r="AP575">
        <v>68.2</v>
      </c>
      <c r="AR575" t="str" cm="1">
        <f t="array" ref="AR575:AS575">_xlfn.TEXTSPLIT(AN575," ")</f>
        <v>26.10.2023</v>
      </c>
      <c r="AS575" t="str">
        <v>09:33:51</v>
      </c>
      <c r="AT575">
        <f t="shared" si="139"/>
        <v>9.5333333333333865</v>
      </c>
      <c r="AU575">
        <f t="shared" si="134"/>
        <v>6.8900000000000006</v>
      </c>
      <c r="AV575">
        <f t="shared" si="135"/>
        <v>0.3</v>
      </c>
      <c r="AW575">
        <f t="shared" ref="AW575:AW638" si="143">AVERAGE(AV516:AV575)</f>
        <v>0.64249999999999985</v>
      </c>
    </row>
    <row r="576" spans="1:49" x14ac:dyDescent="0.25">
      <c r="A576" t="s">
        <v>1668</v>
      </c>
      <c r="B576">
        <v>0</v>
      </c>
      <c r="C576">
        <v>17.59</v>
      </c>
      <c r="E576" t="s">
        <v>1668</v>
      </c>
      <c r="F576">
        <v>0.3</v>
      </c>
      <c r="G576">
        <v>84</v>
      </c>
      <c r="I576" t="str" cm="1">
        <f t="array" ref="I576:J576">_xlfn.TEXTSPLIT(A576," ")</f>
        <v>27.10.2023</v>
      </c>
      <c r="J576" t="str">
        <v>09:34:52</v>
      </c>
      <c r="K576">
        <f t="shared" si="136"/>
        <v>9.550000000000054</v>
      </c>
      <c r="L576">
        <f t="shared" si="129"/>
        <v>3.2699999999999996</v>
      </c>
      <c r="M576">
        <f t="shared" si="130"/>
        <v>0</v>
      </c>
      <c r="N576">
        <f t="shared" si="140"/>
        <v>0.36749999999999994</v>
      </c>
      <c r="Q576" t="str" cm="1">
        <f t="array" ref="Q576:R576">_xlfn.TEXTSPLIT(E576," ")</f>
        <v>27.10.2023</v>
      </c>
      <c r="R576" t="str">
        <v>09:34:52</v>
      </c>
      <c r="S576">
        <f t="shared" si="137"/>
        <v>9.550000000000054</v>
      </c>
      <c r="T576">
        <f t="shared" si="128"/>
        <v>5.4000000000000057</v>
      </c>
      <c r="U576">
        <f t="shared" si="131"/>
        <v>0.3</v>
      </c>
      <c r="V576">
        <f t="shared" si="141"/>
        <v>0.55749999999999966</v>
      </c>
      <c r="AC576" t="s">
        <v>1669</v>
      </c>
      <c r="AD576">
        <v>0</v>
      </c>
      <c r="AE576">
        <v>6.84</v>
      </c>
      <c r="AG576" t="str" cm="1">
        <f t="array" ref="AG576:AH576">_xlfn.TEXTSPLIT(AC577," ")</f>
        <v>26.10.2023</v>
      </c>
      <c r="AH576" t="str">
        <v>09:35:51</v>
      </c>
      <c r="AI576">
        <f t="shared" si="138"/>
        <v>9.550000000000054</v>
      </c>
      <c r="AJ576">
        <f t="shared" si="132"/>
        <v>2.3099999999999996</v>
      </c>
      <c r="AK576">
        <f t="shared" si="133"/>
        <v>0</v>
      </c>
      <c r="AL576">
        <f t="shared" si="142"/>
        <v>0.29499999999999998</v>
      </c>
      <c r="AN576" t="s">
        <v>1669</v>
      </c>
      <c r="AO576">
        <v>0.6</v>
      </c>
      <c r="AP576">
        <v>68.209999999999994</v>
      </c>
      <c r="AR576" t="str" cm="1">
        <f t="array" ref="AR576:AS576">_xlfn.TEXTSPLIT(AN576," ")</f>
        <v>26.10.2023</v>
      </c>
      <c r="AS576" t="str">
        <v>09:34:51</v>
      </c>
      <c r="AT576">
        <f t="shared" si="139"/>
        <v>9.550000000000054</v>
      </c>
      <c r="AU576">
        <f t="shared" si="134"/>
        <v>6.8999999999999915</v>
      </c>
      <c r="AV576">
        <f t="shared" si="135"/>
        <v>0.6</v>
      </c>
      <c r="AW576">
        <f t="shared" si="143"/>
        <v>0.6449999999999998</v>
      </c>
    </row>
    <row r="577" spans="1:49" x14ac:dyDescent="0.25">
      <c r="A577" t="s">
        <v>1670</v>
      </c>
      <c r="B577">
        <v>0</v>
      </c>
      <c r="C577">
        <v>17.59</v>
      </c>
      <c r="E577" t="s">
        <v>1670</v>
      </c>
      <c r="F577">
        <v>0.3</v>
      </c>
      <c r="G577">
        <v>84.02</v>
      </c>
      <c r="I577" t="str" cm="1">
        <f t="array" ref="I577:J577">_xlfn.TEXTSPLIT(A577," ")</f>
        <v>27.10.2023</v>
      </c>
      <c r="J577" t="str">
        <v>09:35:52</v>
      </c>
      <c r="K577">
        <f t="shared" si="136"/>
        <v>9.5666666666667215</v>
      </c>
      <c r="L577">
        <f t="shared" si="129"/>
        <v>3.2699999999999996</v>
      </c>
      <c r="M577">
        <f t="shared" si="130"/>
        <v>0</v>
      </c>
      <c r="N577">
        <f t="shared" si="140"/>
        <v>0.36749999999999994</v>
      </c>
      <c r="Q577" t="str" cm="1">
        <f t="array" ref="Q577:R577">_xlfn.TEXTSPLIT(E577," ")</f>
        <v>27.10.2023</v>
      </c>
      <c r="R577" t="str">
        <v>09:35:52</v>
      </c>
      <c r="S577">
        <f t="shared" si="137"/>
        <v>9.5666666666667215</v>
      </c>
      <c r="T577">
        <f t="shared" si="128"/>
        <v>5.4200000000000017</v>
      </c>
      <c r="U577">
        <f t="shared" si="131"/>
        <v>0.3</v>
      </c>
      <c r="V577">
        <f t="shared" si="141"/>
        <v>0.5599999999999995</v>
      </c>
      <c r="AC577" t="s">
        <v>1671</v>
      </c>
      <c r="AD577">
        <v>0</v>
      </c>
      <c r="AE577">
        <v>6.84</v>
      </c>
      <c r="AG577" t="str" cm="1">
        <f t="array" ref="AG577:AH577">_xlfn.TEXTSPLIT(AC578," ")</f>
        <v>26.10.2023</v>
      </c>
      <c r="AH577" t="str">
        <v>09:36:51</v>
      </c>
      <c r="AI577">
        <f t="shared" si="138"/>
        <v>9.5666666666667215</v>
      </c>
      <c r="AJ577">
        <f t="shared" si="132"/>
        <v>2.3099999999999996</v>
      </c>
      <c r="AK577">
        <f t="shared" si="133"/>
        <v>0</v>
      </c>
      <c r="AL577">
        <f t="shared" si="142"/>
        <v>0.29499999999999998</v>
      </c>
      <c r="AN577" t="s">
        <v>1671</v>
      </c>
      <c r="AO577">
        <v>0.45</v>
      </c>
      <c r="AP577">
        <v>68.22</v>
      </c>
      <c r="AR577" t="str" cm="1">
        <f t="array" ref="AR577:AS577">_xlfn.TEXTSPLIT(AN577," ")</f>
        <v>26.10.2023</v>
      </c>
      <c r="AS577" t="str">
        <v>09:35:51</v>
      </c>
      <c r="AT577">
        <f t="shared" si="139"/>
        <v>9.5666666666667215</v>
      </c>
      <c r="AU577">
        <f t="shared" si="134"/>
        <v>6.9099999999999966</v>
      </c>
      <c r="AV577">
        <f t="shared" si="135"/>
        <v>0.45</v>
      </c>
      <c r="AW577">
        <f t="shared" si="143"/>
        <v>0.64749999999999985</v>
      </c>
    </row>
    <row r="578" spans="1:49" x14ac:dyDescent="0.25">
      <c r="A578" t="s">
        <v>1672</v>
      </c>
      <c r="B578">
        <v>0</v>
      </c>
      <c r="C578">
        <v>17.59</v>
      </c>
      <c r="E578" t="s">
        <v>1672</v>
      </c>
      <c r="F578">
        <v>1.2</v>
      </c>
      <c r="G578">
        <v>84.04</v>
      </c>
      <c r="I578" t="str" cm="1">
        <f t="array" ref="I578:J578">_xlfn.TEXTSPLIT(A578," ")</f>
        <v>27.10.2023</v>
      </c>
      <c r="J578" t="str">
        <v>09:36:53</v>
      </c>
      <c r="K578">
        <f t="shared" si="136"/>
        <v>9.583333333333389</v>
      </c>
      <c r="L578">
        <f t="shared" si="129"/>
        <v>3.2699999999999996</v>
      </c>
      <c r="M578">
        <f t="shared" si="130"/>
        <v>0</v>
      </c>
      <c r="N578">
        <f t="shared" si="140"/>
        <v>0.36749999999999994</v>
      </c>
      <c r="Q578" t="str" cm="1">
        <f t="array" ref="Q578:R578">_xlfn.TEXTSPLIT(E578," ")</f>
        <v>27.10.2023</v>
      </c>
      <c r="R578" t="str">
        <v>09:36:53</v>
      </c>
      <c r="S578">
        <f t="shared" si="137"/>
        <v>9.583333333333389</v>
      </c>
      <c r="T578">
        <f t="shared" si="128"/>
        <v>5.4400000000000119</v>
      </c>
      <c r="U578">
        <f t="shared" si="131"/>
        <v>1.2</v>
      </c>
      <c r="V578">
        <f t="shared" si="141"/>
        <v>0.56749999999999967</v>
      </c>
      <c r="AC578" t="s">
        <v>1673</v>
      </c>
      <c r="AD578">
        <v>0</v>
      </c>
      <c r="AE578">
        <v>6.84</v>
      </c>
      <c r="AG578" t="str" cm="1">
        <f t="array" ref="AG578:AH578">_xlfn.TEXTSPLIT(AC579," ")</f>
        <v>26.10.2023</v>
      </c>
      <c r="AH578" t="str">
        <v>09:37:51</v>
      </c>
      <c r="AI578">
        <f t="shared" si="138"/>
        <v>9.583333333333389</v>
      </c>
      <c r="AJ578">
        <f t="shared" si="132"/>
        <v>2.3099999999999996</v>
      </c>
      <c r="AK578">
        <f t="shared" si="133"/>
        <v>0</v>
      </c>
      <c r="AL578">
        <f t="shared" si="142"/>
        <v>0.29499999999999998</v>
      </c>
      <c r="AN578" t="s">
        <v>1673</v>
      </c>
      <c r="AO578">
        <v>0.45</v>
      </c>
      <c r="AP578">
        <v>68.25</v>
      </c>
      <c r="AR578" t="str" cm="1">
        <f t="array" ref="AR578:AS578">_xlfn.TEXTSPLIT(AN578," ")</f>
        <v>26.10.2023</v>
      </c>
      <c r="AS578" t="str">
        <v>09:36:51</v>
      </c>
      <c r="AT578">
        <f t="shared" si="139"/>
        <v>9.583333333333389</v>
      </c>
      <c r="AU578">
        <f t="shared" si="134"/>
        <v>6.9399999999999977</v>
      </c>
      <c r="AV578">
        <f t="shared" si="135"/>
        <v>0.45</v>
      </c>
      <c r="AW578">
        <f t="shared" si="143"/>
        <v>0.64499999999999991</v>
      </c>
    </row>
    <row r="579" spans="1:49" x14ac:dyDescent="0.25">
      <c r="A579" t="s">
        <v>1674</v>
      </c>
      <c r="B579">
        <v>0</v>
      </c>
      <c r="C579">
        <v>17.59</v>
      </c>
      <c r="E579" t="s">
        <v>1674</v>
      </c>
      <c r="F579">
        <v>1.35</v>
      </c>
      <c r="G579">
        <v>84.07</v>
      </c>
      <c r="I579" t="str" cm="1">
        <f t="array" ref="I579:J579">_xlfn.TEXTSPLIT(A579," ")</f>
        <v>27.10.2023</v>
      </c>
      <c r="J579" t="str">
        <v>09:37:53</v>
      </c>
      <c r="K579">
        <f t="shared" si="136"/>
        <v>9.6000000000000565</v>
      </c>
      <c r="L579">
        <f t="shared" si="129"/>
        <v>3.2699999999999996</v>
      </c>
      <c r="M579">
        <f t="shared" si="130"/>
        <v>0</v>
      </c>
      <c r="N579">
        <f t="shared" si="140"/>
        <v>0.36749999999999994</v>
      </c>
      <c r="Q579" t="str" cm="1">
        <f t="array" ref="Q579:R579">_xlfn.TEXTSPLIT(E579," ")</f>
        <v>27.10.2023</v>
      </c>
      <c r="R579" t="str">
        <v>09:37:53</v>
      </c>
      <c r="S579">
        <f t="shared" si="137"/>
        <v>9.6000000000000565</v>
      </c>
      <c r="T579">
        <f t="shared" ref="T579:T642" si="144">G579-78.6</f>
        <v>5.4699999999999989</v>
      </c>
      <c r="U579">
        <f t="shared" si="131"/>
        <v>1.35</v>
      </c>
      <c r="V579">
        <f t="shared" si="141"/>
        <v>0.56999999999999995</v>
      </c>
      <c r="AC579" t="s">
        <v>1675</v>
      </c>
      <c r="AD579">
        <v>0</v>
      </c>
      <c r="AE579">
        <v>6.84</v>
      </c>
      <c r="AG579" t="str" cm="1">
        <f t="array" ref="AG579:AH579">_xlfn.TEXTSPLIT(AC580," ")</f>
        <v>26.10.2023</v>
      </c>
      <c r="AH579" t="str">
        <v>09:38:51</v>
      </c>
      <c r="AI579">
        <f t="shared" si="138"/>
        <v>9.6000000000000565</v>
      </c>
      <c r="AJ579">
        <f t="shared" si="132"/>
        <v>2.3099999999999996</v>
      </c>
      <c r="AK579">
        <f t="shared" si="133"/>
        <v>0</v>
      </c>
      <c r="AL579">
        <f t="shared" si="142"/>
        <v>0.29499999999999998</v>
      </c>
      <c r="AN579" t="s">
        <v>1675</v>
      </c>
      <c r="AO579">
        <v>1.95</v>
      </c>
      <c r="AP579">
        <v>68.28</v>
      </c>
      <c r="AR579" t="str" cm="1">
        <f t="array" ref="AR579:AS579">_xlfn.TEXTSPLIT(AN579," ")</f>
        <v>26.10.2023</v>
      </c>
      <c r="AS579" t="str">
        <v>09:37:51</v>
      </c>
      <c r="AT579">
        <f t="shared" si="139"/>
        <v>9.6000000000000565</v>
      </c>
      <c r="AU579">
        <f t="shared" si="134"/>
        <v>6.9699999999999989</v>
      </c>
      <c r="AV579">
        <f t="shared" si="135"/>
        <v>1.95</v>
      </c>
      <c r="AW579">
        <f t="shared" si="143"/>
        <v>0.65749999999999997</v>
      </c>
    </row>
    <row r="580" spans="1:49" x14ac:dyDescent="0.25">
      <c r="A580" t="s">
        <v>1676</v>
      </c>
      <c r="B580">
        <v>0.9</v>
      </c>
      <c r="C580">
        <v>17.63</v>
      </c>
      <c r="E580" t="s">
        <v>1676</v>
      </c>
      <c r="F580">
        <v>1.5</v>
      </c>
      <c r="G580">
        <v>84.09</v>
      </c>
      <c r="I580" t="str" cm="1">
        <f t="array" ref="I580:J580">_xlfn.TEXTSPLIT(A580," ")</f>
        <v>27.10.2023</v>
      </c>
      <c r="J580" t="str">
        <v>09:38:53</v>
      </c>
      <c r="K580">
        <f t="shared" si="136"/>
        <v>9.616666666666724</v>
      </c>
      <c r="L580">
        <f t="shared" ref="L580:L643" si="145">C580-14.32</f>
        <v>3.3099999999999987</v>
      </c>
      <c r="M580">
        <f t="shared" ref="M580:M643" si="146">B580</f>
        <v>0.9</v>
      </c>
      <c r="N580">
        <f t="shared" si="140"/>
        <v>0.37499999999999989</v>
      </c>
      <c r="Q580" t="str" cm="1">
        <f t="array" ref="Q580:R580">_xlfn.TEXTSPLIT(E580," ")</f>
        <v>27.10.2023</v>
      </c>
      <c r="R580" t="str">
        <v>09:38:53</v>
      </c>
      <c r="S580">
        <f t="shared" si="137"/>
        <v>9.616666666666724</v>
      </c>
      <c r="T580">
        <f t="shared" si="144"/>
        <v>5.4900000000000091</v>
      </c>
      <c r="U580">
        <f t="shared" ref="U580:U643" si="147">F580</f>
        <v>1.5</v>
      </c>
      <c r="V580">
        <f t="shared" si="141"/>
        <v>0.55999999999999983</v>
      </c>
      <c r="AC580" t="s">
        <v>1677</v>
      </c>
      <c r="AD580">
        <v>0</v>
      </c>
      <c r="AE580">
        <v>6.86</v>
      </c>
      <c r="AG580" t="str" cm="1">
        <f t="array" ref="AG580:AH580">_xlfn.TEXTSPLIT(AC581," ")</f>
        <v>26.10.2023</v>
      </c>
      <c r="AH580" t="str">
        <v>09:39:52</v>
      </c>
      <c r="AI580">
        <f t="shared" si="138"/>
        <v>9.616666666666724</v>
      </c>
      <c r="AJ580">
        <f t="shared" ref="AJ580:AJ643" si="148">AE580-4.53</f>
        <v>2.33</v>
      </c>
      <c r="AK580">
        <f t="shared" ref="AK580:AK643" si="149">AD580</f>
        <v>0</v>
      </c>
      <c r="AL580">
        <f t="shared" si="142"/>
        <v>0.29499999999999998</v>
      </c>
      <c r="AN580" t="s">
        <v>1677</v>
      </c>
      <c r="AO580">
        <v>1.65</v>
      </c>
      <c r="AP580">
        <v>68.31</v>
      </c>
      <c r="AR580" t="str" cm="1">
        <f t="array" ref="AR580:AS580">_xlfn.TEXTSPLIT(AN580," ")</f>
        <v>26.10.2023</v>
      </c>
      <c r="AS580" t="str">
        <v>09:38:51</v>
      </c>
      <c r="AT580">
        <f t="shared" si="139"/>
        <v>9.616666666666724</v>
      </c>
      <c r="AU580">
        <f t="shared" ref="AU580:AU643" si="150">AP580-61.31</f>
        <v>7</v>
      </c>
      <c r="AV580">
        <f t="shared" ref="AV580:AV643" si="151">AO580</f>
        <v>1.65</v>
      </c>
      <c r="AW580">
        <f t="shared" si="143"/>
        <v>0.63749999999999996</v>
      </c>
    </row>
    <row r="581" spans="1:49" x14ac:dyDescent="0.25">
      <c r="A581" t="s">
        <v>1678</v>
      </c>
      <c r="B581">
        <v>1.95</v>
      </c>
      <c r="C581">
        <v>17.649999999999999</v>
      </c>
      <c r="E581" t="s">
        <v>1678</v>
      </c>
      <c r="F581">
        <v>1.2</v>
      </c>
      <c r="G581">
        <v>84.11</v>
      </c>
      <c r="I581" t="str" cm="1">
        <f t="array" ref="I581:J581">_xlfn.TEXTSPLIT(A581," ")</f>
        <v>27.10.2023</v>
      </c>
      <c r="J581" t="str">
        <v>09:39:53</v>
      </c>
      <c r="K581">
        <f t="shared" ref="K581:K644" si="152">1/60+K580</f>
        <v>9.6333333333333915</v>
      </c>
      <c r="L581">
        <f t="shared" si="145"/>
        <v>3.3299999999999983</v>
      </c>
      <c r="M581">
        <f t="shared" si="146"/>
        <v>1.95</v>
      </c>
      <c r="N581">
        <f t="shared" si="140"/>
        <v>0.37499999999999989</v>
      </c>
      <c r="Q581" t="str" cm="1">
        <f t="array" ref="Q581:R581">_xlfn.TEXTSPLIT(E581," ")</f>
        <v>27.10.2023</v>
      </c>
      <c r="R581" t="str">
        <v>09:39:53</v>
      </c>
      <c r="S581">
        <f t="shared" ref="S581:S644" si="153">1/60+S580</f>
        <v>9.6333333333333915</v>
      </c>
      <c r="T581">
        <f t="shared" si="144"/>
        <v>5.5100000000000051</v>
      </c>
      <c r="U581">
        <f t="shared" si="147"/>
        <v>1.2</v>
      </c>
      <c r="V581">
        <f t="shared" si="141"/>
        <v>0.54499999999999993</v>
      </c>
      <c r="AC581" t="s">
        <v>1679</v>
      </c>
      <c r="AD581">
        <v>1.05</v>
      </c>
      <c r="AE581">
        <v>6.89</v>
      </c>
      <c r="AG581" t="str" cm="1">
        <f t="array" ref="AG581:AH581">_xlfn.TEXTSPLIT(AC582," ")</f>
        <v>26.10.2023</v>
      </c>
      <c r="AH581" t="str">
        <v>09:40:52</v>
      </c>
      <c r="AI581">
        <f t="shared" ref="AI581:AI644" si="154">1/60+AI580</f>
        <v>9.6333333333333915</v>
      </c>
      <c r="AJ581">
        <f t="shared" si="148"/>
        <v>2.3599999999999994</v>
      </c>
      <c r="AK581">
        <f t="shared" si="149"/>
        <v>1.05</v>
      </c>
      <c r="AL581">
        <f t="shared" si="142"/>
        <v>0.29250000000000009</v>
      </c>
      <c r="AN581" t="s">
        <v>1679</v>
      </c>
      <c r="AO581">
        <v>1.95</v>
      </c>
      <c r="AP581">
        <v>68.34</v>
      </c>
      <c r="AR581" t="str" cm="1">
        <f t="array" ref="AR581:AS581">_xlfn.TEXTSPLIT(AN581," ")</f>
        <v>26.10.2023</v>
      </c>
      <c r="AS581" t="str">
        <v>09:39:52</v>
      </c>
      <c r="AT581">
        <f t="shared" ref="AT581:AT644" si="155">1/60+AT580</f>
        <v>9.6333333333333915</v>
      </c>
      <c r="AU581">
        <f t="shared" si="150"/>
        <v>7.0300000000000011</v>
      </c>
      <c r="AV581">
        <f t="shared" si="151"/>
        <v>1.95</v>
      </c>
      <c r="AW581">
        <f t="shared" si="143"/>
        <v>0.64000000000000012</v>
      </c>
    </row>
    <row r="582" spans="1:49" x14ac:dyDescent="0.25">
      <c r="A582" t="s">
        <v>1680</v>
      </c>
      <c r="B582">
        <v>1.05</v>
      </c>
      <c r="C582">
        <v>17.670000000000002</v>
      </c>
      <c r="E582" t="s">
        <v>1680</v>
      </c>
      <c r="F582">
        <v>1.2</v>
      </c>
      <c r="G582">
        <v>84.13</v>
      </c>
      <c r="I582" t="str" cm="1">
        <f t="array" ref="I582:J582">_xlfn.TEXTSPLIT(A582," ")</f>
        <v>27.10.2023</v>
      </c>
      <c r="J582" t="str">
        <v>09:40:53</v>
      </c>
      <c r="K582">
        <f t="shared" si="152"/>
        <v>9.650000000000059</v>
      </c>
      <c r="L582">
        <f t="shared" si="145"/>
        <v>3.3500000000000014</v>
      </c>
      <c r="M582">
        <f t="shared" si="146"/>
        <v>1.05</v>
      </c>
      <c r="N582">
        <f t="shared" si="140"/>
        <v>0.35999999999999993</v>
      </c>
      <c r="Q582" t="str" cm="1">
        <f t="array" ref="Q582:R582">_xlfn.TEXTSPLIT(E582," ")</f>
        <v>27.10.2023</v>
      </c>
      <c r="R582" t="str">
        <v>09:40:53</v>
      </c>
      <c r="S582">
        <f t="shared" si="153"/>
        <v>9.650000000000059</v>
      </c>
      <c r="T582">
        <f t="shared" si="144"/>
        <v>5.5300000000000011</v>
      </c>
      <c r="U582">
        <f t="shared" si="147"/>
        <v>1.2</v>
      </c>
      <c r="V582">
        <f t="shared" si="141"/>
        <v>0.54499999999999993</v>
      </c>
      <c r="AC582" t="s">
        <v>1681</v>
      </c>
      <c r="AD582">
        <v>1.8</v>
      </c>
      <c r="AE582">
        <v>6.91</v>
      </c>
      <c r="AG582" t="str" cm="1">
        <f t="array" ref="AG582:AH582">_xlfn.TEXTSPLIT(AC583," ")</f>
        <v>26.10.2023</v>
      </c>
      <c r="AH582" t="str">
        <v>09:41:52</v>
      </c>
      <c r="AI582">
        <f t="shared" si="154"/>
        <v>9.650000000000059</v>
      </c>
      <c r="AJ582">
        <f t="shared" si="148"/>
        <v>2.38</v>
      </c>
      <c r="AK582">
        <f t="shared" si="149"/>
        <v>1.8</v>
      </c>
      <c r="AL582">
        <f t="shared" si="142"/>
        <v>0.28500000000000009</v>
      </c>
      <c r="AN582" t="s">
        <v>1681</v>
      </c>
      <c r="AO582">
        <v>1.8</v>
      </c>
      <c r="AP582">
        <v>68.36</v>
      </c>
      <c r="AR582" t="str" cm="1">
        <f t="array" ref="AR582:AS582">_xlfn.TEXTSPLIT(AN582," ")</f>
        <v>26.10.2023</v>
      </c>
      <c r="AS582" t="str">
        <v>09:40:52</v>
      </c>
      <c r="AT582">
        <f t="shared" si="155"/>
        <v>9.650000000000059</v>
      </c>
      <c r="AU582">
        <f t="shared" si="150"/>
        <v>7.0499999999999972</v>
      </c>
      <c r="AV582">
        <f t="shared" si="151"/>
        <v>1.8</v>
      </c>
      <c r="AW582">
        <f t="shared" si="143"/>
        <v>0.64999999999999991</v>
      </c>
    </row>
    <row r="583" spans="1:49" x14ac:dyDescent="0.25">
      <c r="A583" t="s">
        <v>1682</v>
      </c>
      <c r="B583">
        <v>1.2</v>
      </c>
      <c r="C583">
        <v>17.68</v>
      </c>
      <c r="E583" t="s">
        <v>1682</v>
      </c>
      <c r="F583">
        <v>1.05</v>
      </c>
      <c r="G583">
        <v>84.15</v>
      </c>
      <c r="I583" t="str" cm="1">
        <f t="array" ref="I583:J583">_xlfn.TEXTSPLIT(A583," ")</f>
        <v>27.10.2023</v>
      </c>
      <c r="J583" t="str">
        <v>09:41:53</v>
      </c>
      <c r="K583">
        <f t="shared" si="152"/>
        <v>9.6666666666667265</v>
      </c>
      <c r="L583">
        <f t="shared" si="145"/>
        <v>3.3599999999999994</v>
      </c>
      <c r="M583">
        <f t="shared" si="146"/>
        <v>1.2</v>
      </c>
      <c r="N583">
        <f t="shared" si="140"/>
        <v>0.35999999999999993</v>
      </c>
      <c r="Q583" t="str" cm="1">
        <f t="array" ref="Q583:R583">_xlfn.TEXTSPLIT(E583," ")</f>
        <v>27.10.2023</v>
      </c>
      <c r="R583" t="str">
        <v>09:41:53</v>
      </c>
      <c r="S583">
        <f t="shared" si="153"/>
        <v>9.6666666666667265</v>
      </c>
      <c r="T583">
        <f t="shared" si="144"/>
        <v>5.5500000000000114</v>
      </c>
      <c r="U583">
        <f t="shared" si="147"/>
        <v>1.05</v>
      </c>
      <c r="V583">
        <f t="shared" si="141"/>
        <v>0.54499999999999993</v>
      </c>
      <c r="AC583" t="s">
        <v>1683</v>
      </c>
      <c r="AD583">
        <v>1.5</v>
      </c>
      <c r="AE583">
        <v>6.93</v>
      </c>
      <c r="AG583" t="str" cm="1">
        <f t="array" ref="AG583:AH583">_xlfn.TEXTSPLIT(AC584," ")</f>
        <v>26.10.2023</v>
      </c>
      <c r="AH583" t="str">
        <v>09:42:52</v>
      </c>
      <c r="AI583">
        <f t="shared" si="154"/>
        <v>9.6666666666667265</v>
      </c>
      <c r="AJ583">
        <f t="shared" si="148"/>
        <v>2.3999999999999995</v>
      </c>
      <c r="AK583">
        <f t="shared" si="149"/>
        <v>1.5</v>
      </c>
      <c r="AL583">
        <f t="shared" si="142"/>
        <v>0.29250000000000009</v>
      </c>
      <c r="AN583" t="s">
        <v>1683</v>
      </c>
      <c r="AO583">
        <v>1.5</v>
      </c>
      <c r="AP583">
        <v>68.38</v>
      </c>
      <c r="AR583" t="str" cm="1">
        <f t="array" ref="AR583:AS583">_xlfn.TEXTSPLIT(AN583," ")</f>
        <v>26.10.2023</v>
      </c>
      <c r="AS583" t="str">
        <v>09:41:52</v>
      </c>
      <c r="AT583">
        <f t="shared" si="155"/>
        <v>9.6666666666667265</v>
      </c>
      <c r="AU583">
        <f t="shared" si="150"/>
        <v>7.0699999999999932</v>
      </c>
      <c r="AV583">
        <f t="shared" si="151"/>
        <v>1.5</v>
      </c>
      <c r="AW583">
        <f t="shared" si="143"/>
        <v>0.65499999999999992</v>
      </c>
    </row>
    <row r="584" spans="1:49" x14ac:dyDescent="0.25">
      <c r="A584" t="s">
        <v>1684</v>
      </c>
      <c r="B584">
        <v>0.75</v>
      </c>
      <c r="C584">
        <v>17.690000000000001</v>
      </c>
      <c r="E584" t="s">
        <v>1684</v>
      </c>
      <c r="F584">
        <v>1.05</v>
      </c>
      <c r="G584">
        <v>84.17</v>
      </c>
      <c r="I584" t="str" cm="1">
        <f t="array" ref="I584:J584">_xlfn.TEXTSPLIT(A584," ")</f>
        <v>27.10.2023</v>
      </c>
      <c r="J584" t="str">
        <v>09:42:53</v>
      </c>
      <c r="K584">
        <f t="shared" si="152"/>
        <v>9.683333333333394</v>
      </c>
      <c r="L584">
        <f t="shared" si="145"/>
        <v>3.370000000000001</v>
      </c>
      <c r="M584">
        <f t="shared" si="146"/>
        <v>0.75</v>
      </c>
      <c r="N584">
        <f t="shared" si="140"/>
        <v>0.35749999999999998</v>
      </c>
      <c r="Q584" t="str" cm="1">
        <f t="array" ref="Q584:R584">_xlfn.TEXTSPLIT(E584," ")</f>
        <v>27.10.2023</v>
      </c>
      <c r="R584" t="str">
        <v>09:42:53</v>
      </c>
      <c r="S584">
        <f t="shared" si="153"/>
        <v>9.683333333333394</v>
      </c>
      <c r="T584">
        <f t="shared" si="144"/>
        <v>5.5700000000000074</v>
      </c>
      <c r="U584">
        <f t="shared" si="147"/>
        <v>1.05</v>
      </c>
      <c r="V584">
        <f t="shared" si="141"/>
        <v>0.54749999999999988</v>
      </c>
      <c r="AC584" t="s">
        <v>1685</v>
      </c>
      <c r="AD584">
        <v>0.9</v>
      </c>
      <c r="AE584">
        <v>6.93</v>
      </c>
      <c r="AG584" t="str" cm="1">
        <f t="array" ref="AG584:AH584">_xlfn.TEXTSPLIT(AC585," ")</f>
        <v>26.10.2023</v>
      </c>
      <c r="AH584" t="str">
        <v>09:43:52</v>
      </c>
      <c r="AI584">
        <f t="shared" si="154"/>
        <v>9.683333333333394</v>
      </c>
      <c r="AJ584">
        <f t="shared" si="148"/>
        <v>2.3999999999999995</v>
      </c>
      <c r="AK584">
        <f t="shared" si="149"/>
        <v>0.9</v>
      </c>
      <c r="AL584">
        <f t="shared" si="142"/>
        <v>0.28750000000000014</v>
      </c>
      <c r="AN584" t="s">
        <v>1685</v>
      </c>
      <c r="AO584">
        <v>0.75</v>
      </c>
      <c r="AP584">
        <v>68.39</v>
      </c>
      <c r="AR584" t="str" cm="1">
        <f t="array" ref="AR584:AS584">_xlfn.TEXTSPLIT(AN584," ")</f>
        <v>26.10.2023</v>
      </c>
      <c r="AS584" t="str">
        <v>09:42:52</v>
      </c>
      <c r="AT584">
        <f t="shared" si="155"/>
        <v>9.683333333333394</v>
      </c>
      <c r="AU584">
        <f t="shared" si="150"/>
        <v>7.0799999999999983</v>
      </c>
      <c r="AV584">
        <f t="shared" si="151"/>
        <v>0.75</v>
      </c>
      <c r="AW584">
        <f t="shared" si="143"/>
        <v>0.64499999999999991</v>
      </c>
    </row>
    <row r="585" spans="1:49" x14ac:dyDescent="0.25">
      <c r="A585" t="s">
        <v>1686</v>
      </c>
      <c r="B585">
        <v>0.45</v>
      </c>
      <c r="C585">
        <v>17.690000000000001</v>
      </c>
      <c r="E585" t="s">
        <v>1686</v>
      </c>
      <c r="F585">
        <v>1.05</v>
      </c>
      <c r="G585">
        <v>84.18</v>
      </c>
      <c r="I585" t="str" cm="1">
        <f t="array" ref="I585:J585">_xlfn.TEXTSPLIT(A585," ")</f>
        <v>27.10.2023</v>
      </c>
      <c r="J585" t="str">
        <v>09:43:54</v>
      </c>
      <c r="K585">
        <f t="shared" si="152"/>
        <v>9.7000000000000615</v>
      </c>
      <c r="L585">
        <f t="shared" si="145"/>
        <v>3.370000000000001</v>
      </c>
      <c r="M585">
        <f t="shared" si="146"/>
        <v>0.45</v>
      </c>
      <c r="N585">
        <f t="shared" si="140"/>
        <v>0.35000000000000003</v>
      </c>
      <c r="Q585" t="str" cm="1">
        <f t="array" ref="Q585:R585">_xlfn.TEXTSPLIT(E585," ")</f>
        <v>27.10.2023</v>
      </c>
      <c r="R585" t="str">
        <v>09:43:54</v>
      </c>
      <c r="S585">
        <f t="shared" si="153"/>
        <v>9.7000000000000615</v>
      </c>
      <c r="T585">
        <f t="shared" si="144"/>
        <v>5.5800000000000125</v>
      </c>
      <c r="U585">
        <f t="shared" si="147"/>
        <v>1.05</v>
      </c>
      <c r="V585">
        <f t="shared" si="141"/>
        <v>0.54749999999999988</v>
      </c>
      <c r="AC585" t="s">
        <v>1687</v>
      </c>
      <c r="AD585">
        <v>0.45</v>
      </c>
      <c r="AE585">
        <v>6.94</v>
      </c>
      <c r="AG585" t="str" cm="1">
        <f t="array" ref="AG585:AH585">_xlfn.TEXTSPLIT(AC586," ")</f>
        <v>26.10.2023</v>
      </c>
      <c r="AH585" t="str">
        <v>09:44:52</v>
      </c>
      <c r="AI585">
        <f t="shared" si="154"/>
        <v>9.7000000000000615</v>
      </c>
      <c r="AJ585">
        <f t="shared" si="148"/>
        <v>2.41</v>
      </c>
      <c r="AK585">
        <f t="shared" si="149"/>
        <v>0.45</v>
      </c>
      <c r="AL585">
        <f t="shared" si="142"/>
        <v>0.28500000000000009</v>
      </c>
      <c r="AN585" t="s">
        <v>1687</v>
      </c>
      <c r="AO585">
        <v>0.75</v>
      </c>
      <c r="AP585">
        <v>68.400000000000006</v>
      </c>
      <c r="AR585" t="str" cm="1">
        <f t="array" ref="AR585:AS585">_xlfn.TEXTSPLIT(AN585," ")</f>
        <v>26.10.2023</v>
      </c>
      <c r="AS585" t="str">
        <v>09:43:52</v>
      </c>
      <c r="AT585">
        <f t="shared" si="155"/>
        <v>9.7000000000000615</v>
      </c>
      <c r="AU585">
        <f t="shared" si="150"/>
        <v>7.0900000000000034</v>
      </c>
      <c r="AV585">
        <f t="shared" si="151"/>
        <v>0.75</v>
      </c>
      <c r="AW585">
        <f t="shared" si="143"/>
        <v>0.6399999999999999</v>
      </c>
    </row>
    <row r="586" spans="1:49" x14ac:dyDescent="0.25">
      <c r="A586" t="s">
        <v>1688</v>
      </c>
      <c r="B586">
        <v>0.3</v>
      </c>
      <c r="C586">
        <v>17.7</v>
      </c>
      <c r="E586" t="s">
        <v>1688</v>
      </c>
      <c r="F586">
        <v>0.75</v>
      </c>
      <c r="G586">
        <v>84.19</v>
      </c>
      <c r="I586" t="str" cm="1">
        <f t="array" ref="I586:J586">_xlfn.TEXTSPLIT(A586," ")</f>
        <v>27.10.2023</v>
      </c>
      <c r="J586" t="str">
        <v>09:44:54</v>
      </c>
      <c r="K586">
        <f t="shared" si="152"/>
        <v>9.716666666666729</v>
      </c>
      <c r="L586">
        <f t="shared" si="145"/>
        <v>3.379999999999999</v>
      </c>
      <c r="M586">
        <f t="shared" si="146"/>
        <v>0.3</v>
      </c>
      <c r="N586">
        <f t="shared" si="140"/>
        <v>0.34250000000000003</v>
      </c>
      <c r="Q586" t="str" cm="1">
        <f t="array" ref="Q586:R586">_xlfn.TEXTSPLIT(E586," ")</f>
        <v>27.10.2023</v>
      </c>
      <c r="R586" t="str">
        <v>09:44:54</v>
      </c>
      <c r="S586">
        <f t="shared" si="153"/>
        <v>9.716666666666729</v>
      </c>
      <c r="T586">
        <f t="shared" si="144"/>
        <v>5.5900000000000034</v>
      </c>
      <c r="U586">
        <f t="shared" si="147"/>
        <v>0.75</v>
      </c>
      <c r="V586">
        <f t="shared" si="141"/>
        <v>0.54499999999999993</v>
      </c>
      <c r="AC586" t="s">
        <v>1689</v>
      </c>
      <c r="AD586">
        <v>0.45</v>
      </c>
      <c r="AE586">
        <v>6.95</v>
      </c>
      <c r="AG586" t="str" cm="1">
        <f t="array" ref="AG586:AH586">_xlfn.TEXTSPLIT(AC587," ")</f>
        <v>26.10.2023</v>
      </c>
      <c r="AH586" t="str">
        <v>09:45:52</v>
      </c>
      <c r="AI586">
        <f t="shared" si="154"/>
        <v>9.716666666666729</v>
      </c>
      <c r="AJ586">
        <f t="shared" si="148"/>
        <v>2.42</v>
      </c>
      <c r="AK586">
        <f t="shared" si="149"/>
        <v>0.45</v>
      </c>
      <c r="AL586">
        <f t="shared" si="142"/>
        <v>0.28500000000000009</v>
      </c>
      <c r="AN586" t="s">
        <v>1689</v>
      </c>
      <c r="AO586">
        <v>0.6</v>
      </c>
      <c r="AP586">
        <v>68.41</v>
      </c>
      <c r="AR586" t="str" cm="1">
        <f t="array" ref="AR586:AS586">_xlfn.TEXTSPLIT(AN586," ")</f>
        <v>26.10.2023</v>
      </c>
      <c r="AS586" t="str">
        <v>09:44:52</v>
      </c>
      <c r="AT586">
        <f t="shared" si="155"/>
        <v>9.716666666666729</v>
      </c>
      <c r="AU586">
        <f t="shared" si="150"/>
        <v>7.0999999999999943</v>
      </c>
      <c r="AV586">
        <f t="shared" si="151"/>
        <v>0.6</v>
      </c>
      <c r="AW586">
        <f t="shared" si="143"/>
        <v>0.62999999999999978</v>
      </c>
    </row>
    <row r="587" spans="1:49" x14ac:dyDescent="0.25">
      <c r="A587" t="s">
        <v>1690</v>
      </c>
      <c r="B587">
        <v>0.45</v>
      </c>
      <c r="C587">
        <v>17.7</v>
      </c>
      <c r="E587" t="s">
        <v>1690</v>
      </c>
      <c r="F587">
        <v>0.45</v>
      </c>
      <c r="G587">
        <v>84.19</v>
      </c>
      <c r="I587" t="str" cm="1">
        <f t="array" ref="I587:J587">_xlfn.TEXTSPLIT(A587," ")</f>
        <v>27.10.2023</v>
      </c>
      <c r="J587" t="str">
        <v>09:45:54</v>
      </c>
      <c r="K587">
        <f t="shared" si="152"/>
        <v>9.7333333333333965</v>
      </c>
      <c r="L587">
        <f t="shared" si="145"/>
        <v>3.379999999999999</v>
      </c>
      <c r="M587">
        <f t="shared" si="146"/>
        <v>0.45</v>
      </c>
      <c r="N587">
        <f t="shared" si="140"/>
        <v>0.33499999999999996</v>
      </c>
      <c r="Q587" t="str" cm="1">
        <f t="array" ref="Q587:R587">_xlfn.TEXTSPLIT(E587," ")</f>
        <v>27.10.2023</v>
      </c>
      <c r="R587" t="str">
        <v>09:45:54</v>
      </c>
      <c r="S587">
        <f t="shared" si="153"/>
        <v>9.7333333333333965</v>
      </c>
      <c r="T587">
        <f t="shared" si="144"/>
        <v>5.5900000000000034</v>
      </c>
      <c r="U587">
        <f t="shared" si="147"/>
        <v>0.45</v>
      </c>
      <c r="V587">
        <f t="shared" si="141"/>
        <v>0.52999999999999992</v>
      </c>
      <c r="AC587" t="s">
        <v>1691</v>
      </c>
      <c r="AD587">
        <v>0</v>
      </c>
      <c r="AE587">
        <v>6.95</v>
      </c>
      <c r="AG587" t="str" cm="1">
        <f t="array" ref="AG587:AH587">_xlfn.TEXTSPLIT(AC588," ")</f>
        <v>26.10.2023</v>
      </c>
      <c r="AH587" t="str">
        <v>09:46:52</v>
      </c>
      <c r="AI587">
        <f t="shared" si="154"/>
        <v>9.7333333333333965</v>
      </c>
      <c r="AJ587">
        <f t="shared" si="148"/>
        <v>2.42</v>
      </c>
      <c r="AK587">
        <f t="shared" si="149"/>
        <v>0</v>
      </c>
      <c r="AL587">
        <f t="shared" si="142"/>
        <v>0.27750000000000008</v>
      </c>
      <c r="AN587" t="s">
        <v>1691</v>
      </c>
      <c r="AO587">
        <v>0.6</v>
      </c>
      <c r="AP587">
        <v>68.42</v>
      </c>
      <c r="AR587" t="str" cm="1">
        <f t="array" ref="AR587:AS587">_xlfn.TEXTSPLIT(AN587," ")</f>
        <v>26.10.2023</v>
      </c>
      <c r="AS587" t="str">
        <v>09:45:52</v>
      </c>
      <c r="AT587">
        <f t="shared" si="155"/>
        <v>9.7333333333333965</v>
      </c>
      <c r="AU587">
        <f t="shared" si="150"/>
        <v>7.1099999999999994</v>
      </c>
      <c r="AV587">
        <f t="shared" si="151"/>
        <v>0.6</v>
      </c>
      <c r="AW587">
        <f t="shared" si="143"/>
        <v>0.62749999999999984</v>
      </c>
    </row>
    <row r="588" spans="1:49" x14ac:dyDescent="0.25">
      <c r="A588" t="s">
        <v>1692</v>
      </c>
      <c r="B588">
        <v>0.3</v>
      </c>
      <c r="C588">
        <v>17.71</v>
      </c>
      <c r="E588" t="s">
        <v>1692</v>
      </c>
      <c r="F588">
        <v>0.45</v>
      </c>
      <c r="G588">
        <v>84.21</v>
      </c>
      <c r="I588" t="str" cm="1">
        <f t="array" ref="I588:J588">_xlfn.TEXTSPLIT(A588," ")</f>
        <v>27.10.2023</v>
      </c>
      <c r="J588" t="str">
        <v>09:46:54</v>
      </c>
      <c r="K588">
        <f t="shared" si="152"/>
        <v>9.7500000000000639</v>
      </c>
      <c r="L588">
        <f t="shared" si="145"/>
        <v>3.3900000000000006</v>
      </c>
      <c r="M588">
        <f t="shared" si="146"/>
        <v>0.3</v>
      </c>
      <c r="N588">
        <f t="shared" si="140"/>
        <v>0.32250000000000001</v>
      </c>
      <c r="Q588" t="str" cm="1">
        <f t="array" ref="Q588:R588">_xlfn.TEXTSPLIT(E588," ")</f>
        <v>27.10.2023</v>
      </c>
      <c r="R588" t="str">
        <v>09:46:54</v>
      </c>
      <c r="S588">
        <f t="shared" si="153"/>
        <v>9.7500000000000639</v>
      </c>
      <c r="T588">
        <f t="shared" si="144"/>
        <v>5.6099999999999994</v>
      </c>
      <c r="U588">
        <f t="shared" si="147"/>
        <v>0.45</v>
      </c>
      <c r="V588">
        <f t="shared" si="141"/>
        <v>0.52249999999999985</v>
      </c>
      <c r="AC588" t="s">
        <v>1693</v>
      </c>
      <c r="AD588">
        <v>0.45</v>
      </c>
      <c r="AE588">
        <v>6.96</v>
      </c>
      <c r="AG588" t="str" cm="1">
        <f t="array" ref="AG588:AH588">_xlfn.TEXTSPLIT(AC589," ")</f>
        <v>26.10.2023</v>
      </c>
      <c r="AH588" t="str">
        <v>09:47:53</v>
      </c>
      <c r="AI588">
        <f t="shared" si="154"/>
        <v>9.7500000000000639</v>
      </c>
      <c r="AJ588">
        <f t="shared" si="148"/>
        <v>2.4299999999999997</v>
      </c>
      <c r="AK588">
        <f t="shared" si="149"/>
        <v>0.45</v>
      </c>
      <c r="AL588">
        <f t="shared" si="142"/>
        <v>0.28000000000000008</v>
      </c>
      <c r="AN588" t="s">
        <v>1693</v>
      </c>
      <c r="AO588">
        <v>0.45</v>
      </c>
      <c r="AP588">
        <v>68.42</v>
      </c>
      <c r="AR588" t="str" cm="1">
        <f t="array" ref="AR588:AS588">_xlfn.TEXTSPLIT(AN588," ")</f>
        <v>26.10.2023</v>
      </c>
      <c r="AS588" t="str">
        <v>09:46:52</v>
      </c>
      <c r="AT588">
        <f t="shared" si="155"/>
        <v>9.7500000000000639</v>
      </c>
      <c r="AU588">
        <f t="shared" si="150"/>
        <v>7.1099999999999994</v>
      </c>
      <c r="AV588">
        <f t="shared" si="151"/>
        <v>0.45</v>
      </c>
      <c r="AW588">
        <f t="shared" si="143"/>
        <v>0.62749999999999995</v>
      </c>
    </row>
    <row r="589" spans="1:49" x14ac:dyDescent="0.25">
      <c r="A589" t="s">
        <v>1694</v>
      </c>
      <c r="B589">
        <v>0.3</v>
      </c>
      <c r="C589">
        <v>17.72</v>
      </c>
      <c r="E589" t="s">
        <v>1694</v>
      </c>
      <c r="F589">
        <v>0.6</v>
      </c>
      <c r="G589">
        <v>84.21</v>
      </c>
      <c r="I589" t="str" cm="1">
        <f t="array" ref="I589:J589">_xlfn.TEXTSPLIT(A589," ")</f>
        <v>27.10.2023</v>
      </c>
      <c r="J589" t="str">
        <v>09:47:54</v>
      </c>
      <c r="K589">
        <f t="shared" si="152"/>
        <v>9.7666666666667314</v>
      </c>
      <c r="L589">
        <f t="shared" si="145"/>
        <v>3.3999999999999986</v>
      </c>
      <c r="M589">
        <f t="shared" si="146"/>
        <v>0.3</v>
      </c>
      <c r="N589">
        <f t="shared" si="140"/>
        <v>0.32750000000000001</v>
      </c>
      <c r="Q589" t="str" cm="1">
        <f t="array" ref="Q589:R589">_xlfn.TEXTSPLIT(E589," ")</f>
        <v>27.10.2023</v>
      </c>
      <c r="R589" t="str">
        <v>09:47:54</v>
      </c>
      <c r="S589">
        <f t="shared" si="153"/>
        <v>9.7666666666667314</v>
      </c>
      <c r="T589">
        <f t="shared" si="144"/>
        <v>5.6099999999999994</v>
      </c>
      <c r="U589">
        <f t="shared" si="147"/>
        <v>0.6</v>
      </c>
      <c r="V589">
        <f t="shared" si="141"/>
        <v>0.51999999999999991</v>
      </c>
      <c r="AC589" t="s">
        <v>1695</v>
      </c>
      <c r="AD589">
        <v>0.6</v>
      </c>
      <c r="AE589">
        <v>6.97</v>
      </c>
      <c r="AG589" t="str" cm="1">
        <f t="array" ref="AG589:AH589">_xlfn.TEXTSPLIT(AC590," ")</f>
        <v>26.10.2023</v>
      </c>
      <c r="AH589" t="str">
        <v>09:48:53</v>
      </c>
      <c r="AI589">
        <f t="shared" si="154"/>
        <v>9.7666666666667314</v>
      </c>
      <c r="AJ589">
        <f t="shared" si="148"/>
        <v>2.4399999999999995</v>
      </c>
      <c r="AK589">
        <f t="shared" si="149"/>
        <v>0.6</v>
      </c>
      <c r="AL589">
        <f t="shared" si="142"/>
        <v>0.28500000000000009</v>
      </c>
      <c r="AN589" t="s">
        <v>1695</v>
      </c>
      <c r="AO589">
        <v>0.6</v>
      </c>
      <c r="AP589">
        <v>68.44</v>
      </c>
      <c r="AR589" t="str" cm="1">
        <f t="array" ref="AR589:AS589">_xlfn.TEXTSPLIT(AN589," ")</f>
        <v>26.10.2023</v>
      </c>
      <c r="AS589" t="str">
        <v>09:47:53</v>
      </c>
      <c r="AT589">
        <f t="shared" si="155"/>
        <v>9.7666666666667314</v>
      </c>
      <c r="AU589">
        <f t="shared" si="150"/>
        <v>7.1299999999999955</v>
      </c>
      <c r="AV589">
        <f t="shared" si="151"/>
        <v>0.6</v>
      </c>
      <c r="AW589">
        <f t="shared" si="143"/>
        <v>0.62749999999999995</v>
      </c>
    </row>
    <row r="590" spans="1:49" x14ac:dyDescent="0.25">
      <c r="A590" t="s">
        <v>1696</v>
      </c>
      <c r="B590">
        <v>0.15</v>
      </c>
      <c r="C590">
        <v>17.72</v>
      </c>
      <c r="E590" t="s">
        <v>1696</v>
      </c>
      <c r="F590">
        <v>0.45</v>
      </c>
      <c r="G590">
        <v>84.22</v>
      </c>
      <c r="I590" t="str" cm="1">
        <f t="array" ref="I590:J590">_xlfn.TEXTSPLIT(A590," ")</f>
        <v>27.10.2023</v>
      </c>
      <c r="J590" t="str">
        <v>09:48:54</v>
      </c>
      <c r="K590">
        <f t="shared" si="152"/>
        <v>9.7833333333333989</v>
      </c>
      <c r="L590">
        <f t="shared" si="145"/>
        <v>3.3999999999999986</v>
      </c>
      <c r="M590">
        <f t="shared" si="146"/>
        <v>0.15</v>
      </c>
      <c r="N590">
        <f t="shared" si="140"/>
        <v>0.31500000000000006</v>
      </c>
      <c r="Q590" t="str" cm="1">
        <f t="array" ref="Q590:R590">_xlfn.TEXTSPLIT(E590," ")</f>
        <v>27.10.2023</v>
      </c>
      <c r="R590" t="str">
        <v>09:48:54</v>
      </c>
      <c r="S590">
        <f t="shared" si="153"/>
        <v>9.7833333333333989</v>
      </c>
      <c r="T590">
        <f t="shared" si="144"/>
        <v>5.6200000000000045</v>
      </c>
      <c r="U590">
        <f t="shared" si="147"/>
        <v>0.45</v>
      </c>
      <c r="V590">
        <f t="shared" si="141"/>
        <v>0.51749999999999985</v>
      </c>
      <c r="AC590" t="s">
        <v>1697</v>
      </c>
      <c r="AD590">
        <v>0.45</v>
      </c>
      <c r="AE590">
        <v>6.97</v>
      </c>
      <c r="AG590" t="str" cm="1">
        <f t="array" ref="AG590:AH590">_xlfn.TEXTSPLIT(AC591," ")</f>
        <v>26.10.2023</v>
      </c>
      <c r="AH590" t="str">
        <v>09:49:53</v>
      </c>
      <c r="AI590">
        <f t="shared" si="154"/>
        <v>9.7833333333333989</v>
      </c>
      <c r="AJ590">
        <f t="shared" si="148"/>
        <v>2.4399999999999995</v>
      </c>
      <c r="AK590">
        <f t="shared" si="149"/>
        <v>0.45</v>
      </c>
      <c r="AL590">
        <f t="shared" si="142"/>
        <v>0.29000000000000009</v>
      </c>
      <c r="AN590" t="s">
        <v>1697</v>
      </c>
      <c r="AO590">
        <v>0.6</v>
      </c>
      <c r="AP590">
        <v>68.45</v>
      </c>
      <c r="AR590" t="str" cm="1">
        <f t="array" ref="AR590:AS590">_xlfn.TEXTSPLIT(AN590," ")</f>
        <v>26.10.2023</v>
      </c>
      <c r="AS590" t="str">
        <v>09:48:53</v>
      </c>
      <c r="AT590">
        <f t="shared" si="155"/>
        <v>9.7833333333333989</v>
      </c>
      <c r="AU590">
        <f t="shared" si="150"/>
        <v>7.1400000000000006</v>
      </c>
      <c r="AV590">
        <f t="shared" si="151"/>
        <v>0.6</v>
      </c>
      <c r="AW590">
        <f t="shared" si="143"/>
        <v>0.63000000000000012</v>
      </c>
    </row>
    <row r="591" spans="1:49" x14ac:dyDescent="0.25">
      <c r="A591" t="s">
        <v>1698</v>
      </c>
      <c r="B591">
        <v>0.3</v>
      </c>
      <c r="C591">
        <v>17.72</v>
      </c>
      <c r="E591" t="s">
        <v>1698</v>
      </c>
      <c r="F591">
        <v>0.3</v>
      </c>
      <c r="G591">
        <v>84.22</v>
      </c>
      <c r="I591" t="str" cm="1">
        <f t="array" ref="I591:J591">_xlfn.TEXTSPLIT(A591," ")</f>
        <v>27.10.2023</v>
      </c>
      <c r="J591" t="str">
        <v>09:49:55</v>
      </c>
      <c r="K591">
        <f t="shared" si="152"/>
        <v>9.8000000000000664</v>
      </c>
      <c r="L591">
        <f t="shared" si="145"/>
        <v>3.3999999999999986</v>
      </c>
      <c r="M591">
        <f t="shared" si="146"/>
        <v>0.3</v>
      </c>
      <c r="N591">
        <f t="shared" si="140"/>
        <v>0.31</v>
      </c>
      <c r="Q591" t="str" cm="1">
        <f t="array" ref="Q591:R591">_xlfn.TEXTSPLIT(E591," ")</f>
        <v>27.10.2023</v>
      </c>
      <c r="R591" t="str">
        <v>09:49:55</v>
      </c>
      <c r="S591">
        <f t="shared" si="153"/>
        <v>9.8000000000000664</v>
      </c>
      <c r="T591">
        <f t="shared" si="144"/>
        <v>5.6200000000000045</v>
      </c>
      <c r="U591">
        <f t="shared" si="147"/>
        <v>0.3</v>
      </c>
      <c r="V591">
        <f t="shared" si="141"/>
        <v>0.5149999999999999</v>
      </c>
      <c r="AC591" t="s">
        <v>1699</v>
      </c>
      <c r="AD591">
        <v>0.45</v>
      </c>
      <c r="AE591">
        <v>6.98</v>
      </c>
      <c r="AG591" t="str" cm="1">
        <f t="array" ref="AG591:AH591">_xlfn.TEXTSPLIT(AC592," ")</f>
        <v>26.10.2023</v>
      </c>
      <c r="AH591" t="str">
        <v>09:50:53</v>
      </c>
      <c r="AI591">
        <f t="shared" si="154"/>
        <v>9.8000000000000664</v>
      </c>
      <c r="AJ591">
        <f t="shared" si="148"/>
        <v>2.4500000000000002</v>
      </c>
      <c r="AK591">
        <f t="shared" si="149"/>
        <v>0.45</v>
      </c>
      <c r="AL591">
        <f t="shared" si="142"/>
        <v>0.29500000000000004</v>
      </c>
      <c r="AN591" t="s">
        <v>1699</v>
      </c>
      <c r="AO591">
        <v>0.6</v>
      </c>
      <c r="AP591">
        <v>68.459999999999994</v>
      </c>
      <c r="AR591" t="str" cm="1">
        <f t="array" ref="AR591:AS591">_xlfn.TEXTSPLIT(AN591," ")</f>
        <v>26.10.2023</v>
      </c>
      <c r="AS591" t="str">
        <v>09:49:53</v>
      </c>
      <c r="AT591">
        <f t="shared" si="155"/>
        <v>9.8000000000000664</v>
      </c>
      <c r="AU591">
        <f t="shared" si="150"/>
        <v>7.1499999999999915</v>
      </c>
      <c r="AV591">
        <f t="shared" si="151"/>
        <v>0.6</v>
      </c>
      <c r="AW591">
        <f t="shared" si="143"/>
        <v>0.63500000000000001</v>
      </c>
    </row>
    <row r="592" spans="1:49" x14ac:dyDescent="0.25">
      <c r="A592" t="s">
        <v>1700</v>
      </c>
      <c r="B592">
        <v>0</v>
      </c>
      <c r="C592">
        <v>17.72</v>
      </c>
      <c r="E592" t="s">
        <v>1700</v>
      </c>
      <c r="F592">
        <v>0.3</v>
      </c>
      <c r="G592">
        <v>84.24</v>
      </c>
      <c r="I592" t="str" cm="1">
        <f t="array" ref="I592:J592">_xlfn.TEXTSPLIT(A592," ")</f>
        <v>27.10.2023</v>
      </c>
      <c r="J592" t="str">
        <v>09:50:55</v>
      </c>
      <c r="K592">
        <f t="shared" si="152"/>
        <v>9.8166666666667339</v>
      </c>
      <c r="L592">
        <f t="shared" si="145"/>
        <v>3.3999999999999986</v>
      </c>
      <c r="M592">
        <f t="shared" si="146"/>
        <v>0</v>
      </c>
      <c r="N592">
        <f t="shared" si="140"/>
        <v>0.30500000000000005</v>
      </c>
      <c r="Q592" t="str" cm="1">
        <f t="array" ref="Q592:R592">_xlfn.TEXTSPLIT(E592," ")</f>
        <v>27.10.2023</v>
      </c>
      <c r="R592" t="str">
        <v>09:50:55</v>
      </c>
      <c r="S592">
        <f t="shared" si="153"/>
        <v>9.8166666666667339</v>
      </c>
      <c r="T592">
        <f t="shared" si="144"/>
        <v>5.6400000000000006</v>
      </c>
      <c r="U592">
        <f t="shared" si="147"/>
        <v>0.3</v>
      </c>
      <c r="V592">
        <f t="shared" si="141"/>
        <v>0.51249999999999996</v>
      </c>
      <c r="AC592" t="s">
        <v>1701</v>
      </c>
      <c r="AD592">
        <v>0.15</v>
      </c>
      <c r="AE592">
        <v>6.98</v>
      </c>
      <c r="AG592" t="str" cm="1">
        <f t="array" ref="AG592:AH592">_xlfn.TEXTSPLIT(AC593," ")</f>
        <v>26.10.2023</v>
      </c>
      <c r="AH592" t="str">
        <v>09:51:53</v>
      </c>
      <c r="AI592">
        <f t="shared" si="154"/>
        <v>9.8166666666667339</v>
      </c>
      <c r="AJ592">
        <f t="shared" si="148"/>
        <v>2.4500000000000002</v>
      </c>
      <c r="AK592">
        <f t="shared" si="149"/>
        <v>0.15</v>
      </c>
      <c r="AL592">
        <f t="shared" si="142"/>
        <v>0.28999999999999998</v>
      </c>
      <c r="AN592" t="s">
        <v>1701</v>
      </c>
      <c r="AO592">
        <v>1.05</v>
      </c>
      <c r="AP592">
        <v>68.47</v>
      </c>
      <c r="AR592" t="str" cm="1">
        <f t="array" ref="AR592:AS592">_xlfn.TEXTSPLIT(AN592," ")</f>
        <v>26.10.2023</v>
      </c>
      <c r="AS592" t="str">
        <v>09:50:53</v>
      </c>
      <c r="AT592">
        <f t="shared" si="155"/>
        <v>9.8166666666667339</v>
      </c>
      <c r="AU592">
        <f t="shared" si="150"/>
        <v>7.1599999999999966</v>
      </c>
      <c r="AV592">
        <f t="shared" si="151"/>
        <v>1.05</v>
      </c>
      <c r="AW592">
        <f t="shared" si="143"/>
        <v>0.64250000000000007</v>
      </c>
    </row>
    <row r="593" spans="1:49" x14ac:dyDescent="0.25">
      <c r="A593" t="s">
        <v>1702</v>
      </c>
      <c r="B593">
        <v>0</v>
      </c>
      <c r="C593">
        <v>17.72</v>
      </c>
      <c r="E593" t="s">
        <v>1702</v>
      </c>
      <c r="F593">
        <v>0.6</v>
      </c>
      <c r="G593">
        <v>84.24</v>
      </c>
      <c r="I593" t="str" cm="1">
        <f t="array" ref="I593:J593">_xlfn.TEXTSPLIT(A593," ")</f>
        <v>27.10.2023</v>
      </c>
      <c r="J593" t="str">
        <v>09:51:55</v>
      </c>
      <c r="K593">
        <f t="shared" si="152"/>
        <v>9.8333333333334014</v>
      </c>
      <c r="L593">
        <f t="shared" si="145"/>
        <v>3.3999999999999986</v>
      </c>
      <c r="M593">
        <f t="shared" si="146"/>
        <v>0</v>
      </c>
      <c r="N593">
        <f t="shared" si="140"/>
        <v>0.30000000000000004</v>
      </c>
      <c r="Q593" t="str" cm="1">
        <f t="array" ref="Q593:R593">_xlfn.TEXTSPLIT(E593," ")</f>
        <v>27.10.2023</v>
      </c>
      <c r="R593" t="str">
        <v>09:51:55</v>
      </c>
      <c r="S593">
        <f t="shared" si="153"/>
        <v>9.8333333333334014</v>
      </c>
      <c r="T593">
        <f t="shared" si="144"/>
        <v>5.6400000000000006</v>
      </c>
      <c r="U593">
        <f t="shared" si="147"/>
        <v>0.6</v>
      </c>
      <c r="V593">
        <f t="shared" si="141"/>
        <v>0.51500000000000001</v>
      </c>
      <c r="AC593" t="s">
        <v>1703</v>
      </c>
      <c r="AD593">
        <v>0</v>
      </c>
      <c r="AE593">
        <v>6.98</v>
      </c>
      <c r="AG593" t="str" cm="1">
        <f t="array" ref="AG593:AH593">_xlfn.TEXTSPLIT(AC594," ")</f>
        <v>26.10.2023</v>
      </c>
      <c r="AH593" t="str">
        <v>09:52:53</v>
      </c>
      <c r="AI593">
        <f t="shared" si="154"/>
        <v>9.8333333333334014</v>
      </c>
      <c r="AJ593">
        <f t="shared" si="148"/>
        <v>2.4500000000000002</v>
      </c>
      <c r="AK593">
        <f t="shared" si="149"/>
        <v>0</v>
      </c>
      <c r="AL593">
        <f t="shared" si="142"/>
        <v>0.28499999999999998</v>
      </c>
      <c r="AN593" t="s">
        <v>1703</v>
      </c>
      <c r="AO593">
        <v>0.75</v>
      </c>
      <c r="AP593">
        <v>68.489999999999995</v>
      </c>
      <c r="AR593" t="str" cm="1">
        <f t="array" ref="AR593:AS593">_xlfn.TEXTSPLIT(AN593," ")</f>
        <v>26.10.2023</v>
      </c>
      <c r="AS593" t="str">
        <v>09:51:53</v>
      </c>
      <c r="AT593">
        <f t="shared" si="155"/>
        <v>9.8333333333334014</v>
      </c>
      <c r="AU593">
        <f t="shared" si="150"/>
        <v>7.1799999999999926</v>
      </c>
      <c r="AV593">
        <f t="shared" si="151"/>
        <v>0.75</v>
      </c>
      <c r="AW593">
        <f t="shared" si="143"/>
        <v>0.64500000000000002</v>
      </c>
    </row>
    <row r="594" spans="1:49" x14ac:dyDescent="0.25">
      <c r="A594" t="s">
        <v>1704</v>
      </c>
      <c r="B594">
        <v>0</v>
      </c>
      <c r="C594">
        <v>17.72</v>
      </c>
      <c r="E594" t="s">
        <v>1704</v>
      </c>
      <c r="F594">
        <v>0</v>
      </c>
      <c r="G594">
        <v>84.24</v>
      </c>
      <c r="I594" t="str" cm="1">
        <f t="array" ref="I594:J594">_xlfn.TEXTSPLIT(A594," ")</f>
        <v>27.10.2023</v>
      </c>
      <c r="J594" t="str">
        <v>09:52:55</v>
      </c>
      <c r="K594">
        <f t="shared" si="152"/>
        <v>9.8500000000000689</v>
      </c>
      <c r="L594">
        <f t="shared" si="145"/>
        <v>3.3999999999999986</v>
      </c>
      <c r="M594">
        <f t="shared" si="146"/>
        <v>0</v>
      </c>
      <c r="N594">
        <f t="shared" si="140"/>
        <v>0.29250000000000004</v>
      </c>
      <c r="Q594" t="str" cm="1">
        <f t="array" ref="Q594:R594">_xlfn.TEXTSPLIT(E594," ")</f>
        <v>27.10.2023</v>
      </c>
      <c r="R594" t="str">
        <v>09:52:55</v>
      </c>
      <c r="S594">
        <f t="shared" si="153"/>
        <v>9.8500000000000689</v>
      </c>
      <c r="T594">
        <f t="shared" si="144"/>
        <v>5.6400000000000006</v>
      </c>
      <c r="U594">
        <f t="shared" si="147"/>
        <v>0</v>
      </c>
      <c r="V594">
        <f t="shared" si="141"/>
        <v>0.51500000000000001</v>
      </c>
      <c r="AC594" t="s">
        <v>1705</v>
      </c>
      <c r="AD594">
        <v>0.3</v>
      </c>
      <c r="AE594">
        <v>6.99</v>
      </c>
      <c r="AG594" t="str" cm="1">
        <f t="array" ref="AG594:AH594">_xlfn.TEXTSPLIT(AC595," ")</f>
        <v>26.10.2023</v>
      </c>
      <c r="AH594" t="str">
        <v>09:53:53</v>
      </c>
      <c r="AI594">
        <f t="shared" si="154"/>
        <v>9.8500000000000689</v>
      </c>
      <c r="AJ594">
        <f t="shared" si="148"/>
        <v>2.46</v>
      </c>
      <c r="AK594">
        <f t="shared" si="149"/>
        <v>0.3</v>
      </c>
      <c r="AL594">
        <f t="shared" si="142"/>
        <v>0.28249999999999997</v>
      </c>
      <c r="AN594" t="s">
        <v>1705</v>
      </c>
      <c r="AO594">
        <v>0.75</v>
      </c>
      <c r="AP594">
        <v>68.489999999999995</v>
      </c>
      <c r="AR594" t="str" cm="1">
        <f t="array" ref="AR594:AS594">_xlfn.TEXTSPLIT(AN594," ")</f>
        <v>26.10.2023</v>
      </c>
      <c r="AS594" t="str">
        <v>09:52:53</v>
      </c>
      <c r="AT594">
        <f t="shared" si="155"/>
        <v>9.8500000000000689</v>
      </c>
      <c r="AU594">
        <f t="shared" si="150"/>
        <v>7.1799999999999926</v>
      </c>
      <c r="AV594">
        <f t="shared" si="151"/>
        <v>0.75</v>
      </c>
      <c r="AW594">
        <f t="shared" si="143"/>
        <v>0.65249999999999997</v>
      </c>
    </row>
    <row r="595" spans="1:49" x14ac:dyDescent="0.25">
      <c r="A595" t="s">
        <v>1706</v>
      </c>
      <c r="B595">
        <v>0</v>
      </c>
      <c r="C595">
        <v>17.72</v>
      </c>
      <c r="E595" t="s">
        <v>1706</v>
      </c>
      <c r="F595">
        <v>0</v>
      </c>
      <c r="G595">
        <v>84.24</v>
      </c>
      <c r="I595" t="str" cm="1">
        <f t="array" ref="I595:J595">_xlfn.TEXTSPLIT(A595," ")</f>
        <v>27.10.2023</v>
      </c>
      <c r="J595" t="str">
        <v>09:53:55</v>
      </c>
      <c r="K595">
        <f t="shared" si="152"/>
        <v>9.8666666666667364</v>
      </c>
      <c r="L595">
        <f t="shared" si="145"/>
        <v>3.3999999999999986</v>
      </c>
      <c r="M595">
        <f t="shared" si="146"/>
        <v>0</v>
      </c>
      <c r="N595">
        <f t="shared" si="140"/>
        <v>0.29250000000000004</v>
      </c>
      <c r="Q595" t="str" cm="1">
        <f t="array" ref="Q595:R595">_xlfn.TEXTSPLIT(E595," ")</f>
        <v>27.10.2023</v>
      </c>
      <c r="R595" t="str">
        <v>09:53:55</v>
      </c>
      <c r="S595">
        <f t="shared" si="153"/>
        <v>9.8666666666667364</v>
      </c>
      <c r="T595">
        <f t="shared" si="144"/>
        <v>5.6400000000000006</v>
      </c>
      <c r="U595">
        <f t="shared" si="147"/>
        <v>0</v>
      </c>
      <c r="V595">
        <f t="shared" si="141"/>
        <v>0.51500000000000001</v>
      </c>
      <c r="AC595" t="s">
        <v>1707</v>
      </c>
      <c r="AD595">
        <v>0.3</v>
      </c>
      <c r="AE595">
        <v>6.99</v>
      </c>
      <c r="AG595" t="str" cm="1">
        <f t="array" ref="AG595:AH595">_xlfn.TEXTSPLIT(AC596," ")</f>
        <v>26.10.2023</v>
      </c>
      <c r="AH595" t="str">
        <v>09:54:54</v>
      </c>
      <c r="AI595">
        <f t="shared" si="154"/>
        <v>9.8666666666667364</v>
      </c>
      <c r="AJ595">
        <f t="shared" si="148"/>
        <v>2.46</v>
      </c>
      <c r="AK595">
        <f t="shared" si="149"/>
        <v>0.3</v>
      </c>
      <c r="AL595">
        <f t="shared" si="142"/>
        <v>0.28499999999999998</v>
      </c>
      <c r="AN595" t="s">
        <v>1707</v>
      </c>
      <c r="AO595">
        <v>0</v>
      </c>
      <c r="AP595">
        <v>68.489999999999995</v>
      </c>
      <c r="AR595" t="str" cm="1">
        <f t="array" ref="AR595:AS595">_xlfn.TEXTSPLIT(AN595," ")</f>
        <v>26.10.2023</v>
      </c>
      <c r="AS595" t="str">
        <v>09:53:53</v>
      </c>
      <c r="AT595">
        <f t="shared" si="155"/>
        <v>9.8666666666667364</v>
      </c>
      <c r="AU595">
        <f t="shared" si="150"/>
        <v>7.1799999999999926</v>
      </c>
      <c r="AV595">
        <f t="shared" si="151"/>
        <v>0</v>
      </c>
      <c r="AW595">
        <f t="shared" si="143"/>
        <v>0.65249999999999997</v>
      </c>
    </row>
    <row r="596" spans="1:49" x14ac:dyDescent="0.25">
      <c r="A596" t="s">
        <v>1708</v>
      </c>
      <c r="B596">
        <v>0</v>
      </c>
      <c r="C596">
        <v>17.72</v>
      </c>
      <c r="E596" t="s">
        <v>1708</v>
      </c>
      <c r="F596">
        <v>0</v>
      </c>
      <c r="G596">
        <v>84.24</v>
      </c>
      <c r="I596" t="str" cm="1">
        <f t="array" ref="I596:J596">_xlfn.TEXTSPLIT(A596," ")</f>
        <v>27.10.2023</v>
      </c>
      <c r="J596" t="str">
        <v>09:54:55</v>
      </c>
      <c r="K596">
        <f t="shared" si="152"/>
        <v>9.8833333333334039</v>
      </c>
      <c r="L596">
        <f t="shared" si="145"/>
        <v>3.3999999999999986</v>
      </c>
      <c r="M596">
        <f t="shared" si="146"/>
        <v>0</v>
      </c>
      <c r="N596">
        <f t="shared" si="140"/>
        <v>0.29250000000000004</v>
      </c>
      <c r="Q596" t="str" cm="1">
        <f t="array" ref="Q596:R596">_xlfn.TEXTSPLIT(E596," ")</f>
        <v>27.10.2023</v>
      </c>
      <c r="R596" t="str">
        <v>09:54:55</v>
      </c>
      <c r="S596">
        <f t="shared" si="153"/>
        <v>9.8833333333334039</v>
      </c>
      <c r="T596">
        <f t="shared" si="144"/>
        <v>5.6400000000000006</v>
      </c>
      <c r="U596">
        <f t="shared" si="147"/>
        <v>0</v>
      </c>
      <c r="V596">
        <f t="shared" si="141"/>
        <v>0.51500000000000001</v>
      </c>
      <c r="AC596" t="s">
        <v>1709</v>
      </c>
      <c r="AD596">
        <v>0</v>
      </c>
      <c r="AE596">
        <v>6.99</v>
      </c>
      <c r="AG596" t="str" cm="1">
        <f t="array" ref="AG596:AH596">_xlfn.TEXTSPLIT(AC597," ")</f>
        <v>26.10.2023</v>
      </c>
      <c r="AH596" t="str">
        <v>09:55:54</v>
      </c>
      <c r="AI596">
        <f t="shared" si="154"/>
        <v>9.8833333333334039</v>
      </c>
      <c r="AJ596">
        <f t="shared" si="148"/>
        <v>2.46</v>
      </c>
      <c r="AK596">
        <f t="shared" si="149"/>
        <v>0</v>
      </c>
      <c r="AL596">
        <f t="shared" si="142"/>
        <v>0.28499999999999998</v>
      </c>
      <c r="AN596" t="s">
        <v>1709</v>
      </c>
      <c r="AO596">
        <v>0</v>
      </c>
      <c r="AP596">
        <v>68.489999999999995</v>
      </c>
      <c r="AR596" t="str" cm="1">
        <f t="array" ref="AR596:AS596">_xlfn.TEXTSPLIT(AN596," ")</f>
        <v>26.10.2023</v>
      </c>
      <c r="AS596" t="str">
        <v>09:54:54</v>
      </c>
      <c r="AT596">
        <f t="shared" si="155"/>
        <v>9.8833333333334039</v>
      </c>
      <c r="AU596">
        <f t="shared" si="150"/>
        <v>7.1799999999999926</v>
      </c>
      <c r="AV596">
        <f t="shared" si="151"/>
        <v>0</v>
      </c>
      <c r="AW596">
        <f t="shared" si="143"/>
        <v>0.65249999999999997</v>
      </c>
    </row>
    <row r="597" spans="1:49" x14ac:dyDescent="0.25">
      <c r="A597" t="s">
        <v>1710</v>
      </c>
      <c r="B597">
        <v>0</v>
      </c>
      <c r="C597">
        <v>17.72</v>
      </c>
      <c r="E597" t="s">
        <v>1710</v>
      </c>
      <c r="F597">
        <v>0</v>
      </c>
      <c r="G597">
        <v>84.24</v>
      </c>
      <c r="I597" t="str" cm="1">
        <f t="array" ref="I597:J597">_xlfn.TEXTSPLIT(A597," ")</f>
        <v>27.10.2023</v>
      </c>
      <c r="J597" t="str">
        <v>09:55:55</v>
      </c>
      <c r="K597">
        <f t="shared" si="152"/>
        <v>9.9000000000000714</v>
      </c>
      <c r="L597">
        <f t="shared" si="145"/>
        <v>3.3999999999999986</v>
      </c>
      <c r="M597">
        <f t="shared" si="146"/>
        <v>0</v>
      </c>
      <c r="N597">
        <f t="shared" si="140"/>
        <v>0.29250000000000004</v>
      </c>
      <c r="Q597" t="str" cm="1">
        <f t="array" ref="Q597:R597">_xlfn.TEXTSPLIT(E597," ")</f>
        <v>27.10.2023</v>
      </c>
      <c r="R597" t="str">
        <v>09:55:55</v>
      </c>
      <c r="S597">
        <f t="shared" si="153"/>
        <v>9.9000000000000714</v>
      </c>
      <c r="T597">
        <f t="shared" si="144"/>
        <v>5.6400000000000006</v>
      </c>
      <c r="U597">
        <f t="shared" si="147"/>
        <v>0</v>
      </c>
      <c r="V597">
        <f t="shared" si="141"/>
        <v>0.51249999999999996</v>
      </c>
      <c r="AC597" t="s">
        <v>1711</v>
      </c>
      <c r="AD597">
        <v>0</v>
      </c>
      <c r="AE597">
        <v>6.99</v>
      </c>
      <c r="AG597" t="str" cm="1">
        <f t="array" ref="AG597:AH597">_xlfn.TEXTSPLIT(AC598," ")</f>
        <v>26.10.2023</v>
      </c>
      <c r="AH597" t="str">
        <v>09:56:54</v>
      </c>
      <c r="AI597">
        <f t="shared" si="154"/>
        <v>9.9000000000000714</v>
      </c>
      <c r="AJ597">
        <f t="shared" si="148"/>
        <v>2.46</v>
      </c>
      <c r="AK597">
        <f t="shared" si="149"/>
        <v>0</v>
      </c>
      <c r="AL597">
        <f t="shared" si="142"/>
        <v>0.28499999999999998</v>
      </c>
      <c r="AN597" t="s">
        <v>1711</v>
      </c>
      <c r="AO597">
        <v>0</v>
      </c>
      <c r="AP597">
        <v>68.489999999999995</v>
      </c>
      <c r="AR597" t="str" cm="1">
        <f t="array" ref="AR597:AS597">_xlfn.TEXTSPLIT(AN597," ")</f>
        <v>26.10.2023</v>
      </c>
      <c r="AS597" t="str">
        <v>09:55:54</v>
      </c>
      <c r="AT597">
        <f t="shared" si="155"/>
        <v>9.9000000000000714</v>
      </c>
      <c r="AU597">
        <f t="shared" si="150"/>
        <v>7.1799999999999926</v>
      </c>
      <c r="AV597">
        <f t="shared" si="151"/>
        <v>0</v>
      </c>
      <c r="AW597">
        <f t="shared" si="143"/>
        <v>0.65000000000000013</v>
      </c>
    </row>
    <row r="598" spans="1:49" x14ac:dyDescent="0.25">
      <c r="A598" t="s">
        <v>1712</v>
      </c>
      <c r="B598">
        <v>0</v>
      </c>
      <c r="C598">
        <v>17.72</v>
      </c>
      <c r="E598" t="s">
        <v>1712</v>
      </c>
      <c r="F598">
        <v>0</v>
      </c>
      <c r="G598">
        <v>84.24</v>
      </c>
      <c r="I598" t="str" cm="1">
        <f t="array" ref="I598:J598">_xlfn.TEXTSPLIT(A598," ")</f>
        <v>27.10.2023</v>
      </c>
      <c r="J598" t="str">
        <v>09:56:55</v>
      </c>
      <c r="K598">
        <f t="shared" si="152"/>
        <v>9.9166666666667389</v>
      </c>
      <c r="L598">
        <f t="shared" si="145"/>
        <v>3.3999999999999986</v>
      </c>
      <c r="M598">
        <f t="shared" si="146"/>
        <v>0</v>
      </c>
      <c r="N598">
        <f t="shared" si="140"/>
        <v>0.29250000000000004</v>
      </c>
      <c r="Q598" t="str" cm="1">
        <f t="array" ref="Q598:R598">_xlfn.TEXTSPLIT(E598," ")</f>
        <v>27.10.2023</v>
      </c>
      <c r="R598" t="str">
        <v>09:56:55</v>
      </c>
      <c r="S598">
        <f t="shared" si="153"/>
        <v>9.9166666666667389</v>
      </c>
      <c r="T598">
        <f t="shared" si="144"/>
        <v>5.6400000000000006</v>
      </c>
      <c r="U598">
        <f t="shared" si="147"/>
        <v>0</v>
      </c>
      <c r="V598">
        <f t="shared" si="141"/>
        <v>0.51249999999999996</v>
      </c>
      <c r="AC598" t="s">
        <v>1713</v>
      </c>
      <c r="AD598">
        <v>0</v>
      </c>
      <c r="AE598">
        <v>6.99</v>
      </c>
      <c r="AG598" t="str" cm="1">
        <f t="array" ref="AG598:AH598">_xlfn.TEXTSPLIT(AC599," ")</f>
        <v>26.10.2023</v>
      </c>
      <c r="AH598" t="str">
        <v>09:57:54</v>
      </c>
      <c r="AI598">
        <f t="shared" si="154"/>
        <v>9.9166666666667389</v>
      </c>
      <c r="AJ598">
        <f t="shared" si="148"/>
        <v>2.46</v>
      </c>
      <c r="AK598">
        <f t="shared" si="149"/>
        <v>0</v>
      </c>
      <c r="AL598">
        <f t="shared" si="142"/>
        <v>0.28499999999999998</v>
      </c>
      <c r="AN598" t="s">
        <v>1713</v>
      </c>
      <c r="AO598">
        <v>0</v>
      </c>
      <c r="AP598">
        <v>68.489999999999995</v>
      </c>
      <c r="AR598" t="str" cm="1">
        <f t="array" ref="AR598:AS598">_xlfn.TEXTSPLIT(AN598," ")</f>
        <v>26.10.2023</v>
      </c>
      <c r="AS598" t="str">
        <v>09:56:54</v>
      </c>
      <c r="AT598">
        <f t="shared" si="155"/>
        <v>9.9166666666667389</v>
      </c>
      <c r="AU598">
        <f t="shared" si="150"/>
        <v>7.1799999999999926</v>
      </c>
      <c r="AV598">
        <f t="shared" si="151"/>
        <v>0</v>
      </c>
      <c r="AW598">
        <f t="shared" si="143"/>
        <v>0.65000000000000013</v>
      </c>
    </row>
    <row r="599" spans="1:49" x14ac:dyDescent="0.25">
      <c r="A599" t="s">
        <v>1714</v>
      </c>
      <c r="B599">
        <v>0</v>
      </c>
      <c r="C599">
        <v>17.72</v>
      </c>
      <c r="E599" t="s">
        <v>1714</v>
      </c>
      <c r="F599">
        <v>0</v>
      </c>
      <c r="G599">
        <v>84.24</v>
      </c>
      <c r="I599" t="str" cm="1">
        <f t="array" ref="I599:J599">_xlfn.TEXTSPLIT(A599," ")</f>
        <v>27.10.2023</v>
      </c>
      <c r="J599" t="str">
        <v>09:57:56</v>
      </c>
      <c r="K599">
        <f t="shared" si="152"/>
        <v>9.9333333333334064</v>
      </c>
      <c r="L599">
        <f t="shared" si="145"/>
        <v>3.3999999999999986</v>
      </c>
      <c r="M599">
        <f t="shared" si="146"/>
        <v>0</v>
      </c>
      <c r="N599">
        <f t="shared" si="140"/>
        <v>0.29250000000000004</v>
      </c>
      <c r="Q599" t="str" cm="1">
        <f t="array" ref="Q599:R599">_xlfn.TEXTSPLIT(E599," ")</f>
        <v>27.10.2023</v>
      </c>
      <c r="R599" t="str">
        <v>09:57:56</v>
      </c>
      <c r="S599">
        <f t="shared" si="153"/>
        <v>9.9333333333334064</v>
      </c>
      <c r="T599">
        <f t="shared" si="144"/>
        <v>5.6400000000000006</v>
      </c>
      <c r="U599">
        <f t="shared" si="147"/>
        <v>0</v>
      </c>
      <c r="V599">
        <f t="shared" si="141"/>
        <v>0.51249999999999996</v>
      </c>
      <c r="AC599" t="s">
        <v>1715</v>
      </c>
      <c r="AD599">
        <v>0</v>
      </c>
      <c r="AE599">
        <v>6.99</v>
      </c>
      <c r="AG599" t="str" cm="1">
        <f t="array" ref="AG599:AH599">_xlfn.TEXTSPLIT(AC600," ")</f>
        <v>26.10.2023</v>
      </c>
      <c r="AH599" t="str">
        <v>09:58:54</v>
      </c>
      <c r="AI599">
        <f t="shared" si="154"/>
        <v>9.9333333333334064</v>
      </c>
      <c r="AJ599">
        <f t="shared" si="148"/>
        <v>2.46</v>
      </c>
      <c r="AK599">
        <f t="shared" si="149"/>
        <v>0</v>
      </c>
      <c r="AL599">
        <f t="shared" si="142"/>
        <v>0.28499999999999998</v>
      </c>
      <c r="AN599" t="s">
        <v>1715</v>
      </c>
      <c r="AO599">
        <v>0</v>
      </c>
      <c r="AP599">
        <v>68.489999999999995</v>
      </c>
      <c r="AR599" t="str" cm="1">
        <f t="array" ref="AR599:AS599">_xlfn.TEXTSPLIT(AN599," ")</f>
        <v>26.10.2023</v>
      </c>
      <c r="AS599" t="str">
        <v>09:57:54</v>
      </c>
      <c r="AT599">
        <f t="shared" si="155"/>
        <v>9.9333333333334064</v>
      </c>
      <c r="AU599">
        <f t="shared" si="150"/>
        <v>7.1799999999999926</v>
      </c>
      <c r="AV599">
        <f t="shared" si="151"/>
        <v>0</v>
      </c>
      <c r="AW599">
        <f t="shared" si="143"/>
        <v>0.64500000000000002</v>
      </c>
    </row>
    <row r="600" spans="1:49" x14ac:dyDescent="0.25">
      <c r="A600" t="s">
        <v>1716</v>
      </c>
      <c r="B600">
        <v>0</v>
      </c>
      <c r="C600">
        <v>17.72</v>
      </c>
      <c r="E600" t="s">
        <v>1716</v>
      </c>
      <c r="F600">
        <v>0</v>
      </c>
      <c r="G600">
        <v>84.24</v>
      </c>
      <c r="I600" t="str" cm="1">
        <f t="array" ref="I600:J600">_xlfn.TEXTSPLIT(A600," ")</f>
        <v>27.10.2023</v>
      </c>
      <c r="J600" t="str">
        <v>09:58:56</v>
      </c>
      <c r="K600">
        <f t="shared" si="152"/>
        <v>9.9500000000000739</v>
      </c>
      <c r="L600">
        <f t="shared" si="145"/>
        <v>3.3999999999999986</v>
      </c>
      <c r="M600">
        <f t="shared" si="146"/>
        <v>0</v>
      </c>
      <c r="N600">
        <f t="shared" si="140"/>
        <v>0.29250000000000004</v>
      </c>
      <c r="Q600" t="str" cm="1">
        <f t="array" ref="Q600:R600">_xlfn.TEXTSPLIT(E600," ")</f>
        <v>27.10.2023</v>
      </c>
      <c r="R600" t="str">
        <v>09:58:56</v>
      </c>
      <c r="S600">
        <f t="shared" si="153"/>
        <v>9.9500000000000739</v>
      </c>
      <c r="T600">
        <f t="shared" si="144"/>
        <v>5.6400000000000006</v>
      </c>
      <c r="U600">
        <f t="shared" si="147"/>
        <v>0</v>
      </c>
      <c r="V600">
        <f t="shared" si="141"/>
        <v>0.51249999999999996</v>
      </c>
      <c r="AC600" t="s">
        <v>1717</v>
      </c>
      <c r="AD600">
        <v>0</v>
      </c>
      <c r="AE600">
        <v>6.99</v>
      </c>
      <c r="AG600" t="str" cm="1">
        <f t="array" ref="AG600:AH600">_xlfn.TEXTSPLIT(AC601," ")</f>
        <v>26.10.2023</v>
      </c>
      <c r="AH600" t="str">
        <v>09:59:54</v>
      </c>
      <c r="AI600">
        <f t="shared" si="154"/>
        <v>9.9500000000000739</v>
      </c>
      <c r="AJ600">
        <f t="shared" si="148"/>
        <v>2.46</v>
      </c>
      <c r="AK600">
        <f t="shared" si="149"/>
        <v>0</v>
      </c>
      <c r="AL600">
        <f t="shared" si="142"/>
        <v>0.28499999999999998</v>
      </c>
      <c r="AN600" t="s">
        <v>1717</v>
      </c>
      <c r="AO600">
        <v>0.15</v>
      </c>
      <c r="AP600">
        <v>68.489999999999995</v>
      </c>
      <c r="AR600" t="str" cm="1">
        <f t="array" ref="AR600:AS600">_xlfn.TEXTSPLIT(AN600," ")</f>
        <v>26.10.2023</v>
      </c>
      <c r="AS600" t="str">
        <v>09:58:54</v>
      </c>
      <c r="AT600">
        <f t="shared" si="155"/>
        <v>9.9500000000000739</v>
      </c>
      <c r="AU600">
        <f t="shared" si="150"/>
        <v>7.1799999999999926</v>
      </c>
      <c r="AV600">
        <f t="shared" si="151"/>
        <v>0.15</v>
      </c>
      <c r="AW600">
        <f t="shared" si="143"/>
        <v>0.64750000000000008</v>
      </c>
    </row>
    <row r="601" spans="1:49" x14ac:dyDescent="0.25">
      <c r="A601" t="s">
        <v>1718</v>
      </c>
      <c r="B601">
        <v>0</v>
      </c>
      <c r="C601">
        <v>17.72</v>
      </c>
      <c r="E601" t="s">
        <v>1718</v>
      </c>
      <c r="F601">
        <v>0</v>
      </c>
      <c r="G601">
        <v>84.24</v>
      </c>
      <c r="I601" t="str" cm="1">
        <f t="array" ref="I601:J601">_xlfn.TEXTSPLIT(A601," ")</f>
        <v>27.10.2023</v>
      </c>
      <c r="J601" t="str">
        <v>09:59:56</v>
      </c>
      <c r="K601">
        <f t="shared" si="152"/>
        <v>9.9666666666667414</v>
      </c>
      <c r="L601">
        <f t="shared" si="145"/>
        <v>3.3999999999999986</v>
      </c>
      <c r="M601">
        <f t="shared" si="146"/>
        <v>0</v>
      </c>
      <c r="N601">
        <f t="shared" si="140"/>
        <v>0.29250000000000004</v>
      </c>
      <c r="Q601" t="str" cm="1">
        <f t="array" ref="Q601:R601">_xlfn.TEXTSPLIT(E601," ")</f>
        <v>27.10.2023</v>
      </c>
      <c r="R601" t="str">
        <v>09:59:56</v>
      </c>
      <c r="S601">
        <f t="shared" si="153"/>
        <v>9.9666666666667414</v>
      </c>
      <c r="T601">
        <f t="shared" si="144"/>
        <v>5.6400000000000006</v>
      </c>
      <c r="U601">
        <f t="shared" si="147"/>
        <v>0</v>
      </c>
      <c r="V601">
        <f t="shared" si="141"/>
        <v>0.51</v>
      </c>
      <c r="AC601" t="s">
        <v>1719</v>
      </c>
      <c r="AD601">
        <v>0</v>
      </c>
      <c r="AE601">
        <v>6.99</v>
      </c>
      <c r="AG601" t="str" cm="1">
        <f t="array" ref="AG601:AH601">_xlfn.TEXTSPLIT(AC602," ")</f>
        <v>26.10.2023</v>
      </c>
      <c r="AH601" t="str">
        <v>10:00:54</v>
      </c>
      <c r="AI601">
        <f t="shared" si="154"/>
        <v>9.9666666666667414</v>
      </c>
      <c r="AJ601">
        <f t="shared" si="148"/>
        <v>2.46</v>
      </c>
      <c r="AK601">
        <f t="shared" si="149"/>
        <v>0</v>
      </c>
      <c r="AL601">
        <f t="shared" si="142"/>
        <v>0.28499999999999998</v>
      </c>
      <c r="AN601" t="s">
        <v>1719</v>
      </c>
      <c r="AO601">
        <v>0.15</v>
      </c>
      <c r="AP601">
        <v>68.5</v>
      </c>
      <c r="AR601" t="str" cm="1">
        <f t="array" ref="AR601:AS601">_xlfn.TEXTSPLIT(AN601," ")</f>
        <v>26.10.2023</v>
      </c>
      <c r="AS601" t="str">
        <v>09:59:54</v>
      </c>
      <c r="AT601">
        <f t="shared" si="155"/>
        <v>9.9666666666667414</v>
      </c>
      <c r="AU601">
        <f t="shared" si="150"/>
        <v>7.1899999999999977</v>
      </c>
      <c r="AV601">
        <f t="shared" si="151"/>
        <v>0.15</v>
      </c>
      <c r="AW601">
        <f t="shared" si="143"/>
        <v>0.64250000000000007</v>
      </c>
    </row>
    <row r="602" spans="1:49" x14ac:dyDescent="0.25">
      <c r="A602" t="s">
        <v>1720</v>
      </c>
      <c r="B602">
        <v>0</v>
      </c>
      <c r="C602">
        <v>17.72</v>
      </c>
      <c r="E602" t="s">
        <v>1720</v>
      </c>
      <c r="F602">
        <v>0.15</v>
      </c>
      <c r="G602">
        <v>84.24</v>
      </c>
      <c r="I602" t="str" cm="1">
        <f t="array" ref="I602:J602">_xlfn.TEXTSPLIT(A602," ")</f>
        <v>27.10.2023</v>
      </c>
      <c r="J602" t="str">
        <v>10:00:56</v>
      </c>
      <c r="K602">
        <f t="shared" si="152"/>
        <v>9.9833333333334089</v>
      </c>
      <c r="L602">
        <f t="shared" si="145"/>
        <v>3.3999999999999986</v>
      </c>
      <c r="M602">
        <f t="shared" si="146"/>
        <v>0</v>
      </c>
      <c r="N602">
        <f t="shared" si="140"/>
        <v>0.29250000000000004</v>
      </c>
      <c r="Q602" t="str" cm="1">
        <f t="array" ref="Q602:R602">_xlfn.TEXTSPLIT(E602," ")</f>
        <v>27.10.2023</v>
      </c>
      <c r="R602" t="str">
        <v>10:00:56</v>
      </c>
      <c r="S602">
        <f t="shared" si="153"/>
        <v>9.9833333333334089</v>
      </c>
      <c r="T602">
        <f t="shared" si="144"/>
        <v>5.6400000000000006</v>
      </c>
      <c r="U602">
        <f t="shared" si="147"/>
        <v>0.15</v>
      </c>
      <c r="V602">
        <f t="shared" si="141"/>
        <v>0.51</v>
      </c>
      <c r="AC602" t="s">
        <v>1721</v>
      </c>
      <c r="AD602">
        <v>0</v>
      </c>
      <c r="AE602">
        <v>6.99</v>
      </c>
      <c r="AG602" t="str" cm="1">
        <f t="array" ref="AG602:AH602">_xlfn.TEXTSPLIT(AC603," ")</f>
        <v>26.10.2023</v>
      </c>
      <c r="AH602" t="str">
        <v>10:01:55</v>
      </c>
      <c r="AI602">
        <f t="shared" si="154"/>
        <v>9.9833333333334089</v>
      </c>
      <c r="AJ602">
        <f t="shared" si="148"/>
        <v>2.46</v>
      </c>
      <c r="AK602">
        <f t="shared" si="149"/>
        <v>0</v>
      </c>
      <c r="AL602">
        <f t="shared" si="142"/>
        <v>0.28499999999999998</v>
      </c>
      <c r="AN602" t="s">
        <v>1721</v>
      </c>
      <c r="AO602">
        <v>0.3</v>
      </c>
      <c r="AP602">
        <v>68.5</v>
      </c>
      <c r="AR602" t="str" cm="1">
        <f t="array" ref="AR602:AS602">_xlfn.TEXTSPLIT(AN602," ")</f>
        <v>26.10.2023</v>
      </c>
      <c r="AS602" t="str">
        <v>10:00:54</v>
      </c>
      <c r="AT602">
        <f t="shared" si="155"/>
        <v>9.9833333333334089</v>
      </c>
      <c r="AU602">
        <f t="shared" si="150"/>
        <v>7.1899999999999977</v>
      </c>
      <c r="AV602">
        <f t="shared" si="151"/>
        <v>0.3</v>
      </c>
      <c r="AW602">
        <f t="shared" si="143"/>
        <v>0.64249999999999996</v>
      </c>
    </row>
    <row r="603" spans="1:49" x14ac:dyDescent="0.25">
      <c r="A603" t="s">
        <v>1722</v>
      </c>
      <c r="B603">
        <v>0</v>
      </c>
      <c r="C603">
        <v>17.72</v>
      </c>
      <c r="E603" t="s">
        <v>1722</v>
      </c>
      <c r="F603">
        <v>0</v>
      </c>
      <c r="G603">
        <v>84.24</v>
      </c>
      <c r="I603" t="str" cm="1">
        <f t="array" ref="I603:J603">_xlfn.TEXTSPLIT(A603," ")</f>
        <v>27.10.2023</v>
      </c>
      <c r="J603" t="str">
        <v>10:01:56</v>
      </c>
      <c r="K603">
        <f t="shared" si="152"/>
        <v>10.000000000000076</v>
      </c>
      <c r="L603">
        <f t="shared" si="145"/>
        <v>3.3999999999999986</v>
      </c>
      <c r="M603">
        <f t="shared" si="146"/>
        <v>0</v>
      </c>
      <c r="N603">
        <f t="shared" si="140"/>
        <v>0.29250000000000004</v>
      </c>
      <c r="Q603" t="str" cm="1">
        <f t="array" ref="Q603:R603">_xlfn.TEXTSPLIT(E603," ")</f>
        <v>27.10.2023</v>
      </c>
      <c r="R603" t="str">
        <v>10:01:56</v>
      </c>
      <c r="S603">
        <f t="shared" si="153"/>
        <v>10.000000000000076</v>
      </c>
      <c r="T603">
        <f t="shared" si="144"/>
        <v>5.6400000000000006</v>
      </c>
      <c r="U603">
        <f t="shared" si="147"/>
        <v>0</v>
      </c>
      <c r="V603">
        <f t="shared" si="141"/>
        <v>0.51</v>
      </c>
      <c r="AC603" t="s">
        <v>1723</v>
      </c>
      <c r="AD603">
        <v>0</v>
      </c>
      <c r="AE603">
        <v>6.99</v>
      </c>
      <c r="AG603" t="str" cm="1">
        <f t="array" ref="AG603:AH603">_xlfn.TEXTSPLIT(AC604," ")</f>
        <v>26.10.2023</v>
      </c>
      <c r="AH603" t="str">
        <v>10:02:55</v>
      </c>
      <c r="AI603">
        <f t="shared" si="154"/>
        <v>10.000000000000076</v>
      </c>
      <c r="AJ603">
        <f t="shared" si="148"/>
        <v>2.46</v>
      </c>
      <c r="AK603">
        <f t="shared" si="149"/>
        <v>0</v>
      </c>
      <c r="AL603">
        <f t="shared" si="142"/>
        <v>0.28499999999999998</v>
      </c>
      <c r="AN603" t="s">
        <v>1723</v>
      </c>
      <c r="AO603">
        <v>0.3</v>
      </c>
      <c r="AP603">
        <v>68.510000000000005</v>
      </c>
      <c r="AR603" t="str" cm="1">
        <f t="array" ref="AR603:AS603">_xlfn.TEXTSPLIT(AN603," ")</f>
        <v>26.10.2023</v>
      </c>
      <c r="AS603" t="str">
        <v>10:01:55</v>
      </c>
      <c r="AT603">
        <f t="shared" si="155"/>
        <v>10.000000000000076</v>
      </c>
      <c r="AU603">
        <f t="shared" si="150"/>
        <v>7.2000000000000028</v>
      </c>
      <c r="AV603">
        <f t="shared" si="151"/>
        <v>0.3</v>
      </c>
      <c r="AW603">
        <f t="shared" si="143"/>
        <v>0.64249999999999996</v>
      </c>
    </row>
    <row r="604" spans="1:49" x14ac:dyDescent="0.25">
      <c r="A604" t="s">
        <v>1724</v>
      </c>
      <c r="B604">
        <v>0</v>
      </c>
      <c r="C604">
        <v>17.72</v>
      </c>
      <c r="E604" t="s">
        <v>1724</v>
      </c>
      <c r="F604">
        <v>0.3</v>
      </c>
      <c r="G604">
        <v>84.25</v>
      </c>
      <c r="I604" t="str" cm="1">
        <f t="array" ref="I604:J604">_xlfn.TEXTSPLIT(A604," ")</f>
        <v>27.10.2023</v>
      </c>
      <c r="J604" t="str">
        <v>10:02:57</v>
      </c>
      <c r="K604">
        <f t="shared" si="152"/>
        <v>10.016666666666744</v>
      </c>
      <c r="L604">
        <f t="shared" si="145"/>
        <v>3.3999999999999986</v>
      </c>
      <c r="M604">
        <f t="shared" si="146"/>
        <v>0</v>
      </c>
      <c r="N604">
        <f t="shared" si="140"/>
        <v>0.29250000000000004</v>
      </c>
      <c r="Q604" t="str" cm="1">
        <f t="array" ref="Q604:R604">_xlfn.TEXTSPLIT(E604," ")</f>
        <v>27.10.2023</v>
      </c>
      <c r="R604" t="str">
        <v>10:02:57</v>
      </c>
      <c r="S604">
        <f t="shared" si="153"/>
        <v>10.016666666666744</v>
      </c>
      <c r="T604">
        <f t="shared" si="144"/>
        <v>5.6500000000000057</v>
      </c>
      <c r="U604">
        <f t="shared" si="147"/>
        <v>0.3</v>
      </c>
      <c r="V604">
        <f t="shared" si="141"/>
        <v>0.51</v>
      </c>
      <c r="AC604" t="s">
        <v>1725</v>
      </c>
      <c r="AD604">
        <v>0</v>
      </c>
      <c r="AE604">
        <v>6.99</v>
      </c>
      <c r="AG604" t="str" cm="1">
        <f t="array" ref="AG604:AH604">_xlfn.TEXTSPLIT(AC605," ")</f>
        <v>26.10.2023</v>
      </c>
      <c r="AH604" t="str">
        <v>10:03:55</v>
      </c>
      <c r="AI604">
        <f t="shared" si="154"/>
        <v>10.016666666666744</v>
      </c>
      <c r="AJ604">
        <f t="shared" si="148"/>
        <v>2.46</v>
      </c>
      <c r="AK604">
        <f t="shared" si="149"/>
        <v>0</v>
      </c>
      <c r="AL604">
        <f t="shared" si="142"/>
        <v>0.28499999999999998</v>
      </c>
      <c r="AN604" t="s">
        <v>1725</v>
      </c>
      <c r="AO604">
        <v>0.3</v>
      </c>
      <c r="AP604">
        <v>68.510000000000005</v>
      </c>
      <c r="AR604" t="str" cm="1">
        <f t="array" ref="AR604:AS604">_xlfn.TEXTSPLIT(AN604," ")</f>
        <v>26.10.2023</v>
      </c>
      <c r="AS604" t="str">
        <v>10:02:55</v>
      </c>
      <c r="AT604">
        <f t="shared" si="155"/>
        <v>10.016666666666744</v>
      </c>
      <c r="AU604">
        <f t="shared" si="150"/>
        <v>7.2000000000000028</v>
      </c>
      <c r="AV604">
        <f t="shared" si="151"/>
        <v>0.3</v>
      </c>
      <c r="AW604">
        <f t="shared" si="143"/>
        <v>0.63749999999999984</v>
      </c>
    </row>
    <row r="605" spans="1:49" x14ac:dyDescent="0.25">
      <c r="A605" t="s">
        <v>1726</v>
      </c>
      <c r="B605">
        <v>0</v>
      </c>
      <c r="C605">
        <v>17.72</v>
      </c>
      <c r="E605" t="s">
        <v>1726</v>
      </c>
      <c r="F605">
        <v>0.3</v>
      </c>
      <c r="G605">
        <v>84.25</v>
      </c>
      <c r="I605" t="str" cm="1">
        <f t="array" ref="I605:J605">_xlfn.TEXTSPLIT(A605," ")</f>
        <v>27.10.2023</v>
      </c>
      <c r="J605" t="str">
        <v>10:03:57</v>
      </c>
      <c r="K605">
        <f t="shared" si="152"/>
        <v>10.033333333333411</v>
      </c>
      <c r="L605">
        <f t="shared" si="145"/>
        <v>3.3999999999999986</v>
      </c>
      <c r="M605">
        <f t="shared" si="146"/>
        <v>0</v>
      </c>
      <c r="N605">
        <f t="shared" si="140"/>
        <v>0.29250000000000004</v>
      </c>
      <c r="Q605" t="str" cm="1">
        <f t="array" ref="Q605:R605">_xlfn.TEXTSPLIT(E605," ")</f>
        <v>27.10.2023</v>
      </c>
      <c r="R605" t="str">
        <v>10:03:57</v>
      </c>
      <c r="S605">
        <f t="shared" si="153"/>
        <v>10.033333333333411</v>
      </c>
      <c r="T605">
        <f t="shared" si="144"/>
        <v>5.6500000000000057</v>
      </c>
      <c r="U605">
        <f t="shared" si="147"/>
        <v>0.3</v>
      </c>
      <c r="V605">
        <f t="shared" si="141"/>
        <v>0.51250000000000007</v>
      </c>
      <c r="AC605" t="s">
        <v>1727</v>
      </c>
      <c r="AD605">
        <v>0</v>
      </c>
      <c r="AE605">
        <v>6.99</v>
      </c>
      <c r="AG605" t="str" cm="1">
        <f t="array" ref="AG605:AH605">_xlfn.TEXTSPLIT(AC606," ")</f>
        <v>26.10.2023</v>
      </c>
      <c r="AH605" t="str">
        <v>10:04:55</v>
      </c>
      <c r="AI605">
        <f t="shared" si="154"/>
        <v>10.033333333333411</v>
      </c>
      <c r="AJ605">
        <f t="shared" si="148"/>
        <v>2.46</v>
      </c>
      <c r="AK605">
        <f t="shared" si="149"/>
        <v>0</v>
      </c>
      <c r="AL605">
        <f t="shared" si="142"/>
        <v>0.28499999999999998</v>
      </c>
      <c r="AN605" t="s">
        <v>1727</v>
      </c>
      <c r="AO605">
        <v>0.3</v>
      </c>
      <c r="AP605">
        <v>68.52</v>
      </c>
      <c r="AR605" t="str" cm="1">
        <f t="array" ref="AR605:AS605">_xlfn.TEXTSPLIT(AN605," ")</f>
        <v>26.10.2023</v>
      </c>
      <c r="AS605" t="str">
        <v>10:03:55</v>
      </c>
      <c r="AT605">
        <f t="shared" si="155"/>
        <v>10.033333333333411</v>
      </c>
      <c r="AU605">
        <f t="shared" si="150"/>
        <v>7.2099999999999937</v>
      </c>
      <c r="AV605">
        <f t="shared" si="151"/>
        <v>0.3</v>
      </c>
      <c r="AW605">
        <f t="shared" si="143"/>
        <v>0.63749999999999973</v>
      </c>
    </row>
    <row r="606" spans="1:49" x14ac:dyDescent="0.25">
      <c r="A606" t="s">
        <v>1728</v>
      </c>
      <c r="B606">
        <v>0</v>
      </c>
      <c r="C606">
        <v>17.72</v>
      </c>
      <c r="E606" t="s">
        <v>1728</v>
      </c>
      <c r="F606">
        <v>0.15</v>
      </c>
      <c r="G606">
        <v>84.26</v>
      </c>
      <c r="I606" t="str" cm="1">
        <f t="array" ref="I606:J606">_xlfn.TEXTSPLIT(A606," ")</f>
        <v>27.10.2023</v>
      </c>
      <c r="J606" t="str">
        <v>10:04:57</v>
      </c>
      <c r="K606">
        <f t="shared" si="152"/>
        <v>10.050000000000079</v>
      </c>
      <c r="L606">
        <f t="shared" si="145"/>
        <v>3.3999999999999986</v>
      </c>
      <c r="M606">
        <f t="shared" si="146"/>
        <v>0</v>
      </c>
      <c r="N606">
        <f t="shared" si="140"/>
        <v>0.29250000000000004</v>
      </c>
      <c r="Q606" t="str" cm="1">
        <f t="array" ref="Q606:R606">_xlfn.TEXTSPLIT(E606," ")</f>
        <v>27.10.2023</v>
      </c>
      <c r="R606" t="str">
        <v>10:04:57</v>
      </c>
      <c r="S606">
        <f t="shared" si="153"/>
        <v>10.050000000000079</v>
      </c>
      <c r="T606">
        <f t="shared" si="144"/>
        <v>5.6600000000000108</v>
      </c>
      <c r="U606">
        <f t="shared" si="147"/>
        <v>0.15</v>
      </c>
      <c r="V606">
        <f t="shared" si="141"/>
        <v>0.51</v>
      </c>
      <c r="AC606" t="s">
        <v>1729</v>
      </c>
      <c r="AD606">
        <v>0</v>
      </c>
      <c r="AE606">
        <v>6.99</v>
      </c>
      <c r="AG606" t="str" cm="1">
        <f t="array" ref="AG606:AH606">_xlfn.TEXTSPLIT(AC607," ")</f>
        <v>26.10.2023</v>
      </c>
      <c r="AH606" t="str">
        <v>10:05:55</v>
      </c>
      <c r="AI606">
        <f t="shared" si="154"/>
        <v>10.050000000000079</v>
      </c>
      <c r="AJ606">
        <f t="shared" si="148"/>
        <v>2.46</v>
      </c>
      <c r="AK606">
        <f t="shared" si="149"/>
        <v>0</v>
      </c>
      <c r="AL606">
        <f t="shared" si="142"/>
        <v>0.28499999999999998</v>
      </c>
      <c r="AN606" t="s">
        <v>1729</v>
      </c>
      <c r="AO606">
        <v>0.3</v>
      </c>
      <c r="AP606">
        <v>68.53</v>
      </c>
      <c r="AR606" t="str" cm="1">
        <f t="array" ref="AR606:AS606">_xlfn.TEXTSPLIT(AN606," ")</f>
        <v>26.10.2023</v>
      </c>
      <c r="AS606" t="str">
        <v>10:04:55</v>
      </c>
      <c r="AT606">
        <f t="shared" si="155"/>
        <v>10.050000000000079</v>
      </c>
      <c r="AU606">
        <f t="shared" si="150"/>
        <v>7.2199999999999989</v>
      </c>
      <c r="AV606">
        <f t="shared" si="151"/>
        <v>0.3</v>
      </c>
      <c r="AW606">
        <f t="shared" si="143"/>
        <v>0.63499999999999968</v>
      </c>
    </row>
    <row r="607" spans="1:49" x14ac:dyDescent="0.25">
      <c r="A607" t="s">
        <v>1730</v>
      </c>
      <c r="B607">
        <v>0</v>
      </c>
      <c r="C607">
        <v>17.72</v>
      </c>
      <c r="E607" t="s">
        <v>1730</v>
      </c>
      <c r="F607">
        <v>0.6</v>
      </c>
      <c r="G607">
        <v>84.28</v>
      </c>
      <c r="I607" t="str" cm="1">
        <f t="array" ref="I607:J607">_xlfn.TEXTSPLIT(A607," ")</f>
        <v>27.10.2023</v>
      </c>
      <c r="J607" t="str">
        <v>10:05:57</v>
      </c>
      <c r="K607">
        <f t="shared" si="152"/>
        <v>10.066666666666746</v>
      </c>
      <c r="L607">
        <f t="shared" si="145"/>
        <v>3.3999999999999986</v>
      </c>
      <c r="M607">
        <f t="shared" si="146"/>
        <v>0</v>
      </c>
      <c r="N607">
        <f t="shared" si="140"/>
        <v>0.29250000000000004</v>
      </c>
      <c r="Q607" t="str" cm="1">
        <f t="array" ref="Q607:R607">_xlfn.TEXTSPLIT(E607," ")</f>
        <v>27.10.2023</v>
      </c>
      <c r="R607" t="str">
        <v>10:05:57</v>
      </c>
      <c r="S607">
        <f t="shared" si="153"/>
        <v>10.066666666666746</v>
      </c>
      <c r="T607">
        <f t="shared" si="144"/>
        <v>5.6800000000000068</v>
      </c>
      <c r="U607">
        <f t="shared" si="147"/>
        <v>0.6</v>
      </c>
      <c r="V607">
        <f t="shared" si="141"/>
        <v>0.51250000000000007</v>
      </c>
      <c r="AC607" t="s">
        <v>1731</v>
      </c>
      <c r="AD607">
        <v>0</v>
      </c>
      <c r="AE607">
        <v>6.99</v>
      </c>
      <c r="AG607" t="str" cm="1">
        <f t="array" ref="AG607:AH607">_xlfn.TEXTSPLIT(AC608," ")</f>
        <v>26.10.2023</v>
      </c>
      <c r="AH607" t="str">
        <v>10:06:55</v>
      </c>
      <c r="AI607">
        <f t="shared" si="154"/>
        <v>10.066666666666746</v>
      </c>
      <c r="AJ607">
        <f t="shared" si="148"/>
        <v>2.46</v>
      </c>
      <c r="AK607">
        <f t="shared" si="149"/>
        <v>0</v>
      </c>
      <c r="AL607">
        <f t="shared" si="142"/>
        <v>0.28499999999999998</v>
      </c>
      <c r="AN607" t="s">
        <v>1731</v>
      </c>
      <c r="AO607">
        <v>0.45</v>
      </c>
      <c r="AP607">
        <v>68.53</v>
      </c>
      <c r="AR607" t="str" cm="1">
        <f t="array" ref="AR607:AS607">_xlfn.TEXTSPLIT(AN607," ")</f>
        <v>26.10.2023</v>
      </c>
      <c r="AS607" t="str">
        <v>10:05:55</v>
      </c>
      <c r="AT607">
        <f t="shared" si="155"/>
        <v>10.066666666666746</v>
      </c>
      <c r="AU607">
        <f t="shared" si="150"/>
        <v>7.2199999999999989</v>
      </c>
      <c r="AV607">
        <f t="shared" si="151"/>
        <v>0.45</v>
      </c>
      <c r="AW607">
        <f t="shared" si="143"/>
        <v>0.63499999999999968</v>
      </c>
    </row>
    <row r="608" spans="1:49" x14ac:dyDescent="0.25">
      <c r="A608" t="s">
        <v>1732</v>
      </c>
      <c r="B608">
        <v>0</v>
      </c>
      <c r="C608">
        <v>17.72</v>
      </c>
      <c r="E608" t="s">
        <v>1732</v>
      </c>
      <c r="F608">
        <v>1.35</v>
      </c>
      <c r="G608">
        <v>84.3</v>
      </c>
      <c r="I608" t="str" cm="1">
        <f t="array" ref="I608:J608">_xlfn.TEXTSPLIT(A608," ")</f>
        <v>27.10.2023</v>
      </c>
      <c r="J608" t="str">
        <v>10:06:57</v>
      </c>
      <c r="K608">
        <f t="shared" si="152"/>
        <v>10.083333333333414</v>
      </c>
      <c r="L608">
        <f t="shared" si="145"/>
        <v>3.3999999999999986</v>
      </c>
      <c r="M608">
        <f t="shared" si="146"/>
        <v>0</v>
      </c>
      <c r="N608">
        <f t="shared" si="140"/>
        <v>0.29000000000000004</v>
      </c>
      <c r="Q608" t="str" cm="1">
        <f t="array" ref="Q608:R608">_xlfn.TEXTSPLIT(E608," ")</f>
        <v>27.10.2023</v>
      </c>
      <c r="R608" t="str">
        <v>10:06:57</v>
      </c>
      <c r="S608">
        <f t="shared" si="153"/>
        <v>10.083333333333414</v>
      </c>
      <c r="T608">
        <f t="shared" si="144"/>
        <v>5.7000000000000028</v>
      </c>
      <c r="U608">
        <f t="shared" si="147"/>
        <v>1.35</v>
      </c>
      <c r="V608">
        <f t="shared" si="141"/>
        <v>0.51500000000000012</v>
      </c>
      <c r="AC608" t="s">
        <v>1733</v>
      </c>
      <c r="AD608">
        <v>0</v>
      </c>
      <c r="AE608">
        <v>6.99</v>
      </c>
      <c r="AG608" t="str" cm="1">
        <f t="array" ref="AG608:AH608">_xlfn.TEXTSPLIT(AC609," ")</f>
        <v>26.10.2023</v>
      </c>
      <c r="AH608" t="str">
        <v>10:07:55</v>
      </c>
      <c r="AI608">
        <f t="shared" si="154"/>
        <v>10.083333333333414</v>
      </c>
      <c r="AJ608">
        <f t="shared" si="148"/>
        <v>2.46</v>
      </c>
      <c r="AK608">
        <f t="shared" si="149"/>
        <v>0</v>
      </c>
      <c r="AL608">
        <f t="shared" si="142"/>
        <v>0.28499999999999998</v>
      </c>
      <c r="AN608" t="s">
        <v>1733</v>
      </c>
      <c r="AO608">
        <v>0.3</v>
      </c>
      <c r="AP608">
        <v>68.55</v>
      </c>
      <c r="AR608" t="str" cm="1">
        <f t="array" ref="AR608:AS608">_xlfn.TEXTSPLIT(AN608," ")</f>
        <v>26.10.2023</v>
      </c>
      <c r="AS608" t="str">
        <v>10:06:55</v>
      </c>
      <c r="AT608">
        <f t="shared" si="155"/>
        <v>10.083333333333414</v>
      </c>
      <c r="AU608">
        <f t="shared" si="150"/>
        <v>7.2399999999999949</v>
      </c>
      <c r="AV608">
        <f t="shared" si="151"/>
        <v>0.3</v>
      </c>
      <c r="AW608">
        <f t="shared" si="143"/>
        <v>0.63499999999999968</v>
      </c>
    </row>
    <row r="609" spans="1:49" x14ac:dyDescent="0.25">
      <c r="A609" t="s">
        <v>1734</v>
      </c>
      <c r="B609">
        <v>0</v>
      </c>
      <c r="C609">
        <v>17.73</v>
      </c>
      <c r="E609" t="s">
        <v>1734</v>
      </c>
      <c r="F609">
        <v>1.2</v>
      </c>
      <c r="G609">
        <v>84.33</v>
      </c>
      <c r="I609" t="str" cm="1">
        <f t="array" ref="I609:J609">_xlfn.TEXTSPLIT(A609," ")</f>
        <v>27.10.2023</v>
      </c>
      <c r="J609" t="str">
        <v>10:07:57</v>
      </c>
      <c r="K609">
        <f t="shared" si="152"/>
        <v>10.100000000000081</v>
      </c>
      <c r="L609">
        <f t="shared" si="145"/>
        <v>3.41</v>
      </c>
      <c r="M609">
        <f t="shared" si="146"/>
        <v>0</v>
      </c>
      <c r="N609">
        <f t="shared" si="140"/>
        <v>0.29000000000000004</v>
      </c>
      <c r="Q609" t="str" cm="1">
        <f t="array" ref="Q609:R609">_xlfn.TEXTSPLIT(E609," ")</f>
        <v>27.10.2023</v>
      </c>
      <c r="R609" t="str">
        <v>10:07:57</v>
      </c>
      <c r="S609">
        <f t="shared" si="153"/>
        <v>10.100000000000081</v>
      </c>
      <c r="T609">
        <f t="shared" si="144"/>
        <v>5.730000000000004</v>
      </c>
      <c r="U609">
        <f t="shared" si="147"/>
        <v>1.2</v>
      </c>
      <c r="V609">
        <f t="shared" si="141"/>
        <v>0.50749999999999995</v>
      </c>
      <c r="AC609" t="s">
        <v>1735</v>
      </c>
      <c r="AD609">
        <v>0</v>
      </c>
      <c r="AE609">
        <v>6.99</v>
      </c>
      <c r="AG609" t="str" cm="1">
        <f t="array" ref="AG609:AH609">_xlfn.TEXTSPLIT(AC610," ")</f>
        <v>26.10.2023</v>
      </c>
      <c r="AH609" t="str">
        <v>10:08:56</v>
      </c>
      <c r="AI609">
        <f t="shared" si="154"/>
        <v>10.100000000000081</v>
      </c>
      <c r="AJ609">
        <f t="shared" si="148"/>
        <v>2.46</v>
      </c>
      <c r="AK609">
        <f t="shared" si="149"/>
        <v>0</v>
      </c>
      <c r="AL609">
        <f t="shared" si="142"/>
        <v>0.28499999999999998</v>
      </c>
      <c r="AN609" t="s">
        <v>1735</v>
      </c>
      <c r="AO609">
        <v>1.2</v>
      </c>
      <c r="AP609">
        <v>68.599999999999994</v>
      </c>
      <c r="AR609" t="str" cm="1">
        <f t="array" ref="AR609:AS609">_xlfn.TEXTSPLIT(AN609," ")</f>
        <v>26.10.2023</v>
      </c>
      <c r="AS609" t="str">
        <v>10:07:55</v>
      </c>
      <c r="AT609">
        <f t="shared" si="155"/>
        <v>10.100000000000081</v>
      </c>
      <c r="AU609">
        <f t="shared" si="150"/>
        <v>7.289999999999992</v>
      </c>
      <c r="AV609">
        <f t="shared" si="151"/>
        <v>1.2</v>
      </c>
      <c r="AW609">
        <f t="shared" si="143"/>
        <v>0.64249999999999985</v>
      </c>
    </row>
    <row r="610" spans="1:49" x14ac:dyDescent="0.25">
      <c r="A610" t="s">
        <v>1736</v>
      </c>
      <c r="B610">
        <v>0.75</v>
      </c>
      <c r="C610">
        <v>17.77</v>
      </c>
      <c r="E610" t="s">
        <v>1736</v>
      </c>
      <c r="F610">
        <v>1.5</v>
      </c>
      <c r="G610">
        <v>84.35</v>
      </c>
      <c r="I610" t="str" cm="1">
        <f t="array" ref="I610:J610">_xlfn.TEXTSPLIT(A610," ")</f>
        <v>27.10.2023</v>
      </c>
      <c r="J610" t="str">
        <v>10:08:57</v>
      </c>
      <c r="K610">
        <f t="shared" si="152"/>
        <v>10.116666666666749</v>
      </c>
      <c r="L610">
        <f t="shared" si="145"/>
        <v>3.4499999999999993</v>
      </c>
      <c r="M610">
        <f t="shared" si="146"/>
        <v>0.75</v>
      </c>
      <c r="N610">
        <f t="shared" si="140"/>
        <v>0.27750000000000008</v>
      </c>
      <c r="Q610" t="str" cm="1">
        <f t="array" ref="Q610:R610">_xlfn.TEXTSPLIT(E610," ")</f>
        <v>27.10.2023</v>
      </c>
      <c r="R610" t="str">
        <v>10:08:57</v>
      </c>
      <c r="S610">
        <f t="shared" si="153"/>
        <v>10.116666666666749</v>
      </c>
      <c r="T610">
        <f t="shared" si="144"/>
        <v>5.75</v>
      </c>
      <c r="U610">
        <f t="shared" si="147"/>
        <v>1.5</v>
      </c>
      <c r="V610">
        <f t="shared" si="141"/>
        <v>0.50500000000000012</v>
      </c>
      <c r="AC610" t="s">
        <v>1737</v>
      </c>
      <c r="AD610">
        <v>0</v>
      </c>
      <c r="AE610">
        <v>7.01</v>
      </c>
      <c r="AG610" t="str" cm="1">
        <f t="array" ref="AG610:AH610">_xlfn.TEXTSPLIT(AC611," ")</f>
        <v>26.10.2023</v>
      </c>
      <c r="AH610" t="str">
        <v>10:09:56</v>
      </c>
      <c r="AI610">
        <f t="shared" si="154"/>
        <v>10.116666666666749</v>
      </c>
      <c r="AJ610">
        <f t="shared" si="148"/>
        <v>2.4799999999999995</v>
      </c>
      <c r="AK610">
        <f t="shared" si="149"/>
        <v>0</v>
      </c>
      <c r="AL610">
        <f t="shared" si="142"/>
        <v>0.28499999999999998</v>
      </c>
      <c r="AN610" t="s">
        <v>1737</v>
      </c>
      <c r="AO610">
        <v>2.7</v>
      </c>
      <c r="AP610">
        <v>68.63</v>
      </c>
      <c r="AR610" t="str" cm="1">
        <f t="array" ref="AR610:AS610">_xlfn.TEXTSPLIT(AN610," ")</f>
        <v>26.10.2023</v>
      </c>
      <c r="AS610" t="str">
        <v>10:08:56</v>
      </c>
      <c r="AT610">
        <f t="shared" si="155"/>
        <v>10.116666666666749</v>
      </c>
      <c r="AU610">
        <f t="shared" si="150"/>
        <v>7.3199999999999932</v>
      </c>
      <c r="AV610">
        <f t="shared" si="151"/>
        <v>2.7</v>
      </c>
      <c r="AW610">
        <f t="shared" si="143"/>
        <v>0.65999999999999992</v>
      </c>
    </row>
    <row r="611" spans="1:49" x14ac:dyDescent="0.25">
      <c r="A611" t="s">
        <v>1738</v>
      </c>
      <c r="B611">
        <v>2.25</v>
      </c>
      <c r="C611">
        <v>17.8</v>
      </c>
      <c r="E611" t="s">
        <v>1738</v>
      </c>
      <c r="F611">
        <v>1.35</v>
      </c>
      <c r="G611">
        <v>84.36</v>
      </c>
      <c r="I611" t="str" cm="1">
        <f t="array" ref="I611:J611">_xlfn.TEXTSPLIT(A611," ")</f>
        <v>27.10.2023</v>
      </c>
      <c r="J611" t="str">
        <v>10:09:58</v>
      </c>
      <c r="K611">
        <f t="shared" si="152"/>
        <v>10.133333333333416</v>
      </c>
      <c r="L611">
        <f t="shared" si="145"/>
        <v>3.4800000000000004</v>
      </c>
      <c r="M611">
        <f t="shared" si="146"/>
        <v>2.25</v>
      </c>
      <c r="N611">
        <f t="shared" si="140"/>
        <v>0.28500000000000003</v>
      </c>
      <c r="Q611" t="str" cm="1">
        <f t="array" ref="Q611:R611">_xlfn.TEXTSPLIT(E611," ")</f>
        <v>27.10.2023</v>
      </c>
      <c r="R611" t="str">
        <v>10:09:58</v>
      </c>
      <c r="S611">
        <f t="shared" si="153"/>
        <v>10.133333333333416</v>
      </c>
      <c r="T611">
        <f t="shared" si="144"/>
        <v>5.7600000000000051</v>
      </c>
      <c r="U611">
        <f t="shared" si="147"/>
        <v>1.35</v>
      </c>
      <c r="V611">
        <f t="shared" si="141"/>
        <v>0.50500000000000012</v>
      </c>
      <c r="AC611" t="s">
        <v>1739</v>
      </c>
      <c r="AD611">
        <v>1.5</v>
      </c>
      <c r="AE611">
        <v>7.05</v>
      </c>
      <c r="AG611" t="str" cm="1">
        <f t="array" ref="AG611:AH611">_xlfn.TEXTSPLIT(AC612," ")</f>
        <v>26.10.2023</v>
      </c>
      <c r="AH611" t="str">
        <v>10:10:56</v>
      </c>
      <c r="AI611">
        <f t="shared" si="154"/>
        <v>10.133333333333416</v>
      </c>
      <c r="AJ611">
        <f t="shared" si="148"/>
        <v>2.5199999999999996</v>
      </c>
      <c r="AK611">
        <f t="shared" si="149"/>
        <v>1.5</v>
      </c>
      <c r="AL611">
        <f t="shared" si="142"/>
        <v>0.27999999999999997</v>
      </c>
      <c r="AN611" t="s">
        <v>1739</v>
      </c>
      <c r="AO611">
        <v>2.1</v>
      </c>
      <c r="AP611">
        <v>68.66</v>
      </c>
      <c r="AR611" t="str" cm="1">
        <f t="array" ref="AR611:AS611">_xlfn.TEXTSPLIT(AN611," ")</f>
        <v>26.10.2023</v>
      </c>
      <c r="AS611" t="str">
        <v>10:09:56</v>
      </c>
      <c r="AT611">
        <f t="shared" si="155"/>
        <v>10.133333333333416</v>
      </c>
      <c r="AU611">
        <f t="shared" si="150"/>
        <v>7.3499999999999943</v>
      </c>
      <c r="AV611">
        <f t="shared" si="151"/>
        <v>2.1</v>
      </c>
      <c r="AW611">
        <f t="shared" si="143"/>
        <v>0.65000000000000024</v>
      </c>
    </row>
    <row r="612" spans="1:49" x14ac:dyDescent="0.25">
      <c r="A612" t="s">
        <v>1740</v>
      </c>
      <c r="B612">
        <v>1.35</v>
      </c>
      <c r="C612">
        <v>17.809999999999999</v>
      </c>
      <c r="E612" t="s">
        <v>1740</v>
      </c>
      <c r="F612">
        <v>1.05</v>
      </c>
      <c r="G612">
        <v>84.39</v>
      </c>
      <c r="I612" t="str" cm="1">
        <f t="array" ref="I612:J612">_xlfn.TEXTSPLIT(A612," ")</f>
        <v>27.10.2023</v>
      </c>
      <c r="J612" t="str">
        <v>10:10:58</v>
      </c>
      <c r="K612">
        <f t="shared" si="152"/>
        <v>10.150000000000084</v>
      </c>
      <c r="L612">
        <f t="shared" si="145"/>
        <v>3.4899999999999984</v>
      </c>
      <c r="M612">
        <f t="shared" si="146"/>
        <v>1.35</v>
      </c>
      <c r="N612">
        <f t="shared" si="140"/>
        <v>0.29000000000000009</v>
      </c>
      <c r="Q612" t="str" cm="1">
        <f t="array" ref="Q612:R612">_xlfn.TEXTSPLIT(E612," ")</f>
        <v>27.10.2023</v>
      </c>
      <c r="R612" t="str">
        <v>10:10:58</v>
      </c>
      <c r="S612">
        <f t="shared" si="153"/>
        <v>10.150000000000084</v>
      </c>
      <c r="T612">
        <f t="shared" si="144"/>
        <v>5.7900000000000063</v>
      </c>
      <c r="U612">
        <f t="shared" si="147"/>
        <v>1.05</v>
      </c>
      <c r="V612">
        <f t="shared" si="141"/>
        <v>0.50750000000000006</v>
      </c>
      <c r="AC612" t="s">
        <v>1741</v>
      </c>
      <c r="AD612">
        <v>1.8</v>
      </c>
      <c r="AE612">
        <v>7.08</v>
      </c>
      <c r="AG612" t="str" cm="1">
        <f t="array" ref="AG612:AH612">_xlfn.TEXTSPLIT(AC613," ")</f>
        <v>26.10.2023</v>
      </c>
      <c r="AH612" t="str">
        <v>10:11:56</v>
      </c>
      <c r="AI612">
        <f t="shared" si="154"/>
        <v>10.150000000000084</v>
      </c>
      <c r="AJ612">
        <f t="shared" si="148"/>
        <v>2.5499999999999998</v>
      </c>
      <c r="AK612">
        <f t="shared" si="149"/>
        <v>1.8</v>
      </c>
      <c r="AL612">
        <f t="shared" si="142"/>
        <v>0.28499999999999998</v>
      </c>
      <c r="AN612" t="s">
        <v>1741</v>
      </c>
      <c r="AO612">
        <v>1.35</v>
      </c>
      <c r="AP612">
        <v>68.680000000000007</v>
      </c>
      <c r="AR612" t="str" cm="1">
        <f t="array" ref="AR612:AS612">_xlfn.TEXTSPLIT(AN612," ")</f>
        <v>26.10.2023</v>
      </c>
      <c r="AS612" t="str">
        <v>10:10:56</v>
      </c>
      <c r="AT612">
        <f t="shared" si="155"/>
        <v>10.150000000000084</v>
      </c>
      <c r="AU612">
        <f t="shared" si="150"/>
        <v>7.3700000000000045</v>
      </c>
      <c r="AV612">
        <f t="shared" si="151"/>
        <v>1.35</v>
      </c>
      <c r="AW612">
        <f t="shared" si="143"/>
        <v>0.64000000000000024</v>
      </c>
    </row>
    <row r="613" spans="1:49" x14ac:dyDescent="0.25">
      <c r="A613" t="s">
        <v>1742</v>
      </c>
      <c r="B613">
        <v>0.75</v>
      </c>
      <c r="C613">
        <v>17.82</v>
      </c>
      <c r="E613" t="s">
        <v>1742</v>
      </c>
      <c r="F613">
        <v>1.2</v>
      </c>
      <c r="G613">
        <v>84.41</v>
      </c>
      <c r="I613" t="str" cm="1">
        <f t="array" ref="I613:J613">_xlfn.TEXTSPLIT(A613," ")</f>
        <v>27.10.2023</v>
      </c>
      <c r="J613" t="str">
        <v>10:11:58</v>
      </c>
      <c r="K613">
        <f t="shared" si="152"/>
        <v>10.166666666666751</v>
      </c>
      <c r="L613">
        <f t="shared" si="145"/>
        <v>3.5</v>
      </c>
      <c r="M613">
        <f t="shared" si="146"/>
        <v>0.75</v>
      </c>
      <c r="N613">
        <f t="shared" si="140"/>
        <v>0.28000000000000003</v>
      </c>
      <c r="Q613" t="str" cm="1">
        <f t="array" ref="Q613:R613">_xlfn.TEXTSPLIT(E613," ")</f>
        <v>27.10.2023</v>
      </c>
      <c r="R613" t="str">
        <v>10:11:58</v>
      </c>
      <c r="S613">
        <f t="shared" si="153"/>
        <v>10.166666666666751</v>
      </c>
      <c r="T613">
        <f t="shared" si="144"/>
        <v>5.8100000000000023</v>
      </c>
      <c r="U613">
        <f t="shared" si="147"/>
        <v>1.2</v>
      </c>
      <c r="V613">
        <f t="shared" si="141"/>
        <v>0.51000000000000012</v>
      </c>
      <c r="AC613" t="s">
        <v>1743</v>
      </c>
      <c r="AD613">
        <v>2.1</v>
      </c>
      <c r="AE613">
        <v>7.1</v>
      </c>
      <c r="AG613" t="str" cm="1">
        <f t="array" ref="AG613:AH613">_xlfn.TEXTSPLIT(AC614," ")</f>
        <v>26.10.2023</v>
      </c>
      <c r="AH613" t="str">
        <v>10:12:56</v>
      </c>
      <c r="AI613">
        <f t="shared" si="154"/>
        <v>10.166666666666751</v>
      </c>
      <c r="AJ613">
        <f t="shared" si="148"/>
        <v>2.5699999999999994</v>
      </c>
      <c r="AK613">
        <f t="shared" si="149"/>
        <v>2.1</v>
      </c>
      <c r="AL613">
        <f t="shared" si="142"/>
        <v>0.29499999999999998</v>
      </c>
      <c r="AN613" t="s">
        <v>1743</v>
      </c>
      <c r="AO613">
        <v>1.5</v>
      </c>
      <c r="AP613">
        <v>68.709999999999994</v>
      </c>
      <c r="AR613" t="str" cm="1">
        <f t="array" ref="AR613:AS613">_xlfn.TEXTSPLIT(AN613," ")</f>
        <v>26.10.2023</v>
      </c>
      <c r="AS613" t="str">
        <v>10:11:56</v>
      </c>
      <c r="AT613">
        <f t="shared" si="155"/>
        <v>10.166666666666751</v>
      </c>
      <c r="AU613">
        <f t="shared" si="150"/>
        <v>7.3999999999999915</v>
      </c>
      <c r="AV613">
        <f t="shared" si="151"/>
        <v>1.5</v>
      </c>
      <c r="AW613">
        <f t="shared" si="143"/>
        <v>0.64500000000000013</v>
      </c>
    </row>
    <row r="614" spans="1:49" x14ac:dyDescent="0.25">
      <c r="A614" t="s">
        <v>1744</v>
      </c>
      <c r="B614">
        <v>0.6</v>
      </c>
      <c r="C614">
        <v>17.829999999999998</v>
      </c>
      <c r="E614" t="s">
        <v>1744</v>
      </c>
      <c r="F614">
        <v>1.5</v>
      </c>
      <c r="G614">
        <v>84.42</v>
      </c>
      <c r="I614" t="str" cm="1">
        <f t="array" ref="I614:J614">_xlfn.TEXTSPLIT(A614," ")</f>
        <v>27.10.2023</v>
      </c>
      <c r="J614" t="str">
        <v>10:12:58</v>
      </c>
      <c r="K614">
        <f t="shared" si="152"/>
        <v>10.183333333333419</v>
      </c>
      <c r="L614">
        <f t="shared" si="145"/>
        <v>3.509999999999998</v>
      </c>
      <c r="M614">
        <f t="shared" si="146"/>
        <v>0.6</v>
      </c>
      <c r="N614">
        <f t="shared" si="140"/>
        <v>0.27500000000000008</v>
      </c>
      <c r="Q614" t="str" cm="1">
        <f t="array" ref="Q614:R614">_xlfn.TEXTSPLIT(E614," ")</f>
        <v>27.10.2023</v>
      </c>
      <c r="R614" t="str">
        <v>10:12:58</v>
      </c>
      <c r="S614">
        <f t="shared" si="153"/>
        <v>10.183333333333419</v>
      </c>
      <c r="T614">
        <f t="shared" si="144"/>
        <v>5.8200000000000074</v>
      </c>
      <c r="U614">
        <f t="shared" si="147"/>
        <v>1.5</v>
      </c>
      <c r="V614">
        <f t="shared" si="141"/>
        <v>0.51500000000000012</v>
      </c>
      <c r="AC614" t="s">
        <v>1745</v>
      </c>
      <c r="AD614">
        <v>1.2</v>
      </c>
      <c r="AE614">
        <v>7.12</v>
      </c>
      <c r="AG614" t="str" cm="1">
        <f t="array" ref="AG614:AH614">_xlfn.TEXTSPLIT(AC615," ")</f>
        <v>26.10.2023</v>
      </c>
      <c r="AH614" t="str">
        <v>10:13:56</v>
      </c>
      <c r="AI614">
        <f t="shared" si="154"/>
        <v>10.183333333333419</v>
      </c>
      <c r="AJ614">
        <f t="shared" si="148"/>
        <v>2.59</v>
      </c>
      <c r="AK614">
        <f t="shared" si="149"/>
        <v>1.2</v>
      </c>
      <c r="AL614">
        <f t="shared" si="142"/>
        <v>0.30499999999999994</v>
      </c>
      <c r="AN614" t="s">
        <v>1745</v>
      </c>
      <c r="AO614">
        <v>1.8</v>
      </c>
      <c r="AP614">
        <v>68.739999999999995</v>
      </c>
      <c r="AR614" t="str" cm="1">
        <f t="array" ref="AR614:AS614">_xlfn.TEXTSPLIT(AN614," ")</f>
        <v>26.10.2023</v>
      </c>
      <c r="AS614" t="str">
        <v>10:12:56</v>
      </c>
      <c r="AT614">
        <f t="shared" si="155"/>
        <v>10.183333333333419</v>
      </c>
      <c r="AU614">
        <f t="shared" si="150"/>
        <v>7.4299999999999926</v>
      </c>
      <c r="AV614">
        <f t="shared" si="151"/>
        <v>1.8</v>
      </c>
      <c r="AW614">
        <f t="shared" si="143"/>
        <v>0.66000000000000014</v>
      </c>
    </row>
    <row r="615" spans="1:49" x14ac:dyDescent="0.25">
      <c r="A615" t="s">
        <v>1746</v>
      </c>
      <c r="B615">
        <v>0.6</v>
      </c>
      <c r="C615">
        <v>17.84</v>
      </c>
      <c r="E615" t="s">
        <v>1746</v>
      </c>
      <c r="F615">
        <v>0.75</v>
      </c>
      <c r="G615">
        <v>84.43</v>
      </c>
      <c r="I615" t="str" cm="1">
        <f t="array" ref="I615:J615">_xlfn.TEXTSPLIT(A615," ")</f>
        <v>27.10.2023</v>
      </c>
      <c r="J615" t="str">
        <v>10:13:58</v>
      </c>
      <c r="K615">
        <f t="shared" si="152"/>
        <v>10.200000000000086</v>
      </c>
      <c r="L615">
        <f t="shared" si="145"/>
        <v>3.5199999999999996</v>
      </c>
      <c r="M615">
        <f t="shared" si="146"/>
        <v>0.6</v>
      </c>
      <c r="N615">
        <f t="shared" si="140"/>
        <v>0.27750000000000002</v>
      </c>
      <c r="Q615" t="str" cm="1">
        <f t="array" ref="Q615:R615">_xlfn.TEXTSPLIT(E615," ")</f>
        <v>27.10.2023</v>
      </c>
      <c r="R615" t="str">
        <v>10:13:58</v>
      </c>
      <c r="S615">
        <f t="shared" si="153"/>
        <v>10.200000000000086</v>
      </c>
      <c r="T615">
        <f t="shared" si="144"/>
        <v>5.8300000000000125</v>
      </c>
      <c r="U615">
        <f t="shared" si="147"/>
        <v>0.75</v>
      </c>
      <c r="V615">
        <f t="shared" si="141"/>
        <v>0.51000000000000012</v>
      </c>
      <c r="AC615" t="s">
        <v>1747</v>
      </c>
      <c r="AD615">
        <v>0.9</v>
      </c>
      <c r="AE615">
        <v>7.13</v>
      </c>
      <c r="AG615" t="str" cm="1">
        <f t="array" ref="AG615:AH615">_xlfn.TEXTSPLIT(AC616," ")</f>
        <v>26.10.2023</v>
      </c>
      <c r="AH615" t="str">
        <v>10:14:56</v>
      </c>
      <c r="AI615">
        <f t="shared" si="154"/>
        <v>10.200000000000086</v>
      </c>
      <c r="AJ615">
        <f t="shared" si="148"/>
        <v>2.5999999999999996</v>
      </c>
      <c r="AK615">
        <f t="shared" si="149"/>
        <v>0.9</v>
      </c>
      <c r="AL615">
        <f t="shared" si="142"/>
        <v>0.3075</v>
      </c>
      <c r="AN615" t="s">
        <v>1747</v>
      </c>
      <c r="AO615">
        <v>1.5</v>
      </c>
      <c r="AP615">
        <v>68.760000000000005</v>
      </c>
      <c r="AR615" t="str" cm="1">
        <f t="array" ref="AR615:AS615">_xlfn.TEXTSPLIT(AN615," ")</f>
        <v>26.10.2023</v>
      </c>
      <c r="AS615" t="str">
        <v>10:13:56</v>
      </c>
      <c r="AT615">
        <f t="shared" si="155"/>
        <v>10.200000000000086</v>
      </c>
      <c r="AU615">
        <f t="shared" si="150"/>
        <v>7.4500000000000028</v>
      </c>
      <c r="AV615">
        <f t="shared" si="151"/>
        <v>1.5</v>
      </c>
      <c r="AW615">
        <f t="shared" si="143"/>
        <v>0.67</v>
      </c>
    </row>
    <row r="616" spans="1:49" x14ac:dyDescent="0.25">
      <c r="A616" t="s">
        <v>1748</v>
      </c>
      <c r="B616">
        <v>0.3</v>
      </c>
      <c r="C616">
        <v>17.84</v>
      </c>
      <c r="E616" t="s">
        <v>1748</v>
      </c>
      <c r="F616">
        <v>0.75</v>
      </c>
      <c r="G616">
        <v>84.44</v>
      </c>
      <c r="I616" t="str" cm="1">
        <f t="array" ref="I616:J616">_xlfn.TEXTSPLIT(A616," ")</f>
        <v>27.10.2023</v>
      </c>
      <c r="J616" t="str">
        <v>10:14:58</v>
      </c>
      <c r="K616">
        <f t="shared" si="152"/>
        <v>10.216666666666754</v>
      </c>
      <c r="L616">
        <f t="shared" si="145"/>
        <v>3.5199999999999996</v>
      </c>
      <c r="M616">
        <f t="shared" si="146"/>
        <v>0.3</v>
      </c>
      <c r="N616">
        <f t="shared" si="140"/>
        <v>0.27500000000000008</v>
      </c>
      <c r="Q616" t="str" cm="1">
        <f t="array" ref="Q616:R616">_xlfn.TEXTSPLIT(E616," ")</f>
        <v>27.10.2023</v>
      </c>
      <c r="R616" t="str">
        <v>10:14:58</v>
      </c>
      <c r="S616">
        <f t="shared" si="153"/>
        <v>10.216666666666754</v>
      </c>
      <c r="T616">
        <f t="shared" si="144"/>
        <v>5.8400000000000034</v>
      </c>
      <c r="U616">
        <f t="shared" si="147"/>
        <v>0.75</v>
      </c>
      <c r="V616">
        <f t="shared" si="141"/>
        <v>0.50750000000000006</v>
      </c>
      <c r="AC616" t="s">
        <v>1749</v>
      </c>
      <c r="AD616">
        <v>0.9</v>
      </c>
      <c r="AE616">
        <v>7.15</v>
      </c>
      <c r="AG616" t="str" cm="1">
        <f t="array" ref="AG616:AH616">_xlfn.TEXTSPLIT(AC617," ")</f>
        <v>26.10.2023</v>
      </c>
      <c r="AH616" t="str">
        <v>10:15:56</v>
      </c>
      <c r="AI616">
        <f t="shared" si="154"/>
        <v>10.216666666666754</v>
      </c>
      <c r="AJ616">
        <f t="shared" si="148"/>
        <v>2.62</v>
      </c>
      <c r="AK616">
        <f t="shared" si="149"/>
        <v>0.9</v>
      </c>
      <c r="AL616">
        <f t="shared" si="142"/>
        <v>0.31749999999999995</v>
      </c>
      <c r="AN616" t="s">
        <v>1749</v>
      </c>
      <c r="AO616">
        <v>1.05</v>
      </c>
      <c r="AP616">
        <v>68.78</v>
      </c>
      <c r="AR616" t="str" cm="1">
        <f t="array" ref="AR616:AS616">_xlfn.TEXTSPLIT(AN616," ")</f>
        <v>26.10.2023</v>
      </c>
      <c r="AS616" t="str">
        <v>10:14:56</v>
      </c>
      <c r="AT616">
        <f t="shared" si="155"/>
        <v>10.216666666666754</v>
      </c>
      <c r="AU616">
        <f t="shared" si="150"/>
        <v>7.4699999999999989</v>
      </c>
      <c r="AV616">
        <f t="shared" si="151"/>
        <v>1.05</v>
      </c>
      <c r="AW616">
        <f t="shared" si="143"/>
        <v>0.67500000000000004</v>
      </c>
    </row>
    <row r="617" spans="1:49" x14ac:dyDescent="0.25">
      <c r="A617" t="s">
        <v>1750</v>
      </c>
      <c r="B617">
        <v>0.15</v>
      </c>
      <c r="C617">
        <v>17.850000000000001</v>
      </c>
      <c r="E617" t="s">
        <v>1750</v>
      </c>
      <c r="F617">
        <v>0.45</v>
      </c>
      <c r="G617">
        <v>84.45</v>
      </c>
      <c r="I617" t="str" cm="1">
        <f t="array" ref="I617:J617">_xlfn.TEXTSPLIT(A617," ")</f>
        <v>27.10.2023</v>
      </c>
      <c r="J617" t="str">
        <v>10:15:58</v>
      </c>
      <c r="K617">
        <f t="shared" si="152"/>
        <v>10.233333333333421</v>
      </c>
      <c r="L617">
        <f t="shared" si="145"/>
        <v>3.5300000000000011</v>
      </c>
      <c r="M617">
        <f t="shared" si="146"/>
        <v>0.15</v>
      </c>
      <c r="N617">
        <f t="shared" si="140"/>
        <v>0.26999999999999996</v>
      </c>
      <c r="Q617" t="str" cm="1">
        <f t="array" ref="Q617:R617">_xlfn.TEXTSPLIT(E617," ")</f>
        <v>27.10.2023</v>
      </c>
      <c r="R617" t="str">
        <v>10:15:58</v>
      </c>
      <c r="S617">
        <f t="shared" si="153"/>
        <v>10.233333333333421</v>
      </c>
      <c r="T617">
        <f t="shared" si="144"/>
        <v>5.8500000000000085</v>
      </c>
      <c r="U617">
        <f t="shared" si="147"/>
        <v>0.45</v>
      </c>
      <c r="V617">
        <f t="shared" si="141"/>
        <v>0.50500000000000012</v>
      </c>
      <c r="AC617" t="s">
        <v>1751</v>
      </c>
      <c r="AD617">
        <v>0.9</v>
      </c>
      <c r="AE617">
        <v>7.16</v>
      </c>
      <c r="AG617" t="str" cm="1">
        <f t="array" ref="AG617:AH617">_xlfn.TEXTSPLIT(AC618," ")</f>
        <v>26.10.2023</v>
      </c>
      <c r="AH617" t="str">
        <v>10:16:57</v>
      </c>
      <c r="AI617">
        <f t="shared" si="154"/>
        <v>10.233333333333421</v>
      </c>
      <c r="AJ617">
        <f t="shared" si="148"/>
        <v>2.63</v>
      </c>
      <c r="AK617">
        <f t="shared" si="149"/>
        <v>0.9</v>
      </c>
      <c r="AL617">
        <f t="shared" si="142"/>
        <v>0.3274999999999999</v>
      </c>
      <c r="AN617" t="s">
        <v>1751</v>
      </c>
      <c r="AO617">
        <v>1.05</v>
      </c>
      <c r="AP617">
        <v>68.790000000000006</v>
      </c>
      <c r="AR617" t="str" cm="1">
        <f t="array" ref="AR617:AS617">_xlfn.TEXTSPLIT(AN617," ")</f>
        <v>26.10.2023</v>
      </c>
      <c r="AS617" t="str">
        <v>10:15:56</v>
      </c>
      <c r="AT617">
        <f t="shared" si="155"/>
        <v>10.233333333333421</v>
      </c>
      <c r="AU617">
        <f t="shared" si="150"/>
        <v>7.480000000000004</v>
      </c>
      <c r="AV617">
        <f t="shared" si="151"/>
        <v>1.05</v>
      </c>
      <c r="AW617">
        <f t="shared" si="143"/>
        <v>0.67500000000000004</v>
      </c>
    </row>
    <row r="618" spans="1:49" x14ac:dyDescent="0.25">
      <c r="A618" t="s">
        <v>1752</v>
      </c>
      <c r="B618">
        <v>0.45</v>
      </c>
      <c r="C618">
        <v>17.850000000000001</v>
      </c>
      <c r="E618" t="s">
        <v>1752</v>
      </c>
      <c r="F618">
        <v>0.6</v>
      </c>
      <c r="G618">
        <v>84.46</v>
      </c>
      <c r="I618" t="str" cm="1">
        <f t="array" ref="I618:J618">_xlfn.TEXTSPLIT(A618," ")</f>
        <v>27.10.2023</v>
      </c>
      <c r="J618" t="str">
        <v>10:16:58</v>
      </c>
      <c r="K618">
        <f t="shared" si="152"/>
        <v>10.250000000000089</v>
      </c>
      <c r="L618">
        <f t="shared" si="145"/>
        <v>3.5300000000000011</v>
      </c>
      <c r="M618">
        <f t="shared" si="146"/>
        <v>0.45</v>
      </c>
      <c r="N618">
        <f t="shared" si="140"/>
        <v>0.27500000000000002</v>
      </c>
      <c r="Q618" t="str" cm="1">
        <f t="array" ref="Q618:R618">_xlfn.TEXTSPLIT(E618," ")</f>
        <v>27.10.2023</v>
      </c>
      <c r="R618" t="str">
        <v>10:16:58</v>
      </c>
      <c r="S618">
        <f t="shared" si="153"/>
        <v>10.250000000000089</v>
      </c>
      <c r="T618">
        <f t="shared" si="144"/>
        <v>5.8599999999999994</v>
      </c>
      <c r="U618">
        <f t="shared" si="147"/>
        <v>0.6</v>
      </c>
      <c r="V618">
        <f t="shared" si="141"/>
        <v>0.50750000000000006</v>
      </c>
      <c r="AC618" t="s">
        <v>1753</v>
      </c>
      <c r="AD618">
        <v>0.75</v>
      </c>
      <c r="AE618">
        <v>7.18</v>
      </c>
      <c r="AG618" t="str" cm="1">
        <f t="array" ref="AG618:AH618">_xlfn.TEXTSPLIT(AC619," ")</f>
        <v>26.10.2023</v>
      </c>
      <c r="AH618" t="str">
        <v>10:17:57</v>
      </c>
      <c r="AI618">
        <f t="shared" si="154"/>
        <v>10.250000000000089</v>
      </c>
      <c r="AJ618">
        <f t="shared" si="148"/>
        <v>2.6499999999999995</v>
      </c>
      <c r="AK618">
        <f t="shared" si="149"/>
        <v>0.75</v>
      </c>
      <c r="AL618">
        <f t="shared" si="142"/>
        <v>0.33499999999999996</v>
      </c>
      <c r="AN618" t="s">
        <v>1753</v>
      </c>
      <c r="AO618">
        <v>0.9</v>
      </c>
      <c r="AP618">
        <v>68.81</v>
      </c>
      <c r="AR618" t="str" cm="1">
        <f t="array" ref="AR618:AS618">_xlfn.TEXTSPLIT(AN618," ")</f>
        <v>26.10.2023</v>
      </c>
      <c r="AS618" t="str">
        <v>10:16:57</v>
      </c>
      <c r="AT618">
        <f t="shared" si="155"/>
        <v>10.250000000000089</v>
      </c>
      <c r="AU618">
        <f t="shared" si="150"/>
        <v>7.5</v>
      </c>
      <c r="AV618">
        <f t="shared" si="151"/>
        <v>0.9</v>
      </c>
      <c r="AW618">
        <f t="shared" si="143"/>
        <v>0.67749999999999999</v>
      </c>
    </row>
    <row r="619" spans="1:49" x14ac:dyDescent="0.25">
      <c r="A619" t="s">
        <v>1754</v>
      </c>
      <c r="B619">
        <v>0</v>
      </c>
      <c r="C619">
        <v>17.850000000000001</v>
      </c>
      <c r="E619" t="s">
        <v>1754</v>
      </c>
      <c r="F619">
        <v>0.3</v>
      </c>
      <c r="G619">
        <v>84.47</v>
      </c>
      <c r="I619" t="str" cm="1">
        <f t="array" ref="I619:J619">_xlfn.TEXTSPLIT(A619," ")</f>
        <v>27.10.2023</v>
      </c>
      <c r="J619" t="str">
        <v>10:17:59</v>
      </c>
      <c r="K619">
        <f t="shared" si="152"/>
        <v>10.266666666666756</v>
      </c>
      <c r="L619">
        <f t="shared" si="145"/>
        <v>3.5300000000000011</v>
      </c>
      <c r="M619">
        <f t="shared" si="146"/>
        <v>0</v>
      </c>
      <c r="N619">
        <f t="shared" si="140"/>
        <v>0.27000000000000007</v>
      </c>
      <c r="Q619" t="str" cm="1">
        <f t="array" ref="Q619:R619">_xlfn.TEXTSPLIT(E619," ")</f>
        <v>27.10.2023</v>
      </c>
      <c r="R619" t="str">
        <v>10:17:59</v>
      </c>
      <c r="S619">
        <f t="shared" si="153"/>
        <v>10.266666666666756</v>
      </c>
      <c r="T619">
        <f t="shared" si="144"/>
        <v>5.8700000000000045</v>
      </c>
      <c r="U619">
        <f t="shared" si="147"/>
        <v>0.3</v>
      </c>
      <c r="V619">
        <f t="shared" si="141"/>
        <v>0.50500000000000012</v>
      </c>
      <c r="AC619" t="s">
        <v>1755</v>
      </c>
      <c r="AD619">
        <v>0.9</v>
      </c>
      <c r="AE619">
        <v>7.18</v>
      </c>
      <c r="AG619" t="str" cm="1">
        <f t="array" ref="AG619:AH619">_xlfn.TEXTSPLIT(AC620," ")</f>
        <v>26.10.2023</v>
      </c>
      <c r="AH619" t="str">
        <v>10:18:57</v>
      </c>
      <c r="AI619">
        <f t="shared" si="154"/>
        <v>10.266666666666756</v>
      </c>
      <c r="AJ619">
        <f t="shared" si="148"/>
        <v>2.6499999999999995</v>
      </c>
      <c r="AK619">
        <f t="shared" si="149"/>
        <v>0.9</v>
      </c>
      <c r="AL619">
        <f t="shared" si="142"/>
        <v>0.34749999999999998</v>
      </c>
      <c r="AN619" t="s">
        <v>1755</v>
      </c>
      <c r="AO619">
        <v>1.05</v>
      </c>
      <c r="AP619">
        <v>68.819999999999993</v>
      </c>
      <c r="AR619" t="str" cm="1">
        <f t="array" ref="AR619:AS619">_xlfn.TEXTSPLIT(AN619," ")</f>
        <v>26.10.2023</v>
      </c>
      <c r="AS619" t="str">
        <v>10:17:57</v>
      </c>
      <c r="AT619">
        <f t="shared" si="155"/>
        <v>10.266666666666756</v>
      </c>
      <c r="AU619">
        <f t="shared" si="150"/>
        <v>7.5099999999999909</v>
      </c>
      <c r="AV619">
        <f t="shared" si="151"/>
        <v>1.05</v>
      </c>
      <c r="AW619">
        <f t="shared" si="143"/>
        <v>0.67999999999999983</v>
      </c>
    </row>
    <row r="620" spans="1:49" x14ac:dyDescent="0.25">
      <c r="A620" t="s">
        <v>1756</v>
      </c>
      <c r="B620">
        <v>0.3</v>
      </c>
      <c r="C620">
        <v>17.850000000000001</v>
      </c>
      <c r="E620" t="s">
        <v>1756</v>
      </c>
      <c r="F620">
        <v>0.6</v>
      </c>
      <c r="G620">
        <v>84.47</v>
      </c>
      <c r="I620" t="str" cm="1">
        <f t="array" ref="I620:J620">_xlfn.TEXTSPLIT(A620," ")</f>
        <v>27.10.2023</v>
      </c>
      <c r="J620" t="str">
        <v>10:18:59</v>
      </c>
      <c r="K620">
        <f t="shared" si="152"/>
        <v>10.283333333333424</v>
      </c>
      <c r="L620">
        <f t="shared" si="145"/>
        <v>3.5300000000000011</v>
      </c>
      <c r="M620">
        <f t="shared" si="146"/>
        <v>0.3</v>
      </c>
      <c r="N620">
        <f t="shared" si="140"/>
        <v>0.26999999999999996</v>
      </c>
      <c r="Q620" t="str" cm="1">
        <f t="array" ref="Q620:R620">_xlfn.TEXTSPLIT(E620," ")</f>
        <v>27.10.2023</v>
      </c>
      <c r="R620" t="str">
        <v>10:18:59</v>
      </c>
      <c r="S620">
        <f t="shared" si="153"/>
        <v>10.283333333333424</v>
      </c>
      <c r="T620">
        <f t="shared" si="144"/>
        <v>5.8700000000000045</v>
      </c>
      <c r="U620">
        <f t="shared" si="147"/>
        <v>0.6</v>
      </c>
      <c r="V620">
        <f t="shared" si="141"/>
        <v>0.50750000000000006</v>
      </c>
      <c r="AC620" t="s">
        <v>1757</v>
      </c>
      <c r="AD620">
        <v>0.45</v>
      </c>
      <c r="AE620">
        <v>7.19</v>
      </c>
      <c r="AG620" t="str" cm="1">
        <f t="array" ref="AG620:AH620">_xlfn.TEXTSPLIT(AC621," ")</f>
        <v>26.10.2023</v>
      </c>
      <c r="AH620" t="str">
        <v>10:19:57</v>
      </c>
      <c r="AI620">
        <f t="shared" si="154"/>
        <v>10.283333333333424</v>
      </c>
      <c r="AJ620">
        <f t="shared" si="148"/>
        <v>2.66</v>
      </c>
      <c r="AK620">
        <f t="shared" si="149"/>
        <v>0.45</v>
      </c>
      <c r="AL620">
        <f t="shared" si="142"/>
        <v>0.34999999999999992</v>
      </c>
      <c r="AN620" t="s">
        <v>1757</v>
      </c>
      <c r="AO620">
        <v>0.6</v>
      </c>
      <c r="AP620">
        <v>68.83</v>
      </c>
      <c r="AR620" t="str" cm="1">
        <f t="array" ref="AR620:AS620">_xlfn.TEXTSPLIT(AN620," ")</f>
        <v>26.10.2023</v>
      </c>
      <c r="AS620" t="str">
        <v>10:18:57</v>
      </c>
      <c r="AT620">
        <f t="shared" si="155"/>
        <v>10.283333333333424</v>
      </c>
      <c r="AU620">
        <f t="shared" si="150"/>
        <v>7.519999999999996</v>
      </c>
      <c r="AV620">
        <f t="shared" si="151"/>
        <v>0.6</v>
      </c>
      <c r="AW620">
        <f t="shared" si="143"/>
        <v>0.67999999999999994</v>
      </c>
    </row>
    <row r="621" spans="1:49" x14ac:dyDescent="0.25">
      <c r="A621" t="s">
        <v>1758</v>
      </c>
      <c r="B621">
        <v>0</v>
      </c>
      <c r="C621">
        <v>17.850000000000001</v>
      </c>
      <c r="E621" t="s">
        <v>1758</v>
      </c>
      <c r="F621">
        <v>0.6</v>
      </c>
      <c r="G621">
        <v>84.49</v>
      </c>
      <c r="I621" t="str" cm="1">
        <f t="array" ref="I621:J621">_xlfn.TEXTSPLIT(A621," ")</f>
        <v>27.10.2023</v>
      </c>
      <c r="J621" t="str">
        <v>10:19:59</v>
      </c>
      <c r="K621">
        <f t="shared" si="152"/>
        <v>10.300000000000091</v>
      </c>
      <c r="L621">
        <f t="shared" si="145"/>
        <v>3.5300000000000011</v>
      </c>
      <c r="M621">
        <f t="shared" si="146"/>
        <v>0</v>
      </c>
      <c r="N621">
        <f t="shared" si="140"/>
        <v>0.26750000000000002</v>
      </c>
      <c r="Q621" t="str" cm="1">
        <f t="array" ref="Q621:R621">_xlfn.TEXTSPLIT(E621," ")</f>
        <v>27.10.2023</v>
      </c>
      <c r="R621" t="str">
        <v>10:19:59</v>
      </c>
      <c r="S621">
        <f t="shared" si="153"/>
        <v>10.300000000000091</v>
      </c>
      <c r="T621">
        <f t="shared" si="144"/>
        <v>5.8900000000000006</v>
      </c>
      <c r="U621">
        <f t="shared" si="147"/>
        <v>0.6</v>
      </c>
      <c r="V621">
        <f t="shared" si="141"/>
        <v>0.51000000000000012</v>
      </c>
      <c r="AC621" t="s">
        <v>1759</v>
      </c>
      <c r="AD621">
        <v>0.6</v>
      </c>
      <c r="AE621">
        <v>7.2</v>
      </c>
      <c r="AG621" t="str" cm="1">
        <f t="array" ref="AG621:AH621">_xlfn.TEXTSPLIT(AC622," ")</f>
        <v>26.10.2023</v>
      </c>
      <c r="AH621" t="str">
        <v>10:20:57</v>
      </c>
      <c r="AI621">
        <f t="shared" si="154"/>
        <v>10.300000000000091</v>
      </c>
      <c r="AJ621">
        <f t="shared" si="148"/>
        <v>2.67</v>
      </c>
      <c r="AK621">
        <f t="shared" si="149"/>
        <v>0.6</v>
      </c>
      <c r="AL621">
        <f t="shared" si="142"/>
        <v>0.35499999999999993</v>
      </c>
      <c r="AN621" t="s">
        <v>1759</v>
      </c>
      <c r="AO621">
        <v>0.75</v>
      </c>
      <c r="AP621">
        <v>68.849999999999994</v>
      </c>
      <c r="AR621" t="str" cm="1">
        <f t="array" ref="AR621:AS621">_xlfn.TEXTSPLIT(AN621," ")</f>
        <v>26.10.2023</v>
      </c>
      <c r="AS621" t="str">
        <v>10:19:57</v>
      </c>
      <c r="AT621">
        <f t="shared" si="155"/>
        <v>10.300000000000091</v>
      </c>
      <c r="AU621">
        <f t="shared" si="150"/>
        <v>7.539999999999992</v>
      </c>
      <c r="AV621">
        <f t="shared" si="151"/>
        <v>0.75</v>
      </c>
      <c r="AW621">
        <f t="shared" si="143"/>
        <v>0.68499999999999994</v>
      </c>
    </row>
    <row r="622" spans="1:49" x14ac:dyDescent="0.25">
      <c r="A622" t="s">
        <v>1760</v>
      </c>
      <c r="B622">
        <v>0.15</v>
      </c>
      <c r="C622">
        <v>17.850000000000001</v>
      </c>
      <c r="E622" t="s">
        <v>1760</v>
      </c>
      <c r="F622">
        <v>0.45</v>
      </c>
      <c r="G622">
        <v>84.49</v>
      </c>
      <c r="I622" t="str" cm="1">
        <f t="array" ref="I622:J622">_xlfn.TEXTSPLIT(A622," ")</f>
        <v>27.10.2023</v>
      </c>
      <c r="J622" t="str">
        <v>10:20:59</v>
      </c>
      <c r="K622">
        <f t="shared" si="152"/>
        <v>10.316666666666759</v>
      </c>
      <c r="L622">
        <f t="shared" si="145"/>
        <v>3.5300000000000011</v>
      </c>
      <c r="M622">
        <f t="shared" si="146"/>
        <v>0.15</v>
      </c>
      <c r="N622">
        <f t="shared" si="140"/>
        <v>0.26750000000000002</v>
      </c>
      <c r="Q622" t="str" cm="1">
        <f t="array" ref="Q622:R622">_xlfn.TEXTSPLIT(E622," ")</f>
        <v>27.10.2023</v>
      </c>
      <c r="R622" t="str">
        <v>10:20:59</v>
      </c>
      <c r="S622">
        <f t="shared" si="153"/>
        <v>10.316666666666759</v>
      </c>
      <c r="T622">
        <f t="shared" si="144"/>
        <v>5.8900000000000006</v>
      </c>
      <c r="U622">
        <f t="shared" si="147"/>
        <v>0.45</v>
      </c>
      <c r="V622">
        <f t="shared" si="141"/>
        <v>0.51000000000000012</v>
      </c>
      <c r="AC622" t="s">
        <v>1761</v>
      </c>
      <c r="AD622">
        <v>0.3</v>
      </c>
      <c r="AE622">
        <v>7.21</v>
      </c>
      <c r="AG622" t="str" cm="1">
        <f t="array" ref="AG622:AH622">_xlfn.TEXTSPLIT(AC623," ")</f>
        <v>26.10.2023</v>
      </c>
      <c r="AH622" t="str">
        <v>10:21:57</v>
      </c>
      <c r="AI622">
        <f t="shared" si="154"/>
        <v>10.316666666666759</v>
      </c>
      <c r="AJ622">
        <f t="shared" si="148"/>
        <v>2.6799999999999997</v>
      </c>
      <c r="AK622">
        <f t="shared" si="149"/>
        <v>0.3</v>
      </c>
      <c r="AL622">
        <f t="shared" si="142"/>
        <v>0.35749999999999998</v>
      </c>
      <c r="AN622" t="s">
        <v>1761</v>
      </c>
      <c r="AO622">
        <v>0.9</v>
      </c>
      <c r="AP622">
        <v>68.86</v>
      </c>
      <c r="AR622" t="str" cm="1">
        <f t="array" ref="AR622:AS622">_xlfn.TEXTSPLIT(AN622," ")</f>
        <v>26.10.2023</v>
      </c>
      <c r="AS622" t="str">
        <v>10:20:57</v>
      </c>
      <c r="AT622">
        <f t="shared" si="155"/>
        <v>10.316666666666759</v>
      </c>
      <c r="AU622">
        <f t="shared" si="150"/>
        <v>7.5499999999999972</v>
      </c>
      <c r="AV622">
        <f t="shared" si="151"/>
        <v>0.9</v>
      </c>
      <c r="AW622">
        <f t="shared" si="143"/>
        <v>0.69</v>
      </c>
    </row>
    <row r="623" spans="1:49" x14ac:dyDescent="0.25">
      <c r="A623" t="s">
        <v>1762</v>
      </c>
      <c r="B623">
        <v>0.15</v>
      </c>
      <c r="C623">
        <v>17.850000000000001</v>
      </c>
      <c r="E623" t="s">
        <v>1762</v>
      </c>
      <c r="F623">
        <v>0.3</v>
      </c>
      <c r="G623">
        <v>84.49</v>
      </c>
      <c r="I623" t="str" cm="1">
        <f t="array" ref="I623:J623">_xlfn.TEXTSPLIT(A623," ")</f>
        <v>27.10.2023</v>
      </c>
      <c r="J623" t="str">
        <v>10:21:59</v>
      </c>
      <c r="K623">
        <f t="shared" si="152"/>
        <v>10.333333333333426</v>
      </c>
      <c r="L623">
        <f t="shared" si="145"/>
        <v>3.5300000000000011</v>
      </c>
      <c r="M623">
        <f t="shared" si="146"/>
        <v>0.15</v>
      </c>
      <c r="N623">
        <f t="shared" si="140"/>
        <v>0.26750000000000002</v>
      </c>
      <c r="Q623" t="str" cm="1">
        <f t="array" ref="Q623:R623">_xlfn.TEXTSPLIT(E623," ")</f>
        <v>27.10.2023</v>
      </c>
      <c r="R623" t="str">
        <v>10:21:59</v>
      </c>
      <c r="S623">
        <f t="shared" si="153"/>
        <v>10.333333333333426</v>
      </c>
      <c r="T623">
        <f t="shared" si="144"/>
        <v>5.8900000000000006</v>
      </c>
      <c r="U623">
        <f t="shared" si="147"/>
        <v>0.3</v>
      </c>
      <c r="V623">
        <f t="shared" si="141"/>
        <v>0.50750000000000017</v>
      </c>
      <c r="AC623" t="s">
        <v>1763</v>
      </c>
      <c r="AD623">
        <v>0.3</v>
      </c>
      <c r="AE623">
        <v>7.22</v>
      </c>
      <c r="AG623" t="str" cm="1">
        <f t="array" ref="AG623:AH623">_xlfn.TEXTSPLIT(AC624," ")</f>
        <v>26.10.2023</v>
      </c>
      <c r="AH623" t="str">
        <v>10:22:58</v>
      </c>
      <c r="AI623">
        <f t="shared" si="154"/>
        <v>10.333333333333426</v>
      </c>
      <c r="AJ623">
        <f t="shared" si="148"/>
        <v>2.6899999999999995</v>
      </c>
      <c r="AK623">
        <f t="shared" si="149"/>
        <v>0.3</v>
      </c>
      <c r="AL623">
        <f t="shared" si="142"/>
        <v>0.35749999999999998</v>
      </c>
      <c r="AN623" t="s">
        <v>1763</v>
      </c>
      <c r="AO623">
        <v>0.9</v>
      </c>
      <c r="AP623">
        <v>68.87</v>
      </c>
      <c r="AR623" t="str" cm="1">
        <f t="array" ref="AR623:AS623">_xlfn.TEXTSPLIT(AN623," ")</f>
        <v>26.10.2023</v>
      </c>
      <c r="AS623" t="str">
        <v>10:21:57</v>
      </c>
      <c r="AT623">
        <f t="shared" si="155"/>
        <v>10.333333333333426</v>
      </c>
      <c r="AU623">
        <f t="shared" si="150"/>
        <v>7.5600000000000023</v>
      </c>
      <c r="AV623">
        <f t="shared" si="151"/>
        <v>0.9</v>
      </c>
      <c r="AW623">
        <f t="shared" si="143"/>
        <v>0.69499999999999995</v>
      </c>
    </row>
    <row r="624" spans="1:49" x14ac:dyDescent="0.25">
      <c r="A624" t="s">
        <v>1764</v>
      </c>
      <c r="B624">
        <v>0</v>
      </c>
      <c r="C624">
        <v>17.86</v>
      </c>
      <c r="E624" t="s">
        <v>1764</v>
      </c>
      <c r="F624">
        <v>0.15</v>
      </c>
      <c r="G624">
        <v>84.49</v>
      </c>
      <c r="I624" t="str" cm="1">
        <f t="array" ref="I624:J624">_xlfn.TEXTSPLIT(A624," ")</f>
        <v>27.10.2023</v>
      </c>
      <c r="J624" t="str">
        <v>10:22:59</v>
      </c>
      <c r="K624">
        <f t="shared" si="152"/>
        <v>10.350000000000094</v>
      </c>
      <c r="L624">
        <f t="shared" si="145"/>
        <v>3.5399999999999991</v>
      </c>
      <c r="M624">
        <f t="shared" si="146"/>
        <v>0</v>
      </c>
      <c r="N624">
        <f t="shared" si="140"/>
        <v>0.26500000000000001</v>
      </c>
      <c r="Q624" t="str" cm="1">
        <f t="array" ref="Q624:R624">_xlfn.TEXTSPLIT(E624," ")</f>
        <v>27.10.2023</v>
      </c>
      <c r="R624" t="str">
        <v>10:22:59</v>
      </c>
      <c r="S624">
        <f t="shared" si="153"/>
        <v>10.350000000000094</v>
      </c>
      <c r="T624">
        <f t="shared" si="144"/>
        <v>5.8900000000000006</v>
      </c>
      <c r="U624">
        <f t="shared" si="147"/>
        <v>0.15</v>
      </c>
      <c r="V624">
        <f t="shared" si="141"/>
        <v>0.51000000000000012</v>
      </c>
      <c r="AC624" t="s">
        <v>1765</v>
      </c>
      <c r="AD624">
        <v>0.75</v>
      </c>
      <c r="AE624">
        <v>7.23</v>
      </c>
      <c r="AG624" t="str" cm="1">
        <f t="array" ref="AG624:AH624">_xlfn.TEXTSPLIT(AC625," ")</f>
        <v>26.10.2023</v>
      </c>
      <c r="AH624" t="str">
        <v>10:23:58</v>
      </c>
      <c r="AI624">
        <f t="shared" si="154"/>
        <v>10.350000000000094</v>
      </c>
      <c r="AJ624">
        <f t="shared" si="148"/>
        <v>2.7</v>
      </c>
      <c r="AK624">
        <f t="shared" si="149"/>
        <v>0.75</v>
      </c>
      <c r="AL624">
        <f t="shared" si="142"/>
        <v>0.37</v>
      </c>
      <c r="AN624" t="s">
        <v>1765</v>
      </c>
      <c r="AO624">
        <v>0.3</v>
      </c>
      <c r="AP624">
        <v>68.87</v>
      </c>
      <c r="AR624" t="str" cm="1">
        <f t="array" ref="AR624:AS624">_xlfn.TEXTSPLIT(AN624," ")</f>
        <v>26.10.2023</v>
      </c>
      <c r="AS624" t="str">
        <v>10:22:58</v>
      </c>
      <c r="AT624">
        <f t="shared" si="155"/>
        <v>10.350000000000094</v>
      </c>
      <c r="AU624">
        <f t="shared" si="150"/>
        <v>7.5600000000000023</v>
      </c>
      <c r="AV624">
        <f t="shared" si="151"/>
        <v>0.3</v>
      </c>
      <c r="AW624">
        <f t="shared" si="143"/>
        <v>0.69749999999999979</v>
      </c>
    </row>
    <row r="625" spans="1:49" x14ac:dyDescent="0.25">
      <c r="A625" t="s">
        <v>1766</v>
      </c>
      <c r="B625">
        <v>0.15</v>
      </c>
      <c r="C625">
        <v>17.86</v>
      </c>
      <c r="E625" t="s">
        <v>1766</v>
      </c>
      <c r="F625">
        <v>0</v>
      </c>
      <c r="G625">
        <v>84.49</v>
      </c>
      <c r="I625" t="str" cm="1">
        <f t="array" ref="I625:J625">_xlfn.TEXTSPLIT(A625," ")</f>
        <v>27.10.2023</v>
      </c>
      <c r="J625" t="str">
        <v>10:23:59</v>
      </c>
      <c r="K625">
        <f t="shared" si="152"/>
        <v>10.366666666666761</v>
      </c>
      <c r="L625">
        <f t="shared" si="145"/>
        <v>3.5399999999999991</v>
      </c>
      <c r="M625">
        <f t="shared" si="146"/>
        <v>0.15</v>
      </c>
      <c r="N625">
        <f t="shared" si="140"/>
        <v>0.26750000000000002</v>
      </c>
      <c r="Q625" t="str" cm="1">
        <f t="array" ref="Q625:R625">_xlfn.TEXTSPLIT(E625," ")</f>
        <v>27.10.2023</v>
      </c>
      <c r="R625" t="str">
        <v>10:23:59</v>
      </c>
      <c r="S625">
        <f t="shared" si="153"/>
        <v>10.366666666666761</v>
      </c>
      <c r="T625">
        <f t="shared" si="144"/>
        <v>5.8900000000000006</v>
      </c>
      <c r="U625">
        <f t="shared" si="147"/>
        <v>0</v>
      </c>
      <c r="V625">
        <f t="shared" si="141"/>
        <v>0.51000000000000012</v>
      </c>
      <c r="AC625" t="s">
        <v>1767</v>
      </c>
      <c r="AD625">
        <v>0.45</v>
      </c>
      <c r="AE625">
        <v>7.23</v>
      </c>
      <c r="AG625" t="str" cm="1">
        <f t="array" ref="AG625:AH625">_xlfn.TEXTSPLIT(AC626," ")</f>
        <v>26.10.2023</v>
      </c>
      <c r="AH625" t="str">
        <v>10:24:58</v>
      </c>
      <c r="AI625">
        <f t="shared" si="154"/>
        <v>10.366666666666761</v>
      </c>
      <c r="AJ625">
        <f t="shared" si="148"/>
        <v>2.7</v>
      </c>
      <c r="AK625">
        <f t="shared" si="149"/>
        <v>0.45</v>
      </c>
      <c r="AL625">
        <f t="shared" si="142"/>
        <v>0.3775</v>
      </c>
      <c r="AN625" t="s">
        <v>1767</v>
      </c>
      <c r="AO625">
        <v>0.15</v>
      </c>
      <c r="AP625">
        <v>68.87</v>
      </c>
      <c r="AR625" t="str" cm="1">
        <f t="array" ref="AR625:AS625">_xlfn.TEXTSPLIT(AN625," ")</f>
        <v>26.10.2023</v>
      </c>
      <c r="AS625" t="str">
        <v>10:23:58</v>
      </c>
      <c r="AT625">
        <f t="shared" si="155"/>
        <v>10.366666666666761</v>
      </c>
      <c r="AU625">
        <f t="shared" si="150"/>
        <v>7.5600000000000023</v>
      </c>
      <c r="AV625">
        <f t="shared" si="151"/>
        <v>0.15</v>
      </c>
      <c r="AW625">
        <f t="shared" si="143"/>
        <v>0.69999999999999973</v>
      </c>
    </row>
    <row r="626" spans="1:49" x14ac:dyDescent="0.25">
      <c r="A626" t="s">
        <v>1768</v>
      </c>
      <c r="B626">
        <v>0</v>
      </c>
      <c r="C626">
        <v>17.86</v>
      </c>
      <c r="E626" t="s">
        <v>1768</v>
      </c>
      <c r="F626">
        <v>0</v>
      </c>
      <c r="G626">
        <v>84.49</v>
      </c>
      <c r="I626" t="str" cm="1">
        <f t="array" ref="I626:J626">_xlfn.TEXTSPLIT(A626," ")</f>
        <v>27.10.2023</v>
      </c>
      <c r="J626" t="str">
        <v>10:25:00</v>
      </c>
      <c r="K626">
        <f t="shared" si="152"/>
        <v>10.383333333333429</v>
      </c>
      <c r="L626">
        <f t="shared" si="145"/>
        <v>3.5399999999999991</v>
      </c>
      <c r="M626">
        <f t="shared" si="146"/>
        <v>0</v>
      </c>
      <c r="N626">
        <f t="shared" si="140"/>
        <v>0.26750000000000002</v>
      </c>
      <c r="Q626" t="str" cm="1">
        <f t="array" ref="Q626:R626">_xlfn.TEXTSPLIT(E626," ")</f>
        <v>27.10.2023</v>
      </c>
      <c r="R626" t="str">
        <v>10:25:00</v>
      </c>
      <c r="S626">
        <f t="shared" si="153"/>
        <v>10.383333333333429</v>
      </c>
      <c r="T626">
        <f t="shared" si="144"/>
        <v>5.8900000000000006</v>
      </c>
      <c r="U626">
        <f t="shared" si="147"/>
        <v>0</v>
      </c>
      <c r="V626">
        <f t="shared" si="141"/>
        <v>0.51000000000000012</v>
      </c>
      <c r="AC626" t="s">
        <v>1769</v>
      </c>
      <c r="AD626">
        <v>0</v>
      </c>
      <c r="AE626">
        <v>7.23</v>
      </c>
      <c r="AG626" t="str" cm="1">
        <f t="array" ref="AG626:AH626">_xlfn.TEXTSPLIT(AC627," ")</f>
        <v>26.10.2023</v>
      </c>
      <c r="AH626" t="str">
        <v>10:25:58</v>
      </c>
      <c r="AI626">
        <f t="shared" si="154"/>
        <v>10.383333333333429</v>
      </c>
      <c r="AJ626">
        <f t="shared" si="148"/>
        <v>2.7</v>
      </c>
      <c r="AK626">
        <f t="shared" si="149"/>
        <v>0</v>
      </c>
      <c r="AL626">
        <f t="shared" si="142"/>
        <v>0.3775</v>
      </c>
      <c r="AN626" t="s">
        <v>1769</v>
      </c>
      <c r="AO626">
        <v>0</v>
      </c>
      <c r="AP626">
        <v>68.87</v>
      </c>
      <c r="AR626" t="str" cm="1">
        <f t="array" ref="AR626:AS626">_xlfn.TEXTSPLIT(AN626," ")</f>
        <v>26.10.2023</v>
      </c>
      <c r="AS626" t="str">
        <v>10:24:58</v>
      </c>
      <c r="AT626">
        <f t="shared" si="155"/>
        <v>10.383333333333429</v>
      </c>
      <c r="AU626">
        <f t="shared" si="150"/>
        <v>7.5600000000000023</v>
      </c>
      <c r="AV626">
        <f t="shared" si="151"/>
        <v>0</v>
      </c>
      <c r="AW626">
        <f t="shared" si="143"/>
        <v>0.69999999999999973</v>
      </c>
    </row>
    <row r="627" spans="1:49" x14ac:dyDescent="0.25">
      <c r="A627" t="s">
        <v>1770</v>
      </c>
      <c r="B627">
        <v>0</v>
      </c>
      <c r="C627">
        <v>17.86</v>
      </c>
      <c r="E627" t="s">
        <v>1770</v>
      </c>
      <c r="F627">
        <v>0</v>
      </c>
      <c r="G627">
        <v>84.49</v>
      </c>
      <c r="I627" t="str" cm="1">
        <f t="array" ref="I627:J627">_xlfn.TEXTSPLIT(A627," ")</f>
        <v>27.10.2023</v>
      </c>
      <c r="J627" t="str">
        <v>10:26:00</v>
      </c>
      <c r="K627">
        <f t="shared" si="152"/>
        <v>10.400000000000096</v>
      </c>
      <c r="L627">
        <f t="shared" si="145"/>
        <v>3.5399999999999991</v>
      </c>
      <c r="M627">
        <f t="shared" si="146"/>
        <v>0</v>
      </c>
      <c r="N627">
        <f t="shared" si="140"/>
        <v>0.26750000000000002</v>
      </c>
      <c r="Q627" t="str" cm="1">
        <f t="array" ref="Q627:R627">_xlfn.TEXTSPLIT(E627," ")</f>
        <v>27.10.2023</v>
      </c>
      <c r="R627" t="str">
        <v>10:26:00</v>
      </c>
      <c r="S627">
        <f t="shared" si="153"/>
        <v>10.400000000000096</v>
      </c>
      <c r="T627">
        <f t="shared" si="144"/>
        <v>5.8900000000000006</v>
      </c>
      <c r="U627">
        <f t="shared" si="147"/>
        <v>0</v>
      </c>
      <c r="V627">
        <f t="shared" si="141"/>
        <v>0.50750000000000017</v>
      </c>
      <c r="AC627" t="s">
        <v>1771</v>
      </c>
      <c r="AD627">
        <v>0</v>
      </c>
      <c r="AE627">
        <v>7.23</v>
      </c>
      <c r="AG627" t="str" cm="1">
        <f t="array" ref="AG627:AH627">_xlfn.TEXTSPLIT(AC628," ")</f>
        <v>26.10.2023</v>
      </c>
      <c r="AH627" t="str">
        <v>10:26:58</v>
      </c>
      <c r="AI627">
        <f t="shared" si="154"/>
        <v>10.400000000000096</v>
      </c>
      <c r="AJ627">
        <f t="shared" si="148"/>
        <v>2.7</v>
      </c>
      <c r="AK627">
        <f t="shared" si="149"/>
        <v>0</v>
      </c>
      <c r="AL627">
        <f t="shared" si="142"/>
        <v>0.3775</v>
      </c>
      <c r="AN627" t="s">
        <v>1771</v>
      </c>
      <c r="AO627">
        <v>0</v>
      </c>
      <c r="AP627">
        <v>68.87</v>
      </c>
      <c r="AR627" t="str" cm="1">
        <f t="array" ref="AR627:AS627">_xlfn.TEXTSPLIT(AN627," ")</f>
        <v>26.10.2023</v>
      </c>
      <c r="AS627" t="str">
        <v>10:25:58</v>
      </c>
      <c r="AT627">
        <f t="shared" si="155"/>
        <v>10.400000000000096</v>
      </c>
      <c r="AU627">
        <f t="shared" si="150"/>
        <v>7.5600000000000023</v>
      </c>
      <c r="AV627">
        <f t="shared" si="151"/>
        <v>0</v>
      </c>
      <c r="AW627">
        <f t="shared" si="143"/>
        <v>0.69999999999999973</v>
      </c>
    </row>
    <row r="628" spans="1:49" x14ac:dyDescent="0.25">
      <c r="A628" t="s">
        <v>1772</v>
      </c>
      <c r="B628">
        <v>0</v>
      </c>
      <c r="C628">
        <v>17.86</v>
      </c>
      <c r="E628" t="s">
        <v>1772</v>
      </c>
      <c r="F628">
        <v>0</v>
      </c>
      <c r="G628">
        <v>84.49</v>
      </c>
      <c r="I628" t="str" cm="1">
        <f t="array" ref="I628:J628">_xlfn.TEXTSPLIT(A628," ")</f>
        <v>27.10.2023</v>
      </c>
      <c r="J628" t="str">
        <v>10:27:00</v>
      </c>
      <c r="K628">
        <f t="shared" si="152"/>
        <v>10.416666666666764</v>
      </c>
      <c r="L628">
        <f t="shared" si="145"/>
        <v>3.5399999999999991</v>
      </c>
      <c r="M628">
        <f t="shared" si="146"/>
        <v>0</v>
      </c>
      <c r="N628">
        <f t="shared" si="140"/>
        <v>0.26750000000000002</v>
      </c>
      <c r="Q628" t="str" cm="1">
        <f t="array" ref="Q628:R628">_xlfn.TEXTSPLIT(E628," ")</f>
        <v>27.10.2023</v>
      </c>
      <c r="R628" t="str">
        <v>10:27:00</v>
      </c>
      <c r="S628">
        <f t="shared" si="153"/>
        <v>10.416666666666764</v>
      </c>
      <c r="T628">
        <f t="shared" si="144"/>
        <v>5.8900000000000006</v>
      </c>
      <c r="U628">
        <f t="shared" si="147"/>
        <v>0</v>
      </c>
      <c r="V628">
        <f t="shared" si="141"/>
        <v>0.50750000000000017</v>
      </c>
      <c r="AC628" t="s">
        <v>1773</v>
      </c>
      <c r="AD628">
        <v>0</v>
      </c>
      <c r="AE628">
        <v>7.23</v>
      </c>
      <c r="AG628" t="str" cm="1">
        <f t="array" ref="AG628:AH628">_xlfn.TEXTSPLIT(AC629," ")</f>
        <v>26.10.2023</v>
      </c>
      <c r="AH628" t="str">
        <v>10:27:58</v>
      </c>
      <c r="AI628">
        <f t="shared" si="154"/>
        <v>10.416666666666764</v>
      </c>
      <c r="AJ628">
        <f t="shared" si="148"/>
        <v>2.7</v>
      </c>
      <c r="AK628">
        <f t="shared" si="149"/>
        <v>0</v>
      </c>
      <c r="AL628">
        <f t="shared" si="142"/>
        <v>0.3775</v>
      </c>
      <c r="AN628" t="s">
        <v>1773</v>
      </c>
      <c r="AO628">
        <v>0.15</v>
      </c>
      <c r="AP628">
        <v>68.87</v>
      </c>
      <c r="AR628" t="str" cm="1">
        <f t="array" ref="AR628:AS628">_xlfn.TEXTSPLIT(AN628," ")</f>
        <v>26.10.2023</v>
      </c>
      <c r="AS628" t="str">
        <v>10:26:58</v>
      </c>
      <c r="AT628">
        <f t="shared" si="155"/>
        <v>10.416666666666764</v>
      </c>
      <c r="AU628">
        <f t="shared" si="150"/>
        <v>7.5600000000000023</v>
      </c>
      <c r="AV628">
        <f t="shared" si="151"/>
        <v>0.15</v>
      </c>
      <c r="AW628">
        <f t="shared" si="143"/>
        <v>0.69999999999999973</v>
      </c>
    </row>
    <row r="629" spans="1:49" x14ac:dyDescent="0.25">
      <c r="A629" t="s">
        <v>1774</v>
      </c>
      <c r="B629">
        <v>0</v>
      </c>
      <c r="C629">
        <v>17.86</v>
      </c>
      <c r="E629" t="s">
        <v>1774</v>
      </c>
      <c r="F629">
        <v>0</v>
      </c>
      <c r="G629">
        <v>84.49</v>
      </c>
      <c r="I629" t="str" cm="1">
        <f t="array" ref="I629:J629">_xlfn.TEXTSPLIT(A629," ")</f>
        <v>27.10.2023</v>
      </c>
      <c r="J629" t="str">
        <v>10:28:00</v>
      </c>
      <c r="K629">
        <f t="shared" si="152"/>
        <v>10.433333333333431</v>
      </c>
      <c r="L629">
        <f t="shared" si="145"/>
        <v>3.5399999999999991</v>
      </c>
      <c r="M629">
        <f t="shared" si="146"/>
        <v>0</v>
      </c>
      <c r="N629">
        <f t="shared" si="140"/>
        <v>0.26750000000000002</v>
      </c>
      <c r="Q629" t="str" cm="1">
        <f t="array" ref="Q629:R629">_xlfn.TEXTSPLIT(E629," ")</f>
        <v>27.10.2023</v>
      </c>
      <c r="R629" t="str">
        <v>10:28:00</v>
      </c>
      <c r="S629">
        <f t="shared" si="153"/>
        <v>10.433333333333431</v>
      </c>
      <c r="T629">
        <f t="shared" si="144"/>
        <v>5.8900000000000006</v>
      </c>
      <c r="U629">
        <f t="shared" si="147"/>
        <v>0</v>
      </c>
      <c r="V629">
        <f t="shared" si="141"/>
        <v>0.50750000000000017</v>
      </c>
      <c r="AC629" t="s">
        <v>1775</v>
      </c>
      <c r="AD629">
        <v>0</v>
      </c>
      <c r="AE629">
        <v>7.23</v>
      </c>
      <c r="AG629" t="str" cm="1">
        <f t="array" ref="AG629:AH629">_xlfn.TEXTSPLIT(AC630," ")</f>
        <v>26.10.2023</v>
      </c>
      <c r="AH629" t="str">
        <v>10:28:58</v>
      </c>
      <c r="AI629">
        <f t="shared" si="154"/>
        <v>10.433333333333431</v>
      </c>
      <c r="AJ629">
        <f t="shared" si="148"/>
        <v>2.7</v>
      </c>
      <c r="AK629">
        <f t="shared" si="149"/>
        <v>0</v>
      </c>
      <c r="AL629">
        <f t="shared" si="142"/>
        <v>0.3775</v>
      </c>
      <c r="AN629" t="s">
        <v>1775</v>
      </c>
      <c r="AO629">
        <v>0.15</v>
      </c>
      <c r="AP629">
        <v>68.87</v>
      </c>
      <c r="AR629" t="str" cm="1">
        <f t="array" ref="AR629:AS629">_xlfn.TEXTSPLIT(AN629," ")</f>
        <v>26.10.2023</v>
      </c>
      <c r="AS629" t="str">
        <v>10:27:58</v>
      </c>
      <c r="AT629">
        <f t="shared" si="155"/>
        <v>10.433333333333431</v>
      </c>
      <c r="AU629">
        <f t="shared" si="150"/>
        <v>7.5600000000000023</v>
      </c>
      <c r="AV629">
        <f t="shared" si="151"/>
        <v>0.15</v>
      </c>
      <c r="AW629">
        <f t="shared" si="143"/>
        <v>0.70249999999999979</v>
      </c>
    </row>
    <row r="630" spans="1:49" x14ac:dyDescent="0.25">
      <c r="A630" t="s">
        <v>1776</v>
      </c>
      <c r="B630">
        <v>0</v>
      </c>
      <c r="C630">
        <v>17.86</v>
      </c>
      <c r="E630" t="s">
        <v>1776</v>
      </c>
      <c r="F630">
        <v>0</v>
      </c>
      <c r="G630">
        <v>84.49</v>
      </c>
      <c r="I630" t="str" cm="1">
        <f t="array" ref="I630:J630">_xlfn.TEXTSPLIT(A630," ")</f>
        <v>27.10.2023</v>
      </c>
      <c r="J630" t="str">
        <v>10:29:00</v>
      </c>
      <c r="K630">
        <f t="shared" si="152"/>
        <v>10.450000000000099</v>
      </c>
      <c r="L630">
        <f t="shared" si="145"/>
        <v>3.5399999999999991</v>
      </c>
      <c r="M630">
        <f t="shared" si="146"/>
        <v>0</v>
      </c>
      <c r="N630">
        <f t="shared" si="140"/>
        <v>0.26750000000000002</v>
      </c>
      <c r="Q630" t="str" cm="1">
        <f t="array" ref="Q630:R630">_xlfn.TEXTSPLIT(E630," ")</f>
        <v>27.10.2023</v>
      </c>
      <c r="R630" t="str">
        <v>10:29:00</v>
      </c>
      <c r="S630">
        <f t="shared" si="153"/>
        <v>10.450000000000099</v>
      </c>
      <c r="T630">
        <f t="shared" si="144"/>
        <v>5.8900000000000006</v>
      </c>
      <c r="U630">
        <f t="shared" si="147"/>
        <v>0</v>
      </c>
      <c r="V630">
        <f t="shared" si="141"/>
        <v>0.50750000000000017</v>
      </c>
      <c r="AC630" t="s">
        <v>1777</v>
      </c>
      <c r="AD630">
        <v>0</v>
      </c>
      <c r="AE630">
        <v>7.23</v>
      </c>
      <c r="AG630" t="str" cm="1">
        <f t="array" ref="AG630:AH630">_xlfn.TEXTSPLIT(AC631," ")</f>
        <v>26.10.2023</v>
      </c>
      <c r="AH630" t="str">
        <v>10:29:59</v>
      </c>
      <c r="AI630">
        <f t="shared" si="154"/>
        <v>10.450000000000099</v>
      </c>
      <c r="AJ630">
        <f t="shared" si="148"/>
        <v>2.7</v>
      </c>
      <c r="AK630">
        <f t="shared" si="149"/>
        <v>0</v>
      </c>
      <c r="AL630">
        <f t="shared" si="142"/>
        <v>0.3775</v>
      </c>
      <c r="AN630" t="s">
        <v>1777</v>
      </c>
      <c r="AO630">
        <v>0</v>
      </c>
      <c r="AP630">
        <v>68.88</v>
      </c>
      <c r="AR630" t="str" cm="1">
        <f t="array" ref="AR630:AS630">_xlfn.TEXTSPLIT(AN630," ")</f>
        <v>26.10.2023</v>
      </c>
      <c r="AS630" t="str">
        <v>10:28:58</v>
      </c>
      <c r="AT630">
        <f t="shared" si="155"/>
        <v>10.450000000000099</v>
      </c>
      <c r="AU630">
        <f t="shared" si="150"/>
        <v>7.5699999999999932</v>
      </c>
      <c r="AV630">
        <f t="shared" si="151"/>
        <v>0</v>
      </c>
      <c r="AW630">
        <f t="shared" si="143"/>
        <v>0.69749999999999979</v>
      </c>
    </row>
    <row r="631" spans="1:49" x14ac:dyDescent="0.25">
      <c r="A631" t="s">
        <v>1778</v>
      </c>
      <c r="B631">
        <v>0</v>
      </c>
      <c r="C631">
        <v>17.86</v>
      </c>
      <c r="E631" t="s">
        <v>1778</v>
      </c>
      <c r="F631">
        <v>0</v>
      </c>
      <c r="G631">
        <v>84.49</v>
      </c>
      <c r="I631" t="str" cm="1">
        <f t="array" ref="I631:J631">_xlfn.TEXTSPLIT(A631," ")</f>
        <v>27.10.2023</v>
      </c>
      <c r="J631" t="str">
        <v>10:30:00</v>
      </c>
      <c r="K631">
        <f t="shared" si="152"/>
        <v>10.466666666666766</v>
      </c>
      <c r="L631">
        <f t="shared" si="145"/>
        <v>3.5399999999999991</v>
      </c>
      <c r="M631">
        <f t="shared" si="146"/>
        <v>0</v>
      </c>
      <c r="N631">
        <f t="shared" si="140"/>
        <v>0.26750000000000002</v>
      </c>
      <c r="Q631" t="str" cm="1">
        <f t="array" ref="Q631:R631">_xlfn.TEXTSPLIT(E631," ")</f>
        <v>27.10.2023</v>
      </c>
      <c r="R631" t="str">
        <v>10:30:00</v>
      </c>
      <c r="S631">
        <f t="shared" si="153"/>
        <v>10.466666666666766</v>
      </c>
      <c r="T631">
        <f t="shared" si="144"/>
        <v>5.8900000000000006</v>
      </c>
      <c r="U631">
        <f t="shared" si="147"/>
        <v>0</v>
      </c>
      <c r="V631">
        <f t="shared" si="141"/>
        <v>0.50750000000000017</v>
      </c>
      <c r="AC631" t="s">
        <v>1779</v>
      </c>
      <c r="AD631">
        <v>0</v>
      </c>
      <c r="AE631">
        <v>7.23</v>
      </c>
      <c r="AG631" t="str" cm="1">
        <f t="array" ref="AG631:AH631">_xlfn.TEXTSPLIT(AC632," ")</f>
        <v>26.10.2023</v>
      </c>
      <c r="AH631" t="str">
        <v>10:30:59</v>
      </c>
      <c r="AI631">
        <f t="shared" si="154"/>
        <v>10.466666666666766</v>
      </c>
      <c r="AJ631">
        <f t="shared" si="148"/>
        <v>2.7</v>
      </c>
      <c r="AK631">
        <f t="shared" si="149"/>
        <v>0</v>
      </c>
      <c r="AL631">
        <f t="shared" si="142"/>
        <v>0.3775</v>
      </c>
      <c r="AN631" t="s">
        <v>1779</v>
      </c>
      <c r="AO631">
        <v>0.15</v>
      </c>
      <c r="AP631">
        <v>68.88</v>
      </c>
      <c r="AR631" t="str" cm="1">
        <f t="array" ref="AR631:AS631">_xlfn.TEXTSPLIT(AN631," ")</f>
        <v>26.10.2023</v>
      </c>
      <c r="AS631" t="str">
        <v>10:29:59</v>
      </c>
      <c r="AT631">
        <f t="shared" si="155"/>
        <v>10.466666666666766</v>
      </c>
      <c r="AU631">
        <f t="shared" si="150"/>
        <v>7.5699999999999932</v>
      </c>
      <c r="AV631">
        <f t="shared" si="151"/>
        <v>0.15</v>
      </c>
      <c r="AW631">
        <f t="shared" si="143"/>
        <v>0.69749999999999968</v>
      </c>
    </row>
    <row r="632" spans="1:49" x14ac:dyDescent="0.25">
      <c r="A632" t="s">
        <v>1780</v>
      </c>
      <c r="B632">
        <v>0</v>
      </c>
      <c r="C632">
        <v>17.86</v>
      </c>
      <c r="E632" t="s">
        <v>1780</v>
      </c>
      <c r="F632">
        <v>0</v>
      </c>
      <c r="G632">
        <v>84.49</v>
      </c>
      <c r="I632" t="str" cm="1">
        <f t="array" ref="I632:J632">_xlfn.TEXTSPLIT(A632," ")</f>
        <v>27.10.2023</v>
      </c>
      <c r="J632" t="str">
        <v>10:31:00</v>
      </c>
      <c r="K632">
        <f t="shared" si="152"/>
        <v>10.483333333333434</v>
      </c>
      <c r="L632">
        <f t="shared" si="145"/>
        <v>3.5399999999999991</v>
      </c>
      <c r="M632">
        <f t="shared" si="146"/>
        <v>0</v>
      </c>
      <c r="N632">
        <f t="shared" si="140"/>
        <v>0.26750000000000002</v>
      </c>
      <c r="Q632" t="str" cm="1">
        <f t="array" ref="Q632:R632">_xlfn.TEXTSPLIT(E632," ")</f>
        <v>27.10.2023</v>
      </c>
      <c r="R632" t="str">
        <v>10:31:00</v>
      </c>
      <c r="S632">
        <f t="shared" si="153"/>
        <v>10.483333333333434</v>
      </c>
      <c r="T632">
        <f t="shared" si="144"/>
        <v>5.8900000000000006</v>
      </c>
      <c r="U632">
        <f t="shared" si="147"/>
        <v>0</v>
      </c>
      <c r="V632">
        <f t="shared" si="141"/>
        <v>0.50500000000000012</v>
      </c>
      <c r="AC632" t="s">
        <v>1781</v>
      </c>
      <c r="AD632">
        <v>0</v>
      </c>
      <c r="AE632">
        <v>7.23</v>
      </c>
      <c r="AG632" t="str" cm="1">
        <f t="array" ref="AG632:AH632">_xlfn.TEXTSPLIT(AC633," ")</f>
        <v>26.10.2023</v>
      </c>
      <c r="AH632" t="str">
        <v>10:31:59</v>
      </c>
      <c r="AI632">
        <f t="shared" si="154"/>
        <v>10.483333333333434</v>
      </c>
      <c r="AJ632">
        <f t="shared" si="148"/>
        <v>2.7</v>
      </c>
      <c r="AK632">
        <f t="shared" si="149"/>
        <v>0</v>
      </c>
      <c r="AL632">
        <f t="shared" si="142"/>
        <v>0.3775</v>
      </c>
      <c r="AN632" t="s">
        <v>1781</v>
      </c>
      <c r="AO632">
        <v>0.3</v>
      </c>
      <c r="AP632">
        <v>68.89</v>
      </c>
      <c r="AR632" t="str" cm="1">
        <f t="array" ref="AR632:AS632">_xlfn.TEXTSPLIT(AN632," ")</f>
        <v>26.10.2023</v>
      </c>
      <c r="AS632" t="str">
        <v>10:30:59</v>
      </c>
      <c r="AT632">
        <f t="shared" si="155"/>
        <v>10.483333333333434</v>
      </c>
      <c r="AU632">
        <f t="shared" si="150"/>
        <v>7.5799999999999983</v>
      </c>
      <c r="AV632">
        <f t="shared" si="151"/>
        <v>0.3</v>
      </c>
      <c r="AW632">
        <f t="shared" si="143"/>
        <v>0.69999999999999962</v>
      </c>
    </row>
    <row r="633" spans="1:49" x14ac:dyDescent="0.25">
      <c r="A633" t="s">
        <v>1782</v>
      </c>
      <c r="B633">
        <v>0</v>
      </c>
      <c r="C633">
        <v>17.86</v>
      </c>
      <c r="E633" t="s">
        <v>1782</v>
      </c>
      <c r="F633">
        <v>0</v>
      </c>
      <c r="G633">
        <v>84.5</v>
      </c>
      <c r="I633" t="str" cm="1">
        <f t="array" ref="I633:J633">_xlfn.TEXTSPLIT(A633," ")</f>
        <v>27.10.2023</v>
      </c>
      <c r="J633" t="str">
        <v>10:32:00</v>
      </c>
      <c r="K633">
        <f t="shared" si="152"/>
        <v>10.500000000000101</v>
      </c>
      <c r="L633">
        <f t="shared" si="145"/>
        <v>3.5399999999999991</v>
      </c>
      <c r="M633">
        <f t="shared" si="146"/>
        <v>0</v>
      </c>
      <c r="N633">
        <f t="shared" si="140"/>
        <v>0.26750000000000002</v>
      </c>
      <c r="Q633" t="str" cm="1">
        <f t="array" ref="Q633:R633">_xlfn.TEXTSPLIT(E633," ")</f>
        <v>27.10.2023</v>
      </c>
      <c r="R633" t="str">
        <v>10:32:00</v>
      </c>
      <c r="S633">
        <f t="shared" si="153"/>
        <v>10.500000000000101</v>
      </c>
      <c r="T633">
        <f t="shared" si="144"/>
        <v>5.9000000000000057</v>
      </c>
      <c r="U633">
        <f t="shared" si="147"/>
        <v>0</v>
      </c>
      <c r="V633">
        <f t="shared" si="141"/>
        <v>0.50250000000000017</v>
      </c>
      <c r="AC633" t="s">
        <v>1783</v>
      </c>
      <c r="AD633">
        <v>0</v>
      </c>
      <c r="AE633">
        <v>7.23</v>
      </c>
      <c r="AG633" t="str" cm="1">
        <f t="array" ref="AG633:AH633">_xlfn.TEXTSPLIT(AC634," ")</f>
        <v>26.10.2023</v>
      </c>
      <c r="AH633" t="str">
        <v>10:32:59</v>
      </c>
      <c r="AI633">
        <f t="shared" si="154"/>
        <v>10.500000000000101</v>
      </c>
      <c r="AJ633">
        <f t="shared" si="148"/>
        <v>2.7</v>
      </c>
      <c r="AK633">
        <f t="shared" si="149"/>
        <v>0</v>
      </c>
      <c r="AL633">
        <f t="shared" si="142"/>
        <v>0.3775</v>
      </c>
      <c r="AN633" t="s">
        <v>1783</v>
      </c>
      <c r="AO633">
        <v>0.3</v>
      </c>
      <c r="AP633">
        <v>68.89</v>
      </c>
      <c r="AR633" t="str" cm="1">
        <f t="array" ref="AR633:AS633">_xlfn.TEXTSPLIT(AN633," ")</f>
        <v>26.10.2023</v>
      </c>
      <c r="AS633" t="str">
        <v>10:31:59</v>
      </c>
      <c r="AT633">
        <f t="shared" si="155"/>
        <v>10.500000000000101</v>
      </c>
      <c r="AU633">
        <f t="shared" si="150"/>
        <v>7.5799999999999983</v>
      </c>
      <c r="AV633">
        <f t="shared" si="151"/>
        <v>0.3</v>
      </c>
      <c r="AW633">
        <f t="shared" si="143"/>
        <v>0.69999999999999951</v>
      </c>
    </row>
    <row r="634" spans="1:49" x14ac:dyDescent="0.25">
      <c r="A634" t="s">
        <v>1784</v>
      </c>
      <c r="B634">
        <v>0</v>
      </c>
      <c r="C634">
        <v>17.86</v>
      </c>
      <c r="E634" t="s">
        <v>1784</v>
      </c>
      <c r="F634">
        <v>0.45</v>
      </c>
      <c r="G634">
        <v>84.5</v>
      </c>
      <c r="I634" t="str" cm="1">
        <f t="array" ref="I634:J634">_xlfn.TEXTSPLIT(A634," ")</f>
        <v>27.10.2023</v>
      </c>
      <c r="J634" t="str">
        <v>10:33:00</v>
      </c>
      <c r="K634">
        <f t="shared" si="152"/>
        <v>10.516666666666769</v>
      </c>
      <c r="L634">
        <f t="shared" si="145"/>
        <v>3.5399999999999991</v>
      </c>
      <c r="M634">
        <f t="shared" si="146"/>
        <v>0</v>
      </c>
      <c r="N634">
        <f t="shared" si="140"/>
        <v>0.26750000000000002</v>
      </c>
      <c r="Q634" t="str" cm="1">
        <f t="array" ref="Q634:R634">_xlfn.TEXTSPLIT(E634," ")</f>
        <v>27.10.2023</v>
      </c>
      <c r="R634" t="str">
        <v>10:33:00</v>
      </c>
      <c r="S634">
        <f t="shared" si="153"/>
        <v>10.516666666666769</v>
      </c>
      <c r="T634">
        <f t="shared" si="144"/>
        <v>5.9000000000000057</v>
      </c>
      <c r="U634">
        <f t="shared" si="147"/>
        <v>0.45</v>
      </c>
      <c r="V634">
        <f t="shared" si="141"/>
        <v>0.50750000000000006</v>
      </c>
      <c r="AC634" t="s">
        <v>1785</v>
      </c>
      <c r="AD634">
        <v>0</v>
      </c>
      <c r="AE634">
        <v>7.23</v>
      </c>
      <c r="AG634" t="str" cm="1">
        <f t="array" ref="AG634:AH634">_xlfn.TEXTSPLIT(AC635," ")</f>
        <v>26.10.2023</v>
      </c>
      <c r="AH634" t="str">
        <v>10:33:59</v>
      </c>
      <c r="AI634">
        <f t="shared" si="154"/>
        <v>10.516666666666769</v>
      </c>
      <c r="AJ634">
        <f t="shared" si="148"/>
        <v>2.7</v>
      </c>
      <c r="AK634">
        <f t="shared" si="149"/>
        <v>0</v>
      </c>
      <c r="AL634">
        <f t="shared" si="142"/>
        <v>0.3775</v>
      </c>
      <c r="AN634" t="s">
        <v>1785</v>
      </c>
      <c r="AO634">
        <v>0.3</v>
      </c>
      <c r="AP634">
        <v>68.900000000000006</v>
      </c>
      <c r="AR634" t="str" cm="1">
        <f t="array" ref="AR634:AS634">_xlfn.TEXTSPLIT(AN634," ")</f>
        <v>26.10.2023</v>
      </c>
      <c r="AS634" t="str">
        <v>10:32:59</v>
      </c>
      <c r="AT634">
        <f t="shared" si="155"/>
        <v>10.516666666666769</v>
      </c>
      <c r="AU634">
        <f t="shared" si="150"/>
        <v>7.5900000000000034</v>
      </c>
      <c r="AV634">
        <f t="shared" si="151"/>
        <v>0.3</v>
      </c>
      <c r="AW634">
        <f t="shared" si="143"/>
        <v>0.69749999999999956</v>
      </c>
    </row>
    <row r="635" spans="1:49" x14ac:dyDescent="0.25">
      <c r="A635" t="s">
        <v>1786</v>
      </c>
      <c r="B635">
        <v>0</v>
      </c>
      <c r="C635">
        <v>17.86</v>
      </c>
      <c r="E635" t="s">
        <v>1786</v>
      </c>
      <c r="F635">
        <v>0</v>
      </c>
      <c r="G635">
        <v>84.5</v>
      </c>
      <c r="I635" t="str" cm="1">
        <f t="array" ref="I635:J635">_xlfn.TEXTSPLIT(A635," ")</f>
        <v>27.10.2023</v>
      </c>
      <c r="J635" t="str">
        <v>10:34:01</v>
      </c>
      <c r="K635">
        <f t="shared" si="152"/>
        <v>10.533333333333436</v>
      </c>
      <c r="L635">
        <f t="shared" si="145"/>
        <v>3.5399999999999991</v>
      </c>
      <c r="M635">
        <f t="shared" si="146"/>
        <v>0</v>
      </c>
      <c r="N635">
        <f t="shared" si="140"/>
        <v>0.26750000000000002</v>
      </c>
      <c r="Q635" t="str" cm="1">
        <f t="array" ref="Q635:R635">_xlfn.TEXTSPLIT(E635," ")</f>
        <v>27.10.2023</v>
      </c>
      <c r="R635" t="str">
        <v>10:34:01</v>
      </c>
      <c r="S635">
        <f t="shared" si="153"/>
        <v>10.533333333333436</v>
      </c>
      <c r="T635">
        <f t="shared" si="144"/>
        <v>5.9000000000000057</v>
      </c>
      <c r="U635">
        <f t="shared" si="147"/>
        <v>0</v>
      </c>
      <c r="V635">
        <f t="shared" si="141"/>
        <v>0.50250000000000006</v>
      </c>
      <c r="AC635" t="s">
        <v>1787</v>
      </c>
      <c r="AD635">
        <v>0</v>
      </c>
      <c r="AE635">
        <v>7.23</v>
      </c>
      <c r="AG635" t="str" cm="1">
        <f t="array" ref="AG635:AH635">_xlfn.TEXTSPLIT(AC636," ")</f>
        <v>26.10.2023</v>
      </c>
      <c r="AH635" t="str">
        <v>10:34:59</v>
      </c>
      <c r="AI635">
        <f t="shared" si="154"/>
        <v>10.533333333333436</v>
      </c>
      <c r="AJ635">
        <f t="shared" si="148"/>
        <v>2.7</v>
      </c>
      <c r="AK635">
        <f t="shared" si="149"/>
        <v>0</v>
      </c>
      <c r="AL635">
        <f t="shared" si="142"/>
        <v>0.3775</v>
      </c>
      <c r="AN635" t="s">
        <v>1787</v>
      </c>
      <c r="AO635">
        <v>0.3</v>
      </c>
      <c r="AP635">
        <v>68.900000000000006</v>
      </c>
      <c r="AR635" t="str" cm="1">
        <f t="array" ref="AR635:AS635">_xlfn.TEXTSPLIT(AN635," ")</f>
        <v>26.10.2023</v>
      </c>
      <c r="AS635" t="str">
        <v>10:33:59</v>
      </c>
      <c r="AT635">
        <f t="shared" si="155"/>
        <v>10.533333333333436</v>
      </c>
      <c r="AU635">
        <f t="shared" si="150"/>
        <v>7.5900000000000034</v>
      </c>
      <c r="AV635">
        <f t="shared" si="151"/>
        <v>0.3</v>
      </c>
      <c r="AW635">
        <f t="shared" si="143"/>
        <v>0.69749999999999945</v>
      </c>
    </row>
    <row r="636" spans="1:49" x14ac:dyDescent="0.25">
      <c r="A636" t="s">
        <v>1788</v>
      </c>
      <c r="B636">
        <v>0</v>
      </c>
      <c r="C636">
        <v>17.86</v>
      </c>
      <c r="E636" t="s">
        <v>1788</v>
      </c>
      <c r="F636">
        <v>0</v>
      </c>
      <c r="G636">
        <v>84.5</v>
      </c>
      <c r="I636" t="str" cm="1">
        <f t="array" ref="I636:J636">_xlfn.TEXTSPLIT(A636," ")</f>
        <v>27.10.2023</v>
      </c>
      <c r="J636" t="str">
        <v>10:35:01</v>
      </c>
      <c r="K636">
        <f t="shared" si="152"/>
        <v>10.550000000000104</v>
      </c>
      <c r="L636">
        <f t="shared" si="145"/>
        <v>3.5399999999999991</v>
      </c>
      <c r="M636">
        <f t="shared" si="146"/>
        <v>0</v>
      </c>
      <c r="N636">
        <f t="shared" si="140"/>
        <v>0.26750000000000002</v>
      </c>
      <c r="Q636" t="str" cm="1">
        <f t="array" ref="Q636:R636">_xlfn.TEXTSPLIT(E636," ")</f>
        <v>27.10.2023</v>
      </c>
      <c r="R636" t="str">
        <v>10:35:01</v>
      </c>
      <c r="S636">
        <f t="shared" si="153"/>
        <v>10.550000000000104</v>
      </c>
      <c r="T636">
        <f t="shared" si="144"/>
        <v>5.9000000000000057</v>
      </c>
      <c r="U636">
        <f t="shared" si="147"/>
        <v>0</v>
      </c>
      <c r="V636">
        <f t="shared" si="141"/>
        <v>0.49750000000000011</v>
      </c>
      <c r="AC636" t="s">
        <v>1789</v>
      </c>
      <c r="AD636">
        <v>0</v>
      </c>
      <c r="AE636">
        <v>7.23</v>
      </c>
      <c r="AG636" t="str" cm="1">
        <f t="array" ref="AG636:AH636">_xlfn.TEXTSPLIT(AC637," ")</f>
        <v>26.10.2023</v>
      </c>
      <c r="AH636" t="str">
        <v>10:35:59</v>
      </c>
      <c r="AI636">
        <f t="shared" si="154"/>
        <v>10.550000000000104</v>
      </c>
      <c r="AJ636">
        <f t="shared" si="148"/>
        <v>2.7</v>
      </c>
      <c r="AK636">
        <f t="shared" si="149"/>
        <v>0</v>
      </c>
      <c r="AL636">
        <f t="shared" si="142"/>
        <v>0.3775</v>
      </c>
      <c r="AN636" t="s">
        <v>1789</v>
      </c>
      <c r="AO636">
        <v>0.3</v>
      </c>
      <c r="AP636">
        <v>68.91</v>
      </c>
      <c r="AR636" t="str" cm="1">
        <f t="array" ref="AR636:AS636">_xlfn.TEXTSPLIT(AN636," ")</f>
        <v>26.10.2023</v>
      </c>
      <c r="AS636" t="str">
        <v>10:34:59</v>
      </c>
      <c r="AT636">
        <f t="shared" si="155"/>
        <v>10.550000000000104</v>
      </c>
      <c r="AU636">
        <f t="shared" si="150"/>
        <v>7.5999999999999943</v>
      </c>
      <c r="AV636">
        <f t="shared" si="151"/>
        <v>0.3</v>
      </c>
      <c r="AW636">
        <f t="shared" si="143"/>
        <v>0.69249999999999945</v>
      </c>
    </row>
    <row r="637" spans="1:49" x14ac:dyDescent="0.25">
      <c r="A637" t="s">
        <v>1790</v>
      </c>
      <c r="B637">
        <v>0</v>
      </c>
      <c r="C637">
        <v>17.86</v>
      </c>
      <c r="E637" t="s">
        <v>1790</v>
      </c>
      <c r="F637">
        <v>0.9</v>
      </c>
      <c r="G637">
        <v>84.52</v>
      </c>
      <c r="I637" t="str" cm="1">
        <f t="array" ref="I637:J637">_xlfn.TEXTSPLIT(A637," ")</f>
        <v>27.10.2023</v>
      </c>
      <c r="J637" t="str">
        <v>10:36:01</v>
      </c>
      <c r="K637">
        <f t="shared" si="152"/>
        <v>10.566666666666771</v>
      </c>
      <c r="L637">
        <f t="shared" si="145"/>
        <v>3.5399999999999991</v>
      </c>
      <c r="M637">
        <f t="shared" si="146"/>
        <v>0</v>
      </c>
      <c r="N637">
        <f t="shared" si="140"/>
        <v>0.26750000000000002</v>
      </c>
      <c r="Q637" t="str" cm="1">
        <f t="array" ref="Q637:R637">_xlfn.TEXTSPLIT(E637," ")</f>
        <v>27.10.2023</v>
      </c>
      <c r="R637" t="str">
        <v>10:36:01</v>
      </c>
      <c r="S637">
        <f t="shared" si="153"/>
        <v>10.566666666666771</v>
      </c>
      <c r="T637">
        <f t="shared" si="144"/>
        <v>5.9200000000000017</v>
      </c>
      <c r="U637">
        <f t="shared" si="147"/>
        <v>0.9</v>
      </c>
      <c r="V637">
        <f t="shared" si="141"/>
        <v>0.50750000000000006</v>
      </c>
      <c r="AC637" t="s">
        <v>1791</v>
      </c>
      <c r="AD637">
        <v>0</v>
      </c>
      <c r="AE637">
        <v>7.23</v>
      </c>
      <c r="AG637" t="str" cm="1">
        <f t="array" ref="AG637:AH637">_xlfn.TEXTSPLIT(AC638," ")</f>
        <v>26.10.2023</v>
      </c>
      <c r="AH637" t="str">
        <v>10:37:00</v>
      </c>
      <c r="AI637">
        <f t="shared" si="154"/>
        <v>10.566666666666771</v>
      </c>
      <c r="AJ637">
        <f t="shared" si="148"/>
        <v>2.7</v>
      </c>
      <c r="AK637">
        <f t="shared" si="149"/>
        <v>0</v>
      </c>
      <c r="AL637">
        <f t="shared" si="142"/>
        <v>0.3775</v>
      </c>
      <c r="AN637" t="s">
        <v>1791</v>
      </c>
      <c r="AO637">
        <v>0.3</v>
      </c>
      <c r="AP637">
        <v>68.91</v>
      </c>
      <c r="AR637" t="str" cm="1">
        <f t="array" ref="AR637:AS637">_xlfn.TEXTSPLIT(AN637," ")</f>
        <v>26.10.2023</v>
      </c>
      <c r="AS637" t="str">
        <v>10:35:59</v>
      </c>
      <c r="AT637">
        <f t="shared" si="155"/>
        <v>10.566666666666771</v>
      </c>
      <c r="AU637">
        <f t="shared" si="150"/>
        <v>7.5999999999999943</v>
      </c>
      <c r="AV637">
        <f t="shared" si="151"/>
        <v>0.3</v>
      </c>
      <c r="AW637">
        <f t="shared" si="143"/>
        <v>0.68999999999999939</v>
      </c>
    </row>
    <row r="638" spans="1:49" x14ac:dyDescent="0.25">
      <c r="A638" t="s">
        <v>1792</v>
      </c>
      <c r="B638">
        <v>0</v>
      </c>
      <c r="C638">
        <v>17.86</v>
      </c>
      <c r="E638" t="s">
        <v>1792</v>
      </c>
      <c r="F638">
        <v>1.65</v>
      </c>
      <c r="G638">
        <v>84.54</v>
      </c>
      <c r="I638" t="str" cm="1">
        <f t="array" ref="I638:J638">_xlfn.TEXTSPLIT(A638," ")</f>
        <v>27.10.2023</v>
      </c>
      <c r="J638" t="str">
        <v>10:37:01</v>
      </c>
      <c r="K638">
        <f t="shared" si="152"/>
        <v>10.583333333333439</v>
      </c>
      <c r="L638">
        <f t="shared" si="145"/>
        <v>3.5399999999999991</v>
      </c>
      <c r="M638">
        <f t="shared" si="146"/>
        <v>0</v>
      </c>
      <c r="N638">
        <f t="shared" si="140"/>
        <v>0.26750000000000002</v>
      </c>
      <c r="Q638" t="str" cm="1">
        <f t="array" ref="Q638:R638">_xlfn.TEXTSPLIT(E638," ")</f>
        <v>27.10.2023</v>
      </c>
      <c r="R638" t="str">
        <v>10:37:01</v>
      </c>
      <c r="S638">
        <f t="shared" si="153"/>
        <v>10.583333333333439</v>
      </c>
      <c r="T638">
        <f t="shared" si="144"/>
        <v>5.9400000000000119</v>
      </c>
      <c r="U638">
        <f t="shared" si="147"/>
        <v>1.65</v>
      </c>
      <c r="V638">
        <f t="shared" si="141"/>
        <v>0.51500000000000001</v>
      </c>
      <c r="AC638" t="s">
        <v>1793</v>
      </c>
      <c r="AD638">
        <v>0</v>
      </c>
      <c r="AE638">
        <v>7.23</v>
      </c>
      <c r="AG638" t="str" cm="1">
        <f t="array" ref="AG638:AH638">_xlfn.TEXTSPLIT(AC639," ")</f>
        <v>26.10.2023</v>
      </c>
      <c r="AH638" t="str">
        <v>10:38:00</v>
      </c>
      <c r="AI638">
        <f t="shared" si="154"/>
        <v>10.583333333333439</v>
      </c>
      <c r="AJ638">
        <f t="shared" si="148"/>
        <v>2.7</v>
      </c>
      <c r="AK638">
        <f t="shared" si="149"/>
        <v>0</v>
      </c>
      <c r="AL638">
        <f t="shared" si="142"/>
        <v>0.3775</v>
      </c>
      <c r="AN638" t="s">
        <v>1793</v>
      </c>
      <c r="AO638">
        <v>0.3</v>
      </c>
      <c r="AP638">
        <v>68.930000000000007</v>
      </c>
      <c r="AR638" t="str" cm="1">
        <f t="array" ref="AR638:AS638">_xlfn.TEXTSPLIT(AN638," ")</f>
        <v>26.10.2023</v>
      </c>
      <c r="AS638" t="str">
        <v>10:37:00</v>
      </c>
      <c r="AT638">
        <f t="shared" si="155"/>
        <v>10.583333333333439</v>
      </c>
      <c r="AU638">
        <f t="shared" si="150"/>
        <v>7.6200000000000045</v>
      </c>
      <c r="AV638">
        <f t="shared" si="151"/>
        <v>0.3</v>
      </c>
      <c r="AW638">
        <f t="shared" si="143"/>
        <v>0.68749999999999944</v>
      </c>
    </row>
    <row r="639" spans="1:49" x14ac:dyDescent="0.25">
      <c r="A639" t="s">
        <v>1794</v>
      </c>
      <c r="B639">
        <v>0.45</v>
      </c>
      <c r="C639">
        <v>17.87</v>
      </c>
      <c r="E639" t="s">
        <v>1794</v>
      </c>
      <c r="F639">
        <v>1.35</v>
      </c>
      <c r="G639">
        <v>84.57</v>
      </c>
      <c r="I639" t="str" cm="1">
        <f t="array" ref="I639:J639">_xlfn.TEXTSPLIT(A639," ")</f>
        <v>27.10.2023</v>
      </c>
      <c r="J639" t="str">
        <v>10:38:01</v>
      </c>
      <c r="K639">
        <f t="shared" si="152"/>
        <v>10.600000000000106</v>
      </c>
      <c r="L639">
        <f t="shared" si="145"/>
        <v>3.5500000000000007</v>
      </c>
      <c r="M639">
        <f t="shared" si="146"/>
        <v>0.45</v>
      </c>
      <c r="N639">
        <f t="shared" ref="N639:N702" si="156">AVERAGE(M580:M639)</f>
        <v>0.27500000000000002</v>
      </c>
      <c r="Q639" t="str" cm="1">
        <f t="array" ref="Q639:R639">_xlfn.TEXTSPLIT(E639," ")</f>
        <v>27.10.2023</v>
      </c>
      <c r="R639" t="str">
        <v>10:38:01</v>
      </c>
      <c r="S639">
        <f t="shared" si="153"/>
        <v>10.600000000000106</v>
      </c>
      <c r="T639">
        <f t="shared" si="144"/>
        <v>5.9699999999999989</v>
      </c>
      <c r="U639">
        <f t="shared" si="147"/>
        <v>1.35</v>
      </c>
      <c r="V639">
        <f t="shared" ref="V639:V702" si="157">AVERAGE(U580:U639)</f>
        <v>0.51500000000000001</v>
      </c>
      <c r="AC639" t="s">
        <v>1795</v>
      </c>
      <c r="AD639">
        <v>0.3</v>
      </c>
      <c r="AE639">
        <v>7.24</v>
      </c>
      <c r="AG639" t="str" cm="1">
        <f t="array" ref="AG639:AH639">_xlfn.TEXTSPLIT(AC640," ")</f>
        <v>26.10.2023</v>
      </c>
      <c r="AH639" t="str">
        <v>10:39:00</v>
      </c>
      <c r="AI639">
        <f t="shared" si="154"/>
        <v>10.600000000000106</v>
      </c>
      <c r="AJ639">
        <f t="shared" si="148"/>
        <v>2.71</v>
      </c>
      <c r="AK639">
        <f t="shared" si="149"/>
        <v>0.3</v>
      </c>
      <c r="AL639">
        <f t="shared" ref="AL639:AL702" si="158">AVERAGE(AK580:AK639)</f>
        <v>0.38250000000000001</v>
      </c>
      <c r="AN639" t="s">
        <v>1795</v>
      </c>
      <c r="AO639">
        <v>1.35</v>
      </c>
      <c r="AP639">
        <v>68.98</v>
      </c>
      <c r="AR639" t="str" cm="1">
        <f t="array" ref="AR639:AS639">_xlfn.TEXTSPLIT(AN639," ")</f>
        <v>26.10.2023</v>
      </c>
      <c r="AS639" t="str">
        <v>10:38:00</v>
      </c>
      <c r="AT639">
        <f t="shared" si="155"/>
        <v>10.600000000000106</v>
      </c>
      <c r="AU639">
        <f t="shared" si="150"/>
        <v>7.6700000000000017</v>
      </c>
      <c r="AV639">
        <f t="shared" si="151"/>
        <v>1.35</v>
      </c>
      <c r="AW639">
        <f t="shared" ref="AW639:AW702" si="159">AVERAGE(AV580:AV639)</f>
        <v>0.67749999999999955</v>
      </c>
    </row>
    <row r="640" spans="1:49" x14ac:dyDescent="0.25">
      <c r="A640" t="s">
        <v>1796</v>
      </c>
      <c r="B640">
        <v>0.45</v>
      </c>
      <c r="C640">
        <v>17.899999999999999</v>
      </c>
      <c r="E640" t="s">
        <v>1796</v>
      </c>
      <c r="F640">
        <v>1.2</v>
      </c>
      <c r="G640">
        <v>84.59</v>
      </c>
      <c r="I640" t="str" cm="1">
        <f t="array" ref="I640:J640">_xlfn.TEXTSPLIT(A640," ")</f>
        <v>27.10.2023</v>
      </c>
      <c r="J640" t="str">
        <v>10:39:01</v>
      </c>
      <c r="K640">
        <f t="shared" si="152"/>
        <v>10.616666666666774</v>
      </c>
      <c r="L640">
        <f t="shared" si="145"/>
        <v>3.5799999999999983</v>
      </c>
      <c r="M640">
        <f t="shared" si="146"/>
        <v>0.45</v>
      </c>
      <c r="N640">
        <f t="shared" si="156"/>
        <v>0.26750000000000002</v>
      </c>
      <c r="Q640" t="str" cm="1">
        <f t="array" ref="Q640:R640">_xlfn.TEXTSPLIT(E640," ")</f>
        <v>27.10.2023</v>
      </c>
      <c r="R640" t="str">
        <v>10:39:01</v>
      </c>
      <c r="S640">
        <f t="shared" si="153"/>
        <v>10.616666666666774</v>
      </c>
      <c r="T640">
        <f t="shared" si="144"/>
        <v>5.9900000000000091</v>
      </c>
      <c r="U640">
        <f t="shared" si="147"/>
        <v>1.2</v>
      </c>
      <c r="V640">
        <f t="shared" si="157"/>
        <v>0.51</v>
      </c>
      <c r="AC640" t="s">
        <v>1797</v>
      </c>
      <c r="AD640">
        <v>0.15</v>
      </c>
      <c r="AE640">
        <v>7.26</v>
      </c>
      <c r="AG640" t="str" cm="1">
        <f t="array" ref="AG640:AH640">_xlfn.TEXTSPLIT(AC641," ")</f>
        <v>26.10.2023</v>
      </c>
      <c r="AH640" t="str">
        <v>10:40:00</v>
      </c>
      <c r="AI640">
        <f t="shared" si="154"/>
        <v>10.616666666666774</v>
      </c>
      <c r="AJ640">
        <f t="shared" si="148"/>
        <v>2.7299999999999995</v>
      </c>
      <c r="AK640">
        <f t="shared" si="149"/>
        <v>0.15</v>
      </c>
      <c r="AL640">
        <f t="shared" si="158"/>
        <v>0.38499999999999995</v>
      </c>
      <c r="AN640" t="s">
        <v>1797</v>
      </c>
      <c r="AO640">
        <v>2.85</v>
      </c>
      <c r="AP640">
        <v>69.010000000000005</v>
      </c>
      <c r="AR640" t="str" cm="1">
        <f t="array" ref="AR640:AS640">_xlfn.TEXTSPLIT(AN640," ")</f>
        <v>26.10.2023</v>
      </c>
      <c r="AS640" t="str">
        <v>10:39:00</v>
      </c>
      <c r="AT640">
        <f t="shared" si="155"/>
        <v>10.616666666666774</v>
      </c>
      <c r="AU640">
        <f t="shared" si="150"/>
        <v>7.7000000000000028</v>
      </c>
      <c r="AV640">
        <f t="shared" si="151"/>
        <v>2.85</v>
      </c>
      <c r="AW640">
        <f t="shared" si="159"/>
        <v>0.69749999999999968</v>
      </c>
    </row>
    <row r="641" spans="1:49" x14ac:dyDescent="0.25">
      <c r="A641" t="s">
        <v>1798</v>
      </c>
      <c r="B641">
        <v>2.1</v>
      </c>
      <c r="C641">
        <v>17.93</v>
      </c>
      <c r="E641" t="s">
        <v>1798</v>
      </c>
      <c r="F641">
        <v>0.9</v>
      </c>
      <c r="G641">
        <v>84.6</v>
      </c>
      <c r="I641" t="str" cm="1">
        <f t="array" ref="I641:J641">_xlfn.TEXTSPLIT(A641," ")</f>
        <v>27.10.2023</v>
      </c>
      <c r="J641" t="str">
        <v>10:40:01</v>
      </c>
      <c r="K641">
        <f t="shared" si="152"/>
        <v>10.633333333333441</v>
      </c>
      <c r="L641">
        <f t="shared" si="145"/>
        <v>3.6099999999999994</v>
      </c>
      <c r="M641">
        <f t="shared" si="146"/>
        <v>2.1</v>
      </c>
      <c r="N641">
        <f t="shared" si="156"/>
        <v>0.26999999999999996</v>
      </c>
      <c r="Q641" t="str" cm="1">
        <f t="array" ref="Q641:R641">_xlfn.TEXTSPLIT(E641," ")</f>
        <v>27.10.2023</v>
      </c>
      <c r="R641" t="str">
        <v>10:40:01</v>
      </c>
      <c r="S641">
        <f t="shared" si="153"/>
        <v>10.633333333333441</v>
      </c>
      <c r="T641">
        <f t="shared" si="144"/>
        <v>6</v>
      </c>
      <c r="U641">
        <f t="shared" si="147"/>
        <v>0.9</v>
      </c>
      <c r="V641">
        <f t="shared" si="157"/>
        <v>0.505</v>
      </c>
      <c r="AC641" t="s">
        <v>1799</v>
      </c>
      <c r="AD641">
        <v>1.5</v>
      </c>
      <c r="AE641">
        <v>7.28</v>
      </c>
      <c r="AG641" t="str" cm="1">
        <f t="array" ref="AG641:AH641">_xlfn.TEXTSPLIT(AC642," ")</f>
        <v>26.10.2023</v>
      </c>
      <c r="AH641" t="str">
        <v>10:41:00</v>
      </c>
      <c r="AI641">
        <f t="shared" si="154"/>
        <v>10.633333333333441</v>
      </c>
      <c r="AJ641">
        <f t="shared" si="148"/>
        <v>2.75</v>
      </c>
      <c r="AK641">
        <f t="shared" si="149"/>
        <v>1.5</v>
      </c>
      <c r="AL641">
        <f t="shared" si="158"/>
        <v>0.39249999999999996</v>
      </c>
      <c r="AN641" t="s">
        <v>1799</v>
      </c>
      <c r="AO641">
        <v>1.8</v>
      </c>
      <c r="AP641">
        <v>69.040000000000006</v>
      </c>
      <c r="AR641" t="str" cm="1">
        <f t="array" ref="AR641:AS641">_xlfn.TEXTSPLIT(AN641," ")</f>
        <v>26.10.2023</v>
      </c>
      <c r="AS641" t="str">
        <v>10:40:00</v>
      </c>
      <c r="AT641">
        <f t="shared" si="155"/>
        <v>10.633333333333441</v>
      </c>
      <c r="AU641">
        <f t="shared" si="150"/>
        <v>7.730000000000004</v>
      </c>
      <c r="AV641">
        <f t="shared" si="151"/>
        <v>1.8</v>
      </c>
      <c r="AW641">
        <f t="shared" si="159"/>
        <v>0.69499999999999973</v>
      </c>
    </row>
    <row r="642" spans="1:49" x14ac:dyDescent="0.25">
      <c r="A642" t="s">
        <v>1800</v>
      </c>
      <c r="B642">
        <v>1.65</v>
      </c>
      <c r="C642">
        <v>17.940000000000001</v>
      </c>
      <c r="E642" t="s">
        <v>1800</v>
      </c>
      <c r="F642">
        <v>1.2</v>
      </c>
      <c r="G642">
        <v>84.62</v>
      </c>
      <c r="I642" t="str" cm="1">
        <f t="array" ref="I642:J642">_xlfn.TEXTSPLIT(A642," ")</f>
        <v>27.10.2023</v>
      </c>
      <c r="J642" t="str">
        <v>10:41:01</v>
      </c>
      <c r="K642">
        <f t="shared" si="152"/>
        <v>10.650000000000109</v>
      </c>
      <c r="L642">
        <f t="shared" si="145"/>
        <v>3.620000000000001</v>
      </c>
      <c r="M642">
        <f t="shared" si="146"/>
        <v>1.65</v>
      </c>
      <c r="N642">
        <f t="shared" si="156"/>
        <v>0.27999999999999997</v>
      </c>
      <c r="Q642" t="str" cm="1">
        <f t="array" ref="Q642:R642">_xlfn.TEXTSPLIT(E642," ")</f>
        <v>27.10.2023</v>
      </c>
      <c r="R642" t="str">
        <v>10:41:01</v>
      </c>
      <c r="S642">
        <f t="shared" si="153"/>
        <v>10.650000000000109</v>
      </c>
      <c r="T642">
        <f t="shared" si="144"/>
        <v>6.0200000000000102</v>
      </c>
      <c r="U642">
        <f t="shared" si="147"/>
        <v>1.2</v>
      </c>
      <c r="V642">
        <f t="shared" si="157"/>
        <v>0.505</v>
      </c>
      <c r="AC642" t="s">
        <v>1801</v>
      </c>
      <c r="AD642">
        <v>1.35</v>
      </c>
      <c r="AE642">
        <v>7.31</v>
      </c>
      <c r="AG642" t="str" cm="1">
        <f t="array" ref="AG642:AH642">_xlfn.TEXTSPLIT(AC643," ")</f>
        <v>26.10.2023</v>
      </c>
      <c r="AH642" t="str">
        <v>10:42:00</v>
      </c>
      <c r="AI642">
        <f t="shared" si="154"/>
        <v>10.650000000000109</v>
      </c>
      <c r="AJ642">
        <f t="shared" si="148"/>
        <v>2.7799999999999994</v>
      </c>
      <c r="AK642">
        <f t="shared" si="149"/>
        <v>1.35</v>
      </c>
      <c r="AL642">
        <f t="shared" si="158"/>
        <v>0.38500000000000001</v>
      </c>
      <c r="AN642" t="s">
        <v>1801</v>
      </c>
      <c r="AO642">
        <v>1.5</v>
      </c>
      <c r="AP642">
        <v>69.06</v>
      </c>
      <c r="AR642" t="str" cm="1">
        <f t="array" ref="AR642:AS642">_xlfn.TEXTSPLIT(AN642," ")</f>
        <v>26.10.2023</v>
      </c>
      <c r="AS642" t="str">
        <v>10:41:00</v>
      </c>
      <c r="AT642">
        <f t="shared" si="155"/>
        <v>10.650000000000109</v>
      </c>
      <c r="AU642">
        <f t="shared" si="150"/>
        <v>7.75</v>
      </c>
      <c r="AV642">
        <f t="shared" si="151"/>
        <v>1.5</v>
      </c>
      <c r="AW642">
        <f t="shared" si="159"/>
        <v>0.68999999999999972</v>
      </c>
    </row>
    <row r="643" spans="1:49" x14ac:dyDescent="0.25">
      <c r="A643" t="s">
        <v>1802</v>
      </c>
      <c r="B643">
        <v>0.6</v>
      </c>
      <c r="C643">
        <v>17.95</v>
      </c>
      <c r="E643" t="s">
        <v>1802</v>
      </c>
      <c r="F643">
        <v>1.05</v>
      </c>
      <c r="G643">
        <v>84.64</v>
      </c>
      <c r="I643" t="str" cm="1">
        <f t="array" ref="I643:J643">_xlfn.TEXTSPLIT(A643," ")</f>
        <v>27.10.2023</v>
      </c>
      <c r="J643" t="str">
        <v>10:42:02</v>
      </c>
      <c r="K643">
        <f t="shared" si="152"/>
        <v>10.666666666666776</v>
      </c>
      <c r="L643">
        <f t="shared" si="145"/>
        <v>3.629999999999999</v>
      </c>
      <c r="M643">
        <f t="shared" si="146"/>
        <v>0.6</v>
      </c>
      <c r="N643">
        <f t="shared" si="156"/>
        <v>0.26999999999999996</v>
      </c>
      <c r="Q643" t="str" cm="1">
        <f t="array" ref="Q643:R643">_xlfn.TEXTSPLIT(E643," ")</f>
        <v>27.10.2023</v>
      </c>
      <c r="R643" t="str">
        <v>10:42:02</v>
      </c>
      <c r="S643">
        <f t="shared" si="153"/>
        <v>10.666666666666776</v>
      </c>
      <c r="T643">
        <f t="shared" ref="T643:T706" si="160">G643-78.6</f>
        <v>6.0400000000000063</v>
      </c>
      <c r="U643">
        <f t="shared" si="147"/>
        <v>1.05</v>
      </c>
      <c r="V643">
        <f t="shared" si="157"/>
        <v>0.505</v>
      </c>
      <c r="AC643" t="s">
        <v>1803</v>
      </c>
      <c r="AD643">
        <v>1.05</v>
      </c>
      <c r="AE643">
        <v>7.33</v>
      </c>
      <c r="AG643" t="str" cm="1">
        <f t="array" ref="AG643:AH643">_xlfn.TEXTSPLIT(AC644," ")</f>
        <v>26.10.2023</v>
      </c>
      <c r="AH643" t="str">
        <v>10:43:01</v>
      </c>
      <c r="AI643">
        <f t="shared" si="154"/>
        <v>10.666666666666776</v>
      </c>
      <c r="AJ643">
        <f t="shared" si="148"/>
        <v>2.8</v>
      </c>
      <c r="AK643">
        <f t="shared" si="149"/>
        <v>1.05</v>
      </c>
      <c r="AL643">
        <f t="shared" si="158"/>
        <v>0.37750000000000006</v>
      </c>
      <c r="AN643" t="s">
        <v>1803</v>
      </c>
      <c r="AO643">
        <v>1.35</v>
      </c>
      <c r="AP643">
        <v>69.08</v>
      </c>
      <c r="AR643" t="str" cm="1">
        <f t="array" ref="AR643:AS643">_xlfn.TEXTSPLIT(AN643," ")</f>
        <v>26.10.2023</v>
      </c>
      <c r="AS643" t="str">
        <v>10:42:00</v>
      </c>
      <c r="AT643">
        <f t="shared" si="155"/>
        <v>10.666666666666776</v>
      </c>
      <c r="AU643">
        <f t="shared" si="150"/>
        <v>7.769999999999996</v>
      </c>
      <c r="AV643">
        <f t="shared" si="151"/>
        <v>1.35</v>
      </c>
      <c r="AW643">
        <f t="shared" si="159"/>
        <v>0.6875</v>
      </c>
    </row>
    <row r="644" spans="1:49" x14ac:dyDescent="0.25">
      <c r="A644" t="s">
        <v>1804</v>
      </c>
      <c r="B644">
        <v>0.45</v>
      </c>
      <c r="C644">
        <v>17.96</v>
      </c>
      <c r="E644" t="s">
        <v>1804</v>
      </c>
      <c r="F644">
        <v>1.5</v>
      </c>
      <c r="G644">
        <v>84.67</v>
      </c>
      <c r="I644" t="str" cm="1">
        <f t="array" ref="I644:J644">_xlfn.TEXTSPLIT(A644," ")</f>
        <v>27.10.2023</v>
      </c>
      <c r="J644" t="str">
        <v>10:43:02</v>
      </c>
      <c r="K644">
        <f t="shared" si="152"/>
        <v>10.683333333333444</v>
      </c>
      <c r="L644">
        <f t="shared" ref="L644:L707" si="161">C644-14.32</f>
        <v>3.6400000000000006</v>
      </c>
      <c r="M644">
        <f t="shared" ref="M644:M707" si="162">B644</f>
        <v>0.45</v>
      </c>
      <c r="N644">
        <f t="shared" si="156"/>
        <v>0.26499999999999996</v>
      </c>
      <c r="Q644" t="str" cm="1">
        <f t="array" ref="Q644:R644">_xlfn.TEXTSPLIT(E644," ")</f>
        <v>27.10.2023</v>
      </c>
      <c r="R644" t="str">
        <v>10:43:02</v>
      </c>
      <c r="S644">
        <f t="shared" si="153"/>
        <v>10.683333333333444</v>
      </c>
      <c r="T644">
        <f t="shared" si="160"/>
        <v>6.0700000000000074</v>
      </c>
      <c r="U644">
        <f t="shared" ref="U644:U707" si="163">F644</f>
        <v>1.5</v>
      </c>
      <c r="V644">
        <f t="shared" si="157"/>
        <v>0.51249999999999996</v>
      </c>
      <c r="AC644" t="s">
        <v>1805</v>
      </c>
      <c r="AD644">
        <v>0.6</v>
      </c>
      <c r="AE644">
        <v>7.34</v>
      </c>
      <c r="AG644" t="str" cm="1">
        <f t="array" ref="AG644:AH644">_xlfn.TEXTSPLIT(AC645," ")</f>
        <v>26.10.2023</v>
      </c>
      <c r="AH644" t="str">
        <v>10:44:01</v>
      </c>
      <c r="AI644">
        <f t="shared" si="154"/>
        <v>10.683333333333444</v>
      </c>
      <c r="AJ644">
        <f t="shared" ref="AJ644:AJ707" si="164">AE644-4.53</f>
        <v>2.8099999999999996</v>
      </c>
      <c r="AK644">
        <f t="shared" ref="AK644:AK707" si="165">AD644</f>
        <v>0.6</v>
      </c>
      <c r="AL644">
        <f t="shared" si="158"/>
        <v>0.3725</v>
      </c>
      <c r="AN644" t="s">
        <v>1805</v>
      </c>
      <c r="AO644">
        <v>1.5</v>
      </c>
      <c r="AP644">
        <v>69.099999999999994</v>
      </c>
      <c r="AR644" t="str" cm="1">
        <f t="array" ref="AR644:AS644">_xlfn.TEXTSPLIT(AN644," ")</f>
        <v>26.10.2023</v>
      </c>
      <c r="AS644" t="str">
        <v>10:43:01</v>
      </c>
      <c r="AT644">
        <f t="shared" si="155"/>
        <v>10.683333333333444</v>
      </c>
      <c r="AU644">
        <f t="shared" ref="AU644:AU707" si="166">AP644-61.31</f>
        <v>7.789999999999992</v>
      </c>
      <c r="AV644">
        <f t="shared" ref="AV644:AV707" si="167">AO644</f>
        <v>1.5</v>
      </c>
      <c r="AW644">
        <f t="shared" si="159"/>
        <v>0.7</v>
      </c>
    </row>
    <row r="645" spans="1:49" x14ac:dyDescent="0.25">
      <c r="A645" t="s">
        <v>1806</v>
      </c>
      <c r="B645">
        <v>0.45</v>
      </c>
      <c r="C645">
        <v>17.97</v>
      </c>
      <c r="E645" t="s">
        <v>1806</v>
      </c>
      <c r="F645">
        <v>0.6</v>
      </c>
      <c r="G645">
        <v>84.67</v>
      </c>
      <c r="I645" t="str" cm="1">
        <f t="array" ref="I645:J645">_xlfn.TEXTSPLIT(A645," ")</f>
        <v>27.10.2023</v>
      </c>
      <c r="J645" t="str">
        <v>10:44:02</v>
      </c>
      <c r="K645">
        <f t="shared" ref="K645:K708" si="168">1/60+K644</f>
        <v>10.700000000000111</v>
      </c>
      <c r="L645">
        <f t="shared" si="161"/>
        <v>3.6499999999999986</v>
      </c>
      <c r="M645">
        <f t="shared" si="162"/>
        <v>0.45</v>
      </c>
      <c r="N645">
        <f t="shared" si="156"/>
        <v>0.26499999999999996</v>
      </c>
      <c r="Q645" t="str" cm="1">
        <f t="array" ref="Q645:R645">_xlfn.TEXTSPLIT(E645," ")</f>
        <v>27.10.2023</v>
      </c>
      <c r="R645" t="str">
        <v>10:44:02</v>
      </c>
      <c r="S645">
        <f t="shared" ref="S645:S708" si="169">1/60+S644</f>
        <v>10.700000000000111</v>
      </c>
      <c r="T645">
        <f t="shared" si="160"/>
        <v>6.0700000000000074</v>
      </c>
      <c r="U645">
        <f t="shared" si="163"/>
        <v>0.6</v>
      </c>
      <c r="V645">
        <f t="shared" si="157"/>
        <v>0.505</v>
      </c>
      <c r="AC645" t="s">
        <v>1807</v>
      </c>
      <c r="AD645">
        <v>0.45</v>
      </c>
      <c r="AE645">
        <v>7.35</v>
      </c>
      <c r="AG645" t="str" cm="1">
        <f t="array" ref="AG645:AH645">_xlfn.TEXTSPLIT(AC646," ")</f>
        <v>26.10.2023</v>
      </c>
      <c r="AH645" t="str">
        <v>10:45:01</v>
      </c>
      <c r="AI645">
        <f t="shared" ref="AI645:AI708" si="170">1/60+AI644</f>
        <v>10.700000000000111</v>
      </c>
      <c r="AJ645">
        <f t="shared" si="164"/>
        <v>2.8199999999999994</v>
      </c>
      <c r="AK645">
        <f t="shared" si="165"/>
        <v>0.45</v>
      </c>
      <c r="AL645">
        <f t="shared" si="158"/>
        <v>0.3725</v>
      </c>
      <c r="AN645" t="s">
        <v>1807</v>
      </c>
      <c r="AO645">
        <v>1.35</v>
      </c>
      <c r="AP645">
        <v>69.11</v>
      </c>
      <c r="AR645" t="str" cm="1">
        <f t="array" ref="AR645:AS645">_xlfn.TEXTSPLIT(AN645," ")</f>
        <v>26.10.2023</v>
      </c>
      <c r="AS645" t="str">
        <v>10:44:01</v>
      </c>
      <c r="AT645">
        <f t="shared" ref="AT645:AT708" si="171">1/60+AT644</f>
        <v>10.700000000000111</v>
      </c>
      <c r="AU645">
        <f t="shared" si="166"/>
        <v>7.7999999999999972</v>
      </c>
      <c r="AV645">
        <f t="shared" si="167"/>
        <v>1.35</v>
      </c>
      <c r="AW645">
        <f t="shared" si="159"/>
        <v>0.71000000000000008</v>
      </c>
    </row>
    <row r="646" spans="1:49" x14ac:dyDescent="0.25">
      <c r="A646" t="s">
        <v>1808</v>
      </c>
      <c r="B646">
        <v>0.45</v>
      </c>
      <c r="C646">
        <v>17.98</v>
      </c>
      <c r="E646" t="s">
        <v>1808</v>
      </c>
      <c r="F646">
        <v>0.6</v>
      </c>
      <c r="G646">
        <v>84.68</v>
      </c>
      <c r="I646" t="str" cm="1">
        <f t="array" ref="I646:J646">_xlfn.TEXTSPLIT(A646," ")</f>
        <v>27.10.2023</v>
      </c>
      <c r="J646" t="str">
        <v>10:45:02</v>
      </c>
      <c r="K646">
        <f t="shared" si="168"/>
        <v>10.716666666666779</v>
      </c>
      <c r="L646">
        <f t="shared" si="161"/>
        <v>3.66</v>
      </c>
      <c r="M646">
        <f t="shared" si="162"/>
        <v>0.45</v>
      </c>
      <c r="N646">
        <f t="shared" si="156"/>
        <v>0.26749999999999996</v>
      </c>
      <c r="Q646" t="str" cm="1">
        <f t="array" ref="Q646:R646">_xlfn.TEXTSPLIT(E646," ")</f>
        <v>27.10.2023</v>
      </c>
      <c r="R646" t="str">
        <v>10:45:02</v>
      </c>
      <c r="S646">
        <f t="shared" si="169"/>
        <v>10.716666666666779</v>
      </c>
      <c r="T646">
        <f t="shared" si="160"/>
        <v>6.0800000000000125</v>
      </c>
      <c r="U646">
        <f t="shared" si="163"/>
        <v>0.6</v>
      </c>
      <c r="V646">
        <f t="shared" si="157"/>
        <v>0.50249999999999995</v>
      </c>
      <c r="AC646" t="s">
        <v>1809</v>
      </c>
      <c r="AD646">
        <v>0.45</v>
      </c>
      <c r="AE646">
        <v>7.36</v>
      </c>
      <c r="AG646" t="str" cm="1">
        <f t="array" ref="AG646:AH646">_xlfn.TEXTSPLIT(AC647," ")</f>
        <v>26.10.2023</v>
      </c>
      <c r="AH646" t="str">
        <v>10:46:01</v>
      </c>
      <c r="AI646">
        <f t="shared" si="170"/>
        <v>10.716666666666779</v>
      </c>
      <c r="AJ646">
        <f t="shared" si="164"/>
        <v>2.83</v>
      </c>
      <c r="AK646">
        <f t="shared" si="165"/>
        <v>0.45</v>
      </c>
      <c r="AL646">
        <f t="shared" si="158"/>
        <v>0.3725</v>
      </c>
      <c r="AN646" t="s">
        <v>1809</v>
      </c>
      <c r="AO646">
        <v>0.6</v>
      </c>
      <c r="AP646">
        <v>69.12</v>
      </c>
      <c r="AR646" t="str" cm="1">
        <f t="array" ref="AR646:AS646">_xlfn.TEXTSPLIT(AN646," ")</f>
        <v>26.10.2023</v>
      </c>
      <c r="AS646" t="str">
        <v>10:45:01</v>
      </c>
      <c r="AT646">
        <f t="shared" si="171"/>
        <v>10.716666666666779</v>
      </c>
      <c r="AU646">
        <f t="shared" si="166"/>
        <v>7.8100000000000023</v>
      </c>
      <c r="AV646">
        <f t="shared" si="167"/>
        <v>0.6</v>
      </c>
      <c r="AW646">
        <f t="shared" si="159"/>
        <v>0.71000000000000008</v>
      </c>
    </row>
    <row r="647" spans="1:49" x14ac:dyDescent="0.25">
      <c r="A647" t="s">
        <v>1810</v>
      </c>
      <c r="B647">
        <v>0.3</v>
      </c>
      <c r="C647">
        <v>17.98</v>
      </c>
      <c r="E647" t="s">
        <v>1810</v>
      </c>
      <c r="F647">
        <v>0.6</v>
      </c>
      <c r="G647">
        <v>84.69</v>
      </c>
      <c r="I647" t="str" cm="1">
        <f t="array" ref="I647:J647">_xlfn.TEXTSPLIT(A647," ")</f>
        <v>27.10.2023</v>
      </c>
      <c r="J647" t="str">
        <v>10:46:02</v>
      </c>
      <c r="K647">
        <f t="shared" si="168"/>
        <v>10.733333333333446</v>
      </c>
      <c r="L647">
        <f t="shared" si="161"/>
        <v>3.66</v>
      </c>
      <c r="M647">
        <f t="shared" si="162"/>
        <v>0.3</v>
      </c>
      <c r="N647">
        <f t="shared" si="156"/>
        <v>0.26499999999999996</v>
      </c>
      <c r="Q647" t="str" cm="1">
        <f t="array" ref="Q647:R647">_xlfn.TEXTSPLIT(E647," ")</f>
        <v>27.10.2023</v>
      </c>
      <c r="R647" t="str">
        <v>10:46:02</v>
      </c>
      <c r="S647">
        <f t="shared" si="169"/>
        <v>10.733333333333446</v>
      </c>
      <c r="T647">
        <f t="shared" si="160"/>
        <v>6.0900000000000034</v>
      </c>
      <c r="U647">
        <f t="shared" si="163"/>
        <v>0.6</v>
      </c>
      <c r="V647">
        <f t="shared" si="157"/>
        <v>0.505</v>
      </c>
      <c r="AC647" t="s">
        <v>1811</v>
      </c>
      <c r="AD647">
        <v>0.45</v>
      </c>
      <c r="AE647">
        <v>7.37</v>
      </c>
      <c r="AG647" t="str" cm="1">
        <f t="array" ref="AG647:AH647">_xlfn.TEXTSPLIT(AC648," ")</f>
        <v>26.10.2023</v>
      </c>
      <c r="AH647" t="str">
        <v>10:47:01</v>
      </c>
      <c r="AI647">
        <f t="shared" si="170"/>
        <v>10.733333333333446</v>
      </c>
      <c r="AJ647">
        <f t="shared" si="164"/>
        <v>2.84</v>
      </c>
      <c r="AK647">
        <f t="shared" si="165"/>
        <v>0.45</v>
      </c>
      <c r="AL647">
        <f t="shared" si="158"/>
        <v>0.38</v>
      </c>
      <c r="AN647" t="s">
        <v>1811</v>
      </c>
      <c r="AO647">
        <v>0.6</v>
      </c>
      <c r="AP647">
        <v>69.13</v>
      </c>
      <c r="AR647" t="str" cm="1">
        <f t="array" ref="AR647:AS647">_xlfn.TEXTSPLIT(AN647," ")</f>
        <v>26.10.2023</v>
      </c>
      <c r="AS647" t="str">
        <v>10:46:01</v>
      </c>
      <c r="AT647">
        <f t="shared" si="171"/>
        <v>10.733333333333446</v>
      </c>
      <c r="AU647">
        <f t="shared" si="166"/>
        <v>7.8199999999999932</v>
      </c>
      <c r="AV647">
        <f t="shared" si="167"/>
        <v>0.6</v>
      </c>
      <c r="AW647">
        <f t="shared" si="159"/>
        <v>0.71000000000000008</v>
      </c>
    </row>
    <row r="648" spans="1:49" x14ac:dyDescent="0.25">
      <c r="A648" t="s">
        <v>1812</v>
      </c>
      <c r="B648">
        <v>0.3</v>
      </c>
      <c r="C648">
        <v>17.98</v>
      </c>
      <c r="E648" t="s">
        <v>1812</v>
      </c>
      <c r="F648">
        <v>0.45</v>
      </c>
      <c r="G648">
        <v>84.7</v>
      </c>
      <c r="I648" t="str" cm="1">
        <f t="array" ref="I648:J648">_xlfn.TEXTSPLIT(A648," ")</f>
        <v>27.10.2023</v>
      </c>
      <c r="J648" t="str">
        <v>10:47:02</v>
      </c>
      <c r="K648">
        <f t="shared" si="168"/>
        <v>10.750000000000114</v>
      </c>
      <c r="L648">
        <f t="shared" si="161"/>
        <v>3.66</v>
      </c>
      <c r="M648">
        <f t="shared" si="162"/>
        <v>0.3</v>
      </c>
      <c r="N648">
        <f t="shared" si="156"/>
        <v>0.26499999999999996</v>
      </c>
      <c r="Q648" t="str" cm="1">
        <f t="array" ref="Q648:R648">_xlfn.TEXTSPLIT(E648," ")</f>
        <v>27.10.2023</v>
      </c>
      <c r="R648" t="str">
        <v>10:47:02</v>
      </c>
      <c r="S648">
        <f t="shared" si="169"/>
        <v>10.750000000000114</v>
      </c>
      <c r="T648">
        <f t="shared" si="160"/>
        <v>6.1000000000000085</v>
      </c>
      <c r="U648">
        <f t="shared" si="163"/>
        <v>0.45</v>
      </c>
      <c r="V648">
        <f t="shared" si="157"/>
        <v>0.505</v>
      </c>
      <c r="AC648" t="s">
        <v>1813</v>
      </c>
      <c r="AD648">
        <v>0.3</v>
      </c>
      <c r="AE648">
        <v>7.37</v>
      </c>
      <c r="AG648" t="str" cm="1">
        <f t="array" ref="AG648:AH648">_xlfn.TEXTSPLIT(AC649," ")</f>
        <v>26.10.2023</v>
      </c>
      <c r="AH648" t="str">
        <v>10:48:01</v>
      </c>
      <c r="AI648">
        <f t="shared" si="170"/>
        <v>10.750000000000114</v>
      </c>
      <c r="AJ648">
        <f t="shared" si="164"/>
        <v>2.84</v>
      </c>
      <c r="AK648">
        <f t="shared" si="165"/>
        <v>0.3</v>
      </c>
      <c r="AL648">
        <f t="shared" si="158"/>
        <v>0.37750000000000006</v>
      </c>
      <c r="AN648" t="s">
        <v>1813</v>
      </c>
      <c r="AO648">
        <v>0.6</v>
      </c>
      <c r="AP648">
        <v>69.14</v>
      </c>
      <c r="AR648" t="str" cm="1">
        <f t="array" ref="AR648:AS648">_xlfn.TEXTSPLIT(AN648," ")</f>
        <v>26.10.2023</v>
      </c>
      <c r="AS648" t="str">
        <v>10:47:01</v>
      </c>
      <c r="AT648">
        <f t="shared" si="171"/>
        <v>10.750000000000114</v>
      </c>
      <c r="AU648">
        <f t="shared" si="166"/>
        <v>7.8299999999999983</v>
      </c>
      <c r="AV648">
        <f t="shared" si="167"/>
        <v>0.6</v>
      </c>
      <c r="AW648">
        <f t="shared" si="159"/>
        <v>0.71250000000000013</v>
      </c>
    </row>
    <row r="649" spans="1:49" x14ac:dyDescent="0.25">
      <c r="A649" t="s">
        <v>1814</v>
      </c>
      <c r="B649">
        <v>0.45</v>
      </c>
      <c r="C649">
        <v>17.989999999999998</v>
      </c>
      <c r="E649" t="s">
        <v>1814</v>
      </c>
      <c r="F649">
        <v>0.45</v>
      </c>
      <c r="G649">
        <v>84.71</v>
      </c>
      <c r="I649" t="str" cm="1">
        <f t="array" ref="I649:J649">_xlfn.TEXTSPLIT(A649," ")</f>
        <v>27.10.2023</v>
      </c>
      <c r="J649" t="str">
        <v>10:48:03</v>
      </c>
      <c r="K649">
        <f t="shared" si="168"/>
        <v>10.766666666666781</v>
      </c>
      <c r="L649">
        <f t="shared" si="161"/>
        <v>3.6699999999999982</v>
      </c>
      <c r="M649">
        <f t="shared" si="162"/>
        <v>0.45</v>
      </c>
      <c r="N649">
        <f t="shared" si="156"/>
        <v>0.26749999999999996</v>
      </c>
      <c r="Q649" t="str" cm="1">
        <f t="array" ref="Q649:R649">_xlfn.TEXTSPLIT(E649," ")</f>
        <v>27.10.2023</v>
      </c>
      <c r="R649" t="str">
        <v>10:48:03</v>
      </c>
      <c r="S649">
        <f t="shared" si="169"/>
        <v>10.766666666666781</v>
      </c>
      <c r="T649">
        <f t="shared" si="160"/>
        <v>6.1099999999999994</v>
      </c>
      <c r="U649">
        <f t="shared" si="163"/>
        <v>0.45</v>
      </c>
      <c r="V649">
        <f t="shared" si="157"/>
        <v>0.50249999999999995</v>
      </c>
      <c r="AC649" t="s">
        <v>1815</v>
      </c>
      <c r="AD649">
        <v>0.15</v>
      </c>
      <c r="AE649">
        <v>7.38</v>
      </c>
      <c r="AG649" t="str" cm="1">
        <f t="array" ref="AG649:AH649">_xlfn.TEXTSPLIT(AC650," ")</f>
        <v>26.10.2023</v>
      </c>
      <c r="AH649" t="str">
        <v>10:49:01</v>
      </c>
      <c r="AI649">
        <f t="shared" si="170"/>
        <v>10.766666666666781</v>
      </c>
      <c r="AJ649">
        <f t="shared" si="164"/>
        <v>2.8499999999999996</v>
      </c>
      <c r="AK649">
        <f t="shared" si="165"/>
        <v>0.15</v>
      </c>
      <c r="AL649">
        <f t="shared" si="158"/>
        <v>0.37000000000000005</v>
      </c>
      <c r="AN649" t="s">
        <v>1815</v>
      </c>
      <c r="AO649">
        <v>0.45</v>
      </c>
      <c r="AP649">
        <v>69.14</v>
      </c>
      <c r="AR649" t="str" cm="1">
        <f t="array" ref="AR649:AS649">_xlfn.TEXTSPLIT(AN649," ")</f>
        <v>26.10.2023</v>
      </c>
      <c r="AS649" t="str">
        <v>10:48:01</v>
      </c>
      <c r="AT649">
        <f t="shared" si="171"/>
        <v>10.766666666666781</v>
      </c>
      <c r="AU649">
        <f t="shared" si="166"/>
        <v>7.8299999999999983</v>
      </c>
      <c r="AV649">
        <f t="shared" si="167"/>
        <v>0.45</v>
      </c>
      <c r="AW649">
        <f t="shared" si="159"/>
        <v>0.71000000000000019</v>
      </c>
    </row>
    <row r="650" spans="1:49" x14ac:dyDescent="0.25">
      <c r="A650" t="s">
        <v>1816</v>
      </c>
      <c r="B650">
        <v>0</v>
      </c>
      <c r="C650">
        <v>17.989999999999998</v>
      </c>
      <c r="E650" t="s">
        <v>1816</v>
      </c>
      <c r="F650">
        <v>0.15</v>
      </c>
      <c r="G650">
        <v>84.71</v>
      </c>
      <c r="I650" t="str" cm="1">
        <f t="array" ref="I650:J650">_xlfn.TEXTSPLIT(A650," ")</f>
        <v>27.10.2023</v>
      </c>
      <c r="J650" t="str">
        <v>10:49:03</v>
      </c>
      <c r="K650">
        <f t="shared" si="168"/>
        <v>10.783333333333449</v>
      </c>
      <c r="L650">
        <f t="shared" si="161"/>
        <v>3.6699999999999982</v>
      </c>
      <c r="M650">
        <f t="shared" si="162"/>
        <v>0</v>
      </c>
      <c r="N650">
        <f t="shared" si="156"/>
        <v>0.26499999999999996</v>
      </c>
      <c r="Q650" t="str" cm="1">
        <f t="array" ref="Q650:R650">_xlfn.TEXTSPLIT(E650," ")</f>
        <v>27.10.2023</v>
      </c>
      <c r="R650" t="str">
        <v>10:49:03</v>
      </c>
      <c r="S650">
        <f t="shared" si="169"/>
        <v>10.783333333333449</v>
      </c>
      <c r="T650">
        <f t="shared" si="160"/>
        <v>6.1099999999999994</v>
      </c>
      <c r="U650">
        <f t="shared" si="163"/>
        <v>0.15</v>
      </c>
      <c r="V650">
        <f t="shared" si="157"/>
        <v>0.49749999999999994</v>
      </c>
      <c r="AC650" t="s">
        <v>1817</v>
      </c>
      <c r="AD650">
        <v>0.3</v>
      </c>
      <c r="AE650">
        <v>7.38</v>
      </c>
      <c r="AG650" t="str" cm="1">
        <f t="array" ref="AG650:AH650">_xlfn.TEXTSPLIT(AC651," ")</f>
        <v>26.10.2023</v>
      </c>
      <c r="AH650" t="str">
        <v>10:50:01</v>
      </c>
      <c r="AI650">
        <f t="shared" si="170"/>
        <v>10.783333333333449</v>
      </c>
      <c r="AJ650">
        <f t="shared" si="164"/>
        <v>2.8499999999999996</v>
      </c>
      <c r="AK650">
        <f t="shared" si="165"/>
        <v>0.3</v>
      </c>
      <c r="AL650">
        <f t="shared" si="158"/>
        <v>0.36750000000000005</v>
      </c>
      <c r="AN650" t="s">
        <v>1817</v>
      </c>
      <c r="AO650">
        <v>0.6</v>
      </c>
      <c r="AP650">
        <v>69.150000000000006</v>
      </c>
      <c r="AR650" t="str" cm="1">
        <f t="array" ref="AR650:AS650">_xlfn.TEXTSPLIT(AN650," ")</f>
        <v>26.10.2023</v>
      </c>
      <c r="AS650" t="str">
        <v>10:49:01</v>
      </c>
      <c r="AT650">
        <f t="shared" si="171"/>
        <v>10.783333333333449</v>
      </c>
      <c r="AU650">
        <f t="shared" si="166"/>
        <v>7.8400000000000034</v>
      </c>
      <c r="AV650">
        <f t="shared" si="167"/>
        <v>0.6</v>
      </c>
      <c r="AW650">
        <f t="shared" si="159"/>
        <v>0.71000000000000019</v>
      </c>
    </row>
    <row r="651" spans="1:49" x14ac:dyDescent="0.25">
      <c r="A651" t="s">
        <v>1818</v>
      </c>
      <c r="B651">
        <v>0.15</v>
      </c>
      <c r="C651">
        <v>17.989999999999998</v>
      </c>
      <c r="E651" t="s">
        <v>1818</v>
      </c>
      <c r="F651">
        <v>0.3</v>
      </c>
      <c r="G651">
        <v>84.72</v>
      </c>
      <c r="I651" t="str" cm="1">
        <f t="array" ref="I651:J651">_xlfn.TEXTSPLIT(A651," ")</f>
        <v>27.10.2023</v>
      </c>
      <c r="J651" t="str">
        <v>10:50:03</v>
      </c>
      <c r="K651">
        <f t="shared" si="168"/>
        <v>10.800000000000116</v>
      </c>
      <c r="L651">
        <f t="shared" si="161"/>
        <v>3.6699999999999982</v>
      </c>
      <c r="M651">
        <f t="shared" si="162"/>
        <v>0.15</v>
      </c>
      <c r="N651">
        <f t="shared" si="156"/>
        <v>0.26249999999999996</v>
      </c>
      <c r="Q651" t="str" cm="1">
        <f t="array" ref="Q651:R651">_xlfn.TEXTSPLIT(E651," ")</f>
        <v>27.10.2023</v>
      </c>
      <c r="R651" t="str">
        <v>10:50:03</v>
      </c>
      <c r="S651">
        <f t="shared" si="169"/>
        <v>10.800000000000116</v>
      </c>
      <c r="T651">
        <f t="shared" si="160"/>
        <v>6.1200000000000045</v>
      </c>
      <c r="U651">
        <f t="shared" si="163"/>
        <v>0.3</v>
      </c>
      <c r="V651">
        <f t="shared" si="157"/>
        <v>0.49749999999999994</v>
      </c>
      <c r="AC651" t="s">
        <v>1819</v>
      </c>
      <c r="AD651">
        <v>0.3</v>
      </c>
      <c r="AE651">
        <v>7.39</v>
      </c>
      <c r="AG651" t="str" cm="1">
        <f t="array" ref="AG651:AH651">_xlfn.TEXTSPLIT(AC652," ")</f>
        <v>26.10.2023</v>
      </c>
      <c r="AH651" t="str">
        <v>10:51:02</v>
      </c>
      <c r="AI651">
        <f t="shared" si="170"/>
        <v>10.800000000000116</v>
      </c>
      <c r="AJ651">
        <f t="shared" si="164"/>
        <v>2.8599999999999994</v>
      </c>
      <c r="AK651">
        <f t="shared" si="165"/>
        <v>0.3</v>
      </c>
      <c r="AL651">
        <f t="shared" si="158"/>
        <v>0.36500000000000005</v>
      </c>
      <c r="AN651" t="s">
        <v>1819</v>
      </c>
      <c r="AO651">
        <v>0.45</v>
      </c>
      <c r="AP651">
        <v>69.16</v>
      </c>
      <c r="AR651" t="str" cm="1">
        <f t="array" ref="AR651:AS651">_xlfn.TEXTSPLIT(AN651," ")</f>
        <v>26.10.2023</v>
      </c>
      <c r="AS651" t="str">
        <v>10:50:01</v>
      </c>
      <c r="AT651">
        <f t="shared" si="171"/>
        <v>10.800000000000116</v>
      </c>
      <c r="AU651">
        <f t="shared" si="166"/>
        <v>7.8499999999999943</v>
      </c>
      <c r="AV651">
        <f t="shared" si="167"/>
        <v>0.45</v>
      </c>
      <c r="AW651">
        <f t="shared" si="159"/>
        <v>0.70750000000000024</v>
      </c>
    </row>
    <row r="652" spans="1:49" x14ac:dyDescent="0.25">
      <c r="A652" t="s">
        <v>1820</v>
      </c>
      <c r="B652">
        <v>0.3</v>
      </c>
      <c r="C652">
        <v>18</v>
      </c>
      <c r="E652" t="s">
        <v>1820</v>
      </c>
      <c r="F652">
        <v>0.45</v>
      </c>
      <c r="G652">
        <v>84.73</v>
      </c>
      <c r="I652" t="str" cm="1">
        <f t="array" ref="I652:J652">_xlfn.TEXTSPLIT(A652," ")</f>
        <v>27.10.2023</v>
      </c>
      <c r="J652" t="str">
        <v>10:51:03</v>
      </c>
      <c r="K652">
        <f t="shared" si="168"/>
        <v>10.816666666666784</v>
      </c>
      <c r="L652">
        <f t="shared" si="161"/>
        <v>3.6799999999999997</v>
      </c>
      <c r="M652">
        <f t="shared" si="162"/>
        <v>0.3</v>
      </c>
      <c r="N652">
        <f t="shared" si="156"/>
        <v>0.26749999999999996</v>
      </c>
      <c r="Q652" t="str" cm="1">
        <f t="array" ref="Q652:R652">_xlfn.TEXTSPLIT(E652," ")</f>
        <v>27.10.2023</v>
      </c>
      <c r="R652" t="str">
        <v>10:51:03</v>
      </c>
      <c r="S652">
        <f t="shared" si="169"/>
        <v>10.816666666666784</v>
      </c>
      <c r="T652">
        <f t="shared" si="160"/>
        <v>6.1300000000000097</v>
      </c>
      <c r="U652">
        <f t="shared" si="163"/>
        <v>0.45</v>
      </c>
      <c r="V652">
        <f t="shared" si="157"/>
        <v>0.49999999999999989</v>
      </c>
      <c r="AC652" t="s">
        <v>1821</v>
      </c>
      <c r="AD652">
        <v>0</v>
      </c>
      <c r="AE652">
        <v>7.39</v>
      </c>
      <c r="AG652" t="str" cm="1">
        <f t="array" ref="AG652:AH652">_xlfn.TEXTSPLIT(AC653," ")</f>
        <v>26.10.2023</v>
      </c>
      <c r="AH652" t="str">
        <v>10:52:02</v>
      </c>
      <c r="AI652">
        <f t="shared" si="170"/>
        <v>10.816666666666784</v>
      </c>
      <c r="AJ652">
        <f t="shared" si="164"/>
        <v>2.8599999999999994</v>
      </c>
      <c r="AK652">
        <f t="shared" si="165"/>
        <v>0</v>
      </c>
      <c r="AL652">
        <f t="shared" si="158"/>
        <v>0.36250000000000004</v>
      </c>
      <c r="AN652" t="s">
        <v>1821</v>
      </c>
      <c r="AO652">
        <v>0.75</v>
      </c>
      <c r="AP652">
        <v>69.17</v>
      </c>
      <c r="AR652" t="str" cm="1">
        <f t="array" ref="AR652:AS652">_xlfn.TEXTSPLIT(AN652," ")</f>
        <v>26.10.2023</v>
      </c>
      <c r="AS652" t="str">
        <v>10:51:02</v>
      </c>
      <c r="AT652">
        <f t="shared" si="171"/>
        <v>10.816666666666784</v>
      </c>
      <c r="AU652">
        <f t="shared" si="166"/>
        <v>7.8599999999999994</v>
      </c>
      <c r="AV652">
        <f t="shared" si="167"/>
        <v>0.75</v>
      </c>
      <c r="AW652">
        <f t="shared" si="159"/>
        <v>0.70250000000000024</v>
      </c>
    </row>
    <row r="653" spans="1:49" x14ac:dyDescent="0.25">
      <c r="A653" t="s">
        <v>1822</v>
      </c>
      <c r="B653">
        <v>0.15</v>
      </c>
      <c r="C653">
        <v>18</v>
      </c>
      <c r="E653" t="s">
        <v>1822</v>
      </c>
      <c r="F653">
        <v>0.15</v>
      </c>
      <c r="G653">
        <v>84.73</v>
      </c>
      <c r="I653" t="str" cm="1">
        <f t="array" ref="I653:J653">_xlfn.TEXTSPLIT(A653," ")</f>
        <v>27.10.2023</v>
      </c>
      <c r="J653" t="str">
        <v>10:52:03</v>
      </c>
      <c r="K653">
        <f t="shared" si="168"/>
        <v>10.833333333333451</v>
      </c>
      <c r="L653">
        <f t="shared" si="161"/>
        <v>3.6799999999999997</v>
      </c>
      <c r="M653">
        <f t="shared" si="162"/>
        <v>0.15</v>
      </c>
      <c r="N653">
        <f t="shared" si="156"/>
        <v>0.26999999999999991</v>
      </c>
      <c r="Q653" t="str" cm="1">
        <f t="array" ref="Q653:R653">_xlfn.TEXTSPLIT(E653," ")</f>
        <v>27.10.2023</v>
      </c>
      <c r="R653" t="str">
        <v>10:52:03</v>
      </c>
      <c r="S653">
        <f t="shared" si="169"/>
        <v>10.833333333333451</v>
      </c>
      <c r="T653">
        <f t="shared" si="160"/>
        <v>6.1300000000000097</v>
      </c>
      <c r="U653">
        <f t="shared" si="163"/>
        <v>0.15</v>
      </c>
      <c r="V653">
        <f t="shared" si="157"/>
        <v>0.49249999999999994</v>
      </c>
      <c r="AC653" t="s">
        <v>1823</v>
      </c>
      <c r="AD653">
        <v>0.15</v>
      </c>
      <c r="AE653">
        <v>7.39</v>
      </c>
      <c r="AG653" t="str" cm="1">
        <f t="array" ref="AG653:AH653">_xlfn.TEXTSPLIT(AC654," ")</f>
        <v>26.10.2023</v>
      </c>
      <c r="AH653" t="str">
        <v>10:53:02</v>
      </c>
      <c r="AI653">
        <f t="shared" si="170"/>
        <v>10.833333333333451</v>
      </c>
      <c r="AJ653">
        <f t="shared" si="164"/>
        <v>2.8599999999999994</v>
      </c>
      <c r="AK653">
        <f t="shared" si="165"/>
        <v>0.15</v>
      </c>
      <c r="AL653">
        <f t="shared" si="158"/>
        <v>0.36500000000000005</v>
      </c>
      <c r="AN653" t="s">
        <v>1823</v>
      </c>
      <c r="AO653">
        <v>0.45</v>
      </c>
      <c r="AP653">
        <v>69.17</v>
      </c>
      <c r="AR653" t="str" cm="1">
        <f t="array" ref="AR653:AS653">_xlfn.TEXTSPLIT(AN653," ")</f>
        <v>26.10.2023</v>
      </c>
      <c r="AS653" t="str">
        <v>10:52:02</v>
      </c>
      <c r="AT653">
        <f t="shared" si="171"/>
        <v>10.833333333333451</v>
      </c>
      <c r="AU653">
        <f t="shared" si="166"/>
        <v>7.8599999999999994</v>
      </c>
      <c r="AV653">
        <f t="shared" si="167"/>
        <v>0.45</v>
      </c>
      <c r="AW653">
        <f t="shared" si="159"/>
        <v>0.69750000000000034</v>
      </c>
    </row>
    <row r="654" spans="1:49" x14ac:dyDescent="0.25">
      <c r="A654" t="s">
        <v>1824</v>
      </c>
      <c r="B654">
        <v>0</v>
      </c>
      <c r="C654">
        <v>18</v>
      </c>
      <c r="E654" t="s">
        <v>1824</v>
      </c>
      <c r="F654">
        <v>0</v>
      </c>
      <c r="G654">
        <v>84.73</v>
      </c>
      <c r="I654" t="str" cm="1">
        <f t="array" ref="I654:J654">_xlfn.TEXTSPLIT(A654," ")</f>
        <v>27.10.2023</v>
      </c>
      <c r="J654" t="str">
        <v>10:53:03</v>
      </c>
      <c r="K654">
        <f t="shared" si="168"/>
        <v>10.850000000000119</v>
      </c>
      <c r="L654">
        <f t="shared" si="161"/>
        <v>3.6799999999999997</v>
      </c>
      <c r="M654">
        <f t="shared" si="162"/>
        <v>0</v>
      </c>
      <c r="N654">
        <f t="shared" si="156"/>
        <v>0.26999999999999991</v>
      </c>
      <c r="Q654" t="str" cm="1">
        <f t="array" ref="Q654:R654">_xlfn.TEXTSPLIT(E654," ")</f>
        <v>27.10.2023</v>
      </c>
      <c r="R654" t="str">
        <v>10:53:03</v>
      </c>
      <c r="S654">
        <f t="shared" si="169"/>
        <v>10.850000000000119</v>
      </c>
      <c r="T654">
        <f t="shared" si="160"/>
        <v>6.1300000000000097</v>
      </c>
      <c r="U654">
        <f t="shared" si="163"/>
        <v>0</v>
      </c>
      <c r="V654">
        <f t="shared" si="157"/>
        <v>0.49249999999999994</v>
      </c>
      <c r="AC654" t="s">
        <v>1825</v>
      </c>
      <c r="AD654">
        <v>0</v>
      </c>
      <c r="AE654">
        <v>7.39</v>
      </c>
      <c r="AG654" t="str" cm="1">
        <f t="array" ref="AG654:AH654">_xlfn.TEXTSPLIT(AC655," ")</f>
        <v>26.10.2023</v>
      </c>
      <c r="AH654" t="str">
        <v>10:54:02</v>
      </c>
      <c r="AI654">
        <f t="shared" si="170"/>
        <v>10.850000000000119</v>
      </c>
      <c r="AJ654">
        <f t="shared" si="164"/>
        <v>2.8599999999999994</v>
      </c>
      <c r="AK654">
        <f t="shared" si="165"/>
        <v>0</v>
      </c>
      <c r="AL654">
        <f t="shared" si="158"/>
        <v>0.3600000000000001</v>
      </c>
      <c r="AN654" t="s">
        <v>1825</v>
      </c>
      <c r="AO654">
        <v>0</v>
      </c>
      <c r="AP654">
        <v>69.17</v>
      </c>
      <c r="AR654" t="str" cm="1">
        <f t="array" ref="AR654:AS654">_xlfn.TEXTSPLIT(AN654," ")</f>
        <v>26.10.2023</v>
      </c>
      <c r="AS654" t="str">
        <v>10:53:02</v>
      </c>
      <c r="AT654">
        <f t="shared" si="171"/>
        <v>10.850000000000119</v>
      </c>
      <c r="AU654">
        <f t="shared" si="166"/>
        <v>7.8599999999999994</v>
      </c>
      <c r="AV654">
        <f t="shared" si="167"/>
        <v>0</v>
      </c>
      <c r="AW654">
        <f t="shared" si="159"/>
        <v>0.68500000000000039</v>
      </c>
    </row>
    <row r="655" spans="1:49" x14ac:dyDescent="0.25">
      <c r="A655" t="s">
        <v>1826</v>
      </c>
      <c r="B655">
        <v>0</v>
      </c>
      <c r="C655">
        <v>18</v>
      </c>
      <c r="E655" t="s">
        <v>1826</v>
      </c>
      <c r="F655">
        <v>47.25</v>
      </c>
      <c r="G655">
        <v>85.51</v>
      </c>
      <c r="I655" t="str" cm="1">
        <f t="array" ref="I655:J655">_xlfn.TEXTSPLIT(A655," ")</f>
        <v>27.10.2023</v>
      </c>
      <c r="J655" t="str">
        <v>10:54:03</v>
      </c>
      <c r="K655">
        <f t="shared" si="168"/>
        <v>10.866666666666786</v>
      </c>
      <c r="L655">
        <f t="shared" si="161"/>
        <v>3.6799999999999997</v>
      </c>
      <c r="M655">
        <f t="shared" si="162"/>
        <v>0</v>
      </c>
      <c r="N655">
        <f t="shared" si="156"/>
        <v>0.26999999999999991</v>
      </c>
      <c r="Q655" t="str" cm="1">
        <f t="array" ref="Q655:R655">_xlfn.TEXTSPLIT(E655," ")</f>
        <v>27.10.2023</v>
      </c>
      <c r="R655" t="str">
        <v>10:54:03</v>
      </c>
      <c r="S655">
        <f t="shared" si="169"/>
        <v>10.866666666666786</v>
      </c>
      <c r="T655">
        <f t="shared" si="160"/>
        <v>6.9100000000000108</v>
      </c>
      <c r="U655">
        <f t="shared" si="163"/>
        <v>47.25</v>
      </c>
      <c r="V655">
        <f t="shared" si="157"/>
        <v>1.28</v>
      </c>
      <c r="W655">
        <v>1</v>
      </c>
      <c r="AC655" t="s">
        <v>1827</v>
      </c>
      <c r="AD655">
        <v>0</v>
      </c>
      <c r="AE655">
        <v>7.39</v>
      </c>
      <c r="AG655" t="str" cm="1">
        <f t="array" ref="AG655:AH655">_xlfn.TEXTSPLIT(AC656," ")</f>
        <v>26.10.2023</v>
      </c>
      <c r="AH655" t="str">
        <v>10:55:02</v>
      </c>
      <c r="AI655">
        <f t="shared" si="170"/>
        <v>10.866666666666786</v>
      </c>
      <c r="AJ655">
        <f t="shared" si="164"/>
        <v>2.8599999999999994</v>
      </c>
      <c r="AK655">
        <f t="shared" si="165"/>
        <v>0</v>
      </c>
      <c r="AL655">
        <f t="shared" si="158"/>
        <v>0.35500000000000004</v>
      </c>
      <c r="AN655" t="s">
        <v>1827</v>
      </c>
      <c r="AO655">
        <v>0.15</v>
      </c>
      <c r="AP655">
        <v>69.180000000000007</v>
      </c>
      <c r="AR655" t="str" cm="1">
        <f t="array" ref="AR655:AS655">_xlfn.TEXTSPLIT(AN655," ")</f>
        <v>26.10.2023</v>
      </c>
      <c r="AS655" t="str">
        <v>10:54:02</v>
      </c>
      <c r="AT655">
        <f t="shared" si="171"/>
        <v>10.866666666666786</v>
      </c>
      <c r="AU655">
        <f t="shared" si="166"/>
        <v>7.8700000000000045</v>
      </c>
      <c r="AV655">
        <f t="shared" si="167"/>
        <v>0.15</v>
      </c>
      <c r="AW655">
        <f t="shared" si="159"/>
        <v>0.68750000000000033</v>
      </c>
    </row>
    <row r="656" spans="1:49" x14ac:dyDescent="0.25">
      <c r="A656" t="s">
        <v>1828</v>
      </c>
      <c r="B656">
        <v>0</v>
      </c>
      <c r="C656">
        <v>18</v>
      </c>
      <c r="E656" t="s">
        <v>1828</v>
      </c>
      <c r="F656">
        <v>12.9</v>
      </c>
      <c r="G656">
        <v>85.72</v>
      </c>
      <c r="I656" t="str" cm="1">
        <f t="array" ref="I656:J656">_xlfn.TEXTSPLIT(A656," ")</f>
        <v>27.10.2023</v>
      </c>
      <c r="J656" t="str">
        <v>10:55:03</v>
      </c>
      <c r="K656">
        <f t="shared" si="168"/>
        <v>10.883333333333454</v>
      </c>
      <c r="L656">
        <f t="shared" si="161"/>
        <v>3.6799999999999997</v>
      </c>
      <c r="M656">
        <f t="shared" si="162"/>
        <v>0</v>
      </c>
      <c r="N656">
        <f t="shared" si="156"/>
        <v>0.26999999999999991</v>
      </c>
      <c r="Q656" t="str" cm="1">
        <f t="array" ref="Q656:R656">_xlfn.TEXTSPLIT(E656," ")</f>
        <v>27.10.2023</v>
      </c>
      <c r="R656" t="str">
        <v>10:55:03</v>
      </c>
      <c r="S656">
        <f t="shared" si="169"/>
        <v>10.883333333333454</v>
      </c>
      <c r="T656">
        <f t="shared" si="160"/>
        <v>7.1200000000000045</v>
      </c>
      <c r="U656">
        <f t="shared" si="163"/>
        <v>12.9</v>
      </c>
      <c r="V656">
        <f t="shared" si="157"/>
        <v>1.4950000000000001</v>
      </c>
      <c r="AC656" t="s">
        <v>1829</v>
      </c>
      <c r="AD656">
        <v>0</v>
      </c>
      <c r="AE656">
        <v>7.39</v>
      </c>
      <c r="AG656" t="str" cm="1">
        <f t="array" ref="AG656:AH656">_xlfn.TEXTSPLIT(AC657," ")</f>
        <v>26.10.2023</v>
      </c>
      <c r="AH656" t="str">
        <v>10:56:02</v>
      </c>
      <c r="AI656">
        <f t="shared" si="170"/>
        <v>10.883333333333454</v>
      </c>
      <c r="AJ656">
        <f t="shared" si="164"/>
        <v>2.8599999999999994</v>
      </c>
      <c r="AK656">
        <f t="shared" si="165"/>
        <v>0</v>
      </c>
      <c r="AL656">
        <f t="shared" si="158"/>
        <v>0.35500000000000004</v>
      </c>
      <c r="AN656" t="s">
        <v>1829</v>
      </c>
      <c r="AO656">
        <v>0</v>
      </c>
      <c r="AP656">
        <v>69.180000000000007</v>
      </c>
      <c r="AR656" t="str" cm="1">
        <f t="array" ref="AR656:AS656">_xlfn.TEXTSPLIT(AN656," ")</f>
        <v>26.10.2023</v>
      </c>
      <c r="AS656" t="str">
        <v>10:55:02</v>
      </c>
      <c r="AT656">
        <f t="shared" si="171"/>
        <v>10.883333333333454</v>
      </c>
      <c r="AU656">
        <f t="shared" si="166"/>
        <v>7.8700000000000045</v>
      </c>
      <c r="AV656">
        <f t="shared" si="167"/>
        <v>0</v>
      </c>
      <c r="AW656">
        <f t="shared" si="159"/>
        <v>0.68750000000000033</v>
      </c>
    </row>
    <row r="657" spans="1:49" x14ac:dyDescent="0.25">
      <c r="A657" t="s">
        <v>1830</v>
      </c>
      <c r="B657">
        <v>0</v>
      </c>
      <c r="C657">
        <v>18</v>
      </c>
      <c r="E657" t="s">
        <v>1830</v>
      </c>
      <c r="F657">
        <v>0</v>
      </c>
      <c r="G657">
        <v>85.72</v>
      </c>
      <c r="I657" t="str" cm="1">
        <f t="array" ref="I657:J657">_xlfn.TEXTSPLIT(A657," ")</f>
        <v>27.10.2023</v>
      </c>
      <c r="J657" t="str">
        <v>10:56:04</v>
      </c>
      <c r="K657">
        <f t="shared" si="168"/>
        <v>10.900000000000121</v>
      </c>
      <c r="L657">
        <f t="shared" si="161"/>
        <v>3.6799999999999997</v>
      </c>
      <c r="M657">
        <f t="shared" si="162"/>
        <v>0</v>
      </c>
      <c r="N657">
        <f t="shared" si="156"/>
        <v>0.26999999999999991</v>
      </c>
      <c r="Q657" t="str" cm="1">
        <f t="array" ref="Q657:R657">_xlfn.TEXTSPLIT(E657," ")</f>
        <v>27.10.2023</v>
      </c>
      <c r="R657" t="str">
        <v>10:56:04</v>
      </c>
      <c r="S657">
        <f t="shared" si="169"/>
        <v>10.900000000000121</v>
      </c>
      <c r="T657">
        <f t="shared" si="160"/>
        <v>7.1200000000000045</v>
      </c>
      <c r="U657">
        <f t="shared" si="163"/>
        <v>0</v>
      </c>
      <c r="V657">
        <f t="shared" si="157"/>
        <v>1.4950000000000001</v>
      </c>
      <c r="AC657" t="s">
        <v>1831</v>
      </c>
      <c r="AD657">
        <v>0</v>
      </c>
      <c r="AE657">
        <v>7.39</v>
      </c>
      <c r="AG657" t="str" cm="1">
        <f t="array" ref="AG657:AH657">_xlfn.TEXTSPLIT(AC658," ")</f>
        <v>26.10.2023</v>
      </c>
      <c r="AH657" t="str">
        <v>10:57:03</v>
      </c>
      <c r="AI657">
        <f t="shared" si="170"/>
        <v>10.900000000000121</v>
      </c>
      <c r="AJ657">
        <f t="shared" si="164"/>
        <v>2.8599999999999994</v>
      </c>
      <c r="AK657">
        <f t="shared" si="165"/>
        <v>0</v>
      </c>
      <c r="AL657">
        <f t="shared" si="158"/>
        <v>0.35500000000000004</v>
      </c>
      <c r="AN657" t="s">
        <v>1831</v>
      </c>
      <c r="AO657">
        <v>0.15</v>
      </c>
      <c r="AP657">
        <v>69.180000000000007</v>
      </c>
      <c r="AR657" t="str" cm="1">
        <f t="array" ref="AR657:AS657">_xlfn.TEXTSPLIT(AN657," ")</f>
        <v>26.10.2023</v>
      </c>
      <c r="AS657" t="str">
        <v>10:56:02</v>
      </c>
      <c r="AT657">
        <f t="shared" si="171"/>
        <v>10.900000000000121</v>
      </c>
      <c r="AU657">
        <f t="shared" si="166"/>
        <v>7.8700000000000045</v>
      </c>
      <c r="AV657">
        <f t="shared" si="167"/>
        <v>0.15</v>
      </c>
      <c r="AW657">
        <f t="shared" si="159"/>
        <v>0.69000000000000028</v>
      </c>
    </row>
    <row r="658" spans="1:49" x14ac:dyDescent="0.25">
      <c r="A658" t="s">
        <v>1832</v>
      </c>
      <c r="B658">
        <v>0</v>
      </c>
      <c r="C658">
        <v>18</v>
      </c>
      <c r="E658" t="s">
        <v>1832</v>
      </c>
      <c r="F658">
        <v>0.15</v>
      </c>
      <c r="G658">
        <v>85.73</v>
      </c>
      <c r="I658" t="str" cm="1">
        <f t="array" ref="I658:J658">_xlfn.TEXTSPLIT(A658," ")</f>
        <v>27.10.2023</v>
      </c>
      <c r="J658" t="str">
        <v>10:57:04</v>
      </c>
      <c r="K658">
        <f t="shared" si="168"/>
        <v>10.916666666666789</v>
      </c>
      <c r="L658">
        <f t="shared" si="161"/>
        <v>3.6799999999999997</v>
      </c>
      <c r="M658">
        <f t="shared" si="162"/>
        <v>0</v>
      </c>
      <c r="N658">
        <f t="shared" si="156"/>
        <v>0.26999999999999991</v>
      </c>
      <c r="Q658" t="str" cm="1">
        <f t="array" ref="Q658:R658">_xlfn.TEXTSPLIT(E658," ")</f>
        <v>27.10.2023</v>
      </c>
      <c r="R658" t="str">
        <v>10:57:04</v>
      </c>
      <c r="S658">
        <f t="shared" si="169"/>
        <v>10.916666666666789</v>
      </c>
      <c r="T658">
        <f t="shared" si="160"/>
        <v>7.1300000000000097</v>
      </c>
      <c r="U658">
        <f t="shared" si="163"/>
        <v>0.15</v>
      </c>
      <c r="V658">
        <f t="shared" si="157"/>
        <v>1.4975000000000001</v>
      </c>
      <c r="AC658" t="s">
        <v>1833</v>
      </c>
      <c r="AD658">
        <v>0</v>
      </c>
      <c r="AE658">
        <v>7.39</v>
      </c>
      <c r="AG658" t="str" cm="1">
        <f t="array" ref="AG658:AH658">_xlfn.TEXTSPLIT(AC659," ")</f>
        <v>26.10.2023</v>
      </c>
      <c r="AH658" t="str">
        <v>10:58:03</v>
      </c>
      <c r="AI658">
        <f t="shared" si="170"/>
        <v>10.916666666666789</v>
      </c>
      <c r="AJ658">
        <f t="shared" si="164"/>
        <v>2.8599999999999994</v>
      </c>
      <c r="AK658">
        <f t="shared" si="165"/>
        <v>0</v>
      </c>
      <c r="AL658">
        <f t="shared" si="158"/>
        <v>0.35500000000000004</v>
      </c>
      <c r="AN658" t="s">
        <v>1833</v>
      </c>
      <c r="AO658">
        <v>0.3</v>
      </c>
      <c r="AP658">
        <v>69.180000000000007</v>
      </c>
      <c r="AR658" t="str" cm="1">
        <f t="array" ref="AR658:AS658">_xlfn.TEXTSPLIT(AN658," ")</f>
        <v>26.10.2023</v>
      </c>
      <c r="AS658" t="str">
        <v>10:57:03</v>
      </c>
      <c r="AT658">
        <f t="shared" si="171"/>
        <v>10.916666666666789</v>
      </c>
      <c r="AU658">
        <f t="shared" si="166"/>
        <v>7.8700000000000045</v>
      </c>
      <c r="AV658">
        <f t="shared" si="167"/>
        <v>0.3</v>
      </c>
      <c r="AW658">
        <f t="shared" si="159"/>
        <v>0.69500000000000028</v>
      </c>
    </row>
    <row r="659" spans="1:49" x14ac:dyDescent="0.25">
      <c r="A659" t="s">
        <v>1834</v>
      </c>
      <c r="B659">
        <v>0</v>
      </c>
      <c r="C659">
        <v>18</v>
      </c>
      <c r="E659" t="s">
        <v>1834</v>
      </c>
      <c r="F659">
        <v>0.15</v>
      </c>
      <c r="G659">
        <v>85.73</v>
      </c>
      <c r="I659" t="str" cm="1">
        <f t="array" ref="I659:J659">_xlfn.TEXTSPLIT(A659," ")</f>
        <v>27.10.2023</v>
      </c>
      <c r="J659" t="str">
        <v>10:58:04</v>
      </c>
      <c r="K659">
        <f t="shared" si="168"/>
        <v>10.933333333333456</v>
      </c>
      <c r="L659">
        <f t="shared" si="161"/>
        <v>3.6799999999999997</v>
      </c>
      <c r="M659">
        <f t="shared" si="162"/>
        <v>0</v>
      </c>
      <c r="N659">
        <f t="shared" si="156"/>
        <v>0.26999999999999991</v>
      </c>
      <c r="Q659" t="str" cm="1">
        <f t="array" ref="Q659:R659">_xlfn.TEXTSPLIT(E659," ")</f>
        <v>27.10.2023</v>
      </c>
      <c r="R659" t="str">
        <v>10:58:04</v>
      </c>
      <c r="S659">
        <f t="shared" si="169"/>
        <v>10.933333333333456</v>
      </c>
      <c r="T659">
        <f t="shared" si="160"/>
        <v>7.1300000000000097</v>
      </c>
      <c r="U659">
        <f t="shared" si="163"/>
        <v>0.15</v>
      </c>
      <c r="V659">
        <f t="shared" si="157"/>
        <v>1.5000000000000002</v>
      </c>
      <c r="AC659" t="s">
        <v>1835</v>
      </c>
      <c r="AD659">
        <v>0</v>
      </c>
      <c r="AE659">
        <v>7.39</v>
      </c>
      <c r="AG659" t="str" cm="1">
        <f t="array" ref="AG659:AH659">_xlfn.TEXTSPLIT(AC660," ")</f>
        <v>26.10.2023</v>
      </c>
      <c r="AH659" t="str">
        <v>10:59:03</v>
      </c>
      <c r="AI659">
        <f t="shared" si="170"/>
        <v>10.933333333333456</v>
      </c>
      <c r="AJ659">
        <f t="shared" si="164"/>
        <v>2.8599999999999994</v>
      </c>
      <c r="AK659">
        <f t="shared" si="165"/>
        <v>0</v>
      </c>
      <c r="AL659">
        <f t="shared" si="158"/>
        <v>0.35500000000000004</v>
      </c>
      <c r="AN659" t="s">
        <v>1835</v>
      </c>
      <c r="AO659">
        <v>0.15</v>
      </c>
      <c r="AP659">
        <v>69.19</v>
      </c>
      <c r="AR659" t="str" cm="1">
        <f t="array" ref="AR659:AS659">_xlfn.TEXTSPLIT(AN659," ")</f>
        <v>26.10.2023</v>
      </c>
      <c r="AS659" t="str">
        <v>10:58:03</v>
      </c>
      <c r="AT659">
        <f t="shared" si="171"/>
        <v>10.933333333333456</v>
      </c>
      <c r="AU659">
        <f t="shared" si="166"/>
        <v>7.8799999999999955</v>
      </c>
      <c r="AV659">
        <f t="shared" si="167"/>
        <v>0.15</v>
      </c>
      <c r="AW659">
        <f t="shared" si="159"/>
        <v>0.69750000000000023</v>
      </c>
    </row>
    <row r="660" spans="1:49" x14ac:dyDescent="0.25">
      <c r="A660" t="s">
        <v>1836</v>
      </c>
      <c r="B660">
        <v>8.6999999999999993</v>
      </c>
      <c r="C660">
        <v>18.14</v>
      </c>
      <c r="E660" t="s">
        <v>1836</v>
      </c>
      <c r="F660">
        <v>0.15</v>
      </c>
      <c r="G660">
        <v>85.73</v>
      </c>
      <c r="I660" t="str" cm="1">
        <f t="array" ref="I660:J660">_xlfn.TEXTSPLIT(A660," ")</f>
        <v>27.10.2023</v>
      </c>
      <c r="J660" t="str">
        <v>10:59:04</v>
      </c>
      <c r="K660">
        <f t="shared" si="168"/>
        <v>10.950000000000124</v>
      </c>
      <c r="L660">
        <f t="shared" si="161"/>
        <v>3.8200000000000003</v>
      </c>
      <c r="M660">
        <f t="shared" si="162"/>
        <v>8.6999999999999993</v>
      </c>
      <c r="N660">
        <f t="shared" si="156"/>
        <v>0.41499999999999992</v>
      </c>
      <c r="Q660" t="str" cm="1">
        <f t="array" ref="Q660:R660">_xlfn.TEXTSPLIT(E660," ")</f>
        <v>27.10.2023</v>
      </c>
      <c r="R660" t="str">
        <v>10:59:04</v>
      </c>
      <c r="S660">
        <f t="shared" si="169"/>
        <v>10.950000000000124</v>
      </c>
      <c r="T660">
        <f t="shared" si="160"/>
        <v>7.1300000000000097</v>
      </c>
      <c r="U660">
        <f t="shared" si="163"/>
        <v>0.15</v>
      </c>
      <c r="V660">
        <f t="shared" si="157"/>
        <v>1.5025000000000004</v>
      </c>
      <c r="AC660" t="s">
        <v>1837</v>
      </c>
      <c r="AD660">
        <v>0</v>
      </c>
      <c r="AE660">
        <v>7.39</v>
      </c>
      <c r="AG660" t="str" cm="1">
        <f t="array" ref="AG660:AH660">_xlfn.TEXTSPLIT(AC661," ")</f>
        <v>26.10.2023</v>
      </c>
      <c r="AH660" t="str">
        <v>11:00:03</v>
      </c>
      <c r="AI660">
        <f t="shared" si="170"/>
        <v>10.950000000000124</v>
      </c>
      <c r="AJ660">
        <f t="shared" si="164"/>
        <v>2.8599999999999994</v>
      </c>
      <c r="AK660">
        <f t="shared" si="165"/>
        <v>0</v>
      </c>
      <c r="AL660">
        <f t="shared" si="158"/>
        <v>0.35500000000000004</v>
      </c>
      <c r="AN660" t="s">
        <v>1837</v>
      </c>
      <c r="AO660">
        <v>0.15</v>
      </c>
      <c r="AP660">
        <v>69.19</v>
      </c>
      <c r="AR660" t="str" cm="1">
        <f t="array" ref="AR660:AS660">_xlfn.TEXTSPLIT(AN660," ")</f>
        <v>26.10.2023</v>
      </c>
      <c r="AS660" t="str">
        <v>10:59:03</v>
      </c>
      <c r="AT660">
        <f t="shared" si="171"/>
        <v>10.950000000000124</v>
      </c>
      <c r="AU660">
        <f t="shared" si="166"/>
        <v>7.8799999999999955</v>
      </c>
      <c r="AV660">
        <f t="shared" si="167"/>
        <v>0.15</v>
      </c>
      <c r="AW660">
        <f t="shared" si="159"/>
        <v>0.69750000000000012</v>
      </c>
    </row>
    <row r="661" spans="1:49" x14ac:dyDescent="0.25">
      <c r="A661" t="s">
        <v>1838</v>
      </c>
      <c r="B661">
        <v>25.2</v>
      </c>
      <c r="C661">
        <v>18.559999999999999</v>
      </c>
      <c r="E661" t="s">
        <v>1838</v>
      </c>
      <c r="F661">
        <v>0</v>
      </c>
      <c r="G661">
        <v>85.73</v>
      </c>
      <c r="I661" t="str" cm="1">
        <f t="array" ref="I661:J661">_xlfn.TEXTSPLIT(A661," ")</f>
        <v>27.10.2023</v>
      </c>
      <c r="J661" t="str">
        <v>11:00:04</v>
      </c>
      <c r="K661">
        <f t="shared" si="168"/>
        <v>10.966666666666791</v>
      </c>
      <c r="L661">
        <f t="shared" si="161"/>
        <v>4.2399999999999984</v>
      </c>
      <c r="M661">
        <f t="shared" si="162"/>
        <v>25.2</v>
      </c>
      <c r="N661">
        <f t="shared" si="156"/>
        <v>0.83499999999999985</v>
      </c>
      <c r="O661">
        <v>1</v>
      </c>
      <c r="Q661" t="str" cm="1">
        <f t="array" ref="Q661:R661">_xlfn.TEXTSPLIT(E661," ")</f>
        <v>27.10.2023</v>
      </c>
      <c r="R661" t="str">
        <v>11:00:04</v>
      </c>
      <c r="S661">
        <f t="shared" si="169"/>
        <v>10.966666666666791</v>
      </c>
      <c r="T661">
        <f t="shared" si="160"/>
        <v>7.1300000000000097</v>
      </c>
      <c r="U661">
        <f t="shared" si="163"/>
        <v>0</v>
      </c>
      <c r="V661">
        <f t="shared" si="157"/>
        <v>1.5025000000000004</v>
      </c>
      <c r="AC661" t="s">
        <v>1839</v>
      </c>
      <c r="AD661">
        <v>0</v>
      </c>
      <c r="AE661">
        <v>7.39</v>
      </c>
      <c r="AG661" t="str" cm="1">
        <f t="array" ref="AG661:AH661">_xlfn.TEXTSPLIT(AC662," ")</f>
        <v>26.10.2023</v>
      </c>
      <c r="AH661" t="str">
        <v>11:01:03</v>
      </c>
      <c r="AI661">
        <f t="shared" si="170"/>
        <v>10.966666666666791</v>
      </c>
      <c r="AJ661">
        <f t="shared" si="164"/>
        <v>2.8599999999999994</v>
      </c>
      <c r="AK661">
        <f t="shared" si="165"/>
        <v>0</v>
      </c>
      <c r="AL661">
        <f t="shared" si="158"/>
        <v>0.35500000000000004</v>
      </c>
      <c r="AN661" t="s">
        <v>1839</v>
      </c>
      <c r="AO661">
        <v>0.45</v>
      </c>
      <c r="AP661">
        <v>69.2</v>
      </c>
      <c r="AR661" t="str" cm="1">
        <f t="array" ref="AR661:AS661">_xlfn.TEXTSPLIT(AN661," ")</f>
        <v>26.10.2023</v>
      </c>
      <c r="AS661" t="str">
        <v>11:00:03</v>
      </c>
      <c r="AT661">
        <f t="shared" si="171"/>
        <v>10.966666666666791</v>
      </c>
      <c r="AU661">
        <f t="shared" si="166"/>
        <v>7.8900000000000006</v>
      </c>
      <c r="AV661">
        <f t="shared" si="167"/>
        <v>0.45</v>
      </c>
      <c r="AW661">
        <f t="shared" si="159"/>
        <v>0.70250000000000024</v>
      </c>
    </row>
    <row r="662" spans="1:49" x14ac:dyDescent="0.25">
      <c r="A662" t="s">
        <v>1840</v>
      </c>
      <c r="B662">
        <v>0</v>
      </c>
      <c r="C662">
        <v>18.559999999999999</v>
      </c>
      <c r="E662" t="s">
        <v>1840</v>
      </c>
      <c r="F662">
        <v>0</v>
      </c>
      <c r="G662">
        <v>85.73</v>
      </c>
      <c r="I662" t="str" cm="1">
        <f t="array" ref="I662:J662">_xlfn.TEXTSPLIT(A662," ")</f>
        <v>27.10.2023</v>
      </c>
      <c r="J662" t="str">
        <v>11:01:04</v>
      </c>
      <c r="K662">
        <f t="shared" si="168"/>
        <v>10.983333333333459</v>
      </c>
      <c r="L662">
        <f t="shared" si="161"/>
        <v>4.2399999999999984</v>
      </c>
      <c r="M662">
        <f t="shared" si="162"/>
        <v>0</v>
      </c>
      <c r="N662">
        <f t="shared" si="156"/>
        <v>0.83499999999999985</v>
      </c>
      <c r="Q662" t="str" cm="1">
        <f t="array" ref="Q662:R662">_xlfn.TEXTSPLIT(E662," ")</f>
        <v>27.10.2023</v>
      </c>
      <c r="R662" t="str">
        <v>11:01:04</v>
      </c>
      <c r="S662">
        <f t="shared" si="169"/>
        <v>10.983333333333459</v>
      </c>
      <c r="T662">
        <f t="shared" si="160"/>
        <v>7.1300000000000097</v>
      </c>
      <c r="U662">
        <f t="shared" si="163"/>
        <v>0</v>
      </c>
      <c r="V662">
        <f t="shared" si="157"/>
        <v>1.5000000000000002</v>
      </c>
      <c r="AC662" t="s">
        <v>1841</v>
      </c>
      <c r="AD662">
        <v>0</v>
      </c>
      <c r="AE662">
        <v>7.39</v>
      </c>
      <c r="AG662" t="str" cm="1">
        <f t="array" ref="AG662:AH662">_xlfn.TEXTSPLIT(AC663," ")</f>
        <v>26.10.2023</v>
      </c>
      <c r="AH662" t="str">
        <v>11:02:03</v>
      </c>
      <c r="AI662">
        <f t="shared" si="170"/>
        <v>10.983333333333459</v>
      </c>
      <c r="AJ662">
        <f t="shared" si="164"/>
        <v>2.8599999999999994</v>
      </c>
      <c r="AK662">
        <f t="shared" si="165"/>
        <v>0</v>
      </c>
      <c r="AL662">
        <f t="shared" si="158"/>
        <v>0.35500000000000004</v>
      </c>
      <c r="AN662" t="s">
        <v>1841</v>
      </c>
      <c r="AO662">
        <v>0.45</v>
      </c>
      <c r="AP662">
        <v>69.209999999999994</v>
      </c>
      <c r="AR662" t="str" cm="1">
        <f t="array" ref="AR662:AS662">_xlfn.TEXTSPLIT(AN662," ")</f>
        <v>26.10.2023</v>
      </c>
      <c r="AS662" t="str">
        <v>11:01:03</v>
      </c>
      <c r="AT662">
        <f t="shared" si="171"/>
        <v>10.983333333333459</v>
      </c>
      <c r="AU662">
        <f t="shared" si="166"/>
        <v>7.8999999999999915</v>
      </c>
      <c r="AV662">
        <f t="shared" si="167"/>
        <v>0.45</v>
      </c>
      <c r="AW662">
        <f t="shared" si="159"/>
        <v>0.70500000000000018</v>
      </c>
    </row>
    <row r="663" spans="1:49" x14ac:dyDescent="0.25">
      <c r="A663" t="s">
        <v>1842</v>
      </c>
      <c r="B663">
        <v>0</v>
      </c>
      <c r="C663">
        <v>18.559999999999999</v>
      </c>
      <c r="E663" t="s">
        <v>1842</v>
      </c>
      <c r="F663">
        <v>0</v>
      </c>
      <c r="G663">
        <v>85.73</v>
      </c>
      <c r="I663" t="str" cm="1">
        <f t="array" ref="I663:J663">_xlfn.TEXTSPLIT(A663," ")</f>
        <v>27.10.2023</v>
      </c>
      <c r="J663" t="str">
        <v>11:02:04</v>
      </c>
      <c r="K663">
        <f t="shared" si="168"/>
        <v>11.000000000000126</v>
      </c>
      <c r="L663">
        <f t="shared" si="161"/>
        <v>4.2399999999999984</v>
      </c>
      <c r="M663">
        <f t="shared" si="162"/>
        <v>0</v>
      </c>
      <c r="N663">
        <f t="shared" si="156"/>
        <v>0.83499999999999985</v>
      </c>
      <c r="Q663" t="str" cm="1">
        <f t="array" ref="Q663:R663">_xlfn.TEXTSPLIT(E663," ")</f>
        <v>27.10.2023</v>
      </c>
      <c r="R663" t="str">
        <v>11:02:04</v>
      </c>
      <c r="S663">
        <f t="shared" si="169"/>
        <v>11.000000000000126</v>
      </c>
      <c r="T663">
        <f t="shared" si="160"/>
        <v>7.1300000000000097</v>
      </c>
      <c r="U663">
        <f t="shared" si="163"/>
        <v>0</v>
      </c>
      <c r="V663">
        <f t="shared" si="157"/>
        <v>1.5000000000000002</v>
      </c>
      <c r="AC663" t="s">
        <v>1843</v>
      </c>
      <c r="AD663">
        <v>0</v>
      </c>
      <c r="AE663">
        <v>7.39</v>
      </c>
      <c r="AG663" t="str" cm="1">
        <f t="array" ref="AG663:AH663">_xlfn.TEXTSPLIT(AC664," ")</f>
        <v>26.10.2023</v>
      </c>
      <c r="AH663" t="str">
        <v>11:03:03</v>
      </c>
      <c r="AI663">
        <f t="shared" si="170"/>
        <v>11.000000000000126</v>
      </c>
      <c r="AJ663">
        <f t="shared" si="164"/>
        <v>2.8599999999999994</v>
      </c>
      <c r="AK663">
        <f t="shared" si="165"/>
        <v>0</v>
      </c>
      <c r="AL663">
        <f t="shared" si="158"/>
        <v>0.35500000000000004</v>
      </c>
      <c r="AN663" t="s">
        <v>1843</v>
      </c>
      <c r="AO663">
        <v>0.45</v>
      </c>
      <c r="AP663">
        <v>69.209999999999994</v>
      </c>
      <c r="AR663" t="str" cm="1">
        <f t="array" ref="AR663:AS663">_xlfn.TEXTSPLIT(AN663," ")</f>
        <v>26.10.2023</v>
      </c>
      <c r="AS663" t="str">
        <v>11:02:03</v>
      </c>
      <c r="AT663">
        <f t="shared" si="171"/>
        <v>11.000000000000126</v>
      </c>
      <c r="AU663">
        <f t="shared" si="166"/>
        <v>7.8999999999999915</v>
      </c>
      <c r="AV663">
        <f t="shared" si="167"/>
        <v>0.45</v>
      </c>
      <c r="AW663">
        <f t="shared" si="159"/>
        <v>0.70750000000000024</v>
      </c>
    </row>
    <row r="664" spans="1:49" x14ac:dyDescent="0.25">
      <c r="A664" t="s">
        <v>1844</v>
      </c>
      <c r="B664">
        <v>0</v>
      </c>
      <c r="C664">
        <v>18.559999999999999</v>
      </c>
      <c r="E664" t="s">
        <v>1844</v>
      </c>
      <c r="F664">
        <v>0</v>
      </c>
      <c r="G664">
        <v>85.74</v>
      </c>
      <c r="I664" t="str" cm="1">
        <f t="array" ref="I664:J664">_xlfn.TEXTSPLIT(A664," ")</f>
        <v>27.10.2023</v>
      </c>
      <c r="J664" t="str">
        <v>11:03:04</v>
      </c>
      <c r="K664">
        <f t="shared" si="168"/>
        <v>11.016666666666794</v>
      </c>
      <c r="L664">
        <f t="shared" si="161"/>
        <v>4.2399999999999984</v>
      </c>
      <c r="M664">
        <f t="shared" si="162"/>
        <v>0</v>
      </c>
      <c r="N664">
        <f t="shared" si="156"/>
        <v>0.83499999999999985</v>
      </c>
      <c r="Q664" t="str" cm="1">
        <f t="array" ref="Q664:R664">_xlfn.TEXTSPLIT(E664," ")</f>
        <v>27.10.2023</v>
      </c>
      <c r="R664" t="str">
        <v>11:03:04</v>
      </c>
      <c r="S664">
        <f t="shared" si="169"/>
        <v>11.016666666666794</v>
      </c>
      <c r="T664">
        <f t="shared" si="160"/>
        <v>7.1400000000000006</v>
      </c>
      <c r="U664">
        <f t="shared" si="163"/>
        <v>0</v>
      </c>
      <c r="V664">
        <f t="shared" si="157"/>
        <v>1.4950000000000003</v>
      </c>
      <c r="AC664" t="s">
        <v>1845</v>
      </c>
      <c r="AD664">
        <v>0</v>
      </c>
      <c r="AE664">
        <v>7.39</v>
      </c>
      <c r="AG664" t="str" cm="1">
        <f t="array" ref="AG664:AH664">_xlfn.TEXTSPLIT(AC665," ")</f>
        <v>26.10.2023</v>
      </c>
      <c r="AH664" t="str">
        <v>11:04:04</v>
      </c>
      <c r="AI664">
        <f t="shared" si="170"/>
        <v>11.016666666666794</v>
      </c>
      <c r="AJ664">
        <f t="shared" si="164"/>
        <v>2.8599999999999994</v>
      </c>
      <c r="AK664">
        <f t="shared" si="165"/>
        <v>0</v>
      </c>
      <c r="AL664">
        <f t="shared" si="158"/>
        <v>0.35500000000000004</v>
      </c>
      <c r="AN664" t="s">
        <v>1845</v>
      </c>
      <c r="AO664">
        <v>0.45</v>
      </c>
      <c r="AP664">
        <v>69.22</v>
      </c>
      <c r="AR664" t="str" cm="1">
        <f t="array" ref="AR664:AS664">_xlfn.TEXTSPLIT(AN664," ")</f>
        <v>26.10.2023</v>
      </c>
      <c r="AS664" t="str">
        <v>11:03:03</v>
      </c>
      <c r="AT664">
        <f t="shared" si="171"/>
        <v>11.016666666666794</v>
      </c>
      <c r="AU664">
        <f t="shared" si="166"/>
        <v>7.9099999999999966</v>
      </c>
      <c r="AV664">
        <f t="shared" si="167"/>
        <v>0.45</v>
      </c>
      <c r="AW664">
        <f t="shared" si="159"/>
        <v>0.71000000000000041</v>
      </c>
    </row>
    <row r="665" spans="1:49" x14ac:dyDescent="0.25">
      <c r="A665" t="s">
        <v>1846</v>
      </c>
      <c r="B665">
        <v>0</v>
      </c>
      <c r="C665">
        <v>18.559999999999999</v>
      </c>
      <c r="E665" t="s">
        <v>1846</v>
      </c>
      <c r="F665">
        <v>0.6</v>
      </c>
      <c r="G665">
        <v>85.74</v>
      </c>
      <c r="I665" t="str" cm="1">
        <f t="array" ref="I665:J665">_xlfn.TEXTSPLIT(A665," ")</f>
        <v>27.10.2023</v>
      </c>
      <c r="J665" t="str">
        <v>11:04:05</v>
      </c>
      <c r="K665">
        <f t="shared" si="168"/>
        <v>11.033333333333461</v>
      </c>
      <c r="L665">
        <f t="shared" si="161"/>
        <v>4.2399999999999984</v>
      </c>
      <c r="M665">
        <f t="shared" si="162"/>
        <v>0</v>
      </c>
      <c r="N665">
        <f t="shared" si="156"/>
        <v>0.83499999999999985</v>
      </c>
      <c r="Q665" t="str" cm="1">
        <f t="array" ref="Q665:R665">_xlfn.TEXTSPLIT(E665," ")</f>
        <v>27.10.2023</v>
      </c>
      <c r="R665" t="str">
        <v>11:04:05</v>
      </c>
      <c r="S665">
        <f t="shared" si="169"/>
        <v>11.033333333333461</v>
      </c>
      <c r="T665">
        <f t="shared" si="160"/>
        <v>7.1400000000000006</v>
      </c>
      <c r="U665">
        <f t="shared" si="163"/>
        <v>0.6</v>
      </c>
      <c r="V665">
        <f t="shared" si="157"/>
        <v>1.5000000000000002</v>
      </c>
      <c r="AC665" t="s">
        <v>1847</v>
      </c>
      <c r="AD665">
        <v>0</v>
      </c>
      <c r="AE665">
        <v>7.39</v>
      </c>
      <c r="AG665" t="str" cm="1">
        <f t="array" ref="AG665:AH665">_xlfn.TEXTSPLIT(AC666," ")</f>
        <v>26.10.2023</v>
      </c>
      <c r="AH665" t="str">
        <v>11:05:04</v>
      </c>
      <c r="AI665">
        <f t="shared" si="170"/>
        <v>11.033333333333461</v>
      </c>
      <c r="AJ665">
        <f t="shared" si="164"/>
        <v>2.8599999999999994</v>
      </c>
      <c r="AK665">
        <f t="shared" si="165"/>
        <v>0</v>
      </c>
      <c r="AL665">
        <f t="shared" si="158"/>
        <v>0.35500000000000004</v>
      </c>
      <c r="AN665" t="s">
        <v>1847</v>
      </c>
      <c r="AO665">
        <v>0.6</v>
      </c>
      <c r="AP665">
        <v>69.23</v>
      </c>
      <c r="AR665" t="str" cm="1">
        <f t="array" ref="AR665:AS665">_xlfn.TEXTSPLIT(AN665," ")</f>
        <v>26.10.2023</v>
      </c>
      <c r="AS665" t="str">
        <v>11:04:04</v>
      </c>
      <c r="AT665">
        <f t="shared" si="171"/>
        <v>11.033333333333461</v>
      </c>
      <c r="AU665">
        <f t="shared" si="166"/>
        <v>7.9200000000000017</v>
      </c>
      <c r="AV665">
        <f t="shared" si="167"/>
        <v>0.6</v>
      </c>
      <c r="AW665">
        <f t="shared" si="159"/>
        <v>0.71500000000000041</v>
      </c>
    </row>
    <row r="666" spans="1:49" x14ac:dyDescent="0.25">
      <c r="A666" t="s">
        <v>1848</v>
      </c>
      <c r="B666">
        <v>0</v>
      </c>
      <c r="C666">
        <v>18.559999999999999</v>
      </c>
      <c r="E666" t="s">
        <v>1848</v>
      </c>
      <c r="F666">
        <v>0.6</v>
      </c>
      <c r="G666">
        <v>85.78</v>
      </c>
      <c r="I666" t="str" cm="1">
        <f t="array" ref="I666:J666">_xlfn.TEXTSPLIT(A666," ")</f>
        <v>27.10.2023</v>
      </c>
      <c r="J666" t="str">
        <v>11:05:05</v>
      </c>
      <c r="K666">
        <f t="shared" si="168"/>
        <v>11.050000000000129</v>
      </c>
      <c r="L666">
        <f t="shared" si="161"/>
        <v>4.2399999999999984</v>
      </c>
      <c r="M666">
        <f t="shared" si="162"/>
        <v>0</v>
      </c>
      <c r="N666">
        <f t="shared" si="156"/>
        <v>0.83499999999999985</v>
      </c>
      <c r="Q666" t="str" cm="1">
        <f t="array" ref="Q666:R666">_xlfn.TEXTSPLIT(E666," ")</f>
        <v>27.10.2023</v>
      </c>
      <c r="R666" t="str">
        <v>11:05:05</v>
      </c>
      <c r="S666">
        <f t="shared" si="169"/>
        <v>11.050000000000129</v>
      </c>
      <c r="T666">
        <f t="shared" si="160"/>
        <v>7.1800000000000068</v>
      </c>
      <c r="U666">
        <f t="shared" si="163"/>
        <v>0.6</v>
      </c>
      <c r="V666">
        <f t="shared" si="157"/>
        <v>1.5075000000000001</v>
      </c>
      <c r="AC666" t="s">
        <v>1849</v>
      </c>
      <c r="AD666">
        <v>0</v>
      </c>
      <c r="AE666">
        <v>7.39</v>
      </c>
      <c r="AG666" t="str" cm="1">
        <f t="array" ref="AG666:AH666">_xlfn.TEXTSPLIT(AC667," ")</f>
        <v>26.10.2023</v>
      </c>
      <c r="AH666" t="str">
        <v>11:06:04</v>
      </c>
      <c r="AI666">
        <f t="shared" si="170"/>
        <v>11.050000000000129</v>
      </c>
      <c r="AJ666">
        <f t="shared" si="164"/>
        <v>2.8599999999999994</v>
      </c>
      <c r="AK666">
        <f t="shared" si="165"/>
        <v>0</v>
      </c>
      <c r="AL666">
        <f t="shared" si="158"/>
        <v>0.35500000000000004</v>
      </c>
      <c r="AN666" t="s">
        <v>1849</v>
      </c>
      <c r="AO666">
        <v>0.3</v>
      </c>
      <c r="AP666">
        <v>69.239999999999995</v>
      </c>
      <c r="AR666" t="str" cm="1">
        <f t="array" ref="AR666:AS666">_xlfn.TEXTSPLIT(AN666," ")</f>
        <v>26.10.2023</v>
      </c>
      <c r="AS666" t="str">
        <v>11:05:04</v>
      </c>
      <c r="AT666">
        <f t="shared" si="171"/>
        <v>11.050000000000129</v>
      </c>
      <c r="AU666">
        <f t="shared" si="166"/>
        <v>7.9299999999999926</v>
      </c>
      <c r="AV666">
        <f t="shared" si="167"/>
        <v>0.3</v>
      </c>
      <c r="AW666">
        <f t="shared" si="159"/>
        <v>0.7150000000000003</v>
      </c>
    </row>
    <row r="667" spans="1:49" x14ac:dyDescent="0.25">
      <c r="A667" t="s">
        <v>1850</v>
      </c>
      <c r="B667">
        <v>0.15</v>
      </c>
      <c r="C667">
        <v>18.57</v>
      </c>
      <c r="E667" t="s">
        <v>1850</v>
      </c>
      <c r="F667">
        <v>7.65</v>
      </c>
      <c r="G667">
        <v>85.89</v>
      </c>
      <c r="I667" t="str" cm="1">
        <f t="array" ref="I667:J667">_xlfn.TEXTSPLIT(A667," ")</f>
        <v>27.10.2023</v>
      </c>
      <c r="J667" t="str">
        <v>11:06:05</v>
      </c>
      <c r="K667">
        <f t="shared" si="168"/>
        <v>11.066666666666796</v>
      </c>
      <c r="L667">
        <f t="shared" si="161"/>
        <v>4.25</v>
      </c>
      <c r="M667">
        <f t="shared" si="162"/>
        <v>0.15</v>
      </c>
      <c r="N667">
        <f t="shared" si="156"/>
        <v>0.83749999999999991</v>
      </c>
      <c r="Q667" t="str" cm="1">
        <f t="array" ref="Q667:R667">_xlfn.TEXTSPLIT(E667," ")</f>
        <v>27.10.2023</v>
      </c>
      <c r="R667" t="str">
        <v>11:06:05</v>
      </c>
      <c r="S667">
        <f t="shared" si="169"/>
        <v>11.066666666666796</v>
      </c>
      <c r="T667">
        <f t="shared" si="160"/>
        <v>7.2900000000000063</v>
      </c>
      <c r="U667">
        <f t="shared" si="163"/>
        <v>7.65</v>
      </c>
      <c r="V667">
        <f t="shared" si="157"/>
        <v>1.6250000000000002</v>
      </c>
      <c r="AC667" t="s">
        <v>1851</v>
      </c>
      <c r="AD667">
        <v>0</v>
      </c>
      <c r="AE667">
        <v>7.39</v>
      </c>
      <c r="AG667" t="str" cm="1">
        <f t="array" ref="AG667:AH667">_xlfn.TEXTSPLIT(AC668," ")</f>
        <v>26.10.2023</v>
      </c>
      <c r="AH667" t="str">
        <v>11:07:04</v>
      </c>
      <c r="AI667">
        <f t="shared" si="170"/>
        <v>11.066666666666796</v>
      </c>
      <c r="AJ667">
        <f t="shared" si="164"/>
        <v>2.8599999999999994</v>
      </c>
      <c r="AK667">
        <f t="shared" si="165"/>
        <v>0</v>
      </c>
      <c r="AL667">
        <f t="shared" si="158"/>
        <v>0.35500000000000004</v>
      </c>
      <c r="AN667" t="s">
        <v>1851</v>
      </c>
      <c r="AO667">
        <v>0.45</v>
      </c>
      <c r="AP667">
        <v>69.239999999999995</v>
      </c>
      <c r="AR667" t="str" cm="1">
        <f t="array" ref="AR667:AS667">_xlfn.TEXTSPLIT(AN667," ")</f>
        <v>26.10.2023</v>
      </c>
      <c r="AS667" t="str">
        <v>11:06:04</v>
      </c>
      <c r="AT667">
        <f t="shared" si="171"/>
        <v>11.066666666666796</v>
      </c>
      <c r="AU667">
        <f t="shared" si="166"/>
        <v>7.9299999999999926</v>
      </c>
      <c r="AV667">
        <f t="shared" si="167"/>
        <v>0.45</v>
      </c>
      <c r="AW667">
        <f t="shared" si="159"/>
        <v>0.71500000000000041</v>
      </c>
    </row>
    <row r="668" spans="1:49" x14ac:dyDescent="0.25">
      <c r="A668" t="s">
        <v>1852</v>
      </c>
      <c r="B668">
        <v>3.9</v>
      </c>
      <c r="C668">
        <v>18.62</v>
      </c>
      <c r="E668" t="s">
        <v>1852</v>
      </c>
      <c r="F668">
        <v>20.85</v>
      </c>
      <c r="G668">
        <v>86.25</v>
      </c>
      <c r="I668" t="str" cm="1">
        <f t="array" ref="I668:J668">_xlfn.TEXTSPLIT(A668," ")</f>
        <v>27.10.2023</v>
      </c>
      <c r="J668" t="str">
        <v>11:07:05</v>
      </c>
      <c r="K668">
        <f t="shared" si="168"/>
        <v>11.083333333333464</v>
      </c>
      <c r="L668">
        <f t="shared" si="161"/>
        <v>4.3000000000000007</v>
      </c>
      <c r="M668">
        <f t="shared" si="162"/>
        <v>3.9</v>
      </c>
      <c r="N668">
        <f t="shared" si="156"/>
        <v>0.90249999999999986</v>
      </c>
      <c r="Q668" t="str" cm="1">
        <f t="array" ref="Q668:R668">_xlfn.TEXTSPLIT(E668," ")</f>
        <v>27.10.2023</v>
      </c>
      <c r="R668" t="str">
        <v>11:07:05</v>
      </c>
      <c r="S668">
        <f t="shared" si="169"/>
        <v>11.083333333333464</v>
      </c>
      <c r="T668">
        <f t="shared" si="160"/>
        <v>7.6500000000000057</v>
      </c>
      <c r="U668">
        <f t="shared" si="163"/>
        <v>20.85</v>
      </c>
      <c r="V668">
        <f t="shared" si="157"/>
        <v>1.9500000000000004</v>
      </c>
      <c r="W668">
        <v>1</v>
      </c>
      <c r="AC668" t="s">
        <v>1853</v>
      </c>
      <c r="AD668">
        <v>0</v>
      </c>
      <c r="AE668">
        <v>7.39</v>
      </c>
      <c r="AG668" t="str" cm="1">
        <f t="array" ref="AG668:AH668">_xlfn.TEXTSPLIT(AC669," ")</f>
        <v>26.10.2023</v>
      </c>
      <c r="AH668" t="str">
        <v>11:08:04</v>
      </c>
      <c r="AI668">
        <f t="shared" si="170"/>
        <v>11.083333333333464</v>
      </c>
      <c r="AJ668">
        <f t="shared" si="164"/>
        <v>2.8599999999999994</v>
      </c>
      <c r="AK668">
        <f t="shared" si="165"/>
        <v>0</v>
      </c>
      <c r="AL668">
        <f t="shared" si="158"/>
        <v>0.35500000000000004</v>
      </c>
      <c r="AN668" t="s">
        <v>1853</v>
      </c>
      <c r="AO668">
        <v>1.05</v>
      </c>
      <c r="AP668">
        <v>69.260000000000005</v>
      </c>
      <c r="AR668" t="str" cm="1">
        <f t="array" ref="AR668:AS668">_xlfn.TEXTSPLIT(AN668," ")</f>
        <v>26.10.2023</v>
      </c>
      <c r="AS668" t="str">
        <v>11:07:04</v>
      </c>
      <c r="AT668">
        <f t="shared" si="171"/>
        <v>11.083333333333464</v>
      </c>
      <c r="AU668">
        <f t="shared" si="166"/>
        <v>7.9500000000000028</v>
      </c>
      <c r="AV668">
        <f t="shared" si="167"/>
        <v>1.05</v>
      </c>
      <c r="AW668">
        <f t="shared" si="159"/>
        <v>0.72750000000000037</v>
      </c>
    </row>
    <row r="669" spans="1:49" x14ac:dyDescent="0.25">
      <c r="A669" t="s">
        <v>1854</v>
      </c>
      <c r="B669">
        <v>1.65</v>
      </c>
      <c r="C669">
        <v>18.649999999999999</v>
      </c>
      <c r="E669" t="s">
        <v>1854</v>
      </c>
      <c r="F669">
        <v>32.4</v>
      </c>
      <c r="G669">
        <v>86.91</v>
      </c>
      <c r="I669" t="str" cm="1">
        <f t="array" ref="I669:J669">_xlfn.TEXTSPLIT(A669," ")</f>
        <v>27.10.2023</v>
      </c>
      <c r="J669" t="str">
        <v>11:08:05</v>
      </c>
      <c r="K669">
        <f t="shared" si="168"/>
        <v>11.100000000000131</v>
      </c>
      <c r="L669">
        <f t="shared" si="161"/>
        <v>4.3299999999999983</v>
      </c>
      <c r="M669">
        <f t="shared" si="162"/>
        <v>1.65</v>
      </c>
      <c r="N669">
        <f t="shared" si="156"/>
        <v>0.92999999999999983</v>
      </c>
      <c r="Q669" t="str" cm="1">
        <f t="array" ref="Q669:R669">_xlfn.TEXTSPLIT(E669," ")</f>
        <v>27.10.2023</v>
      </c>
      <c r="R669" t="str">
        <v>11:08:05</v>
      </c>
      <c r="S669">
        <f t="shared" si="169"/>
        <v>11.100000000000131</v>
      </c>
      <c r="T669">
        <f t="shared" si="160"/>
        <v>8.3100000000000023</v>
      </c>
      <c r="U669">
        <f t="shared" si="163"/>
        <v>32.4</v>
      </c>
      <c r="V669">
        <f t="shared" si="157"/>
        <v>2.4700000000000002</v>
      </c>
      <c r="AC669" t="s">
        <v>1855</v>
      </c>
      <c r="AD669">
        <v>0</v>
      </c>
      <c r="AE669">
        <v>7.39</v>
      </c>
      <c r="AG669" t="str" cm="1">
        <f t="array" ref="AG669:AH669">_xlfn.TEXTSPLIT(AC670," ")</f>
        <v>26.10.2023</v>
      </c>
      <c r="AH669" t="str">
        <v>11:09:04</v>
      </c>
      <c r="AI669">
        <f t="shared" si="170"/>
        <v>11.100000000000131</v>
      </c>
      <c r="AJ669">
        <f t="shared" si="164"/>
        <v>2.8599999999999994</v>
      </c>
      <c r="AK669">
        <f t="shared" si="165"/>
        <v>0</v>
      </c>
      <c r="AL669">
        <f t="shared" si="158"/>
        <v>0.35500000000000004</v>
      </c>
      <c r="AN669" t="s">
        <v>1855</v>
      </c>
      <c r="AO669">
        <v>2.1</v>
      </c>
      <c r="AP669">
        <v>69.3</v>
      </c>
      <c r="AR669" t="str" cm="1">
        <f t="array" ref="AR669:AS669">_xlfn.TEXTSPLIT(AN669," ")</f>
        <v>26.10.2023</v>
      </c>
      <c r="AS669" t="str">
        <v>11:08:04</v>
      </c>
      <c r="AT669">
        <f t="shared" si="171"/>
        <v>11.100000000000131</v>
      </c>
      <c r="AU669">
        <f t="shared" si="166"/>
        <v>7.9899999999999949</v>
      </c>
      <c r="AV669">
        <f t="shared" si="167"/>
        <v>2.1</v>
      </c>
      <c r="AW669">
        <f t="shared" si="159"/>
        <v>0.74250000000000027</v>
      </c>
    </row>
    <row r="670" spans="1:49" x14ac:dyDescent="0.25">
      <c r="A670" t="s">
        <v>1856</v>
      </c>
      <c r="B670">
        <v>43.35</v>
      </c>
      <c r="C670">
        <v>19.399999999999999</v>
      </c>
      <c r="E670" t="s">
        <v>1856</v>
      </c>
      <c r="F670">
        <v>14.85</v>
      </c>
      <c r="G670">
        <v>87.03</v>
      </c>
      <c r="I670" t="str" cm="1">
        <f t="array" ref="I670:J670">_xlfn.TEXTSPLIT(A670," ")</f>
        <v>27.10.2023</v>
      </c>
      <c r="J670" t="str">
        <v>11:09:05</v>
      </c>
      <c r="K670">
        <f t="shared" si="168"/>
        <v>11.116666666666799</v>
      </c>
      <c r="L670">
        <f t="shared" si="161"/>
        <v>5.0799999999999983</v>
      </c>
      <c r="M670">
        <f t="shared" si="162"/>
        <v>43.35</v>
      </c>
      <c r="N670">
        <f t="shared" si="156"/>
        <v>1.64</v>
      </c>
      <c r="O670">
        <v>1</v>
      </c>
      <c r="Q670" t="str" cm="1">
        <f t="array" ref="Q670:R670">_xlfn.TEXTSPLIT(E670," ")</f>
        <v>27.10.2023</v>
      </c>
      <c r="R670" t="str">
        <v>11:09:05</v>
      </c>
      <c r="S670">
        <f t="shared" si="169"/>
        <v>11.116666666666799</v>
      </c>
      <c r="T670">
        <f t="shared" si="160"/>
        <v>8.4300000000000068</v>
      </c>
      <c r="U670">
        <f t="shared" si="163"/>
        <v>14.85</v>
      </c>
      <c r="V670">
        <f t="shared" si="157"/>
        <v>2.6925000000000003</v>
      </c>
      <c r="AC670" t="s">
        <v>1857</v>
      </c>
      <c r="AD670">
        <v>1.5</v>
      </c>
      <c r="AE670">
        <v>7.42</v>
      </c>
      <c r="AG670" t="str" cm="1">
        <f t="array" ref="AG670:AH670">_xlfn.TEXTSPLIT(AC671," ")</f>
        <v>26.10.2023</v>
      </c>
      <c r="AH670" t="str">
        <v>11:10:04</v>
      </c>
      <c r="AI670">
        <f t="shared" si="170"/>
        <v>11.116666666666799</v>
      </c>
      <c r="AJ670">
        <f t="shared" si="164"/>
        <v>2.8899999999999997</v>
      </c>
      <c r="AK670">
        <f t="shared" si="165"/>
        <v>1.5</v>
      </c>
      <c r="AL670">
        <f t="shared" si="158"/>
        <v>0.38</v>
      </c>
      <c r="AN670" t="s">
        <v>1857</v>
      </c>
      <c r="AO670">
        <v>2.5499999999999998</v>
      </c>
      <c r="AP670">
        <v>69.34</v>
      </c>
      <c r="AR670" t="str" cm="1">
        <f t="array" ref="AR670:AS670">_xlfn.TEXTSPLIT(AN670," ")</f>
        <v>26.10.2023</v>
      </c>
      <c r="AS670" t="str">
        <v>11:09:04</v>
      </c>
      <c r="AT670">
        <f t="shared" si="171"/>
        <v>11.116666666666799</v>
      </c>
      <c r="AU670">
        <f t="shared" si="166"/>
        <v>8.0300000000000011</v>
      </c>
      <c r="AV670">
        <f t="shared" si="167"/>
        <v>2.5499999999999998</v>
      </c>
      <c r="AW670">
        <f t="shared" si="159"/>
        <v>0.74000000000000044</v>
      </c>
    </row>
    <row r="671" spans="1:49" x14ac:dyDescent="0.25">
      <c r="A671" t="s">
        <v>1858</v>
      </c>
      <c r="B671">
        <v>7.2</v>
      </c>
      <c r="C671">
        <v>19.510000000000002</v>
      </c>
      <c r="E671" t="s">
        <v>1858</v>
      </c>
      <c r="F671">
        <v>4.3499999999999996</v>
      </c>
      <c r="G671">
        <v>87.1</v>
      </c>
      <c r="I671" t="str" cm="1">
        <f t="array" ref="I671:J671">_xlfn.TEXTSPLIT(A671," ")</f>
        <v>27.10.2023</v>
      </c>
      <c r="J671" t="str">
        <v>11:10:05</v>
      </c>
      <c r="K671">
        <f t="shared" si="168"/>
        <v>11.133333333333466</v>
      </c>
      <c r="L671">
        <f t="shared" si="161"/>
        <v>5.1900000000000013</v>
      </c>
      <c r="M671">
        <f t="shared" si="162"/>
        <v>7.2</v>
      </c>
      <c r="N671">
        <f t="shared" si="156"/>
        <v>1.7224999999999999</v>
      </c>
      <c r="Q671" t="str" cm="1">
        <f t="array" ref="Q671:R671">_xlfn.TEXTSPLIT(E671," ")</f>
        <v>27.10.2023</v>
      </c>
      <c r="R671" t="str">
        <v>11:10:05</v>
      </c>
      <c r="S671">
        <f t="shared" si="169"/>
        <v>11.133333333333466</v>
      </c>
      <c r="T671">
        <f t="shared" si="160"/>
        <v>8.5</v>
      </c>
      <c r="U671">
        <f t="shared" si="163"/>
        <v>4.3499999999999996</v>
      </c>
      <c r="V671">
        <f t="shared" si="157"/>
        <v>2.7425000000000002</v>
      </c>
      <c r="AC671" t="s">
        <v>1859</v>
      </c>
      <c r="AD671">
        <v>2.1</v>
      </c>
      <c r="AE671">
        <v>7.45</v>
      </c>
      <c r="AG671" t="str" cm="1">
        <f t="array" ref="AG671:AH671">_xlfn.TEXTSPLIT(AC672," ")</f>
        <v>26.10.2023</v>
      </c>
      <c r="AH671" t="str">
        <v>11:11:05</v>
      </c>
      <c r="AI671">
        <f t="shared" si="170"/>
        <v>11.133333333333466</v>
      </c>
      <c r="AJ671">
        <f t="shared" si="164"/>
        <v>2.92</v>
      </c>
      <c r="AK671">
        <f t="shared" si="165"/>
        <v>2.1</v>
      </c>
      <c r="AL671">
        <f t="shared" si="158"/>
        <v>0.39</v>
      </c>
      <c r="AN671" t="s">
        <v>1859</v>
      </c>
      <c r="AO671">
        <v>1.35</v>
      </c>
      <c r="AP671">
        <v>69.36</v>
      </c>
      <c r="AR671" t="str" cm="1">
        <f t="array" ref="AR671:AS671">_xlfn.TEXTSPLIT(AN671," ")</f>
        <v>26.10.2023</v>
      </c>
      <c r="AS671" t="str">
        <v>11:10:04</v>
      </c>
      <c r="AT671">
        <f t="shared" si="171"/>
        <v>11.133333333333466</v>
      </c>
      <c r="AU671">
        <f t="shared" si="166"/>
        <v>8.0499999999999972</v>
      </c>
      <c r="AV671">
        <f t="shared" si="167"/>
        <v>1.35</v>
      </c>
      <c r="AW671">
        <f t="shared" si="159"/>
        <v>0.72750000000000048</v>
      </c>
    </row>
    <row r="672" spans="1:49" x14ac:dyDescent="0.25">
      <c r="A672" t="s">
        <v>1860</v>
      </c>
      <c r="B672">
        <v>3.3</v>
      </c>
      <c r="C672">
        <v>19.559999999999999</v>
      </c>
      <c r="E672" t="s">
        <v>1860</v>
      </c>
      <c r="F672">
        <v>1.8</v>
      </c>
      <c r="G672">
        <v>87.14</v>
      </c>
      <c r="I672" t="str" cm="1">
        <f t="array" ref="I672:J672">_xlfn.TEXTSPLIT(A672," ")</f>
        <v>27.10.2023</v>
      </c>
      <c r="J672" t="str">
        <v>11:11:06</v>
      </c>
      <c r="K672">
        <f t="shared" si="168"/>
        <v>11.150000000000134</v>
      </c>
      <c r="L672">
        <f t="shared" si="161"/>
        <v>5.2399999999999984</v>
      </c>
      <c r="M672">
        <f t="shared" si="162"/>
        <v>3.3</v>
      </c>
      <c r="N672">
        <f t="shared" si="156"/>
        <v>1.7549999999999999</v>
      </c>
      <c r="Q672" t="str" cm="1">
        <f t="array" ref="Q672:R672">_xlfn.TEXTSPLIT(E672," ")</f>
        <v>27.10.2023</v>
      </c>
      <c r="R672" t="str">
        <v>11:11:06</v>
      </c>
      <c r="S672">
        <f t="shared" si="169"/>
        <v>11.150000000000134</v>
      </c>
      <c r="T672">
        <f t="shared" si="160"/>
        <v>8.5400000000000063</v>
      </c>
      <c r="U672">
        <f t="shared" si="163"/>
        <v>1.8</v>
      </c>
      <c r="V672">
        <f t="shared" si="157"/>
        <v>2.7550000000000003</v>
      </c>
      <c r="AC672" t="s">
        <v>1861</v>
      </c>
      <c r="AD672">
        <v>1.5</v>
      </c>
      <c r="AE672">
        <v>7.47</v>
      </c>
      <c r="AG672" t="str" cm="1">
        <f t="array" ref="AG672:AH672">_xlfn.TEXTSPLIT(AC673," ")</f>
        <v>26.10.2023</v>
      </c>
      <c r="AH672" t="str">
        <v>11:12:05</v>
      </c>
      <c r="AI672">
        <f t="shared" si="170"/>
        <v>11.150000000000134</v>
      </c>
      <c r="AJ672">
        <f t="shared" si="164"/>
        <v>2.9399999999999995</v>
      </c>
      <c r="AK672">
        <f t="shared" si="165"/>
        <v>1.5</v>
      </c>
      <c r="AL672">
        <f t="shared" si="158"/>
        <v>0.38500000000000001</v>
      </c>
      <c r="AN672" t="s">
        <v>1861</v>
      </c>
      <c r="AO672">
        <v>0.9</v>
      </c>
      <c r="AP672">
        <v>69.38</v>
      </c>
      <c r="AR672" t="str" cm="1">
        <f t="array" ref="AR672:AS672">_xlfn.TEXTSPLIT(AN672," ")</f>
        <v>26.10.2023</v>
      </c>
      <c r="AS672" t="str">
        <v>11:11:05</v>
      </c>
      <c r="AT672">
        <f t="shared" si="171"/>
        <v>11.150000000000134</v>
      </c>
      <c r="AU672">
        <f t="shared" si="166"/>
        <v>8.0699999999999932</v>
      </c>
      <c r="AV672">
        <f t="shared" si="167"/>
        <v>0.9</v>
      </c>
      <c r="AW672">
        <f t="shared" si="159"/>
        <v>0.72000000000000042</v>
      </c>
    </row>
    <row r="673" spans="1:49" x14ac:dyDescent="0.25">
      <c r="A673" t="s">
        <v>1862</v>
      </c>
      <c r="B673">
        <v>2.4</v>
      </c>
      <c r="C673">
        <v>19.600000000000001</v>
      </c>
      <c r="E673" t="s">
        <v>1862</v>
      </c>
      <c r="F673">
        <v>2.25</v>
      </c>
      <c r="G673">
        <v>87.18</v>
      </c>
      <c r="I673" t="str" cm="1">
        <f t="array" ref="I673:J673">_xlfn.TEXTSPLIT(A673," ")</f>
        <v>27.10.2023</v>
      </c>
      <c r="J673" t="str">
        <v>11:12:06</v>
      </c>
      <c r="K673">
        <f t="shared" si="168"/>
        <v>11.166666666666801</v>
      </c>
      <c r="L673">
        <f t="shared" si="161"/>
        <v>5.2800000000000011</v>
      </c>
      <c r="M673">
        <f t="shared" si="162"/>
        <v>2.4</v>
      </c>
      <c r="N673">
        <f t="shared" si="156"/>
        <v>1.7825</v>
      </c>
      <c r="Q673" t="str" cm="1">
        <f t="array" ref="Q673:R673">_xlfn.TEXTSPLIT(E673," ")</f>
        <v>27.10.2023</v>
      </c>
      <c r="R673" t="str">
        <v>11:12:06</v>
      </c>
      <c r="S673">
        <f t="shared" si="169"/>
        <v>11.166666666666801</v>
      </c>
      <c r="T673">
        <f t="shared" si="160"/>
        <v>8.5800000000000125</v>
      </c>
      <c r="U673">
        <f t="shared" si="163"/>
        <v>2.25</v>
      </c>
      <c r="V673">
        <f t="shared" si="157"/>
        <v>2.7725000000000004</v>
      </c>
      <c r="AC673" t="s">
        <v>1863</v>
      </c>
      <c r="AD673">
        <v>0.9</v>
      </c>
      <c r="AE673">
        <v>7.49</v>
      </c>
      <c r="AG673" t="str" cm="1">
        <f t="array" ref="AG673:AH673">_xlfn.TEXTSPLIT(AC674," ")</f>
        <v>26.10.2023</v>
      </c>
      <c r="AH673" t="str">
        <v>11:13:05</v>
      </c>
      <c r="AI673">
        <f t="shared" si="170"/>
        <v>11.166666666666801</v>
      </c>
      <c r="AJ673">
        <f t="shared" si="164"/>
        <v>2.96</v>
      </c>
      <c r="AK673">
        <f t="shared" si="165"/>
        <v>0.9</v>
      </c>
      <c r="AL673">
        <f t="shared" si="158"/>
        <v>0.36500000000000005</v>
      </c>
      <c r="AN673" t="s">
        <v>1863</v>
      </c>
      <c r="AO673">
        <v>0.9</v>
      </c>
      <c r="AP673">
        <v>69.39</v>
      </c>
      <c r="AR673" t="str" cm="1">
        <f t="array" ref="AR673:AS673">_xlfn.TEXTSPLIT(AN673," ")</f>
        <v>26.10.2023</v>
      </c>
      <c r="AS673" t="str">
        <v>11:12:05</v>
      </c>
      <c r="AT673">
        <f t="shared" si="171"/>
        <v>11.166666666666801</v>
      </c>
      <c r="AU673">
        <f t="shared" si="166"/>
        <v>8.0799999999999983</v>
      </c>
      <c r="AV673">
        <f t="shared" si="167"/>
        <v>0.9</v>
      </c>
      <c r="AW673">
        <f t="shared" si="159"/>
        <v>0.71000000000000008</v>
      </c>
    </row>
    <row r="674" spans="1:49" x14ac:dyDescent="0.25">
      <c r="A674" t="s">
        <v>1864</v>
      </c>
      <c r="B674">
        <v>1.95</v>
      </c>
      <c r="C674">
        <v>19.63</v>
      </c>
      <c r="E674" t="s">
        <v>1864</v>
      </c>
      <c r="F674">
        <v>2.25</v>
      </c>
      <c r="G674">
        <v>87.21</v>
      </c>
      <c r="I674" t="str" cm="1">
        <f t="array" ref="I674:J674">_xlfn.TEXTSPLIT(A674," ")</f>
        <v>27.10.2023</v>
      </c>
      <c r="J674" t="str">
        <v>11:13:06</v>
      </c>
      <c r="K674">
        <f t="shared" si="168"/>
        <v>11.183333333333469</v>
      </c>
      <c r="L674">
        <f t="shared" si="161"/>
        <v>5.3099999999999987</v>
      </c>
      <c r="M674">
        <f t="shared" si="162"/>
        <v>1.95</v>
      </c>
      <c r="N674">
        <f t="shared" si="156"/>
        <v>1.8050000000000002</v>
      </c>
      <c r="Q674" t="str" cm="1">
        <f t="array" ref="Q674:R674">_xlfn.TEXTSPLIT(E674," ")</f>
        <v>27.10.2023</v>
      </c>
      <c r="R674" t="str">
        <v>11:13:06</v>
      </c>
      <c r="S674">
        <f t="shared" si="169"/>
        <v>11.183333333333469</v>
      </c>
      <c r="T674">
        <f t="shared" si="160"/>
        <v>8.61</v>
      </c>
      <c r="U674">
        <f t="shared" si="163"/>
        <v>2.25</v>
      </c>
      <c r="V674">
        <f t="shared" si="157"/>
        <v>2.7850000000000006</v>
      </c>
      <c r="AC674" t="s">
        <v>1865</v>
      </c>
      <c r="AD674">
        <v>0.45</v>
      </c>
      <c r="AE674">
        <v>7.5</v>
      </c>
      <c r="AG674" t="str" cm="1">
        <f t="array" ref="AG674:AH674">_xlfn.TEXTSPLIT(AC675," ")</f>
        <v>26.10.2023</v>
      </c>
      <c r="AH674" t="str">
        <v>11:14:05</v>
      </c>
      <c r="AI674">
        <f t="shared" si="170"/>
        <v>11.183333333333469</v>
      </c>
      <c r="AJ674">
        <f t="shared" si="164"/>
        <v>2.9699999999999998</v>
      </c>
      <c r="AK674">
        <f t="shared" si="165"/>
        <v>0.45</v>
      </c>
      <c r="AL674">
        <f t="shared" si="158"/>
        <v>0.35250000000000004</v>
      </c>
      <c r="AN674" t="s">
        <v>1865</v>
      </c>
      <c r="AO674">
        <v>0.75</v>
      </c>
      <c r="AP674">
        <v>69.41</v>
      </c>
      <c r="AR674" t="str" cm="1">
        <f t="array" ref="AR674:AS674">_xlfn.TEXTSPLIT(AN674," ")</f>
        <v>26.10.2023</v>
      </c>
      <c r="AS674" t="str">
        <v>11:13:05</v>
      </c>
      <c r="AT674">
        <f t="shared" si="171"/>
        <v>11.183333333333469</v>
      </c>
      <c r="AU674">
        <f t="shared" si="166"/>
        <v>8.0999999999999943</v>
      </c>
      <c r="AV674">
        <f t="shared" si="167"/>
        <v>0.75</v>
      </c>
      <c r="AW674">
        <f t="shared" si="159"/>
        <v>0.69250000000000012</v>
      </c>
    </row>
    <row r="675" spans="1:49" x14ac:dyDescent="0.25">
      <c r="A675" t="s">
        <v>1866</v>
      </c>
      <c r="B675">
        <v>1.5</v>
      </c>
      <c r="C675">
        <v>19.649999999999999</v>
      </c>
      <c r="E675" t="s">
        <v>1866</v>
      </c>
      <c r="F675">
        <v>1.2</v>
      </c>
      <c r="G675">
        <v>87.24</v>
      </c>
      <c r="I675" t="str" cm="1">
        <f t="array" ref="I675:J675">_xlfn.TEXTSPLIT(A675," ")</f>
        <v>27.10.2023</v>
      </c>
      <c r="J675" t="str">
        <v>11:14:06</v>
      </c>
      <c r="K675">
        <f t="shared" si="168"/>
        <v>11.200000000000136</v>
      </c>
      <c r="L675">
        <f t="shared" si="161"/>
        <v>5.3299999999999983</v>
      </c>
      <c r="M675">
        <f t="shared" si="162"/>
        <v>1.5</v>
      </c>
      <c r="N675">
        <f t="shared" si="156"/>
        <v>1.82</v>
      </c>
      <c r="Q675" t="str" cm="1">
        <f t="array" ref="Q675:R675">_xlfn.TEXTSPLIT(E675," ")</f>
        <v>27.10.2023</v>
      </c>
      <c r="R675" t="str">
        <v>11:14:06</v>
      </c>
      <c r="S675">
        <f t="shared" si="169"/>
        <v>11.200000000000136</v>
      </c>
      <c r="T675">
        <f t="shared" si="160"/>
        <v>8.64</v>
      </c>
      <c r="U675">
        <f t="shared" si="163"/>
        <v>1.2</v>
      </c>
      <c r="V675">
        <f t="shared" si="157"/>
        <v>2.7925</v>
      </c>
      <c r="AC675" t="s">
        <v>1867</v>
      </c>
      <c r="AD675">
        <v>0.3</v>
      </c>
      <c r="AE675">
        <v>7.5</v>
      </c>
      <c r="AG675" t="str" cm="1">
        <f t="array" ref="AG675:AH675">_xlfn.TEXTSPLIT(AC676," ")</f>
        <v>26.10.2023</v>
      </c>
      <c r="AH675" t="str">
        <v>11:15:05</v>
      </c>
      <c r="AI675">
        <f t="shared" si="170"/>
        <v>11.200000000000136</v>
      </c>
      <c r="AJ675">
        <f t="shared" si="164"/>
        <v>2.9699999999999998</v>
      </c>
      <c r="AK675">
        <f t="shared" si="165"/>
        <v>0.3</v>
      </c>
      <c r="AL675">
        <f t="shared" si="158"/>
        <v>0.34250000000000003</v>
      </c>
      <c r="AN675" t="s">
        <v>1867</v>
      </c>
      <c r="AO675">
        <v>0.75</v>
      </c>
      <c r="AP675">
        <v>69.42</v>
      </c>
      <c r="AR675" t="str" cm="1">
        <f t="array" ref="AR675:AS675">_xlfn.TEXTSPLIT(AN675," ")</f>
        <v>26.10.2023</v>
      </c>
      <c r="AS675" t="str">
        <v>11:14:05</v>
      </c>
      <c r="AT675">
        <f t="shared" si="171"/>
        <v>11.200000000000136</v>
      </c>
      <c r="AU675">
        <f t="shared" si="166"/>
        <v>8.11</v>
      </c>
      <c r="AV675">
        <f t="shared" si="167"/>
        <v>0.75</v>
      </c>
      <c r="AW675">
        <f t="shared" si="159"/>
        <v>0.68</v>
      </c>
    </row>
    <row r="676" spans="1:49" x14ac:dyDescent="0.25">
      <c r="A676" t="s">
        <v>1868</v>
      </c>
      <c r="B676">
        <v>1.2</v>
      </c>
      <c r="C676">
        <v>19.68</v>
      </c>
      <c r="E676" t="s">
        <v>1868</v>
      </c>
      <c r="F676">
        <v>1.2</v>
      </c>
      <c r="G676">
        <v>87.26</v>
      </c>
      <c r="I676" t="str" cm="1">
        <f t="array" ref="I676:J676">_xlfn.TEXTSPLIT(A676," ")</f>
        <v>27.10.2023</v>
      </c>
      <c r="J676" t="str">
        <v>11:15:06</v>
      </c>
      <c r="K676">
        <f t="shared" si="168"/>
        <v>11.216666666666804</v>
      </c>
      <c r="L676">
        <f t="shared" si="161"/>
        <v>5.3599999999999994</v>
      </c>
      <c r="M676">
        <f t="shared" si="162"/>
        <v>1.2</v>
      </c>
      <c r="N676">
        <f t="shared" si="156"/>
        <v>1.8350000000000002</v>
      </c>
      <c r="Q676" t="str" cm="1">
        <f t="array" ref="Q676:R676">_xlfn.TEXTSPLIT(E676," ")</f>
        <v>27.10.2023</v>
      </c>
      <c r="R676" t="str">
        <v>11:15:06</v>
      </c>
      <c r="S676">
        <f t="shared" si="169"/>
        <v>11.216666666666804</v>
      </c>
      <c r="T676">
        <f t="shared" si="160"/>
        <v>8.6600000000000108</v>
      </c>
      <c r="U676">
        <f t="shared" si="163"/>
        <v>1.2</v>
      </c>
      <c r="V676">
        <f t="shared" si="157"/>
        <v>2.8</v>
      </c>
      <c r="AC676" t="s">
        <v>1869</v>
      </c>
      <c r="AD676">
        <v>0.3</v>
      </c>
      <c r="AE676">
        <v>7.51</v>
      </c>
      <c r="AG676" t="str" cm="1">
        <f t="array" ref="AG676:AH676">_xlfn.TEXTSPLIT(AC677," ")</f>
        <v>26.10.2023</v>
      </c>
      <c r="AH676" t="str">
        <v>11:16:05</v>
      </c>
      <c r="AI676">
        <f t="shared" si="170"/>
        <v>11.216666666666804</v>
      </c>
      <c r="AJ676">
        <f t="shared" si="164"/>
        <v>2.9799999999999995</v>
      </c>
      <c r="AK676">
        <f t="shared" si="165"/>
        <v>0.3</v>
      </c>
      <c r="AL676">
        <f t="shared" si="158"/>
        <v>0.33250000000000007</v>
      </c>
      <c r="AN676" t="s">
        <v>1869</v>
      </c>
      <c r="AO676">
        <v>1.2</v>
      </c>
      <c r="AP676">
        <v>69.44</v>
      </c>
      <c r="AR676" t="str" cm="1">
        <f t="array" ref="AR676:AS676">_xlfn.TEXTSPLIT(AN676," ")</f>
        <v>26.10.2023</v>
      </c>
      <c r="AS676" t="str">
        <v>11:15:05</v>
      </c>
      <c r="AT676">
        <f t="shared" si="171"/>
        <v>11.216666666666804</v>
      </c>
      <c r="AU676">
        <f t="shared" si="166"/>
        <v>8.1299999999999955</v>
      </c>
      <c r="AV676">
        <f t="shared" si="167"/>
        <v>1.2</v>
      </c>
      <c r="AW676">
        <f t="shared" si="159"/>
        <v>0.6825</v>
      </c>
    </row>
    <row r="677" spans="1:49" x14ac:dyDescent="0.25">
      <c r="A677" t="s">
        <v>1870</v>
      </c>
      <c r="B677">
        <v>1.05</v>
      </c>
      <c r="C677">
        <v>19.690000000000001</v>
      </c>
      <c r="E677" t="s">
        <v>1870</v>
      </c>
      <c r="F677">
        <v>1.65</v>
      </c>
      <c r="G677">
        <v>87.28</v>
      </c>
      <c r="I677" t="str" cm="1">
        <f t="array" ref="I677:J677">_xlfn.TEXTSPLIT(A677," ")</f>
        <v>27.10.2023</v>
      </c>
      <c r="J677" t="str">
        <v>11:16:06</v>
      </c>
      <c r="K677">
        <f t="shared" si="168"/>
        <v>11.233333333333471</v>
      </c>
      <c r="L677">
        <f t="shared" si="161"/>
        <v>5.370000000000001</v>
      </c>
      <c r="M677">
        <f t="shared" si="162"/>
        <v>1.05</v>
      </c>
      <c r="N677">
        <f t="shared" si="156"/>
        <v>1.85</v>
      </c>
      <c r="Q677" t="str" cm="1">
        <f t="array" ref="Q677:R677">_xlfn.TEXTSPLIT(E677," ")</f>
        <v>27.10.2023</v>
      </c>
      <c r="R677" t="str">
        <v>11:16:06</v>
      </c>
      <c r="S677">
        <f t="shared" si="169"/>
        <v>11.233333333333471</v>
      </c>
      <c r="T677">
        <f t="shared" si="160"/>
        <v>8.6800000000000068</v>
      </c>
      <c r="U677">
        <f t="shared" si="163"/>
        <v>1.65</v>
      </c>
      <c r="V677">
        <f t="shared" si="157"/>
        <v>2.82</v>
      </c>
      <c r="AC677" t="s">
        <v>1871</v>
      </c>
      <c r="AD677">
        <v>0.45</v>
      </c>
      <c r="AE677">
        <v>7.51</v>
      </c>
      <c r="AG677" t="str" cm="1">
        <f t="array" ref="AG677:AH677">_xlfn.TEXTSPLIT(AC678," ")</f>
        <v>26.10.2023</v>
      </c>
      <c r="AH677" t="str">
        <v>11:17:05</v>
      </c>
      <c r="AI677">
        <f t="shared" si="170"/>
        <v>11.233333333333471</v>
      </c>
      <c r="AJ677">
        <f t="shared" si="164"/>
        <v>2.9799999999999995</v>
      </c>
      <c r="AK677">
        <f t="shared" si="165"/>
        <v>0.45</v>
      </c>
      <c r="AL677">
        <f t="shared" si="158"/>
        <v>0.32500000000000001</v>
      </c>
      <c r="AN677" t="s">
        <v>1871</v>
      </c>
      <c r="AO677">
        <v>1.05</v>
      </c>
      <c r="AP677">
        <v>69.459999999999994</v>
      </c>
      <c r="AR677" t="str" cm="1">
        <f t="array" ref="AR677:AS677">_xlfn.TEXTSPLIT(AN677," ")</f>
        <v>26.10.2023</v>
      </c>
      <c r="AS677" t="str">
        <v>11:16:05</v>
      </c>
      <c r="AT677">
        <f t="shared" si="171"/>
        <v>11.233333333333471</v>
      </c>
      <c r="AU677">
        <f t="shared" si="166"/>
        <v>8.1499999999999915</v>
      </c>
      <c r="AV677">
        <f t="shared" si="167"/>
        <v>1.05</v>
      </c>
      <c r="AW677">
        <f t="shared" si="159"/>
        <v>0.6825</v>
      </c>
    </row>
    <row r="678" spans="1:49" x14ac:dyDescent="0.25">
      <c r="A678" t="s">
        <v>1872</v>
      </c>
      <c r="B678">
        <v>1.2</v>
      </c>
      <c r="C678">
        <v>19.71</v>
      </c>
      <c r="E678" t="s">
        <v>1872</v>
      </c>
      <c r="F678">
        <v>1.65</v>
      </c>
      <c r="G678">
        <v>87.32</v>
      </c>
      <c r="I678" t="str" cm="1">
        <f t="array" ref="I678:J678">_xlfn.TEXTSPLIT(A678," ")</f>
        <v>27.10.2023</v>
      </c>
      <c r="J678" t="str">
        <v>11:17:07</v>
      </c>
      <c r="K678">
        <f t="shared" si="168"/>
        <v>11.250000000000139</v>
      </c>
      <c r="L678">
        <f t="shared" si="161"/>
        <v>5.3900000000000006</v>
      </c>
      <c r="M678">
        <f t="shared" si="162"/>
        <v>1.2</v>
      </c>
      <c r="N678">
        <f t="shared" si="156"/>
        <v>1.8625000000000003</v>
      </c>
      <c r="Q678" t="str" cm="1">
        <f t="array" ref="Q678:R678">_xlfn.TEXTSPLIT(E678," ")</f>
        <v>27.10.2023</v>
      </c>
      <c r="R678" t="str">
        <v>11:17:07</v>
      </c>
      <c r="S678">
        <f t="shared" si="169"/>
        <v>11.250000000000139</v>
      </c>
      <c r="T678">
        <f t="shared" si="160"/>
        <v>8.7199999999999989</v>
      </c>
      <c r="U678">
        <f t="shared" si="163"/>
        <v>1.65</v>
      </c>
      <c r="V678">
        <f t="shared" si="157"/>
        <v>2.8374999999999999</v>
      </c>
      <c r="AC678" t="s">
        <v>1873</v>
      </c>
      <c r="AD678">
        <v>0.15</v>
      </c>
      <c r="AE678">
        <v>7.52</v>
      </c>
      <c r="AG678" t="str" cm="1">
        <f t="array" ref="AG678:AH678">_xlfn.TEXTSPLIT(AC679," ")</f>
        <v>26.10.2023</v>
      </c>
      <c r="AH678" t="str">
        <v>11:18:06</v>
      </c>
      <c r="AI678">
        <f t="shared" si="170"/>
        <v>11.250000000000139</v>
      </c>
      <c r="AJ678">
        <f t="shared" si="164"/>
        <v>2.9899999999999993</v>
      </c>
      <c r="AK678">
        <f t="shared" si="165"/>
        <v>0.15</v>
      </c>
      <c r="AL678">
        <f t="shared" si="158"/>
        <v>0.315</v>
      </c>
      <c r="AN678" t="s">
        <v>1873</v>
      </c>
      <c r="AO678">
        <v>0.6</v>
      </c>
      <c r="AP678">
        <v>69.47</v>
      </c>
      <c r="AR678" t="str" cm="1">
        <f t="array" ref="AR678:AS678">_xlfn.TEXTSPLIT(AN678," ")</f>
        <v>26.10.2023</v>
      </c>
      <c r="AS678" t="str">
        <v>11:17:05</v>
      </c>
      <c r="AT678">
        <f t="shared" si="171"/>
        <v>11.250000000000139</v>
      </c>
      <c r="AU678">
        <f t="shared" si="166"/>
        <v>8.1599999999999966</v>
      </c>
      <c r="AV678">
        <f t="shared" si="167"/>
        <v>0.6</v>
      </c>
      <c r="AW678">
        <f t="shared" si="159"/>
        <v>0.67749999999999999</v>
      </c>
    </row>
    <row r="679" spans="1:49" x14ac:dyDescent="0.25">
      <c r="A679" t="s">
        <v>1874</v>
      </c>
      <c r="B679">
        <v>1.2</v>
      </c>
      <c r="C679">
        <v>19.73</v>
      </c>
      <c r="E679" t="s">
        <v>1874</v>
      </c>
      <c r="F679">
        <v>1.65</v>
      </c>
      <c r="G679">
        <v>87.34</v>
      </c>
      <c r="I679" t="str" cm="1">
        <f t="array" ref="I679:J679">_xlfn.TEXTSPLIT(A679," ")</f>
        <v>27.10.2023</v>
      </c>
      <c r="J679" t="str">
        <v>11:18:07</v>
      </c>
      <c r="K679">
        <f t="shared" si="168"/>
        <v>11.266666666666806</v>
      </c>
      <c r="L679">
        <f t="shared" si="161"/>
        <v>5.41</v>
      </c>
      <c r="M679">
        <f t="shared" si="162"/>
        <v>1.2</v>
      </c>
      <c r="N679">
        <f t="shared" si="156"/>
        <v>1.8825000000000003</v>
      </c>
      <c r="Q679" t="str" cm="1">
        <f t="array" ref="Q679:R679">_xlfn.TEXTSPLIT(E679," ")</f>
        <v>27.10.2023</v>
      </c>
      <c r="R679" t="str">
        <v>11:18:07</v>
      </c>
      <c r="S679">
        <f t="shared" si="169"/>
        <v>11.266666666666806</v>
      </c>
      <c r="T679">
        <f t="shared" si="160"/>
        <v>8.7400000000000091</v>
      </c>
      <c r="U679">
        <f t="shared" si="163"/>
        <v>1.65</v>
      </c>
      <c r="V679">
        <f t="shared" si="157"/>
        <v>2.8600000000000003</v>
      </c>
      <c r="AC679" t="s">
        <v>1875</v>
      </c>
      <c r="AD679">
        <v>0.15</v>
      </c>
      <c r="AE679">
        <v>7.52</v>
      </c>
      <c r="AG679" t="str" cm="1">
        <f t="array" ref="AG679:AH679">_xlfn.TEXTSPLIT(AC680," ")</f>
        <v>26.10.2023</v>
      </c>
      <c r="AH679" t="str">
        <v>11:19:06</v>
      </c>
      <c r="AI679">
        <f t="shared" si="170"/>
        <v>11.266666666666806</v>
      </c>
      <c r="AJ679">
        <f t="shared" si="164"/>
        <v>2.9899999999999993</v>
      </c>
      <c r="AK679">
        <f t="shared" si="165"/>
        <v>0.15</v>
      </c>
      <c r="AL679">
        <f t="shared" si="158"/>
        <v>0.30249999999999999</v>
      </c>
      <c r="AN679" t="s">
        <v>1875</v>
      </c>
      <c r="AO679">
        <v>0.75</v>
      </c>
      <c r="AP679">
        <v>69.48</v>
      </c>
      <c r="AR679" t="str" cm="1">
        <f t="array" ref="AR679:AS679">_xlfn.TEXTSPLIT(AN679," ")</f>
        <v>26.10.2023</v>
      </c>
      <c r="AS679" t="str">
        <v>11:18:06</v>
      </c>
      <c r="AT679">
        <f t="shared" si="171"/>
        <v>11.266666666666806</v>
      </c>
      <c r="AU679">
        <f t="shared" si="166"/>
        <v>8.1700000000000017</v>
      </c>
      <c r="AV679">
        <f t="shared" si="167"/>
        <v>0.75</v>
      </c>
      <c r="AW679">
        <f t="shared" si="159"/>
        <v>0.67249999999999999</v>
      </c>
    </row>
    <row r="680" spans="1:49" x14ac:dyDescent="0.25">
      <c r="A680" t="s">
        <v>1876</v>
      </c>
      <c r="B680">
        <v>0.6</v>
      </c>
      <c r="C680">
        <v>19.739999999999998</v>
      </c>
      <c r="E680" t="s">
        <v>1876</v>
      </c>
      <c r="F680">
        <v>1.2</v>
      </c>
      <c r="G680">
        <v>87.35</v>
      </c>
      <c r="I680" t="str" cm="1">
        <f t="array" ref="I680:J680">_xlfn.TEXTSPLIT(A680," ")</f>
        <v>27.10.2023</v>
      </c>
      <c r="J680" t="str">
        <v>11:19:07</v>
      </c>
      <c r="K680">
        <f t="shared" si="168"/>
        <v>11.283333333333474</v>
      </c>
      <c r="L680">
        <f t="shared" si="161"/>
        <v>5.4199999999999982</v>
      </c>
      <c r="M680">
        <f t="shared" si="162"/>
        <v>0.6</v>
      </c>
      <c r="N680">
        <f t="shared" si="156"/>
        <v>1.8875</v>
      </c>
      <c r="Q680" t="str" cm="1">
        <f t="array" ref="Q680:R680">_xlfn.TEXTSPLIT(E680," ")</f>
        <v>27.10.2023</v>
      </c>
      <c r="R680" t="str">
        <v>11:19:07</v>
      </c>
      <c r="S680">
        <f t="shared" si="169"/>
        <v>11.283333333333474</v>
      </c>
      <c r="T680">
        <f t="shared" si="160"/>
        <v>8.75</v>
      </c>
      <c r="U680">
        <f t="shared" si="163"/>
        <v>1.2</v>
      </c>
      <c r="V680">
        <f t="shared" si="157"/>
        <v>2.87</v>
      </c>
      <c r="AC680" t="s">
        <v>1877</v>
      </c>
      <c r="AD680">
        <v>0.15</v>
      </c>
      <c r="AE680">
        <v>7.52</v>
      </c>
      <c r="AG680" t="str" cm="1">
        <f t="array" ref="AG680:AH680">_xlfn.TEXTSPLIT(AC681," ")</f>
        <v>26.10.2023</v>
      </c>
      <c r="AH680" t="str">
        <v>11:20:06</v>
      </c>
      <c r="AI680">
        <f t="shared" si="170"/>
        <v>11.283333333333474</v>
      </c>
      <c r="AJ680">
        <f t="shared" si="164"/>
        <v>2.9899999999999993</v>
      </c>
      <c r="AK680">
        <f t="shared" si="165"/>
        <v>0.15</v>
      </c>
      <c r="AL680">
        <f t="shared" si="158"/>
        <v>0.29749999999999999</v>
      </c>
      <c r="AN680" t="s">
        <v>1877</v>
      </c>
      <c r="AO680">
        <v>0.3</v>
      </c>
      <c r="AP680">
        <v>69.489999999999995</v>
      </c>
      <c r="AR680" t="str" cm="1">
        <f t="array" ref="AR680:AS680">_xlfn.TEXTSPLIT(AN680," ")</f>
        <v>26.10.2023</v>
      </c>
      <c r="AS680" t="str">
        <v>11:19:06</v>
      </c>
      <c r="AT680">
        <f t="shared" si="171"/>
        <v>11.283333333333474</v>
      </c>
      <c r="AU680">
        <f t="shared" si="166"/>
        <v>8.1799999999999926</v>
      </c>
      <c r="AV680">
        <f t="shared" si="167"/>
        <v>0.3</v>
      </c>
      <c r="AW680">
        <f t="shared" si="159"/>
        <v>0.66749999999999998</v>
      </c>
    </row>
    <row r="681" spans="1:49" x14ac:dyDescent="0.25">
      <c r="A681" t="s">
        <v>1878</v>
      </c>
      <c r="B681">
        <v>1.5</v>
      </c>
      <c r="C681">
        <v>19.77</v>
      </c>
      <c r="E681" t="s">
        <v>1878</v>
      </c>
      <c r="F681">
        <v>1.05</v>
      </c>
      <c r="G681">
        <v>87.37</v>
      </c>
      <c r="I681" t="str" cm="1">
        <f t="array" ref="I681:J681">_xlfn.TEXTSPLIT(A681," ")</f>
        <v>27.10.2023</v>
      </c>
      <c r="J681" t="str">
        <v>11:20:07</v>
      </c>
      <c r="K681">
        <f t="shared" si="168"/>
        <v>11.300000000000141</v>
      </c>
      <c r="L681">
        <f t="shared" si="161"/>
        <v>5.4499999999999993</v>
      </c>
      <c r="M681">
        <f t="shared" si="162"/>
        <v>1.5</v>
      </c>
      <c r="N681">
        <f t="shared" si="156"/>
        <v>1.9125000000000001</v>
      </c>
      <c r="Q681" t="str" cm="1">
        <f t="array" ref="Q681:R681">_xlfn.TEXTSPLIT(E681," ")</f>
        <v>27.10.2023</v>
      </c>
      <c r="R681" t="str">
        <v>11:20:07</v>
      </c>
      <c r="S681">
        <f t="shared" si="169"/>
        <v>11.300000000000141</v>
      </c>
      <c r="T681">
        <f t="shared" si="160"/>
        <v>8.7700000000000102</v>
      </c>
      <c r="U681">
        <f t="shared" si="163"/>
        <v>1.05</v>
      </c>
      <c r="V681">
        <f t="shared" si="157"/>
        <v>2.8774999999999999</v>
      </c>
      <c r="AC681" t="s">
        <v>1879</v>
      </c>
      <c r="AD681">
        <v>0.15</v>
      </c>
      <c r="AE681">
        <v>7.52</v>
      </c>
      <c r="AG681" t="str" cm="1">
        <f t="array" ref="AG681:AH681">_xlfn.TEXTSPLIT(AC682," ")</f>
        <v>26.10.2023</v>
      </c>
      <c r="AH681" t="str">
        <v>11:21:06</v>
      </c>
      <c r="AI681">
        <f t="shared" si="170"/>
        <v>11.300000000000141</v>
      </c>
      <c r="AJ681">
        <f t="shared" si="164"/>
        <v>2.9899999999999993</v>
      </c>
      <c r="AK681">
        <f t="shared" si="165"/>
        <v>0.15</v>
      </c>
      <c r="AL681">
        <f t="shared" si="158"/>
        <v>0.28999999999999992</v>
      </c>
      <c r="AN681" t="s">
        <v>1879</v>
      </c>
      <c r="AO681">
        <v>0.6</v>
      </c>
      <c r="AP681">
        <v>69.489999999999995</v>
      </c>
      <c r="AR681" t="str" cm="1">
        <f t="array" ref="AR681:AS681">_xlfn.TEXTSPLIT(AN681," ")</f>
        <v>26.10.2023</v>
      </c>
      <c r="AS681" t="str">
        <v>11:20:06</v>
      </c>
      <c r="AT681">
        <f t="shared" si="171"/>
        <v>11.300000000000141</v>
      </c>
      <c r="AU681">
        <f t="shared" si="166"/>
        <v>8.1799999999999926</v>
      </c>
      <c r="AV681">
        <f t="shared" si="167"/>
        <v>0.6</v>
      </c>
      <c r="AW681">
        <f t="shared" si="159"/>
        <v>0.66499999999999992</v>
      </c>
    </row>
    <row r="682" spans="1:49" x14ac:dyDescent="0.25">
      <c r="A682" t="s">
        <v>1880</v>
      </c>
      <c r="B682">
        <v>0.75</v>
      </c>
      <c r="C682">
        <v>19.78</v>
      </c>
      <c r="E682" t="s">
        <v>1880</v>
      </c>
      <c r="F682">
        <v>0.75</v>
      </c>
      <c r="G682">
        <v>87.38</v>
      </c>
      <c r="I682" t="str" cm="1">
        <f t="array" ref="I682:J682">_xlfn.TEXTSPLIT(A682," ")</f>
        <v>27.10.2023</v>
      </c>
      <c r="J682" t="str">
        <v>11:21:07</v>
      </c>
      <c r="K682">
        <f t="shared" si="168"/>
        <v>11.316666666666809</v>
      </c>
      <c r="L682">
        <f t="shared" si="161"/>
        <v>5.4600000000000009</v>
      </c>
      <c r="M682">
        <f t="shared" si="162"/>
        <v>0.75</v>
      </c>
      <c r="N682">
        <f t="shared" si="156"/>
        <v>1.9225000000000001</v>
      </c>
      <c r="Q682" t="str" cm="1">
        <f t="array" ref="Q682:R682">_xlfn.TEXTSPLIT(E682," ")</f>
        <v>27.10.2023</v>
      </c>
      <c r="R682" t="str">
        <v>11:21:07</v>
      </c>
      <c r="S682">
        <f t="shared" si="169"/>
        <v>11.316666666666809</v>
      </c>
      <c r="T682">
        <f t="shared" si="160"/>
        <v>8.7800000000000011</v>
      </c>
      <c r="U682">
        <f t="shared" si="163"/>
        <v>0.75</v>
      </c>
      <c r="V682">
        <f t="shared" si="157"/>
        <v>2.8825000000000003</v>
      </c>
      <c r="AC682" t="s">
        <v>1881</v>
      </c>
      <c r="AD682">
        <v>0</v>
      </c>
      <c r="AE682">
        <v>7.52</v>
      </c>
      <c r="AG682" t="str" cm="1">
        <f t="array" ref="AG682:AH682">_xlfn.TEXTSPLIT(AC683," ")</f>
        <v>26.10.2023</v>
      </c>
      <c r="AH682" t="str">
        <v>11:22:06</v>
      </c>
      <c r="AI682">
        <f t="shared" si="170"/>
        <v>11.316666666666809</v>
      </c>
      <c r="AJ682">
        <f t="shared" si="164"/>
        <v>2.9899999999999993</v>
      </c>
      <c r="AK682">
        <f t="shared" si="165"/>
        <v>0</v>
      </c>
      <c r="AL682">
        <f t="shared" si="158"/>
        <v>0.28499999999999998</v>
      </c>
      <c r="AN682" t="s">
        <v>1881</v>
      </c>
      <c r="AO682">
        <v>0.45</v>
      </c>
      <c r="AP682">
        <v>69.5</v>
      </c>
      <c r="AR682" t="str" cm="1">
        <f t="array" ref="AR682:AS682">_xlfn.TEXTSPLIT(AN682," ")</f>
        <v>26.10.2023</v>
      </c>
      <c r="AS682" t="str">
        <v>11:21:06</v>
      </c>
      <c r="AT682">
        <f t="shared" si="171"/>
        <v>11.316666666666809</v>
      </c>
      <c r="AU682">
        <f t="shared" si="166"/>
        <v>8.1899999999999977</v>
      </c>
      <c r="AV682">
        <f t="shared" si="167"/>
        <v>0.45</v>
      </c>
      <c r="AW682">
        <f t="shared" si="159"/>
        <v>0.65750000000000008</v>
      </c>
    </row>
    <row r="683" spans="1:49" x14ac:dyDescent="0.25">
      <c r="A683" t="s">
        <v>1882</v>
      </c>
      <c r="B683">
        <v>0.75</v>
      </c>
      <c r="C683">
        <v>19.8</v>
      </c>
      <c r="E683" t="s">
        <v>1882</v>
      </c>
      <c r="F683">
        <v>0.6</v>
      </c>
      <c r="G683">
        <v>87.39</v>
      </c>
      <c r="I683" t="str" cm="1">
        <f t="array" ref="I683:J683">_xlfn.TEXTSPLIT(A683," ")</f>
        <v>27.10.2023</v>
      </c>
      <c r="J683" t="str">
        <v>11:22:07</v>
      </c>
      <c r="K683">
        <f t="shared" si="168"/>
        <v>11.333333333333476</v>
      </c>
      <c r="L683">
        <f t="shared" si="161"/>
        <v>5.48</v>
      </c>
      <c r="M683">
        <f t="shared" si="162"/>
        <v>0.75</v>
      </c>
      <c r="N683">
        <f t="shared" si="156"/>
        <v>1.9325000000000001</v>
      </c>
      <c r="Q683" t="str" cm="1">
        <f t="array" ref="Q683:R683">_xlfn.TEXTSPLIT(E683," ")</f>
        <v>27.10.2023</v>
      </c>
      <c r="R683" t="str">
        <v>11:22:07</v>
      </c>
      <c r="S683">
        <f t="shared" si="169"/>
        <v>11.333333333333476</v>
      </c>
      <c r="T683">
        <f t="shared" si="160"/>
        <v>8.7900000000000063</v>
      </c>
      <c r="U683">
        <f t="shared" si="163"/>
        <v>0.6</v>
      </c>
      <c r="V683">
        <f t="shared" si="157"/>
        <v>2.8875000000000002</v>
      </c>
      <c r="AC683" t="s">
        <v>1883</v>
      </c>
      <c r="AD683">
        <v>0.15</v>
      </c>
      <c r="AE683">
        <v>7.53</v>
      </c>
      <c r="AG683" t="str" cm="1">
        <f t="array" ref="AG683:AH683">_xlfn.TEXTSPLIT(AC684," ")</f>
        <v>26.10.2023</v>
      </c>
      <c r="AH683" t="str">
        <v>11:23:06</v>
      </c>
      <c r="AI683">
        <f t="shared" si="170"/>
        <v>11.333333333333476</v>
      </c>
      <c r="AJ683">
        <f t="shared" si="164"/>
        <v>3</v>
      </c>
      <c r="AK683">
        <f t="shared" si="165"/>
        <v>0.15</v>
      </c>
      <c r="AL683">
        <f t="shared" si="158"/>
        <v>0.28249999999999992</v>
      </c>
      <c r="AN683" t="s">
        <v>1883</v>
      </c>
      <c r="AO683">
        <v>0.3</v>
      </c>
      <c r="AP683">
        <v>69.510000000000005</v>
      </c>
      <c r="AR683" t="str" cm="1">
        <f t="array" ref="AR683:AS683">_xlfn.TEXTSPLIT(AN683," ")</f>
        <v>26.10.2023</v>
      </c>
      <c r="AS683" t="str">
        <v>11:22:06</v>
      </c>
      <c r="AT683">
        <f t="shared" si="171"/>
        <v>11.333333333333476</v>
      </c>
      <c r="AU683">
        <f t="shared" si="166"/>
        <v>8.2000000000000028</v>
      </c>
      <c r="AV683">
        <f t="shared" si="167"/>
        <v>0.3</v>
      </c>
      <c r="AW683">
        <f t="shared" si="159"/>
        <v>0.64749999999999985</v>
      </c>
    </row>
    <row r="684" spans="1:49" x14ac:dyDescent="0.25">
      <c r="A684" t="s">
        <v>1884</v>
      </c>
      <c r="B684">
        <v>0.15</v>
      </c>
      <c r="C684">
        <v>19.8</v>
      </c>
      <c r="E684" t="s">
        <v>1884</v>
      </c>
      <c r="F684">
        <v>0.9</v>
      </c>
      <c r="G684">
        <v>87.41</v>
      </c>
      <c r="I684" t="str" cm="1">
        <f t="array" ref="I684:J684">_xlfn.TEXTSPLIT(A684," ")</f>
        <v>27.10.2023</v>
      </c>
      <c r="J684" t="str">
        <v>11:23:07</v>
      </c>
      <c r="K684">
        <f t="shared" si="168"/>
        <v>11.350000000000144</v>
      </c>
      <c r="L684">
        <f t="shared" si="161"/>
        <v>5.48</v>
      </c>
      <c r="M684">
        <f t="shared" si="162"/>
        <v>0.15</v>
      </c>
      <c r="N684">
        <f t="shared" si="156"/>
        <v>1.9350000000000001</v>
      </c>
      <c r="Q684" t="str" cm="1">
        <f t="array" ref="Q684:R684">_xlfn.TEXTSPLIT(E684," ")</f>
        <v>27.10.2023</v>
      </c>
      <c r="R684" t="str">
        <v>11:23:07</v>
      </c>
      <c r="S684">
        <f t="shared" si="169"/>
        <v>11.350000000000144</v>
      </c>
      <c r="T684">
        <f t="shared" si="160"/>
        <v>8.8100000000000023</v>
      </c>
      <c r="U684">
        <f t="shared" si="163"/>
        <v>0.9</v>
      </c>
      <c r="V684">
        <f t="shared" si="157"/>
        <v>2.9000000000000004</v>
      </c>
      <c r="AC684" t="s">
        <v>1885</v>
      </c>
      <c r="AD684">
        <v>0</v>
      </c>
      <c r="AE684">
        <v>7.53</v>
      </c>
      <c r="AG684" t="str" cm="1">
        <f t="array" ref="AG684:AH684">_xlfn.TEXTSPLIT(AC685," ")</f>
        <v>26.10.2023</v>
      </c>
      <c r="AH684" t="str">
        <v>11:24:06</v>
      </c>
      <c r="AI684">
        <f t="shared" si="170"/>
        <v>11.350000000000144</v>
      </c>
      <c r="AJ684">
        <f t="shared" si="164"/>
        <v>3</v>
      </c>
      <c r="AK684">
        <f t="shared" si="165"/>
        <v>0</v>
      </c>
      <c r="AL684">
        <f t="shared" si="158"/>
        <v>0.26999999999999996</v>
      </c>
      <c r="AN684" t="s">
        <v>1885</v>
      </c>
      <c r="AO684">
        <v>0</v>
      </c>
      <c r="AP684">
        <v>69.510000000000005</v>
      </c>
      <c r="AR684" t="str" cm="1">
        <f t="array" ref="AR684:AS684">_xlfn.TEXTSPLIT(AN684," ")</f>
        <v>26.10.2023</v>
      </c>
      <c r="AS684" t="str">
        <v>11:23:06</v>
      </c>
      <c r="AT684">
        <f t="shared" si="171"/>
        <v>11.350000000000144</v>
      </c>
      <c r="AU684">
        <f t="shared" si="166"/>
        <v>8.2000000000000028</v>
      </c>
      <c r="AV684">
        <f t="shared" si="167"/>
        <v>0</v>
      </c>
      <c r="AW684">
        <f t="shared" si="159"/>
        <v>0.64249999999999996</v>
      </c>
    </row>
    <row r="685" spans="1:49" x14ac:dyDescent="0.25">
      <c r="A685" t="s">
        <v>1886</v>
      </c>
      <c r="B685">
        <v>0.15</v>
      </c>
      <c r="C685">
        <v>19.8</v>
      </c>
      <c r="E685" t="s">
        <v>1886</v>
      </c>
      <c r="F685">
        <v>0.9</v>
      </c>
      <c r="G685">
        <v>87.42</v>
      </c>
      <c r="I685" t="str" cm="1">
        <f t="array" ref="I685:J685">_xlfn.TEXTSPLIT(A685," ")</f>
        <v>27.10.2023</v>
      </c>
      <c r="J685" t="str">
        <v>11:24:07</v>
      </c>
      <c r="K685">
        <f t="shared" si="168"/>
        <v>11.366666666666811</v>
      </c>
      <c r="L685">
        <f t="shared" si="161"/>
        <v>5.48</v>
      </c>
      <c r="M685">
        <f t="shared" si="162"/>
        <v>0.15</v>
      </c>
      <c r="N685">
        <f t="shared" si="156"/>
        <v>1.9350000000000003</v>
      </c>
      <c r="Q685" t="str" cm="1">
        <f t="array" ref="Q685:R685">_xlfn.TEXTSPLIT(E685," ")</f>
        <v>27.10.2023</v>
      </c>
      <c r="R685" t="str">
        <v>11:24:07</v>
      </c>
      <c r="S685">
        <f t="shared" si="169"/>
        <v>11.366666666666811</v>
      </c>
      <c r="T685">
        <f t="shared" si="160"/>
        <v>8.8200000000000074</v>
      </c>
      <c r="U685">
        <f t="shared" si="163"/>
        <v>0.9</v>
      </c>
      <c r="V685">
        <f t="shared" si="157"/>
        <v>2.9150000000000005</v>
      </c>
      <c r="AC685" t="s">
        <v>1887</v>
      </c>
      <c r="AD685">
        <v>0</v>
      </c>
      <c r="AE685">
        <v>7.53</v>
      </c>
      <c r="AG685" t="str" cm="1">
        <f t="array" ref="AG685:AH685">_xlfn.TEXTSPLIT(AC686," ")</f>
        <v>26.10.2023</v>
      </c>
      <c r="AH685" t="str">
        <v>11:25:07</v>
      </c>
      <c r="AI685">
        <f t="shared" si="170"/>
        <v>11.366666666666811</v>
      </c>
      <c r="AJ685">
        <f t="shared" si="164"/>
        <v>3</v>
      </c>
      <c r="AK685">
        <f t="shared" si="165"/>
        <v>0</v>
      </c>
      <c r="AL685">
        <f t="shared" si="158"/>
        <v>0.26250000000000001</v>
      </c>
      <c r="AN685" t="s">
        <v>1887</v>
      </c>
      <c r="AO685">
        <v>0</v>
      </c>
      <c r="AP685">
        <v>69.510000000000005</v>
      </c>
      <c r="AR685" t="str" cm="1">
        <f t="array" ref="AR685:AS685">_xlfn.TEXTSPLIT(AN685," ")</f>
        <v>26.10.2023</v>
      </c>
      <c r="AS685" t="str">
        <v>11:24:06</v>
      </c>
      <c r="AT685">
        <f t="shared" si="171"/>
        <v>11.366666666666811</v>
      </c>
      <c r="AU685">
        <f t="shared" si="166"/>
        <v>8.2000000000000028</v>
      </c>
      <c r="AV685">
        <f t="shared" si="167"/>
        <v>0</v>
      </c>
      <c r="AW685">
        <f t="shared" si="159"/>
        <v>0.6399999999999999</v>
      </c>
    </row>
    <row r="686" spans="1:49" x14ac:dyDescent="0.25">
      <c r="A686" t="s">
        <v>1888</v>
      </c>
      <c r="B686">
        <v>0.45</v>
      </c>
      <c r="C686">
        <v>19.8</v>
      </c>
      <c r="E686" t="s">
        <v>1888</v>
      </c>
      <c r="F686">
        <v>0.75</v>
      </c>
      <c r="G686">
        <v>87.43</v>
      </c>
      <c r="I686" t="str" cm="1">
        <f t="array" ref="I686:J686">_xlfn.TEXTSPLIT(A686," ")</f>
        <v>27.10.2023</v>
      </c>
      <c r="J686" t="str">
        <v>11:25:08</v>
      </c>
      <c r="K686">
        <f t="shared" si="168"/>
        <v>11.383333333333479</v>
      </c>
      <c r="L686">
        <f t="shared" si="161"/>
        <v>5.48</v>
      </c>
      <c r="M686">
        <f t="shared" si="162"/>
        <v>0.45</v>
      </c>
      <c r="N686">
        <f t="shared" si="156"/>
        <v>1.9425000000000003</v>
      </c>
      <c r="Q686" t="str" cm="1">
        <f t="array" ref="Q686:R686">_xlfn.TEXTSPLIT(E686," ")</f>
        <v>27.10.2023</v>
      </c>
      <c r="R686" t="str">
        <v>11:25:08</v>
      </c>
      <c r="S686">
        <f t="shared" si="169"/>
        <v>11.383333333333479</v>
      </c>
      <c r="T686">
        <f t="shared" si="160"/>
        <v>8.8300000000000125</v>
      </c>
      <c r="U686">
        <f t="shared" si="163"/>
        <v>0.75</v>
      </c>
      <c r="V686">
        <f t="shared" si="157"/>
        <v>2.9275000000000007</v>
      </c>
      <c r="AC686" t="s">
        <v>1889</v>
      </c>
      <c r="AD686">
        <v>0</v>
      </c>
      <c r="AE686">
        <v>7.53</v>
      </c>
      <c r="AG686" t="str" cm="1">
        <f t="array" ref="AG686:AH686">_xlfn.TEXTSPLIT(AC687," ")</f>
        <v>26.10.2023</v>
      </c>
      <c r="AH686" t="str">
        <v>11:26:07</v>
      </c>
      <c r="AI686">
        <f t="shared" si="170"/>
        <v>11.383333333333479</v>
      </c>
      <c r="AJ686">
        <f t="shared" si="164"/>
        <v>3</v>
      </c>
      <c r="AK686">
        <f t="shared" si="165"/>
        <v>0</v>
      </c>
      <c r="AL686">
        <f t="shared" si="158"/>
        <v>0.26250000000000001</v>
      </c>
      <c r="AN686" t="s">
        <v>1889</v>
      </c>
      <c r="AO686">
        <v>0</v>
      </c>
      <c r="AP686">
        <v>69.510000000000005</v>
      </c>
      <c r="AR686" t="str" cm="1">
        <f t="array" ref="AR686:AS686">_xlfn.TEXTSPLIT(AN686," ")</f>
        <v>26.10.2023</v>
      </c>
      <c r="AS686" t="str">
        <v>11:25:07</v>
      </c>
      <c r="AT686">
        <f t="shared" si="171"/>
        <v>11.383333333333479</v>
      </c>
      <c r="AU686">
        <f t="shared" si="166"/>
        <v>8.2000000000000028</v>
      </c>
      <c r="AV686">
        <f t="shared" si="167"/>
        <v>0</v>
      </c>
      <c r="AW686">
        <f t="shared" si="159"/>
        <v>0.6399999999999999</v>
      </c>
    </row>
    <row r="687" spans="1:49" x14ac:dyDescent="0.25">
      <c r="A687" t="s">
        <v>1890</v>
      </c>
      <c r="B687">
        <v>0.15</v>
      </c>
      <c r="C687">
        <v>19.809999999999999</v>
      </c>
      <c r="E687" t="s">
        <v>1890</v>
      </c>
      <c r="F687">
        <v>0.9</v>
      </c>
      <c r="G687">
        <v>87.45</v>
      </c>
      <c r="I687" t="str" cm="1">
        <f t="array" ref="I687:J687">_xlfn.TEXTSPLIT(A687," ")</f>
        <v>27.10.2023</v>
      </c>
      <c r="J687" t="str">
        <v>11:26:08</v>
      </c>
      <c r="K687">
        <f t="shared" si="168"/>
        <v>11.400000000000146</v>
      </c>
      <c r="L687">
        <f t="shared" si="161"/>
        <v>5.4899999999999984</v>
      </c>
      <c r="M687">
        <f t="shared" si="162"/>
        <v>0.15</v>
      </c>
      <c r="N687">
        <f t="shared" si="156"/>
        <v>1.9450000000000005</v>
      </c>
      <c r="Q687" t="str" cm="1">
        <f t="array" ref="Q687:R687">_xlfn.TEXTSPLIT(E687," ")</f>
        <v>27.10.2023</v>
      </c>
      <c r="R687" t="str">
        <v>11:26:08</v>
      </c>
      <c r="S687">
        <f t="shared" si="169"/>
        <v>11.400000000000146</v>
      </c>
      <c r="T687">
        <f t="shared" si="160"/>
        <v>8.8500000000000085</v>
      </c>
      <c r="U687">
        <f t="shared" si="163"/>
        <v>0.9</v>
      </c>
      <c r="V687">
        <f t="shared" si="157"/>
        <v>2.9425000000000008</v>
      </c>
      <c r="AC687" t="s">
        <v>1891</v>
      </c>
      <c r="AD687">
        <v>0</v>
      </c>
      <c r="AE687">
        <v>7.53</v>
      </c>
      <c r="AG687" t="str" cm="1">
        <f t="array" ref="AG687:AH687">_xlfn.TEXTSPLIT(AC688," ")</f>
        <v>26.10.2023</v>
      </c>
      <c r="AH687" t="str">
        <v>11:27:07</v>
      </c>
      <c r="AI687">
        <f t="shared" si="170"/>
        <v>11.400000000000146</v>
      </c>
      <c r="AJ687">
        <f t="shared" si="164"/>
        <v>3</v>
      </c>
      <c r="AK687">
        <f t="shared" si="165"/>
        <v>0</v>
      </c>
      <c r="AL687">
        <f t="shared" si="158"/>
        <v>0.26250000000000001</v>
      </c>
      <c r="AN687" t="s">
        <v>1891</v>
      </c>
      <c r="AO687">
        <v>0.15</v>
      </c>
      <c r="AP687">
        <v>69.510000000000005</v>
      </c>
      <c r="AR687" t="str" cm="1">
        <f t="array" ref="AR687:AS687">_xlfn.TEXTSPLIT(AN687," ")</f>
        <v>26.10.2023</v>
      </c>
      <c r="AS687" t="str">
        <v>11:26:07</v>
      </c>
      <c r="AT687">
        <f t="shared" si="171"/>
        <v>11.400000000000146</v>
      </c>
      <c r="AU687">
        <f t="shared" si="166"/>
        <v>8.2000000000000028</v>
      </c>
      <c r="AV687">
        <f t="shared" si="167"/>
        <v>0.15</v>
      </c>
      <c r="AW687">
        <f t="shared" si="159"/>
        <v>0.64249999999999985</v>
      </c>
    </row>
    <row r="688" spans="1:49" x14ac:dyDescent="0.25">
      <c r="A688" t="s">
        <v>1892</v>
      </c>
      <c r="B688">
        <v>0.3</v>
      </c>
      <c r="C688">
        <v>19.809999999999999</v>
      </c>
      <c r="E688" t="s">
        <v>1892</v>
      </c>
      <c r="F688">
        <v>0.6</v>
      </c>
      <c r="G688">
        <v>87.46</v>
      </c>
      <c r="I688" t="str" cm="1">
        <f t="array" ref="I688:J688">_xlfn.TEXTSPLIT(A688," ")</f>
        <v>27.10.2023</v>
      </c>
      <c r="J688" t="str">
        <v>11:27:08</v>
      </c>
      <c r="K688">
        <f t="shared" si="168"/>
        <v>11.416666666666814</v>
      </c>
      <c r="L688">
        <f t="shared" si="161"/>
        <v>5.4899999999999984</v>
      </c>
      <c r="M688">
        <f t="shared" si="162"/>
        <v>0.3</v>
      </c>
      <c r="N688">
        <f t="shared" si="156"/>
        <v>1.9500000000000004</v>
      </c>
      <c r="Q688" t="str" cm="1">
        <f t="array" ref="Q688:R688">_xlfn.TEXTSPLIT(E688," ")</f>
        <v>27.10.2023</v>
      </c>
      <c r="R688" t="str">
        <v>11:27:08</v>
      </c>
      <c r="S688">
        <f t="shared" si="169"/>
        <v>11.416666666666814</v>
      </c>
      <c r="T688">
        <f t="shared" si="160"/>
        <v>8.86</v>
      </c>
      <c r="U688">
        <f t="shared" si="163"/>
        <v>0.6</v>
      </c>
      <c r="V688">
        <f t="shared" si="157"/>
        <v>2.9525000000000006</v>
      </c>
      <c r="AC688" t="s">
        <v>1893</v>
      </c>
      <c r="AD688">
        <v>0</v>
      </c>
      <c r="AE688">
        <v>7.53</v>
      </c>
      <c r="AG688" t="str" cm="1">
        <f t="array" ref="AG688:AH688">_xlfn.TEXTSPLIT(AC689," ")</f>
        <v>26.10.2023</v>
      </c>
      <c r="AH688" t="str">
        <v>11:28:07</v>
      </c>
      <c r="AI688">
        <f t="shared" si="170"/>
        <v>11.416666666666814</v>
      </c>
      <c r="AJ688">
        <f t="shared" si="164"/>
        <v>3</v>
      </c>
      <c r="AK688">
        <f t="shared" si="165"/>
        <v>0</v>
      </c>
      <c r="AL688">
        <f t="shared" si="158"/>
        <v>0.26250000000000001</v>
      </c>
      <c r="AN688" t="s">
        <v>1893</v>
      </c>
      <c r="AO688">
        <v>0</v>
      </c>
      <c r="AP688">
        <v>69.510000000000005</v>
      </c>
      <c r="AR688" t="str" cm="1">
        <f t="array" ref="AR688:AS688">_xlfn.TEXTSPLIT(AN688," ")</f>
        <v>26.10.2023</v>
      </c>
      <c r="AS688" t="str">
        <v>11:27:07</v>
      </c>
      <c r="AT688">
        <f t="shared" si="171"/>
        <v>11.416666666666814</v>
      </c>
      <c r="AU688">
        <f t="shared" si="166"/>
        <v>8.2000000000000028</v>
      </c>
      <c r="AV688">
        <f t="shared" si="167"/>
        <v>0</v>
      </c>
      <c r="AW688">
        <f t="shared" si="159"/>
        <v>0.6399999999999999</v>
      </c>
    </row>
    <row r="689" spans="1:49" x14ac:dyDescent="0.25">
      <c r="A689" t="s">
        <v>1894</v>
      </c>
      <c r="B689">
        <v>0.3</v>
      </c>
      <c r="C689">
        <v>19.809999999999999</v>
      </c>
      <c r="E689" t="s">
        <v>1894</v>
      </c>
      <c r="F689">
        <v>0.75</v>
      </c>
      <c r="G689">
        <v>87.47</v>
      </c>
      <c r="I689" t="str" cm="1">
        <f t="array" ref="I689:J689">_xlfn.TEXTSPLIT(A689," ")</f>
        <v>27.10.2023</v>
      </c>
      <c r="J689" t="str">
        <v>11:28:08</v>
      </c>
      <c r="K689">
        <f t="shared" si="168"/>
        <v>11.433333333333481</v>
      </c>
      <c r="L689">
        <f t="shared" si="161"/>
        <v>5.4899999999999984</v>
      </c>
      <c r="M689">
        <f t="shared" si="162"/>
        <v>0.3</v>
      </c>
      <c r="N689">
        <f t="shared" si="156"/>
        <v>1.9550000000000005</v>
      </c>
      <c r="Q689" t="str" cm="1">
        <f t="array" ref="Q689:R689">_xlfn.TEXTSPLIT(E689," ")</f>
        <v>27.10.2023</v>
      </c>
      <c r="R689" t="str">
        <v>11:28:08</v>
      </c>
      <c r="S689">
        <f t="shared" si="169"/>
        <v>11.433333333333481</v>
      </c>
      <c r="T689">
        <f t="shared" si="160"/>
        <v>8.8700000000000045</v>
      </c>
      <c r="U689">
        <f t="shared" si="163"/>
        <v>0.75</v>
      </c>
      <c r="V689">
        <f t="shared" si="157"/>
        <v>2.9650000000000007</v>
      </c>
      <c r="AC689" t="s">
        <v>1895</v>
      </c>
      <c r="AD689">
        <v>0</v>
      </c>
      <c r="AE689">
        <v>7.53</v>
      </c>
      <c r="AG689" t="str" cm="1">
        <f t="array" ref="AG689:AH689">_xlfn.TEXTSPLIT(AC690," ")</f>
        <v>26.10.2023</v>
      </c>
      <c r="AH689" t="str">
        <v>11:29:07</v>
      </c>
      <c r="AI689">
        <f t="shared" si="170"/>
        <v>11.433333333333481</v>
      </c>
      <c r="AJ689">
        <f t="shared" si="164"/>
        <v>3</v>
      </c>
      <c r="AK689">
        <f t="shared" si="165"/>
        <v>0</v>
      </c>
      <c r="AL689">
        <f t="shared" si="158"/>
        <v>0.26250000000000001</v>
      </c>
      <c r="AN689" t="s">
        <v>1895</v>
      </c>
      <c r="AO689">
        <v>0.15</v>
      </c>
      <c r="AP689">
        <v>69.510000000000005</v>
      </c>
      <c r="AR689" t="str" cm="1">
        <f t="array" ref="AR689:AS689">_xlfn.TEXTSPLIT(AN689," ")</f>
        <v>26.10.2023</v>
      </c>
      <c r="AS689" t="str">
        <v>11:28:07</v>
      </c>
      <c r="AT689">
        <f t="shared" si="171"/>
        <v>11.433333333333481</v>
      </c>
      <c r="AU689">
        <f t="shared" si="166"/>
        <v>8.2000000000000028</v>
      </c>
      <c r="AV689">
        <f t="shared" si="167"/>
        <v>0.15</v>
      </c>
      <c r="AW689">
        <f t="shared" si="159"/>
        <v>0.6399999999999999</v>
      </c>
    </row>
    <row r="690" spans="1:49" x14ac:dyDescent="0.25">
      <c r="A690" t="s">
        <v>1896</v>
      </c>
      <c r="B690">
        <v>0.75</v>
      </c>
      <c r="C690">
        <v>19.829999999999998</v>
      </c>
      <c r="E690" t="s">
        <v>1896</v>
      </c>
      <c r="F690">
        <v>0.6</v>
      </c>
      <c r="G690">
        <v>87.48</v>
      </c>
      <c r="I690" t="str" cm="1">
        <f t="array" ref="I690:J690">_xlfn.TEXTSPLIT(A690," ")</f>
        <v>27.10.2023</v>
      </c>
      <c r="J690" t="str">
        <v>11:29:08</v>
      </c>
      <c r="K690">
        <f t="shared" si="168"/>
        <v>11.450000000000149</v>
      </c>
      <c r="L690">
        <f t="shared" si="161"/>
        <v>5.509999999999998</v>
      </c>
      <c r="M690">
        <f t="shared" si="162"/>
        <v>0.75</v>
      </c>
      <c r="N690">
        <f t="shared" si="156"/>
        <v>1.9675000000000005</v>
      </c>
      <c r="Q690" t="str" cm="1">
        <f t="array" ref="Q690:R690">_xlfn.TEXTSPLIT(E690," ")</f>
        <v>27.10.2023</v>
      </c>
      <c r="R690" t="str">
        <v>11:29:08</v>
      </c>
      <c r="S690">
        <f t="shared" si="169"/>
        <v>11.450000000000149</v>
      </c>
      <c r="T690">
        <f t="shared" si="160"/>
        <v>8.8800000000000097</v>
      </c>
      <c r="U690">
        <f t="shared" si="163"/>
        <v>0.6</v>
      </c>
      <c r="V690">
        <f t="shared" si="157"/>
        <v>2.9750000000000005</v>
      </c>
      <c r="AC690" t="s">
        <v>1897</v>
      </c>
      <c r="AD690">
        <v>0</v>
      </c>
      <c r="AE690">
        <v>7.53</v>
      </c>
      <c r="AG690" t="str" cm="1">
        <f t="array" ref="AG690:AH690">_xlfn.TEXTSPLIT(AC691," ")</f>
        <v>26.10.2023</v>
      </c>
      <c r="AH690" t="str">
        <v>11:30:07</v>
      </c>
      <c r="AI690">
        <f t="shared" si="170"/>
        <v>11.450000000000149</v>
      </c>
      <c r="AJ690">
        <f t="shared" si="164"/>
        <v>3</v>
      </c>
      <c r="AK690">
        <f t="shared" si="165"/>
        <v>0</v>
      </c>
      <c r="AL690">
        <f t="shared" si="158"/>
        <v>0.26250000000000001</v>
      </c>
      <c r="AN690" t="s">
        <v>1897</v>
      </c>
      <c r="AO690">
        <v>0.15</v>
      </c>
      <c r="AP690">
        <v>69.510000000000005</v>
      </c>
      <c r="AR690" t="str" cm="1">
        <f t="array" ref="AR690:AS690">_xlfn.TEXTSPLIT(AN690," ")</f>
        <v>26.10.2023</v>
      </c>
      <c r="AS690" t="str">
        <v>11:29:07</v>
      </c>
      <c r="AT690">
        <f t="shared" si="171"/>
        <v>11.450000000000149</v>
      </c>
      <c r="AU690">
        <f t="shared" si="166"/>
        <v>8.2000000000000028</v>
      </c>
      <c r="AV690">
        <f t="shared" si="167"/>
        <v>0.15</v>
      </c>
      <c r="AW690">
        <f t="shared" si="159"/>
        <v>0.64249999999999985</v>
      </c>
    </row>
    <row r="691" spans="1:49" x14ac:dyDescent="0.25">
      <c r="A691" t="s">
        <v>1898</v>
      </c>
      <c r="B691">
        <v>0.3</v>
      </c>
      <c r="C691">
        <v>19.829999999999998</v>
      </c>
      <c r="E691" t="s">
        <v>1898</v>
      </c>
      <c r="F691">
        <v>0.75</v>
      </c>
      <c r="G691">
        <v>87.49</v>
      </c>
      <c r="I691" t="str" cm="1">
        <f t="array" ref="I691:J691">_xlfn.TEXTSPLIT(A691," ")</f>
        <v>27.10.2023</v>
      </c>
      <c r="J691" t="str">
        <v>11:30:08</v>
      </c>
      <c r="K691">
        <f t="shared" si="168"/>
        <v>11.466666666666816</v>
      </c>
      <c r="L691">
        <f t="shared" si="161"/>
        <v>5.509999999999998</v>
      </c>
      <c r="M691">
        <f t="shared" si="162"/>
        <v>0.3</v>
      </c>
      <c r="N691">
        <f t="shared" si="156"/>
        <v>1.9725000000000004</v>
      </c>
      <c r="Q691" t="str" cm="1">
        <f t="array" ref="Q691:R691">_xlfn.TEXTSPLIT(E691," ")</f>
        <v>27.10.2023</v>
      </c>
      <c r="R691" t="str">
        <v>11:30:08</v>
      </c>
      <c r="S691">
        <f t="shared" si="169"/>
        <v>11.466666666666816</v>
      </c>
      <c r="T691">
        <f t="shared" si="160"/>
        <v>8.89</v>
      </c>
      <c r="U691">
        <f t="shared" si="163"/>
        <v>0.75</v>
      </c>
      <c r="V691">
        <f t="shared" si="157"/>
        <v>2.9875000000000003</v>
      </c>
      <c r="AC691" t="s">
        <v>1899</v>
      </c>
      <c r="AD691">
        <v>0</v>
      </c>
      <c r="AE691">
        <v>7.53</v>
      </c>
      <c r="AG691" t="str" cm="1">
        <f t="array" ref="AG691:AH691">_xlfn.TEXTSPLIT(AC692," ")</f>
        <v>26.10.2023</v>
      </c>
      <c r="AH691" t="str">
        <v>11:31:07</v>
      </c>
      <c r="AI691">
        <f t="shared" si="170"/>
        <v>11.466666666666816</v>
      </c>
      <c r="AJ691">
        <f t="shared" si="164"/>
        <v>3</v>
      </c>
      <c r="AK691">
        <f t="shared" si="165"/>
        <v>0</v>
      </c>
      <c r="AL691">
        <f t="shared" si="158"/>
        <v>0.26250000000000001</v>
      </c>
      <c r="AN691" t="s">
        <v>1899</v>
      </c>
      <c r="AO691">
        <v>0.15</v>
      </c>
      <c r="AP691">
        <v>69.52</v>
      </c>
      <c r="AR691" t="str" cm="1">
        <f t="array" ref="AR691:AS691">_xlfn.TEXTSPLIT(AN691," ")</f>
        <v>26.10.2023</v>
      </c>
      <c r="AS691" t="str">
        <v>11:30:07</v>
      </c>
      <c r="AT691">
        <f t="shared" si="171"/>
        <v>11.466666666666816</v>
      </c>
      <c r="AU691">
        <f t="shared" si="166"/>
        <v>8.2099999999999937</v>
      </c>
      <c r="AV691">
        <f t="shared" si="167"/>
        <v>0.15</v>
      </c>
      <c r="AW691">
        <f t="shared" si="159"/>
        <v>0.64249999999999985</v>
      </c>
    </row>
    <row r="692" spans="1:49" x14ac:dyDescent="0.25">
      <c r="A692" t="s">
        <v>1900</v>
      </c>
      <c r="B692">
        <v>0.6</v>
      </c>
      <c r="C692">
        <v>19.84</v>
      </c>
      <c r="E692" t="s">
        <v>1900</v>
      </c>
      <c r="F692">
        <v>0.75</v>
      </c>
      <c r="G692">
        <v>87.5</v>
      </c>
      <c r="I692" t="str" cm="1">
        <f t="array" ref="I692:J692">_xlfn.TEXTSPLIT(A692," ")</f>
        <v>27.10.2023</v>
      </c>
      <c r="J692" t="str">
        <v>11:31:08</v>
      </c>
      <c r="K692">
        <f t="shared" si="168"/>
        <v>11.483333333333483</v>
      </c>
      <c r="L692">
        <f t="shared" si="161"/>
        <v>5.52</v>
      </c>
      <c r="M692">
        <f t="shared" si="162"/>
        <v>0.6</v>
      </c>
      <c r="N692">
        <f t="shared" si="156"/>
        <v>1.9825000000000004</v>
      </c>
      <c r="Q692" t="str" cm="1">
        <f t="array" ref="Q692:R692">_xlfn.TEXTSPLIT(E692," ")</f>
        <v>27.10.2023</v>
      </c>
      <c r="R692" t="str">
        <v>11:31:08</v>
      </c>
      <c r="S692">
        <f t="shared" si="169"/>
        <v>11.483333333333483</v>
      </c>
      <c r="T692">
        <f t="shared" si="160"/>
        <v>8.9000000000000057</v>
      </c>
      <c r="U692">
        <f t="shared" si="163"/>
        <v>0.75</v>
      </c>
      <c r="V692">
        <f t="shared" si="157"/>
        <v>3.0000000000000004</v>
      </c>
      <c r="AC692" t="s">
        <v>1901</v>
      </c>
      <c r="AD692">
        <v>0</v>
      </c>
      <c r="AE692">
        <v>7.53</v>
      </c>
      <c r="AG692" t="str" cm="1">
        <f t="array" ref="AG692:AH692">_xlfn.TEXTSPLIT(AC693," ")</f>
        <v>26.10.2023</v>
      </c>
      <c r="AH692" t="str">
        <v>11:32:08</v>
      </c>
      <c r="AI692">
        <f t="shared" si="170"/>
        <v>11.483333333333483</v>
      </c>
      <c r="AJ692">
        <f t="shared" si="164"/>
        <v>3</v>
      </c>
      <c r="AK692">
        <f t="shared" si="165"/>
        <v>0</v>
      </c>
      <c r="AL692">
        <f t="shared" si="158"/>
        <v>0.26250000000000001</v>
      </c>
      <c r="AN692" t="s">
        <v>1901</v>
      </c>
      <c r="AO692">
        <v>0.3</v>
      </c>
      <c r="AP692">
        <v>69.52</v>
      </c>
      <c r="AR692" t="str" cm="1">
        <f t="array" ref="AR692:AS692">_xlfn.TEXTSPLIT(AN692," ")</f>
        <v>26.10.2023</v>
      </c>
      <c r="AS692" t="str">
        <v>11:31:07</v>
      </c>
      <c r="AT692">
        <f t="shared" si="171"/>
        <v>11.483333333333483</v>
      </c>
      <c r="AU692">
        <f t="shared" si="166"/>
        <v>8.2099999999999937</v>
      </c>
      <c r="AV692">
        <f t="shared" si="167"/>
        <v>0.3</v>
      </c>
      <c r="AW692">
        <f t="shared" si="159"/>
        <v>0.64249999999999974</v>
      </c>
    </row>
    <row r="693" spans="1:49" x14ac:dyDescent="0.25">
      <c r="A693" t="s">
        <v>1902</v>
      </c>
      <c r="B693">
        <v>0.6</v>
      </c>
      <c r="C693">
        <v>19.850000000000001</v>
      </c>
      <c r="E693" t="s">
        <v>1902</v>
      </c>
      <c r="F693">
        <v>1.05</v>
      </c>
      <c r="G693">
        <v>87.52</v>
      </c>
      <c r="I693" t="str" cm="1">
        <f t="array" ref="I693:J693">_xlfn.TEXTSPLIT(A693," ")</f>
        <v>27.10.2023</v>
      </c>
      <c r="J693" t="str">
        <v>11:32:08</v>
      </c>
      <c r="K693">
        <f t="shared" si="168"/>
        <v>11.500000000000151</v>
      </c>
      <c r="L693">
        <f t="shared" si="161"/>
        <v>5.5300000000000011</v>
      </c>
      <c r="M693">
        <f t="shared" si="162"/>
        <v>0.6</v>
      </c>
      <c r="N693">
        <f t="shared" si="156"/>
        <v>1.9925000000000002</v>
      </c>
      <c r="Q693" t="str" cm="1">
        <f t="array" ref="Q693:R693">_xlfn.TEXTSPLIT(E693," ")</f>
        <v>27.10.2023</v>
      </c>
      <c r="R693" t="str">
        <v>11:32:08</v>
      </c>
      <c r="S693">
        <f t="shared" si="169"/>
        <v>11.500000000000151</v>
      </c>
      <c r="T693">
        <f t="shared" si="160"/>
        <v>8.9200000000000017</v>
      </c>
      <c r="U693">
        <f t="shared" si="163"/>
        <v>1.05</v>
      </c>
      <c r="V693">
        <f t="shared" si="157"/>
        <v>3.0175000000000005</v>
      </c>
      <c r="AC693" t="s">
        <v>1903</v>
      </c>
      <c r="AD693">
        <v>0</v>
      </c>
      <c r="AE693">
        <v>7.53</v>
      </c>
      <c r="AG693" t="str" cm="1">
        <f t="array" ref="AG693:AH693">_xlfn.TEXTSPLIT(AC694," ")</f>
        <v>26.10.2023</v>
      </c>
      <c r="AH693" t="str">
        <v>11:33:08</v>
      </c>
      <c r="AI693">
        <f t="shared" si="170"/>
        <v>11.500000000000151</v>
      </c>
      <c r="AJ693">
        <f t="shared" si="164"/>
        <v>3</v>
      </c>
      <c r="AK693">
        <f t="shared" si="165"/>
        <v>0</v>
      </c>
      <c r="AL693">
        <f t="shared" si="158"/>
        <v>0.26250000000000001</v>
      </c>
      <c r="AN693" t="s">
        <v>1903</v>
      </c>
      <c r="AO693">
        <v>0.3</v>
      </c>
      <c r="AP693">
        <v>69.53</v>
      </c>
      <c r="AR693" t="str" cm="1">
        <f t="array" ref="AR693:AS693">_xlfn.TEXTSPLIT(AN693," ")</f>
        <v>26.10.2023</v>
      </c>
      <c r="AS693" t="str">
        <v>11:32:08</v>
      </c>
      <c r="AT693">
        <f t="shared" si="171"/>
        <v>11.500000000000151</v>
      </c>
      <c r="AU693">
        <f t="shared" si="166"/>
        <v>8.2199999999999989</v>
      </c>
      <c r="AV693">
        <f t="shared" si="167"/>
        <v>0.3</v>
      </c>
      <c r="AW693">
        <f t="shared" si="159"/>
        <v>0.64249999999999974</v>
      </c>
    </row>
    <row r="694" spans="1:49" x14ac:dyDescent="0.25">
      <c r="A694" t="s">
        <v>1904</v>
      </c>
      <c r="B694">
        <v>0.45</v>
      </c>
      <c r="C694">
        <v>19.86</v>
      </c>
      <c r="E694" t="s">
        <v>1904</v>
      </c>
      <c r="F694">
        <v>0.9</v>
      </c>
      <c r="G694">
        <v>87.54</v>
      </c>
      <c r="I694" t="str" cm="1">
        <f t="array" ref="I694:J694">_xlfn.TEXTSPLIT(A694," ")</f>
        <v>27.10.2023</v>
      </c>
      <c r="J694" t="str">
        <v>11:33:08</v>
      </c>
      <c r="K694">
        <f t="shared" si="168"/>
        <v>11.516666666666818</v>
      </c>
      <c r="L694">
        <f t="shared" si="161"/>
        <v>5.5399999999999991</v>
      </c>
      <c r="M694">
        <f t="shared" si="162"/>
        <v>0.45</v>
      </c>
      <c r="N694">
        <f t="shared" si="156"/>
        <v>2.0000000000000004</v>
      </c>
      <c r="Q694" t="str" cm="1">
        <f t="array" ref="Q694:R694">_xlfn.TEXTSPLIT(E694," ")</f>
        <v>27.10.2023</v>
      </c>
      <c r="R694" t="str">
        <v>11:33:08</v>
      </c>
      <c r="S694">
        <f t="shared" si="169"/>
        <v>11.516666666666818</v>
      </c>
      <c r="T694">
        <f t="shared" si="160"/>
        <v>8.9400000000000119</v>
      </c>
      <c r="U694">
        <f t="shared" si="163"/>
        <v>0.9</v>
      </c>
      <c r="V694">
        <f t="shared" si="157"/>
        <v>3.0250000000000004</v>
      </c>
      <c r="AC694" t="s">
        <v>1905</v>
      </c>
      <c r="AD694">
        <v>0</v>
      </c>
      <c r="AE694">
        <v>7.53</v>
      </c>
      <c r="AG694" t="str" cm="1">
        <f t="array" ref="AG694:AH694">_xlfn.TEXTSPLIT(AC695," ")</f>
        <v>26.10.2023</v>
      </c>
      <c r="AH694" t="str">
        <v>11:34:08</v>
      </c>
      <c r="AI694">
        <f t="shared" si="170"/>
        <v>11.516666666666818</v>
      </c>
      <c r="AJ694">
        <f t="shared" si="164"/>
        <v>3</v>
      </c>
      <c r="AK694">
        <f t="shared" si="165"/>
        <v>0</v>
      </c>
      <c r="AL694">
        <f t="shared" si="158"/>
        <v>0.26250000000000001</v>
      </c>
      <c r="AN694" t="s">
        <v>1905</v>
      </c>
      <c r="AO694">
        <v>0.45</v>
      </c>
      <c r="AP694">
        <v>69.540000000000006</v>
      </c>
      <c r="AR694" t="str" cm="1">
        <f t="array" ref="AR694:AS694">_xlfn.TEXTSPLIT(AN694," ")</f>
        <v>26.10.2023</v>
      </c>
      <c r="AS694" t="str">
        <v>11:33:08</v>
      </c>
      <c r="AT694">
        <f t="shared" si="171"/>
        <v>11.516666666666818</v>
      </c>
      <c r="AU694">
        <f t="shared" si="166"/>
        <v>8.230000000000004</v>
      </c>
      <c r="AV694">
        <f t="shared" si="167"/>
        <v>0.45</v>
      </c>
      <c r="AW694">
        <f t="shared" si="159"/>
        <v>0.64499999999999968</v>
      </c>
    </row>
    <row r="695" spans="1:49" x14ac:dyDescent="0.25">
      <c r="A695" t="s">
        <v>1906</v>
      </c>
      <c r="B695">
        <v>1.05</v>
      </c>
      <c r="C695">
        <v>19.88</v>
      </c>
      <c r="E695" t="s">
        <v>1906</v>
      </c>
      <c r="F695">
        <v>1.05</v>
      </c>
      <c r="G695">
        <v>87.56</v>
      </c>
      <c r="I695" t="str" cm="1">
        <f t="array" ref="I695:J695">_xlfn.TEXTSPLIT(A695," ")</f>
        <v>27.10.2023</v>
      </c>
      <c r="J695" t="str">
        <v>11:34:08</v>
      </c>
      <c r="K695">
        <f t="shared" si="168"/>
        <v>11.533333333333486</v>
      </c>
      <c r="L695">
        <f t="shared" si="161"/>
        <v>5.5599999999999987</v>
      </c>
      <c r="M695">
        <f t="shared" si="162"/>
        <v>1.05</v>
      </c>
      <c r="N695">
        <f t="shared" si="156"/>
        <v>2.0175000000000001</v>
      </c>
      <c r="Q695" t="str" cm="1">
        <f t="array" ref="Q695:R695">_xlfn.TEXTSPLIT(E695," ")</f>
        <v>27.10.2023</v>
      </c>
      <c r="R695" t="str">
        <v>11:34:08</v>
      </c>
      <c r="S695">
        <f t="shared" si="169"/>
        <v>11.533333333333486</v>
      </c>
      <c r="T695">
        <f t="shared" si="160"/>
        <v>8.960000000000008</v>
      </c>
      <c r="U695">
        <f t="shared" si="163"/>
        <v>1.05</v>
      </c>
      <c r="V695">
        <f t="shared" si="157"/>
        <v>3.0425000000000009</v>
      </c>
      <c r="AC695" t="s">
        <v>1907</v>
      </c>
      <c r="AD695">
        <v>0</v>
      </c>
      <c r="AE695">
        <v>7.53</v>
      </c>
      <c r="AG695" t="str" cm="1">
        <f t="array" ref="AG695:AH695">_xlfn.TEXTSPLIT(AC696," ")</f>
        <v>26.10.2023</v>
      </c>
      <c r="AH695" t="str">
        <v>11:35:08</v>
      </c>
      <c r="AI695">
        <f t="shared" si="170"/>
        <v>11.533333333333486</v>
      </c>
      <c r="AJ695">
        <f t="shared" si="164"/>
        <v>3</v>
      </c>
      <c r="AK695">
        <f t="shared" si="165"/>
        <v>0</v>
      </c>
      <c r="AL695">
        <f t="shared" si="158"/>
        <v>0.26250000000000001</v>
      </c>
      <c r="AN695" t="s">
        <v>1907</v>
      </c>
      <c r="AO695">
        <v>0.6</v>
      </c>
      <c r="AP695">
        <v>69.540000000000006</v>
      </c>
      <c r="AR695" t="str" cm="1">
        <f t="array" ref="AR695:AS695">_xlfn.TEXTSPLIT(AN695," ")</f>
        <v>26.10.2023</v>
      </c>
      <c r="AS695" t="str">
        <v>11:34:08</v>
      </c>
      <c r="AT695">
        <f t="shared" si="171"/>
        <v>11.533333333333486</v>
      </c>
      <c r="AU695">
        <f t="shared" si="166"/>
        <v>8.230000000000004</v>
      </c>
      <c r="AV695">
        <f t="shared" si="167"/>
        <v>0.6</v>
      </c>
      <c r="AW695">
        <f t="shared" si="159"/>
        <v>0.64999999999999969</v>
      </c>
    </row>
    <row r="696" spans="1:49" x14ac:dyDescent="0.25">
      <c r="A696" t="s">
        <v>1908</v>
      </c>
      <c r="B696">
        <v>0.45</v>
      </c>
      <c r="C696">
        <v>19.89</v>
      </c>
      <c r="E696" t="s">
        <v>1908</v>
      </c>
      <c r="F696">
        <v>1.2</v>
      </c>
      <c r="G696">
        <v>87.57</v>
      </c>
      <c r="I696" t="str" cm="1">
        <f t="array" ref="I696:J696">_xlfn.TEXTSPLIT(A696," ")</f>
        <v>27.10.2023</v>
      </c>
      <c r="J696" t="str">
        <v>11:35:08</v>
      </c>
      <c r="K696">
        <f t="shared" si="168"/>
        <v>11.550000000000153</v>
      </c>
      <c r="L696">
        <f t="shared" si="161"/>
        <v>5.57</v>
      </c>
      <c r="M696">
        <f t="shared" si="162"/>
        <v>0.45</v>
      </c>
      <c r="N696">
        <f t="shared" si="156"/>
        <v>2.0250000000000004</v>
      </c>
      <c r="Q696" t="str" cm="1">
        <f t="array" ref="Q696:R696">_xlfn.TEXTSPLIT(E696," ")</f>
        <v>27.10.2023</v>
      </c>
      <c r="R696" t="str">
        <v>11:35:08</v>
      </c>
      <c r="S696">
        <f t="shared" si="169"/>
        <v>11.550000000000153</v>
      </c>
      <c r="T696">
        <f t="shared" si="160"/>
        <v>8.9699999999999989</v>
      </c>
      <c r="U696">
        <f t="shared" si="163"/>
        <v>1.2</v>
      </c>
      <c r="V696">
        <f t="shared" si="157"/>
        <v>3.0625000000000004</v>
      </c>
      <c r="AC696" t="s">
        <v>1909</v>
      </c>
      <c r="AD696">
        <v>0</v>
      </c>
      <c r="AE696">
        <v>7.53</v>
      </c>
      <c r="AG696" t="str" cm="1">
        <f t="array" ref="AG696:AH696">_xlfn.TEXTSPLIT(AC697," ")</f>
        <v>26.10.2023</v>
      </c>
      <c r="AH696" t="str">
        <v>11:36:08</v>
      </c>
      <c r="AI696">
        <f t="shared" si="170"/>
        <v>11.550000000000153</v>
      </c>
      <c r="AJ696">
        <f t="shared" si="164"/>
        <v>3</v>
      </c>
      <c r="AK696">
        <f t="shared" si="165"/>
        <v>0</v>
      </c>
      <c r="AL696">
        <f t="shared" si="158"/>
        <v>0.26250000000000001</v>
      </c>
      <c r="AN696" t="s">
        <v>1909</v>
      </c>
      <c r="AO696">
        <v>0.6</v>
      </c>
      <c r="AP696">
        <v>69.56</v>
      </c>
      <c r="AR696" t="str" cm="1">
        <f t="array" ref="AR696:AS696">_xlfn.TEXTSPLIT(AN696," ")</f>
        <v>26.10.2023</v>
      </c>
      <c r="AS696" t="str">
        <v>11:35:08</v>
      </c>
      <c r="AT696">
        <f t="shared" si="171"/>
        <v>11.550000000000153</v>
      </c>
      <c r="AU696">
        <f t="shared" si="166"/>
        <v>8.25</v>
      </c>
      <c r="AV696">
        <f t="shared" si="167"/>
        <v>0.6</v>
      </c>
      <c r="AW696">
        <f t="shared" si="159"/>
        <v>0.65499999999999969</v>
      </c>
    </row>
    <row r="697" spans="1:49" x14ac:dyDescent="0.25">
      <c r="A697" t="s">
        <v>1910</v>
      </c>
      <c r="B697">
        <v>0.45</v>
      </c>
      <c r="C697">
        <v>19.899999999999999</v>
      </c>
      <c r="E697" t="s">
        <v>1910</v>
      </c>
      <c r="F697">
        <v>1.05</v>
      </c>
      <c r="G697">
        <v>87.59</v>
      </c>
      <c r="I697" t="str" cm="1">
        <f t="array" ref="I697:J697">_xlfn.TEXTSPLIT(A697," ")</f>
        <v>27.10.2023</v>
      </c>
      <c r="J697" t="str">
        <v>11:36:08</v>
      </c>
      <c r="K697">
        <f t="shared" si="168"/>
        <v>11.566666666666821</v>
      </c>
      <c r="L697">
        <f t="shared" si="161"/>
        <v>5.5799999999999983</v>
      </c>
      <c r="M697">
        <f t="shared" si="162"/>
        <v>0.45</v>
      </c>
      <c r="N697">
        <f t="shared" si="156"/>
        <v>2.0325000000000002</v>
      </c>
      <c r="Q697" t="str" cm="1">
        <f t="array" ref="Q697:R697">_xlfn.TEXTSPLIT(E697," ")</f>
        <v>27.10.2023</v>
      </c>
      <c r="R697" t="str">
        <v>11:36:08</v>
      </c>
      <c r="S697">
        <f t="shared" si="169"/>
        <v>11.566666666666821</v>
      </c>
      <c r="T697">
        <f t="shared" si="160"/>
        <v>8.9900000000000091</v>
      </c>
      <c r="U697">
        <f t="shared" si="163"/>
        <v>1.05</v>
      </c>
      <c r="V697">
        <f t="shared" si="157"/>
        <v>3.0650000000000004</v>
      </c>
      <c r="AC697" t="s">
        <v>1911</v>
      </c>
      <c r="AD697">
        <v>0</v>
      </c>
      <c r="AE697">
        <v>7.53</v>
      </c>
      <c r="AG697" t="str" cm="1">
        <f t="array" ref="AG697:AH697">_xlfn.TEXTSPLIT(AC698," ")</f>
        <v>26.10.2023</v>
      </c>
      <c r="AH697" t="str">
        <v>11:37:08</v>
      </c>
      <c r="AI697">
        <f t="shared" si="170"/>
        <v>11.566666666666821</v>
      </c>
      <c r="AJ697">
        <f t="shared" si="164"/>
        <v>3</v>
      </c>
      <c r="AK697">
        <f t="shared" si="165"/>
        <v>0</v>
      </c>
      <c r="AL697">
        <f t="shared" si="158"/>
        <v>0.26250000000000001</v>
      </c>
      <c r="AN697" t="s">
        <v>1911</v>
      </c>
      <c r="AO697">
        <v>0.6</v>
      </c>
      <c r="AP697">
        <v>69.569999999999993</v>
      </c>
      <c r="AR697" t="str" cm="1">
        <f t="array" ref="AR697:AS697">_xlfn.TEXTSPLIT(AN697," ")</f>
        <v>26.10.2023</v>
      </c>
      <c r="AS697" t="str">
        <v>11:36:08</v>
      </c>
      <c r="AT697">
        <f t="shared" si="171"/>
        <v>11.566666666666821</v>
      </c>
      <c r="AU697">
        <f t="shared" si="166"/>
        <v>8.2599999999999909</v>
      </c>
      <c r="AV697">
        <f t="shared" si="167"/>
        <v>0.6</v>
      </c>
      <c r="AW697">
        <f t="shared" si="159"/>
        <v>0.65999999999999981</v>
      </c>
    </row>
    <row r="698" spans="1:49" x14ac:dyDescent="0.25">
      <c r="A698" t="s">
        <v>1912</v>
      </c>
      <c r="B698">
        <v>0.45</v>
      </c>
      <c r="C698">
        <v>19.899999999999999</v>
      </c>
      <c r="E698" t="s">
        <v>1912</v>
      </c>
      <c r="F698">
        <v>1.8</v>
      </c>
      <c r="G698">
        <v>87.62</v>
      </c>
      <c r="I698" t="str" cm="1">
        <f t="array" ref="I698:J698">_xlfn.TEXTSPLIT(A698," ")</f>
        <v>27.10.2023</v>
      </c>
      <c r="J698" t="str">
        <v>11:37:09</v>
      </c>
      <c r="K698">
        <f t="shared" si="168"/>
        <v>11.583333333333488</v>
      </c>
      <c r="L698">
        <f t="shared" si="161"/>
        <v>5.5799999999999983</v>
      </c>
      <c r="M698">
        <f t="shared" si="162"/>
        <v>0.45</v>
      </c>
      <c r="N698">
        <f t="shared" si="156"/>
        <v>2.0400000000000005</v>
      </c>
      <c r="Q698" t="str" cm="1">
        <f t="array" ref="Q698:R698">_xlfn.TEXTSPLIT(E698," ")</f>
        <v>27.10.2023</v>
      </c>
      <c r="R698" t="str">
        <v>11:37:09</v>
      </c>
      <c r="S698">
        <f t="shared" si="169"/>
        <v>11.583333333333488</v>
      </c>
      <c r="T698">
        <f t="shared" si="160"/>
        <v>9.0200000000000102</v>
      </c>
      <c r="U698">
        <f t="shared" si="163"/>
        <v>1.8</v>
      </c>
      <c r="V698">
        <f t="shared" si="157"/>
        <v>3.0675000000000008</v>
      </c>
      <c r="AC698" t="s">
        <v>1913</v>
      </c>
      <c r="AD698">
        <v>0</v>
      </c>
      <c r="AE698">
        <v>7.53</v>
      </c>
      <c r="AG698" t="str" cm="1">
        <f t="array" ref="AG698:AH698">_xlfn.TEXTSPLIT(AC699," ")</f>
        <v>26.10.2023</v>
      </c>
      <c r="AH698" t="str">
        <v>11:38:08</v>
      </c>
      <c r="AI698">
        <f t="shared" si="170"/>
        <v>11.583333333333488</v>
      </c>
      <c r="AJ698">
        <f t="shared" si="164"/>
        <v>3</v>
      </c>
      <c r="AK698">
        <f t="shared" si="165"/>
        <v>0</v>
      </c>
      <c r="AL698">
        <f t="shared" si="158"/>
        <v>0.26250000000000001</v>
      </c>
      <c r="AN698" t="s">
        <v>1913</v>
      </c>
      <c r="AO698">
        <v>1.8</v>
      </c>
      <c r="AP698">
        <v>69.59</v>
      </c>
      <c r="AR698" t="str" cm="1">
        <f t="array" ref="AR698:AS698">_xlfn.TEXTSPLIT(AN698," ")</f>
        <v>26.10.2023</v>
      </c>
      <c r="AS698" t="str">
        <v>11:37:08</v>
      </c>
      <c r="AT698">
        <f t="shared" si="171"/>
        <v>11.583333333333488</v>
      </c>
      <c r="AU698">
        <f t="shared" si="166"/>
        <v>8.2800000000000011</v>
      </c>
      <c r="AV698">
        <f t="shared" si="167"/>
        <v>1.8</v>
      </c>
      <c r="AW698">
        <f t="shared" si="159"/>
        <v>0.68499999999999972</v>
      </c>
    </row>
    <row r="699" spans="1:49" x14ac:dyDescent="0.25">
      <c r="A699" t="s">
        <v>1914</v>
      </c>
      <c r="B699">
        <v>1.5</v>
      </c>
      <c r="C699">
        <v>19.93</v>
      </c>
      <c r="E699" t="s">
        <v>1914</v>
      </c>
      <c r="F699">
        <v>2.5499999999999998</v>
      </c>
      <c r="G699">
        <v>87.66</v>
      </c>
      <c r="I699" t="str" cm="1">
        <f t="array" ref="I699:J699">_xlfn.TEXTSPLIT(A699," ")</f>
        <v>27.10.2023</v>
      </c>
      <c r="J699" t="str">
        <v>11:38:09</v>
      </c>
      <c r="K699">
        <f t="shared" si="168"/>
        <v>11.600000000000156</v>
      </c>
      <c r="L699">
        <f t="shared" si="161"/>
        <v>5.6099999999999994</v>
      </c>
      <c r="M699">
        <f t="shared" si="162"/>
        <v>1.5</v>
      </c>
      <c r="N699">
        <f t="shared" si="156"/>
        <v>2.0575000000000001</v>
      </c>
      <c r="Q699" t="str" cm="1">
        <f t="array" ref="Q699:R699">_xlfn.TEXTSPLIT(E699," ")</f>
        <v>27.10.2023</v>
      </c>
      <c r="R699" t="str">
        <v>11:38:09</v>
      </c>
      <c r="S699">
        <f t="shared" si="169"/>
        <v>11.600000000000156</v>
      </c>
      <c r="T699">
        <f t="shared" si="160"/>
        <v>9.0600000000000023</v>
      </c>
      <c r="U699">
        <f t="shared" si="163"/>
        <v>2.5499999999999998</v>
      </c>
      <c r="V699">
        <f t="shared" si="157"/>
        <v>3.0875000000000008</v>
      </c>
      <c r="AC699" t="s">
        <v>1915</v>
      </c>
      <c r="AD699">
        <v>0</v>
      </c>
      <c r="AE699">
        <v>7.53</v>
      </c>
      <c r="AG699" t="str" cm="1">
        <f t="array" ref="AG699:AH699">_xlfn.TEXTSPLIT(AC700," ")</f>
        <v>26.10.2023</v>
      </c>
      <c r="AH699" t="str">
        <v>11:39:09</v>
      </c>
      <c r="AI699">
        <f t="shared" si="170"/>
        <v>11.600000000000156</v>
      </c>
      <c r="AJ699">
        <f t="shared" si="164"/>
        <v>3</v>
      </c>
      <c r="AK699">
        <f t="shared" si="165"/>
        <v>0</v>
      </c>
      <c r="AL699">
        <f t="shared" si="158"/>
        <v>0.25750000000000001</v>
      </c>
      <c r="AN699" t="s">
        <v>1915</v>
      </c>
      <c r="AO699">
        <v>1.95</v>
      </c>
      <c r="AP699">
        <v>69.62</v>
      </c>
      <c r="AR699" t="str" cm="1">
        <f t="array" ref="AR699:AS699">_xlfn.TEXTSPLIT(AN699," ")</f>
        <v>26.10.2023</v>
      </c>
      <c r="AS699" t="str">
        <v>11:38:08</v>
      </c>
      <c r="AT699">
        <f t="shared" si="171"/>
        <v>11.600000000000156</v>
      </c>
      <c r="AU699">
        <f t="shared" si="166"/>
        <v>8.3100000000000023</v>
      </c>
      <c r="AV699">
        <f t="shared" si="167"/>
        <v>1.95</v>
      </c>
      <c r="AW699">
        <f t="shared" si="159"/>
        <v>0.69499999999999995</v>
      </c>
    </row>
    <row r="700" spans="1:49" x14ac:dyDescent="0.25">
      <c r="A700" t="s">
        <v>1916</v>
      </c>
      <c r="B700">
        <v>1.65</v>
      </c>
      <c r="C700">
        <v>19.96</v>
      </c>
      <c r="E700" t="s">
        <v>1916</v>
      </c>
      <c r="F700">
        <v>2.1</v>
      </c>
      <c r="G700">
        <v>87.69</v>
      </c>
      <c r="I700" t="str" cm="1">
        <f t="array" ref="I700:J700">_xlfn.TEXTSPLIT(A700," ")</f>
        <v>27.10.2023</v>
      </c>
      <c r="J700" t="str">
        <v>11:39:09</v>
      </c>
      <c r="K700">
        <f t="shared" si="168"/>
        <v>11.616666666666823</v>
      </c>
      <c r="L700">
        <f t="shared" si="161"/>
        <v>5.6400000000000006</v>
      </c>
      <c r="M700">
        <f t="shared" si="162"/>
        <v>1.65</v>
      </c>
      <c r="N700">
        <f t="shared" si="156"/>
        <v>2.0775000000000001</v>
      </c>
      <c r="Q700" t="str" cm="1">
        <f t="array" ref="Q700:R700">_xlfn.TEXTSPLIT(E700," ")</f>
        <v>27.10.2023</v>
      </c>
      <c r="R700" t="str">
        <v>11:39:09</v>
      </c>
      <c r="S700">
        <f t="shared" si="169"/>
        <v>11.616666666666823</v>
      </c>
      <c r="T700">
        <f t="shared" si="160"/>
        <v>9.0900000000000034</v>
      </c>
      <c r="U700">
        <f t="shared" si="163"/>
        <v>2.1</v>
      </c>
      <c r="V700">
        <f t="shared" si="157"/>
        <v>3.1025000000000009</v>
      </c>
      <c r="AC700" t="s">
        <v>1917</v>
      </c>
      <c r="AD700">
        <v>1.5</v>
      </c>
      <c r="AE700">
        <v>7.56</v>
      </c>
      <c r="AG700" t="str" cm="1">
        <f t="array" ref="AG700:AH700">_xlfn.TEXTSPLIT(AC701," ")</f>
        <v>26.10.2023</v>
      </c>
      <c r="AH700" t="str">
        <v>11:40:09</v>
      </c>
      <c r="AI700">
        <f t="shared" si="170"/>
        <v>11.616666666666823</v>
      </c>
      <c r="AJ700">
        <f t="shared" si="164"/>
        <v>3.0299999999999994</v>
      </c>
      <c r="AK700">
        <f t="shared" si="165"/>
        <v>1.5</v>
      </c>
      <c r="AL700">
        <f t="shared" si="158"/>
        <v>0.28000000000000008</v>
      </c>
      <c r="AN700" t="s">
        <v>1917</v>
      </c>
      <c r="AO700">
        <v>1.65</v>
      </c>
      <c r="AP700">
        <v>69.650000000000006</v>
      </c>
      <c r="AR700" t="str" cm="1">
        <f t="array" ref="AR700:AS700">_xlfn.TEXTSPLIT(AN700," ")</f>
        <v>26.10.2023</v>
      </c>
      <c r="AS700" t="str">
        <v>11:39:09</v>
      </c>
      <c r="AT700">
        <f t="shared" si="171"/>
        <v>11.616666666666823</v>
      </c>
      <c r="AU700">
        <f t="shared" si="166"/>
        <v>8.3400000000000034</v>
      </c>
      <c r="AV700">
        <f t="shared" si="167"/>
        <v>1.65</v>
      </c>
      <c r="AW700">
        <f t="shared" si="159"/>
        <v>0.67500000000000004</v>
      </c>
    </row>
    <row r="701" spans="1:49" x14ac:dyDescent="0.25">
      <c r="A701" t="s">
        <v>1918</v>
      </c>
      <c r="B701">
        <v>1.5</v>
      </c>
      <c r="C701">
        <v>19.98</v>
      </c>
      <c r="E701" t="s">
        <v>1918</v>
      </c>
      <c r="F701">
        <v>1.2</v>
      </c>
      <c r="G701">
        <v>87.71</v>
      </c>
      <c r="I701" t="str" cm="1">
        <f t="array" ref="I701:J701">_xlfn.TEXTSPLIT(A701," ")</f>
        <v>27.10.2023</v>
      </c>
      <c r="J701" t="str">
        <v>11:40:09</v>
      </c>
      <c r="K701">
        <f t="shared" si="168"/>
        <v>11.633333333333491</v>
      </c>
      <c r="L701">
        <f t="shared" si="161"/>
        <v>5.66</v>
      </c>
      <c r="M701">
        <f t="shared" si="162"/>
        <v>1.5</v>
      </c>
      <c r="N701">
        <f t="shared" si="156"/>
        <v>2.0675000000000003</v>
      </c>
      <c r="Q701" t="str" cm="1">
        <f t="array" ref="Q701:R701">_xlfn.TEXTSPLIT(E701," ")</f>
        <v>27.10.2023</v>
      </c>
      <c r="R701" t="str">
        <v>11:40:09</v>
      </c>
      <c r="S701">
        <f t="shared" si="169"/>
        <v>11.633333333333491</v>
      </c>
      <c r="T701">
        <f t="shared" si="160"/>
        <v>9.11</v>
      </c>
      <c r="U701">
        <f t="shared" si="163"/>
        <v>1.2</v>
      </c>
      <c r="V701">
        <f t="shared" si="157"/>
        <v>3.1075000000000008</v>
      </c>
      <c r="AC701" t="s">
        <v>1919</v>
      </c>
      <c r="AD701">
        <v>1.65</v>
      </c>
      <c r="AE701">
        <v>7.59</v>
      </c>
      <c r="AG701" t="str" cm="1">
        <f t="array" ref="AG701:AH701">_xlfn.TEXTSPLIT(AC702," ")</f>
        <v>26.10.2023</v>
      </c>
      <c r="AH701" t="str">
        <v>11:41:09</v>
      </c>
      <c r="AI701">
        <f t="shared" si="170"/>
        <v>11.633333333333491</v>
      </c>
      <c r="AJ701">
        <f t="shared" si="164"/>
        <v>3.0599999999999996</v>
      </c>
      <c r="AK701">
        <f t="shared" si="165"/>
        <v>1.65</v>
      </c>
      <c r="AL701">
        <f t="shared" si="158"/>
        <v>0.28250000000000003</v>
      </c>
      <c r="AN701" t="s">
        <v>1919</v>
      </c>
      <c r="AO701">
        <v>1.8</v>
      </c>
      <c r="AP701">
        <v>69.680000000000007</v>
      </c>
      <c r="AR701" t="str" cm="1">
        <f t="array" ref="AR701:AS701">_xlfn.TEXTSPLIT(AN701," ")</f>
        <v>26.10.2023</v>
      </c>
      <c r="AS701" t="str">
        <v>11:40:09</v>
      </c>
      <c r="AT701">
        <f t="shared" si="171"/>
        <v>11.633333333333491</v>
      </c>
      <c r="AU701">
        <f t="shared" si="166"/>
        <v>8.3700000000000045</v>
      </c>
      <c r="AV701">
        <f t="shared" si="167"/>
        <v>1.8</v>
      </c>
      <c r="AW701">
        <f t="shared" si="159"/>
        <v>0.67499999999999993</v>
      </c>
    </row>
    <row r="702" spans="1:49" x14ac:dyDescent="0.25">
      <c r="A702" t="s">
        <v>1920</v>
      </c>
      <c r="B702">
        <v>1.65</v>
      </c>
      <c r="C702">
        <v>20</v>
      </c>
      <c r="E702" t="s">
        <v>1920</v>
      </c>
      <c r="F702">
        <v>1.05</v>
      </c>
      <c r="G702">
        <v>87.73</v>
      </c>
      <c r="I702" t="str" cm="1">
        <f t="array" ref="I702:J702">_xlfn.TEXTSPLIT(A702," ")</f>
        <v>27.10.2023</v>
      </c>
      <c r="J702" t="str">
        <v>11:41:09</v>
      </c>
      <c r="K702">
        <f t="shared" si="168"/>
        <v>11.650000000000158</v>
      </c>
      <c r="L702">
        <f t="shared" si="161"/>
        <v>5.68</v>
      </c>
      <c r="M702">
        <f t="shared" si="162"/>
        <v>1.65</v>
      </c>
      <c r="N702">
        <f t="shared" si="156"/>
        <v>2.0675000000000003</v>
      </c>
      <c r="Q702" t="str" cm="1">
        <f t="array" ref="Q702:R702">_xlfn.TEXTSPLIT(E702," ")</f>
        <v>27.10.2023</v>
      </c>
      <c r="R702" t="str">
        <v>11:41:09</v>
      </c>
      <c r="S702">
        <f t="shared" si="169"/>
        <v>11.650000000000158</v>
      </c>
      <c r="T702">
        <f t="shared" si="160"/>
        <v>9.1300000000000097</v>
      </c>
      <c r="U702">
        <f t="shared" si="163"/>
        <v>1.05</v>
      </c>
      <c r="V702">
        <f t="shared" si="157"/>
        <v>3.1050000000000013</v>
      </c>
      <c r="AC702" t="s">
        <v>1921</v>
      </c>
      <c r="AD702">
        <v>1.35</v>
      </c>
      <c r="AE702">
        <v>7.61</v>
      </c>
      <c r="AG702" t="str" cm="1">
        <f t="array" ref="AG702:AH702">_xlfn.TEXTSPLIT(AC703," ")</f>
        <v>26.10.2023</v>
      </c>
      <c r="AH702" t="str">
        <v>11:42:09</v>
      </c>
      <c r="AI702">
        <f t="shared" si="170"/>
        <v>11.650000000000158</v>
      </c>
      <c r="AJ702">
        <f t="shared" si="164"/>
        <v>3.08</v>
      </c>
      <c r="AK702">
        <f t="shared" si="165"/>
        <v>1.35</v>
      </c>
      <c r="AL702">
        <f t="shared" si="158"/>
        <v>0.28250000000000003</v>
      </c>
      <c r="AN702" t="s">
        <v>1921</v>
      </c>
      <c r="AO702">
        <v>1.65</v>
      </c>
      <c r="AP702">
        <v>69.709999999999994</v>
      </c>
      <c r="AR702" t="str" cm="1">
        <f t="array" ref="AR702:AS702">_xlfn.TEXTSPLIT(AN702," ")</f>
        <v>26.10.2023</v>
      </c>
      <c r="AS702" t="str">
        <v>11:41:09</v>
      </c>
      <c r="AT702">
        <f t="shared" si="171"/>
        <v>11.650000000000158</v>
      </c>
      <c r="AU702">
        <f t="shared" si="166"/>
        <v>8.3999999999999915</v>
      </c>
      <c r="AV702">
        <f t="shared" si="167"/>
        <v>1.65</v>
      </c>
      <c r="AW702">
        <f t="shared" si="159"/>
        <v>0.67749999999999999</v>
      </c>
    </row>
    <row r="703" spans="1:49" x14ac:dyDescent="0.25">
      <c r="A703" t="s">
        <v>1922</v>
      </c>
      <c r="B703">
        <v>1.05</v>
      </c>
      <c r="C703">
        <v>20.02</v>
      </c>
      <c r="E703" t="s">
        <v>1922</v>
      </c>
      <c r="F703">
        <v>0.9</v>
      </c>
      <c r="G703">
        <v>87.74</v>
      </c>
      <c r="I703" t="str" cm="1">
        <f t="array" ref="I703:J703">_xlfn.TEXTSPLIT(A703," ")</f>
        <v>27.10.2023</v>
      </c>
      <c r="J703" t="str">
        <v>11:42:09</v>
      </c>
      <c r="K703">
        <f t="shared" si="168"/>
        <v>11.666666666666826</v>
      </c>
      <c r="L703">
        <f t="shared" si="161"/>
        <v>5.6999999999999993</v>
      </c>
      <c r="M703">
        <f t="shared" si="162"/>
        <v>1.05</v>
      </c>
      <c r="N703">
        <f t="shared" ref="N703:N766" si="172">AVERAGE(M644:M703)</f>
        <v>2.0750000000000002</v>
      </c>
      <c r="Q703" t="str" cm="1">
        <f t="array" ref="Q703:R703">_xlfn.TEXTSPLIT(E703," ")</f>
        <v>27.10.2023</v>
      </c>
      <c r="R703" t="str">
        <v>11:42:09</v>
      </c>
      <c r="S703">
        <f t="shared" si="169"/>
        <v>11.666666666666826</v>
      </c>
      <c r="T703">
        <f t="shared" si="160"/>
        <v>9.14</v>
      </c>
      <c r="U703">
        <f t="shared" si="163"/>
        <v>0.9</v>
      </c>
      <c r="V703">
        <f t="shared" ref="V703:V766" si="173">AVERAGE(U644:U703)</f>
        <v>3.1025000000000009</v>
      </c>
      <c r="AC703" t="s">
        <v>1923</v>
      </c>
      <c r="AD703">
        <v>0.9</v>
      </c>
      <c r="AE703">
        <v>7.62</v>
      </c>
      <c r="AG703" t="str" cm="1">
        <f t="array" ref="AG703:AH703">_xlfn.TEXTSPLIT(AC704," ")</f>
        <v>26.10.2023</v>
      </c>
      <c r="AH703" t="str">
        <v>11:43:09</v>
      </c>
      <c r="AI703">
        <f t="shared" si="170"/>
        <v>11.666666666666826</v>
      </c>
      <c r="AJ703">
        <f t="shared" si="164"/>
        <v>3.09</v>
      </c>
      <c r="AK703">
        <f t="shared" si="165"/>
        <v>0.9</v>
      </c>
      <c r="AL703">
        <f t="shared" ref="AL703:AL766" si="174">AVERAGE(AK644:AK703)</f>
        <v>0.28000000000000003</v>
      </c>
      <c r="AN703" t="s">
        <v>1923</v>
      </c>
      <c r="AO703">
        <v>0.9</v>
      </c>
      <c r="AP703">
        <v>69.72</v>
      </c>
      <c r="AR703" t="str" cm="1">
        <f t="array" ref="AR703:AS703">_xlfn.TEXTSPLIT(AN703," ")</f>
        <v>26.10.2023</v>
      </c>
      <c r="AS703" t="str">
        <v>11:42:09</v>
      </c>
      <c r="AT703">
        <f t="shared" si="171"/>
        <v>11.666666666666826</v>
      </c>
      <c r="AU703">
        <f t="shared" si="166"/>
        <v>8.4099999999999966</v>
      </c>
      <c r="AV703">
        <f t="shared" si="167"/>
        <v>0.9</v>
      </c>
      <c r="AW703">
        <f t="shared" ref="AW703:AW766" si="175">AVERAGE(AV644:AV703)</f>
        <v>0.66999999999999993</v>
      </c>
    </row>
    <row r="704" spans="1:49" x14ac:dyDescent="0.25">
      <c r="A704" t="s">
        <v>1924</v>
      </c>
      <c r="B704">
        <v>0.75</v>
      </c>
      <c r="C704">
        <v>20.03</v>
      </c>
      <c r="E704" t="s">
        <v>1924</v>
      </c>
      <c r="F704">
        <v>1.2</v>
      </c>
      <c r="G704">
        <v>87.76</v>
      </c>
      <c r="I704" t="str" cm="1">
        <f t="array" ref="I704:J704">_xlfn.TEXTSPLIT(A704," ")</f>
        <v>27.10.2023</v>
      </c>
      <c r="J704" t="str">
        <v>11:43:09</v>
      </c>
      <c r="K704">
        <f t="shared" si="168"/>
        <v>11.683333333333493</v>
      </c>
      <c r="L704">
        <f t="shared" si="161"/>
        <v>5.7100000000000009</v>
      </c>
      <c r="M704">
        <f t="shared" si="162"/>
        <v>0.75</v>
      </c>
      <c r="N704">
        <f t="shared" si="172"/>
        <v>2.0800000000000005</v>
      </c>
      <c r="Q704" t="str" cm="1">
        <f t="array" ref="Q704:R704">_xlfn.TEXTSPLIT(E704," ")</f>
        <v>27.10.2023</v>
      </c>
      <c r="R704" t="str">
        <v>11:43:09</v>
      </c>
      <c r="S704">
        <f t="shared" si="169"/>
        <v>11.683333333333493</v>
      </c>
      <c r="T704">
        <f t="shared" si="160"/>
        <v>9.1600000000000108</v>
      </c>
      <c r="U704">
        <f t="shared" si="163"/>
        <v>1.2</v>
      </c>
      <c r="V704">
        <f t="shared" si="173"/>
        <v>3.097500000000001</v>
      </c>
      <c r="AC704" t="s">
        <v>1925</v>
      </c>
      <c r="AD704">
        <v>0.6</v>
      </c>
      <c r="AE704">
        <v>7.63</v>
      </c>
      <c r="AG704" t="str" cm="1">
        <f t="array" ref="AG704:AH704">_xlfn.TEXTSPLIT(AC705," ")</f>
        <v>26.10.2023</v>
      </c>
      <c r="AH704" t="str">
        <v>11:44:09</v>
      </c>
      <c r="AI704">
        <f t="shared" si="170"/>
        <v>11.683333333333493</v>
      </c>
      <c r="AJ704">
        <f t="shared" si="164"/>
        <v>3.0999999999999996</v>
      </c>
      <c r="AK704">
        <f t="shared" si="165"/>
        <v>0.6</v>
      </c>
      <c r="AL704">
        <f t="shared" si="174"/>
        <v>0.28000000000000008</v>
      </c>
      <c r="AN704" t="s">
        <v>1925</v>
      </c>
      <c r="AO704">
        <v>0.6</v>
      </c>
      <c r="AP704">
        <v>69.739999999999995</v>
      </c>
      <c r="AR704" t="str" cm="1">
        <f t="array" ref="AR704:AS704">_xlfn.TEXTSPLIT(AN704," ")</f>
        <v>26.10.2023</v>
      </c>
      <c r="AS704" t="str">
        <v>11:43:09</v>
      </c>
      <c r="AT704">
        <f t="shared" si="171"/>
        <v>11.683333333333493</v>
      </c>
      <c r="AU704">
        <f t="shared" si="166"/>
        <v>8.4299999999999926</v>
      </c>
      <c r="AV704">
        <f t="shared" si="167"/>
        <v>0.6</v>
      </c>
      <c r="AW704">
        <f t="shared" si="175"/>
        <v>0.65499999999999992</v>
      </c>
    </row>
    <row r="705" spans="1:49" x14ac:dyDescent="0.25">
      <c r="A705" t="s">
        <v>1926</v>
      </c>
      <c r="B705">
        <v>0.45</v>
      </c>
      <c r="C705">
        <v>20.05</v>
      </c>
      <c r="E705" t="s">
        <v>1926</v>
      </c>
      <c r="F705">
        <v>1.5</v>
      </c>
      <c r="G705">
        <v>87.79</v>
      </c>
      <c r="I705" t="str" cm="1">
        <f t="array" ref="I705:J705">_xlfn.TEXTSPLIT(A705," ")</f>
        <v>27.10.2023</v>
      </c>
      <c r="J705" t="str">
        <v>11:44:09</v>
      </c>
      <c r="K705">
        <f t="shared" si="168"/>
        <v>11.700000000000161</v>
      </c>
      <c r="L705">
        <f t="shared" si="161"/>
        <v>5.73</v>
      </c>
      <c r="M705">
        <f t="shared" si="162"/>
        <v>0.45</v>
      </c>
      <c r="N705">
        <f t="shared" si="172"/>
        <v>2.0800000000000005</v>
      </c>
      <c r="Q705" t="str" cm="1">
        <f t="array" ref="Q705:R705">_xlfn.TEXTSPLIT(E705," ")</f>
        <v>27.10.2023</v>
      </c>
      <c r="R705" t="str">
        <v>11:44:09</v>
      </c>
      <c r="S705">
        <f t="shared" si="169"/>
        <v>11.700000000000161</v>
      </c>
      <c r="T705">
        <f t="shared" si="160"/>
        <v>9.1900000000000119</v>
      </c>
      <c r="U705">
        <f t="shared" si="163"/>
        <v>1.5</v>
      </c>
      <c r="V705">
        <f t="shared" si="173"/>
        <v>3.1125000000000003</v>
      </c>
      <c r="AC705" t="s">
        <v>1927</v>
      </c>
      <c r="AD705">
        <v>0.6</v>
      </c>
      <c r="AE705">
        <v>7.64</v>
      </c>
      <c r="AG705" t="str" cm="1">
        <f t="array" ref="AG705:AH705">_xlfn.TEXTSPLIT(AC706," ")</f>
        <v>26.10.2023</v>
      </c>
      <c r="AH705" t="str">
        <v>11:45:10</v>
      </c>
      <c r="AI705">
        <f t="shared" si="170"/>
        <v>11.700000000000161</v>
      </c>
      <c r="AJ705">
        <f t="shared" si="164"/>
        <v>3.1099999999999994</v>
      </c>
      <c r="AK705">
        <f t="shared" si="165"/>
        <v>0.6</v>
      </c>
      <c r="AL705">
        <f t="shared" si="174"/>
        <v>0.28250000000000003</v>
      </c>
      <c r="AN705" t="s">
        <v>1927</v>
      </c>
      <c r="AO705">
        <v>0.75</v>
      </c>
      <c r="AP705">
        <v>69.75</v>
      </c>
      <c r="AR705" t="str" cm="1">
        <f t="array" ref="AR705:AS705">_xlfn.TEXTSPLIT(AN705," ")</f>
        <v>26.10.2023</v>
      </c>
      <c r="AS705" t="str">
        <v>11:44:09</v>
      </c>
      <c r="AT705">
        <f t="shared" si="171"/>
        <v>11.700000000000161</v>
      </c>
      <c r="AU705">
        <f t="shared" si="166"/>
        <v>8.4399999999999977</v>
      </c>
      <c r="AV705">
        <f t="shared" si="167"/>
        <v>0.75</v>
      </c>
      <c r="AW705">
        <f t="shared" si="175"/>
        <v>0.64500000000000002</v>
      </c>
    </row>
    <row r="706" spans="1:49" x14ac:dyDescent="0.25">
      <c r="A706" t="s">
        <v>1928</v>
      </c>
      <c r="B706">
        <v>0.6</v>
      </c>
      <c r="C706">
        <v>20.059999999999999</v>
      </c>
      <c r="E706" t="s">
        <v>1928</v>
      </c>
      <c r="F706">
        <v>1.5</v>
      </c>
      <c r="G706">
        <v>87.81</v>
      </c>
      <c r="I706" t="str" cm="1">
        <f t="array" ref="I706:J706">_xlfn.TEXTSPLIT(A706," ")</f>
        <v>27.10.2023</v>
      </c>
      <c r="J706" t="str">
        <v>11:45:09</v>
      </c>
      <c r="K706">
        <f t="shared" si="168"/>
        <v>11.716666666666828</v>
      </c>
      <c r="L706">
        <f t="shared" si="161"/>
        <v>5.7399999999999984</v>
      </c>
      <c r="M706">
        <f t="shared" si="162"/>
        <v>0.6</v>
      </c>
      <c r="N706">
        <f t="shared" si="172"/>
        <v>2.0825000000000005</v>
      </c>
      <c r="Q706" t="str" cm="1">
        <f t="array" ref="Q706:R706">_xlfn.TEXTSPLIT(E706," ")</f>
        <v>27.10.2023</v>
      </c>
      <c r="R706" t="str">
        <v>11:45:09</v>
      </c>
      <c r="S706">
        <f t="shared" si="169"/>
        <v>11.716666666666828</v>
      </c>
      <c r="T706">
        <f t="shared" si="160"/>
        <v>9.210000000000008</v>
      </c>
      <c r="U706">
        <f t="shared" si="163"/>
        <v>1.5</v>
      </c>
      <c r="V706">
        <f t="shared" si="173"/>
        <v>3.1275000000000004</v>
      </c>
      <c r="AC706" t="s">
        <v>1929</v>
      </c>
      <c r="AD706">
        <v>0.3</v>
      </c>
      <c r="AE706">
        <v>7.64</v>
      </c>
      <c r="AG706" t="str" cm="1">
        <f t="array" ref="AG706:AH706">_xlfn.TEXTSPLIT(AC707," ")</f>
        <v>26.10.2023</v>
      </c>
      <c r="AH706" t="str">
        <v>11:46:10</v>
      </c>
      <c r="AI706">
        <f t="shared" si="170"/>
        <v>11.716666666666828</v>
      </c>
      <c r="AJ706">
        <f t="shared" si="164"/>
        <v>3.1099999999999994</v>
      </c>
      <c r="AK706">
        <f t="shared" si="165"/>
        <v>0.3</v>
      </c>
      <c r="AL706">
        <f t="shared" si="174"/>
        <v>0.28000000000000008</v>
      </c>
      <c r="AN706" t="s">
        <v>1929</v>
      </c>
      <c r="AO706">
        <v>0.45</v>
      </c>
      <c r="AP706">
        <v>69.760000000000005</v>
      </c>
      <c r="AR706" t="str" cm="1">
        <f t="array" ref="AR706:AS706">_xlfn.TEXTSPLIT(AN706," ")</f>
        <v>26.10.2023</v>
      </c>
      <c r="AS706" t="str">
        <v>11:45:10</v>
      </c>
      <c r="AT706">
        <f t="shared" si="171"/>
        <v>11.716666666666828</v>
      </c>
      <c r="AU706">
        <f t="shared" si="166"/>
        <v>8.4500000000000028</v>
      </c>
      <c r="AV706">
        <f t="shared" si="167"/>
        <v>0.45</v>
      </c>
      <c r="AW706">
        <f t="shared" si="175"/>
        <v>0.64250000000000007</v>
      </c>
    </row>
    <row r="707" spans="1:49" x14ac:dyDescent="0.25">
      <c r="A707" t="s">
        <v>1930</v>
      </c>
      <c r="B707">
        <v>0.6</v>
      </c>
      <c r="C707">
        <v>20.059999999999999</v>
      </c>
      <c r="E707" t="s">
        <v>1930</v>
      </c>
      <c r="F707">
        <v>1.2</v>
      </c>
      <c r="G707">
        <v>87.83</v>
      </c>
      <c r="I707" t="str" cm="1">
        <f t="array" ref="I707:J707">_xlfn.TEXTSPLIT(A707," ")</f>
        <v>27.10.2023</v>
      </c>
      <c r="J707" t="str">
        <v>11:46:09</v>
      </c>
      <c r="K707">
        <f t="shared" si="168"/>
        <v>11.733333333333496</v>
      </c>
      <c r="L707">
        <f t="shared" si="161"/>
        <v>5.7399999999999984</v>
      </c>
      <c r="M707">
        <f t="shared" si="162"/>
        <v>0.6</v>
      </c>
      <c r="N707">
        <f t="shared" si="172"/>
        <v>2.0875000000000004</v>
      </c>
      <c r="Q707" t="str" cm="1">
        <f t="array" ref="Q707:R707">_xlfn.TEXTSPLIT(E707," ")</f>
        <v>27.10.2023</v>
      </c>
      <c r="R707" t="str">
        <v>11:46:09</v>
      </c>
      <c r="S707">
        <f t="shared" si="169"/>
        <v>11.733333333333496</v>
      </c>
      <c r="T707">
        <f t="shared" ref="T707:T770" si="176">G707-78.6</f>
        <v>9.230000000000004</v>
      </c>
      <c r="U707">
        <f t="shared" si="163"/>
        <v>1.2</v>
      </c>
      <c r="V707">
        <f t="shared" si="173"/>
        <v>3.1375000000000006</v>
      </c>
      <c r="AC707" t="s">
        <v>1931</v>
      </c>
      <c r="AD707">
        <v>0.3</v>
      </c>
      <c r="AE707">
        <v>7.65</v>
      </c>
      <c r="AG707" t="str" cm="1">
        <f t="array" ref="AG707:AH707">_xlfn.TEXTSPLIT(AC708," ")</f>
        <v>26.10.2023</v>
      </c>
      <c r="AH707" t="str">
        <v>11:47:10</v>
      </c>
      <c r="AI707">
        <f t="shared" si="170"/>
        <v>11.733333333333496</v>
      </c>
      <c r="AJ707">
        <f t="shared" si="164"/>
        <v>3.12</v>
      </c>
      <c r="AK707">
        <f t="shared" si="165"/>
        <v>0.3</v>
      </c>
      <c r="AL707">
        <f t="shared" si="174"/>
        <v>0.27750000000000008</v>
      </c>
      <c r="AN707" t="s">
        <v>1931</v>
      </c>
      <c r="AO707">
        <v>0.75</v>
      </c>
      <c r="AP707">
        <v>69.77</v>
      </c>
      <c r="AR707" t="str" cm="1">
        <f t="array" ref="AR707:AS707">_xlfn.TEXTSPLIT(AN707," ")</f>
        <v>26.10.2023</v>
      </c>
      <c r="AS707" t="str">
        <v>11:46:10</v>
      </c>
      <c r="AT707">
        <f t="shared" si="171"/>
        <v>11.733333333333496</v>
      </c>
      <c r="AU707">
        <f t="shared" si="166"/>
        <v>8.4599999999999937</v>
      </c>
      <c r="AV707">
        <f t="shared" si="167"/>
        <v>0.75</v>
      </c>
      <c r="AW707">
        <f t="shared" si="175"/>
        <v>0.64500000000000002</v>
      </c>
    </row>
    <row r="708" spans="1:49" x14ac:dyDescent="0.25">
      <c r="A708" t="s">
        <v>1932</v>
      </c>
      <c r="B708">
        <v>0.9</v>
      </c>
      <c r="C708">
        <v>20.079999999999998</v>
      </c>
      <c r="E708" t="s">
        <v>1932</v>
      </c>
      <c r="F708">
        <v>1.05</v>
      </c>
      <c r="G708">
        <v>87.85</v>
      </c>
      <c r="I708" t="str" cm="1">
        <f t="array" ref="I708:J708">_xlfn.TEXTSPLIT(A708," ")</f>
        <v>27.10.2023</v>
      </c>
      <c r="J708" t="str">
        <v>11:47:10</v>
      </c>
      <c r="K708">
        <f t="shared" si="168"/>
        <v>11.750000000000163</v>
      </c>
      <c r="L708">
        <f t="shared" ref="L708:L771" si="177">C708-14.32</f>
        <v>5.759999999999998</v>
      </c>
      <c r="M708">
        <f t="shared" ref="M708:M771" si="178">B708</f>
        <v>0.9</v>
      </c>
      <c r="N708">
        <f t="shared" si="172"/>
        <v>2.0975000000000006</v>
      </c>
      <c r="Q708" t="str" cm="1">
        <f t="array" ref="Q708:R708">_xlfn.TEXTSPLIT(E708," ")</f>
        <v>27.10.2023</v>
      </c>
      <c r="R708" t="str">
        <v>11:47:10</v>
      </c>
      <c r="S708">
        <f t="shared" si="169"/>
        <v>11.750000000000163</v>
      </c>
      <c r="T708">
        <f t="shared" si="176"/>
        <v>9.25</v>
      </c>
      <c r="U708">
        <f t="shared" ref="U708:U771" si="179">F708</f>
        <v>1.05</v>
      </c>
      <c r="V708">
        <f t="shared" si="173"/>
        <v>3.1475000000000009</v>
      </c>
      <c r="AC708" t="s">
        <v>1933</v>
      </c>
      <c r="AD708">
        <v>0.3</v>
      </c>
      <c r="AE708">
        <v>7.66</v>
      </c>
      <c r="AG708" t="str" cm="1">
        <f t="array" ref="AG708:AH708">_xlfn.TEXTSPLIT(AC709," ")</f>
        <v>26.10.2023</v>
      </c>
      <c r="AH708" t="str">
        <v>11:48:10</v>
      </c>
      <c r="AI708">
        <f t="shared" si="170"/>
        <v>11.750000000000163</v>
      </c>
      <c r="AJ708">
        <f t="shared" ref="AJ708:AJ771" si="180">AE708-4.53</f>
        <v>3.13</v>
      </c>
      <c r="AK708">
        <f t="shared" ref="AK708:AK771" si="181">AD708</f>
        <v>0.3</v>
      </c>
      <c r="AL708">
        <f t="shared" si="174"/>
        <v>0.27750000000000002</v>
      </c>
      <c r="AN708" t="s">
        <v>1933</v>
      </c>
      <c r="AO708">
        <v>0.75</v>
      </c>
      <c r="AP708">
        <v>69.78</v>
      </c>
      <c r="AR708" t="str" cm="1">
        <f t="array" ref="AR708:AS708">_xlfn.TEXTSPLIT(AN708," ")</f>
        <v>26.10.2023</v>
      </c>
      <c r="AS708" t="str">
        <v>11:47:10</v>
      </c>
      <c r="AT708">
        <f t="shared" si="171"/>
        <v>11.750000000000163</v>
      </c>
      <c r="AU708">
        <f t="shared" ref="AU708:AU771" si="182">AP708-61.31</f>
        <v>8.4699999999999989</v>
      </c>
      <c r="AV708">
        <f t="shared" ref="AV708:AV771" si="183">AO708</f>
        <v>0.75</v>
      </c>
      <c r="AW708">
        <f t="shared" si="175"/>
        <v>0.64750000000000008</v>
      </c>
    </row>
    <row r="709" spans="1:49" x14ac:dyDescent="0.25">
      <c r="A709" t="s">
        <v>1934</v>
      </c>
      <c r="B709">
        <v>0.9</v>
      </c>
      <c r="C709">
        <v>20.100000000000001</v>
      </c>
      <c r="E709" t="s">
        <v>1934</v>
      </c>
      <c r="F709">
        <v>0.9</v>
      </c>
      <c r="G709">
        <v>87.86</v>
      </c>
      <c r="I709" t="str" cm="1">
        <f t="array" ref="I709:J709">_xlfn.TEXTSPLIT(A709," ")</f>
        <v>27.10.2023</v>
      </c>
      <c r="J709" t="str">
        <v>11:48:10</v>
      </c>
      <c r="K709">
        <f t="shared" ref="K709:K772" si="184">1/60+K708</f>
        <v>11.766666666666831</v>
      </c>
      <c r="L709">
        <f t="shared" si="177"/>
        <v>5.7800000000000011</v>
      </c>
      <c r="M709">
        <f t="shared" si="178"/>
        <v>0.9</v>
      </c>
      <c r="N709">
        <f t="shared" si="172"/>
        <v>2.1050000000000004</v>
      </c>
      <c r="Q709" t="str" cm="1">
        <f t="array" ref="Q709:R709">_xlfn.TEXTSPLIT(E709," ")</f>
        <v>27.10.2023</v>
      </c>
      <c r="R709" t="str">
        <v>11:48:10</v>
      </c>
      <c r="S709">
        <f t="shared" ref="S709:S772" si="185">1/60+S708</f>
        <v>11.766666666666831</v>
      </c>
      <c r="T709">
        <f t="shared" si="176"/>
        <v>9.2600000000000051</v>
      </c>
      <c r="U709">
        <f t="shared" si="179"/>
        <v>0.9</v>
      </c>
      <c r="V709">
        <f t="shared" si="173"/>
        <v>3.1550000000000007</v>
      </c>
      <c r="AC709" t="s">
        <v>1935</v>
      </c>
      <c r="AD709">
        <v>0.45</v>
      </c>
      <c r="AE709">
        <v>7.66</v>
      </c>
      <c r="AG709" t="str" cm="1">
        <f t="array" ref="AG709:AH709">_xlfn.TEXTSPLIT(AC710," ")</f>
        <v>26.10.2023</v>
      </c>
      <c r="AH709" t="str">
        <v>11:49:10</v>
      </c>
      <c r="AI709">
        <f t="shared" ref="AI709:AI772" si="186">1/60+AI708</f>
        <v>11.766666666666831</v>
      </c>
      <c r="AJ709">
        <f t="shared" si="180"/>
        <v>3.13</v>
      </c>
      <c r="AK709">
        <f t="shared" si="181"/>
        <v>0.45</v>
      </c>
      <c r="AL709">
        <f t="shared" si="174"/>
        <v>0.28250000000000003</v>
      </c>
      <c r="AN709" t="s">
        <v>1935</v>
      </c>
      <c r="AO709">
        <v>0.75</v>
      </c>
      <c r="AP709">
        <v>69.790000000000006</v>
      </c>
      <c r="AR709" t="str" cm="1">
        <f t="array" ref="AR709:AS709">_xlfn.TEXTSPLIT(AN709," ")</f>
        <v>26.10.2023</v>
      </c>
      <c r="AS709" t="str">
        <v>11:48:10</v>
      </c>
      <c r="AT709">
        <f t="shared" ref="AT709:AT772" si="187">1/60+AT708</f>
        <v>11.766666666666831</v>
      </c>
      <c r="AU709">
        <f t="shared" si="182"/>
        <v>8.480000000000004</v>
      </c>
      <c r="AV709">
        <f t="shared" si="183"/>
        <v>0.75</v>
      </c>
      <c r="AW709">
        <f t="shared" si="175"/>
        <v>0.65249999999999997</v>
      </c>
    </row>
    <row r="710" spans="1:49" x14ac:dyDescent="0.25">
      <c r="A710" t="s">
        <v>1936</v>
      </c>
      <c r="B710">
        <v>1.2</v>
      </c>
      <c r="C710">
        <v>20.12</v>
      </c>
      <c r="E710" t="s">
        <v>1936</v>
      </c>
      <c r="F710">
        <v>1.05</v>
      </c>
      <c r="G710">
        <v>87.88</v>
      </c>
      <c r="I710" t="str" cm="1">
        <f t="array" ref="I710:J710">_xlfn.TEXTSPLIT(A710," ")</f>
        <v>27.10.2023</v>
      </c>
      <c r="J710" t="str">
        <v>11:49:10</v>
      </c>
      <c r="K710">
        <f t="shared" si="184"/>
        <v>11.783333333333498</v>
      </c>
      <c r="L710">
        <f t="shared" si="177"/>
        <v>5.8000000000000007</v>
      </c>
      <c r="M710">
        <f t="shared" si="178"/>
        <v>1.2</v>
      </c>
      <c r="N710">
        <f t="shared" si="172"/>
        <v>2.1250000000000004</v>
      </c>
      <c r="Q710" t="str" cm="1">
        <f t="array" ref="Q710:R710">_xlfn.TEXTSPLIT(E710," ")</f>
        <v>27.10.2023</v>
      </c>
      <c r="R710" t="str">
        <v>11:49:10</v>
      </c>
      <c r="S710">
        <f t="shared" si="185"/>
        <v>11.783333333333498</v>
      </c>
      <c r="T710">
        <f t="shared" si="176"/>
        <v>9.2800000000000011</v>
      </c>
      <c r="U710">
        <f t="shared" si="179"/>
        <v>1.05</v>
      </c>
      <c r="V710">
        <f t="shared" si="173"/>
        <v>3.1700000000000008</v>
      </c>
      <c r="AC710" t="s">
        <v>1937</v>
      </c>
      <c r="AD710">
        <v>0.3</v>
      </c>
      <c r="AE710">
        <v>7.67</v>
      </c>
      <c r="AG710" t="str" cm="1">
        <f t="array" ref="AG710:AH710">_xlfn.TEXTSPLIT(AC711," ")</f>
        <v>26.10.2023</v>
      </c>
      <c r="AH710" t="str">
        <v>11:50:10</v>
      </c>
      <c r="AI710">
        <f t="shared" si="186"/>
        <v>11.783333333333498</v>
      </c>
      <c r="AJ710">
        <f t="shared" si="180"/>
        <v>3.1399999999999997</v>
      </c>
      <c r="AK710">
        <f t="shared" si="181"/>
        <v>0.3</v>
      </c>
      <c r="AL710">
        <f t="shared" si="174"/>
        <v>0.28250000000000003</v>
      </c>
      <c r="AN710" t="s">
        <v>1937</v>
      </c>
      <c r="AO710">
        <v>0.6</v>
      </c>
      <c r="AP710">
        <v>69.81</v>
      </c>
      <c r="AR710" t="str" cm="1">
        <f t="array" ref="AR710:AS710">_xlfn.TEXTSPLIT(AN710," ")</f>
        <v>26.10.2023</v>
      </c>
      <c r="AS710" t="str">
        <v>11:49:10</v>
      </c>
      <c r="AT710">
        <f t="shared" si="187"/>
        <v>11.783333333333498</v>
      </c>
      <c r="AU710">
        <f t="shared" si="182"/>
        <v>8.5</v>
      </c>
      <c r="AV710">
        <f t="shared" si="183"/>
        <v>0.6</v>
      </c>
      <c r="AW710">
        <f t="shared" si="175"/>
        <v>0.65250000000000008</v>
      </c>
    </row>
    <row r="711" spans="1:49" x14ac:dyDescent="0.25">
      <c r="A711" t="s">
        <v>1938</v>
      </c>
      <c r="B711">
        <v>0.9</v>
      </c>
      <c r="C711">
        <v>20.14</v>
      </c>
      <c r="E711" t="s">
        <v>1938</v>
      </c>
      <c r="F711">
        <v>1.5</v>
      </c>
      <c r="G711">
        <v>87.91</v>
      </c>
      <c r="I711" t="str" cm="1">
        <f t="array" ref="I711:J711">_xlfn.TEXTSPLIT(A711," ")</f>
        <v>27.10.2023</v>
      </c>
      <c r="J711" t="str">
        <v>11:50:10</v>
      </c>
      <c r="K711">
        <f t="shared" si="184"/>
        <v>11.800000000000166</v>
      </c>
      <c r="L711">
        <f t="shared" si="177"/>
        <v>5.82</v>
      </c>
      <c r="M711">
        <f t="shared" si="178"/>
        <v>0.9</v>
      </c>
      <c r="N711">
        <f t="shared" si="172"/>
        <v>2.1375000000000006</v>
      </c>
      <c r="Q711" t="str" cm="1">
        <f t="array" ref="Q711:R711">_xlfn.TEXTSPLIT(E711," ")</f>
        <v>27.10.2023</v>
      </c>
      <c r="R711" t="str">
        <v>11:50:10</v>
      </c>
      <c r="S711">
        <f t="shared" si="185"/>
        <v>11.800000000000166</v>
      </c>
      <c r="T711">
        <f t="shared" si="176"/>
        <v>9.3100000000000023</v>
      </c>
      <c r="U711">
        <f t="shared" si="179"/>
        <v>1.5</v>
      </c>
      <c r="V711">
        <f t="shared" si="173"/>
        <v>3.1900000000000008</v>
      </c>
      <c r="AC711" t="s">
        <v>1939</v>
      </c>
      <c r="AD711">
        <v>0.15</v>
      </c>
      <c r="AE711">
        <v>7.67</v>
      </c>
      <c r="AG711" t="str" cm="1">
        <f t="array" ref="AG711:AH711">_xlfn.TEXTSPLIT(AC712," ")</f>
        <v>26.10.2023</v>
      </c>
      <c r="AH711" t="str">
        <v>11:51:10</v>
      </c>
      <c r="AI711">
        <f t="shared" si="186"/>
        <v>11.800000000000166</v>
      </c>
      <c r="AJ711">
        <f t="shared" si="180"/>
        <v>3.1399999999999997</v>
      </c>
      <c r="AK711">
        <f t="shared" si="181"/>
        <v>0.15</v>
      </c>
      <c r="AL711">
        <f t="shared" si="174"/>
        <v>0.28000000000000008</v>
      </c>
      <c r="AN711" t="s">
        <v>1939</v>
      </c>
      <c r="AO711">
        <v>0.75</v>
      </c>
      <c r="AP711">
        <v>69.819999999999993</v>
      </c>
      <c r="AR711" t="str" cm="1">
        <f t="array" ref="AR711:AS711">_xlfn.TEXTSPLIT(AN711," ")</f>
        <v>26.10.2023</v>
      </c>
      <c r="AS711" t="str">
        <v>11:50:10</v>
      </c>
      <c r="AT711">
        <f t="shared" si="187"/>
        <v>11.800000000000166</v>
      </c>
      <c r="AU711">
        <f t="shared" si="182"/>
        <v>8.5099999999999909</v>
      </c>
      <c r="AV711">
        <f t="shared" si="183"/>
        <v>0.75</v>
      </c>
      <c r="AW711">
        <f t="shared" si="175"/>
        <v>0.6575000000000002</v>
      </c>
    </row>
    <row r="712" spans="1:49" x14ac:dyDescent="0.25">
      <c r="A712" t="s">
        <v>1940</v>
      </c>
      <c r="B712">
        <v>0.75</v>
      </c>
      <c r="C712">
        <v>20.149999999999999</v>
      </c>
      <c r="E712" t="s">
        <v>1940</v>
      </c>
      <c r="F712">
        <v>1.5</v>
      </c>
      <c r="G712">
        <v>87.92</v>
      </c>
      <c r="I712" t="str" cm="1">
        <f t="array" ref="I712:J712">_xlfn.TEXTSPLIT(A712," ")</f>
        <v>27.10.2023</v>
      </c>
      <c r="J712" t="str">
        <v>11:51:10</v>
      </c>
      <c r="K712">
        <f t="shared" si="184"/>
        <v>11.816666666666833</v>
      </c>
      <c r="L712">
        <f t="shared" si="177"/>
        <v>5.8299999999999983</v>
      </c>
      <c r="M712">
        <f t="shared" si="178"/>
        <v>0.75</v>
      </c>
      <c r="N712">
        <f t="shared" si="172"/>
        <v>2.1450000000000009</v>
      </c>
      <c r="Q712" t="str" cm="1">
        <f t="array" ref="Q712:R712">_xlfn.TEXTSPLIT(E712," ")</f>
        <v>27.10.2023</v>
      </c>
      <c r="R712" t="str">
        <v>11:51:10</v>
      </c>
      <c r="S712">
        <f t="shared" si="185"/>
        <v>11.816666666666833</v>
      </c>
      <c r="T712">
        <f t="shared" si="176"/>
        <v>9.3200000000000074</v>
      </c>
      <c r="U712">
        <f t="shared" si="179"/>
        <v>1.5</v>
      </c>
      <c r="V712">
        <f t="shared" si="173"/>
        <v>3.2075000000000009</v>
      </c>
      <c r="AC712" t="s">
        <v>1941</v>
      </c>
      <c r="AD712">
        <v>0</v>
      </c>
      <c r="AE712">
        <v>7.67</v>
      </c>
      <c r="AG712" t="str" cm="1">
        <f t="array" ref="AG712:AH712">_xlfn.TEXTSPLIT(AC713," ")</f>
        <v>26.10.2023</v>
      </c>
      <c r="AH712" t="str">
        <v>11:52:11</v>
      </c>
      <c r="AI712">
        <f t="shared" si="186"/>
        <v>11.816666666666833</v>
      </c>
      <c r="AJ712">
        <f t="shared" si="180"/>
        <v>3.1399999999999997</v>
      </c>
      <c r="AK712">
        <f t="shared" si="181"/>
        <v>0</v>
      </c>
      <c r="AL712">
        <f t="shared" si="174"/>
        <v>0.28000000000000008</v>
      </c>
      <c r="AN712" t="s">
        <v>1941</v>
      </c>
      <c r="AO712">
        <v>0.75</v>
      </c>
      <c r="AP712">
        <v>69.83</v>
      </c>
      <c r="AR712" t="str" cm="1">
        <f t="array" ref="AR712:AS712">_xlfn.TEXTSPLIT(AN712," ")</f>
        <v>26.10.2023</v>
      </c>
      <c r="AS712" t="str">
        <v>11:51:10</v>
      </c>
      <c r="AT712">
        <f t="shared" si="187"/>
        <v>11.816666666666833</v>
      </c>
      <c r="AU712">
        <f t="shared" si="182"/>
        <v>8.519999999999996</v>
      </c>
      <c r="AV712">
        <f t="shared" si="183"/>
        <v>0.75</v>
      </c>
      <c r="AW712">
        <f t="shared" si="175"/>
        <v>0.6575000000000002</v>
      </c>
    </row>
    <row r="713" spans="1:49" x14ac:dyDescent="0.25">
      <c r="A713" t="s">
        <v>1942</v>
      </c>
      <c r="B713">
        <v>0.75</v>
      </c>
      <c r="C713">
        <v>20.16</v>
      </c>
      <c r="E713" t="s">
        <v>1942</v>
      </c>
      <c r="F713">
        <v>0.3</v>
      </c>
      <c r="G713">
        <v>87.93</v>
      </c>
      <c r="I713" t="str" cm="1">
        <f t="array" ref="I713:J713">_xlfn.TEXTSPLIT(A713," ")</f>
        <v>27.10.2023</v>
      </c>
      <c r="J713" t="str">
        <v>11:52:10</v>
      </c>
      <c r="K713">
        <f t="shared" si="184"/>
        <v>11.833333333333501</v>
      </c>
      <c r="L713">
        <f t="shared" si="177"/>
        <v>5.84</v>
      </c>
      <c r="M713">
        <f t="shared" si="178"/>
        <v>0.75</v>
      </c>
      <c r="N713">
        <f t="shared" si="172"/>
        <v>2.1550000000000002</v>
      </c>
      <c r="Q713" t="str" cm="1">
        <f t="array" ref="Q713:R713">_xlfn.TEXTSPLIT(E713," ")</f>
        <v>27.10.2023</v>
      </c>
      <c r="R713" t="str">
        <v>11:52:10</v>
      </c>
      <c r="S713">
        <f t="shared" si="185"/>
        <v>11.833333333333501</v>
      </c>
      <c r="T713">
        <f t="shared" si="176"/>
        <v>9.3300000000000125</v>
      </c>
      <c r="U713">
        <f t="shared" si="179"/>
        <v>0.3</v>
      </c>
      <c r="V713">
        <f t="shared" si="173"/>
        <v>3.2100000000000013</v>
      </c>
      <c r="AC713" t="s">
        <v>1943</v>
      </c>
      <c r="AD713">
        <v>0.3</v>
      </c>
      <c r="AE713">
        <v>7.67</v>
      </c>
      <c r="AG713" t="str" cm="1">
        <f t="array" ref="AG713:AH713">_xlfn.TEXTSPLIT(AC714," ")</f>
        <v>26.10.2023</v>
      </c>
      <c r="AH713" t="str">
        <v>11:53:11</v>
      </c>
      <c r="AI713">
        <f t="shared" si="186"/>
        <v>11.833333333333501</v>
      </c>
      <c r="AJ713">
        <f t="shared" si="180"/>
        <v>3.1399999999999997</v>
      </c>
      <c r="AK713">
        <f t="shared" si="181"/>
        <v>0.3</v>
      </c>
      <c r="AL713">
        <f t="shared" si="174"/>
        <v>0.28250000000000003</v>
      </c>
      <c r="AN713" t="s">
        <v>1943</v>
      </c>
      <c r="AO713">
        <v>0.3</v>
      </c>
      <c r="AP713">
        <v>69.83</v>
      </c>
      <c r="AR713" t="str" cm="1">
        <f t="array" ref="AR713:AS713">_xlfn.TEXTSPLIT(AN713," ")</f>
        <v>26.10.2023</v>
      </c>
      <c r="AS713" t="str">
        <v>11:52:11</v>
      </c>
      <c r="AT713">
        <f t="shared" si="187"/>
        <v>11.833333333333501</v>
      </c>
      <c r="AU713">
        <f t="shared" si="182"/>
        <v>8.519999999999996</v>
      </c>
      <c r="AV713">
        <f t="shared" si="183"/>
        <v>0.3</v>
      </c>
      <c r="AW713">
        <f t="shared" si="175"/>
        <v>0.65500000000000003</v>
      </c>
    </row>
    <row r="714" spans="1:49" x14ac:dyDescent="0.25">
      <c r="A714" t="s">
        <v>1944</v>
      </c>
      <c r="B714">
        <v>0</v>
      </c>
      <c r="C714">
        <v>20.16</v>
      </c>
      <c r="E714" t="s">
        <v>1944</v>
      </c>
      <c r="F714">
        <v>0.3</v>
      </c>
      <c r="G714">
        <v>87.94</v>
      </c>
      <c r="I714" t="str" cm="1">
        <f t="array" ref="I714:J714">_xlfn.TEXTSPLIT(A714," ")</f>
        <v>27.10.2023</v>
      </c>
      <c r="J714" t="str">
        <v>11:53:10</v>
      </c>
      <c r="K714">
        <f t="shared" si="184"/>
        <v>11.850000000000168</v>
      </c>
      <c r="L714">
        <f t="shared" si="177"/>
        <v>5.84</v>
      </c>
      <c r="M714">
        <f t="shared" si="178"/>
        <v>0</v>
      </c>
      <c r="N714">
        <f t="shared" si="172"/>
        <v>2.1550000000000002</v>
      </c>
      <c r="Q714" t="str" cm="1">
        <f t="array" ref="Q714:R714">_xlfn.TEXTSPLIT(E714," ")</f>
        <v>27.10.2023</v>
      </c>
      <c r="R714" t="str">
        <v>11:53:10</v>
      </c>
      <c r="S714">
        <f t="shared" si="185"/>
        <v>11.850000000000168</v>
      </c>
      <c r="T714">
        <f t="shared" si="176"/>
        <v>9.3400000000000034</v>
      </c>
      <c r="U714">
        <f t="shared" si="179"/>
        <v>0.3</v>
      </c>
      <c r="V714">
        <f t="shared" si="173"/>
        <v>3.2150000000000016</v>
      </c>
      <c r="AC714" t="s">
        <v>1945</v>
      </c>
      <c r="AD714">
        <v>0.15</v>
      </c>
      <c r="AE714">
        <v>7.68</v>
      </c>
      <c r="AG714" t="str" cm="1">
        <f t="array" ref="AG714:AH714">_xlfn.TEXTSPLIT(AC715," ")</f>
        <v>26.10.2023</v>
      </c>
      <c r="AH714" t="str">
        <v>11:54:11</v>
      </c>
      <c r="AI714">
        <f t="shared" si="186"/>
        <v>11.850000000000168</v>
      </c>
      <c r="AJ714">
        <f t="shared" si="180"/>
        <v>3.1499999999999995</v>
      </c>
      <c r="AK714">
        <f t="shared" si="181"/>
        <v>0.15</v>
      </c>
      <c r="AL714">
        <f t="shared" si="174"/>
        <v>0.28500000000000003</v>
      </c>
      <c r="AN714" t="s">
        <v>1945</v>
      </c>
      <c r="AO714">
        <v>0</v>
      </c>
      <c r="AP714">
        <v>69.83</v>
      </c>
      <c r="AR714" t="str" cm="1">
        <f t="array" ref="AR714:AS714">_xlfn.TEXTSPLIT(AN714," ")</f>
        <v>26.10.2023</v>
      </c>
      <c r="AS714" t="str">
        <v>11:53:11</v>
      </c>
      <c r="AT714">
        <f t="shared" si="187"/>
        <v>11.850000000000168</v>
      </c>
      <c r="AU714">
        <f t="shared" si="182"/>
        <v>8.519999999999996</v>
      </c>
      <c r="AV714">
        <f t="shared" si="183"/>
        <v>0</v>
      </c>
      <c r="AW714">
        <f t="shared" si="175"/>
        <v>0.65500000000000003</v>
      </c>
    </row>
    <row r="715" spans="1:49" x14ac:dyDescent="0.25">
      <c r="A715" t="s">
        <v>1946</v>
      </c>
      <c r="B715">
        <v>0</v>
      </c>
      <c r="C715">
        <v>20.16</v>
      </c>
      <c r="E715" t="s">
        <v>1946</v>
      </c>
      <c r="F715">
        <v>0.45</v>
      </c>
      <c r="G715">
        <v>87.94</v>
      </c>
      <c r="I715" t="str" cm="1">
        <f t="array" ref="I715:J715">_xlfn.TEXTSPLIT(A715," ")</f>
        <v>27.10.2023</v>
      </c>
      <c r="J715" t="str">
        <v>11:54:10</v>
      </c>
      <c r="K715">
        <f t="shared" si="184"/>
        <v>11.866666666666836</v>
      </c>
      <c r="L715">
        <f t="shared" si="177"/>
        <v>5.84</v>
      </c>
      <c r="M715">
        <f t="shared" si="178"/>
        <v>0</v>
      </c>
      <c r="N715">
        <f t="shared" si="172"/>
        <v>2.1550000000000002</v>
      </c>
      <c r="Q715" t="str" cm="1">
        <f t="array" ref="Q715:R715">_xlfn.TEXTSPLIT(E715," ")</f>
        <v>27.10.2023</v>
      </c>
      <c r="R715" t="str">
        <v>11:54:10</v>
      </c>
      <c r="S715">
        <f t="shared" si="185"/>
        <v>11.866666666666836</v>
      </c>
      <c r="T715">
        <f t="shared" si="176"/>
        <v>9.3400000000000034</v>
      </c>
      <c r="U715">
        <f t="shared" si="179"/>
        <v>0.45</v>
      </c>
      <c r="V715">
        <f t="shared" si="173"/>
        <v>2.4350000000000005</v>
      </c>
      <c r="AC715" t="s">
        <v>1947</v>
      </c>
      <c r="AD715">
        <v>0</v>
      </c>
      <c r="AE715">
        <v>7.68</v>
      </c>
      <c r="AG715" t="str" cm="1">
        <f t="array" ref="AG715:AH715">_xlfn.TEXTSPLIT(AC716," ")</f>
        <v>26.10.2023</v>
      </c>
      <c r="AH715" t="str">
        <v>11:55:11</v>
      </c>
      <c r="AI715">
        <f t="shared" si="186"/>
        <v>11.866666666666836</v>
      </c>
      <c r="AJ715">
        <f t="shared" si="180"/>
        <v>3.1499999999999995</v>
      </c>
      <c r="AK715">
        <f t="shared" si="181"/>
        <v>0</v>
      </c>
      <c r="AL715">
        <f t="shared" si="174"/>
        <v>0.28500000000000003</v>
      </c>
      <c r="AN715" t="s">
        <v>1947</v>
      </c>
      <c r="AO715">
        <v>0</v>
      </c>
      <c r="AP715">
        <v>69.83</v>
      </c>
      <c r="AR715" t="str" cm="1">
        <f t="array" ref="AR715:AS715">_xlfn.TEXTSPLIT(AN715," ")</f>
        <v>26.10.2023</v>
      </c>
      <c r="AS715" t="str">
        <v>11:54:11</v>
      </c>
      <c r="AT715">
        <f t="shared" si="187"/>
        <v>11.866666666666836</v>
      </c>
      <c r="AU715">
        <f t="shared" si="182"/>
        <v>8.519999999999996</v>
      </c>
      <c r="AV715">
        <f t="shared" si="183"/>
        <v>0</v>
      </c>
      <c r="AW715">
        <f t="shared" si="175"/>
        <v>0.65250000000000008</v>
      </c>
    </row>
    <row r="716" spans="1:49" x14ac:dyDescent="0.25">
      <c r="A716" t="s">
        <v>1948</v>
      </c>
      <c r="B716">
        <v>0</v>
      </c>
      <c r="C716">
        <v>20.16</v>
      </c>
      <c r="E716" t="s">
        <v>1948</v>
      </c>
      <c r="F716">
        <v>0.45</v>
      </c>
      <c r="G716">
        <v>87.95</v>
      </c>
      <c r="I716" t="str" cm="1">
        <f t="array" ref="I716:J716">_xlfn.TEXTSPLIT(A716," ")</f>
        <v>27.10.2023</v>
      </c>
      <c r="J716" t="str">
        <v>11:55:10</v>
      </c>
      <c r="K716">
        <f t="shared" si="184"/>
        <v>11.883333333333503</v>
      </c>
      <c r="L716">
        <f t="shared" si="177"/>
        <v>5.84</v>
      </c>
      <c r="M716">
        <f t="shared" si="178"/>
        <v>0</v>
      </c>
      <c r="N716">
        <f t="shared" si="172"/>
        <v>2.1550000000000002</v>
      </c>
      <c r="Q716" t="str" cm="1">
        <f t="array" ref="Q716:R716">_xlfn.TEXTSPLIT(E716," ")</f>
        <v>27.10.2023</v>
      </c>
      <c r="R716" t="str">
        <v>11:55:10</v>
      </c>
      <c r="S716">
        <f t="shared" si="185"/>
        <v>11.883333333333503</v>
      </c>
      <c r="T716">
        <f t="shared" si="176"/>
        <v>9.3500000000000085</v>
      </c>
      <c r="U716">
        <f t="shared" si="179"/>
        <v>0.45</v>
      </c>
      <c r="V716">
        <f t="shared" si="173"/>
        <v>2.2275</v>
      </c>
      <c r="AC716" t="s">
        <v>1949</v>
      </c>
      <c r="AD716">
        <v>0</v>
      </c>
      <c r="AE716">
        <v>7.68</v>
      </c>
      <c r="AG716" t="str" cm="1">
        <f t="array" ref="AG716:AH716">_xlfn.TEXTSPLIT(AC717," ")</f>
        <v>26.10.2023</v>
      </c>
      <c r="AH716" t="str">
        <v>11:56:11</v>
      </c>
      <c r="AI716">
        <f t="shared" si="186"/>
        <v>11.883333333333503</v>
      </c>
      <c r="AJ716">
        <f t="shared" si="180"/>
        <v>3.1499999999999995</v>
      </c>
      <c r="AK716">
        <f t="shared" si="181"/>
        <v>0</v>
      </c>
      <c r="AL716">
        <f t="shared" si="174"/>
        <v>0.28500000000000003</v>
      </c>
      <c r="AN716" t="s">
        <v>1949</v>
      </c>
      <c r="AO716">
        <v>0.15</v>
      </c>
      <c r="AP716">
        <v>69.84</v>
      </c>
      <c r="AR716" t="str" cm="1">
        <f t="array" ref="AR716:AS716">_xlfn.TEXTSPLIT(AN716," ")</f>
        <v>26.10.2023</v>
      </c>
      <c r="AS716" t="str">
        <v>11:55:11</v>
      </c>
      <c r="AT716">
        <f t="shared" si="187"/>
        <v>11.883333333333503</v>
      </c>
      <c r="AU716">
        <f t="shared" si="182"/>
        <v>8.5300000000000011</v>
      </c>
      <c r="AV716">
        <f t="shared" si="183"/>
        <v>0.15</v>
      </c>
      <c r="AW716">
        <f t="shared" si="175"/>
        <v>0.65500000000000003</v>
      </c>
    </row>
    <row r="717" spans="1:49" x14ac:dyDescent="0.25">
      <c r="A717" t="s">
        <v>1950</v>
      </c>
      <c r="B717">
        <v>0</v>
      </c>
      <c r="C717">
        <v>20.16</v>
      </c>
      <c r="E717" t="s">
        <v>1950</v>
      </c>
      <c r="F717">
        <v>0.6</v>
      </c>
      <c r="G717">
        <v>87.96</v>
      </c>
      <c r="I717" t="str" cm="1">
        <f t="array" ref="I717:J717">_xlfn.TEXTSPLIT(A717," ")</f>
        <v>27.10.2023</v>
      </c>
      <c r="J717" t="str">
        <v>11:56:10</v>
      </c>
      <c r="K717">
        <f t="shared" si="184"/>
        <v>11.900000000000171</v>
      </c>
      <c r="L717">
        <f t="shared" si="177"/>
        <v>5.84</v>
      </c>
      <c r="M717">
        <f t="shared" si="178"/>
        <v>0</v>
      </c>
      <c r="N717">
        <f t="shared" si="172"/>
        <v>2.1550000000000002</v>
      </c>
      <c r="Q717" t="str" cm="1">
        <f t="array" ref="Q717:R717">_xlfn.TEXTSPLIT(E717," ")</f>
        <v>27.10.2023</v>
      </c>
      <c r="R717" t="str">
        <v>11:56:10</v>
      </c>
      <c r="S717">
        <f t="shared" si="185"/>
        <v>11.900000000000171</v>
      </c>
      <c r="T717">
        <f t="shared" si="176"/>
        <v>9.36</v>
      </c>
      <c r="U717">
        <f t="shared" si="179"/>
        <v>0.6</v>
      </c>
      <c r="V717">
        <f t="shared" si="173"/>
        <v>2.2374999999999998</v>
      </c>
      <c r="AC717" t="s">
        <v>1951</v>
      </c>
      <c r="AD717">
        <v>0</v>
      </c>
      <c r="AE717">
        <v>7.68</v>
      </c>
      <c r="AG717" t="str" cm="1">
        <f t="array" ref="AG717:AH717">_xlfn.TEXTSPLIT(AC718," ")</f>
        <v>26.10.2023</v>
      </c>
      <c r="AH717" t="str">
        <v>11:57:11</v>
      </c>
      <c r="AI717">
        <f t="shared" si="186"/>
        <v>11.900000000000171</v>
      </c>
      <c r="AJ717">
        <f t="shared" si="180"/>
        <v>3.1499999999999995</v>
      </c>
      <c r="AK717">
        <f t="shared" si="181"/>
        <v>0</v>
      </c>
      <c r="AL717">
        <f t="shared" si="174"/>
        <v>0.28500000000000003</v>
      </c>
      <c r="AN717" t="s">
        <v>1951</v>
      </c>
      <c r="AO717">
        <v>0.15</v>
      </c>
      <c r="AP717">
        <v>69.84</v>
      </c>
      <c r="AR717" t="str" cm="1">
        <f t="array" ref="AR717:AS717">_xlfn.TEXTSPLIT(AN717," ")</f>
        <v>26.10.2023</v>
      </c>
      <c r="AS717" t="str">
        <v>11:56:11</v>
      </c>
      <c r="AT717">
        <f t="shared" si="187"/>
        <v>11.900000000000171</v>
      </c>
      <c r="AU717">
        <f t="shared" si="182"/>
        <v>8.5300000000000011</v>
      </c>
      <c r="AV717">
        <f t="shared" si="183"/>
        <v>0.15</v>
      </c>
      <c r="AW717">
        <f t="shared" si="175"/>
        <v>0.65499999999999992</v>
      </c>
    </row>
    <row r="718" spans="1:49" x14ac:dyDescent="0.25">
      <c r="A718" t="s">
        <v>1952</v>
      </c>
      <c r="B718">
        <v>0.45</v>
      </c>
      <c r="C718">
        <v>20.16</v>
      </c>
      <c r="E718" t="s">
        <v>1952</v>
      </c>
      <c r="F718">
        <v>0.6</v>
      </c>
      <c r="G718">
        <v>87.97</v>
      </c>
      <c r="I718" t="str" cm="1">
        <f t="array" ref="I718:J718">_xlfn.TEXTSPLIT(A718," ")</f>
        <v>27.10.2023</v>
      </c>
      <c r="J718" t="str">
        <v>11:57:11</v>
      </c>
      <c r="K718">
        <f t="shared" si="184"/>
        <v>11.916666666666838</v>
      </c>
      <c r="L718">
        <f t="shared" si="177"/>
        <v>5.84</v>
      </c>
      <c r="M718">
        <f t="shared" si="178"/>
        <v>0.45</v>
      </c>
      <c r="N718">
        <f t="shared" si="172"/>
        <v>2.1625000000000001</v>
      </c>
      <c r="Q718" t="str" cm="1">
        <f t="array" ref="Q718:R718">_xlfn.TEXTSPLIT(E718," ")</f>
        <v>27.10.2023</v>
      </c>
      <c r="R718" t="str">
        <v>11:57:11</v>
      </c>
      <c r="S718">
        <f t="shared" si="185"/>
        <v>11.916666666666838</v>
      </c>
      <c r="T718">
        <f t="shared" si="176"/>
        <v>9.3700000000000045</v>
      </c>
      <c r="U718">
        <f t="shared" si="179"/>
        <v>0.6</v>
      </c>
      <c r="V718">
        <f t="shared" si="173"/>
        <v>2.2450000000000001</v>
      </c>
      <c r="AC718" t="s">
        <v>1953</v>
      </c>
      <c r="AD718">
        <v>0</v>
      </c>
      <c r="AE718">
        <v>7.68</v>
      </c>
      <c r="AG718" t="str" cm="1">
        <f t="array" ref="AG718:AH718">_xlfn.TEXTSPLIT(AC719," ")</f>
        <v>26.10.2023</v>
      </c>
      <c r="AH718" t="str">
        <v>11:58:11</v>
      </c>
      <c r="AI718">
        <f t="shared" si="186"/>
        <v>11.916666666666838</v>
      </c>
      <c r="AJ718">
        <f t="shared" si="180"/>
        <v>3.1499999999999995</v>
      </c>
      <c r="AK718">
        <f t="shared" si="181"/>
        <v>0</v>
      </c>
      <c r="AL718">
        <f t="shared" si="174"/>
        <v>0.28500000000000003</v>
      </c>
      <c r="AN718" t="s">
        <v>1953</v>
      </c>
      <c r="AO718">
        <v>0.15</v>
      </c>
      <c r="AP718">
        <v>69.84</v>
      </c>
      <c r="AR718" t="str" cm="1">
        <f t="array" ref="AR718:AS718">_xlfn.TEXTSPLIT(AN718," ")</f>
        <v>26.10.2023</v>
      </c>
      <c r="AS718" t="str">
        <v>11:57:11</v>
      </c>
      <c r="AT718">
        <f t="shared" si="187"/>
        <v>11.916666666666838</v>
      </c>
      <c r="AU718">
        <f t="shared" si="182"/>
        <v>8.5300000000000011</v>
      </c>
      <c r="AV718">
        <f t="shared" si="183"/>
        <v>0.15</v>
      </c>
      <c r="AW718">
        <f t="shared" si="175"/>
        <v>0.65249999999999997</v>
      </c>
    </row>
    <row r="719" spans="1:49" x14ac:dyDescent="0.25">
      <c r="A719" t="s">
        <v>1954</v>
      </c>
      <c r="B719">
        <v>0</v>
      </c>
      <c r="C719">
        <v>20.16</v>
      </c>
      <c r="E719" t="s">
        <v>1954</v>
      </c>
      <c r="F719">
        <v>0.75</v>
      </c>
      <c r="G719">
        <v>87.99</v>
      </c>
      <c r="I719" t="str" cm="1">
        <f t="array" ref="I719:J719">_xlfn.TEXTSPLIT(A719," ")</f>
        <v>27.10.2023</v>
      </c>
      <c r="J719" t="str">
        <v>11:58:11</v>
      </c>
      <c r="K719">
        <f t="shared" si="184"/>
        <v>11.933333333333506</v>
      </c>
      <c r="L719">
        <f t="shared" si="177"/>
        <v>5.84</v>
      </c>
      <c r="M719">
        <f t="shared" si="178"/>
        <v>0</v>
      </c>
      <c r="N719">
        <f t="shared" si="172"/>
        <v>2.1625000000000001</v>
      </c>
      <c r="Q719" t="str" cm="1">
        <f t="array" ref="Q719:R719">_xlfn.TEXTSPLIT(E719," ")</f>
        <v>27.10.2023</v>
      </c>
      <c r="R719" t="str">
        <v>11:58:11</v>
      </c>
      <c r="S719">
        <f t="shared" si="185"/>
        <v>11.933333333333506</v>
      </c>
      <c r="T719">
        <f t="shared" si="176"/>
        <v>9.39</v>
      </c>
      <c r="U719">
        <f t="shared" si="179"/>
        <v>0.75</v>
      </c>
      <c r="V719">
        <f t="shared" si="173"/>
        <v>2.2550000000000003</v>
      </c>
      <c r="AC719" t="s">
        <v>1955</v>
      </c>
      <c r="AD719">
        <v>0</v>
      </c>
      <c r="AE719">
        <v>7.68</v>
      </c>
      <c r="AG719" t="str" cm="1">
        <f t="array" ref="AG719:AH719">_xlfn.TEXTSPLIT(AC720," ")</f>
        <v>26.10.2023</v>
      </c>
      <c r="AH719" t="str">
        <v>11:59:12</v>
      </c>
      <c r="AI719">
        <f t="shared" si="186"/>
        <v>11.933333333333506</v>
      </c>
      <c r="AJ719">
        <f t="shared" si="180"/>
        <v>3.1499999999999995</v>
      </c>
      <c r="AK719">
        <f t="shared" si="181"/>
        <v>0</v>
      </c>
      <c r="AL719">
        <f t="shared" si="174"/>
        <v>0.28500000000000003</v>
      </c>
      <c r="AN719" t="s">
        <v>1955</v>
      </c>
      <c r="AO719">
        <v>0.15</v>
      </c>
      <c r="AP719">
        <v>69.84</v>
      </c>
      <c r="AR719" t="str" cm="1">
        <f t="array" ref="AR719:AS719">_xlfn.TEXTSPLIT(AN719," ")</f>
        <v>26.10.2023</v>
      </c>
      <c r="AS719" t="str">
        <v>11:58:11</v>
      </c>
      <c r="AT719">
        <f t="shared" si="187"/>
        <v>11.933333333333506</v>
      </c>
      <c r="AU719">
        <f t="shared" si="182"/>
        <v>8.5300000000000011</v>
      </c>
      <c r="AV719">
        <f t="shared" si="183"/>
        <v>0.15</v>
      </c>
      <c r="AW719">
        <f t="shared" si="175"/>
        <v>0.65249999999999997</v>
      </c>
    </row>
    <row r="720" spans="1:49" x14ac:dyDescent="0.25">
      <c r="A720" t="s">
        <v>1956</v>
      </c>
      <c r="B720">
        <v>0.3</v>
      </c>
      <c r="C720">
        <v>20.170000000000002</v>
      </c>
      <c r="E720" t="s">
        <v>1956</v>
      </c>
      <c r="F720">
        <v>0.75</v>
      </c>
      <c r="G720">
        <v>88</v>
      </c>
      <c r="I720" t="str" cm="1">
        <f t="array" ref="I720:J720">_xlfn.TEXTSPLIT(A720," ")</f>
        <v>27.10.2023</v>
      </c>
      <c r="J720" t="str">
        <v>11:59:11</v>
      </c>
      <c r="K720">
        <f t="shared" si="184"/>
        <v>11.950000000000173</v>
      </c>
      <c r="L720">
        <f t="shared" si="177"/>
        <v>5.8500000000000014</v>
      </c>
      <c r="M720">
        <f t="shared" si="178"/>
        <v>0.3</v>
      </c>
      <c r="N720">
        <f t="shared" si="172"/>
        <v>2.0225000000000004</v>
      </c>
      <c r="Q720" t="str" cm="1">
        <f t="array" ref="Q720:R720">_xlfn.TEXTSPLIT(E720," ")</f>
        <v>27.10.2023</v>
      </c>
      <c r="R720" t="str">
        <v>11:59:11</v>
      </c>
      <c r="S720">
        <f t="shared" si="185"/>
        <v>11.950000000000173</v>
      </c>
      <c r="T720">
        <f t="shared" si="176"/>
        <v>9.4000000000000057</v>
      </c>
      <c r="U720">
        <f t="shared" si="179"/>
        <v>0.75</v>
      </c>
      <c r="V720">
        <f t="shared" si="173"/>
        <v>2.2650000000000001</v>
      </c>
      <c r="AC720" t="s">
        <v>1957</v>
      </c>
      <c r="AD720">
        <v>0</v>
      </c>
      <c r="AE720">
        <v>7.68</v>
      </c>
      <c r="AG720" t="str" cm="1">
        <f t="array" ref="AG720:AH720">_xlfn.TEXTSPLIT(AC721," ")</f>
        <v>26.10.2023</v>
      </c>
      <c r="AH720" t="str">
        <v>12:00:12</v>
      </c>
      <c r="AI720">
        <f t="shared" si="186"/>
        <v>11.950000000000173</v>
      </c>
      <c r="AJ720">
        <f t="shared" si="180"/>
        <v>3.1499999999999995</v>
      </c>
      <c r="AK720">
        <f t="shared" si="181"/>
        <v>0</v>
      </c>
      <c r="AL720">
        <f t="shared" si="174"/>
        <v>0.28500000000000003</v>
      </c>
      <c r="AN720" t="s">
        <v>1957</v>
      </c>
      <c r="AO720">
        <v>0.15</v>
      </c>
      <c r="AP720">
        <v>69.849999999999994</v>
      </c>
      <c r="AR720" t="str" cm="1">
        <f t="array" ref="AR720:AS720">_xlfn.TEXTSPLIT(AN720," ")</f>
        <v>26.10.2023</v>
      </c>
      <c r="AS720" t="str">
        <v>11:59:12</v>
      </c>
      <c r="AT720">
        <f t="shared" si="187"/>
        <v>11.950000000000173</v>
      </c>
      <c r="AU720">
        <f t="shared" si="182"/>
        <v>8.539999999999992</v>
      </c>
      <c r="AV720">
        <f t="shared" si="183"/>
        <v>0.15</v>
      </c>
      <c r="AW720">
        <f t="shared" si="175"/>
        <v>0.65249999999999986</v>
      </c>
    </row>
    <row r="721" spans="1:49" x14ac:dyDescent="0.25">
      <c r="A721" t="s">
        <v>1958</v>
      </c>
      <c r="B721">
        <v>0.3</v>
      </c>
      <c r="C721">
        <v>20.170000000000002</v>
      </c>
      <c r="E721" t="s">
        <v>1958</v>
      </c>
      <c r="F721">
        <v>1.05</v>
      </c>
      <c r="G721">
        <v>88.01</v>
      </c>
      <c r="I721" t="str" cm="1">
        <f t="array" ref="I721:J721">_xlfn.TEXTSPLIT(A721," ")</f>
        <v>27.10.2023</v>
      </c>
      <c r="J721" t="str">
        <v>12:00:11</v>
      </c>
      <c r="K721">
        <f t="shared" si="184"/>
        <v>11.966666666666841</v>
      </c>
      <c r="L721">
        <f t="shared" si="177"/>
        <v>5.8500000000000014</v>
      </c>
      <c r="M721">
        <f t="shared" si="178"/>
        <v>0.3</v>
      </c>
      <c r="N721">
        <f t="shared" si="172"/>
        <v>1.6075000000000006</v>
      </c>
      <c r="Q721" t="str" cm="1">
        <f t="array" ref="Q721:R721">_xlfn.TEXTSPLIT(E721," ")</f>
        <v>27.10.2023</v>
      </c>
      <c r="R721" t="str">
        <v>12:00:11</v>
      </c>
      <c r="S721">
        <f t="shared" si="185"/>
        <v>11.966666666666841</v>
      </c>
      <c r="T721">
        <f t="shared" si="176"/>
        <v>9.4100000000000108</v>
      </c>
      <c r="U721">
        <f t="shared" si="179"/>
        <v>1.05</v>
      </c>
      <c r="V721">
        <f t="shared" si="173"/>
        <v>2.2825000000000002</v>
      </c>
      <c r="AC721" t="s">
        <v>1959</v>
      </c>
      <c r="AD721">
        <v>0</v>
      </c>
      <c r="AE721">
        <v>7.68</v>
      </c>
      <c r="AG721" t="str" cm="1">
        <f t="array" ref="AG721:AH721">_xlfn.TEXTSPLIT(AC722," ")</f>
        <v>26.10.2023</v>
      </c>
      <c r="AH721" t="str">
        <v>12:01:12</v>
      </c>
      <c r="AI721">
        <f t="shared" si="186"/>
        <v>11.966666666666841</v>
      </c>
      <c r="AJ721">
        <f t="shared" si="180"/>
        <v>3.1499999999999995</v>
      </c>
      <c r="AK721">
        <f t="shared" si="181"/>
        <v>0</v>
      </c>
      <c r="AL721">
        <f t="shared" si="174"/>
        <v>0.28500000000000003</v>
      </c>
      <c r="AN721" t="s">
        <v>1959</v>
      </c>
      <c r="AO721">
        <v>0.15</v>
      </c>
      <c r="AP721">
        <v>69.849999999999994</v>
      </c>
      <c r="AR721" t="str" cm="1">
        <f t="array" ref="AR721:AS721">_xlfn.TEXTSPLIT(AN721," ")</f>
        <v>26.10.2023</v>
      </c>
      <c r="AS721" t="str">
        <v>12:00:12</v>
      </c>
      <c r="AT721">
        <f t="shared" si="187"/>
        <v>11.966666666666841</v>
      </c>
      <c r="AU721">
        <f t="shared" si="182"/>
        <v>8.539999999999992</v>
      </c>
      <c r="AV721">
        <f t="shared" si="183"/>
        <v>0.15</v>
      </c>
      <c r="AW721">
        <f t="shared" si="175"/>
        <v>0.64749999999999974</v>
      </c>
    </row>
    <row r="722" spans="1:49" x14ac:dyDescent="0.25">
      <c r="A722" t="s">
        <v>1960</v>
      </c>
      <c r="B722">
        <v>0.45</v>
      </c>
      <c r="C722">
        <v>20.18</v>
      </c>
      <c r="E722" t="s">
        <v>1960</v>
      </c>
      <c r="F722">
        <v>1.05</v>
      </c>
      <c r="G722">
        <v>88.03</v>
      </c>
      <c r="I722" t="str" cm="1">
        <f t="array" ref="I722:J722">_xlfn.TEXTSPLIT(A722," ")</f>
        <v>27.10.2023</v>
      </c>
      <c r="J722" t="str">
        <v>12:01:11</v>
      </c>
      <c r="K722">
        <f t="shared" si="184"/>
        <v>11.983333333333508</v>
      </c>
      <c r="L722">
        <f t="shared" si="177"/>
        <v>5.8599999999999994</v>
      </c>
      <c r="M722">
        <f t="shared" si="178"/>
        <v>0.45</v>
      </c>
      <c r="N722">
        <f t="shared" si="172"/>
        <v>1.6150000000000007</v>
      </c>
      <c r="Q722" t="str" cm="1">
        <f t="array" ref="Q722:R722">_xlfn.TEXTSPLIT(E722," ")</f>
        <v>27.10.2023</v>
      </c>
      <c r="R722" t="str">
        <v>12:01:11</v>
      </c>
      <c r="S722">
        <f t="shared" si="185"/>
        <v>11.983333333333508</v>
      </c>
      <c r="T722">
        <f t="shared" si="176"/>
        <v>9.4300000000000068</v>
      </c>
      <c r="U722">
        <f t="shared" si="179"/>
        <v>1.05</v>
      </c>
      <c r="V722">
        <f t="shared" si="173"/>
        <v>2.3000000000000003</v>
      </c>
      <c r="AC722" t="s">
        <v>1961</v>
      </c>
      <c r="AD722">
        <v>0</v>
      </c>
      <c r="AE722">
        <v>7.68</v>
      </c>
      <c r="AG722" t="str" cm="1">
        <f t="array" ref="AG722:AH722">_xlfn.TEXTSPLIT(AC723," ")</f>
        <v>26.10.2023</v>
      </c>
      <c r="AH722" t="str">
        <v>12:02:12</v>
      </c>
      <c r="AI722">
        <f t="shared" si="186"/>
        <v>11.983333333333508</v>
      </c>
      <c r="AJ722">
        <f t="shared" si="180"/>
        <v>3.1499999999999995</v>
      </c>
      <c r="AK722">
        <f t="shared" si="181"/>
        <v>0</v>
      </c>
      <c r="AL722">
        <f t="shared" si="174"/>
        <v>0.28500000000000003</v>
      </c>
      <c r="AN722" t="s">
        <v>1961</v>
      </c>
      <c r="AO722">
        <v>0.15</v>
      </c>
      <c r="AP722">
        <v>69.849999999999994</v>
      </c>
      <c r="AR722" t="str" cm="1">
        <f t="array" ref="AR722:AS722">_xlfn.TEXTSPLIT(AN722," ")</f>
        <v>26.10.2023</v>
      </c>
      <c r="AS722" t="str">
        <v>12:01:12</v>
      </c>
      <c r="AT722">
        <f t="shared" si="187"/>
        <v>11.983333333333508</v>
      </c>
      <c r="AU722">
        <f t="shared" si="182"/>
        <v>8.539999999999992</v>
      </c>
      <c r="AV722">
        <f t="shared" si="183"/>
        <v>0.15</v>
      </c>
      <c r="AW722">
        <f t="shared" si="175"/>
        <v>0.64249999999999996</v>
      </c>
    </row>
    <row r="723" spans="1:49" x14ac:dyDescent="0.25">
      <c r="A723" t="s">
        <v>1962</v>
      </c>
      <c r="B723">
        <v>0.3</v>
      </c>
      <c r="C723">
        <v>20.190000000000001</v>
      </c>
      <c r="E723" t="s">
        <v>1962</v>
      </c>
      <c r="F723">
        <v>1.2</v>
      </c>
      <c r="G723">
        <v>88.06</v>
      </c>
      <c r="I723" t="str" cm="1">
        <f t="array" ref="I723:J723">_xlfn.TEXTSPLIT(A723," ")</f>
        <v>27.10.2023</v>
      </c>
      <c r="J723" t="str">
        <v>12:02:11</v>
      </c>
      <c r="K723">
        <f t="shared" si="184"/>
        <v>12.000000000000176</v>
      </c>
      <c r="L723">
        <f t="shared" si="177"/>
        <v>5.870000000000001</v>
      </c>
      <c r="M723">
        <f t="shared" si="178"/>
        <v>0.3</v>
      </c>
      <c r="N723">
        <f t="shared" si="172"/>
        <v>1.6200000000000006</v>
      </c>
      <c r="Q723" t="str" cm="1">
        <f t="array" ref="Q723:R723">_xlfn.TEXTSPLIT(E723," ")</f>
        <v>27.10.2023</v>
      </c>
      <c r="R723" t="str">
        <v>12:02:11</v>
      </c>
      <c r="S723">
        <f t="shared" si="185"/>
        <v>12.000000000000176</v>
      </c>
      <c r="T723">
        <f t="shared" si="176"/>
        <v>9.460000000000008</v>
      </c>
      <c r="U723">
        <f t="shared" si="179"/>
        <v>1.2</v>
      </c>
      <c r="V723">
        <f t="shared" si="173"/>
        <v>2.3200000000000003</v>
      </c>
      <c r="AC723" t="s">
        <v>1963</v>
      </c>
      <c r="AD723">
        <v>0</v>
      </c>
      <c r="AE723">
        <v>7.68</v>
      </c>
      <c r="AG723" t="str" cm="1">
        <f t="array" ref="AG723:AH723">_xlfn.TEXTSPLIT(AC724," ")</f>
        <v>26.10.2023</v>
      </c>
      <c r="AH723" t="str">
        <v>12:03:12</v>
      </c>
      <c r="AI723">
        <f t="shared" si="186"/>
        <v>12.000000000000176</v>
      </c>
      <c r="AJ723">
        <f t="shared" si="180"/>
        <v>3.1499999999999995</v>
      </c>
      <c r="AK723">
        <f t="shared" si="181"/>
        <v>0</v>
      </c>
      <c r="AL723">
        <f t="shared" si="174"/>
        <v>0.28500000000000003</v>
      </c>
      <c r="AN723" t="s">
        <v>1963</v>
      </c>
      <c r="AO723">
        <v>0.3</v>
      </c>
      <c r="AP723">
        <v>69.849999999999994</v>
      </c>
      <c r="AR723" t="str" cm="1">
        <f t="array" ref="AR723:AS723">_xlfn.TEXTSPLIT(AN723," ")</f>
        <v>26.10.2023</v>
      </c>
      <c r="AS723" t="str">
        <v>12:02:12</v>
      </c>
      <c r="AT723">
        <f t="shared" si="187"/>
        <v>12.000000000000176</v>
      </c>
      <c r="AU723">
        <f t="shared" si="182"/>
        <v>8.539999999999992</v>
      </c>
      <c r="AV723">
        <f t="shared" si="183"/>
        <v>0.3</v>
      </c>
      <c r="AW723">
        <f t="shared" si="175"/>
        <v>0.63999999999999979</v>
      </c>
    </row>
    <row r="724" spans="1:49" x14ac:dyDescent="0.25">
      <c r="A724" t="s">
        <v>1964</v>
      </c>
      <c r="B724">
        <v>0.45</v>
      </c>
      <c r="C724">
        <v>20.190000000000001</v>
      </c>
      <c r="E724" t="s">
        <v>1964</v>
      </c>
      <c r="F724">
        <v>0.6</v>
      </c>
      <c r="G724">
        <v>88.07</v>
      </c>
      <c r="I724" t="str" cm="1">
        <f t="array" ref="I724:J724">_xlfn.TEXTSPLIT(A724," ")</f>
        <v>27.10.2023</v>
      </c>
      <c r="J724" t="str">
        <v>12:03:11</v>
      </c>
      <c r="K724">
        <f t="shared" si="184"/>
        <v>12.016666666666843</v>
      </c>
      <c r="L724">
        <f t="shared" si="177"/>
        <v>5.870000000000001</v>
      </c>
      <c r="M724">
        <f t="shared" si="178"/>
        <v>0.45</v>
      </c>
      <c r="N724">
        <f t="shared" si="172"/>
        <v>1.6275000000000006</v>
      </c>
      <c r="Q724" t="str" cm="1">
        <f t="array" ref="Q724:R724">_xlfn.TEXTSPLIT(E724," ")</f>
        <v>27.10.2023</v>
      </c>
      <c r="R724" t="str">
        <v>12:03:11</v>
      </c>
      <c r="S724">
        <f t="shared" si="185"/>
        <v>12.016666666666843</v>
      </c>
      <c r="T724">
        <f t="shared" si="176"/>
        <v>9.4699999999999989</v>
      </c>
      <c r="U724">
        <f t="shared" si="179"/>
        <v>0.6</v>
      </c>
      <c r="V724">
        <f t="shared" si="173"/>
        <v>2.33</v>
      </c>
      <c r="AC724" t="s">
        <v>1965</v>
      </c>
      <c r="AD724">
        <v>0</v>
      </c>
      <c r="AE724">
        <v>7.68</v>
      </c>
      <c r="AG724" t="str" cm="1">
        <f t="array" ref="AG724:AH724">_xlfn.TEXTSPLIT(AC725," ")</f>
        <v>26.10.2023</v>
      </c>
      <c r="AH724" t="str">
        <v>12:04:12</v>
      </c>
      <c r="AI724">
        <f t="shared" si="186"/>
        <v>12.016666666666843</v>
      </c>
      <c r="AJ724">
        <f t="shared" si="180"/>
        <v>3.1499999999999995</v>
      </c>
      <c r="AK724">
        <f t="shared" si="181"/>
        <v>0</v>
      </c>
      <c r="AL724">
        <f t="shared" si="174"/>
        <v>0.28500000000000003</v>
      </c>
      <c r="AN724" t="s">
        <v>1965</v>
      </c>
      <c r="AO724">
        <v>0.3</v>
      </c>
      <c r="AP724">
        <v>69.86</v>
      </c>
      <c r="AR724" t="str" cm="1">
        <f t="array" ref="AR724:AS724">_xlfn.TEXTSPLIT(AN724," ")</f>
        <v>26.10.2023</v>
      </c>
      <c r="AS724" t="str">
        <v>12:03:12</v>
      </c>
      <c r="AT724">
        <f t="shared" si="187"/>
        <v>12.016666666666843</v>
      </c>
      <c r="AU724">
        <f t="shared" si="182"/>
        <v>8.5499999999999972</v>
      </c>
      <c r="AV724">
        <f t="shared" si="183"/>
        <v>0.3</v>
      </c>
      <c r="AW724">
        <f t="shared" si="175"/>
        <v>0.63749999999999973</v>
      </c>
    </row>
    <row r="725" spans="1:49" x14ac:dyDescent="0.25">
      <c r="A725" t="s">
        <v>1966</v>
      </c>
      <c r="B725">
        <v>0.45</v>
      </c>
      <c r="C725">
        <v>20.2</v>
      </c>
      <c r="E725" t="s">
        <v>1966</v>
      </c>
      <c r="F725">
        <v>0.75</v>
      </c>
      <c r="G725">
        <v>88.08</v>
      </c>
      <c r="I725" t="str" cm="1">
        <f t="array" ref="I725:J725">_xlfn.TEXTSPLIT(A725," ")</f>
        <v>27.10.2023</v>
      </c>
      <c r="J725" t="str">
        <v>12:04:11</v>
      </c>
      <c r="K725">
        <f t="shared" si="184"/>
        <v>12.033333333333511</v>
      </c>
      <c r="L725">
        <f t="shared" si="177"/>
        <v>5.879999999999999</v>
      </c>
      <c r="M725">
        <f t="shared" si="178"/>
        <v>0.45</v>
      </c>
      <c r="N725">
        <f t="shared" si="172"/>
        <v>1.6350000000000007</v>
      </c>
      <c r="Q725" t="str" cm="1">
        <f t="array" ref="Q725:R725">_xlfn.TEXTSPLIT(E725," ")</f>
        <v>27.10.2023</v>
      </c>
      <c r="R725" t="str">
        <v>12:04:11</v>
      </c>
      <c r="S725">
        <f t="shared" si="185"/>
        <v>12.033333333333511</v>
      </c>
      <c r="T725">
        <f t="shared" si="176"/>
        <v>9.480000000000004</v>
      </c>
      <c r="U725">
        <f t="shared" si="179"/>
        <v>0.75</v>
      </c>
      <c r="V725">
        <f t="shared" si="173"/>
        <v>2.3325000000000005</v>
      </c>
      <c r="AC725" t="s">
        <v>1967</v>
      </c>
      <c r="AD725">
        <v>0</v>
      </c>
      <c r="AE725">
        <v>7.68</v>
      </c>
      <c r="AG725" t="str" cm="1">
        <f t="array" ref="AG725:AH725">_xlfn.TEXTSPLIT(AC726," ")</f>
        <v>26.10.2023</v>
      </c>
      <c r="AH725" t="str">
        <v>12:05:12</v>
      </c>
      <c r="AI725">
        <f t="shared" si="186"/>
        <v>12.033333333333511</v>
      </c>
      <c r="AJ725">
        <f t="shared" si="180"/>
        <v>3.1499999999999995</v>
      </c>
      <c r="AK725">
        <f t="shared" si="181"/>
        <v>0</v>
      </c>
      <c r="AL725">
        <f t="shared" si="174"/>
        <v>0.28500000000000003</v>
      </c>
      <c r="AN725" t="s">
        <v>1967</v>
      </c>
      <c r="AO725">
        <v>0.3</v>
      </c>
      <c r="AP725">
        <v>69.87</v>
      </c>
      <c r="AR725" t="str" cm="1">
        <f t="array" ref="AR725:AS725">_xlfn.TEXTSPLIT(AN725," ")</f>
        <v>26.10.2023</v>
      </c>
      <c r="AS725" t="str">
        <v>12:04:12</v>
      </c>
      <c r="AT725">
        <f t="shared" si="187"/>
        <v>12.033333333333511</v>
      </c>
      <c r="AU725">
        <f t="shared" si="182"/>
        <v>8.5600000000000023</v>
      </c>
      <c r="AV725">
        <f t="shared" si="183"/>
        <v>0.3</v>
      </c>
      <c r="AW725">
        <f t="shared" si="175"/>
        <v>0.63249999999999962</v>
      </c>
    </row>
    <row r="726" spans="1:49" x14ac:dyDescent="0.25">
      <c r="A726" t="s">
        <v>1968</v>
      </c>
      <c r="B726">
        <v>0.6</v>
      </c>
      <c r="C726">
        <v>20.21</v>
      </c>
      <c r="E726" t="s">
        <v>1968</v>
      </c>
      <c r="F726">
        <v>0.9</v>
      </c>
      <c r="G726">
        <v>88.1</v>
      </c>
      <c r="I726" t="str" cm="1">
        <f t="array" ref="I726:J726">_xlfn.TEXTSPLIT(A726," ")</f>
        <v>27.10.2023</v>
      </c>
      <c r="J726" t="str">
        <v>12:05:11</v>
      </c>
      <c r="K726">
        <f t="shared" si="184"/>
        <v>12.050000000000178</v>
      </c>
      <c r="L726">
        <f t="shared" si="177"/>
        <v>5.8900000000000006</v>
      </c>
      <c r="M726">
        <f t="shared" si="178"/>
        <v>0.6</v>
      </c>
      <c r="N726">
        <f t="shared" si="172"/>
        <v>1.6450000000000005</v>
      </c>
      <c r="Q726" t="str" cm="1">
        <f t="array" ref="Q726:R726">_xlfn.TEXTSPLIT(E726," ")</f>
        <v>27.10.2023</v>
      </c>
      <c r="R726" t="str">
        <v>12:05:11</v>
      </c>
      <c r="S726">
        <f t="shared" si="185"/>
        <v>12.050000000000178</v>
      </c>
      <c r="T726">
        <f t="shared" si="176"/>
        <v>9.5</v>
      </c>
      <c r="U726">
        <f t="shared" si="179"/>
        <v>0.9</v>
      </c>
      <c r="V726">
        <f t="shared" si="173"/>
        <v>2.3374999999999999</v>
      </c>
      <c r="AC726" t="s">
        <v>1969</v>
      </c>
      <c r="AD726">
        <v>0</v>
      </c>
      <c r="AE726">
        <v>7.68</v>
      </c>
      <c r="AG726" t="str" cm="1">
        <f t="array" ref="AG726:AH726">_xlfn.TEXTSPLIT(AC727," ")</f>
        <v>26.10.2023</v>
      </c>
      <c r="AH726" t="str">
        <v>12:06:13</v>
      </c>
      <c r="AI726">
        <f t="shared" si="186"/>
        <v>12.050000000000178</v>
      </c>
      <c r="AJ726">
        <f t="shared" si="180"/>
        <v>3.1499999999999995</v>
      </c>
      <c r="AK726">
        <f t="shared" si="181"/>
        <v>0</v>
      </c>
      <c r="AL726">
        <f t="shared" si="174"/>
        <v>0.28500000000000003</v>
      </c>
      <c r="AN726" t="s">
        <v>1969</v>
      </c>
      <c r="AO726">
        <v>0.45</v>
      </c>
      <c r="AP726">
        <v>69.87</v>
      </c>
      <c r="AR726" t="str" cm="1">
        <f t="array" ref="AR726:AS726">_xlfn.TEXTSPLIT(AN726," ")</f>
        <v>26.10.2023</v>
      </c>
      <c r="AS726" t="str">
        <v>12:05:12</v>
      </c>
      <c r="AT726">
        <f t="shared" si="187"/>
        <v>12.050000000000178</v>
      </c>
      <c r="AU726">
        <f t="shared" si="182"/>
        <v>8.5600000000000023</v>
      </c>
      <c r="AV726">
        <f t="shared" si="183"/>
        <v>0.45</v>
      </c>
      <c r="AW726">
        <f t="shared" si="175"/>
        <v>0.63499999999999968</v>
      </c>
    </row>
    <row r="727" spans="1:49" x14ac:dyDescent="0.25">
      <c r="A727" t="s">
        <v>1970</v>
      </c>
      <c r="B727">
        <v>0.6</v>
      </c>
      <c r="C727">
        <v>20.22</v>
      </c>
      <c r="E727" t="s">
        <v>1970</v>
      </c>
      <c r="F727">
        <v>1.5</v>
      </c>
      <c r="G727">
        <v>88.12</v>
      </c>
      <c r="I727" t="str" cm="1">
        <f t="array" ref="I727:J727">_xlfn.TEXTSPLIT(A727," ")</f>
        <v>27.10.2023</v>
      </c>
      <c r="J727" t="str">
        <v>12:06:12</v>
      </c>
      <c r="K727">
        <f t="shared" si="184"/>
        <v>12.066666666666846</v>
      </c>
      <c r="L727">
        <f t="shared" si="177"/>
        <v>5.8999999999999986</v>
      </c>
      <c r="M727">
        <f t="shared" si="178"/>
        <v>0.6</v>
      </c>
      <c r="N727">
        <f t="shared" si="172"/>
        <v>1.6525000000000003</v>
      </c>
      <c r="Q727" t="str" cm="1">
        <f t="array" ref="Q727:R727">_xlfn.TEXTSPLIT(E727," ")</f>
        <v>27.10.2023</v>
      </c>
      <c r="R727" t="str">
        <v>12:06:12</v>
      </c>
      <c r="S727">
        <f t="shared" si="185"/>
        <v>12.066666666666846</v>
      </c>
      <c r="T727">
        <f t="shared" si="176"/>
        <v>9.5200000000000102</v>
      </c>
      <c r="U727">
        <f t="shared" si="179"/>
        <v>1.5</v>
      </c>
      <c r="V727">
        <f t="shared" si="173"/>
        <v>2.2349999999999999</v>
      </c>
      <c r="AC727" t="s">
        <v>1971</v>
      </c>
      <c r="AD727">
        <v>0</v>
      </c>
      <c r="AE727">
        <v>7.68</v>
      </c>
      <c r="AG727" t="str" cm="1">
        <f t="array" ref="AG727:AH727">_xlfn.TEXTSPLIT(AC728," ")</f>
        <v>26.10.2023</v>
      </c>
      <c r="AH727" t="str">
        <v>12:07:13</v>
      </c>
      <c r="AI727">
        <f t="shared" si="186"/>
        <v>12.066666666666846</v>
      </c>
      <c r="AJ727">
        <f t="shared" si="180"/>
        <v>3.1499999999999995</v>
      </c>
      <c r="AK727">
        <f t="shared" si="181"/>
        <v>0</v>
      </c>
      <c r="AL727">
        <f t="shared" si="174"/>
        <v>0.28500000000000003</v>
      </c>
      <c r="AN727" t="s">
        <v>1971</v>
      </c>
      <c r="AO727">
        <v>0.45</v>
      </c>
      <c r="AP727">
        <v>69.88</v>
      </c>
      <c r="AR727" t="str" cm="1">
        <f t="array" ref="AR727:AS727">_xlfn.TEXTSPLIT(AN727," ")</f>
        <v>26.10.2023</v>
      </c>
      <c r="AS727" t="str">
        <v>12:06:13</v>
      </c>
      <c r="AT727">
        <f t="shared" si="187"/>
        <v>12.066666666666846</v>
      </c>
      <c r="AU727">
        <f t="shared" si="182"/>
        <v>8.5699999999999932</v>
      </c>
      <c r="AV727">
        <f t="shared" si="183"/>
        <v>0.45</v>
      </c>
      <c r="AW727">
        <f t="shared" si="175"/>
        <v>0.63499999999999979</v>
      </c>
    </row>
    <row r="728" spans="1:49" x14ac:dyDescent="0.25">
      <c r="A728" t="s">
        <v>1972</v>
      </c>
      <c r="B728">
        <v>0.15</v>
      </c>
      <c r="C728">
        <v>20.22</v>
      </c>
      <c r="E728" t="s">
        <v>1972</v>
      </c>
      <c r="F728">
        <v>3</v>
      </c>
      <c r="G728">
        <v>88.18</v>
      </c>
      <c r="I728" t="str" cm="1">
        <f t="array" ref="I728:J728">_xlfn.TEXTSPLIT(A728," ")</f>
        <v>27.10.2023</v>
      </c>
      <c r="J728" t="str">
        <v>12:07:12</v>
      </c>
      <c r="K728">
        <f t="shared" si="184"/>
        <v>12.083333333333513</v>
      </c>
      <c r="L728">
        <f t="shared" si="177"/>
        <v>5.8999999999999986</v>
      </c>
      <c r="M728">
        <f t="shared" si="178"/>
        <v>0.15</v>
      </c>
      <c r="N728">
        <f t="shared" si="172"/>
        <v>1.5900000000000003</v>
      </c>
      <c r="Q728" t="str" cm="1">
        <f t="array" ref="Q728:R728">_xlfn.TEXTSPLIT(E728," ")</f>
        <v>27.10.2023</v>
      </c>
      <c r="R728" t="str">
        <v>12:07:12</v>
      </c>
      <c r="S728">
        <f t="shared" si="185"/>
        <v>12.083333333333513</v>
      </c>
      <c r="T728">
        <f t="shared" si="176"/>
        <v>9.5800000000000125</v>
      </c>
      <c r="U728">
        <f t="shared" si="179"/>
        <v>3</v>
      </c>
      <c r="V728">
        <f t="shared" si="173"/>
        <v>1.9374999999999998</v>
      </c>
      <c r="AC728" t="s">
        <v>1973</v>
      </c>
      <c r="AD728">
        <v>0</v>
      </c>
      <c r="AE728">
        <v>7.68</v>
      </c>
      <c r="AG728" t="str" cm="1">
        <f t="array" ref="AG728:AH728">_xlfn.TEXTSPLIT(AC729," ")</f>
        <v>26.10.2023</v>
      </c>
      <c r="AH728" t="str">
        <v>12:08:13</v>
      </c>
      <c r="AI728">
        <f t="shared" si="186"/>
        <v>12.083333333333513</v>
      </c>
      <c r="AJ728">
        <f t="shared" si="180"/>
        <v>3.1499999999999995</v>
      </c>
      <c r="AK728">
        <f t="shared" si="181"/>
        <v>0</v>
      </c>
      <c r="AL728">
        <f t="shared" si="174"/>
        <v>0.28500000000000003</v>
      </c>
      <c r="AN728" t="s">
        <v>1973</v>
      </c>
      <c r="AO728">
        <v>0.9</v>
      </c>
      <c r="AP728">
        <v>69.89</v>
      </c>
      <c r="AR728" t="str" cm="1">
        <f t="array" ref="AR728:AS728">_xlfn.TEXTSPLIT(AN728," ")</f>
        <v>26.10.2023</v>
      </c>
      <c r="AS728" t="str">
        <v>12:07:13</v>
      </c>
      <c r="AT728">
        <f t="shared" si="187"/>
        <v>12.083333333333513</v>
      </c>
      <c r="AU728">
        <f t="shared" si="182"/>
        <v>8.5799999999999983</v>
      </c>
      <c r="AV728">
        <f t="shared" si="183"/>
        <v>0.9</v>
      </c>
      <c r="AW728">
        <f t="shared" si="175"/>
        <v>0.63249999999999984</v>
      </c>
    </row>
    <row r="729" spans="1:49" x14ac:dyDescent="0.25">
      <c r="A729" t="s">
        <v>1974</v>
      </c>
      <c r="B729">
        <v>2.25</v>
      </c>
      <c r="C729">
        <v>20.260000000000002</v>
      </c>
      <c r="E729" t="s">
        <v>1974</v>
      </c>
      <c r="F729">
        <v>2.1</v>
      </c>
      <c r="G729">
        <v>88.21</v>
      </c>
      <c r="I729" t="str" cm="1">
        <f t="array" ref="I729:J729">_xlfn.TEXTSPLIT(A729," ")</f>
        <v>27.10.2023</v>
      </c>
      <c r="J729" t="str">
        <v>12:08:12</v>
      </c>
      <c r="K729">
        <f t="shared" si="184"/>
        <v>12.100000000000181</v>
      </c>
      <c r="L729">
        <f t="shared" si="177"/>
        <v>5.9400000000000013</v>
      </c>
      <c r="M729">
        <f t="shared" si="178"/>
        <v>2.25</v>
      </c>
      <c r="N729">
        <f t="shared" si="172"/>
        <v>1.6000000000000005</v>
      </c>
      <c r="Q729" t="str" cm="1">
        <f t="array" ref="Q729:R729">_xlfn.TEXTSPLIT(E729," ")</f>
        <v>27.10.2023</v>
      </c>
      <c r="R729" t="str">
        <v>12:08:12</v>
      </c>
      <c r="S729">
        <f t="shared" si="185"/>
        <v>12.100000000000181</v>
      </c>
      <c r="T729">
        <f t="shared" si="176"/>
        <v>9.61</v>
      </c>
      <c r="U729">
        <f t="shared" si="179"/>
        <v>2.1</v>
      </c>
      <c r="V729">
        <f t="shared" si="173"/>
        <v>1.4324999999999997</v>
      </c>
      <c r="AC729" t="s">
        <v>1975</v>
      </c>
      <c r="AD729">
        <v>0</v>
      </c>
      <c r="AE729">
        <v>7.68</v>
      </c>
      <c r="AG729" t="str" cm="1">
        <f t="array" ref="AG729:AH729">_xlfn.TEXTSPLIT(AC730," ")</f>
        <v>26.10.2023</v>
      </c>
      <c r="AH729" t="str">
        <v>12:09:13</v>
      </c>
      <c r="AI729">
        <f t="shared" si="186"/>
        <v>12.100000000000181</v>
      </c>
      <c r="AJ729">
        <f t="shared" si="180"/>
        <v>3.1499999999999995</v>
      </c>
      <c r="AK729">
        <f t="shared" si="181"/>
        <v>0</v>
      </c>
      <c r="AL729">
        <f t="shared" si="174"/>
        <v>0.28500000000000003</v>
      </c>
      <c r="AN729" t="s">
        <v>1975</v>
      </c>
      <c r="AO729">
        <v>3</v>
      </c>
      <c r="AP729">
        <v>69.95</v>
      </c>
      <c r="AR729" t="str" cm="1">
        <f t="array" ref="AR729:AS729">_xlfn.TEXTSPLIT(AN729," ")</f>
        <v>26.10.2023</v>
      </c>
      <c r="AS729" t="str">
        <v>12:08:13</v>
      </c>
      <c r="AT729">
        <f t="shared" si="187"/>
        <v>12.100000000000181</v>
      </c>
      <c r="AU729">
        <f t="shared" si="182"/>
        <v>8.64</v>
      </c>
      <c r="AV729">
        <f t="shared" si="183"/>
        <v>3</v>
      </c>
      <c r="AW729">
        <f t="shared" si="175"/>
        <v>0.64749999999999974</v>
      </c>
    </row>
    <row r="730" spans="1:49" x14ac:dyDescent="0.25">
      <c r="A730" t="s">
        <v>1976</v>
      </c>
      <c r="B730">
        <v>1.95</v>
      </c>
      <c r="C730">
        <v>20.3</v>
      </c>
      <c r="E730" t="s">
        <v>1976</v>
      </c>
      <c r="F730">
        <v>1.5</v>
      </c>
      <c r="G730">
        <v>88.23</v>
      </c>
      <c r="I730" t="str" cm="1">
        <f t="array" ref="I730:J730">_xlfn.TEXTSPLIT(A730," ")</f>
        <v>27.10.2023</v>
      </c>
      <c r="J730" t="str">
        <v>12:09:12</v>
      </c>
      <c r="K730">
        <f t="shared" si="184"/>
        <v>12.116666666666848</v>
      </c>
      <c r="L730">
        <f t="shared" si="177"/>
        <v>5.98</v>
      </c>
      <c r="M730">
        <f t="shared" si="178"/>
        <v>1.95</v>
      </c>
      <c r="N730">
        <f t="shared" si="172"/>
        <v>0.91000000000000014</v>
      </c>
      <c r="Q730" t="str" cm="1">
        <f t="array" ref="Q730:R730">_xlfn.TEXTSPLIT(E730," ")</f>
        <v>27.10.2023</v>
      </c>
      <c r="R730" t="str">
        <v>12:09:12</v>
      </c>
      <c r="S730">
        <f t="shared" si="185"/>
        <v>12.116666666666848</v>
      </c>
      <c r="T730">
        <f t="shared" si="176"/>
        <v>9.6300000000000097</v>
      </c>
      <c r="U730">
        <f t="shared" si="179"/>
        <v>1.5</v>
      </c>
      <c r="V730">
        <f t="shared" si="173"/>
        <v>1.2099999999999997</v>
      </c>
      <c r="AC730" t="s">
        <v>1977</v>
      </c>
      <c r="AD730">
        <v>2.5499999999999998</v>
      </c>
      <c r="AE730">
        <v>7.72</v>
      </c>
      <c r="AG730" t="str" cm="1">
        <f t="array" ref="AG730:AH730">_xlfn.TEXTSPLIT(AC731," ")</f>
        <v>26.10.2023</v>
      </c>
      <c r="AH730" t="str">
        <v>12:10:13</v>
      </c>
      <c r="AI730">
        <f t="shared" si="186"/>
        <v>12.116666666666848</v>
      </c>
      <c r="AJ730">
        <f t="shared" si="180"/>
        <v>3.1899999999999995</v>
      </c>
      <c r="AK730">
        <f t="shared" si="181"/>
        <v>2.5499999999999998</v>
      </c>
      <c r="AL730">
        <f t="shared" si="174"/>
        <v>0.3025000000000001</v>
      </c>
      <c r="AN730" t="s">
        <v>1977</v>
      </c>
      <c r="AO730">
        <v>2.1</v>
      </c>
      <c r="AP730">
        <v>69.98</v>
      </c>
      <c r="AR730" t="str" cm="1">
        <f t="array" ref="AR730:AS730">_xlfn.TEXTSPLIT(AN730," ")</f>
        <v>26.10.2023</v>
      </c>
      <c r="AS730" t="str">
        <v>12:09:13</v>
      </c>
      <c r="AT730">
        <f t="shared" si="187"/>
        <v>12.116666666666848</v>
      </c>
      <c r="AU730">
        <f t="shared" si="182"/>
        <v>8.6700000000000017</v>
      </c>
      <c r="AV730">
        <f t="shared" si="183"/>
        <v>2.1</v>
      </c>
      <c r="AW730">
        <f t="shared" si="175"/>
        <v>0.6399999999999999</v>
      </c>
    </row>
    <row r="731" spans="1:49" x14ac:dyDescent="0.25">
      <c r="A731" t="s">
        <v>1978</v>
      </c>
      <c r="B731">
        <v>1.8</v>
      </c>
      <c r="C731">
        <v>20.32</v>
      </c>
      <c r="E731" t="s">
        <v>1978</v>
      </c>
      <c r="F731">
        <v>1.65</v>
      </c>
      <c r="G731">
        <v>88.26</v>
      </c>
      <c r="I731" t="str" cm="1">
        <f t="array" ref="I731:J731">_xlfn.TEXTSPLIT(A731," ")</f>
        <v>27.10.2023</v>
      </c>
      <c r="J731" t="str">
        <v>12:10:12</v>
      </c>
      <c r="K731">
        <f t="shared" si="184"/>
        <v>12.133333333333516</v>
      </c>
      <c r="L731">
        <f t="shared" si="177"/>
        <v>6</v>
      </c>
      <c r="M731">
        <f t="shared" si="178"/>
        <v>1.8</v>
      </c>
      <c r="N731">
        <f t="shared" si="172"/>
        <v>0.82000000000000006</v>
      </c>
      <c r="Q731" t="str" cm="1">
        <f t="array" ref="Q731:R731">_xlfn.TEXTSPLIT(E731," ")</f>
        <v>27.10.2023</v>
      </c>
      <c r="R731" t="str">
        <v>12:10:12</v>
      </c>
      <c r="S731">
        <f t="shared" si="185"/>
        <v>12.133333333333516</v>
      </c>
      <c r="T731">
        <f t="shared" si="176"/>
        <v>9.6600000000000108</v>
      </c>
      <c r="U731">
        <f t="shared" si="179"/>
        <v>1.65</v>
      </c>
      <c r="V731">
        <f t="shared" si="173"/>
        <v>1.165</v>
      </c>
      <c r="AC731" t="s">
        <v>1979</v>
      </c>
      <c r="AD731">
        <v>1.8</v>
      </c>
      <c r="AE731">
        <v>7.75</v>
      </c>
      <c r="AG731" t="str" cm="1">
        <f t="array" ref="AG731:AH731">_xlfn.TEXTSPLIT(AC732," ")</f>
        <v>26.10.2023</v>
      </c>
      <c r="AH731" t="str">
        <v>12:11:13</v>
      </c>
      <c r="AI731">
        <f t="shared" si="186"/>
        <v>12.133333333333516</v>
      </c>
      <c r="AJ731">
        <f t="shared" si="180"/>
        <v>3.2199999999999998</v>
      </c>
      <c r="AK731">
        <f t="shared" si="181"/>
        <v>1.8</v>
      </c>
      <c r="AL731">
        <f t="shared" si="174"/>
        <v>0.2975000000000001</v>
      </c>
      <c r="AN731" t="s">
        <v>1979</v>
      </c>
      <c r="AO731">
        <v>1.2</v>
      </c>
      <c r="AP731">
        <v>70</v>
      </c>
      <c r="AR731" t="str" cm="1">
        <f t="array" ref="AR731:AS731">_xlfn.TEXTSPLIT(AN731," ")</f>
        <v>26.10.2023</v>
      </c>
      <c r="AS731" t="str">
        <v>12:10:13</v>
      </c>
      <c r="AT731">
        <f t="shared" si="187"/>
        <v>12.133333333333516</v>
      </c>
      <c r="AU731">
        <f t="shared" si="182"/>
        <v>8.6899999999999977</v>
      </c>
      <c r="AV731">
        <f t="shared" si="183"/>
        <v>1.2</v>
      </c>
      <c r="AW731">
        <f t="shared" si="175"/>
        <v>0.63749999999999984</v>
      </c>
    </row>
    <row r="732" spans="1:49" x14ac:dyDescent="0.25">
      <c r="A732" t="s">
        <v>1980</v>
      </c>
      <c r="B732">
        <v>1.5</v>
      </c>
      <c r="C732">
        <v>20.350000000000001</v>
      </c>
      <c r="E732" t="s">
        <v>1980</v>
      </c>
      <c r="F732">
        <v>1.95</v>
      </c>
      <c r="G732">
        <v>88.29</v>
      </c>
      <c r="I732" t="str" cm="1">
        <f t="array" ref="I732:J732">_xlfn.TEXTSPLIT(A732," ")</f>
        <v>27.10.2023</v>
      </c>
      <c r="J732" t="str">
        <v>12:11:12</v>
      </c>
      <c r="K732">
        <f t="shared" si="184"/>
        <v>12.150000000000183</v>
      </c>
      <c r="L732">
        <f t="shared" si="177"/>
        <v>6.0300000000000011</v>
      </c>
      <c r="M732">
        <f t="shared" si="178"/>
        <v>1.5</v>
      </c>
      <c r="N732">
        <f t="shared" si="172"/>
        <v>0.79000000000000015</v>
      </c>
      <c r="Q732" t="str" cm="1">
        <f t="array" ref="Q732:R732">_xlfn.TEXTSPLIT(E732," ")</f>
        <v>27.10.2023</v>
      </c>
      <c r="R732" t="str">
        <v>12:11:12</v>
      </c>
      <c r="S732">
        <f t="shared" si="185"/>
        <v>12.150000000000183</v>
      </c>
      <c r="T732">
        <f t="shared" si="176"/>
        <v>9.6900000000000119</v>
      </c>
      <c r="U732">
        <f t="shared" si="179"/>
        <v>1.95</v>
      </c>
      <c r="V732">
        <f t="shared" si="173"/>
        <v>1.1675000000000002</v>
      </c>
      <c r="AC732" t="s">
        <v>1981</v>
      </c>
      <c r="AD732">
        <v>0.9</v>
      </c>
      <c r="AE732">
        <v>7.77</v>
      </c>
      <c r="AG732" t="str" cm="1">
        <f t="array" ref="AG732:AH732">_xlfn.TEXTSPLIT(AC733," ")</f>
        <v>26.10.2023</v>
      </c>
      <c r="AH732" t="str">
        <v>12:12:13</v>
      </c>
      <c r="AI732">
        <f t="shared" si="186"/>
        <v>12.150000000000183</v>
      </c>
      <c r="AJ732">
        <f t="shared" si="180"/>
        <v>3.2399999999999993</v>
      </c>
      <c r="AK732">
        <f t="shared" si="181"/>
        <v>0.9</v>
      </c>
      <c r="AL732">
        <f t="shared" si="174"/>
        <v>0.28750000000000003</v>
      </c>
      <c r="AN732" t="s">
        <v>1981</v>
      </c>
      <c r="AO732">
        <v>1.2</v>
      </c>
      <c r="AP732">
        <v>70.02</v>
      </c>
      <c r="AR732" t="str" cm="1">
        <f t="array" ref="AR732:AS732">_xlfn.TEXTSPLIT(AN732," ")</f>
        <v>26.10.2023</v>
      </c>
      <c r="AS732" t="str">
        <v>12:11:13</v>
      </c>
      <c r="AT732">
        <f t="shared" si="187"/>
        <v>12.150000000000183</v>
      </c>
      <c r="AU732">
        <f t="shared" si="182"/>
        <v>8.7099999999999937</v>
      </c>
      <c r="AV732">
        <f t="shared" si="183"/>
        <v>1.2</v>
      </c>
      <c r="AW732">
        <f t="shared" si="175"/>
        <v>0.64249999999999996</v>
      </c>
    </row>
    <row r="733" spans="1:49" x14ac:dyDescent="0.25">
      <c r="A733" t="s">
        <v>1982</v>
      </c>
      <c r="B733">
        <v>1.35</v>
      </c>
      <c r="C733">
        <v>20.37</v>
      </c>
      <c r="E733" t="s">
        <v>1982</v>
      </c>
      <c r="F733">
        <v>1.5</v>
      </c>
      <c r="G733">
        <v>88.31</v>
      </c>
      <c r="I733" t="str" cm="1">
        <f t="array" ref="I733:J733">_xlfn.TEXTSPLIT(A733," ")</f>
        <v>27.10.2023</v>
      </c>
      <c r="J733" t="str">
        <v>12:12:12</v>
      </c>
      <c r="K733">
        <f t="shared" si="184"/>
        <v>12.166666666666851</v>
      </c>
      <c r="L733">
        <f t="shared" si="177"/>
        <v>6.0500000000000007</v>
      </c>
      <c r="M733">
        <f t="shared" si="178"/>
        <v>1.35</v>
      </c>
      <c r="N733">
        <f t="shared" si="172"/>
        <v>0.77249999999999985</v>
      </c>
      <c r="Q733" t="str" cm="1">
        <f t="array" ref="Q733:R733">_xlfn.TEXTSPLIT(E733," ")</f>
        <v>27.10.2023</v>
      </c>
      <c r="R733" t="str">
        <v>12:12:12</v>
      </c>
      <c r="S733">
        <f t="shared" si="185"/>
        <v>12.166666666666851</v>
      </c>
      <c r="T733">
        <f t="shared" si="176"/>
        <v>9.710000000000008</v>
      </c>
      <c r="U733">
        <f t="shared" si="179"/>
        <v>1.5</v>
      </c>
      <c r="V733">
        <f t="shared" si="173"/>
        <v>1.1550000000000002</v>
      </c>
      <c r="AC733" t="s">
        <v>1983</v>
      </c>
      <c r="AD733">
        <v>0.6</v>
      </c>
      <c r="AE733">
        <v>7.78</v>
      </c>
      <c r="AG733" t="str" cm="1">
        <f t="array" ref="AG733:AH733">_xlfn.TEXTSPLIT(AC734," ")</f>
        <v>26.10.2023</v>
      </c>
      <c r="AH733" t="str">
        <v>12:13:14</v>
      </c>
      <c r="AI733">
        <f t="shared" si="186"/>
        <v>12.166666666666851</v>
      </c>
      <c r="AJ733">
        <f t="shared" si="180"/>
        <v>3.25</v>
      </c>
      <c r="AK733">
        <f t="shared" si="181"/>
        <v>0.6</v>
      </c>
      <c r="AL733">
        <f t="shared" si="174"/>
        <v>0.28250000000000003</v>
      </c>
      <c r="AN733" t="s">
        <v>1983</v>
      </c>
      <c r="AO733">
        <v>0.9</v>
      </c>
      <c r="AP733">
        <v>70.03</v>
      </c>
      <c r="AR733" t="str" cm="1">
        <f t="array" ref="AR733:AS733">_xlfn.TEXTSPLIT(AN733," ")</f>
        <v>26.10.2023</v>
      </c>
      <c r="AS733" t="str">
        <v>12:12:13</v>
      </c>
      <c r="AT733">
        <f t="shared" si="187"/>
        <v>12.166666666666851</v>
      </c>
      <c r="AU733">
        <f t="shared" si="182"/>
        <v>8.7199999999999989</v>
      </c>
      <c r="AV733">
        <f t="shared" si="183"/>
        <v>0.9</v>
      </c>
      <c r="AW733">
        <f t="shared" si="175"/>
        <v>0.64249999999999996</v>
      </c>
    </row>
    <row r="734" spans="1:49" x14ac:dyDescent="0.25">
      <c r="A734" t="s">
        <v>1984</v>
      </c>
      <c r="B734">
        <v>0.9</v>
      </c>
      <c r="C734">
        <v>20.38</v>
      </c>
      <c r="E734" t="s">
        <v>1984</v>
      </c>
      <c r="F734">
        <v>0.9</v>
      </c>
      <c r="G734">
        <v>88.33</v>
      </c>
      <c r="I734" t="str" cm="1">
        <f t="array" ref="I734:J734">_xlfn.TEXTSPLIT(A734," ")</f>
        <v>27.10.2023</v>
      </c>
      <c r="J734" t="str">
        <v>12:13:12</v>
      </c>
      <c r="K734">
        <f t="shared" si="184"/>
        <v>12.183333333333518</v>
      </c>
      <c r="L734">
        <f t="shared" si="177"/>
        <v>6.0599999999999987</v>
      </c>
      <c r="M734">
        <f t="shared" si="178"/>
        <v>0.9</v>
      </c>
      <c r="N734">
        <f t="shared" si="172"/>
        <v>0.755</v>
      </c>
      <c r="Q734" t="str" cm="1">
        <f t="array" ref="Q734:R734">_xlfn.TEXTSPLIT(E734," ")</f>
        <v>27.10.2023</v>
      </c>
      <c r="R734" t="str">
        <v>12:13:12</v>
      </c>
      <c r="S734">
        <f t="shared" si="185"/>
        <v>12.183333333333518</v>
      </c>
      <c r="T734">
        <f t="shared" si="176"/>
        <v>9.730000000000004</v>
      </c>
      <c r="U734">
        <f t="shared" si="179"/>
        <v>0.9</v>
      </c>
      <c r="V734">
        <f t="shared" si="173"/>
        <v>1.1325000000000001</v>
      </c>
      <c r="AC734" t="s">
        <v>1985</v>
      </c>
      <c r="AD734">
        <v>0.75</v>
      </c>
      <c r="AE734">
        <v>7.78</v>
      </c>
      <c r="AG734" t="str" cm="1">
        <f t="array" ref="AG734:AH734">_xlfn.TEXTSPLIT(AC735," ")</f>
        <v>26.10.2023</v>
      </c>
      <c r="AH734" t="str">
        <v>12:14:14</v>
      </c>
      <c r="AI734">
        <f t="shared" si="186"/>
        <v>12.183333333333518</v>
      </c>
      <c r="AJ734">
        <f t="shared" si="180"/>
        <v>3.25</v>
      </c>
      <c r="AK734">
        <f t="shared" si="181"/>
        <v>0.75</v>
      </c>
      <c r="AL734">
        <f t="shared" si="174"/>
        <v>0.28750000000000003</v>
      </c>
      <c r="AN734" t="s">
        <v>1985</v>
      </c>
      <c r="AO734">
        <v>1.05</v>
      </c>
      <c r="AP734">
        <v>70.05</v>
      </c>
      <c r="AR734" t="str" cm="1">
        <f t="array" ref="AR734:AS734">_xlfn.TEXTSPLIT(AN734," ")</f>
        <v>26.10.2023</v>
      </c>
      <c r="AS734" t="str">
        <v>12:13:14</v>
      </c>
      <c r="AT734">
        <f t="shared" si="187"/>
        <v>12.183333333333518</v>
      </c>
      <c r="AU734">
        <f t="shared" si="182"/>
        <v>8.7399999999999949</v>
      </c>
      <c r="AV734">
        <f t="shared" si="183"/>
        <v>1.05</v>
      </c>
      <c r="AW734">
        <f t="shared" si="175"/>
        <v>0.64749999999999985</v>
      </c>
    </row>
    <row r="735" spans="1:49" x14ac:dyDescent="0.25">
      <c r="A735" t="s">
        <v>1986</v>
      </c>
      <c r="B735">
        <v>0.9</v>
      </c>
      <c r="C735">
        <v>20.399999999999999</v>
      </c>
      <c r="E735" t="s">
        <v>1986</v>
      </c>
      <c r="F735">
        <v>0.9</v>
      </c>
      <c r="G735">
        <v>88.35</v>
      </c>
      <c r="I735" t="str" cm="1">
        <f t="array" ref="I735:J735">_xlfn.TEXTSPLIT(A735," ")</f>
        <v>27.10.2023</v>
      </c>
      <c r="J735" t="str">
        <v>12:14:13</v>
      </c>
      <c r="K735">
        <f t="shared" si="184"/>
        <v>12.200000000000186</v>
      </c>
      <c r="L735">
        <f t="shared" si="177"/>
        <v>6.0799999999999983</v>
      </c>
      <c r="M735">
        <f t="shared" si="178"/>
        <v>0.9</v>
      </c>
      <c r="N735">
        <f t="shared" si="172"/>
        <v>0.745</v>
      </c>
      <c r="Q735" t="str" cm="1">
        <f t="array" ref="Q735:R735">_xlfn.TEXTSPLIT(E735," ")</f>
        <v>27.10.2023</v>
      </c>
      <c r="R735" t="str">
        <v>12:14:13</v>
      </c>
      <c r="S735">
        <f t="shared" si="185"/>
        <v>12.200000000000186</v>
      </c>
      <c r="T735">
        <f t="shared" si="176"/>
        <v>9.75</v>
      </c>
      <c r="U735">
        <f t="shared" si="179"/>
        <v>0.9</v>
      </c>
      <c r="V735">
        <f t="shared" si="173"/>
        <v>1.1275000000000002</v>
      </c>
      <c r="AC735" t="s">
        <v>1987</v>
      </c>
      <c r="AD735">
        <v>0.45</v>
      </c>
      <c r="AE735">
        <v>7.79</v>
      </c>
      <c r="AG735" t="str" cm="1">
        <f t="array" ref="AG735:AH735">_xlfn.TEXTSPLIT(AC736," ")</f>
        <v>26.10.2023</v>
      </c>
      <c r="AH735" t="str">
        <v>12:15:14</v>
      </c>
      <c r="AI735">
        <f t="shared" si="186"/>
        <v>12.200000000000186</v>
      </c>
      <c r="AJ735">
        <f t="shared" si="180"/>
        <v>3.26</v>
      </c>
      <c r="AK735">
        <f t="shared" si="181"/>
        <v>0.45</v>
      </c>
      <c r="AL735">
        <f t="shared" si="174"/>
        <v>0.29000000000000004</v>
      </c>
      <c r="AN735" t="s">
        <v>1987</v>
      </c>
      <c r="AO735">
        <v>1.2</v>
      </c>
      <c r="AP735">
        <v>70.069999999999993</v>
      </c>
      <c r="AR735" t="str" cm="1">
        <f t="array" ref="AR735:AS735">_xlfn.TEXTSPLIT(AN735," ")</f>
        <v>26.10.2023</v>
      </c>
      <c r="AS735" t="str">
        <v>12:14:14</v>
      </c>
      <c r="AT735">
        <f t="shared" si="187"/>
        <v>12.200000000000186</v>
      </c>
      <c r="AU735">
        <f t="shared" si="182"/>
        <v>8.7599999999999909</v>
      </c>
      <c r="AV735">
        <f t="shared" si="183"/>
        <v>1.2</v>
      </c>
      <c r="AW735">
        <f t="shared" si="175"/>
        <v>0.65499999999999992</v>
      </c>
    </row>
    <row r="736" spans="1:49" x14ac:dyDescent="0.25">
      <c r="A736" t="s">
        <v>1988</v>
      </c>
      <c r="B736">
        <v>0.45</v>
      </c>
      <c r="C736">
        <v>20.399999999999999</v>
      </c>
      <c r="E736" t="s">
        <v>1988</v>
      </c>
      <c r="F736">
        <v>1.05</v>
      </c>
      <c r="G736">
        <v>88.36</v>
      </c>
      <c r="I736" t="str" cm="1">
        <f t="array" ref="I736:J736">_xlfn.TEXTSPLIT(A736," ")</f>
        <v>27.10.2023</v>
      </c>
      <c r="J736" t="str">
        <v>12:15:13</v>
      </c>
      <c r="K736">
        <f t="shared" si="184"/>
        <v>12.216666666666853</v>
      </c>
      <c r="L736">
        <f t="shared" si="177"/>
        <v>6.0799999999999983</v>
      </c>
      <c r="M736">
        <f t="shared" si="178"/>
        <v>0.45</v>
      </c>
      <c r="N736">
        <f t="shared" si="172"/>
        <v>0.73249999999999993</v>
      </c>
      <c r="Q736" t="str" cm="1">
        <f t="array" ref="Q736:R736">_xlfn.TEXTSPLIT(E736," ")</f>
        <v>27.10.2023</v>
      </c>
      <c r="R736" t="str">
        <v>12:15:13</v>
      </c>
      <c r="S736">
        <f t="shared" si="185"/>
        <v>12.216666666666853</v>
      </c>
      <c r="T736">
        <f t="shared" si="176"/>
        <v>9.7600000000000051</v>
      </c>
      <c r="U736">
        <f t="shared" si="179"/>
        <v>1.05</v>
      </c>
      <c r="V736">
        <f t="shared" si="173"/>
        <v>1.1250000000000002</v>
      </c>
      <c r="AC736" t="s">
        <v>1989</v>
      </c>
      <c r="AD736">
        <v>0.45</v>
      </c>
      <c r="AE736">
        <v>7.81</v>
      </c>
      <c r="AG736" t="str" cm="1">
        <f t="array" ref="AG736:AH736">_xlfn.TEXTSPLIT(AC737," ")</f>
        <v>26.10.2023</v>
      </c>
      <c r="AH736" t="str">
        <v>12:16:14</v>
      </c>
      <c r="AI736">
        <f t="shared" si="186"/>
        <v>12.216666666666853</v>
      </c>
      <c r="AJ736">
        <f t="shared" si="180"/>
        <v>3.2799999999999994</v>
      </c>
      <c r="AK736">
        <f t="shared" si="181"/>
        <v>0.45</v>
      </c>
      <c r="AL736">
        <f t="shared" si="174"/>
        <v>0.29250000000000004</v>
      </c>
      <c r="AN736" t="s">
        <v>1989</v>
      </c>
      <c r="AO736">
        <v>0.75</v>
      </c>
      <c r="AP736">
        <v>70.08</v>
      </c>
      <c r="AR736" t="str" cm="1">
        <f t="array" ref="AR736:AS736">_xlfn.TEXTSPLIT(AN736," ")</f>
        <v>26.10.2023</v>
      </c>
      <c r="AS736" t="str">
        <v>12:15:14</v>
      </c>
      <c r="AT736">
        <f t="shared" si="187"/>
        <v>12.216666666666853</v>
      </c>
      <c r="AU736">
        <f t="shared" si="182"/>
        <v>8.769999999999996</v>
      </c>
      <c r="AV736">
        <f t="shared" si="183"/>
        <v>0.75</v>
      </c>
      <c r="AW736">
        <f t="shared" si="175"/>
        <v>0.64749999999999985</v>
      </c>
    </row>
    <row r="737" spans="1:49" x14ac:dyDescent="0.25">
      <c r="A737" t="s">
        <v>1990</v>
      </c>
      <c r="B737">
        <v>0.6</v>
      </c>
      <c r="C737">
        <v>20.41</v>
      </c>
      <c r="E737" t="s">
        <v>1990</v>
      </c>
      <c r="F737">
        <v>1.35</v>
      </c>
      <c r="G737">
        <v>88.39</v>
      </c>
      <c r="I737" t="str" cm="1">
        <f t="array" ref="I737:J737">_xlfn.TEXTSPLIT(A737," ")</f>
        <v>27.10.2023</v>
      </c>
      <c r="J737" t="str">
        <v>12:16:13</v>
      </c>
      <c r="K737">
        <f t="shared" si="184"/>
        <v>12.233333333333521</v>
      </c>
      <c r="L737">
        <f t="shared" si="177"/>
        <v>6.09</v>
      </c>
      <c r="M737">
        <f t="shared" si="178"/>
        <v>0.6</v>
      </c>
      <c r="N737">
        <f t="shared" si="172"/>
        <v>0.72499999999999998</v>
      </c>
      <c r="Q737" t="str" cm="1">
        <f t="array" ref="Q737:R737">_xlfn.TEXTSPLIT(E737," ")</f>
        <v>27.10.2023</v>
      </c>
      <c r="R737" t="str">
        <v>12:16:13</v>
      </c>
      <c r="S737">
        <f t="shared" si="185"/>
        <v>12.233333333333521</v>
      </c>
      <c r="T737">
        <f t="shared" si="176"/>
        <v>9.7900000000000063</v>
      </c>
      <c r="U737">
        <f t="shared" si="179"/>
        <v>1.35</v>
      </c>
      <c r="V737">
        <f t="shared" si="173"/>
        <v>1.1199999999999999</v>
      </c>
      <c r="AC737" t="s">
        <v>1991</v>
      </c>
      <c r="AD737">
        <v>0.75</v>
      </c>
      <c r="AE737">
        <v>7.81</v>
      </c>
      <c r="AG737" t="str" cm="1">
        <f t="array" ref="AG737:AH737">_xlfn.TEXTSPLIT(AC738," ")</f>
        <v>26.10.2023</v>
      </c>
      <c r="AH737" t="str">
        <v>12:17:14</v>
      </c>
      <c r="AI737">
        <f t="shared" si="186"/>
        <v>12.233333333333521</v>
      </c>
      <c r="AJ737">
        <f t="shared" si="180"/>
        <v>3.2799999999999994</v>
      </c>
      <c r="AK737">
        <f t="shared" si="181"/>
        <v>0.75</v>
      </c>
      <c r="AL737">
        <f t="shared" si="174"/>
        <v>0.29750000000000004</v>
      </c>
      <c r="AN737" t="s">
        <v>1991</v>
      </c>
      <c r="AO737">
        <v>0.75</v>
      </c>
      <c r="AP737">
        <v>70.099999999999994</v>
      </c>
      <c r="AR737" t="str" cm="1">
        <f t="array" ref="AR737:AS737">_xlfn.TEXTSPLIT(AN737," ")</f>
        <v>26.10.2023</v>
      </c>
      <c r="AS737" t="str">
        <v>12:16:14</v>
      </c>
      <c r="AT737">
        <f t="shared" si="187"/>
        <v>12.233333333333521</v>
      </c>
      <c r="AU737">
        <f t="shared" si="182"/>
        <v>8.789999999999992</v>
      </c>
      <c r="AV737">
        <f t="shared" si="183"/>
        <v>0.75</v>
      </c>
      <c r="AW737">
        <f t="shared" si="175"/>
        <v>0.64249999999999996</v>
      </c>
    </row>
    <row r="738" spans="1:49" x14ac:dyDescent="0.25">
      <c r="A738" t="s">
        <v>1992</v>
      </c>
      <c r="B738">
        <v>0.9</v>
      </c>
      <c r="C738">
        <v>20.43</v>
      </c>
      <c r="E738" t="s">
        <v>1992</v>
      </c>
      <c r="F738">
        <v>1.95</v>
      </c>
      <c r="G738">
        <v>88.42</v>
      </c>
      <c r="I738" t="str" cm="1">
        <f t="array" ref="I738:J738">_xlfn.TEXTSPLIT(A738," ")</f>
        <v>27.10.2023</v>
      </c>
      <c r="J738" t="str">
        <v>12:17:13</v>
      </c>
      <c r="K738">
        <f t="shared" si="184"/>
        <v>12.250000000000188</v>
      </c>
      <c r="L738">
        <f t="shared" si="177"/>
        <v>6.1099999999999994</v>
      </c>
      <c r="M738">
        <f t="shared" si="178"/>
        <v>0.9</v>
      </c>
      <c r="N738">
        <f t="shared" si="172"/>
        <v>0.72</v>
      </c>
      <c r="Q738" t="str" cm="1">
        <f t="array" ref="Q738:R738">_xlfn.TEXTSPLIT(E738," ")</f>
        <v>27.10.2023</v>
      </c>
      <c r="R738" t="str">
        <v>12:17:13</v>
      </c>
      <c r="S738">
        <f t="shared" si="185"/>
        <v>12.250000000000188</v>
      </c>
      <c r="T738">
        <f t="shared" si="176"/>
        <v>9.8200000000000074</v>
      </c>
      <c r="U738">
        <f t="shared" si="179"/>
        <v>1.95</v>
      </c>
      <c r="V738">
        <f t="shared" si="173"/>
        <v>1.125</v>
      </c>
      <c r="AC738" t="s">
        <v>1993</v>
      </c>
      <c r="AD738">
        <v>0</v>
      </c>
      <c r="AE738">
        <v>7.81</v>
      </c>
      <c r="AG738" t="str" cm="1">
        <f t="array" ref="AG738:AH738">_xlfn.TEXTSPLIT(AC739," ")</f>
        <v>26.10.2023</v>
      </c>
      <c r="AH738" t="str">
        <v>12:18:14</v>
      </c>
      <c r="AI738">
        <f t="shared" si="186"/>
        <v>12.250000000000188</v>
      </c>
      <c r="AJ738">
        <f t="shared" si="180"/>
        <v>3.2799999999999994</v>
      </c>
      <c r="AK738">
        <f t="shared" si="181"/>
        <v>0</v>
      </c>
      <c r="AL738">
        <f t="shared" si="174"/>
        <v>0.29499999999999998</v>
      </c>
      <c r="AN738" t="s">
        <v>1993</v>
      </c>
      <c r="AO738">
        <v>0.45</v>
      </c>
      <c r="AP738">
        <v>70.099999999999994</v>
      </c>
      <c r="AR738" t="str" cm="1">
        <f t="array" ref="AR738:AS738">_xlfn.TEXTSPLIT(AN738," ")</f>
        <v>26.10.2023</v>
      </c>
      <c r="AS738" t="str">
        <v>12:17:14</v>
      </c>
      <c r="AT738">
        <f t="shared" si="187"/>
        <v>12.250000000000188</v>
      </c>
      <c r="AU738">
        <f t="shared" si="182"/>
        <v>8.789999999999992</v>
      </c>
      <c r="AV738">
        <f t="shared" si="183"/>
        <v>0.45</v>
      </c>
      <c r="AW738">
        <f t="shared" si="175"/>
        <v>0.64</v>
      </c>
    </row>
    <row r="739" spans="1:49" x14ac:dyDescent="0.25">
      <c r="A739" t="s">
        <v>1994</v>
      </c>
      <c r="B739">
        <v>0.75</v>
      </c>
      <c r="C739">
        <v>20.440000000000001</v>
      </c>
      <c r="E739" t="s">
        <v>1994</v>
      </c>
      <c r="F739">
        <v>1.5</v>
      </c>
      <c r="G739">
        <v>88.44</v>
      </c>
      <c r="I739" t="str" cm="1">
        <f t="array" ref="I739:J739">_xlfn.TEXTSPLIT(A739," ")</f>
        <v>27.10.2023</v>
      </c>
      <c r="J739" t="str">
        <v>12:18:13</v>
      </c>
      <c r="K739">
        <f t="shared" si="184"/>
        <v>12.266666666666856</v>
      </c>
      <c r="L739">
        <f t="shared" si="177"/>
        <v>6.120000000000001</v>
      </c>
      <c r="M739">
        <f t="shared" si="178"/>
        <v>0.75</v>
      </c>
      <c r="N739">
        <f t="shared" si="172"/>
        <v>0.71249999999999991</v>
      </c>
      <c r="Q739" t="str" cm="1">
        <f t="array" ref="Q739:R739">_xlfn.TEXTSPLIT(E739," ")</f>
        <v>27.10.2023</v>
      </c>
      <c r="R739" t="str">
        <v>12:18:13</v>
      </c>
      <c r="S739">
        <f t="shared" si="185"/>
        <v>12.266666666666856</v>
      </c>
      <c r="T739">
        <f t="shared" si="176"/>
        <v>9.8400000000000034</v>
      </c>
      <c r="U739">
        <f t="shared" si="179"/>
        <v>1.5</v>
      </c>
      <c r="V739">
        <f t="shared" si="173"/>
        <v>1.1224999999999998</v>
      </c>
      <c r="AC739" t="s">
        <v>1995</v>
      </c>
      <c r="AD739">
        <v>0</v>
      </c>
      <c r="AE739">
        <v>7.82</v>
      </c>
      <c r="AG739" t="str" cm="1">
        <f t="array" ref="AG739:AH739">_xlfn.TEXTSPLIT(AC740," ")</f>
        <v>26.10.2023</v>
      </c>
      <c r="AH739" t="str">
        <v>12:19:15</v>
      </c>
      <c r="AI739">
        <f t="shared" si="186"/>
        <v>12.266666666666856</v>
      </c>
      <c r="AJ739">
        <f t="shared" si="180"/>
        <v>3.29</v>
      </c>
      <c r="AK739">
        <f t="shared" si="181"/>
        <v>0</v>
      </c>
      <c r="AL739">
        <f t="shared" si="174"/>
        <v>0.29250000000000004</v>
      </c>
      <c r="AN739" t="s">
        <v>1995</v>
      </c>
      <c r="AO739">
        <v>0.45</v>
      </c>
      <c r="AP739">
        <v>70.11</v>
      </c>
      <c r="AR739" t="str" cm="1">
        <f t="array" ref="AR739:AS739">_xlfn.TEXTSPLIT(AN739," ")</f>
        <v>26.10.2023</v>
      </c>
      <c r="AS739" t="str">
        <v>12:18:14</v>
      </c>
      <c r="AT739">
        <f t="shared" si="187"/>
        <v>12.266666666666856</v>
      </c>
      <c r="AU739">
        <f t="shared" si="182"/>
        <v>8.7999999999999972</v>
      </c>
      <c r="AV739">
        <f t="shared" si="183"/>
        <v>0.45</v>
      </c>
      <c r="AW739">
        <f t="shared" si="175"/>
        <v>0.6349999999999999</v>
      </c>
    </row>
    <row r="740" spans="1:49" x14ac:dyDescent="0.25">
      <c r="A740" t="s">
        <v>1996</v>
      </c>
      <c r="B740">
        <v>0.9</v>
      </c>
      <c r="C740">
        <v>20.46</v>
      </c>
      <c r="E740" t="s">
        <v>1996</v>
      </c>
      <c r="F740">
        <v>1.2</v>
      </c>
      <c r="G740">
        <v>88.46</v>
      </c>
      <c r="I740" t="str" cm="1">
        <f t="array" ref="I740:J740">_xlfn.TEXTSPLIT(A740," ")</f>
        <v>27.10.2023</v>
      </c>
      <c r="J740" t="str">
        <v>12:19:13</v>
      </c>
      <c r="K740">
        <f t="shared" si="184"/>
        <v>12.283333333333523</v>
      </c>
      <c r="L740">
        <f t="shared" si="177"/>
        <v>6.1400000000000006</v>
      </c>
      <c r="M740">
        <f t="shared" si="178"/>
        <v>0.9</v>
      </c>
      <c r="N740">
        <f t="shared" si="172"/>
        <v>0.71749999999999992</v>
      </c>
      <c r="Q740" t="str" cm="1">
        <f t="array" ref="Q740:R740">_xlfn.TEXTSPLIT(E740," ")</f>
        <v>27.10.2023</v>
      </c>
      <c r="R740" t="str">
        <v>12:19:13</v>
      </c>
      <c r="S740">
        <f t="shared" si="185"/>
        <v>12.283333333333523</v>
      </c>
      <c r="T740">
        <f t="shared" si="176"/>
        <v>9.86</v>
      </c>
      <c r="U740">
        <f t="shared" si="179"/>
        <v>1.2</v>
      </c>
      <c r="V740">
        <f t="shared" si="173"/>
        <v>1.1224999999999998</v>
      </c>
      <c r="AC740" t="s">
        <v>1997</v>
      </c>
      <c r="AD740">
        <v>0.3</v>
      </c>
      <c r="AE740">
        <v>7.82</v>
      </c>
      <c r="AG740" t="str" cm="1">
        <f t="array" ref="AG740:AH740">_xlfn.TEXTSPLIT(AC741," ")</f>
        <v>26.10.2023</v>
      </c>
      <c r="AH740" t="str">
        <v>12:20:15</v>
      </c>
      <c r="AI740">
        <f t="shared" si="186"/>
        <v>12.283333333333523</v>
      </c>
      <c r="AJ740">
        <f t="shared" si="180"/>
        <v>3.29</v>
      </c>
      <c r="AK740">
        <f t="shared" si="181"/>
        <v>0.3</v>
      </c>
      <c r="AL740">
        <f t="shared" si="174"/>
        <v>0.29500000000000004</v>
      </c>
      <c r="AN740" t="s">
        <v>1997</v>
      </c>
      <c r="AO740">
        <v>0.45</v>
      </c>
      <c r="AP740">
        <v>70.12</v>
      </c>
      <c r="AR740" t="str" cm="1">
        <f t="array" ref="AR740:AS740">_xlfn.TEXTSPLIT(AN740," ")</f>
        <v>26.10.2023</v>
      </c>
      <c r="AS740" t="str">
        <v>12:19:15</v>
      </c>
      <c r="AT740">
        <f t="shared" si="187"/>
        <v>12.283333333333523</v>
      </c>
      <c r="AU740">
        <f t="shared" si="182"/>
        <v>8.8100000000000023</v>
      </c>
      <c r="AV740">
        <f t="shared" si="183"/>
        <v>0.45</v>
      </c>
      <c r="AW740">
        <f t="shared" si="175"/>
        <v>0.63749999999999996</v>
      </c>
    </row>
    <row r="741" spans="1:49" x14ac:dyDescent="0.25">
      <c r="A741" t="s">
        <v>1998</v>
      </c>
      <c r="B741">
        <v>0.75</v>
      </c>
      <c r="C741">
        <v>20.47</v>
      </c>
      <c r="E741" t="s">
        <v>1998</v>
      </c>
      <c r="F741">
        <v>1.5</v>
      </c>
      <c r="G741">
        <v>88.49</v>
      </c>
      <c r="I741" t="str" cm="1">
        <f t="array" ref="I741:J741">_xlfn.TEXTSPLIT(A741," ")</f>
        <v>27.10.2023</v>
      </c>
      <c r="J741" t="str">
        <v>12:20:13</v>
      </c>
      <c r="K741">
        <f t="shared" si="184"/>
        <v>12.300000000000191</v>
      </c>
      <c r="L741">
        <f t="shared" si="177"/>
        <v>6.1499999999999986</v>
      </c>
      <c r="M741">
        <f t="shared" si="178"/>
        <v>0.75</v>
      </c>
      <c r="N741">
        <f t="shared" si="172"/>
        <v>0.70499999999999996</v>
      </c>
      <c r="Q741" t="str" cm="1">
        <f t="array" ref="Q741:R741">_xlfn.TEXTSPLIT(E741," ")</f>
        <v>27.10.2023</v>
      </c>
      <c r="R741" t="str">
        <v>12:20:13</v>
      </c>
      <c r="S741">
        <f t="shared" si="185"/>
        <v>12.300000000000191</v>
      </c>
      <c r="T741">
        <f t="shared" si="176"/>
        <v>9.89</v>
      </c>
      <c r="U741">
        <f t="shared" si="179"/>
        <v>1.5</v>
      </c>
      <c r="V741">
        <f t="shared" si="173"/>
        <v>1.1299999999999999</v>
      </c>
      <c r="AC741" t="s">
        <v>1999</v>
      </c>
      <c r="AD741">
        <v>0</v>
      </c>
      <c r="AE741">
        <v>7.82</v>
      </c>
      <c r="AG741" t="str" cm="1">
        <f t="array" ref="AG741:AH741">_xlfn.TEXTSPLIT(AC742," ")</f>
        <v>26.10.2023</v>
      </c>
      <c r="AH741" t="str">
        <v>12:21:15</v>
      </c>
      <c r="AI741">
        <f t="shared" si="186"/>
        <v>12.300000000000191</v>
      </c>
      <c r="AJ741">
        <f t="shared" si="180"/>
        <v>3.29</v>
      </c>
      <c r="AK741">
        <f t="shared" si="181"/>
        <v>0</v>
      </c>
      <c r="AL741">
        <f t="shared" si="174"/>
        <v>0.29250000000000004</v>
      </c>
      <c r="AN741" t="s">
        <v>1999</v>
      </c>
      <c r="AO741">
        <v>0.45</v>
      </c>
      <c r="AP741">
        <v>70.12</v>
      </c>
      <c r="AR741" t="str" cm="1">
        <f t="array" ref="AR741:AS741">_xlfn.TEXTSPLIT(AN741," ")</f>
        <v>26.10.2023</v>
      </c>
      <c r="AS741" t="str">
        <v>12:20:15</v>
      </c>
      <c r="AT741">
        <f t="shared" si="187"/>
        <v>12.300000000000191</v>
      </c>
      <c r="AU741">
        <f t="shared" si="182"/>
        <v>8.8100000000000023</v>
      </c>
      <c r="AV741">
        <f t="shared" si="183"/>
        <v>0.45</v>
      </c>
      <c r="AW741">
        <f t="shared" si="175"/>
        <v>0.63500000000000001</v>
      </c>
    </row>
    <row r="742" spans="1:49" x14ac:dyDescent="0.25">
      <c r="A742" t="s">
        <v>2000</v>
      </c>
      <c r="B742">
        <v>1.2</v>
      </c>
      <c r="C742">
        <v>20.49</v>
      </c>
      <c r="E742" t="s">
        <v>2000</v>
      </c>
      <c r="F742">
        <v>1.05</v>
      </c>
      <c r="G742">
        <v>88.5</v>
      </c>
      <c r="I742" t="str" cm="1">
        <f t="array" ref="I742:J742">_xlfn.TEXTSPLIT(A742," ")</f>
        <v>27.10.2023</v>
      </c>
      <c r="J742" t="str">
        <v>12:21:13</v>
      </c>
      <c r="K742">
        <f t="shared" si="184"/>
        <v>12.316666666666858</v>
      </c>
      <c r="L742">
        <f t="shared" si="177"/>
        <v>6.1699999999999982</v>
      </c>
      <c r="M742">
        <f t="shared" si="178"/>
        <v>1.2</v>
      </c>
      <c r="N742">
        <f t="shared" si="172"/>
        <v>0.71250000000000002</v>
      </c>
      <c r="Q742" t="str" cm="1">
        <f t="array" ref="Q742:R742">_xlfn.TEXTSPLIT(E742," ")</f>
        <v>27.10.2023</v>
      </c>
      <c r="R742" t="str">
        <v>12:21:13</v>
      </c>
      <c r="S742">
        <f t="shared" si="185"/>
        <v>12.316666666666858</v>
      </c>
      <c r="T742">
        <f t="shared" si="176"/>
        <v>9.9000000000000057</v>
      </c>
      <c r="U742">
        <f t="shared" si="179"/>
        <v>1.05</v>
      </c>
      <c r="V742">
        <f t="shared" si="173"/>
        <v>1.135</v>
      </c>
      <c r="AC742" t="s">
        <v>2001</v>
      </c>
      <c r="AD742">
        <v>0.15</v>
      </c>
      <c r="AE742">
        <v>7.82</v>
      </c>
      <c r="AG742" t="str" cm="1">
        <f t="array" ref="AG742:AH742">_xlfn.TEXTSPLIT(AC743," ")</f>
        <v>26.10.2023</v>
      </c>
      <c r="AH742" t="str">
        <v>12:22:15</v>
      </c>
      <c r="AI742">
        <f t="shared" si="186"/>
        <v>12.316666666666858</v>
      </c>
      <c r="AJ742">
        <f t="shared" si="180"/>
        <v>3.29</v>
      </c>
      <c r="AK742">
        <f t="shared" si="181"/>
        <v>0.15</v>
      </c>
      <c r="AL742">
        <f t="shared" si="174"/>
        <v>0.29499999999999998</v>
      </c>
      <c r="AN742" t="s">
        <v>2001</v>
      </c>
      <c r="AO742">
        <v>0.45</v>
      </c>
      <c r="AP742">
        <v>70.13</v>
      </c>
      <c r="AR742" t="str" cm="1">
        <f t="array" ref="AR742:AS742">_xlfn.TEXTSPLIT(AN742," ")</f>
        <v>26.10.2023</v>
      </c>
      <c r="AS742" t="str">
        <v>12:21:15</v>
      </c>
      <c r="AT742">
        <f t="shared" si="187"/>
        <v>12.316666666666858</v>
      </c>
      <c r="AU742">
        <f t="shared" si="182"/>
        <v>8.8199999999999932</v>
      </c>
      <c r="AV742">
        <f t="shared" si="183"/>
        <v>0.45</v>
      </c>
      <c r="AW742">
        <f t="shared" si="175"/>
        <v>0.63500000000000012</v>
      </c>
    </row>
    <row r="743" spans="1:49" x14ac:dyDescent="0.25">
      <c r="A743" t="s">
        <v>2002</v>
      </c>
      <c r="B743">
        <v>1.05</v>
      </c>
      <c r="C743">
        <v>20.5</v>
      </c>
      <c r="E743" t="s">
        <v>2002</v>
      </c>
      <c r="F743">
        <v>0.6</v>
      </c>
      <c r="G743">
        <v>88.51</v>
      </c>
      <c r="I743" t="str" cm="1">
        <f t="array" ref="I743:J743">_xlfn.TEXTSPLIT(A743," ")</f>
        <v>27.10.2023</v>
      </c>
      <c r="J743" t="str">
        <v>12:22:14</v>
      </c>
      <c r="K743">
        <f t="shared" si="184"/>
        <v>12.333333333333526</v>
      </c>
      <c r="L743">
        <f t="shared" si="177"/>
        <v>6.18</v>
      </c>
      <c r="M743">
        <f t="shared" si="178"/>
        <v>1.05</v>
      </c>
      <c r="N743">
        <f t="shared" si="172"/>
        <v>0.71749999999999992</v>
      </c>
      <c r="Q743" t="str" cm="1">
        <f t="array" ref="Q743:R743">_xlfn.TEXTSPLIT(E743," ")</f>
        <v>27.10.2023</v>
      </c>
      <c r="R743" t="str">
        <v>12:22:14</v>
      </c>
      <c r="S743">
        <f t="shared" si="185"/>
        <v>12.333333333333526</v>
      </c>
      <c r="T743">
        <f t="shared" si="176"/>
        <v>9.9100000000000108</v>
      </c>
      <c r="U743">
        <f t="shared" si="179"/>
        <v>0.6</v>
      </c>
      <c r="V743">
        <f t="shared" si="173"/>
        <v>1.135</v>
      </c>
      <c r="AC743" t="s">
        <v>2003</v>
      </c>
      <c r="AD743">
        <v>0.45</v>
      </c>
      <c r="AE743">
        <v>7.83</v>
      </c>
      <c r="AG743" t="str" cm="1">
        <f t="array" ref="AG743:AH743">_xlfn.TEXTSPLIT(AC744," ")</f>
        <v>26.10.2023</v>
      </c>
      <c r="AH743" t="str">
        <v>12:23:15</v>
      </c>
      <c r="AI743">
        <f t="shared" si="186"/>
        <v>12.333333333333526</v>
      </c>
      <c r="AJ743">
        <f t="shared" si="180"/>
        <v>3.3</v>
      </c>
      <c r="AK743">
        <f t="shared" si="181"/>
        <v>0.45</v>
      </c>
      <c r="AL743">
        <f t="shared" si="174"/>
        <v>0.3</v>
      </c>
      <c r="AN743" t="s">
        <v>2003</v>
      </c>
      <c r="AO743">
        <v>0.3</v>
      </c>
      <c r="AP743">
        <v>70.13</v>
      </c>
      <c r="AR743" t="str" cm="1">
        <f t="array" ref="AR743:AS743">_xlfn.TEXTSPLIT(AN743," ")</f>
        <v>26.10.2023</v>
      </c>
      <c r="AS743" t="str">
        <v>12:22:15</v>
      </c>
      <c r="AT743">
        <f t="shared" si="187"/>
        <v>12.333333333333526</v>
      </c>
      <c r="AU743">
        <f t="shared" si="182"/>
        <v>8.8199999999999932</v>
      </c>
      <c r="AV743">
        <f t="shared" si="183"/>
        <v>0.3</v>
      </c>
      <c r="AW743">
        <f t="shared" si="175"/>
        <v>0.63500000000000001</v>
      </c>
    </row>
    <row r="744" spans="1:49" x14ac:dyDescent="0.25">
      <c r="A744" t="s">
        <v>2004</v>
      </c>
      <c r="B744">
        <v>0</v>
      </c>
      <c r="C744">
        <v>20.5</v>
      </c>
      <c r="E744" t="s">
        <v>2004</v>
      </c>
      <c r="F744">
        <v>0.75</v>
      </c>
      <c r="G744">
        <v>88.53</v>
      </c>
      <c r="I744" t="str" cm="1">
        <f t="array" ref="I744:J744">_xlfn.TEXTSPLIT(A744," ")</f>
        <v>27.10.2023</v>
      </c>
      <c r="J744" t="str">
        <v>12:23:14</v>
      </c>
      <c r="K744">
        <f t="shared" si="184"/>
        <v>12.350000000000193</v>
      </c>
      <c r="L744">
        <f t="shared" si="177"/>
        <v>6.18</v>
      </c>
      <c r="M744">
        <f t="shared" si="178"/>
        <v>0</v>
      </c>
      <c r="N744">
        <f t="shared" si="172"/>
        <v>0.71499999999999986</v>
      </c>
      <c r="Q744" t="str" cm="1">
        <f t="array" ref="Q744:R744">_xlfn.TEXTSPLIT(E744," ")</f>
        <v>27.10.2023</v>
      </c>
      <c r="R744" t="str">
        <v>12:23:14</v>
      </c>
      <c r="S744">
        <f t="shared" si="185"/>
        <v>12.350000000000193</v>
      </c>
      <c r="T744">
        <f t="shared" si="176"/>
        <v>9.9300000000000068</v>
      </c>
      <c r="U744">
        <f t="shared" si="179"/>
        <v>0.75</v>
      </c>
      <c r="V744">
        <f t="shared" si="173"/>
        <v>1.1324999999999998</v>
      </c>
      <c r="AC744" t="s">
        <v>2005</v>
      </c>
      <c r="AD744">
        <v>0.3</v>
      </c>
      <c r="AE744">
        <v>7.84</v>
      </c>
      <c r="AG744" t="str" cm="1">
        <f t="array" ref="AG744:AH744">_xlfn.TEXTSPLIT(AC745," ")</f>
        <v>26.10.2023</v>
      </c>
      <c r="AH744" t="str">
        <v>12:24:15</v>
      </c>
      <c r="AI744">
        <f t="shared" si="186"/>
        <v>12.350000000000193</v>
      </c>
      <c r="AJ744">
        <f t="shared" si="180"/>
        <v>3.3099999999999996</v>
      </c>
      <c r="AK744">
        <f t="shared" si="181"/>
        <v>0.3</v>
      </c>
      <c r="AL744">
        <f t="shared" si="174"/>
        <v>0.30499999999999999</v>
      </c>
      <c r="AN744" t="s">
        <v>2005</v>
      </c>
      <c r="AO744">
        <v>0</v>
      </c>
      <c r="AP744">
        <v>70.13</v>
      </c>
      <c r="AR744" t="str" cm="1">
        <f t="array" ref="AR744:AS744">_xlfn.TEXTSPLIT(AN744," ")</f>
        <v>26.10.2023</v>
      </c>
      <c r="AS744" t="str">
        <v>12:23:15</v>
      </c>
      <c r="AT744">
        <f t="shared" si="187"/>
        <v>12.350000000000193</v>
      </c>
      <c r="AU744">
        <f t="shared" si="182"/>
        <v>8.8199999999999932</v>
      </c>
      <c r="AV744">
        <f t="shared" si="183"/>
        <v>0</v>
      </c>
      <c r="AW744">
        <f t="shared" si="175"/>
        <v>0.63500000000000001</v>
      </c>
    </row>
    <row r="745" spans="1:49" x14ac:dyDescent="0.25">
      <c r="A745" t="s">
        <v>2006</v>
      </c>
      <c r="B745">
        <v>0</v>
      </c>
      <c r="C745">
        <v>20.5</v>
      </c>
      <c r="E745" t="s">
        <v>2006</v>
      </c>
      <c r="F745">
        <v>0.9</v>
      </c>
      <c r="G745">
        <v>88.54</v>
      </c>
      <c r="I745" t="str" cm="1">
        <f t="array" ref="I745:J745">_xlfn.TEXTSPLIT(A745," ")</f>
        <v>27.10.2023</v>
      </c>
      <c r="J745" t="str">
        <v>12:24:14</v>
      </c>
      <c r="K745">
        <f t="shared" si="184"/>
        <v>12.366666666666861</v>
      </c>
      <c r="L745">
        <f t="shared" si="177"/>
        <v>6.18</v>
      </c>
      <c r="M745">
        <f t="shared" si="178"/>
        <v>0</v>
      </c>
      <c r="N745">
        <f t="shared" si="172"/>
        <v>0.71250000000000002</v>
      </c>
      <c r="Q745" t="str" cm="1">
        <f t="array" ref="Q745:R745">_xlfn.TEXTSPLIT(E745," ")</f>
        <v>27.10.2023</v>
      </c>
      <c r="R745" t="str">
        <v>12:24:14</v>
      </c>
      <c r="S745">
        <f t="shared" si="185"/>
        <v>12.366666666666861</v>
      </c>
      <c r="T745">
        <f t="shared" si="176"/>
        <v>9.9400000000000119</v>
      </c>
      <c r="U745">
        <f t="shared" si="179"/>
        <v>0.9</v>
      </c>
      <c r="V745">
        <f t="shared" si="173"/>
        <v>1.1325000000000001</v>
      </c>
      <c r="AC745" t="s">
        <v>2007</v>
      </c>
      <c r="AD745">
        <v>0</v>
      </c>
      <c r="AE745">
        <v>7.84</v>
      </c>
      <c r="AG745" t="str" cm="1">
        <f t="array" ref="AG745:AH745">_xlfn.TEXTSPLIT(AC746," ")</f>
        <v>26.10.2023</v>
      </c>
      <c r="AH745" t="str">
        <v>12:25:15</v>
      </c>
      <c r="AI745">
        <f t="shared" si="186"/>
        <v>12.366666666666861</v>
      </c>
      <c r="AJ745">
        <f t="shared" si="180"/>
        <v>3.3099999999999996</v>
      </c>
      <c r="AK745">
        <f t="shared" si="181"/>
        <v>0</v>
      </c>
      <c r="AL745">
        <f t="shared" si="174"/>
        <v>0.30499999999999999</v>
      </c>
      <c r="AN745" t="s">
        <v>2007</v>
      </c>
      <c r="AO745">
        <v>0</v>
      </c>
      <c r="AP745">
        <v>70.13</v>
      </c>
      <c r="AR745" t="str" cm="1">
        <f t="array" ref="AR745:AS745">_xlfn.TEXTSPLIT(AN745," ")</f>
        <v>26.10.2023</v>
      </c>
      <c r="AS745" t="str">
        <v>12:24:15</v>
      </c>
      <c r="AT745">
        <f t="shared" si="187"/>
        <v>12.366666666666861</v>
      </c>
      <c r="AU745">
        <f t="shared" si="182"/>
        <v>8.8199999999999932</v>
      </c>
      <c r="AV745">
        <f t="shared" si="183"/>
        <v>0</v>
      </c>
      <c r="AW745">
        <f t="shared" si="175"/>
        <v>0.63500000000000001</v>
      </c>
    </row>
    <row r="746" spans="1:49" x14ac:dyDescent="0.25">
      <c r="A746" t="s">
        <v>2008</v>
      </c>
      <c r="B746">
        <v>0</v>
      </c>
      <c r="C746">
        <v>20.5</v>
      </c>
      <c r="E746" t="s">
        <v>2008</v>
      </c>
      <c r="F746">
        <v>0.75</v>
      </c>
      <c r="G746">
        <v>88.56</v>
      </c>
      <c r="I746" t="str" cm="1">
        <f t="array" ref="I746:J746">_xlfn.TEXTSPLIT(A746," ")</f>
        <v>27.10.2023</v>
      </c>
      <c r="J746" t="str">
        <v>12:25:14</v>
      </c>
      <c r="K746">
        <f t="shared" si="184"/>
        <v>12.383333333333528</v>
      </c>
      <c r="L746">
        <f t="shared" si="177"/>
        <v>6.18</v>
      </c>
      <c r="M746">
        <f t="shared" si="178"/>
        <v>0</v>
      </c>
      <c r="N746">
        <f t="shared" si="172"/>
        <v>0.70499999999999996</v>
      </c>
      <c r="Q746" t="str" cm="1">
        <f t="array" ref="Q746:R746">_xlfn.TEXTSPLIT(E746," ")</f>
        <v>27.10.2023</v>
      </c>
      <c r="R746" t="str">
        <v>12:25:14</v>
      </c>
      <c r="S746">
        <f t="shared" si="185"/>
        <v>12.383333333333528</v>
      </c>
      <c r="T746">
        <f t="shared" si="176"/>
        <v>9.960000000000008</v>
      </c>
      <c r="U746">
        <f t="shared" si="179"/>
        <v>0.75</v>
      </c>
      <c r="V746">
        <f t="shared" si="173"/>
        <v>1.1325000000000001</v>
      </c>
      <c r="AC746" t="s">
        <v>2009</v>
      </c>
      <c r="AD746">
        <v>0</v>
      </c>
      <c r="AE746">
        <v>7.84</v>
      </c>
      <c r="AG746" t="str" cm="1">
        <f t="array" ref="AG746:AH746">_xlfn.TEXTSPLIT(AC747," ")</f>
        <v>26.10.2023</v>
      </c>
      <c r="AH746" t="str">
        <v>12:26:16</v>
      </c>
      <c r="AI746">
        <f t="shared" si="186"/>
        <v>12.383333333333528</v>
      </c>
      <c r="AJ746">
        <f t="shared" si="180"/>
        <v>3.3099999999999996</v>
      </c>
      <c r="AK746">
        <f t="shared" si="181"/>
        <v>0</v>
      </c>
      <c r="AL746">
        <f t="shared" si="174"/>
        <v>0.30499999999999999</v>
      </c>
      <c r="AN746" t="s">
        <v>2009</v>
      </c>
      <c r="AO746">
        <v>0.15</v>
      </c>
      <c r="AP746">
        <v>70.14</v>
      </c>
      <c r="AR746" t="str" cm="1">
        <f t="array" ref="AR746:AS746">_xlfn.TEXTSPLIT(AN746," ")</f>
        <v>26.10.2023</v>
      </c>
      <c r="AS746" t="str">
        <v>12:25:15</v>
      </c>
      <c r="AT746">
        <f t="shared" si="187"/>
        <v>12.383333333333528</v>
      </c>
      <c r="AU746">
        <f t="shared" si="182"/>
        <v>8.8299999999999983</v>
      </c>
      <c r="AV746">
        <f t="shared" si="183"/>
        <v>0.15</v>
      </c>
      <c r="AW746">
        <f t="shared" si="175"/>
        <v>0.63749999999999996</v>
      </c>
    </row>
    <row r="747" spans="1:49" x14ac:dyDescent="0.25">
      <c r="A747" t="s">
        <v>2010</v>
      </c>
      <c r="B747">
        <v>0.3</v>
      </c>
      <c r="C747">
        <v>20.51</v>
      </c>
      <c r="E747" t="s">
        <v>2010</v>
      </c>
      <c r="F747">
        <v>0.6</v>
      </c>
      <c r="G747">
        <v>88.56</v>
      </c>
      <c r="I747" t="str" cm="1">
        <f t="array" ref="I747:J747">_xlfn.TEXTSPLIT(A747," ")</f>
        <v>27.10.2023</v>
      </c>
      <c r="J747" t="str">
        <v>12:26:14</v>
      </c>
      <c r="K747">
        <f t="shared" si="184"/>
        <v>12.400000000000196</v>
      </c>
      <c r="L747">
        <f t="shared" si="177"/>
        <v>6.1900000000000013</v>
      </c>
      <c r="M747">
        <f t="shared" si="178"/>
        <v>0.3</v>
      </c>
      <c r="N747">
        <f t="shared" si="172"/>
        <v>0.70749999999999991</v>
      </c>
      <c r="Q747" t="str" cm="1">
        <f t="array" ref="Q747:R747">_xlfn.TEXTSPLIT(E747," ")</f>
        <v>27.10.2023</v>
      </c>
      <c r="R747" t="str">
        <v>12:26:14</v>
      </c>
      <c r="S747">
        <f t="shared" si="185"/>
        <v>12.400000000000196</v>
      </c>
      <c r="T747">
        <f t="shared" si="176"/>
        <v>9.960000000000008</v>
      </c>
      <c r="U747">
        <f t="shared" si="179"/>
        <v>0.6</v>
      </c>
      <c r="V747">
        <f t="shared" si="173"/>
        <v>1.1274999999999999</v>
      </c>
      <c r="AC747" t="s">
        <v>2011</v>
      </c>
      <c r="AD747">
        <v>0</v>
      </c>
      <c r="AE747">
        <v>7.84</v>
      </c>
      <c r="AG747" t="str" cm="1">
        <f t="array" ref="AG747:AH747">_xlfn.TEXTSPLIT(AC748," ")</f>
        <v>26.10.2023</v>
      </c>
      <c r="AH747" t="str">
        <v>12:27:16</v>
      </c>
      <c r="AI747">
        <f t="shared" si="186"/>
        <v>12.400000000000196</v>
      </c>
      <c r="AJ747">
        <f t="shared" si="180"/>
        <v>3.3099999999999996</v>
      </c>
      <c r="AK747">
        <f t="shared" si="181"/>
        <v>0</v>
      </c>
      <c r="AL747">
        <f t="shared" si="174"/>
        <v>0.30499999999999999</v>
      </c>
      <c r="AN747" t="s">
        <v>2011</v>
      </c>
      <c r="AO747">
        <v>0</v>
      </c>
      <c r="AP747">
        <v>70.14</v>
      </c>
      <c r="AR747" t="str" cm="1">
        <f t="array" ref="AR747:AS747">_xlfn.TEXTSPLIT(AN747," ")</f>
        <v>26.10.2023</v>
      </c>
      <c r="AS747" t="str">
        <v>12:26:16</v>
      </c>
      <c r="AT747">
        <f t="shared" si="187"/>
        <v>12.400000000000196</v>
      </c>
      <c r="AU747">
        <f t="shared" si="182"/>
        <v>8.8299999999999983</v>
      </c>
      <c r="AV747">
        <f t="shared" si="183"/>
        <v>0</v>
      </c>
      <c r="AW747">
        <f t="shared" si="175"/>
        <v>0.63500000000000001</v>
      </c>
    </row>
    <row r="748" spans="1:49" x14ac:dyDescent="0.25">
      <c r="A748" t="s">
        <v>2012</v>
      </c>
      <c r="B748">
        <v>0.3</v>
      </c>
      <c r="C748">
        <v>20.51</v>
      </c>
      <c r="E748" t="s">
        <v>2012</v>
      </c>
      <c r="F748">
        <v>0.75</v>
      </c>
      <c r="G748">
        <v>88.58</v>
      </c>
      <c r="I748" t="str" cm="1">
        <f t="array" ref="I748:J748">_xlfn.TEXTSPLIT(A748," ")</f>
        <v>27.10.2023</v>
      </c>
      <c r="J748" t="str">
        <v>12:27:14</v>
      </c>
      <c r="K748">
        <f t="shared" si="184"/>
        <v>12.416666666666863</v>
      </c>
      <c r="L748">
        <f t="shared" si="177"/>
        <v>6.1900000000000013</v>
      </c>
      <c r="M748">
        <f t="shared" si="178"/>
        <v>0.3</v>
      </c>
      <c r="N748">
        <f t="shared" si="172"/>
        <v>0.7074999999999998</v>
      </c>
      <c r="Q748" t="str" cm="1">
        <f t="array" ref="Q748:R748">_xlfn.TEXTSPLIT(E748," ")</f>
        <v>27.10.2023</v>
      </c>
      <c r="R748" t="str">
        <v>12:27:14</v>
      </c>
      <c r="S748">
        <f t="shared" si="185"/>
        <v>12.416666666666863</v>
      </c>
      <c r="T748">
        <f t="shared" si="176"/>
        <v>9.980000000000004</v>
      </c>
      <c r="U748">
        <f t="shared" si="179"/>
        <v>0.75</v>
      </c>
      <c r="V748">
        <f t="shared" si="173"/>
        <v>1.1299999999999999</v>
      </c>
      <c r="AC748" t="s">
        <v>2013</v>
      </c>
      <c r="AD748">
        <v>0</v>
      </c>
      <c r="AE748">
        <v>7.84</v>
      </c>
      <c r="AG748" t="str" cm="1">
        <f t="array" ref="AG748:AH748">_xlfn.TEXTSPLIT(AC749," ")</f>
        <v>26.10.2023</v>
      </c>
      <c r="AH748" t="str">
        <v>12:28:16</v>
      </c>
      <c r="AI748">
        <f t="shared" si="186"/>
        <v>12.416666666666863</v>
      </c>
      <c r="AJ748">
        <f t="shared" si="180"/>
        <v>3.3099999999999996</v>
      </c>
      <c r="AK748">
        <f t="shared" si="181"/>
        <v>0</v>
      </c>
      <c r="AL748">
        <f t="shared" si="174"/>
        <v>0.30499999999999999</v>
      </c>
      <c r="AN748" t="s">
        <v>2013</v>
      </c>
      <c r="AO748">
        <v>0.15</v>
      </c>
      <c r="AP748">
        <v>70.14</v>
      </c>
      <c r="AR748" t="str" cm="1">
        <f t="array" ref="AR748:AS748">_xlfn.TEXTSPLIT(AN748," ")</f>
        <v>26.10.2023</v>
      </c>
      <c r="AS748" t="str">
        <v>12:27:16</v>
      </c>
      <c r="AT748">
        <f t="shared" si="187"/>
        <v>12.416666666666863</v>
      </c>
      <c r="AU748">
        <f t="shared" si="182"/>
        <v>8.8299999999999983</v>
      </c>
      <c r="AV748">
        <f t="shared" si="183"/>
        <v>0.15</v>
      </c>
      <c r="AW748">
        <f t="shared" si="175"/>
        <v>0.63749999999999996</v>
      </c>
    </row>
    <row r="749" spans="1:49" x14ac:dyDescent="0.25">
      <c r="A749" t="s">
        <v>2014</v>
      </c>
      <c r="B749">
        <v>0.3</v>
      </c>
      <c r="C749">
        <v>20.52</v>
      </c>
      <c r="E749" t="s">
        <v>2014</v>
      </c>
      <c r="F749">
        <v>0.9</v>
      </c>
      <c r="G749">
        <v>88.59</v>
      </c>
      <c r="I749" t="str" cm="1">
        <f t="array" ref="I749:J749">_xlfn.TEXTSPLIT(A749," ")</f>
        <v>27.10.2023</v>
      </c>
      <c r="J749" t="str">
        <v>12:28:14</v>
      </c>
      <c r="K749">
        <f t="shared" si="184"/>
        <v>12.433333333333531</v>
      </c>
      <c r="L749">
        <f t="shared" si="177"/>
        <v>6.1999999999999993</v>
      </c>
      <c r="M749">
        <f t="shared" si="178"/>
        <v>0.3</v>
      </c>
      <c r="N749">
        <f t="shared" si="172"/>
        <v>0.7074999999999998</v>
      </c>
      <c r="Q749" t="str" cm="1">
        <f t="array" ref="Q749:R749">_xlfn.TEXTSPLIT(E749," ")</f>
        <v>27.10.2023</v>
      </c>
      <c r="R749" t="str">
        <v>12:28:14</v>
      </c>
      <c r="S749">
        <f t="shared" si="185"/>
        <v>12.433333333333531</v>
      </c>
      <c r="T749">
        <f t="shared" si="176"/>
        <v>9.9900000000000091</v>
      </c>
      <c r="U749">
        <f t="shared" si="179"/>
        <v>0.9</v>
      </c>
      <c r="V749">
        <f t="shared" si="173"/>
        <v>1.1325000000000001</v>
      </c>
      <c r="AC749" t="s">
        <v>2015</v>
      </c>
      <c r="AD749">
        <v>0</v>
      </c>
      <c r="AE749">
        <v>7.84</v>
      </c>
      <c r="AG749" t="str" cm="1">
        <f t="array" ref="AG749:AH749">_xlfn.TEXTSPLIT(AC750," ")</f>
        <v>26.10.2023</v>
      </c>
      <c r="AH749" t="str">
        <v>12:29:16</v>
      </c>
      <c r="AI749">
        <f t="shared" si="186"/>
        <v>12.433333333333531</v>
      </c>
      <c r="AJ749">
        <f t="shared" si="180"/>
        <v>3.3099999999999996</v>
      </c>
      <c r="AK749">
        <f t="shared" si="181"/>
        <v>0</v>
      </c>
      <c r="AL749">
        <f t="shared" si="174"/>
        <v>0.30499999999999999</v>
      </c>
      <c r="AN749" t="s">
        <v>2015</v>
      </c>
      <c r="AO749">
        <v>0.3</v>
      </c>
      <c r="AP749">
        <v>70.14</v>
      </c>
      <c r="AR749" t="str" cm="1">
        <f t="array" ref="AR749:AS749">_xlfn.TEXTSPLIT(AN749," ")</f>
        <v>26.10.2023</v>
      </c>
      <c r="AS749" t="str">
        <v>12:28:16</v>
      </c>
      <c r="AT749">
        <f t="shared" si="187"/>
        <v>12.433333333333531</v>
      </c>
      <c r="AU749">
        <f t="shared" si="182"/>
        <v>8.8299999999999983</v>
      </c>
      <c r="AV749">
        <f t="shared" si="183"/>
        <v>0.3</v>
      </c>
      <c r="AW749">
        <f t="shared" si="175"/>
        <v>0.64</v>
      </c>
    </row>
    <row r="750" spans="1:49" x14ac:dyDescent="0.25">
      <c r="A750" t="s">
        <v>2016</v>
      </c>
      <c r="B750">
        <v>0.45</v>
      </c>
      <c r="C750">
        <v>20.52</v>
      </c>
      <c r="E750" t="s">
        <v>2016</v>
      </c>
      <c r="F750">
        <v>0.9</v>
      </c>
      <c r="G750">
        <v>88.61</v>
      </c>
      <c r="I750" t="str" cm="1">
        <f t="array" ref="I750:J750">_xlfn.TEXTSPLIT(A750," ")</f>
        <v>27.10.2023</v>
      </c>
      <c r="J750" t="str">
        <v>12:29:14</v>
      </c>
      <c r="K750">
        <f t="shared" si="184"/>
        <v>12.450000000000198</v>
      </c>
      <c r="L750">
        <f t="shared" si="177"/>
        <v>6.1999999999999993</v>
      </c>
      <c r="M750">
        <f t="shared" si="178"/>
        <v>0.45</v>
      </c>
      <c r="N750">
        <f t="shared" si="172"/>
        <v>0.7024999999999999</v>
      </c>
      <c r="Q750" t="str" cm="1">
        <f t="array" ref="Q750:R750">_xlfn.TEXTSPLIT(E750," ")</f>
        <v>27.10.2023</v>
      </c>
      <c r="R750" t="str">
        <v>12:29:14</v>
      </c>
      <c r="S750">
        <f t="shared" si="185"/>
        <v>12.450000000000198</v>
      </c>
      <c r="T750">
        <f t="shared" si="176"/>
        <v>10.010000000000005</v>
      </c>
      <c r="U750">
        <f t="shared" si="179"/>
        <v>0.9</v>
      </c>
      <c r="V750">
        <f t="shared" si="173"/>
        <v>1.1375000000000002</v>
      </c>
      <c r="AC750" t="s">
        <v>2017</v>
      </c>
      <c r="AD750">
        <v>0</v>
      </c>
      <c r="AE750">
        <v>7.84</v>
      </c>
      <c r="AG750" t="str" cm="1">
        <f t="array" ref="AG750:AH750">_xlfn.TEXTSPLIT(AC751," ")</f>
        <v>26.10.2023</v>
      </c>
      <c r="AH750" t="str">
        <v>12:30:16</v>
      </c>
      <c r="AI750">
        <f t="shared" si="186"/>
        <v>12.450000000000198</v>
      </c>
      <c r="AJ750">
        <f t="shared" si="180"/>
        <v>3.3099999999999996</v>
      </c>
      <c r="AK750">
        <f t="shared" si="181"/>
        <v>0</v>
      </c>
      <c r="AL750">
        <f t="shared" si="174"/>
        <v>0.30499999999999999</v>
      </c>
      <c r="AN750" t="s">
        <v>2017</v>
      </c>
      <c r="AO750">
        <v>0.15</v>
      </c>
      <c r="AP750">
        <v>70.14</v>
      </c>
      <c r="AR750" t="str" cm="1">
        <f t="array" ref="AR750:AS750">_xlfn.TEXTSPLIT(AN750," ")</f>
        <v>26.10.2023</v>
      </c>
      <c r="AS750" t="str">
        <v>12:29:16</v>
      </c>
      <c r="AT750">
        <f t="shared" si="187"/>
        <v>12.450000000000198</v>
      </c>
      <c r="AU750">
        <f t="shared" si="182"/>
        <v>8.8299999999999983</v>
      </c>
      <c r="AV750">
        <f t="shared" si="183"/>
        <v>0.15</v>
      </c>
      <c r="AW750">
        <f t="shared" si="175"/>
        <v>0.64</v>
      </c>
    </row>
    <row r="751" spans="1:49" x14ac:dyDescent="0.25">
      <c r="A751" t="s">
        <v>2018</v>
      </c>
      <c r="B751">
        <v>0.45</v>
      </c>
      <c r="C751">
        <v>20.53</v>
      </c>
      <c r="E751" t="s">
        <v>2018</v>
      </c>
      <c r="F751">
        <v>1.35</v>
      </c>
      <c r="G751">
        <v>88.63</v>
      </c>
      <c r="I751" t="str" cm="1">
        <f t="array" ref="I751:J751">_xlfn.TEXTSPLIT(A751," ")</f>
        <v>27.10.2023</v>
      </c>
      <c r="J751" t="str">
        <v>12:30:14</v>
      </c>
      <c r="K751">
        <f t="shared" si="184"/>
        <v>12.466666666666866</v>
      </c>
      <c r="L751">
        <f t="shared" si="177"/>
        <v>6.2100000000000009</v>
      </c>
      <c r="M751">
        <f t="shared" si="178"/>
        <v>0.45</v>
      </c>
      <c r="N751">
        <f t="shared" si="172"/>
        <v>0.70499999999999996</v>
      </c>
      <c r="Q751" t="str" cm="1">
        <f t="array" ref="Q751:R751">_xlfn.TEXTSPLIT(E751," ")</f>
        <v>27.10.2023</v>
      </c>
      <c r="R751" t="str">
        <v>12:30:14</v>
      </c>
      <c r="S751">
        <f t="shared" si="185"/>
        <v>12.466666666666866</v>
      </c>
      <c r="T751">
        <f t="shared" si="176"/>
        <v>10.030000000000001</v>
      </c>
      <c r="U751">
        <f t="shared" si="179"/>
        <v>1.35</v>
      </c>
      <c r="V751">
        <f t="shared" si="173"/>
        <v>1.1475</v>
      </c>
      <c r="AC751" t="s">
        <v>2019</v>
      </c>
      <c r="AD751">
        <v>0</v>
      </c>
      <c r="AE751">
        <v>7.84</v>
      </c>
      <c r="AG751" t="str" cm="1">
        <f t="array" ref="AG751:AH751">_xlfn.TEXTSPLIT(AC752," ")</f>
        <v>26.10.2023</v>
      </c>
      <c r="AH751" t="str">
        <v>12:31:16</v>
      </c>
      <c r="AI751">
        <f t="shared" si="186"/>
        <v>12.466666666666866</v>
      </c>
      <c r="AJ751">
        <f t="shared" si="180"/>
        <v>3.3099999999999996</v>
      </c>
      <c r="AK751">
        <f t="shared" si="181"/>
        <v>0</v>
      </c>
      <c r="AL751">
        <f t="shared" si="174"/>
        <v>0.30499999999999999</v>
      </c>
      <c r="AN751" t="s">
        <v>2019</v>
      </c>
      <c r="AO751">
        <v>0.3</v>
      </c>
      <c r="AP751">
        <v>70.150000000000006</v>
      </c>
      <c r="AR751" t="str" cm="1">
        <f t="array" ref="AR751:AS751">_xlfn.TEXTSPLIT(AN751," ")</f>
        <v>26.10.2023</v>
      </c>
      <c r="AS751" t="str">
        <v>12:30:16</v>
      </c>
      <c r="AT751">
        <f t="shared" si="187"/>
        <v>12.466666666666866</v>
      </c>
      <c r="AU751">
        <f t="shared" si="182"/>
        <v>8.8400000000000034</v>
      </c>
      <c r="AV751">
        <f t="shared" si="183"/>
        <v>0.3</v>
      </c>
      <c r="AW751">
        <f t="shared" si="175"/>
        <v>0.64249999999999985</v>
      </c>
    </row>
    <row r="752" spans="1:49" x14ac:dyDescent="0.25">
      <c r="A752" t="s">
        <v>2020</v>
      </c>
      <c r="B752">
        <v>0.45</v>
      </c>
      <c r="C752">
        <v>20.54</v>
      </c>
      <c r="E752" t="s">
        <v>2020</v>
      </c>
      <c r="F752">
        <v>1.8</v>
      </c>
      <c r="G752">
        <v>88.67</v>
      </c>
      <c r="I752" t="str" cm="1">
        <f t="array" ref="I752:J752">_xlfn.TEXTSPLIT(A752," ")</f>
        <v>27.10.2023</v>
      </c>
      <c r="J752" t="str">
        <v>12:31:14</v>
      </c>
      <c r="K752">
        <f t="shared" si="184"/>
        <v>12.483333333333533</v>
      </c>
      <c r="L752">
        <f t="shared" si="177"/>
        <v>6.2199999999999989</v>
      </c>
      <c r="M752">
        <f t="shared" si="178"/>
        <v>0.45</v>
      </c>
      <c r="N752">
        <f t="shared" si="172"/>
        <v>0.70250000000000012</v>
      </c>
      <c r="Q752" t="str" cm="1">
        <f t="array" ref="Q752:R752">_xlfn.TEXTSPLIT(E752," ")</f>
        <v>27.10.2023</v>
      </c>
      <c r="R752" t="str">
        <v>12:31:14</v>
      </c>
      <c r="S752">
        <f t="shared" si="185"/>
        <v>12.483333333333533</v>
      </c>
      <c r="T752">
        <f t="shared" si="176"/>
        <v>10.070000000000007</v>
      </c>
      <c r="U752">
        <f t="shared" si="179"/>
        <v>1.8</v>
      </c>
      <c r="V752">
        <f t="shared" si="173"/>
        <v>1.165</v>
      </c>
      <c r="AC752" t="s">
        <v>2021</v>
      </c>
      <c r="AD752">
        <v>0</v>
      </c>
      <c r="AE752">
        <v>7.84</v>
      </c>
      <c r="AG752" t="str" cm="1">
        <f t="array" ref="AG752:AH752">_xlfn.TEXTSPLIT(AC753," ")</f>
        <v>26.10.2023</v>
      </c>
      <c r="AH752" t="str">
        <v>12:32:16</v>
      </c>
      <c r="AI752">
        <f t="shared" si="186"/>
        <v>12.483333333333533</v>
      </c>
      <c r="AJ752">
        <f t="shared" si="180"/>
        <v>3.3099999999999996</v>
      </c>
      <c r="AK752">
        <f t="shared" si="181"/>
        <v>0</v>
      </c>
      <c r="AL752">
        <f t="shared" si="174"/>
        <v>0.30499999999999999</v>
      </c>
      <c r="AN752" t="s">
        <v>2021</v>
      </c>
      <c r="AO752">
        <v>0.3</v>
      </c>
      <c r="AP752">
        <v>70.16</v>
      </c>
      <c r="AR752" t="str" cm="1">
        <f t="array" ref="AR752:AS752">_xlfn.TEXTSPLIT(AN752," ")</f>
        <v>26.10.2023</v>
      </c>
      <c r="AS752" t="str">
        <v>12:31:16</v>
      </c>
      <c r="AT752">
        <f t="shared" si="187"/>
        <v>12.483333333333533</v>
      </c>
      <c r="AU752">
        <f t="shared" si="182"/>
        <v>8.8499999999999943</v>
      </c>
      <c r="AV752">
        <f t="shared" si="183"/>
        <v>0.3</v>
      </c>
      <c r="AW752">
        <f t="shared" si="175"/>
        <v>0.64249999999999985</v>
      </c>
    </row>
    <row r="753" spans="1:49" x14ac:dyDescent="0.25">
      <c r="A753" t="s">
        <v>2022</v>
      </c>
      <c r="B753">
        <v>0.6</v>
      </c>
      <c r="C753">
        <v>20.55</v>
      </c>
      <c r="E753" t="s">
        <v>2022</v>
      </c>
      <c r="F753">
        <v>1.5</v>
      </c>
      <c r="G753">
        <v>88.68</v>
      </c>
      <c r="I753" t="str" cm="1">
        <f t="array" ref="I753:J753">_xlfn.TEXTSPLIT(A753," ")</f>
        <v>27.10.2023</v>
      </c>
      <c r="J753" t="str">
        <v>12:32:14</v>
      </c>
      <c r="K753">
        <f t="shared" si="184"/>
        <v>12.500000000000201</v>
      </c>
      <c r="L753">
        <f t="shared" si="177"/>
        <v>6.23</v>
      </c>
      <c r="M753">
        <f t="shared" si="178"/>
        <v>0.6</v>
      </c>
      <c r="N753">
        <f t="shared" si="172"/>
        <v>0.70250000000000012</v>
      </c>
      <c r="Q753" t="str" cm="1">
        <f t="array" ref="Q753:R753">_xlfn.TEXTSPLIT(E753," ")</f>
        <v>27.10.2023</v>
      </c>
      <c r="R753" t="str">
        <v>12:32:14</v>
      </c>
      <c r="S753">
        <f t="shared" si="185"/>
        <v>12.500000000000201</v>
      </c>
      <c r="T753">
        <f t="shared" si="176"/>
        <v>10.080000000000013</v>
      </c>
      <c r="U753">
        <f t="shared" si="179"/>
        <v>1.5</v>
      </c>
      <c r="V753">
        <f t="shared" si="173"/>
        <v>1.1725000000000001</v>
      </c>
      <c r="AC753" t="s">
        <v>2023</v>
      </c>
      <c r="AD753">
        <v>0</v>
      </c>
      <c r="AE753">
        <v>7.84</v>
      </c>
      <c r="AG753" t="str" cm="1">
        <f t="array" ref="AG753:AH753">_xlfn.TEXTSPLIT(AC754," ")</f>
        <v>26.10.2023</v>
      </c>
      <c r="AH753" t="str">
        <v>12:33:16</v>
      </c>
      <c r="AI753">
        <f t="shared" si="186"/>
        <v>12.500000000000201</v>
      </c>
      <c r="AJ753">
        <f t="shared" si="180"/>
        <v>3.3099999999999996</v>
      </c>
      <c r="AK753">
        <f t="shared" si="181"/>
        <v>0</v>
      </c>
      <c r="AL753">
        <f t="shared" si="174"/>
        <v>0.30499999999999999</v>
      </c>
      <c r="AN753" t="s">
        <v>2023</v>
      </c>
      <c r="AO753">
        <v>0.6</v>
      </c>
      <c r="AP753">
        <v>70.17</v>
      </c>
      <c r="AR753" t="str" cm="1">
        <f t="array" ref="AR753:AS753">_xlfn.TEXTSPLIT(AN753," ")</f>
        <v>26.10.2023</v>
      </c>
      <c r="AS753" t="str">
        <v>12:32:16</v>
      </c>
      <c r="AT753">
        <f t="shared" si="187"/>
        <v>12.500000000000201</v>
      </c>
      <c r="AU753">
        <f t="shared" si="182"/>
        <v>8.86</v>
      </c>
      <c r="AV753">
        <f t="shared" si="183"/>
        <v>0.6</v>
      </c>
      <c r="AW753">
        <f t="shared" si="175"/>
        <v>0.64749999999999985</v>
      </c>
    </row>
    <row r="754" spans="1:49" x14ac:dyDescent="0.25">
      <c r="A754" t="s">
        <v>2024</v>
      </c>
      <c r="B754">
        <v>0.75</v>
      </c>
      <c r="C754">
        <v>20.56</v>
      </c>
      <c r="E754" t="s">
        <v>2024</v>
      </c>
      <c r="F754">
        <v>1.05</v>
      </c>
      <c r="G754">
        <v>88.7</v>
      </c>
      <c r="I754" t="str" cm="1">
        <f t="array" ref="I754:J754">_xlfn.TEXTSPLIT(A754," ")</f>
        <v>27.10.2023</v>
      </c>
      <c r="J754" t="str">
        <v>12:33:14</v>
      </c>
      <c r="K754">
        <f t="shared" si="184"/>
        <v>12.516666666666868</v>
      </c>
      <c r="L754">
        <f t="shared" si="177"/>
        <v>6.2399999999999984</v>
      </c>
      <c r="M754">
        <f t="shared" si="178"/>
        <v>0.75</v>
      </c>
      <c r="N754">
        <f t="shared" si="172"/>
        <v>0.70750000000000002</v>
      </c>
      <c r="Q754" t="str" cm="1">
        <f t="array" ref="Q754:R754">_xlfn.TEXTSPLIT(E754," ")</f>
        <v>27.10.2023</v>
      </c>
      <c r="R754" t="str">
        <v>12:33:14</v>
      </c>
      <c r="S754">
        <f t="shared" si="185"/>
        <v>12.516666666666868</v>
      </c>
      <c r="T754">
        <f t="shared" si="176"/>
        <v>10.100000000000009</v>
      </c>
      <c r="U754">
        <f t="shared" si="179"/>
        <v>1.05</v>
      </c>
      <c r="V754">
        <f t="shared" si="173"/>
        <v>1.175</v>
      </c>
      <c r="AC754" t="s">
        <v>2025</v>
      </c>
      <c r="AD754">
        <v>0</v>
      </c>
      <c r="AE754">
        <v>7.84</v>
      </c>
      <c r="AG754" t="str" cm="1">
        <f t="array" ref="AG754:AH754">_xlfn.TEXTSPLIT(AC755," ")</f>
        <v>26.10.2023</v>
      </c>
      <c r="AH754" t="str">
        <v>12:34:17</v>
      </c>
      <c r="AI754">
        <f t="shared" si="186"/>
        <v>12.516666666666868</v>
      </c>
      <c r="AJ754">
        <f t="shared" si="180"/>
        <v>3.3099999999999996</v>
      </c>
      <c r="AK754">
        <f t="shared" si="181"/>
        <v>0</v>
      </c>
      <c r="AL754">
        <f t="shared" si="174"/>
        <v>0.30499999999999999</v>
      </c>
      <c r="AN754" t="s">
        <v>2025</v>
      </c>
      <c r="AO754">
        <v>0.6</v>
      </c>
      <c r="AP754">
        <v>70.17</v>
      </c>
      <c r="AR754" t="str" cm="1">
        <f t="array" ref="AR754:AS754">_xlfn.TEXTSPLIT(AN754," ")</f>
        <v>26.10.2023</v>
      </c>
      <c r="AS754" t="str">
        <v>12:33:16</v>
      </c>
      <c r="AT754">
        <f t="shared" si="187"/>
        <v>12.516666666666868</v>
      </c>
      <c r="AU754">
        <f t="shared" si="182"/>
        <v>8.86</v>
      </c>
      <c r="AV754">
        <f t="shared" si="183"/>
        <v>0.6</v>
      </c>
      <c r="AW754">
        <f t="shared" si="175"/>
        <v>0.64999999999999991</v>
      </c>
    </row>
    <row r="755" spans="1:49" x14ac:dyDescent="0.25">
      <c r="A755" t="s">
        <v>2026</v>
      </c>
      <c r="B755">
        <v>0.6</v>
      </c>
      <c r="C755">
        <v>20.57</v>
      </c>
      <c r="E755" t="s">
        <v>2026</v>
      </c>
      <c r="F755">
        <v>0.9</v>
      </c>
      <c r="G755">
        <v>88.72</v>
      </c>
      <c r="I755" t="str" cm="1">
        <f t="array" ref="I755:J755">_xlfn.TEXTSPLIT(A755," ")</f>
        <v>27.10.2023</v>
      </c>
      <c r="J755" t="str">
        <v>12:34:15</v>
      </c>
      <c r="K755">
        <f t="shared" si="184"/>
        <v>12.533333333333536</v>
      </c>
      <c r="L755">
        <f t="shared" si="177"/>
        <v>6.25</v>
      </c>
      <c r="M755">
        <f t="shared" si="178"/>
        <v>0.6</v>
      </c>
      <c r="N755">
        <f t="shared" si="172"/>
        <v>0.7</v>
      </c>
      <c r="Q755" t="str" cm="1">
        <f t="array" ref="Q755:R755">_xlfn.TEXTSPLIT(E755," ")</f>
        <v>27.10.2023</v>
      </c>
      <c r="R755" t="str">
        <v>12:34:15</v>
      </c>
      <c r="S755">
        <f t="shared" si="185"/>
        <v>12.533333333333536</v>
      </c>
      <c r="T755">
        <f t="shared" si="176"/>
        <v>10.120000000000005</v>
      </c>
      <c r="U755">
        <f t="shared" si="179"/>
        <v>0.9</v>
      </c>
      <c r="V755">
        <f t="shared" si="173"/>
        <v>1.1724999999999999</v>
      </c>
      <c r="AC755" t="s">
        <v>2027</v>
      </c>
      <c r="AD755">
        <v>0</v>
      </c>
      <c r="AE755">
        <v>7.84</v>
      </c>
      <c r="AG755" t="str" cm="1">
        <f t="array" ref="AG755:AH755">_xlfn.TEXTSPLIT(AC756," ")</f>
        <v>26.10.2023</v>
      </c>
      <c r="AH755" t="str">
        <v>12:35:17</v>
      </c>
      <c r="AI755">
        <f t="shared" si="186"/>
        <v>12.533333333333536</v>
      </c>
      <c r="AJ755">
        <f t="shared" si="180"/>
        <v>3.3099999999999996</v>
      </c>
      <c r="AK755">
        <f t="shared" si="181"/>
        <v>0</v>
      </c>
      <c r="AL755">
        <f t="shared" si="174"/>
        <v>0.30499999999999999</v>
      </c>
      <c r="AN755" t="s">
        <v>2027</v>
      </c>
      <c r="AO755">
        <v>0.6</v>
      </c>
      <c r="AP755">
        <v>70.180000000000007</v>
      </c>
      <c r="AR755" t="str" cm="1">
        <f t="array" ref="AR755:AS755">_xlfn.TEXTSPLIT(AN755," ")</f>
        <v>26.10.2023</v>
      </c>
      <c r="AS755" t="str">
        <v>12:34:17</v>
      </c>
      <c r="AT755">
        <f t="shared" si="187"/>
        <v>12.533333333333536</v>
      </c>
      <c r="AU755">
        <f t="shared" si="182"/>
        <v>8.8700000000000045</v>
      </c>
      <c r="AV755">
        <f t="shared" si="183"/>
        <v>0.6</v>
      </c>
      <c r="AW755">
        <f t="shared" si="175"/>
        <v>0.64999999999999991</v>
      </c>
    </row>
    <row r="756" spans="1:49" x14ac:dyDescent="0.25">
      <c r="A756" t="s">
        <v>2028</v>
      </c>
      <c r="B756">
        <v>0.6</v>
      </c>
      <c r="C756">
        <v>20.59</v>
      </c>
      <c r="E756" t="s">
        <v>2028</v>
      </c>
      <c r="F756">
        <v>1.2</v>
      </c>
      <c r="G756">
        <v>88.74</v>
      </c>
      <c r="I756" t="str" cm="1">
        <f t="array" ref="I756:J756">_xlfn.TEXTSPLIT(A756," ")</f>
        <v>27.10.2023</v>
      </c>
      <c r="J756" t="str">
        <v>12:35:15</v>
      </c>
      <c r="K756">
        <f t="shared" si="184"/>
        <v>12.550000000000203</v>
      </c>
      <c r="L756">
        <f t="shared" si="177"/>
        <v>6.27</v>
      </c>
      <c r="M756">
        <f t="shared" si="178"/>
        <v>0.6</v>
      </c>
      <c r="N756">
        <f t="shared" si="172"/>
        <v>0.70250000000000001</v>
      </c>
      <c r="Q756" t="str" cm="1">
        <f t="array" ref="Q756:R756">_xlfn.TEXTSPLIT(E756," ")</f>
        <v>27.10.2023</v>
      </c>
      <c r="R756" t="str">
        <v>12:35:15</v>
      </c>
      <c r="S756">
        <f t="shared" si="185"/>
        <v>12.550000000000203</v>
      </c>
      <c r="T756">
        <f t="shared" si="176"/>
        <v>10.14</v>
      </c>
      <c r="U756">
        <f t="shared" si="179"/>
        <v>1.2</v>
      </c>
      <c r="V756">
        <f t="shared" si="173"/>
        <v>1.1725000000000001</v>
      </c>
      <c r="AC756" t="s">
        <v>2029</v>
      </c>
      <c r="AD756">
        <v>0</v>
      </c>
      <c r="AE756">
        <v>7.84</v>
      </c>
      <c r="AG756" t="str" cm="1">
        <f t="array" ref="AG756:AH756">_xlfn.TEXTSPLIT(AC757," ")</f>
        <v>26.10.2023</v>
      </c>
      <c r="AH756" t="str">
        <v>12:36:17</v>
      </c>
      <c r="AI756">
        <f t="shared" si="186"/>
        <v>12.550000000000203</v>
      </c>
      <c r="AJ756">
        <f t="shared" si="180"/>
        <v>3.3099999999999996</v>
      </c>
      <c r="AK756">
        <f t="shared" si="181"/>
        <v>0</v>
      </c>
      <c r="AL756">
        <f t="shared" si="174"/>
        <v>0.30499999999999999</v>
      </c>
      <c r="AN756" t="s">
        <v>2029</v>
      </c>
      <c r="AO756">
        <v>0.6</v>
      </c>
      <c r="AP756">
        <v>70.19</v>
      </c>
      <c r="AR756" t="str" cm="1">
        <f t="array" ref="AR756:AS756">_xlfn.TEXTSPLIT(AN756," ")</f>
        <v>26.10.2023</v>
      </c>
      <c r="AS756" t="str">
        <v>12:35:17</v>
      </c>
      <c r="AT756">
        <f t="shared" si="187"/>
        <v>12.550000000000203</v>
      </c>
      <c r="AU756">
        <f t="shared" si="182"/>
        <v>8.8799999999999955</v>
      </c>
      <c r="AV756">
        <f t="shared" si="183"/>
        <v>0.6</v>
      </c>
      <c r="AW756">
        <f t="shared" si="175"/>
        <v>0.64999999999999991</v>
      </c>
    </row>
    <row r="757" spans="1:49" x14ac:dyDescent="0.25">
      <c r="A757" t="s">
        <v>2030</v>
      </c>
      <c r="B757">
        <v>1.05</v>
      </c>
      <c r="C757">
        <v>20.6</v>
      </c>
      <c r="E757" t="s">
        <v>2030</v>
      </c>
      <c r="F757">
        <v>2.7</v>
      </c>
      <c r="G757">
        <v>88.78</v>
      </c>
      <c r="I757" t="str" cm="1">
        <f t="array" ref="I757:J757">_xlfn.TEXTSPLIT(A757," ")</f>
        <v>27.10.2023</v>
      </c>
      <c r="J757" t="str">
        <v>12:36:15</v>
      </c>
      <c r="K757">
        <f t="shared" si="184"/>
        <v>12.566666666666871</v>
      </c>
      <c r="L757">
        <f t="shared" si="177"/>
        <v>6.2800000000000011</v>
      </c>
      <c r="M757">
        <f t="shared" si="178"/>
        <v>1.05</v>
      </c>
      <c r="N757">
        <f t="shared" si="172"/>
        <v>0.71250000000000002</v>
      </c>
      <c r="Q757" t="str" cm="1">
        <f t="array" ref="Q757:R757">_xlfn.TEXTSPLIT(E757," ")</f>
        <v>27.10.2023</v>
      </c>
      <c r="R757" t="str">
        <v>12:36:15</v>
      </c>
      <c r="S757">
        <f t="shared" si="185"/>
        <v>12.566666666666871</v>
      </c>
      <c r="T757">
        <f t="shared" si="176"/>
        <v>10.180000000000007</v>
      </c>
      <c r="U757">
        <f t="shared" si="179"/>
        <v>2.7</v>
      </c>
      <c r="V757">
        <f t="shared" si="173"/>
        <v>1.2000000000000002</v>
      </c>
      <c r="AC757" t="s">
        <v>2031</v>
      </c>
      <c r="AD757">
        <v>0</v>
      </c>
      <c r="AE757">
        <v>7.84</v>
      </c>
      <c r="AG757" t="str" cm="1">
        <f t="array" ref="AG757:AH757">_xlfn.TEXTSPLIT(AC758," ")</f>
        <v>26.10.2023</v>
      </c>
      <c r="AH757" t="str">
        <v>12:37:17</v>
      </c>
      <c r="AI757">
        <f t="shared" si="186"/>
        <v>12.566666666666871</v>
      </c>
      <c r="AJ757">
        <f t="shared" si="180"/>
        <v>3.3099999999999996</v>
      </c>
      <c r="AK757">
        <f t="shared" si="181"/>
        <v>0</v>
      </c>
      <c r="AL757">
        <f t="shared" si="174"/>
        <v>0.30499999999999999</v>
      </c>
      <c r="AN757" t="s">
        <v>2031</v>
      </c>
      <c r="AO757">
        <v>0.6</v>
      </c>
      <c r="AP757">
        <v>70.209999999999994</v>
      </c>
      <c r="AR757" t="str" cm="1">
        <f t="array" ref="AR757:AS757">_xlfn.TEXTSPLIT(AN757," ")</f>
        <v>26.10.2023</v>
      </c>
      <c r="AS757" t="str">
        <v>12:36:17</v>
      </c>
      <c r="AT757">
        <f t="shared" si="187"/>
        <v>12.566666666666871</v>
      </c>
      <c r="AU757">
        <f t="shared" si="182"/>
        <v>8.8999999999999915</v>
      </c>
      <c r="AV757">
        <f t="shared" si="183"/>
        <v>0.6</v>
      </c>
      <c r="AW757">
        <f t="shared" si="175"/>
        <v>0.64999999999999991</v>
      </c>
    </row>
    <row r="758" spans="1:49" x14ac:dyDescent="0.25">
      <c r="A758" t="s">
        <v>2032</v>
      </c>
      <c r="B758">
        <v>0.9</v>
      </c>
      <c r="C758">
        <v>20.62</v>
      </c>
      <c r="E758" t="s">
        <v>2032</v>
      </c>
      <c r="F758">
        <v>2.5499999999999998</v>
      </c>
      <c r="G758">
        <v>88.83</v>
      </c>
      <c r="I758" t="str" cm="1">
        <f t="array" ref="I758:J758">_xlfn.TEXTSPLIT(A758," ")</f>
        <v>27.10.2023</v>
      </c>
      <c r="J758" t="str">
        <v>12:37:15</v>
      </c>
      <c r="K758">
        <f t="shared" si="184"/>
        <v>12.583333333333538</v>
      </c>
      <c r="L758">
        <f t="shared" si="177"/>
        <v>6.3000000000000007</v>
      </c>
      <c r="M758">
        <f t="shared" si="178"/>
        <v>0.9</v>
      </c>
      <c r="N758">
        <f t="shared" si="172"/>
        <v>0.72</v>
      </c>
      <c r="Q758" t="str" cm="1">
        <f t="array" ref="Q758:R758">_xlfn.TEXTSPLIT(E758," ")</f>
        <v>27.10.2023</v>
      </c>
      <c r="R758" t="str">
        <v>12:37:15</v>
      </c>
      <c r="S758">
        <f t="shared" si="185"/>
        <v>12.583333333333538</v>
      </c>
      <c r="T758">
        <f t="shared" si="176"/>
        <v>10.230000000000004</v>
      </c>
      <c r="U758">
        <f t="shared" si="179"/>
        <v>2.5499999999999998</v>
      </c>
      <c r="V758">
        <f t="shared" si="173"/>
        <v>1.2124999999999999</v>
      </c>
      <c r="AC758" t="s">
        <v>2033</v>
      </c>
      <c r="AD758">
        <v>0</v>
      </c>
      <c r="AE758">
        <v>7.84</v>
      </c>
      <c r="AG758" t="str" cm="1">
        <f t="array" ref="AG758:AH758">_xlfn.TEXTSPLIT(AC759," ")</f>
        <v>26.10.2023</v>
      </c>
      <c r="AH758" t="str">
        <v>12:38:17</v>
      </c>
      <c r="AI758">
        <f t="shared" si="186"/>
        <v>12.583333333333538</v>
      </c>
      <c r="AJ758">
        <f t="shared" si="180"/>
        <v>3.3099999999999996</v>
      </c>
      <c r="AK758">
        <f t="shared" si="181"/>
        <v>0</v>
      </c>
      <c r="AL758">
        <f t="shared" si="174"/>
        <v>0.30499999999999999</v>
      </c>
      <c r="AN758" t="s">
        <v>2033</v>
      </c>
      <c r="AO758">
        <v>1.05</v>
      </c>
      <c r="AP758">
        <v>70.23</v>
      </c>
      <c r="AR758" t="str" cm="1">
        <f t="array" ref="AR758:AS758">_xlfn.TEXTSPLIT(AN758," ")</f>
        <v>26.10.2023</v>
      </c>
      <c r="AS758" t="str">
        <v>12:37:17</v>
      </c>
      <c r="AT758">
        <f t="shared" si="187"/>
        <v>12.583333333333538</v>
      </c>
      <c r="AU758">
        <f t="shared" si="182"/>
        <v>8.9200000000000017</v>
      </c>
      <c r="AV758">
        <f t="shared" si="183"/>
        <v>1.05</v>
      </c>
      <c r="AW758">
        <f t="shared" si="175"/>
        <v>0.63749999999999973</v>
      </c>
    </row>
    <row r="759" spans="1:49" x14ac:dyDescent="0.25">
      <c r="A759" t="s">
        <v>2034</v>
      </c>
      <c r="B759">
        <v>1.8</v>
      </c>
      <c r="C759">
        <v>20.66</v>
      </c>
      <c r="E759" t="s">
        <v>2034</v>
      </c>
      <c r="F759">
        <v>2.25</v>
      </c>
      <c r="G759">
        <v>88.86</v>
      </c>
      <c r="I759" t="str" cm="1">
        <f t="array" ref="I759:J759">_xlfn.TEXTSPLIT(A759," ")</f>
        <v>27.10.2023</v>
      </c>
      <c r="J759" t="str">
        <v>12:38:15</v>
      </c>
      <c r="K759">
        <f t="shared" si="184"/>
        <v>12.600000000000206</v>
      </c>
      <c r="L759">
        <f t="shared" si="177"/>
        <v>6.34</v>
      </c>
      <c r="M759">
        <f t="shared" si="178"/>
        <v>1.8</v>
      </c>
      <c r="N759">
        <f t="shared" si="172"/>
        <v>0.72499999999999998</v>
      </c>
      <c r="Q759" t="str" cm="1">
        <f t="array" ref="Q759:R759">_xlfn.TEXTSPLIT(E759," ")</f>
        <v>27.10.2023</v>
      </c>
      <c r="R759" t="str">
        <v>12:38:15</v>
      </c>
      <c r="S759">
        <f t="shared" si="185"/>
        <v>12.600000000000206</v>
      </c>
      <c r="T759">
        <f t="shared" si="176"/>
        <v>10.260000000000005</v>
      </c>
      <c r="U759">
        <f t="shared" si="179"/>
        <v>2.25</v>
      </c>
      <c r="V759">
        <f t="shared" si="173"/>
        <v>1.2074999999999998</v>
      </c>
      <c r="AC759" t="s">
        <v>2035</v>
      </c>
      <c r="AD759">
        <v>0.3</v>
      </c>
      <c r="AE759">
        <v>7.85</v>
      </c>
      <c r="AG759" t="str" cm="1">
        <f t="array" ref="AG759:AH759">_xlfn.TEXTSPLIT(AC760," ")</f>
        <v>26.10.2023</v>
      </c>
      <c r="AH759" t="str">
        <v>12:39:17</v>
      </c>
      <c r="AI759">
        <f t="shared" si="186"/>
        <v>12.600000000000206</v>
      </c>
      <c r="AJ759">
        <f t="shared" si="180"/>
        <v>3.3199999999999994</v>
      </c>
      <c r="AK759">
        <f t="shared" si="181"/>
        <v>0.3</v>
      </c>
      <c r="AL759">
        <f t="shared" si="174"/>
        <v>0.31</v>
      </c>
      <c r="AN759" t="s">
        <v>2035</v>
      </c>
      <c r="AO759">
        <v>1.95</v>
      </c>
      <c r="AP759">
        <v>70.27</v>
      </c>
      <c r="AR759" t="str" cm="1">
        <f t="array" ref="AR759:AS759">_xlfn.TEXTSPLIT(AN759," ")</f>
        <v>26.10.2023</v>
      </c>
      <c r="AS759" t="str">
        <v>12:38:17</v>
      </c>
      <c r="AT759">
        <f t="shared" si="187"/>
        <v>12.600000000000206</v>
      </c>
      <c r="AU759">
        <f t="shared" si="182"/>
        <v>8.9599999999999937</v>
      </c>
      <c r="AV759">
        <f t="shared" si="183"/>
        <v>1.95</v>
      </c>
      <c r="AW759">
        <f t="shared" si="175"/>
        <v>0.63749999999999996</v>
      </c>
    </row>
    <row r="760" spans="1:49" x14ac:dyDescent="0.25">
      <c r="A760" t="s">
        <v>2036</v>
      </c>
      <c r="B760">
        <v>2.25</v>
      </c>
      <c r="C760">
        <v>20.69</v>
      </c>
      <c r="E760" t="s">
        <v>2036</v>
      </c>
      <c r="F760">
        <v>2.4</v>
      </c>
      <c r="G760">
        <v>88.91</v>
      </c>
      <c r="I760" t="str" cm="1">
        <f t="array" ref="I760:J760">_xlfn.TEXTSPLIT(A760," ")</f>
        <v>27.10.2023</v>
      </c>
      <c r="J760" t="str">
        <v>12:39:15</v>
      </c>
      <c r="K760">
        <f t="shared" si="184"/>
        <v>12.616666666666873</v>
      </c>
      <c r="L760">
        <f t="shared" si="177"/>
        <v>6.370000000000001</v>
      </c>
      <c r="M760">
        <f t="shared" si="178"/>
        <v>2.25</v>
      </c>
      <c r="N760">
        <f t="shared" si="172"/>
        <v>0.73499999999999976</v>
      </c>
      <c r="Q760" t="str" cm="1">
        <f t="array" ref="Q760:R760">_xlfn.TEXTSPLIT(E760," ")</f>
        <v>27.10.2023</v>
      </c>
      <c r="R760" t="str">
        <v>12:39:15</v>
      </c>
      <c r="S760">
        <f t="shared" si="185"/>
        <v>12.616666666666873</v>
      </c>
      <c r="T760">
        <f t="shared" si="176"/>
        <v>10.310000000000002</v>
      </c>
      <c r="U760">
        <f t="shared" si="179"/>
        <v>2.4</v>
      </c>
      <c r="V760">
        <f t="shared" si="173"/>
        <v>1.2124999999999999</v>
      </c>
      <c r="AC760" t="s">
        <v>2037</v>
      </c>
      <c r="AD760">
        <v>1.95</v>
      </c>
      <c r="AE760">
        <v>7.88</v>
      </c>
      <c r="AG760" t="str" cm="1">
        <f t="array" ref="AG760:AH760">_xlfn.TEXTSPLIT(AC761," ")</f>
        <v>26.10.2023</v>
      </c>
      <c r="AH760" t="str">
        <v>12:40:18</v>
      </c>
      <c r="AI760">
        <f t="shared" si="186"/>
        <v>12.616666666666873</v>
      </c>
      <c r="AJ760">
        <f t="shared" si="180"/>
        <v>3.3499999999999996</v>
      </c>
      <c r="AK760">
        <f t="shared" si="181"/>
        <v>1.95</v>
      </c>
      <c r="AL760">
        <f t="shared" si="174"/>
        <v>0.31749999999999995</v>
      </c>
      <c r="AN760" t="s">
        <v>2037</v>
      </c>
      <c r="AO760">
        <v>2.5499999999999998</v>
      </c>
      <c r="AP760">
        <v>70.3</v>
      </c>
      <c r="AR760" t="str" cm="1">
        <f t="array" ref="AR760:AS760">_xlfn.TEXTSPLIT(AN760," ")</f>
        <v>26.10.2023</v>
      </c>
      <c r="AS760" t="str">
        <v>12:39:17</v>
      </c>
      <c r="AT760">
        <f t="shared" si="187"/>
        <v>12.616666666666873</v>
      </c>
      <c r="AU760">
        <f t="shared" si="182"/>
        <v>8.9899999999999949</v>
      </c>
      <c r="AV760">
        <f t="shared" si="183"/>
        <v>2.5499999999999998</v>
      </c>
      <c r="AW760">
        <f t="shared" si="175"/>
        <v>0.65249999999999997</v>
      </c>
    </row>
    <row r="761" spans="1:49" x14ac:dyDescent="0.25">
      <c r="A761" t="s">
        <v>2038</v>
      </c>
      <c r="B761">
        <v>1.65</v>
      </c>
      <c r="C761">
        <v>20.72</v>
      </c>
      <c r="E761" t="s">
        <v>2038</v>
      </c>
      <c r="F761">
        <v>1.65</v>
      </c>
      <c r="G761">
        <v>88.93</v>
      </c>
      <c r="I761" t="str" cm="1">
        <f t="array" ref="I761:J761">_xlfn.TEXTSPLIT(A761," ")</f>
        <v>27.10.2023</v>
      </c>
      <c r="J761" t="str">
        <v>12:40:15</v>
      </c>
      <c r="K761">
        <f t="shared" si="184"/>
        <v>12.633333333333541</v>
      </c>
      <c r="L761">
        <f t="shared" si="177"/>
        <v>6.3999999999999986</v>
      </c>
      <c r="M761">
        <f t="shared" si="178"/>
        <v>1.65</v>
      </c>
      <c r="N761">
        <f t="shared" si="172"/>
        <v>0.73749999999999993</v>
      </c>
      <c r="Q761" t="str" cm="1">
        <f t="array" ref="Q761:R761">_xlfn.TEXTSPLIT(E761," ")</f>
        <v>27.10.2023</v>
      </c>
      <c r="R761" t="str">
        <v>12:40:15</v>
      </c>
      <c r="S761">
        <f t="shared" si="185"/>
        <v>12.633333333333541</v>
      </c>
      <c r="T761">
        <f t="shared" si="176"/>
        <v>10.330000000000013</v>
      </c>
      <c r="U761">
        <f t="shared" si="179"/>
        <v>1.65</v>
      </c>
      <c r="V761">
        <f t="shared" si="173"/>
        <v>1.22</v>
      </c>
      <c r="AC761" t="s">
        <v>2039</v>
      </c>
      <c r="AD761">
        <v>1.65</v>
      </c>
      <c r="AE761">
        <v>7.9</v>
      </c>
      <c r="AG761" t="str" cm="1">
        <f t="array" ref="AG761:AH761">_xlfn.TEXTSPLIT(AC762," ")</f>
        <v>26.10.2023</v>
      </c>
      <c r="AH761" t="str">
        <v>12:41:18</v>
      </c>
      <c r="AI761">
        <f t="shared" si="186"/>
        <v>12.633333333333541</v>
      </c>
      <c r="AJ761">
        <f t="shared" si="180"/>
        <v>3.37</v>
      </c>
      <c r="AK761">
        <f t="shared" si="181"/>
        <v>1.65</v>
      </c>
      <c r="AL761">
        <f t="shared" si="174"/>
        <v>0.3175</v>
      </c>
      <c r="AN761" t="s">
        <v>2039</v>
      </c>
      <c r="AO761">
        <v>1.95</v>
      </c>
      <c r="AP761">
        <v>70.33</v>
      </c>
      <c r="AR761" t="str" cm="1">
        <f t="array" ref="AR761:AS761">_xlfn.TEXTSPLIT(AN761," ")</f>
        <v>26.10.2023</v>
      </c>
      <c r="AS761" t="str">
        <v>12:40:18</v>
      </c>
      <c r="AT761">
        <f t="shared" si="187"/>
        <v>12.633333333333541</v>
      </c>
      <c r="AU761">
        <f t="shared" si="182"/>
        <v>9.019999999999996</v>
      </c>
      <c r="AV761">
        <f t="shared" si="183"/>
        <v>1.95</v>
      </c>
      <c r="AW761">
        <f t="shared" si="175"/>
        <v>0.65500000000000003</v>
      </c>
    </row>
    <row r="762" spans="1:49" x14ac:dyDescent="0.25">
      <c r="A762" t="s">
        <v>2040</v>
      </c>
      <c r="B762">
        <v>1.8</v>
      </c>
      <c r="C762">
        <v>20.75</v>
      </c>
      <c r="E762" t="s">
        <v>2040</v>
      </c>
      <c r="F762">
        <v>1.5</v>
      </c>
      <c r="G762">
        <v>88.95</v>
      </c>
      <c r="I762" t="str" cm="1">
        <f t="array" ref="I762:J762">_xlfn.TEXTSPLIT(A762," ")</f>
        <v>27.10.2023</v>
      </c>
      <c r="J762" t="str">
        <v>12:41:15</v>
      </c>
      <c r="K762">
        <f t="shared" si="184"/>
        <v>12.650000000000208</v>
      </c>
      <c r="L762">
        <f t="shared" si="177"/>
        <v>6.43</v>
      </c>
      <c r="M762">
        <f t="shared" si="178"/>
        <v>1.8</v>
      </c>
      <c r="N762">
        <f t="shared" si="172"/>
        <v>0.73999999999999988</v>
      </c>
      <c r="Q762" t="str" cm="1">
        <f t="array" ref="Q762:R762">_xlfn.TEXTSPLIT(E762," ")</f>
        <v>27.10.2023</v>
      </c>
      <c r="R762" t="str">
        <v>12:41:15</v>
      </c>
      <c r="S762">
        <f t="shared" si="185"/>
        <v>12.650000000000208</v>
      </c>
      <c r="T762">
        <f t="shared" si="176"/>
        <v>10.350000000000009</v>
      </c>
      <c r="U762">
        <f t="shared" si="179"/>
        <v>1.5</v>
      </c>
      <c r="V762">
        <f t="shared" si="173"/>
        <v>1.2275</v>
      </c>
      <c r="AC762" t="s">
        <v>2041</v>
      </c>
      <c r="AD762">
        <v>1.05</v>
      </c>
      <c r="AE762">
        <v>7.92</v>
      </c>
      <c r="AG762" t="str" cm="1">
        <f t="array" ref="AG762:AH762">_xlfn.TEXTSPLIT(AC763," ")</f>
        <v>26.10.2023</v>
      </c>
      <c r="AH762" t="str">
        <v>12:42:18</v>
      </c>
      <c r="AI762">
        <f t="shared" si="186"/>
        <v>12.650000000000208</v>
      </c>
      <c r="AJ762">
        <f t="shared" si="180"/>
        <v>3.3899999999999997</v>
      </c>
      <c r="AK762">
        <f t="shared" si="181"/>
        <v>1.05</v>
      </c>
      <c r="AL762">
        <f t="shared" si="174"/>
        <v>0.3125</v>
      </c>
      <c r="AN762" t="s">
        <v>2041</v>
      </c>
      <c r="AO762">
        <v>1.35</v>
      </c>
      <c r="AP762">
        <v>70.349999999999994</v>
      </c>
      <c r="AR762" t="str" cm="1">
        <f t="array" ref="AR762:AS762">_xlfn.TEXTSPLIT(AN762," ")</f>
        <v>26.10.2023</v>
      </c>
      <c r="AS762" t="str">
        <v>12:41:18</v>
      </c>
      <c r="AT762">
        <f t="shared" si="187"/>
        <v>12.650000000000208</v>
      </c>
      <c r="AU762">
        <f t="shared" si="182"/>
        <v>9.039999999999992</v>
      </c>
      <c r="AV762">
        <f t="shared" si="183"/>
        <v>1.35</v>
      </c>
      <c r="AW762">
        <f t="shared" si="175"/>
        <v>0.65000000000000013</v>
      </c>
    </row>
    <row r="763" spans="1:49" x14ac:dyDescent="0.25">
      <c r="A763" t="s">
        <v>2042</v>
      </c>
      <c r="B763">
        <v>1.05</v>
      </c>
      <c r="C763">
        <v>20.76</v>
      </c>
      <c r="E763" t="s">
        <v>2042</v>
      </c>
      <c r="F763">
        <v>1.8</v>
      </c>
      <c r="G763">
        <v>88.99</v>
      </c>
      <c r="I763" t="str" cm="1">
        <f t="array" ref="I763:J763">_xlfn.TEXTSPLIT(A763," ")</f>
        <v>27.10.2023</v>
      </c>
      <c r="J763" t="str">
        <v>12:42:15</v>
      </c>
      <c r="K763">
        <f t="shared" si="184"/>
        <v>12.666666666666876</v>
      </c>
      <c r="L763">
        <f t="shared" si="177"/>
        <v>6.4400000000000013</v>
      </c>
      <c r="M763">
        <f t="shared" si="178"/>
        <v>1.05</v>
      </c>
      <c r="N763">
        <f t="shared" si="172"/>
        <v>0.73999999999999988</v>
      </c>
      <c r="Q763" t="str" cm="1">
        <f t="array" ref="Q763:R763">_xlfn.TEXTSPLIT(E763," ")</f>
        <v>27.10.2023</v>
      </c>
      <c r="R763" t="str">
        <v>12:42:15</v>
      </c>
      <c r="S763">
        <f t="shared" si="185"/>
        <v>12.666666666666876</v>
      </c>
      <c r="T763">
        <f t="shared" si="176"/>
        <v>10.39</v>
      </c>
      <c r="U763">
        <f t="shared" si="179"/>
        <v>1.8</v>
      </c>
      <c r="V763">
        <f t="shared" si="173"/>
        <v>1.2425000000000002</v>
      </c>
      <c r="AC763" t="s">
        <v>2043</v>
      </c>
      <c r="AD763">
        <v>1.05</v>
      </c>
      <c r="AE763">
        <v>7.95</v>
      </c>
      <c r="AG763" t="str" cm="1">
        <f t="array" ref="AG763:AH763">_xlfn.TEXTSPLIT(AC764," ")</f>
        <v>26.10.2023</v>
      </c>
      <c r="AH763" t="str">
        <v>12:43:18</v>
      </c>
      <c r="AI763">
        <f t="shared" si="186"/>
        <v>12.666666666666876</v>
      </c>
      <c r="AJ763">
        <f t="shared" si="180"/>
        <v>3.42</v>
      </c>
      <c r="AK763">
        <f t="shared" si="181"/>
        <v>1.05</v>
      </c>
      <c r="AL763">
        <f t="shared" si="174"/>
        <v>0.315</v>
      </c>
      <c r="AN763" t="s">
        <v>2043</v>
      </c>
      <c r="AO763">
        <v>0.9</v>
      </c>
      <c r="AP763">
        <v>70.37</v>
      </c>
      <c r="AR763" t="str" cm="1">
        <f t="array" ref="AR763:AS763">_xlfn.TEXTSPLIT(AN763," ")</f>
        <v>26.10.2023</v>
      </c>
      <c r="AS763" t="str">
        <v>12:42:18</v>
      </c>
      <c r="AT763">
        <f t="shared" si="187"/>
        <v>12.666666666666876</v>
      </c>
      <c r="AU763">
        <f t="shared" si="182"/>
        <v>9.0600000000000023</v>
      </c>
      <c r="AV763">
        <f t="shared" si="183"/>
        <v>0.9</v>
      </c>
      <c r="AW763">
        <f t="shared" si="175"/>
        <v>0.65</v>
      </c>
    </row>
    <row r="764" spans="1:49" x14ac:dyDescent="0.25">
      <c r="A764" t="s">
        <v>2044</v>
      </c>
      <c r="B764">
        <v>1.2</v>
      </c>
      <c r="C764">
        <v>20.78</v>
      </c>
      <c r="E764" t="s">
        <v>2044</v>
      </c>
      <c r="F764">
        <v>1.65</v>
      </c>
      <c r="G764">
        <v>89.02</v>
      </c>
      <c r="I764" t="str" cm="1">
        <f t="array" ref="I764:J764">_xlfn.TEXTSPLIT(A764," ")</f>
        <v>27.10.2023</v>
      </c>
      <c r="J764" t="str">
        <v>12:43:16</v>
      </c>
      <c r="K764">
        <f t="shared" si="184"/>
        <v>12.683333333333543</v>
      </c>
      <c r="L764">
        <f t="shared" si="177"/>
        <v>6.4600000000000009</v>
      </c>
      <c r="M764">
        <f t="shared" si="178"/>
        <v>1.2</v>
      </c>
      <c r="N764">
        <f t="shared" si="172"/>
        <v>0.74749999999999983</v>
      </c>
      <c r="Q764" t="str" cm="1">
        <f t="array" ref="Q764:R764">_xlfn.TEXTSPLIT(E764," ")</f>
        <v>27.10.2023</v>
      </c>
      <c r="R764" t="str">
        <v>12:43:16</v>
      </c>
      <c r="S764">
        <f t="shared" si="185"/>
        <v>12.683333333333543</v>
      </c>
      <c r="T764">
        <f t="shared" si="176"/>
        <v>10.420000000000002</v>
      </c>
      <c r="U764">
        <f t="shared" si="179"/>
        <v>1.65</v>
      </c>
      <c r="V764">
        <f t="shared" si="173"/>
        <v>1.2500000000000002</v>
      </c>
      <c r="AC764" t="s">
        <v>2045</v>
      </c>
      <c r="AD764">
        <v>1.35</v>
      </c>
      <c r="AE764">
        <v>7.97</v>
      </c>
      <c r="AG764" t="str" cm="1">
        <f t="array" ref="AG764:AH764">_xlfn.TEXTSPLIT(AC765," ")</f>
        <v>26.10.2023</v>
      </c>
      <c r="AH764" t="str">
        <v>12:44:18</v>
      </c>
      <c r="AI764">
        <f t="shared" si="186"/>
        <v>12.683333333333543</v>
      </c>
      <c r="AJ764">
        <f t="shared" si="180"/>
        <v>3.4399999999999995</v>
      </c>
      <c r="AK764">
        <f t="shared" si="181"/>
        <v>1.35</v>
      </c>
      <c r="AL764">
        <f t="shared" si="174"/>
        <v>0.32750000000000001</v>
      </c>
      <c r="AN764" t="s">
        <v>2045</v>
      </c>
      <c r="AO764">
        <v>1.05</v>
      </c>
      <c r="AP764">
        <v>70.39</v>
      </c>
      <c r="AR764" t="str" cm="1">
        <f t="array" ref="AR764:AS764">_xlfn.TEXTSPLIT(AN764," ")</f>
        <v>26.10.2023</v>
      </c>
      <c r="AS764" t="str">
        <v>12:43:18</v>
      </c>
      <c r="AT764">
        <f t="shared" si="187"/>
        <v>12.683333333333543</v>
      </c>
      <c r="AU764">
        <f t="shared" si="182"/>
        <v>9.0799999999999983</v>
      </c>
      <c r="AV764">
        <f t="shared" si="183"/>
        <v>1.05</v>
      </c>
      <c r="AW764">
        <f t="shared" si="175"/>
        <v>0.65750000000000008</v>
      </c>
    </row>
    <row r="765" spans="1:49" x14ac:dyDescent="0.25">
      <c r="A765" t="s">
        <v>2046</v>
      </c>
      <c r="B765">
        <v>0.9</v>
      </c>
      <c r="C765">
        <v>20.8</v>
      </c>
      <c r="E765" t="s">
        <v>2046</v>
      </c>
      <c r="F765">
        <v>1.95</v>
      </c>
      <c r="G765">
        <v>89.04</v>
      </c>
      <c r="I765" t="str" cm="1">
        <f t="array" ref="I765:J765">_xlfn.TEXTSPLIT(A765," ")</f>
        <v>27.10.2023</v>
      </c>
      <c r="J765" t="str">
        <v>12:44:16</v>
      </c>
      <c r="K765">
        <f t="shared" si="184"/>
        <v>12.700000000000211</v>
      </c>
      <c r="L765">
        <f t="shared" si="177"/>
        <v>6.48</v>
      </c>
      <c r="M765">
        <f t="shared" si="178"/>
        <v>0.9</v>
      </c>
      <c r="N765">
        <f t="shared" si="172"/>
        <v>0.75499999999999967</v>
      </c>
      <c r="Q765" t="str" cm="1">
        <f t="array" ref="Q765:R765">_xlfn.TEXTSPLIT(E765," ")</f>
        <v>27.10.2023</v>
      </c>
      <c r="R765" t="str">
        <v>12:44:16</v>
      </c>
      <c r="S765">
        <f t="shared" si="185"/>
        <v>12.700000000000211</v>
      </c>
      <c r="T765">
        <f t="shared" si="176"/>
        <v>10.440000000000012</v>
      </c>
      <c r="U765">
        <f t="shared" si="179"/>
        <v>1.95</v>
      </c>
      <c r="V765">
        <f t="shared" si="173"/>
        <v>1.2575000000000003</v>
      </c>
      <c r="AC765" t="s">
        <v>2047</v>
      </c>
      <c r="AD765">
        <v>0.9</v>
      </c>
      <c r="AE765">
        <v>7.98</v>
      </c>
      <c r="AG765" t="str" cm="1">
        <f t="array" ref="AG765:AH765">_xlfn.TEXTSPLIT(AC766," ")</f>
        <v>26.10.2023</v>
      </c>
      <c r="AH765" t="str">
        <v>12:45:18</v>
      </c>
      <c r="AI765">
        <f t="shared" si="186"/>
        <v>12.700000000000211</v>
      </c>
      <c r="AJ765">
        <f t="shared" si="180"/>
        <v>3.45</v>
      </c>
      <c r="AK765">
        <f t="shared" si="181"/>
        <v>0.9</v>
      </c>
      <c r="AL765">
        <f t="shared" si="174"/>
        <v>0.33249999999999996</v>
      </c>
      <c r="AN765" t="s">
        <v>2047</v>
      </c>
      <c r="AO765">
        <v>1.65</v>
      </c>
      <c r="AP765">
        <v>70.42</v>
      </c>
      <c r="AR765" t="str" cm="1">
        <f t="array" ref="AR765:AS765">_xlfn.TEXTSPLIT(AN765," ")</f>
        <v>26.10.2023</v>
      </c>
      <c r="AS765" t="str">
        <v>12:44:18</v>
      </c>
      <c r="AT765">
        <f t="shared" si="187"/>
        <v>12.700000000000211</v>
      </c>
      <c r="AU765">
        <f t="shared" si="182"/>
        <v>9.11</v>
      </c>
      <c r="AV765">
        <f t="shared" si="183"/>
        <v>1.65</v>
      </c>
      <c r="AW765">
        <f t="shared" si="175"/>
        <v>0.67249999999999999</v>
      </c>
    </row>
    <row r="766" spans="1:49" x14ac:dyDescent="0.25">
      <c r="A766" t="s">
        <v>2048</v>
      </c>
      <c r="B766">
        <v>1.05</v>
      </c>
      <c r="C766">
        <v>20.82</v>
      </c>
      <c r="E766" t="s">
        <v>2048</v>
      </c>
      <c r="F766">
        <v>1.35</v>
      </c>
      <c r="G766">
        <v>89.06</v>
      </c>
      <c r="I766" t="str" cm="1">
        <f t="array" ref="I766:J766">_xlfn.TEXTSPLIT(A766," ")</f>
        <v>27.10.2023</v>
      </c>
      <c r="J766" t="str">
        <v>12:45:16</v>
      </c>
      <c r="K766">
        <f t="shared" si="184"/>
        <v>12.716666666666878</v>
      </c>
      <c r="L766">
        <f t="shared" si="177"/>
        <v>6.5</v>
      </c>
      <c r="M766">
        <f t="shared" si="178"/>
        <v>1.05</v>
      </c>
      <c r="N766">
        <f t="shared" si="172"/>
        <v>0.76249999999999962</v>
      </c>
      <c r="Q766" t="str" cm="1">
        <f t="array" ref="Q766:R766">_xlfn.TEXTSPLIT(E766," ")</f>
        <v>27.10.2023</v>
      </c>
      <c r="R766" t="str">
        <v>12:45:16</v>
      </c>
      <c r="S766">
        <f t="shared" si="185"/>
        <v>12.716666666666878</v>
      </c>
      <c r="T766">
        <f t="shared" si="176"/>
        <v>10.460000000000008</v>
      </c>
      <c r="U766">
        <f t="shared" si="179"/>
        <v>1.35</v>
      </c>
      <c r="V766">
        <f t="shared" si="173"/>
        <v>1.2549999999999999</v>
      </c>
      <c r="AC766" t="s">
        <v>2049</v>
      </c>
      <c r="AD766">
        <v>0.75</v>
      </c>
      <c r="AE766">
        <v>7.99</v>
      </c>
      <c r="AG766" t="str" cm="1">
        <f t="array" ref="AG766:AH766">_xlfn.TEXTSPLIT(AC767," ")</f>
        <v>26.10.2023</v>
      </c>
      <c r="AH766" t="str">
        <v>12:46:18</v>
      </c>
      <c r="AI766">
        <f t="shared" si="186"/>
        <v>12.716666666666878</v>
      </c>
      <c r="AJ766">
        <f t="shared" si="180"/>
        <v>3.46</v>
      </c>
      <c r="AK766">
        <f t="shared" si="181"/>
        <v>0.75</v>
      </c>
      <c r="AL766">
        <f t="shared" si="174"/>
        <v>0.34</v>
      </c>
      <c r="AN766" t="s">
        <v>2049</v>
      </c>
      <c r="AO766">
        <v>1.5</v>
      </c>
      <c r="AP766">
        <v>70.44</v>
      </c>
      <c r="AR766" t="str" cm="1">
        <f t="array" ref="AR766:AS766">_xlfn.TEXTSPLIT(AN766," ")</f>
        <v>26.10.2023</v>
      </c>
      <c r="AS766" t="str">
        <v>12:45:18</v>
      </c>
      <c r="AT766">
        <f t="shared" si="187"/>
        <v>12.716666666666878</v>
      </c>
      <c r="AU766">
        <f t="shared" si="182"/>
        <v>9.1299999999999955</v>
      </c>
      <c r="AV766">
        <f t="shared" si="183"/>
        <v>1.5</v>
      </c>
      <c r="AW766">
        <f t="shared" si="175"/>
        <v>0.69</v>
      </c>
    </row>
    <row r="767" spans="1:49" x14ac:dyDescent="0.25">
      <c r="A767" t="s">
        <v>2050</v>
      </c>
      <c r="B767">
        <v>1.2</v>
      </c>
      <c r="C767">
        <v>20.84</v>
      </c>
      <c r="E767" t="s">
        <v>2050</v>
      </c>
      <c r="F767">
        <v>1.05</v>
      </c>
      <c r="G767">
        <v>89.09</v>
      </c>
      <c r="I767" t="str" cm="1">
        <f t="array" ref="I767:J767">_xlfn.TEXTSPLIT(A767," ")</f>
        <v>27.10.2023</v>
      </c>
      <c r="J767" t="str">
        <v>12:46:16</v>
      </c>
      <c r="K767">
        <f t="shared" si="184"/>
        <v>12.733333333333546</v>
      </c>
      <c r="L767">
        <f t="shared" si="177"/>
        <v>6.52</v>
      </c>
      <c r="M767">
        <f t="shared" si="178"/>
        <v>1.2</v>
      </c>
      <c r="N767">
        <f t="shared" ref="N767:N830" si="188">AVERAGE(M708:M767)</f>
        <v>0.77249999999999974</v>
      </c>
      <c r="Q767" t="str" cm="1">
        <f t="array" ref="Q767:R767">_xlfn.TEXTSPLIT(E767," ")</f>
        <v>27.10.2023</v>
      </c>
      <c r="R767" t="str">
        <v>12:46:16</v>
      </c>
      <c r="S767">
        <f t="shared" si="185"/>
        <v>12.733333333333546</v>
      </c>
      <c r="T767">
        <f t="shared" si="176"/>
        <v>10.490000000000009</v>
      </c>
      <c r="U767">
        <f t="shared" si="179"/>
        <v>1.05</v>
      </c>
      <c r="V767">
        <f t="shared" ref="V767:V830" si="189">AVERAGE(U708:U767)</f>
        <v>1.2525000000000002</v>
      </c>
      <c r="AC767" t="s">
        <v>2051</v>
      </c>
      <c r="AD767">
        <v>0.6</v>
      </c>
      <c r="AE767">
        <v>8</v>
      </c>
      <c r="AG767" t="str" cm="1">
        <f t="array" ref="AG767:AH767">_xlfn.TEXTSPLIT(AC768," ")</f>
        <v>26.10.2023</v>
      </c>
      <c r="AH767" t="str">
        <v>12:47:19</v>
      </c>
      <c r="AI767">
        <f t="shared" si="186"/>
        <v>12.733333333333546</v>
      </c>
      <c r="AJ767">
        <f t="shared" si="180"/>
        <v>3.4699999999999998</v>
      </c>
      <c r="AK767">
        <f t="shared" si="181"/>
        <v>0.6</v>
      </c>
      <c r="AL767">
        <f t="shared" ref="AL767:AL830" si="190">AVERAGE(AK708:AK767)</f>
        <v>0.34500000000000003</v>
      </c>
      <c r="AN767" t="s">
        <v>2051</v>
      </c>
      <c r="AO767">
        <v>1.05</v>
      </c>
      <c r="AP767">
        <v>70.459999999999994</v>
      </c>
      <c r="AR767" t="str" cm="1">
        <f t="array" ref="AR767:AS767">_xlfn.TEXTSPLIT(AN767," ")</f>
        <v>26.10.2023</v>
      </c>
      <c r="AS767" t="str">
        <v>12:46:18</v>
      </c>
      <c r="AT767">
        <f t="shared" si="187"/>
        <v>12.733333333333546</v>
      </c>
      <c r="AU767">
        <f t="shared" si="182"/>
        <v>9.1499999999999915</v>
      </c>
      <c r="AV767">
        <f t="shared" si="183"/>
        <v>1.05</v>
      </c>
      <c r="AW767">
        <f t="shared" ref="AW767:AW830" si="191">AVERAGE(AV708:AV767)</f>
        <v>0.69499999999999995</v>
      </c>
    </row>
    <row r="768" spans="1:49" x14ac:dyDescent="0.25">
      <c r="A768" t="s">
        <v>2052</v>
      </c>
      <c r="B768">
        <v>1.5</v>
      </c>
      <c r="C768">
        <v>20.86</v>
      </c>
      <c r="E768" t="s">
        <v>2052</v>
      </c>
      <c r="F768">
        <v>1.95</v>
      </c>
      <c r="G768">
        <v>89.12</v>
      </c>
      <c r="I768" t="str" cm="1">
        <f t="array" ref="I768:J768">_xlfn.TEXTSPLIT(A768," ")</f>
        <v>27.10.2023</v>
      </c>
      <c r="J768" t="str">
        <v>12:47:16</v>
      </c>
      <c r="K768">
        <f t="shared" si="184"/>
        <v>12.750000000000213</v>
      </c>
      <c r="L768">
        <f t="shared" si="177"/>
        <v>6.5399999999999991</v>
      </c>
      <c r="M768">
        <f t="shared" si="178"/>
        <v>1.5</v>
      </c>
      <c r="N768">
        <f t="shared" si="188"/>
        <v>0.78249999999999997</v>
      </c>
      <c r="Q768" t="str" cm="1">
        <f t="array" ref="Q768:R768">_xlfn.TEXTSPLIT(E768," ")</f>
        <v>27.10.2023</v>
      </c>
      <c r="R768" t="str">
        <v>12:47:16</v>
      </c>
      <c r="S768">
        <f t="shared" si="185"/>
        <v>12.750000000000213</v>
      </c>
      <c r="T768">
        <f t="shared" si="176"/>
        <v>10.52000000000001</v>
      </c>
      <c r="U768">
        <f t="shared" si="179"/>
        <v>1.95</v>
      </c>
      <c r="V768">
        <f t="shared" si="189"/>
        <v>1.2674999999999998</v>
      </c>
      <c r="AC768" t="s">
        <v>2053</v>
      </c>
      <c r="AD768">
        <v>0.6</v>
      </c>
      <c r="AE768">
        <v>8.01</v>
      </c>
      <c r="AG768" t="str" cm="1">
        <f t="array" ref="AG768:AH768">_xlfn.TEXTSPLIT(AC769," ")</f>
        <v>26.10.2023</v>
      </c>
      <c r="AH768" t="str">
        <v>12:48:19</v>
      </c>
      <c r="AI768">
        <f t="shared" si="186"/>
        <v>12.750000000000213</v>
      </c>
      <c r="AJ768">
        <f t="shared" si="180"/>
        <v>3.4799999999999995</v>
      </c>
      <c r="AK768">
        <f t="shared" si="181"/>
        <v>0.6</v>
      </c>
      <c r="AL768">
        <f t="shared" si="190"/>
        <v>0.35000000000000003</v>
      </c>
      <c r="AN768" t="s">
        <v>2053</v>
      </c>
      <c r="AO768">
        <v>0.75</v>
      </c>
      <c r="AP768">
        <v>70.47</v>
      </c>
      <c r="AR768" t="str" cm="1">
        <f t="array" ref="AR768:AS768">_xlfn.TEXTSPLIT(AN768," ")</f>
        <v>26.10.2023</v>
      </c>
      <c r="AS768" t="str">
        <v>12:47:19</v>
      </c>
      <c r="AT768">
        <f t="shared" si="187"/>
        <v>12.750000000000213</v>
      </c>
      <c r="AU768">
        <f t="shared" si="182"/>
        <v>9.1599999999999966</v>
      </c>
      <c r="AV768">
        <f t="shared" si="183"/>
        <v>0.75</v>
      </c>
      <c r="AW768">
        <f t="shared" si="191"/>
        <v>0.69499999999999995</v>
      </c>
    </row>
    <row r="769" spans="1:49" x14ac:dyDescent="0.25">
      <c r="A769" t="s">
        <v>2054</v>
      </c>
      <c r="B769">
        <v>0.75</v>
      </c>
      <c r="C769">
        <v>20.87</v>
      </c>
      <c r="E769" t="s">
        <v>2054</v>
      </c>
      <c r="F769">
        <v>2.4</v>
      </c>
      <c r="G769">
        <v>89.16</v>
      </c>
      <c r="I769" t="str" cm="1">
        <f t="array" ref="I769:J769">_xlfn.TEXTSPLIT(A769," ")</f>
        <v>27.10.2023</v>
      </c>
      <c r="J769" t="str">
        <v>12:48:16</v>
      </c>
      <c r="K769">
        <f t="shared" si="184"/>
        <v>12.766666666666881</v>
      </c>
      <c r="L769">
        <f t="shared" si="177"/>
        <v>6.5500000000000007</v>
      </c>
      <c r="M769">
        <f t="shared" si="178"/>
        <v>0.75</v>
      </c>
      <c r="N769">
        <f t="shared" si="188"/>
        <v>0.7799999999999998</v>
      </c>
      <c r="Q769" t="str" cm="1">
        <f t="array" ref="Q769:R769">_xlfn.TEXTSPLIT(E769," ")</f>
        <v>27.10.2023</v>
      </c>
      <c r="R769" t="str">
        <v>12:48:16</v>
      </c>
      <c r="S769">
        <f t="shared" si="185"/>
        <v>12.766666666666881</v>
      </c>
      <c r="T769">
        <f t="shared" si="176"/>
        <v>10.560000000000002</v>
      </c>
      <c r="U769">
        <f t="shared" si="179"/>
        <v>2.4</v>
      </c>
      <c r="V769">
        <f t="shared" si="189"/>
        <v>1.2925</v>
      </c>
      <c r="AC769" t="s">
        <v>2055</v>
      </c>
      <c r="AD769">
        <v>0.3</v>
      </c>
      <c r="AE769">
        <v>8.01</v>
      </c>
      <c r="AG769" t="str" cm="1">
        <f t="array" ref="AG769:AH769">_xlfn.TEXTSPLIT(AC770," ")</f>
        <v>26.10.2023</v>
      </c>
      <c r="AH769" t="str">
        <v>12:49:19</v>
      </c>
      <c r="AI769">
        <f t="shared" si="186"/>
        <v>12.766666666666881</v>
      </c>
      <c r="AJ769">
        <f t="shared" si="180"/>
        <v>3.4799999999999995</v>
      </c>
      <c r="AK769">
        <f t="shared" si="181"/>
        <v>0.3</v>
      </c>
      <c r="AL769">
        <f t="shared" si="190"/>
        <v>0.34750000000000009</v>
      </c>
      <c r="AN769" t="s">
        <v>2055</v>
      </c>
      <c r="AO769">
        <v>0.6</v>
      </c>
      <c r="AP769">
        <v>70.48</v>
      </c>
      <c r="AR769" t="str" cm="1">
        <f t="array" ref="AR769:AS769">_xlfn.TEXTSPLIT(AN769," ")</f>
        <v>26.10.2023</v>
      </c>
      <c r="AS769" t="str">
        <v>12:48:19</v>
      </c>
      <c r="AT769">
        <f t="shared" si="187"/>
        <v>12.766666666666881</v>
      </c>
      <c r="AU769">
        <f t="shared" si="182"/>
        <v>9.1700000000000017</v>
      </c>
      <c r="AV769">
        <f t="shared" si="183"/>
        <v>0.6</v>
      </c>
      <c r="AW769">
        <f t="shared" si="191"/>
        <v>0.6925</v>
      </c>
    </row>
    <row r="770" spans="1:49" x14ac:dyDescent="0.25">
      <c r="A770" t="s">
        <v>2056</v>
      </c>
      <c r="B770">
        <v>0.9</v>
      </c>
      <c r="C770">
        <v>20.88</v>
      </c>
      <c r="E770" t="s">
        <v>2056</v>
      </c>
      <c r="F770">
        <v>1.35</v>
      </c>
      <c r="G770">
        <v>89.18</v>
      </c>
      <c r="I770" t="str" cm="1">
        <f t="array" ref="I770:J770">_xlfn.TEXTSPLIT(A770," ")</f>
        <v>27.10.2023</v>
      </c>
      <c r="J770" t="str">
        <v>12:49:16</v>
      </c>
      <c r="K770">
        <f t="shared" si="184"/>
        <v>12.783333333333548</v>
      </c>
      <c r="L770">
        <f t="shared" si="177"/>
        <v>6.5599999999999987</v>
      </c>
      <c r="M770">
        <f t="shared" si="178"/>
        <v>0.9</v>
      </c>
      <c r="N770">
        <f t="shared" si="188"/>
        <v>0.77499999999999991</v>
      </c>
      <c r="Q770" t="str" cm="1">
        <f t="array" ref="Q770:R770">_xlfn.TEXTSPLIT(E770," ")</f>
        <v>27.10.2023</v>
      </c>
      <c r="R770" t="str">
        <v>12:49:16</v>
      </c>
      <c r="S770">
        <f t="shared" si="185"/>
        <v>12.783333333333548</v>
      </c>
      <c r="T770">
        <f t="shared" si="176"/>
        <v>10.580000000000013</v>
      </c>
      <c r="U770">
        <f t="shared" si="179"/>
        <v>1.35</v>
      </c>
      <c r="V770">
        <f t="shared" si="189"/>
        <v>1.2974999999999999</v>
      </c>
      <c r="AC770" t="s">
        <v>2057</v>
      </c>
      <c r="AD770">
        <v>0.15</v>
      </c>
      <c r="AE770">
        <v>8.02</v>
      </c>
      <c r="AG770" t="str" cm="1">
        <f t="array" ref="AG770:AH770">_xlfn.TEXTSPLIT(AC771," ")</f>
        <v>26.10.2023</v>
      </c>
      <c r="AH770" t="str">
        <v>12:50:19</v>
      </c>
      <c r="AI770">
        <f t="shared" si="186"/>
        <v>12.783333333333548</v>
      </c>
      <c r="AJ770">
        <f t="shared" si="180"/>
        <v>3.4899999999999993</v>
      </c>
      <c r="AK770">
        <f t="shared" si="181"/>
        <v>0.15</v>
      </c>
      <c r="AL770">
        <f t="shared" si="190"/>
        <v>0.34500000000000003</v>
      </c>
      <c r="AN770" t="s">
        <v>2057</v>
      </c>
      <c r="AO770">
        <v>0.6</v>
      </c>
      <c r="AP770">
        <v>70.489999999999995</v>
      </c>
      <c r="AR770" t="str" cm="1">
        <f t="array" ref="AR770:AS770">_xlfn.TEXTSPLIT(AN770," ")</f>
        <v>26.10.2023</v>
      </c>
      <c r="AS770" t="str">
        <v>12:49:19</v>
      </c>
      <c r="AT770">
        <f t="shared" si="187"/>
        <v>12.783333333333548</v>
      </c>
      <c r="AU770">
        <f t="shared" si="182"/>
        <v>9.1799999999999926</v>
      </c>
      <c r="AV770">
        <f t="shared" si="183"/>
        <v>0.6</v>
      </c>
      <c r="AW770">
        <f t="shared" si="191"/>
        <v>0.6925</v>
      </c>
    </row>
    <row r="771" spans="1:49" x14ac:dyDescent="0.25">
      <c r="A771" t="s">
        <v>2058</v>
      </c>
      <c r="B771">
        <v>0.6</v>
      </c>
      <c r="C771">
        <v>20.9</v>
      </c>
      <c r="E771" t="s">
        <v>2058</v>
      </c>
      <c r="F771">
        <v>1.5</v>
      </c>
      <c r="G771">
        <v>89.21</v>
      </c>
      <c r="I771" t="str" cm="1">
        <f t="array" ref="I771:J771">_xlfn.TEXTSPLIT(A771," ")</f>
        <v>27.10.2023</v>
      </c>
      <c r="J771" t="str">
        <v>12:50:16</v>
      </c>
      <c r="K771">
        <f t="shared" si="184"/>
        <v>12.800000000000216</v>
      </c>
      <c r="L771">
        <f t="shared" si="177"/>
        <v>6.5799999999999983</v>
      </c>
      <c r="M771">
        <f t="shared" si="178"/>
        <v>0.6</v>
      </c>
      <c r="N771">
        <f t="shared" si="188"/>
        <v>0.76999999999999991</v>
      </c>
      <c r="Q771" t="str" cm="1">
        <f t="array" ref="Q771:R771">_xlfn.TEXTSPLIT(E771," ")</f>
        <v>27.10.2023</v>
      </c>
      <c r="R771" t="str">
        <v>12:50:16</v>
      </c>
      <c r="S771">
        <f t="shared" si="185"/>
        <v>12.800000000000216</v>
      </c>
      <c r="T771">
        <f t="shared" ref="T771:T834" si="192">G771-78.6</f>
        <v>10.61</v>
      </c>
      <c r="U771">
        <f t="shared" si="179"/>
        <v>1.5</v>
      </c>
      <c r="V771">
        <f t="shared" si="189"/>
        <v>1.2974999999999999</v>
      </c>
      <c r="AC771" t="s">
        <v>2059</v>
      </c>
      <c r="AD771">
        <v>0.3</v>
      </c>
      <c r="AE771">
        <v>8.0299999999999994</v>
      </c>
      <c r="AG771" t="str" cm="1">
        <f t="array" ref="AG771:AH771">_xlfn.TEXTSPLIT(AC772," ")</f>
        <v>26.10.2023</v>
      </c>
      <c r="AH771" t="str">
        <v>12:51:19</v>
      </c>
      <c r="AI771">
        <f t="shared" si="186"/>
        <v>12.800000000000216</v>
      </c>
      <c r="AJ771">
        <f t="shared" si="180"/>
        <v>3.4999999999999991</v>
      </c>
      <c r="AK771">
        <f t="shared" si="181"/>
        <v>0.3</v>
      </c>
      <c r="AL771">
        <f t="shared" si="190"/>
        <v>0.34750000000000009</v>
      </c>
      <c r="AN771" t="s">
        <v>2059</v>
      </c>
      <c r="AO771">
        <v>0.6</v>
      </c>
      <c r="AP771">
        <v>70.5</v>
      </c>
      <c r="AR771" t="str" cm="1">
        <f t="array" ref="AR771:AS771">_xlfn.TEXTSPLIT(AN771," ")</f>
        <v>26.10.2023</v>
      </c>
      <c r="AS771" t="str">
        <v>12:50:19</v>
      </c>
      <c r="AT771">
        <f t="shared" si="187"/>
        <v>12.800000000000216</v>
      </c>
      <c r="AU771">
        <f t="shared" si="182"/>
        <v>9.1899999999999977</v>
      </c>
      <c r="AV771">
        <f t="shared" si="183"/>
        <v>0.6</v>
      </c>
      <c r="AW771">
        <f t="shared" si="191"/>
        <v>0.69</v>
      </c>
    </row>
    <row r="772" spans="1:49" x14ac:dyDescent="0.25">
      <c r="A772" t="s">
        <v>2060</v>
      </c>
      <c r="B772">
        <v>0.75</v>
      </c>
      <c r="C772">
        <v>20.91</v>
      </c>
      <c r="E772" t="s">
        <v>2060</v>
      </c>
      <c r="F772">
        <v>1.35</v>
      </c>
      <c r="G772">
        <v>89.23</v>
      </c>
      <c r="I772" t="str" cm="1">
        <f t="array" ref="I772:J772">_xlfn.TEXTSPLIT(A772," ")</f>
        <v>27.10.2023</v>
      </c>
      <c r="J772" t="str">
        <v>12:51:16</v>
      </c>
      <c r="K772">
        <f t="shared" si="184"/>
        <v>12.816666666666883</v>
      </c>
      <c r="L772">
        <f t="shared" ref="L772:L835" si="193">C772-14.32</f>
        <v>6.59</v>
      </c>
      <c r="M772">
        <f t="shared" ref="M772:M835" si="194">B772</f>
        <v>0.75</v>
      </c>
      <c r="N772">
        <f t="shared" si="188"/>
        <v>0.76999999999999991</v>
      </c>
      <c r="Q772" t="str" cm="1">
        <f t="array" ref="Q772:R772">_xlfn.TEXTSPLIT(E772," ")</f>
        <v>27.10.2023</v>
      </c>
      <c r="R772" t="str">
        <v>12:51:16</v>
      </c>
      <c r="S772">
        <f t="shared" si="185"/>
        <v>12.816666666666883</v>
      </c>
      <c r="T772">
        <f t="shared" si="192"/>
        <v>10.63000000000001</v>
      </c>
      <c r="U772">
        <f t="shared" ref="U772:U835" si="195">F772</f>
        <v>1.35</v>
      </c>
      <c r="V772">
        <f t="shared" si="189"/>
        <v>1.2949999999999995</v>
      </c>
      <c r="AC772" t="s">
        <v>2061</v>
      </c>
      <c r="AD772">
        <v>0.3</v>
      </c>
      <c r="AE772">
        <v>8.0299999999999994</v>
      </c>
      <c r="AG772" t="str" cm="1">
        <f t="array" ref="AG772:AH772">_xlfn.TEXTSPLIT(AC773," ")</f>
        <v>26.10.2023</v>
      </c>
      <c r="AH772" t="str">
        <v>12:52:19</v>
      </c>
      <c r="AI772">
        <f t="shared" si="186"/>
        <v>12.816666666666883</v>
      </c>
      <c r="AJ772">
        <f t="shared" ref="AJ772:AJ835" si="196">AE772-4.53</f>
        <v>3.4999999999999991</v>
      </c>
      <c r="AK772">
        <f t="shared" ref="AK772:AK835" si="197">AD772</f>
        <v>0.3</v>
      </c>
      <c r="AL772">
        <f t="shared" si="190"/>
        <v>0.35250000000000009</v>
      </c>
      <c r="AN772" t="s">
        <v>2061</v>
      </c>
      <c r="AO772">
        <v>0.6</v>
      </c>
      <c r="AP772">
        <v>70.510000000000005</v>
      </c>
      <c r="AR772" t="str" cm="1">
        <f t="array" ref="AR772:AS772">_xlfn.TEXTSPLIT(AN772," ")</f>
        <v>26.10.2023</v>
      </c>
      <c r="AS772" t="str">
        <v>12:51:19</v>
      </c>
      <c r="AT772">
        <f t="shared" si="187"/>
        <v>12.816666666666883</v>
      </c>
      <c r="AU772">
        <f t="shared" ref="AU772:AU835" si="198">AP772-61.31</f>
        <v>9.2000000000000028</v>
      </c>
      <c r="AV772">
        <f t="shared" ref="AV772:AV835" si="199">AO772</f>
        <v>0.6</v>
      </c>
      <c r="AW772">
        <f t="shared" si="191"/>
        <v>0.6875</v>
      </c>
    </row>
    <row r="773" spans="1:49" x14ac:dyDescent="0.25">
      <c r="A773" t="s">
        <v>2062</v>
      </c>
      <c r="B773">
        <v>0.9</v>
      </c>
      <c r="C773">
        <v>20.92</v>
      </c>
      <c r="E773" t="s">
        <v>2062</v>
      </c>
      <c r="F773">
        <v>0.6</v>
      </c>
      <c r="G773">
        <v>89.24</v>
      </c>
      <c r="I773" t="str" cm="1">
        <f t="array" ref="I773:J773">_xlfn.TEXTSPLIT(A773," ")</f>
        <v>27.10.2023</v>
      </c>
      <c r="J773" t="str">
        <v>12:52:16</v>
      </c>
      <c r="K773">
        <f t="shared" ref="K773:K836" si="200">1/60+K772</f>
        <v>12.833333333333551</v>
      </c>
      <c r="L773">
        <f t="shared" si="193"/>
        <v>6.6000000000000014</v>
      </c>
      <c r="M773">
        <f t="shared" si="194"/>
        <v>0.9</v>
      </c>
      <c r="N773">
        <f t="shared" si="188"/>
        <v>0.77249999999999985</v>
      </c>
      <c r="Q773" t="str" cm="1">
        <f t="array" ref="Q773:R773">_xlfn.TEXTSPLIT(E773," ")</f>
        <v>27.10.2023</v>
      </c>
      <c r="R773" t="str">
        <v>12:52:16</v>
      </c>
      <c r="S773">
        <f t="shared" ref="S773:S836" si="201">1/60+S772</f>
        <v>12.833333333333551</v>
      </c>
      <c r="T773">
        <f t="shared" si="192"/>
        <v>10.64</v>
      </c>
      <c r="U773">
        <f t="shared" si="195"/>
        <v>0.6</v>
      </c>
      <c r="V773">
        <f t="shared" si="189"/>
        <v>1.2999999999999996</v>
      </c>
      <c r="AC773" t="s">
        <v>2063</v>
      </c>
      <c r="AD773">
        <v>0.45</v>
      </c>
      <c r="AE773">
        <v>8.0399999999999991</v>
      </c>
      <c r="AG773" t="str" cm="1">
        <f t="array" ref="AG773:AH773">_xlfn.TEXTSPLIT(AC774," ")</f>
        <v>26.10.2023</v>
      </c>
      <c r="AH773" t="str">
        <v>12:53:19</v>
      </c>
      <c r="AI773">
        <f t="shared" ref="AI773:AI836" si="202">1/60+AI772</f>
        <v>12.833333333333551</v>
      </c>
      <c r="AJ773">
        <f t="shared" si="196"/>
        <v>3.5099999999999989</v>
      </c>
      <c r="AK773">
        <f t="shared" si="197"/>
        <v>0.45</v>
      </c>
      <c r="AL773">
        <f t="shared" si="190"/>
        <v>0.35500000000000009</v>
      </c>
      <c r="AN773" t="s">
        <v>2063</v>
      </c>
      <c r="AO773">
        <v>0.45</v>
      </c>
      <c r="AP773">
        <v>70.510000000000005</v>
      </c>
      <c r="AR773" t="str" cm="1">
        <f t="array" ref="AR773:AS773">_xlfn.TEXTSPLIT(AN773," ")</f>
        <v>26.10.2023</v>
      </c>
      <c r="AS773" t="str">
        <v>12:52:19</v>
      </c>
      <c r="AT773">
        <f t="shared" ref="AT773:AT836" si="203">1/60+AT772</f>
        <v>12.833333333333551</v>
      </c>
      <c r="AU773">
        <f t="shared" si="198"/>
        <v>9.2000000000000028</v>
      </c>
      <c r="AV773">
        <f t="shared" si="199"/>
        <v>0.45</v>
      </c>
      <c r="AW773">
        <f t="shared" si="191"/>
        <v>0.69000000000000006</v>
      </c>
    </row>
    <row r="774" spans="1:49" x14ac:dyDescent="0.25">
      <c r="A774" t="s">
        <v>2064</v>
      </c>
      <c r="B774">
        <v>0.15</v>
      </c>
      <c r="C774">
        <v>20.92</v>
      </c>
      <c r="E774" t="s">
        <v>2064</v>
      </c>
      <c r="F774">
        <v>1.35</v>
      </c>
      <c r="G774">
        <v>89.26</v>
      </c>
      <c r="I774" t="str" cm="1">
        <f t="array" ref="I774:J774">_xlfn.TEXTSPLIT(A774," ")</f>
        <v>27.10.2023</v>
      </c>
      <c r="J774" t="str">
        <v>12:53:17</v>
      </c>
      <c r="K774">
        <f t="shared" si="200"/>
        <v>12.850000000000218</v>
      </c>
      <c r="L774">
        <f t="shared" si="193"/>
        <v>6.6000000000000014</v>
      </c>
      <c r="M774">
        <f t="shared" si="194"/>
        <v>0.15</v>
      </c>
      <c r="N774">
        <f t="shared" si="188"/>
        <v>0.77499999999999991</v>
      </c>
      <c r="Q774" t="str" cm="1">
        <f t="array" ref="Q774:R774">_xlfn.TEXTSPLIT(E774," ")</f>
        <v>27.10.2023</v>
      </c>
      <c r="R774" t="str">
        <v>12:53:17</v>
      </c>
      <c r="S774">
        <f t="shared" si="201"/>
        <v>12.850000000000218</v>
      </c>
      <c r="T774">
        <f t="shared" si="192"/>
        <v>10.660000000000011</v>
      </c>
      <c r="U774">
        <f t="shared" si="195"/>
        <v>1.35</v>
      </c>
      <c r="V774">
        <f t="shared" si="189"/>
        <v>1.3174999999999994</v>
      </c>
      <c r="AC774" t="s">
        <v>2065</v>
      </c>
      <c r="AD774">
        <v>0.15</v>
      </c>
      <c r="AE774">
        <v>8.0399999999999991</v>
      </c>
      <c r="AG774" t="str" cm="1">
        <f t="array" ref="AG774:AH774">_xlfn.TEXTSPLIT(AC775," ")</f>
        <v>26.10.2023</v>
      </c>
      <c r="AH774" t="str">
        <v>12:54:20</v>
      </c>
      <c r="AI774">
        <f t="shared" si="202"/>
        <v>12.850000000000218</v>
      </c>
      <c r="AJ774">
        <f t="shared" si="196"/>
        <v>3.5099999999999989</v>
      </c>
      <c r="AK774">
        <f t="shared" si="197"/>
        <v>0.15</v>
      </c>
      <c r="AL774">
        <f t="shared" si="190"/>
        <v>0.35500000000000009</v>
      </c>
      <c r="AN774" t="s">
        <v>2065</v>
      </c>
      <c r="AO774">
        <v>0</v>
      </c>
      <c r="AP774">
        <v>70.510000000000005</v>
      </c>
      <c r="AR774" t="str" cm="1">
        <f t="array" ref="AR774:AS774">_xlfn.TEXTSPLIT(AN774," ")</f>
        <v>26.10.2023</v>
      </c>
      <c r="AS774" t="str">
        <v>12:53:19</v>
      </c>
      <c r="AT774">
        <f t="shared" si="203"/>
        <v>12.850000000000218</v>
      </c>
      <c r="AU774">
        <f t="shared" si="198"/>
        <v>9.2000000000000028</v>
      </c>
      <c r="AV774">
        <f t="shared" si="199"/>
        <v>0</v>
      </c>
      <c r="AW774">
        <f t="shared" si="191"/>
        <v>0.69000000000000006</v>
      </c>
    </row>
    <row r="775" spans="1:49" x14ac:dyDescent="0.25">
      <c r="A775" t="s">
        <v>2066</v>
      </c>
      <c r="B775">
        <v>0</v>
      </c>
      <c r="C775">
        <v>20.92</v>
      </c>
      <c r="E775" t="s">
        <v>2066</v>
      </c>
      <c r="F775">
        <v>1.05</v>
      </c>
      <c r="G775">
        <v>89.28</v>
      </c>
      <c r="I775" t="str" cm="1">
        <f t="array" ref="I775:J775">_xlfn.TEXTSPLIT(A775," ")</f>
        <v>27.10.2023</v>
      </c>
      <c r="J775" t="str">
        <v>12:54:17</v>
      </c>
      <c r="K775">
        <f t="shared" si="200"/>
        <v>12.866666666666886</v>
      </c>
      <c r="L775">
        <f t="shared" si="193"/>
        <v>6.6000000000000014</v>
      </c>
      <c r="M775">
        <f t="shared" si="194"/>
        <v>0</v>
      </c>
      <c r="N775">
        <f t="shared" si="188"/>
        <v>0.77499999999999991</v>
      </c>
      <c r="Q775" t="str" cm="1">
        <f t="array" ref="Q775:R775">_xlfn.TEXTSPLIT(E775," ")</f>
        <v>27.10.2023</v>
      </c>
      <c r="R775" t="str">
        <v>12:54:17</v>
      </c>
      <c r="S775">
        <f t="shared" si="201"/>
        <v>12.866666666666886</v>
      </c>
      <c r="T775">
        <f t="shared" si="192"/>
        <v>10.680000000000007</v>
      </c>
      <c r="U775">
        <f t="shared" si="195"/>
        <v>1.05</v>
      </c>
      <c r="V775">
        <f t="shared" si="189"/>
        <v>1.3274999999999992</v>
      </c>
      <c r="AC775" t="s">
        <v>2067</v>
      </c>
      <c r="AD775">
        <v>0</v>
      </c>
      <c r="AE775">
        <v>8.0399999999999991</v>
      </c>
      <c r="AG775" t="str" cm="1">
        <f t="array" ref="AG775:AH775">_xlfn.TEXTSPLIT(AC776," ")</f>
        <v>26.10.2023</v>
      </c>
      <c r="AH775" t="str">
        <v>12:55:20</v>
      </c>
      <c r="AI775">
        <f t="shared" si="202"/>
        <v>12.866666666666886</v>
      </c>
      <c r="AJ775">
        <f t="shared" si="196"/>
        <v>3.5099999999999989</v>
      </c>
      <c r="AK775">
        <f t="shared" si="197"/>
        <v>0</v>
      </c>
      <c r="AL775">
        <f t="shared" si="190"/>
        <v>0.35500000000000009</v>
      </c>
      <c r="AN775" t="s">
        <v>2067</v>
      </c>
      <c r="AO775">
        <v>0.15</v>
      </c>
      <c r="AP775">
        <v>70.52</v>
      </c>
      <c r="AR775" t="str" cm="1">
        <f t="array" ref="AR775:AS775">_xlfn.TEXTSPLIT(AN775," ")</f>
        <v>26.10.2023</v>
      </c>
      <c r="AS775" t="str">
        <v>12:54:20</v>
      </c>
      <c r="AT775">
        <f t="shared" si="203"/>
        <v>12.866666666666886</v>
      </c>
      <c r="AU775">
        <f t="shared" si="198"/>
        <v>9.2099999999999937</v>
      </c>
      <c r="AV775">
        <f t="shared" si="199"/>
        <v>0.15</v>
      </c>
      <c r="AW775">
        <f t="shared" si="191"/>
        <v>0.69250000000000012</v>
      </c>
    </row>
    <row r="776" spans="1:49" x14ac:dyDescent="0.25">
      <c r="A776" t="s">
        <v>2068</v>
      </c>
      <c r="B776">
        <v>0</v>
      </c>
      <c r="C776">
        <v>20.92</v>
      </c>
      <c r="E776" t="s">
        <v>2068</v>
      </c>
      <c r="F776">
        <v>0.9</v>
      </c>
      <c r="G776">
        <v>89.3</v>
      </c>
      <c r="I776" t="str" cm="1">
        <f t="array" ref="I776:J776">_xlfn.TEXTSPLIT(A776," ")</f>
        <v>27.10.2023</v>
      </c>
      <c r="J776" t="str">
        <v>12:55:17</v>
      </c>
      <c r="K776">
        <f t="shared" si="200"/>
        <v>12.883333333333553</v>
      </c>
      <c r="L776">
        <f t="shared" si="193"/>
        <v>6.6000000000000014</v>
      </c>
      <c r="M776">
        <f t="shared" si="194"/>
        <v>0</v>
      </c>
      <c r="N776">
        <f t="shared" si="188"/>
        <v>0.77499999999999991</v>
      </c>
      <c r="Q776" t="str" cm="1">
        <f t="array" ref="Q776:R776">_xlfn.TEXTSPLIT(E776," ")</f>
        <v>27.10.2023</v>
      </c>
      <c r="R776" t="str">
        <v>12:55:17</v>
      </c>
      <c r="S776">
        <f t="shared" si="201"/>
        <v>12.883333333333553</v>
      </c>
      <c r="T776">
        <f t="shared" si="192"/>
        <v>10.700000000000003</v>
      </c>
      <c r="U776">
        <f t="shared" si="195"/>
        <v>0.9</v>
      </c>
      <c r="V776">
        <f t="shared" si="189"/>
        <v>1.3349999999999995</v>
      </c>
      <c r="AC776" t="s">
        <v>2069</v>
      </c>
      <c r="AD776">
        <v>0</v>
      </c>
      <c r="AE776">
        <v>8.0399999999999991</v>
      </c>
      <c r="AG776" t="str" cm="1">
        <f t="array" ref="AG776:AH776">_xlfn.TEXTSPLIT(AC777," ")</f>
        <v>26.10.2023</v>
      </c>
      <c r="AH776" t="str">
        <v>12:56:20</v>
      </c>
      <c r="AI776">
        <f t="shared" si="202"/>
        <v>12.883333333333553</v>
      </c>
      <c r="AJ776">
        <f t="shared" si="196"/>
        <v>3.5099999999999989</v>
      </c>
      <c r="AK776">
        <f t="shared" si="197"/>
        <v>0</v>
      </c>
      <c r="AL776">
        <f t="shared" si="190"/>
        <v>0.35500000000000009</v>
      </c>
      <c r="AN776" t="s">
        <v>2069</v>
      </c>
      <c r="AO776">
        <v>0.15</v>
      </c>
      <c r="AP776">
        <v>70.52</v>
      </c>
      <c r="AR776" t="str" cm="1">
        <f t="array" ref="AR776:AS776">_xlfn.TEXTSPLIT(AN776," ")</f>
        <v>26.10.2023</v>
      </c>
      <c r="AS776" t="str">
        <v>12:55:20</v>
      </c>
      <c r="AT776">
        <f t="shared" si="203"/>
        <v>12.883333333333553</v>
      </c>
      <c r="AU776">
        <f t="shared" si="198"/>
        <v>9.2099999999999937</v>
      </c>
      <c r="AV776">
        <f t="shared" si="199"/>
        <v>0.15</v>
      </c>
      <c r="AW776">
        <f t="shared" si="191"/>
        <v>0.69250000000000012</v>
      </c>
    </row>
    <row r="777" spans="1:49" x14ac:dyDescent="0.25">
      <c r="A777" t="s">
        <v>2070</v>
      </c>
      <c r="B777">
        <v>0.3</v>
      </c>
      <c r="C777">
        <v>20.92</v>
      </c>
      <c r="E777" t="s">
        <v>2070</v>
      </c>
      <c r="F777">
        <v>0.9</v>
      </c>
      <c r="G777">
        <v>89.31</v>
      </c>
      <c r="I777" t="str" cm="1">
        <f t="array" ref="I777:J777">_xlfn.TEXTSPLIT(A777," ")</f>
        <v>27.10.2023</v>
      </c>
      <c r="J777" t="str">
        <v>12:56:17</v>
      </c>
      <c r="K777">
        <f t="shared" si="200"/>
        <v>12.900000000000221</v>
      </c>
      <c r="L777">
        <f t="shared" si="193"/>
        <v>6.6000000000000014</v>
      </c>
      <c r="M777">
        <f t="shared" si="194"/>
        <v>0.3</v>
      </c>
      <c r="N777">
        <f t="shared" si="188"/>
        <v>0.7799999999999998</v>
      </c>
      <c r="Q777" t="str" cm="1">
        <f t="array" ref="Q777:R777">_xlfn.TEXTSPLIT(E777," ")</f>
        <v>27.10.2023</v>
      </c>
      <c r="R777" t="str">
        <v>12:56:17</v>
      </c>
      <c r="S777">
        <f t="shared" si="201"/>
        <v>12.900000000000221</v>
      </c>
      <c r="T777">
        <f t="shared" si="192"/>
        <v>10.710000000000008</v>
      </c>
      <c r="U777">
        <f t="shared" si="195"/>
        <v>0.9</v>
      </c>
      <c r="V777">
        <f t="shared" si="189"/>
        <v>1.3399999999999994</v>
      </c>
      <c r="AC777" t="s">
        <v>2071</v>
      </c>
      <c r="AD777">
        <v>0</v>
      </c>
      <c r="AE777">
        <v>8.0399999999999991</v>
      </c>
      <c r="AG777" t="str" cm="1">
        <f t="array" ref="AG777:AH777">_xlfn.TEXTSPLIT(AC778," ")</f>
        <v>26.10.2023</v>
      </c>
      <c r="AH777" t="str">
        <v>12:57:20</v>
      </c>
      <c r="AI777">
        <f t="shared" si="202"/>
        <v>12.900000000000221</v>
      </c>
      <c r="AJ777">
        <f t="shared" si="196"/>
        <v>3.5099999999999989</v>
      </c>
      <c r="AK777">
        <f t="shared" si="197"/>
        <v>0</v>
      </c>
      <c r="AL777">
        <f t="shared" si="190"/>
        <v>0.35500000000000009</v>
      </c>
      <c r="AN777" t="s">
        <v>2071</v>
      </c>
      <c r="AO777">
        <v>0.3</v>
      </c>
      <c r="AP777">
        <v>70.53</v>
      </c>
      <c r="AR777" t="str" cm="1">
        <f t="array" ref="AR777:AS777">_xlfn.TEXTSPLIT(AN777," ")</f>
        <v>26.10.2023</v>
      </c>
      <c r="AS777" t="str">
        <v>12:56:20</v>
      </c>
      <c r="AT777">
        <f t="shared" si="203"/>
        <v>12.900000000000221</v>
      </c>
      <c r="AU777">
        <f t="shared" si="198"/>
        <v>9.2199999999999989</v>
      </c>
      <c r="AV777">
        <f t="shared" si="199"/>
        <v>0.3</v>
      </c>
      <c r="AW777">
        <f t="shared" si="191"/>
        <v>0.69500000000000006</v>
      </c>
    </row>
    <row r="778" spans="1:49" x14ac:dyDescent="0.25">
      <c r="A778" t="s">
        <v>2072</v>
      </c>
      <c r="B778">
        <v>0.3</v>
      </c>
      <c r="C778">
        <v>20.93</v>
      </c>
      <c r="E778" t="s">
        <v>2072</v>
      </c>
      <c r="F778">
        <v>1.05</v>
      </c>
      <c r="G778">
        <v>89.33</v>
      </c>
      <c r="I778" t="str" cm="1">
        <f t="array" ref="I778:J778">_xlfn.TEXTSPLIT(A778," ")</f>
        <v>27.10.2023</v>
      </c>
      <c r="J778" t="str">
        <v>12:57:17</v>
      </c>
      <c r="K778">
        <f t="shared" si="200"/>
        <v>12.916666666666888</v>
      </c>
      <c r="L778">
        <f t="shared" si="193"/>
        <v>6.6099999999999994</v>
      </c>
      <c r="M778">
        <f t="shared" si="194"/>
        <v>0.3</v>
      </c>
      <c r="N778">
        <f t="shared" si="188"/>
        <v>0.77749999999999986</v>
      </c>
      <c r="Q778" t="str" cm="1">
        <f t="array" ref="Q778:R778">_xlfn.TEXTSPLIT(E778," ")</f>
        <v>27.10.2023</v>
      </c>
      <c r="R778" t="str">
        <v>12:57:17</v>
      </c>
      <c r="S778">
        <f t="shared" si="201"/>
        <v>12.916666666666888</v>
      </c>
      <c r="T778">
        <f t="shared" si="192"/>
        <v>10.730000000000004</v>
      </c>
      <c r="U778">
        <f t="shared" si="195"/>
        <v>1.05</v>
      </c>
      <c r="V778">
        <f t="shared" si="189"/>
        <v>1.3474999999999995</v>
      </c>
      <c r="AC778" t="s">
        <v>2073</v>
      </c>
      <c r="AD778">
        <v>0</v>
      </c>
      <c r="AE778">
        <v>8.0399999999999991</v>
      </c>
      <c r="AG778" t="str" cm="1">
        <f t="array" ref="AG778:AH778">_xlfn.TEXTSPLIT(AC779," ")</f>
        <v>26.10.2023</v>
      </c>
      <c r="AH778" t="str">
        <v>12:58:20</v>
      </c>
      <c r="AI778">
        <f t="shared" si="202"/>
        <v>12.916666666666888</v>
      </c>
      <c r="AJ778">
        <f t="shared" si="196"/>
        <v>3.5099999999999989</v>
      </c>
      <c r="AK778">
        <f t="shared" si="197"/>
        <v>0</v>
      </c>
      <c r="AL778">
        <f t="shared" si="190"/>
        <v>0.35500000000000009</v>
      </c>
      <c r="AN778" t="s">
        <v>2073</v>
      </c>
      <c r="AO778">
        <v>0.15</v>
      </c>
      <c r="AP778">
        <v>70.53</v>
      </c>
      <c r="AR778" t="str" cm="1">
        <f t="array" ref="AR778:AS778">_xlfn.TEXTSPLIT(AN778," ")</f>
        <v>26.10.2023</v>
      </c>
      <c r="AS778" t="str">
        <v>12:57:20</v>
      </c>
      <c r="AT778">
        <f t="shared" si="203"/>
        <v>12.916666666666888</v>
      </c>
      <c r="AU778">
        <f t="shared" si="198"/>
        <v>9.2199999999999989</v>
      </c>
      <c r="AV778">
        <f t="shared" si="199"/>
        <v>0.15</v>
      </c>
      <c r="AW778">
        <f t="shared" si="191"/>
        <v>0.69499999999999995</v>
      </c>
    </row>
    <row r="779" spans="1:49" x14ac:dyDescent="0.25">
      <c r="A779" t="s">
        <v>2074</v>
      </c>
      <c r="B779">
        <v>0.6</v>
      </c>
      <c r="C779">
        <v>20.94</v>
      </c>
      <c r="E779" t="s">
        <v>2074</v>
      </c>
      <c r="F779">
        <v>1.05</v>
      </c>
      <c r="G779">
        <v>89.35</v>
      </c>
      <c r="I779" t="str" cm="1">
        <f t="array" ref="I779:J779">_xlfn.TEXTSPLIT(A779," ")</f>
        <v>27.10.2023</v>
      </c>
      <c r="J779" t="str">
        <v>12:58:17</v>
      </c>
      <c r="K779">
        <f t="shared" si="200"/>
        <v>12.933333333333556</v>
      </c>
      <c r="L779">
        <f t="shared" si="193"/>
        <v>6.620000000000001</v>
      </c>
      <c r="M779">
        <f t="shared" si="194"/>
        <v>0.6</v>
      </c>
      <c r="N779">
        <f t="shared" si="188"/>
        <v>0.78749999999999987</v>
      </c>
      <c r="Q779" t="str" cm="1">
        <f t="array" ref="Q779:R779">_xlfn.TEXTSPLIT(E779," ")</f>
        <v>27.10.2023</v>
      </c>
      <c r="R779" t="str">
        <v>12:58:17</v>
      </c>
      <c r="S779">
        <f t="shared" si="201"/>
        <v>12.933333333333556</v>
      </c>
      <c r="T779">
        <f t="shared" si="192"/>
        <v>10.75</v>
      </c>
      <c r="U779">
        <f t="shared" si="195"/>
        <v>1.05</v>
      </c>
      <c r="V779">
        <f t="shared" si="189"/>
        <v>1.3524999999999996</v>
      </c>
      <c r="AC779" t="s">
        <v>2075</v>
      </c>
      <c r="AD779">
        <v>0</v>
      </c>
      <c r="AE779">
        <v>8.0399999999999991</v>
      </c>
      <c r="AG779" t="str" cm="1">
        <f t="array" ref="AG779:AH779">_xlfn.TEXTSPLIT(AC780," ")</f>
        <v>26.10.2023</v>
      </c>
      <c r="AH779" t="str">
        <v>12:59:20</v>
      </c>
      <c r="AI779">
        <f t="shared" si="202"/>
        <v>12.933333333333556</v>
      </c>
      <c r="AJ779">
        <f t="shared" si="196"/>
        <v>3.5099999999999989</v>
      </c>
      <c r="AK779">
        <f t="shared" si="197"/>
        <v>0</v>
      </c>
      <c r="AL779">
        <f t="shared" si="190"/>
        <v>0.35500000000000009</v>
      </c>
      <c r="AN779" t="s">
        <v>2075</v>
      </c>
      <c r="AO779">
        <v>0.45</v>
      </c>
      <c r="AP779">
        <v>70.53</v>
      </c>
      <c r="AR779" t="str" cm="1">
        <f t="array" ref="AR779:AS779">_xlfn.TEXTSPLIT(AN779," ")</f>
        <v>26.10.2023</v>
      </c>
      <c r="AS779" t="str">
        <v>12:58:20</v>
      </c>
      <c r="AT779">
        <f t="shared" si="203"/>
        <v>12.933333333333556</v>
      </c>
      <c r="AU779">
        <f t="shared" si="198"/>
        <v>9.2199999999999989</v>
      </c>
      <c r="AV779">
        <f t="shared" si="199"/>
        <v>0.45</v>
      </c>
      <c r="AW779">
        <f t="shared" si="191"/>
        <v>0.7</v>
      </c>
    </row>
    <row r="780" spans="1:49" x14ac:dyDescent="0.25">
      <c r="A780" t="s">
        <v>2076</v>
      </c>
      <c r="B780">
        <v>0.75</v>
      </c>
      <c r="C780">
        <v>20.95</v>
      </c>
      <c r="E780" t="s">
        <v>2076</v>
      </c>
      <c r="F780">
        <v>1.65</v>
      </c>
      <c r="G780">
        <v>89.37</v>
      </c>
      <c r="I780" t="str" cm="1">
        <f t="array" ref="I780:J780">_xlfn.TEXTSPLIT(A780," ")</f>
        <v>27.10.2023</v>
      </c>
      <c r="J780" t="str">
        <v>12:59:18</v>
      </c>
      <c r="K780">
        <f t="shared" si="200"/>
        <v>12.950000000000223</v>
      </c>
      <c r="L780">
        <f t="shared" si="193"/>
        <v>6.629999999999999</v>
      </c>
      <c r="M780">
        <f t="shared" si="194"/>
        <v>0.75</v>
      </c>
      <c r="N780">
        <f t="shared" si="188"/>
        <v>0.79499999999999982</v>
      </c>
      <c r="Q780" t="str" cm="1">
        <f t="array" ref="Q780:R780">_xlfn.TEXTSPLIT(E780," ")</f>
        <v>27.10.2023</v>
      </c>
      <c r="R780" t="str">
        <v>12:59:18</v>
      </c>
      <c r="S780">
        <f t="shared" si="201"/>
        <v>12.950000000000223</v>
      </c>
      <c r="T780">
        <f t="shared" si="192"/>
        <v>10.77000000000001</v>
      </c>
      <c r="U780">
        <f t="shared" si="195"/>
        <v>1.65</v>
      </c>
      <c r="V780">
        <f t="shared" si="189"/>
        <v>1.3674999999999997</v>
      </c>
      <c r="AC780" t="s">
        <v>2077</v>
      </c>
      <c r="AD780">
        <v>0</v>
      </c>
      <c r="AE780">
        <v>8.0399999999999991</v>
      </c>
      <c r="AG780" t="str" cm="1">
        <f t="array" ref="AG780:AH780">_xlfn.TEXTSPLIT(AC781," ")</f>
        <v>26.10.2023</v>
      </c>
      <c r="AH780" t="str">
        <v>13:00:20</v>
      </c>
      <c r="AI780">
        <f t="shared" si="202"/>
        <v>12.950000000000223</v>
      </c>
      <c r="AJ780">
        <f t="shared" si="196"/>
        <v>3.5099999999999989</v>
      </c>
      <c r="AK780">
        <f t="shared" si="197"/>
        <v>0</v>
      </c>
      <c r="AL780">
        <f t="shared" si="190"/>
        <v>0.35500000000000009</v>
      </c>
      <c r="AN780" t="s">
        <v>2077</v>
      </c>
      <c r="AO780">
        <v>0.3</v>
      </c>
      <c r="AP780">
        <v>70.540000000000006</v>
      </c>
      <c r="AR780" t="str" cm="1">
        <f t="array" ref="AR780:AS780">_xlfn.TEXTSPLIT(AN780," ")</f>
        <v>26.10.2023</v>
      </c>
      <c r="AS780" t="str">
        <v>12:59:20</v>
      </c>
      <c r="AT780">
        <f t="shared" si="203"/>
        <v>12.950000000000223</v>
      </c>
      <c r="AU780">
        <f t="shared" si="198"/>
        <v>9.230000000000004</v>
      </c>
      <c r="AV780">
        <f t="shared" si="199"/>
        <v>0.3</v>
      </c>
      <c r="AW780">
        <f t="shared" si="191"/>
        <v>0.70250000000000001</v>
      </c>
    </row>
    <row r="781" spans="1:49" x14ac:dyDescent="0.25">
      <c r="A781" t="s">
        <v>2078</v>
      </c>
      <c r="B781">
        <v>0.6</v>
      </c>
      <c r="C781">
        <v>20.97</v>
      </c>
      <c r="E781" t="s">
        <v>2078</v>
      </c>
      <c r="F781">
        <v>1.95</v>
      </c>
      <c r="G781">
        <v>89.41</v>
      </c>
      <c r="I781" t="str" cm="1">
        <f t="array" ref="I781:J781">_xlfn.TEXTSPLIT(A781," ")</f>
        <v>27.10.2023</v>
      </c>
      <c r="J781" t="str">
        <v>13:00:18</v>
      </c>
      <c r="K781">
        <f t="shared" si="200"/>
        <v>12.966666666666891</v>
      </c>
      <c r="L781">
        <f t="shared" si="193"/>
        <v>6.6499999999999986</v>
      </c>
      <c r="M781">
        <f t="shared" si="194"/>
        <v>0.6</v>
      </c>
      <c r="N781">
        <f t="shared" si="188"/>
        <v>0.79999999999999993</v>
      </c>
      <c r="Q781" t="str" cm="1">
        <f t="array" ref="Q781:R781">_xlfn.TEXTSPLIT(E781," ")</f>
        <v>27.10.2023</v>
      </c>
      <c r="R781" t="str">
        <v>13:00:18</v>
      </c>
      <c r="S781">
        <f t="shared" si="201"/>
        <v>12.966666666666891</v>
      </c>
      <c r="T781">
        <f t="shared" si="192"/>
        <v>10.810000000000002</v>
      </c>
      <c r="U781">
        <f t="shared" si="195"/>
        <v>1.95</v>
      </c>
      <c r="V781">
        <f t="shared" si="189"/>
        <v>1.3824999999999996</v>
      </c>
      <c r="AC781" t="s">
        <v>2079</v>
      </c>
      <c r="AD781">
        <v>0</v>
      </c>
      <c r="AE781">
        <v>8.0399999999999991</v>
      </c>
      <c r="AG781" t="str" cm="1">
        <f t="array" ref="AG781:AH781">_xlfn.TEXTSPLIT(AC782," ")</f>
        <v>26.10.2023</v>
      </c>
      <c r="AH781" t="str">
        <v>13:01:20</v>
      </c>
      <c r="AI781">
        <f t="shared" si="202"/>
        <v>12.966666666666891</v>
      </c>
      <c r="AJ781">
        <f t="shared" si="196"/>
        <v>3.5099999999999989</v>
      </c>
      <c r="AK781">
        <f t="shared" si="197"/>
        <v>0</v>
      </c>
      <c r="AL781">
        <f t="shared" si="190"/>
        <v>0.35500000000000009</v>
      </c>
      <c r="AN781" t="s">
        <v>2079</v>
      </c>
      <c r="AO781">
        <v>0.15</v>
      </c>
      <c r="AP781">
        <v>70.540000000000006</v>
      </c>
      <c r="AR781" t="str" cm="1">
        <f t="array" ref="AR781:AS781">_xlfn.TEXTSPLIT(AN781," ")</f>
        <v>26.10.2023</v>
      </c>
      <c r="AS781" t="str">
        <v>13:00:20</v>
      </c>
      <c r="AT781">
        <f t="shared" si="203"/>
        <v>12.966666666666891</v>
      </c>
      <c r="AU781">
        <f t="shared" si="198"/>
        <v>9.230000000000004</v>
      </c>
      <c r="AV781">
        <f t="shared" si="199"/>
        <v>0.15</v>
      </c>
      <c r="AW781">
        <f t="shared" si="191"/>
        <v>0.70250000000000001</v>
      </c>
    </row>
    <row r="782" spans="1:49" x14ac:dyDescent="0.25">
      <c r="A782" t="s">
        <v>2080</v>
      </c>
      <c r="B782">
        <v>1.05</v>
      </c>
      <c r="C782">
        <v>20.98</v>
      </c>
      <c r="E782" t="s">
        <v>2080</v>
      </c>
      <c r="F782">
        <v>1.35</v>
      </c>
      <c r="G782">
        <v>89.43</v>
      </c>
      <c r="I782" t="str" cm="1">
        <f t="array" ref="I782:J782">_xlfn.TEXTSPLIT(A782," ")</f>
        <v>27.10.2023</v>
      </c>
      <c r="J782" t="str">
        <v>13:01:18</v>
      </c>
      <c r="K782">
        <f t="shared" si="200"/>
        <v>12.983333333333558</v>
      </c>
      <c r="L782">
        <f t="shared" si="193"/>
        <v>6.66</v>
      </c>
      <c r="M782">
        <f t="shared" si="194"/>
        <v>1.05</v>
      </c>
      <c r="N782">
        <f t="shared" si="188"/>
        <v>0.80999999999999994</v>
      </c>
      <c r="Q782" t="str" cm="1">
        <f t="array" ref="Q782:R782">_xlfn.TEXTSPLIT(E782," ")</f>
        <v>27.10.2023</v>
      </c>
      <c r="R782" t="str">
        <v>13:01:18</v>
      </c>
      <c r="S782">
        <f t="shared" si="201"/>
        <v>12.983333333333558</v>
      </c>
      <c r="T782">
        <f t="shared" si="192"/>
        <v>10.830000000000013</v>
      </c>
      <c r="U782">
        <f t="shared" si="195"/>
        <v>1.35</v>
      </c>
      <c r="V782">
        <f t="shared" si="189"/>
        <v>1.3874999999999995</v>
      </c>
      <c r="AC782" t="s">
        <v>2081</v>
      </c>
      <c r="AD782">
        <v>0</v>
      </c>
      <c r="AE782">
        <v>8.0399999999999991</v>
      </c>
      <c r="AG782" t="str" cm="1">
        <f t="array" ref="AG782:AH782">_xlfn.TEXTSPLIT(AC783," ")</f>
        <v>26.10.2023</v>
      </c>
      <c r="AH782" t="str">
        <v>13:02:21</v>
      </c>
      <c r="AI782">
        <f t="shared" si="202"/>
        <v>12.983333333333558</v>
      </c>
      <c r="AJ782">
        <f t="shared" si="196"/>
        <v>3.5099999999999989</v>
      </c>
      <c r="AK782">
        <f t="shared" si="197"/>
        <v>0</v>
      </c>
      <c r="AL782">
        <f t="shared" si="190"/>
        <v>0.35500000000000009</v>
      </c>
      <c r="AN782" t="s">
        <v>2081</v>
      </c>
      <c r="AO782">
        <v>0.45</v>
      </c>
      <c r="AP782">
        <v>70.55</v>
      </c>
      <c r="AR782" t="str" cm="1">
        <f t="array" ref="AR782:AS782">_xlfn.TEXTSPLIT(AN782," ")</f>
        <v>26.10.2023</v>
      </c>
      <c r="AS782" t="str">
        <v>13:01:20</v>
      </c>
      <c r="AT782">
        <f t="shared" si="203"/>
        <v>12.983333333333558</v>
      </c>
      <c r="AU782">
        <f t="shared" si="198"/>
        <v>9.2399999999999949</v>
      </c>
      <c r="AV782">
        <f t="shared" si="199"/>
        <v>0.45</v>
      </c>
      <c r="AW782">
        <f t="shared" si="191"/>
        <v>0.70749999999999991</v>
      </c>
    </row>
    <row r="783" spans="1:49" x14ac:dyDescent="0.25">
      <c r="A783" t="s">
        <v>2082</v>
      </c>
      <c r="B783">
        <v>0.9</v>
      </c>
      <c r="C783">
        <v>20.99</v>
      </c>
      <c r="E783" t="s">
        <v>2082</v>
      </c>
      <c r="F783">
        <v>1.35</v>
      </c>
      <c r="G783">
        <v>89.45</v>
      </c>
      <c r="I783" t="str" cm="1">
        <f t="array" ref="I783:J783">_xlfn.TEXTSPLIT(A783," ")</f>
        <v>27.10.2023</v>
      </c>
      <c r="J783" t="str">
        <v>13:02:18</v>
      </c>
      <c r="K783">
        <f t="shared" si="200"/>
        <v>13.000000000000226</v>
      </c>
      <c r="L783">
        <f t="shared" si="193"/>
        <v>6.6699999999999982</v>
      </c>
      <c r="M783">
        <f t="shared" si="194"/>
        <v>0.9</v>
      </c>
      <c r="N783">
        <f t="shared" si="188"/>
        <v>0.81999999999999984</v>
      </c>
      <c r="Q783" t="str" cm="1">
        <f t="array" ref="Q783:R783">_xlfn.TEXTSPLIT(E783," ")</f>
        <v>27.10.2023</v>
      </c>
      <c r="R783" t="str">
        <v>13:02:18</v>
      </c>
      <c r="S783">
        <f t="shared" si="201"/>
        <v>13.000000000000226</v>
      </c>
      <c r="T783">
        <f t="shared" si="192"/>
        <v>10.850000000000009</v>
      </c>
      <c r="U783">
        <f t="shared" si="195"/>
        <v>1.35</v>
      </c>
      <c r="V783">
        <f t="shared" si="189"/>
        <v>1.3899999999999997</v>
      </c>
      <c r="AC783" t="s">
        <v>2083</v>
      </c>
      <c r="AD783">
        <v>0</v>
      </c>
      <c r="AE783">
        <v>8.0399999999999991</v>
      </c>
      <c r="AG783" t="str" cm="1">
        <f t="array" ref="AG783:AH783">_xlfn.TEXTSPLIT(AC784," ")</f>
        <v>26.10.2023</v>
      </c>
      <c r="AH783" t="str">
        <v>13:03:21</v>
      </c>
      <c r="AI783">
        <f t="shared" si="202"/>
        <v>13.000000000000226</v>
      </c>
      <c r="AJ783">
        <f t="shared" si="196"/>
        <v>3.5099999999999989</v>
      </c>
      <c r="AK783">
        <f t="shared" si="197"/>
        <v>0</v>
      </c>
      <c r="AL783">
        <f t="shared" si="190"/>
        <v>0.35500000000000009</v>
      </c>
      <c r="AN783" t="s">
        <v>2083</v>
      </c>
      <c r="AO783">
        <v>0.75</v>
      </c>
      <c r="AP783">
        <v>70.56</v>
      </c>
      <c r="AR783" t="str" cm="1">
        <f t="array" ref="AR783:AS783">_xlfn.TEXTSPLIT(AN783," ")</f>
        <v>26.10.2023</v>
      </c>
      <c r="AS783" t="str">
        <v>13:02:21</v>
      </c>
      <c r="AT783">
        <f t="shared" si="203"/>
        <v>13.000000000000226</v>
      </c>
      <c r="AU783">
        <f t="shared" si="198"/>
        <v>9.25</v>
      </c>
      <c r="AV783">
        <f t="shared" si="199"/>
        <v>0.75</v>
      </c>
      <c r="AW783">
        <f t="shared" si="191"/>
        <v>0.71499999999999997</v>
      </c>
    </row>
    <row r="784" spans="1:49" x14ac:dyDescent="0.25">
      <c r="A784" t="s">
        <v>2084</v>
      </c>
      <c r="B784">
        <v>0.6</v>
      </c>
      <c r="C784">
        <v>21.01</v>
      </c>
      <c r="E784" t="s">
        <v>2084</v>
      </c>
      <c r="F784">
        <v>1.5</v>
      </c>
      <c r="G784">
        <v>89.47</v>
      </c>
      <c r="I784" t="str" cm="1">
        <f t="array" ref="I784:J784">_xlfn.TEXTSPLIT(A784," ")</f>
        <v>27.10.2023</v>
      </c>
      <c r="J784" t="str">
        <v>13:03:18</v>
      </c>
      <c r="K784">
        <f t="shared" si="200"/>
        <v>13.016666666666893</v>
      </c>
      <c r="L784">
        <f t="shared" si="193"/>
        <v>6.6900000000000013</v>
      </c>
      <c r="M784">
        <f t="shared" si="194"/>
        <v>0.6</v>
      </c>
      <c r="N784">
        <f t="shared" si="188"/>
        <v>0.8224999999999999</v>
      </c>
      <c r="Q784" t="str" cm="1">
        <f t="array" ref="Q784:R784">_xlfn.TEXTSPLIT(E784," ")</f>
        <v>27.10.2023</v>
      </c>
      <c r="R784" t="str">
        <v>13:03:18</v>
      </c>
      <c r="S784">
        <f t="shared" si="201"/>
        <v>13.016666666666893</v>
      </c>
      <c r="T784">
        <f t="shared" si="192"/>
        <v>10.870000000000005</v>
      </c>
      <c r="U784">
        <f t="shared" si="195"/>
        <v>1.5</v>
      </c>
      <c r="V784">
        <f t="shared" si="189"/>
        <v>1.4049999999999996</v>
      </c>
      <c r="AC784" t="s">
        <v>2085</v>
      </c>
      <c r="AD784">
        <v>0</v>
      </c>
      <c r="AE784">
        <v>8.0399999999999991</v>
      </c>
      <c r="AG784" t="str" cm="1">
        <f t="array" ref="AG784:AH784">_xlfn.TEXTSPLIT(AC785," ")</f>
        <v>26.10.2023</v>
      </c>
      <c r="AH784" t="str">
        <v>13:04:21</v>
      </c>
      <c r="AI784">
        <f t="shared" si="202"/>
        <v>13.016666666666893</v>
      </c>
      <c r="AJ784">
        <f t="shared" si="196"/>
        <v>3.5099999999999989</v>
      </c>
      <c r="AK784">
        <f t="shared" si="197"/>
        <v>0</v>
      </c>
      <c r="AL784">
        <f t="shared" si="190"/>
        <v>0.35500000000000009</v>
      </c>
      <c r="AN784" t="s">
        <v>2085</v>
      </c>
      <c r="AO784">
        <v>0.3</v>
      </c>
      <c r="AP784">
        <v>70.569999999999993</v>
      </c>
      <c r="AR784" t="str" cm="1">
        <f t="array" ref="AR784:AS784">_xlfn.TEXTSPLIT(AN784," ")</f>
        <v>26.10.2023</v>
      </c>
      <c r="AS784" t="str">
        <v>13:03:21</v>
      </c>
      <c r="AT784">
        <f t="shared" si="203"/>
        <v>13.016666666666893</v>
      </c>
      <c r="AU784">
        <f t="shared" si="198"/>
        <v>9.2599999999999909</v>
      </c>
      <c r="AV784">
        <f t="shared" si="199"/>
        <v>0.3</v>
      </c>
      <c r="AW784">
        <f t="shared" si="191"/>
        <v>0.71499999999999997</v>
      </c>
    </row>
    <row r="785" spans="1:49" x14ac:dyDescent="0.25">
      <c r="A785" t="s">
        <v>2086</v>
      </c>
      <c r="B785">
        <v>1.05</v>
      </c>
      <c r="C785">
        <v>21.02</v>
      </c>
      <c r="E785" t="s">
        <v>2086</v>
      </c>
      <c r="F785">
        <v>1.65</v>
      </c>
      <c r="G785">
        <v>89.5</v>
      </c>
      <c r="I785" t="str" cm="1">
        <f t="array" ref="I785:J785">_xlfn.TEXTSPLIT(A785," ")</f>
        <v>27.10.2023</v>
      </c>
      <c r="J785" t="str">
        <v>13:04:18</v>
      </c>
      <c r="K785">
        <f t="shared" si="200"/>
        <v>13.033333333333561</v>
      </c>
      <c r="L785">
        <f t="shared" si="193"/>
        <v>6.6999999999999993</v>
      </c>
      <c r="M785">
        <f t="shared" si="194"/>
        <v>1.05</v>
      </c>
      <c r="N785">
        <f t="shared" si="188"/>
        <v>0.8324999999999998</v>
      </c>
      <c r="Q785" t="str" cm="1">
        <f t="array" ref="Q785:R785">_xlfn.TEXTSPLIT(E785," ")</f>
        <v>27.10.2023</v>
      </c>
      <c r="R785" t="str">
        <v>13:04:18</v>
      </c>
      <c r="S785">
        <f t="shared" si="201"/>
        <v>13.033333333333561</v>
      </c>
      <c r="T785">
        <f t="shared" si="192"/>
        <v>10.900000000000006</v>
      </c>
      <c r="U785">
        <f t="shared" si="195"/>
        <v>1.65</v>
      </c>
      <c r="V785">
        <f t="shared" si="189"/>
        <v>1.4199999999999995</v>
      </c>
      <c r="AC785" t="s">
        <v>2087</v>
      </c>
      <c r="AD785">
        <v>0</v>
      </c>
      <c r="AE785">
        <v>8.0399999999999991</v>
      </c>
      <c r="AG785" t="str" cm="1">
        <f t="array" ref="AG785:AH785">_xlfn.TEXTSPLIT(AC786," ")</f>
        <v>26.10.2023</v>
      </c>
      <c r="AH785" t="str">
        <v>13:05:21</v>
      </c>
      <c r="AI785">
        <f t="shared" si="202"/>
        <v>13.033333333333561</v>
      </c>
      <c r="AJ785">
        <f t="shared" si="196"/>
        <v>3.5099999999999989</v>
      </c>
      <c r="AK785">
        <f t="shared" si="197"/>
        <v>0</v>
      </c>
      <c r="AL785">
        <f t="shared" si="190"/>
        <v>0.35500000000000009</v>
      </c>
      <c r="AN785" t="s">
        <v>2087</v>
      </c>
      <c r="AO785">
        <v>0.45</v>
      </c>
      <c r="AP785">
        <v>70.58</v>
      </c>
      <c r="AR785" t="str" cm="1">
        <f t="array" ref="AR785:AS785">_xlfn.TEXTSPLIT(AN785," ")</f>
        <v>26.10.2023</v>
      </c>
      <c r="AS785" t="str">
        <v>13:04:21</v>
      </c>
      <c r="AT785">
        <f t="shared" si="203"/>
        <v>13.033333333333561</v>
      </c>
      <c r="AU785">
        <f t="shared" si="198"/>
        <v>9.269999999999996</v>
      </c>
      <c r="AV785">
        <f t="shared" si="199"/>
        <v>0.45</v>
      </c>
      <c r="AW785">
        <f t="shared" si="191"/>
        <v>0.71750000000000003</v>
      </c>
    </row>
    <row r="786" spans="1:49" x14ac:dyDescent="0.25">
      <c r="A786" t="s">
        <v>2088</v>
      </c>
      <c r="B786">
        <v>0.6</v>
      </c>
      <c r="C786">
        <v>21.03</v>
      </c>
      <c r="E786" t="s">
        <v>2088</v>
      </c>
      <c r="F786">
        <v>1.95</v>
      </c>
      <c r="G786">
        <v>89.53</v>
      </c>
      <c r="I786" t="str" cm="1">
        <f t="array" ref="I786:J786">_xlfn.TEXTSPLIT(A786," ")</f>
        <v>27.10.2023</v>
      </c>
      <c r="J786" t="str">
        <v>13:05:18</v>
      </c>
      <c r="K786">
        <f t="shared" si="200"/>
        <v>13.050000000000228</v>
      </c>
      <c r="L786">
        <f t="shared" si="193"/>
        <v>6.7100000000000009</v>
      </c>
      <c r="M786">
        <f t="shared" si="194"/>
        <v>0.6</v>
      </c>
      <c r="N786">
        <f t="shared" si="188"/>
        <v>0.8324999999999998</v>
      </c>
      <c r="Q786" t="str" cm="1">
        <f t="array" ref="Q786:R786">_xlfn.TEXTSPLIT(E786," ")</f>
        <v>27.10.2023</v>
      </c>
      <c r="R786" t="str">
        <v>13:05:18</v>
      </c>
      <c r="S786">
        <f t="shared" si="201"/>
        <v>13.050000000000228</v>
      </c>
      <c r="T786">
        <f t="shared" si="192"/>
        <v>10.930000000000007</v>
      </c>
      <c r="U786">
        <f t="shared" si="195"/>
        <v>1.95</v>
      </c>
      <c r="V786">
        <f t="shared" si="189"/>
        <v>1.4374999999999998</v>
      </c>
      <c r="AC786" t="s">
        <v>2089</v>
      </c>
      <c r="AD786">
        <v>0</v>
      </c>
      <c r="AE786">
        <v>8.0399999999999991</v>
      </c>
      <c r="AG786" t="str" cm="1">
        <f t="array" ref="AG786:AH786">_xlfn.TEXTSPLIT(AC787," ")</f>
        <v>26.10.2023</v>
      </c>
      <c r="AH786" t="str">
        <v>13:06:21</v>
      </c>
      <c r="AI786">
        <f t="shared" si="202"/>
        <v>13.050000000000228</v>
      </c>
      <c r="AJ786">
        <f t="shared" si="196"/>
        <v>3.5099999999999989</v>
      </c>
      <c r="AK786">
        <f t="shared" si="197"/>
        <v>0</v>
      </c>
      <c r="AL786">
        <f t="shared" si="190"/>
        <v>0.35500000000000009</v>
      </c>
      <c r="AN786" t="s">
        <v>2089</v>
      </c>
      <c r="AO786">
        <v>0.45</v>
      </c>
      <c r="AP786">
        <v>70.58</v>
      </c>
      <c r="AR786" t="str" cm="1">
        <f t="array" ref="AR786:AS786">_xlfn.TEXTSPLIT(AN786," ")</f>
        <v>26.10.2023</v>
      </c>
      <c r="AS786" t="str">
        <v>13:05:21</v>
      </c>
      <c r="AT786">
        <f t="shared" si="203"/>
        <v>13.050000000000228</v>
      </c>
      <c r="AU786">
        <f t="shared" si="198"/>
        <v>9.269999999999996</v>
      </c>
      <c r="AV786">
        <f t="shared" si="199"/>
        <v>0.45</v>
      </c>
      <c r="AW786">
        <f t="shared" si="191"/>
        <v>0.71750000000000003</v>
      </c>
    </row>
    <row r="787" spans="1:49" x14ac:dyDescent="0.25">
      <c r="A787" t="s">
        <v>2090</v>
      </c>
      <c r="B787">
        <v>0.75</v>
      </c>
      <c r="C787">
        <v>21.05</v>
      </c>
      <c r="E787" t="s">
        <v>2090</v>
      </c>
      <c r="F787">
        <v>1.5</v>
      </c>
      <c r="G787">
        <v>89.56</v>
      </c>
      <c r="I787" t="str" cm="1">
        <f t="array" ref="I787:J787">_xlfn.TEXTSPLIT(A787," ")</f>
        <v>27.10.2023</v>
      </c>
      <c r="J787" t="str">
        <v>13:06:18</v>
      </c>
      <c r="K787">
        <f t="shared" si="200"/>
        <v>13.066666666666896</v>
      </c>
      <c r="L787">
        <f t="shared" si="193"/>
        <v>6.73</v>
      </c>
      <c r="M787">
        <f t="shared" si="194"/>
        <v>0.75</v>
      </c>
      <c r="N787">
        <f t="shared" si="188"/>
        <v>0.83499999999999985</v>
      </c>
      <c r="Q787" t="str" cm="1">
        <f t="array" ref="Q787:R787">_xlfn.TEXTSPLIT(E787," ")</f>
        <v>27.10.2023</v>
      </c>
      <c r="R787" t="str">
        <v>13:06:18</v>
      </c>
      <c r="S787">
        <f t="shared" si="201"/>
        <v>13.066666666666896</v>
      </c>
      <c r="T787">
        <f t="shared" si="192"/>
        <v>10.960000000000008</v>
      </c>
      <c r="U787">
        <f t="shared" si="195"/>
        <v>1.5</v>
      </c>
      <c r="V787">
        <f t="shared" si="189"/>
        <v>1.4374999999999998</v>
      </c>
      <c r="AC787" t="s">
        <v>2091</v>
      </c>
      <c r="AD787">
        <v>0</v>
      </c>
      <c r="AE787">
        <v>8.0399999999999991</v>
      </c>
      <c r="AG787" t="str" cm="1">
        <f t="array" ref="AG787:AH787">_xlfn.TEXTSPLIT(AC788," ")</f>
        <v>26.10.2023</v>
      </c>
      <c r="AH787" t="str">
        <v>13:07:21</v>
      </c>
      <c r="AI787">
        <f t="shared" si="202"/>
        <v>13.066666666666896</v>
      </c>
      <c r="AJ787">
        <f t="shared" si="196"/>
        <v>3.5099999999999989</v>
      </c>
      <c r="AK787">
        <f t="shared" si="197"/>
        <v>0</v>
      </c>
      <c r="AL787">
        <f t="shared" si="190"/>
        <v>0.35500000000000009</v>
      </c>
      <c r="AN787" t="s">
        <v>2091</v>
      </c>
      <c r="AO787">
        <v>0.3</v>
      </c>
      <c r="AP787">
        <v>70.59</v>
      </c>
      <c r="AR787" t="str" cm="1">
        <f t="array" ref="AR787:AS787">_xlfn.TEXTSPLIT(AN787," ")</f>
        <v>26.10.2023</v>
      </c>
      <c r="AS787" t="str">
        <v>13:06:21</v>
      </c>
      <c r="AT787">
        <f t="shared" si="203"/>
        <v>13.066666666666896</v>
      </c>
      <c r="AU787">
        <f t="shared" si="198"/>
        <v>9.2800000000000011</v>
      </c>
      <c r="AV787">
        <f t="shared" si="199"/>
        <v>0.3</v>
      </c>
      <c r="AW787">
        <f t="shared" si="191"/>
        <v>0.71500000000000008</v>
      </c>
    </row>
    <row r="788" spans="1:49" x14ac:dyDescent="0.25">
      <c r="A788" t="s">
        <v>2092</v>
      </c>
      <c r="B788">
        <v>1.05</v>
      </c>
      <c r="C788">
        <v>21.07</v>
      </c>
      <c r="E788" t="s">
        <v>2092</v>
      </c>
      <c r="F788">
        <v>3.15</v>
      </c>
      <c r="G788">
        <v>89.62</v>
      </c>
      <c r="I788" t="str" cm="1">
        <f t="array" ref="I788:J788">_xlfn.TEXTSPLIT(A788," ")</f>
        <v>27.10.2023</v>
      </c>
      <c r="J788" t="str">
        <v>13:07:18</v>
      </c>
      <c r="K788">
        <f t="shared" si="200"/>
        <v>13.083333333333563</v>
      </c>
      <c r="L788">
        <f t="shared" si="193"/>
        <v>6.75</v>
      </c>
      <c r="M788">
        <f t="shared" si="194"/>
        <v>1.05</v>
      </c>
      <c r="N788">
        <f t="shared" si="188"/>
        <v>0.84999999999999987</v>
      </c>
      <c r="Q788" t="str" cm="1">
        <f t="array" ref="Q788:R788">_xlfn.TEXTSPLIT(E788," ")</f>
        <v>27.10.2023</v>
      </c>
      <c r="R788" t="str">
        <v>13:07:18</v>
      </c>
      <c r="S788">
        <f t="shared" si="201"/>
        <v>13.083333333333563</v>
      </c>
      <c r="T788">
        <f t="shared" si="192"/>
        <v>11.02000000000001</v>
      </c>
      <c r="U788">
        <f t="shared" si="195"/>
        <v>3.15</v>
      </c>
      <c r="V788">
        <f t="shared" si="189"/>
        <v>1.4400000000000002</v>
      </c>
      <c r="AC788" t="s">
        <v>2093</v>
      </c>
      <c r="AD788">
        <v>0</v>
      </c>
      <c r="AE788">
        <v>8.0399999999999991</v>
      </c>
      <c r="AG788" t="str" cm="1">
        <f t="array" ref="AG788:AH788">_xlfn.TEXTSPLIT(AC789," ")</f>
        <v>26.10.2023</v>
      </c>
      <c r="AH788" t="str">
        <v>13:08:21</v>
      </c>
      <c r="AI788">
        <f t="shared" si="202"/>
        <v>13.083333333333563</v>
      </c>
      <c r="AJ788">
        <f t="shared" si="196"/>
        <v>3.5099999999999989</v>
      </c>
      <c r="AK788">
        <f t="shared" si="197"/>
        <v>0</v>
      </c>
      <c r="AL788">
        <f t="shared" si="190"/>
        <v>0.35500000000000009</v>
      </c>
      <c r="AN788" t="s">
        <v>2093</v>
      </c>
      <c r="AO788">
        <v>0.75</v>
      </c>
      <c r="AP788">
        <v>70.61</v>
      </c>
      <c r="AR788" t="str" cm="1">
        <f t="array" ref="AR788:AS788">_xlfn.TEXTSPLIT(AN788," ")</f>
        <v>26.10.2023</v>
      </c>
      <c r="AS788" t="str">
        <v>13:07:21</v>
      </c>
      <c r="AT788">
        <f t="shared" si="203"/>
        <v>13.083333333333563</v>
      </c>
      <c r="AU788">
        <f t="shared" si="198"/>
        <v>9.2999999999999972</v>
      </c>
      <c r="AV788">
        <f t="shared" si="199"/>
        <v>0.75</v>
      </c>
      <c r="AW788">
        <f t="shared" si="191"/>
        <v>0.71250000000000013</v>
      </c>
    </row>
    <row r="789" spans="1:49" x14ac:dyDescent="0.25">
      <c r="A789" t="s">
        <v>2094</v>
      </c>
      <c r="B789">
        <v>2.85</v>
      </c>
      <c r="C789">
        <v>21.11</v>
      </c>
      <c r="E789" t="s">
        <v>2094</v>
      </c>
      <c r="F789">
        <v>3.45</v>
      </c>
      <c r="G789">
        <v>89.67</v>
      </c>
      <c r="I789" t="str" cm="1">
        <f t="array" ref="I789:J789">_xlfn.TEXTSPLIT(A789," ")</f>
        <v>27.10.2023</v>
      </c>
      <c r="J789" t="str">
        <v>13:08:18</v>
      </c>
      <c r="K789">
        <f t="shared" si="200"/>
        <v>13.100000000000231</v>
      </c>
      <c r="L789">
        <f t="shared" si="193"/>
        <v>6.7899999999999991</v>
      </c>
      <c r="M789">
        <f t="shared" si="194"/>
        <v>2.85</v>
      </c>
      <c r="N789">
        <f t="shared" si="188"/>
        <v>0.85999999999999988</v>
      </c>
      <c r="Q789" t="str" cm="1">
        <f t="array" ref="Q789:R789">_xlfn.TEXTSPLIT(E789," ")</f>
        <v>27.10.2023</v>
      </c>
      <c r="R789" t="str">
        <v>13:08:18</v>
      </c>
      <c r="S789">
        <f t="shared" si="201"/>
        <v>13.100000000000231</v>
      </c>
      <c r="T789">
        <f t="shared" si="192"/>
        <v>11.070000000000007</v>
      </c>
      <c r="U789">
        <f t="shared" si="195"/>
        <v>3.45</v>
      </c>
      <c r="V789">
        <f t="shared" si="189"/>
        <v>1.4625000000000001</v>
      </c>
      <c r="AC789" t="s">
        <v>2095</v>
      </c>
      <c r="AD789">
        <v>0</v>
      </c>
      <c r="AE789">
        <v>8.0500000000000007</v>
      </c>
      <c r="AG789" t="str" cm="1">
        <f t="array" ref="AG789:AH789">_xlfn.TEXTSPLIT(AC790," ")</f>
        <v>26.10.2023</v>
      </c>
      <c r="AH789" t="str">
        <v>13:09:22</v>
      </c>
      <c r="AI789">
        <f t="shared" si="202"/>
        <v>13.100000000000231</v>
      </c>
      <c r="AJ789">
        <f t="shared" si="196"/>
        <v>3.5200000000000005</v>
      </c>
      <c r="AK789">
        <f t="shared" si="197"/>
        <v>0</v>
      </c>
      <c r="AL789">
        <f t="shared" si="190"/>
        <v>0.35500000000000009</v>
      </c>
      <c r="AN789" t="s">
        <v>2095</v>
      </c>
      <c r="AO789">
        <v>1.8</v>
      </c>
      <c r="AP789">
        <v>70.650000000000006</v>
      </c>
      <c r="AR789" t="str" cm="1">
        <f t="array" ref="AR789:AS789">_xlfn.TEXTSPLIT(AN789," ")</f>
        <v>26.10.2023</v>
      </c>
      <c r="AS789" t="str">
        <v>13:08:21</v>
      </c>
      <c r="AT789">
        <f t="shared" si="203"/>
        <v>13.100000000000231</v>
      </c>
      <c r="AU789">
        <f t="shared" si="198"/>
        <v>9.3400000000000034</v>
      </c>
      <c r="AV789">
        <f t="shared" si="199"/>
        <v>1.8</v>
      </c>
      <c r="AW789">
        <f t="shared" si="191"/>
        <v>0.6925</v>
      </c>
    </row>
    <row r="790" spans="1:49" x14ac:dyDescent="0.25">
      <c r="A790" t="s">
        <v>2096</v>
      </c>
      <c r="B790">
        <v>2.25</v>
      </c>
      <c r="C790">
        <v>21.15</v>
      </c>
      <c r="E790" t="s">
        <v>2096</v>
      </c>
      <c r="F790">
        <v>1.95</v>
      </c>
      <c r="G790">
        <v>89.7</v>
      </c>
      <c r="I790" t="str" cm="1">
        <f t="array" ref="I790:J790">_xlfn.TEXTSPLIT(A790," ")</f>
        <v>27.10.2023</v>
      </c>
      <c r="J790" t="str">
        <v>13:09:19</v>
      </c>
      <c r="K790">
        <f t="shared" si="200"/>
        <v>13.116666666666898</v>
      </c>
      <c r="L790">
        <f t="shared" si="193"/>
        <v>6.8299999999999983</v>
      </c>
      <c r="M790">
        <f t="shared" si="194"/>
        <v>2.25</v>
      </c>
      <c r="N790">
        <f t="shared" si="188"/>
        <v>0.86499999999999988</v>
      </c>
      <c r="Q790" t="str" cm="1">
        <f t="array" ref="Q790:R790">_xlfn.TEXTSPLIT(E790," ")</f>
        <v>27.10.2023</v>
      </c>
      <c r="R790" t="str">
        <v>13:09:19</v>
      </c>
      <c r="S790">
        <f t="shared" si="201"/>
        <v>13.116666666666898</v>
      </c>
      <c r="T790">
        <f t="shared" si="192"/>
        <v>11.100000000000009</v>
      </c>
      <c r="U790">
        <f t="shared" si="195"/>
        <v>1.95</v>
      </c>
      <c r="V790">
        <f t="shared" si="189"/>
        <v>1.47</v>
      </c>
      <c r="AC790" t="s">
        <v>2097</v>
      </c>
      <c r="AD790">
        <v>1.8</v>
      </c>
      <c r="AE790">
        <v>8.07</v>
      </c>
      <c r="AG790" t="str" cm="1">
        <f t="array" ref="AG790:AH790">_xlfn.TEXTSPLIT(AC791," ")</f>
        <v>26.10.2023</v>
      </c>
      <c r="AH790" t="str">
        <v>13:10:22</v>
      </c>
      <c r="AI790">
        <f t="shared" si="202"/>
        <v>13.116666666666898</v>
      </c>
      <c r="AJ790">
        <f t="shared" si="196"/>
        <v>3.54</v>
      </c>
      <c r="AK790">
        <f t="shared" si="197"/>
        <v>1.8</v>
      </c>
      <c r="AL790">
        <f t="shared" si="190"/>
        <v>0.34250000000000008</v>
      </c>
      <c r="AN790" t="s">
        <v>2097</v>
      </c>
      <c r="AO790">
        <v>2.7</v>
      </c>
      <c r="AP790">
        <v>70.69</v>
      </c>
      <c r="AR790" t="str" cm="1">
        <f t="array" ref="AR790:AS790">_xlfn.TEXTSPLIT(AN790," ")</f>
        <v>26.10.2023</v>
      </c>
      <c r="AS790" t="str">
        <v>13:09:22</v>
      </c>
      <c r="AT790">
        <f t="shared" si="203"/>
        <v>13.116666666666898</v>
      </c>
      <c r="AU790">
        <f t="shared" si="198"/>
        <v>9.3799999999999955</v>
      </c>
      <c r="AV790">
        <f t="shared" si="199"/>
        <v>2.7</v>
      </c>
      <c r="AW790">
        <f t="shared" si="191"/>
        <v>0.70250000000000012</v>
      </c>
    </row>
    <row r="791" spans="1:49" x14ac:dyDescent="0.25">
      <c r="A791" t="s">
        <v>2098</v>
      </c>
      <c r="B791">
        <v>2.1</v>
      </c>
      <c r="C791">
        <v>21.18</v>
      </c>
      <c r="E791" t="s">
        <v>2098</v>
      </c>
      <c r="F791">
        <v>2.25</v>
      </c>
      <c r="G791">
        <v>89.74</v>
      </c>
      <c r="I791" t="str" cm="1">
        <f t="array" ref="I791:J791">_xlfn.TEXTSPLIT(A791," ")</f>
        <v>27.10.2023</v>
      </c>
      <c r="J791" t="str">
        <v>13:10:19</v>
      </c>
      <c r="K791">
        <f t="shared" si="200"/>
        <v>13.133333333333566</v>
      </c>
      <c r="L791">
        <f t="shared" si="193"/>
        <v>6.8599999999999994</v>
      </c>
      <c r="M791">
        <f t="shared" si="194"/>
        <v>2.1</v>
      </c>
      <c r="N791">
        <f t="shared" si="188"/>
        <v>0.86999999999999977</v>
      </c>
      <c r="Q791" t="str" cm="1">
        <f t="array" ref="Q791:R791">_xlfn.TEXTSPLIT(E791," ")</f>
        <v>27.10.2023</v>
      </c>
      <c r="R791" t="str">
        <v>13:10:19</v>
      </c>
      <c r="S791">
        <f t="shared" si="201"/>
        <v>13.133333333333566</v>
      </c>
      <c r="T791">
        <f t="shared" si="192"/>
        <v>11.14</v>
      </c>
      <c r="U791">
        <f t="shared" si="195"/>
        <v>2.25</v>
      </c>
      <c r="V791">
        <f t="shared" si="189"/>
        <v>1.4800000000000002</v>
      </c>
      <c r="AC791" t="s">
        <v>2099</v>
      </c>
      <c r="AD791">
        <v>1.35</v>
      </c>
      <c r="AE791">
        <v>8.1</v>
      </c>
      <c r="AG791" t="str" cm="1">
        <f t="array" ref="AG791:AH791">_xlfn.TEXTSPLIT(AC792," ")</f>
        <v>26.10.2023</v>
      </c>
      <c r="AH791" t="str">
        <v>13:11:22</v>
      </c>
      <c r="AI791">
        <f t="shared" si="202"/>
        <v>13.133333333333566</v>
      </c>
      <c r="AJ791">
        <f t="shared" si="196"/>
        <v>3.5699999999999994</v>
      </c>
      <c r="AK791">
        <f t="shared" si="197"/>
        <v>1.35</v>
      </c>
      <c r="AL791">
        <f t="shared" si="190"/>
        <v>0.33500000000000002</v>
      </c>
      <c r="AN791" t="s">
        <v>2099</v>
      </c>
      <c r="AO791">
        <v>1.8</v>
      </c>
      <c r="AP791">
        <v>70.709999999999994</v>
      </c>
      <c r="AR791" t="str" cm="1">
        <f t="array" ref="AR791:AS791">_xlfn.TEXTSPLIT(AN791," ")</f>
        <v>26.10.2023</v>
      </c>
      <c r="AS791" t="str">
        <v>13:10:22</v>
      </c>
      <c r="AT791">
        <f t="shared" si="203"/>
        <v>13.133333333333566</v>
      </c>
      <c r="AU791">
        <f t="shared" si="198"/>
        <v>9.3999999999999915</v>
      </c>
      <c r="AV791">
        <f t="shared" si="199"/>
        <v>1.8</v>
      </c>
      <c r="AW791">
        <f t="shared" si="191"/>
        <v>0.71250000000000013</v>
      </c>
    </row>
    <row r="792" spans="1:49" x14ac:dyDescent="0.25">
      <c r="A792" t="s">
        <v>2100</v>
      </c>
      <c r="B792">
        <v>1.05</v>
      </c>
      <c r="C792">
        <v>21.2</v>
      </c>
      <c r="E792" t="s">
        <v>2100</v>
      </c>
      <c r="F792">
        <v>2.4</v>
      </c>
      <c r="G792">
        <v>89.78</v>
      </c>
      <c r="I792" t="str" cm="1">
        <f t="array" ref="I792:J792">_xlfn.TEXTSPLIT(A792," ")</f>
        <v>27.10.2023</v>
      </c>
      <c r="J792" t="str">
        <v>13:11:19</v>
      </c>
      <c r="K792">
        <f t="shared" si="200"/>
        <v>13.150000000000233</v>
      </c>
      <c r="L792">
        <f t="shared" si="193"/>
        <v>6.879999999999999</v>
      </c>
      <c r="M792">
        <f t="shared" si="194"/>
        <v>1.05</v>
      </c>
      <c r="N792">
        <f t="shared" si="188"/>
        <v>0.86249999999999971</v>
      </c>
      <c r="Q792" t="str" cm="1">
        <f t="array" ref="Q792:R792">_xlfn.TEXTSPLIT(E792," ")</f>
        <v>27.10.2023</v>
      </c>
      <c r="R792" t="str">
        <v>13:11:19</v>
      </c>
      <c r="S792">
        <f t="shared" si="201"/>
        <v>13.150000000000233</v>
      </c>
      <c r="T792">
        <f t="shared" si="192"/>
        <v>11.180000000000007</v>
      </c>
      <c r="U792">
        <f t="shared" si="195"/>
        <v>2.4</v>
      </c>
      <c r="V792">
        <f t="shared" si="189"/>
        <v>1.4875</v>
      </c>
      <c r="AC792" t="s">
        <v>2101</v>
      </c>
      <c r="AD792">
        <v>1.35</v>
      </c>
      <c r="AE792">
        <v>8.11</v>
      </c>
      <c r="AG792" t="str" cm="1">
        <f t="array" ref="AG792:AH792">_xlfn.TEXTSPLIT(AC793," ")</f>
        <v>26.10.2023</v>
      </c>
      <c r="AH792" t="str">
        <v>13:12:22</v>
      </c>
      <c r="AI792">
        <f t="shared" si="202"/>
        <v>13.150000000000233</v>
      </c>
      <c r="AJ792">
        <f t="shared" si="196"/>
        <v>3.5799999999999992</v>
      </c>
      <c r="AK792">
        <f t="shared" si="197"/>
        <v>1.35</v>
      </c>
      <c r="AL792">
        <f t="shared" si="190"/>
        <v>0.34250000000000008</v>
      </c>
      <c r="AN792" t="s">
        <v>2101</v>
      </c>
      <c r="AO792">
        <v>0.9</v>
      </c>
      <c r="AP792">
        <v>70.73</v>
      </c>
      <c r="AR792" t="str" cm="1">
        <f t="array" ref="AR792:AS792">_xlfn.TEXTSPLIT(AN792," ")</f>
        <v>26.10.2023</v>
      </c>
      <c r="AS792" t="str">
        <v>13:11:22</v>
      </c>
      <c r="AT792">
        <f t="shared" si="203"/>
        <v>13.150000000000233</v>
      </c>
      <c r="AU792">
        <f t="shared" si="198"/>
        <v>9.4200000000000017</v>
      </c>
      <c r="AV792">
        <f t="shared" si="199"/>
        <v>0.9</v>
      </c>
      <c r="AW792">
        <f t="shared" si="191"/>
        <v>0.70749999999999991</v>
      </c>
    </row>
    <row r="793" spans="1:49" x14ac:dyDescent="0.25">
      <c r="A793" t="s">
        <v>2102</v>
      </c>
      <c r="B793">
        <v>1.8</v>
      </c>
      <c r="C793">
        <v>21.23</v>
      </c>
      <c r="E793" t="s">
        <v>2102</v>
      </c>
      <c r="F793">
        <v>1.65</v>
      </c>
      <c r="G793">
        <v>89.8</v>
      </c>
      <c r="I793" t="str" cm="1">
        <f t="array" ref="I793:J793">_xlfn.TEXTSPLIT(A793," ")</f>
        <v>27.10.2023</v>
      </c>
      <c r="J793" t="str">
        <v>13:12:19</v>
      </c>
      <c r="K793">
        <f t="shared" si="200"/>
        <v>13.166666666666901</v>
      </c>
      <c r="L793">
        <f t="shared" si="193"/>
        <v>6.91</v>
      </c>
      <c r="M793">
        <f t="shared" si="194"/>
        <v>1.8</v>
      </c>
      <c r="N793">
        <f t="shared" si="188"/>
        <v>0.86999999999999966</v>
      </c>
      <c r="Q793" t="str" cm="1">
        <f t="array" ref="Q793:R793">_xlfn.TEXTSPLIT(E793," ")</f>
        <v>27.10.2023</v>
      </c>
      <c r="R793" t="str">
        <v>13:12:19</v>
      </c>
      <c r="S793">
        <f t="shared" si="201"/>
        <v>13.166666666666901</v>
      </c>
      <c r="T793">
        <f t="shared" si="192"/>
        <v>11.200000000000003</v>
      </c>
      <c r="U793">
        <f t="shared" si="195"/>
        <v>1.65</v>
      </c>
      <c r="V793">
        <f t="shared" si="189"/>
        <v>1.49</v>
      </c>
      <c r="AC793" t="s">
        <v>2103</v>
      </c>
      <c r="AD793">
        <v>0.6</v>
      </c>
      <c r="AE793">
        <v>8.1199999999999992</v>
      </c>
      <c r="AG793" t="str" cm="1">
        <f t="array" ref="AG793:AH793">_xlfn.TEXTSPLIT(AC794," ")</f>
        <v>26.10.2023</v>
      </c>
      <c r="AH793" t="str">
        <v>13:13:22</v>
      </c>
      <c r="AI793">
        <f t="shared" si="202"/>
        <v>13.166666666666901</v>
      </c>
      <c r="AJ793">
        <f t="shared" si="196"/>
        <v>3.589999999999999</v>
      </c>
      <c r="AK793">
        <f t="shared" si="197"/>
        <v>0.6</v>
      </c>
      <c r="AL793">
        <f t="shared" si="190"/>
        <v>0.34250000000000014</v>
      </c>
      <c r="AN793" t="s">
        <v>2103</v>
      </c>
      <c r="AO793">
        <v>1.05</v>
      </c>
      <c r="AP793">
        <v>70.739999999999995</v>
      </c>
      <c r="AR793" t="str" cm="1">
        <f t="array" ref="AR793:AS793">_xlfn.TEXTSPLIT(AN793," ")</f>
        <v>26.10.2023</v>
      </c>
      <c r="AS793" t="str">
        <v>13:12:22</v>
      </c>
      <c r="AT793">
        <f t="shared" si="203"/>
        <v>13.166666666666901</v>
      </c>
      <c r="AU793">
        <f t="shared" si="198"/>
        <v>9.4299999999999926</v>
      </c>
      <c r="AV793">
        <f t="shared" si="199"/>
        <v>1.05</v>
      </c>
      <c r="AW793">
        <f t="shared" si="191"/>
        <v>0.70999999999999974</v>
      </c>
    </row>
    <row r="794" spans="1:49" x14ac:dyDescent="0.25">
      <c r="A794" t="s">
        <v>2104</v>
      </c>
      <c r="B794">
        <v>1.05</v>
      </c>
      <c r="C794">
        <v>21.25</v>
      </c>
      <c r="E794" t="s">
        <v>2104</v>
      </c>
      <c r="F794">
        <v>1.8</v>
      </c>
      <c r="G794">
        <v>89.83</v>
      </c>
      <c r="I794" t="str" cm="1">
        <f t="array" ref="I794:J794">_xlfn.TEXTSPLIT(A794," ")</f>
        <v>27.10.2023</v>
      </c>
      <c r="J794" t="str">
        <v>13:13:19</v>
      </c>
      <c r="K794">
        <f t="shared" si="200"/>
        <v>13.183333333333568</v>
      </c>
      <c r="L794">
        <f t="shared" si="193"/>
        <v>6.93</v>
      </c>
      <c r="M794">
        <f t="shared" si="194"/>
        <v>1.05</v>
      </c>
      <c r="N794">
        <f t="shared" si="188"/>
        <v>0.87249999999999972</v>
      </c>
      <c r="Q794" t="str" cm="1">
        <f t="array" ref="Q794:R794">_xlfn.TEXTSPLIT(E794," ")</f>
        <v>27.10.2023</v>
      </c>
      <c r="R794" t="str">
        <v>13:13:19</v>
      </c>
      <c r="S794">
        <f t="shared" si="201"/>
        <v>13.183333333333568</v>
      </c>
      <c r="T794">
        <f t="shared" si="192"/>
        <v>11.230000000000004</v>
      </c>
      <c r="U794">
        <f t="shared" si="195"/>
        <v>1.8</v>
      </c>
      <c r="V794">
        <f t="shared" si="189"/>
        <v>1.5050000000000001</v>
      </c>
      <c r="AC794" t="s">
        <v>2105</v>
      </c>
      <c r="AD794">
        <v>0.75</v>
      </c>
      <c r="AE794">
        <v>8.14</v>
      </c>
      <c r="AG794" t="str" cm="1">
        <f t="array" ref="AG794:AH794">_xlfn.TEXTSPLIT(AC795," ")</f>
        <v>26.10.2023</v>
      </c>
      <c r="AH794" t="str">
        <v>13:14:22</v>
      </c>
      <c r="AI794">
        <f t="shared" si="202"/>
        <v>13.183333333333568</v>
      </c>
      <c r="AJ794">
        <f t="shared" si="196"/>
        <v>3.6100000000000003</v>
      </c>
      <c r="AK794">
        <f t="shared" si="197"/>
        <v>0.75</v>
      </c>
      <c r="AL794">
        <f t="shared" si="190"/>
        <v>0.34250000000000008</v>
      </c>
      <c r="AN794" t="s">
        <v>2105</v>
      </c>
      <c r="AO794">
        <v>0.9</v>
      </c>
      <c r="AP794">
        <v>70.760000000000005</v>
      </c>
      <c r="AR794" t="str" cm="1">
        <f t="array" ref="AR794:AS794">_xlfn.TEXTSPLIT(AN794," ")</f>
        <v>26.10.2023</v>
      </c>
      <c r="AS794" t="str">
        <v>13:13:22</v>
      </c>
      <c r="AT794">
        <f t="shared" si="203"/>
        <v>13.183333333333568</v>
      </c>
      <c r="AU794">
        <f t="shared" si="198"/>
        <v>9.4500000000000028</v>
      </c>
      <c r="AV794">
        <f t="shared" si="199"/>
        <v>0.9</v>
      </c>
      <c r="AW794">
        <f t="shared" si="191"/>
        <v>0.7074999999999998</v>
      </c>
    </row>
    <row r="795" spans="1:49" x14ac:dyDescent="0.25">
      <c r="A795" t="s">
        <v>2106</v>
      </c>
      <c r="B795">
        <v>0.9</v>
      </c>
      <c r="C795">
        <v>21.26</v>
      </c>
      <c r="E795" t="s">
        <v>2106</v>
      </c>
      <c r="F795">
        <v>2.4</v>
      </c>
      <c r="G795">
        <v>89.87</v>
      </c>
      <c r="I795" t="str" cm="1">
        <f t="array" ref="I795:J795">_xlfn.TEXTSPLIT(A795," ")</f>
        <v>27.10.2023</v>
      </c>
      <c r="J795" t="str">
        <v>13:14:19</v>
      </c>
      <c r="K795">
        <f t="shared" si="200"/>
        <v>13.200000000000236</v>
      </c>
      <c r="L795">
        <f t="shared" si="193"/>
        <v>6.9400000000000013</v>
      </c>
      <c r="M795">
        <f t="shared" si="194"/>
        <v>0.9</v>
      </c>
      <c r="N795">
        <f t="shared" si="188"/>
        <v>0.87249999999999972</v>
      </c>
      <c r="Q795" t="str" cm="1">
        <f t="array" ref="Q795:R795">_xlfn.TEXTSPLIT(E795," ")</f>
        <v>27.10.2023</v>
      </c>
      <c r="R795" t="str">
        <v>13:14:19</v>
      </c>
      <c r="S795">
        <f t="shared" si="201"/>
        <v>13.200000000000236</v>
      </c>
      <c r="T795">
        <f t="shared" si="192"/>
        <v>11.27000000000001</v>
      </c>
      <c r="U795">
        <f t="shared" si="195"/>
        <v>2.4</v>
      </c>
      <c r="V795">
        <f t="shared" si="189"/>
        <v>1.5300000000000005</v>
      </c>
      <c r="AC795" t="s">
        <v>2107</v>
      </c>
      <c r="AD795">
        <v>0.45</v>
      </c>
      <c r="AE795">
        <v>8.14</v>
      </c>
      <c r="AG795" t="str" cm="1">
        <f t="array" ref="AG795:AH795">_xlfn.TEXTSPLIT(AC796," ")</f>
        <v>26.10.2023</v>
      </c>
      <c r="AH795" t="str">
        <v>13:15:22</v>
      </c>
      <c r="AI795">
        <f t="shared" si="202"/>
        <v>13.200000000000236</v>
      </c>
      <c r="AJ795">
        <f t="shared" si="196"/>
        <v>3.6100000000000003</v>
      </c>
      <c r="AK795">
        <f t="shared" si="197"/>
        <v>0.45</v>
      </c>
      <c r="AL795">
        <f t="shared" si="190"/>
        <v>0.34250000000000008</v>
      </c>
      <c r="AN795" t="s">
        <v>2107</v>
      </c>
      <c r="AO795">
        <v>0.75</v>
      </c>
      <c r="AP795">
        <v>70.77</v>
      </c>
      <c r="AR795" t="str" cm="1">
        <f t="array" ref="AR795:AS795">_xlfn.TEXTSPLIT(AN795," ")</f>
        <v>26.10.2023</v>
      </c>
      <c r="AS795" t="str">
        <v>13:14:22</v>
      </c>
      <c r="AT795">
        <f t="shared" si="203"/>
        <v>13.200000000000236</v>
      </c>
      <c r="AU795">
        <f t="shared" si="198"/>
        <v>9.4599999999999937</v>
      </c>
      <c r="AV795">
        <f t="shared" si="199"/>
        <v>0.75</v>
      </c>
      <c r="AW795">
        <f t="shared" si="191"/>
        <v>0.69999999999999973</v>
      </c>
    </row>
    <row r="796" spans="1:49" x14ac:dyDescent="0.25">
      <c r="A796" t="s">
        <v>2108</v>
      </c>
      <c r="B796">
        <v>1.2</v>
      </c>
      <c r="C796">
        <v>21.28</v>
      </c>
      <c r="E796" t="s">
        <v>2108</v>
      </c>
      <c r="F796">
        <v>1.95</v>
      </c>
      <c r="G796">
        <v>89.9</v>
      </c>
      <c r="I796" t="str" cm="1">
        <f t="array" ref="I796:J796">_xlfn.TEXTSPLIT(A796," ")</f>
        <v>27.10.2023</v>
      </c>
      <c r="J796" t="str">
        <v>13:15:19</v>
      </c>
      <c r="K796">
        <f t="shared" si="200"/>
        <v>13.216666666666903</v>
      </c>
      <c r="L796">
        <f t="shared" si="193"/>
        <v>6.9600000000000009</v>
      </c>
      <c r="M796">
        <f t="shared" si="194"/>
        <v>1.2</v>
      </c>
      <c r="N796">
        <f t="shared" si="188"/>
        <v>0.88499999999999979</v>
      </c>
      <c r="Q796" t="str" cm="1">
        <f t="array" ref="Q796:R796">_xlfn.TEXTSPLIT(E796," ")</f>
        <v>27.10.2023</v>
      </c>
      <c r="R796" t="str">
        <v>13:15:19</v>
      </c>
      <c r="S796">
        <f t="shared" si="201"/>
        <v>13.216666666666903</v>
      </c>
      <c r="T796">
        <f t="shared" si="192"/>
        <v>11.300000000000011</v>
      </c>
      <c r="U796">
        <f t="shared" si="195"/>
        <v>1.95</v>
      </c>
      <c r="V796">
        <f t="shared" si="189"/>
        <v>1.5450000000000006</v>
      </c>
      <c r="AC796" t="s">
        <v>2109</v>
      </c>
      <c r="AD796">
        <v>0.3</v>
      </c>
      <c r="AE796">
        <v>8.15</v>
      </c>
      <c r="AG796" t="str" cm="1">
        <f t="array" ref="AG796:AH796">_xlfn.TEXTSPLIT(AC797," ")</f>
        <v>26.10.2023</v>
      </c>
      <c r="AH796" t="str">
        <v>13:16:23</v>
      </c>
      <c r="AI796">
        <f t="shared" si="202"/>
        <v>13.216666666666903</v>
      </c>
      <c r="AJ796">
        <f t="shared" si="196"/>
        <v>3.62</v>
      </c>
      <c r="AK796">
        <f t="shared" si="197"/>
        <v>0.3</v>
      </c>
      <c r="AL796">
        <f t="shared" si="190"/>
        <v>0.34000000000000008</v>
      </c>
      <c r="AN796" t="s">
        <v>2109</v>
      </c>
      <c r="AO796">
        <v>1.05</v>
      </c>
      <c r="AP796">
        <v>70.78</v>
      </c>
      <c r="AR796" t="str" cm="1">
        <f t="array" ref="AR796:AS796">_xlfn.TEXTSPLIT(AN796," ")</f>
        <v>26.10.2023</v>
      </c>
      <c r="AS796" t="str">
        <v>13:15:22</v>
      </c>
      <c r="AT796">
        <f t="shared" si="203"/>
        <v>13.216666666666903</v>
      </c>
      <c r="AU796">
        <f t="shared" si="198"/>
        <v>9.4699999999999989</v>
      </c>
      <c r="AV796">
        <f t="shared" si="199"/>
        <v>1.05</v>
      </c>
      <c r="AW796">
        <f t="shared" si="191"/>
        <v>0.70499999999999974</v>
      </c>
    </row>
    <row r="797" spans="1:49" x14ac:dyDescent="0.25">
      <c r="A797" t="s">
        <v>2110</v>
      </c>
      <c r="B797">
        <v>1.05</v>
      </c>
      <c r="C797">
        <v>21.3</v>
      </c>
      <c r="E797" t="s">
        <v>2110</v>
      </c>
      <c r="F797">
        <v>1.5</v>
      </c>
      <c r="G797">
        <v>89.93</v>
      </c>
      <c r="I797" t="str" cm="1">
        <f t="array" ref="I797:J797">_xlfn.TEXTSPLIT(A797," ")</f>
        <v>27.10.2023</v>
      </c>
      <c r="J797" t="str">
        <v>13:16:19</v>
      </c>
      <c r="K797">
        <f t="shared" si="200"/>
        <v>13.233333333333571</v>
      </c>
      <c r="L797">
        <f t="shared" si="193"/>
        <v>6.98</v>
      </c>
      <c r="M797">
        <f t="shared" si="194"/>
        <v>1.05</v>
      </c>
      <c r="N797">
        <f t="shared" si="188"/>
        <v>0.89249999999999985</v>
      </c>
      <c r="Q797" t="str" cm="1">
        <f t="array" ref="Q797:R797">_xlfn.TEXTSPLIT(E797," ")</f>
        <v>27.10.2023</v>
      </c>
      <c r="R797" t="str">
        <v>13:16:19</v>
      </c>
      <c r="S797">
        <f t="shared" si="201"/>
        <v>13.233333333333571</v>
      </c>
      <c r="T797">
        <f t="shared" si="192"/>
        <v>11.330000000000013</v>
      </c>
      <c r="U797">
        <f t="shared" si="195"/>
        <v>1.5</v>
      </c>
      <c r="V797">
        <f t="shared" si="189"/>
        <v>1.5475000000000005</v>
      </c>
      <c r="AC797" t="s">
        <v>2111</v>
      </c>
      <c r="AD797">
        <v>0.45</v>
      </c>
      <c r="AE797">
        <v>8.15</v>
      </c>
      <c r="AG797" t="str" cm="1">
        <f t="array" ref="AG797:AH797">_xlfn.TEXTSPLIT(AC798," ")</f>
        <v>26.10.2023</v>
      </c>
      <c r="AH797" t="str">
        <v>13:17:23</v>
      </c>
      <c r="AI797">
        <f t="shared" si="202"/>
        <v>13.233333333333571</v>
      </c>
      <c r="AJ797">
        <f t="shared" si="196"/>
        <v>3.62</v>
      </c>
      <c r="AK797">
        <f t="shared" si="197"/>
        <v>0.45</v>
      </c>
      <c r="AL797">
        <f t="shared" si="190"/>
        <v>0.33500000000000008</v>
      </c>
      <c r="AN797" t="s">
        <v>2111</v>
      </c>
      <c r="AO797">
        <v>0.75</v>
      </c>
      <c r="AP797">
        <v>70.8</v>
      </c>
      <c r="AR797" t="str" cm="1">
        <f t="array" ref="AR797:AS797">_xlfn.TEXTSPLIT(AN797," ")</f>
        <v>26.10.2023</v>
      </c>
      <c r="AS797" t="str">
        <v>13:16:23</v>
      </c>
      <c r="AT797">
        <f t="shared" si="203"/>
        <v>13.233333333333571</v>
      </c>
      <c r="AU797">
        <f t="shared" si="198"/>
        <v>9.4899999999999949</v>
      </c>
      <c r="AV797">
        <f t="shared" si="199"/>
        <v>0.75</v>
      </c>
      <c r="AW797">
        <f t="shared" si="191"/>
        <v>0.70499999999999974</v>
      </c>
    </row>
    <row r="798" spans="1:49" x14ac:dyDescent="0.25">
      <c r="A798" t="s">
        <v>2112</v>
      </c>
      <c r="B798">
        <v>1.05</v>
      </c>
      <c r="C798">
        <v>21.32</v>
      </c>
      <c r="E798" t="s">
        <v>2112</v>
      </c>
      <c r="F798">
        <v>1.8</v>
      </c>
      <c r="G798">
        <v>89.97</v>
      </c>
      <c r="I798" t="str" cm="1">
        <f t="array" ref="I798:J798">_xlfn.TEXTSPLIT(A798," ")</f>
        <v>27.10.2023</v>
      </c>
      <c r="J798" t="str">
        <v>13:17:19</v>
      </c>
      <c r="K798">
        <f t="shared" si="200"/>
        <v>13.250000000000238</v>
      </c>
      <c r="L798">
        <f t="shared" si="193"/>
        <v>7</v>
      </c>
      <c r="M798">
        <f t="shared" si="194"/>
        <v>1.05</v>
      </c>
      <c r="N798">
        <f t="shared" si="188"/>
        <v>0.89499999999999968</v>
      </c>
      <c r="Q798" t="str" cm="1">
        <f t="array" ref="Q798:R798">_xlfn.TEXTSPLIT(E798," ")</f>
        <v>27.10.2023</v>
      </c>
      <c r="R798" t="str">
        <v>13:17:19</v>
      </c>
      <c r="S798">
        <f t="shared" si="201"/>
        <v>13.250000000000238</v>
      </c>
      <c r="T798">
        <f t="shared" si="192"/>
        <v>11.370000000000005</v>
      </c>
      <c r="U798">
        <f t="shared" si="195"/>
        <v>1.8</v>
      </c>
      <c r="V798">
        <f t="shared" si="189"/>
        <v>1.5450000000000006</v>
      </c>
      <c r="AC798" t="s">
        <v>2113</v>
      </c>
      <c r="AD798">
        <v>0.3</v>
      </c>
      <c r="AE798">
        <v>8.16</v>
      </c>
      <c r="AG798" t="str" cm="1">
        <f t="array" ref="AG798:AH798">_xlfn.TEXTSPLIT(AC799," ")</f>
        <v>26.10.2023</v>
      </c>
      <c r="AH798" t="str">
        <v>13:18:23</v>
      </c>
      <c r="AI798">
        <f t="shared" si="202"/>
        <v>13.250000000000238</v>
      </c>
      <c r="AJ798">
        <f t="shared" si="196"/>
        <v>3.63</v>
      </c>
      <c r="AK798">
        <f t="shared" si="197"/>
        <v>0.3</v>
      </c>
      <c r="AL798">
        <f t="shared" si="190"/>
        <v>0.34000000000000008</v>
      </c>
      <c r="AN798" t="s">
        <v>2113</v>
      </c>
      <c r="AO798">
        <v>0.75</v>
      </c>
      <c r="AP798">
        <v>70.81</v>
      </c>
      <c r="AR798" t="str" cm="1">
        <f t="array" ref="AR798:AS798">_xlfn.TEXTSPLIT(AN798," ")</f>
        <v>26.10.2023</v>
      </c>
      <c r="AS798" t="str">
        <v>13:17:23</v>
      </c>
      <c r="AT798">
        <f t="shared" si="203"/>
        <v>13.250000000000238</v>
      </c>
      <c r="AU798">
        <f t="shared" si="198"/>
        <v>9.5</v>
      </c>
      <c r="AV798">
        <f t="shared" si="199"/>
        <v>0.75</v>
      </c>
      <c r="AW798">
        <f t="shared" si="191"/>
        <v>0.70999999999999974</v>
      </c>
    </row>
    <row r="799" spans="1:49" x14ac:dyDescent="0.25">
      <c r="A799" t="s">
        <v>2114</v>
      </c>
      <c r="B799">
        <v>1.65</v>
      </c>
      <c r="C799">
        <v>21.35</v>
      </c>
      <c r="E799" t="s">
        <v>2114</v>
      </c>
      <c r="F799">
        <v>2.1</v>
      </c>
      <c r="G799">
        <v>90</v>
      </c>
      <c r="I799" t="str" cm="1">
        <f t="array" ref="I799:J799">_xlfn.TEXTSPLIT(A799," ")</f>
        <v>27.10.2023</v>
      </c>
      <c r="J799" t="str">
        <v>13:18:20</v>
      </c>
      <c r="K799">
        <f t="shared" si="200"/>
        <v>13.266666666666906</v>
      </c>
      <c r="L799">
        <f t="shared" si="193"/>
        <v>7.0300000000000011</v>
      </c>
      <c r="M799">
        <f t="shared" si="194"/>
        <v>1.65</v>
      </c>
      <c r="N799">
        <f t="shared" si="188"/>
        <v>0.90999999999999981</v>
      </c>
      <c r="Q799" t="str" cm="1">
        <f t="array" ref="Q799:R799">_xlfn.TEXTSPLIT(E799," ")</f>
        <v>27.10.2023</v>
      </c>
      <c r="R799" t="str">
        <v>13:18:20</v>
      </c>
      <c r="S799">
        <f t="shared" si="201"/>
        <v>13.266666666666906</v>
      </c>
      <c r="T799">
        <f t="shared" si="192"/>
        <v>11.400000000000006</v>
      </c>
      <c r="U799">
        <f t="shared" si="195"/>
        <v>2.1</v>
      </c>
      <c r="V799">
        <f t="shared" si="189"/>
        <v>1.5550000000000002</v>
      </c>
      <c r="AC799" t="s">
        <v>2115</v>
      </c>
      <c r="AD799">
        <v>0.3</v>
      </c>
      <c r="AE799">
        <v>8.16</v>
      </c>
      <c r="AG799" t="str" cm="1">
        <f t="array" ref="AG799:AH799">_xlfn.TEXTSPLIT(AC800," ")</f>
        <v>26.10.2023</v>
      </c>
      <c r="AH799" t="str">
        <v>13:19:23</v>
      </c>
      <c r="AI799">
        <f t="shared" si="202"/>
        <v>13.266666666666906</v>
      </c>
      <c r="AJ799">
        <f t="shared" si="196"/>
        <v>3.63</v>
      </c>
      <c r="AK799">
        <f t="shared" si="197"/>
        <v>0.3</v>
      </c>
      <c r="AL799">
        <f t="shared" si="190"/>
        <v>0.34500000000000008</v>
      </c>
      <c r="AN799" t="s">
        <v>2115</v>
      </c>
      <c r="AO799">
        <v>0.6</v>
      </c>
      <c r="AP799">
        <v>70.819999999999993</v>
      </c>
      <c r="AR799" t="str" cm="1">
        <f t="array" ref="AR799:AS799">_xlfn.TEXTSPLIT(AN799," ")</f>
        <v>26.10.2023</v>
      </c>
      <c r="AS799" t="str">
        <v>13:18:23</v>
      </c>
      <c r="AT799">
        <f t="shared" si="203"/>
        <v>13.266666666666906</v>
      </c>
      <c r="AU799">
        <f t="shared" si="198"/>
        <v>9.5099999999999909</v>
      </c>
      <c r="AV799">
        <f t="shared" si="199"/>
        <v>0.6</v>
      </c>
      <c r="AW799">
        <f t="shared" si="191"/>
        <v>0.7124999999999998</v>
      </c>
    </row>
    <row r="800" spans="1:49" x14ac:dyDescent="0.25">
      <c r="A800" t="s">
        <v>2116</v>
      </c>
      <c r="B800">
        <v>1.2</v>
      </c>
      <c r="C800">
        <v>21.36</v>
      </c>
      <c r="E800" t="s">
        <v>2116</v>
      </c>
      <c r="F800">
        <v>1.5</v>
      </c>
      <c r="G800">
        <v>90.03</v>
      </c>
      <c r="I800" t="str" cm="1">
        <f t="array" ref="I800:J800">_xlfn.TEXTSPLIT(A800," ")</f>
        <v>27.10.2023</v>
      </c>
      <c r="J800" t="str">
        <v>13:19:20</v>
      </c>
      <c r="K800">
        <f t="shared" si="200"/>
        <v>13.283333333333573</v>
      </c>
      <c r="L800">
        <f t="shared" si="193"/>
        <v>7.0399999999999991</v>
      </c>
      <c r="M800">
        <f t="shared" si="194"/>
        <v>1.2</v>
      </c>
      <c r="N800">
        <f t="shared" si="188"/>
        <v>0.91499999999999981</v>
      </c>
      <c r="Q800" t="str" cm="1">
        <f t="array" ref="Q800:R800">_xlfn.TEXTSPLIT(E800," ")</f>
        <v>27.10.2023</v>
      </c>
      <c r="R800" t="str">
        <v>13:19:20</v>
      </c>
      <c r="S800">
        <f t="shared" si="201"/>
        <v>13.283333333333573</v>
      </c>
      <c r="T800">
        <f t="shared" si="192"/>
        <v>11.430000000000007</v>
      </c>
      <c r="U800">
        <f t="shared" si="195"/>
        <v>1.5</v>
      </c>
      <c r="V800">
        <f t="shared" si="189"/>
        <v>1.5600000000000003</v>
      </c>
      <c r="AC800" t="s">
        <v>2117</v>
      </c>
      <c r="AD800">
        <v>0.3</v>
      </c>
      <c r="AE800">
        <v>8.17</v>
      </c>
      <c r="AG800" t="str" cm="1">
        <f t="array" ref="AG800:AH800">_xlfn.TEXTSPLIT(AC801," ")</f>
        <v>26.10.2023</v>
      </c>
      <c r="AH800" t="str">
        <v>13:20:23</v>
      </c>
      <c r="AI800">
        <f t="shared" si="202"/>
        <v>13.283333333333573</v>
      </c>
      <c r="AJ800">
        <f t="shared" si="196"/>
        <v>3.6399999999999997</v>
      </c>
      <c r="AK800">
        <f t="shared" si="197"/>
        <v>0.3</v>
      </c>
      <c r="AL800">
        <f t="shared" si="190"/>
        <v>0.34500000000000008</v>
      </c>
      <c r="AN800" t="s">
        <v>2117</v>
      </c>
      <c r="AO800">
        <v>0.45</v>
      </c>
      <c r="AP800">
        <v>70.83</v>
      </c>
      <c r="AR800" t="str" cm="1">
        <f t="array" ref="AR800:AS800">_xlfn.TEXTSPLIT(AN800," ")</f>
        <v>26.10.2023</v>
      </c>
      <c r="AS800" t="str">
        <v>13:19:23</v>
      </c>
      <c r="AT800">
        <f t="shared" si="203"/>
        <v>13.283333333333573</v>
      </c>
      <c r="AU800">
        <f t="shared" si="198"/>
        <v>9.519999999999996</v>
      </c>
      <c r="AV800">
        <f t="shared" si="199"/>
        <v>0.45</v>
      </c>
      <c r="AW800">
        <f t="shared" si="191"/>
        <v>0.71249999999999991</v>
      </c>
    </row>
    <row r="801" spans="1:49" x14ac:dyDescent="0.25">
      <c r="A801" t="s">
        <v>2118</v>
      </c>
      <c r="B801">
        <v>0.9</v>
      </c>
      <c r="C801">
        <v>21.37</v>
      </c>
      <c r="E801" t="s">
        <v>2118</v>
      </c>
      <c r="F801">
        <v>1.5</v>
      </c>
      <c r="G801">
        <v>90.05</v>
      </c>
      <c r="I801" t="str" cm="1">
        <f t="array" ref="I801:J801">_xlfn.TEXTSPLIT(A801," ")</f>
        <v>27.10.2023</v>
      </c>
      <c r="J801" t="str">
        <v>13:20:20</v>
      </c>
      <c r="K801">
        <f t="shared" si="200"/>
        <v>13.300000000000241</v>
      </c>
      <c r="L801">
        <f t="shared" si="193"/>
        <v>7.0500000000000007</v>
      </c>
      <c r="M801">
        <f t="shared" si="194"/>
        <v>0.9</v>
      </c>
      <c r="N801">
        <f t="shared" si="188"/>
        <v>0.91749999999999976</v>
      </c>
      <c r="Q801" t="str" cm="1">
        <f t="array" ref="Q801:R801">_xlfn.TEXTSPLIT(E801," ")</f>
        <v>27.10.2023</v>
      </c>
      <c r="R801" t="str">
        <v>13:20:20</v>
      </c>
      <c r="S801">
        <f t="shared" si="201"/>
        <v>13.300000000000241</v>
      </c>
      <c r="T801">
        <f t="shared" si="192"/>
        <v>11.450000000000003</v>
      </c>
      <c r="U801">
        <f t="shared" si="195"/>
        <v>1.5</v>
      </c>
      <c r="V801">
        <f t="shared" si="189"/>
        <v>1.5600000000000003</v>
      </c>
      <c r="AC801" t="s">
        <v>2119</v>
      </c>
      <c r="AD801">
        <v>0.3</v>
      </c>
      <c r="AE801">
        <v>8.18</v>
      </c>
      <c r="AG801" t="str" cm="1">
        <f t="array" ref="AG801:AH801">_xlfn.TEXTSPLIT(AC802," ")</f>
        <v>26.10.2023</v>
      </c>
      <c r="AH801" t="str">
        <v>13:21:23</v>
      </c>
      <c r="AI801">
        <f t="shared" si="202"/>
        <v>13.300000000000241</v>
      </c>
      <c r="AJ801">
        <f t="shared" si="196"/>
        <v>3.6499999999999995</v>
      </c>
      <c r="AK801">
        <f t="shared" si="197"/>
        <v>0.3</v>
      </c>
      <c r="AL801">
        <f t="shared" si="190"/>
        <v>0.35000000000000014</v>
      </c>
      <c r="AN801" t="s">
        <v>2119</v>
      </c>
      <c r="AO801">
        <v>0.45</v>
      </c>
      <c r="AP801">
        <v>70.84</v>
      </c>
      <c r="AR801" t="str" cm="1">
        <f t="array" ref="AR801:AS801">_xlfn.TEXTSPLIT(AN801," ")</f>
        <v>26.10.2023</v>
      </c>
      <c r="AS801" t="str">
        <v>13:20:23</v>
      </c>
      <c r="AT801">
        <f t="shared" si="203"/>
        <v>13.300000000000241</v>
      </c>
      <c r="AU801">
        <f t="shared" si="198"/>
        <v>9.5300000000000011</v>
      </c>
      <c r="AV801">
        <f t="shared" si="199"/>
        <v>0.45</v>
      </c>
      <c r="AW801">
        <f t="shared" si="191"/>
        <v>0.71249999999999991</v>
      </c>
    </row>
    <row r="802" spans="1:49" x14ac:dyDescent="0.25">
      <c r="A802" t="s">
        <v>2120</v>
      </c>
      <c r="B802">
        <v>1.05</v>
      </c>
      <c r="C802">
        <v>21.39</v>
      </c>
      <c r="E802" t="s">
        <v>2120</v>
      </c>
      <c r="F802">
        <v>1.5</v>
      </c>
      <c r="G802">
        <v>90.07</v>
      </c>
      <c r="I802" t="str" cm="1">
        <f t="array" ref="I802:J802">_xlfn.TEXTSPLIT(A802," ")</f>
        <v>27.10.2023</v>
      </c>
      <c r="J802" t="str">
        <v>13:21:20</v>
      </c>
      <c r="K802">
        <f t="shared" si="200"/>
        <v>13.316666666666908</v>
      </c>
      <c r="L802">
        <f t="shared" si="193"/>
        <v>7.07</v>
      </c>
      <c r="M802">
        <f t="shared" si="194"/>
        <v>1.05</v>
      </c>
      <c r="N802">
        <f t="shared" si="188"/>
        <v>0.9149999999999997</v>
      </c>
      <c r="Q802" t="str" cm="1">
        <f t="array" ref="Q802:R802">_xlfn.TEXTSPLIT(E802," ")</f>
        <v>27.10.2023</v>
      </c>
      <c r="R802" t="str">
        <v>13:21:20</v>
      </c>
      <c r="S802">
        <f t="shared" si="201"/>
        <v>13.316666666666908</v>
      </c>
      <c r="T802">
        <f t="shared" si="192"/>
        <v>11.469999999999999</v>
      </c>
      <c r="U802">
        <f t="shared" si="195"/>
        <v>1.5</v>
      </c>
      <c r="V802">
        <f t="shared" si="189"/>
        <v>1.5675000000000001</v>
      </c>
      <c r="AC802" t="s">
        <v>2121</v>
      </c>
      <c r="AD802">
        <v>0.3</v>
      </c>
      <c r="AE802">
        <v>8.18</v>
      </c>
      <c r="AG802" t="str" cm="1">
        <f t="array" ref="AG802:AH802">_xlfn.TEXTSPLIT(AC803," ")</f>
        <v>26.10.2023</v>
      </c>
      <c r="AH802" t="str">
        <v>13:22:23</v>
      </c>
      <c r="AI802">
        <f t="shared" si="202"/>
        <v>13.316666666666908</v>
      </c>
      <c r="AJ802">
        <f t="shared" si="196"/>
        <v>3.6499999999999995</v>
      </c>
      <c r="AK802">
        <f t="shared" si="197"/>
        <v>0.3</v>
      </c>
      <c r="AL802">
        <f t="shared" si="190"/>
        <v>0.35250000000000009</v>
      </c>
      <c r="AN802" t="s">
        <v>2121</v>
      </c>
      <c r="AO802">
        <v>0.45</v>
      </c>
      <c r="AP802">
        <v>70.849999999999994</v>
      </c>
      <c r="AR802" t="str" cm="1">
        <f t="array" ref="AR802:AS802">_xlfn.TEXTSPLIT(AN802," ")</f>
        <v>26.10.2023</v>
      </c>
      <c r="AS802" t="str">
        <v>13:21:23</v>
      </c>
      <c r="AT802">
        <f t="shared" si="203"/>
        <v>13.316666666666908</v>
      </c>
      <c r="AU802">
        <f t="shared" si="198"/>
        <v>9.539999999999992</v>
      </c>
      <c r="AV802">
        <f t="shared" si="199"/>
        <v>0.45</v>
      </c>
      <c r="AW802">
        <f t="shared" si="191"/>
        <v>0.71250000000000002</v>
      </c>
    </row>
    <row r="803" spans="1:49" x14ac:dyDescent="0.25">
      <c r="A803" t="s">
        <v>2122</v>
      </c>
      <c r="B803">
        <v>1.05</v>
      </c>
      <c r="C803">
        <v>21.4</v>
      </c>
      <c r="E803" t="s">
        <v>2122</v>
      </c>
      <c r="F803">
        <v>1.05</v>
      </c>
      <c r="G803">
        <v>90.09</v>
      </c>
      <c r="I803" t="str" cm="1">
        <f t="array" ref="I803:J803">_xlfn.TEXTSPLIT(A803," ")</f>
        <v>27.10.2023</v>
      </c>
      <c r="J803" t="str">
        <v>13:22:20</v>
      </c>
      <c r="K803">
        <f t="shared" si="200"/>
        <v>13.333333333333576</v>
      </c>
      <c r="L803">
        <f t="shared" si="193"/>
        <v>7.0799999999999983</v>
      </c>
      <c r="M803">
        <f t="shared" si="194"/>
        <v>1.05</v>
      </c>
      <c r="N803">
        <f t="shared" si="188"/>
        <v>0.9149999999999997</v>
      </c>
      <c r="Q803" t="str" cm="1">
        <f t="array" ref="Q803:R803">_xlfn.TEXTSPLIT(E803," ")</f>
        <v>27.10.2023</v>
      </c>
      <c r="R803" t="str">
        <v>13:22:20</v>
      </c>
      <c r="S803">
        <f t="shared" si="201"/>
        <v>13.333333333333576</v>
      </c>
      <c r="T803">
        <f t="shared" si="192"/>
        <v>11.490000000000009</v>
      </c>
      <c r="U803">
        <f t="shared" si="195"/>
        <v>1.05</v>
      </c>
      <c r="V803">
        <f t="shared" si="189"/>
        <v>1.5750000000000002</v>
      </c>
      <c r="AC803" t="s">
        <v>2123</v>
      </c>
      <c r="AD803">
        <v>0.15</v>
      </c>
      <c r="AE803">
        <v>8.18</v>
      </c>
      <c r="AG803" t="str" cm="1">
        <f t="array" ref="AG803:AH803">_xlfn.TEXTSPLIT(AC804," ")</f>
        <v>26.10.2023</v>
      </c>
      <c r="AH803" t="str">
        <v>13:23:24</v>
      </c>
      <c r="AI803">
        <f t="shared" si="202"/>
        <v>13.333333333333576</v>
      </c>
      <c r="AJ803">
        <f t="shared" si="196"/>
        <v>3.6499999999999995</v>
      </c>
      <c r="AK803">
        <f t="shared" si="197"/>
        <v>0.15</v>
      </c>
      <c r="AL803">
        <f t="shared" si="190"/>
        <v>0.34750000000000009</v>
      </c>
      <c r="AN803" t="s">
        <v>2123</v>
      </c>
      <c r="AO803">
        <v>0.15</v>
      </c>
      <c r="AP803">
        <v>70.849999999999994</v>
      </c>
      <c r="AR803" t="str" cm="1">
        <f t="array" ref="AR803:AS803">_xlfn.TEXTSPLIT(AN803," ")</f>
        <v>26.10.2023</v>
      </c>
      <c r="AS803" t="str">
        <v>13:22:23</v>
      </c>
      <c r="AT803">
        <f t="shared" si="203"/>
        <v>13.333333333333576</v>
      </c>
      <c r="AU803">
        <f t="shared" si="198"/>
        <v>9.539999999999992</v>
      </c>
      <c r="AV803">
        <f t="shared" si="199"/>
        <v>0.15</v>
      </c>
      <c r="AW803">
        <f t="shared" si="191"/>
        <v>0.71000000000000008</v>
      </c>
    </row>
    <row r="804" spans="1:49" x14ac:dyDescent="0.25">
      <c r="A804" t="s">
        <v>2124</v>
      </c>
      <c r="B804">
        <v>0</v>
      </c>
      <c r="C804">
        <v>21.4</v>
      </c>
      <c r="E804" t="s">
        <v>2124</v>
      </c>
      <c r="F804">
        <v>1.35</v>
      </c>
      <c r="G804">
        <v>90.11</v>
      </c>
      <c r="I804" t="str" cm="1">
        <f t="array" ref="I804:J804">_xlfn.TEXTSPLIT(A804," ")</f>
        <v>27.10.2023</v>
      </c>
      <c r="J804" t="str">
        <v>13:23:20</v>
      </c>
      <c r="K804">
        <f t="shared" si="200"/>
        <v>13.350000000000243</v>
      </c>
      <c r="L804">
        <f t="shared" si="193"/>
        <v>7.0799999999999983</v>
      </c>
      <c r="M804">
        <f t="shared" si="194"/>
        <v>0</v>
      </c>
      <c r="N804">
        <f t="shared" si="188"/>
        <v>0.9149999999999997</v>
      </c>
      <c r="Q804" t="str" cm="1">
        <f t="array" ref="Q804:R804">_xlfn.TEXTSPLIT(E804," ")</f>
        <v>27.10.2023</v>
      </c>
      <c r="R804" t="str">
        <v>13:23:20</v>
      </c>
      <c r="S804">
        <f t="shared" si="201"/>
        <v>13.350000000000243</v>
      </c>
      <c r="T804">
        <f t="shared" si="192"/>
        <v>11.510000000000005</v>
      </c>
      <c r="U804">
        <f t="shared" si="195"/>
        <v>1.35</v>
      </c>
      <c r="V804">
        <f t="shared" si="189"/>
        <v>1.5850000000000002</v>
      </c>
      <c r="AC804" t="s">
        <v>2125</v>
      </c>
      <c r="AD804">
        <v>0.3</v>
      </c>
      <c r="AE804">
        <v>8.19</v>
      </c>
      <c r="AG804" t="str" cm="1">
        <f t="array" ref="AG804:AH804">_xlfn.TEXTSPLIT(AC805," ")</f>
        <v>26.10.2023</v>
      </c>
      <c r="AH804" t="str">
        <v>13:24:24</v>
      </c>
      <c r="AI804">
        <f t="shared" si="202"/>
        <v>13.350000000000243</v>
      </c>
      <c r="AJ804">
        <f t="shared" si="196"/>
        <v>3.6599999999999993</v>
      </c>
      <c r="AK804">
        <f t="shared" si="197"/>
        <v>0.3</v>
      </c>
      <c r="AL804">
        <f t="shared" si="190"/>
        <v>0.34750000000000009</v>
      </c>
      <c r="AN804" t="s">
        <v>2125</v>
      </c>
      <c r="AO804">
        <v>0</v>
      </c>
      <c r="AP804">
        <v>70.849999999999994</v>
      </c>
      <c r="AR804" t="str" cm="1">
        <f t="array" ref="AR804:AS804">_xlfn.TEXTSPLIT(AN804," ")</f>
        <v>26.10.2023</v>
      </c>
      <c r="AS804" t="str">
        <v>13:23:24</v>
      </c>
      <c r="AT804">
        <f t="shared" si="203"/>
        <v>13.350000000000243</v>
      </c>
      <c r="AU804">
        <f t="shared" si="198"/>
        <v>9.539999999999992</v>
      </c>
      <c r="AV804">
        <f t="shared" si="199"/>
        <v>0</v>
      </c>
      <c r="AW804">
        <f t="shared" si="191"/>
        <v>0.71000000000000008</v>
      </c>
    </row>
    <row r="805" spans="1:49" x14ac:dyDescent="0.25">
      <c r="A805" t="s">
        <v>2126</v>
      </c>
      <c r="B805">
        <v>0</v>
      </c>
      <c r="C805">
        <v>21.4</v>
      </c>
      <c r="E805" t="s">
        <v>2126</v>
      </c>
      <c r="F805">
        <v>1.2</v>
      </c>
      <c r="G805">
        <v>90.13</v>
      </c>
      <c r="I805" t="str" cm="1">
        <f t="array" ref="I805:J805">_xlfn.TEXTSPLIT(A805," ")</f>
        <v>27.10.2023</v>
      </c>
      <c r="J805" t="str">
        <v>13:24:20</v>
      </c>
      <c r="K805">
        <f t="shared" si="200"/>
        <v>13.366666666666911</v>
      </c>
      <c r="L805">
        <f t="shared" si="193"/>
        <v>7.0799999999999983</v>
      </c>
      <c r="M805">
        <f t="shared" si="194"/>
        <v>0</v>
      </c>
      <c r="N805">
        <f t="shared" si="188"/>
        <v>0.9149999999999997</v>
      </c>
      <c r="Q805" t="str" cm="1">
        <f t="array" ref="Q805:R805">_xlfn.TEXTSPLIT(E805," ")</f>
        <v>27.10.2023</v>
      </c>
      <c r="R805" t="str">
        <v>13:24:20</v>
      </c>
      <c r="S805">
        <f t="shared" si="201"/>
        <v>13.366666666666911</v>
      </c>
      <c r="T805">
        <f t="shared" si="192"/>
        <v>11.530000000000001</v>
      </c>
      <c r="U805">
        <f t="shared" si="195"/>
        <v>1.2</v>
      </c>
      <c r="V805">
        <f t="shared" si="189"/>
        <v>1.59</v>
      </c>
      <c r="AC805" t="s">
        <v>2127</v>
      </c>
      <c r="AD805">
        <v>0</v>
      </c>
      <c r="AE805">
        <v>8.19</v>
      </c>
      <c r="AG805" t="str" cm="1">
        <f t="array" ref="AG805:AH805">_xlfn.TEXTSPLIT(AC806," ")</f>
        <v>26.10.2023</v>
      </c>
      <c r="AH805" t="str">
        <v>13:25:24</v>
      </c>
      <c r="AI805">
        <f t="shared" si="202"/>
        <v>13.366666666666911</v>
      </c>
      <c r="AJ805">
        <f t="shared" si="196"/>
        <v>3.6599999999999993</v>
      </c>
      <c r="AK805">
        <f t="shared" si="197"/>
        <v>0</v>
      </c>
      <c r="AL805">
        <f t="shared" si="190"/>
        <v>0.34750000000000009</v>
      </c>
      <c r="AN805" t="s">
        <v>2127</v>
      </c>
      <c r="AO805">
        <v>0</v>
      </c>
      <c r="AP805">
        <v>70.849999999999994</v>
      </c>
      <c r="AR805" t="str" cm="1">
        <f t="array" ref="AR805:AS805">_xlfn.TEXTSPLIT(AN805," ")</f>
        <v>26.10.2023</v>
      </c>
      <c r="AS805" t="str">
        <v>13:24:24</v>
      </c>
      <c r="AT805">
        <f t="shared" si="203"/>
        <v>13.366666666666911</v>
      </c>
      <c r="AU805">
        <f t="shared" si="198"/>
        <v>9.539999999999992</v>
      </c>
      <c r="AV805">
        <f t="shared" si="199"/>
        <v>0</v>
      </c>
      <c r="AW805">
        <f t="shared" si="191"/>
        <v>0.71000000000000008</v>
      </c>
    </row>
    <row r="806" spans="1:49" x14ac:dyDescent="0.25">
      <c r="A806" t="s">
        <v>2128</v>
      </c>
      <c r="B806">
        <v>0.15</v>
      </c>
      <c r="C806">
        <v>21.4</v>
      </c>
      <c r="E806" t="s">
        <v>2128</v>
      </c>
      <c r="F806">
        <v>0.9</v>
      </c>
      <c r="G806">
        <v>90.15</v>
      </c>
      <c r="I806" t="str" cm="1">
        <f t="array" ref="I806:J806">_xlfn.TEXTSPLIT(A806," ")</f>
        <v>27.10.2023</v>
      </c>
      <c r="J806" t="str">
        <v>13:25:20</v>
      </c>
      <c r="K806">
        <f t="shared" si="200"/>
        <v>13.383333333333578</v>
      </c>
      <c r="L806">
        <f t="shared" si="193"/>
        <v>7.0799999999999983</v>
      </c>
      <c r="M806">
        <f t="shared" si="194"/>
        <v>0.15</v>
      </c>
      <c r="N806">
        <f t="shared" si="188"/>
        <v>0.91749999999999976</v>
      </c>
      <c r="Q806" t="str" cm="1">
        <f t="array" ref="Q806:R806">_xlfn.TEXTSPLIT(E806," ")</f>
        <v>27.10.2023</v>
      </c>
      <c r="R806" t="str">
        <v>13:25:20</v>
      </c>
      <c r="S806">
        <f t="shared" si="201"/>
        <v>13.383333333333578</v>
      </c>
      <c r="T806">
        <f t="shared" si="192"/>
        <v>11.550000000000011</v>
      </c>
      <c r="U806">
        <f t="shared" si="195"/>
        <v>0.9</v>
      </c>
      <c r="V806">
        <f t="shared" si="189"/>
        <v>1.5925000000000002</v>
      </c>
      <c r="AC806" t="s">
        <v>2129</v>
      </c>
      <c r="AD806">
        <v>0</v>
      </c>
      <c r="AE806">
        <v>8.19</v>
      </c>
      <c r="AG806" t="str" cm="1">
        <f t="array" ref="AG806:AH806">_xlfn.TEXTSPLIT(AC807," ")</f>
        <v>26.10.2023</v>
      </c>
      <c r="AH806" t="str">
        <v>13:26:24</v>
      </c>
      <c r="AI806">
        <f t="shared" si="202"/>
        <v>13.383333333333578</v>
      </c>
      <c r="AJ806">
        <f t="shared" si="196"/>
        <v>3.6599999999999993</v>
      </c>
      <c r="AK806">
        <f t="shared" si="197"/>
        <v>0</v>
      </c>
      <c r="AL806">
        <f t="shared" si="190"/>
        <v>0.34750000000000009</v>
      </c>
      <c r="AN806" t="s">
        <v>2129</v>
      </c>
      <c r="AO806">
        <v>0.15</v>
      </c>
      <c r="AP806">
        <v>70.849999999999994</v>
      </c>
      <c r="AR806" t="str" cm="1">
        <f t="array" ref="AR806:AS806">_xlfn.TEXTSPLIT(AN806," ")</f>
        <v>26.10.2023</v>
      </c>
      <c r="AS806" t="str">
        <v>13:25:24</v>
      </c>
      <c r="AT806">
        <f t="shared" si="203"/>
        <v>13.383333333333578</v>
      </c>
      <c r="AU806">
        <f t="shared" si="198"/>
        <v>9.539999999999992</v>
      </c>
      <c r="AV806">
        <f t="shared" si="199"/>
        <v>0.15</v>
      </c>
      <c r="AW806">
        <f t="shared" si="191"/>
        <v>0.70999999999999985</v>
      </c>
    </row>
    <row r="807" spans="1:49" x14ac:dyDescent="0.25">
      <c r="A807" t="s">
        <v>2130</v>
      </c>
      <c r="B807">
        <v>0.3</v>
      </c>
      <c r="C807">
        <v>21.41</v>
      </c>
      <c r="E807" t="s">
        <v>2130</v>
      </c>
      <c r="F807">
        <v>1.05</v>
      </c>
      <c r="G807">
        <v>90.17</v>
      </c>
      <c r="I807" t="str" cm="1">
        <f t="array" ref="I807:J807">_xlfn.TEXTSPLIT(A807," ")</f>
        <v>27.10.2023</v>
      </c>
      <c r="J807" t="str">
        <v>13:26:20</v>
      </c>
      <c r="K807">
        <f t="shared" si="200"/>
        <v>13.400000000000245</v>
      </c>
      <c r="L807">
        <f t="shared" si="193"/>
        <v>7.09</v>
      </c>
      <c r="M807">
        <f t="shared" si="194"/>
        <v>0.3</v>
      </c>
      <c r="N807">
        <f t="shared" si="188"/>
        <v>0.91749999999999976</v>
      </c>
      <c r="Q807" t="str" cm="1">
        <f t="array" ref="Q807:R807">_xlfn.TEXTSPLIT(E807," ")</f>
        <v>27.10.2023</v>
      </c>
      <c r="R807" t="str">
        <v>13:26:20</v>
      </c>
      <c r="S807">
        <f t="shared" si="201"/>
        <v>13.400000000000245</v>
      </c>
      <c r="T807">
        <f t="shared" si="192"/>
        <v>11.570000000000007</v>
      </c>
      <c r="U807">
        <f t="shared" si="195"/>
        <v>1.05</v>
      </c>
      <c r="V807">
        <f t="shared" si="189"/>
        <v>1.6</v>
      </c>
      <c r="AC807" t="s">
        <v>2131</v>
      </c>
      <c r="AD807">
        <v>0</v>
      </c>
      <c r="AE807">
        <v>8.19</v>
      </c>
      <c r="AG807" t="str" cm="1">
        <f t="array" ref="AG807:AH807">_xlfn.TEXTSPLIT(AC808," ")</f>
        <v>26.10.2023</v>
      </c>
      <c r="AH807" t="str">
        <v>13:27:24</v>
      </c>
      <c r="AI807">
        <f t="shared" si="202"/>
        <v>13.400000000000245</v>
      </c>
      <c r="AJ807">
        <f t="shared" si="196"/>
        <v>3.6599999999999993</v>
      </c>
      <c r="AK807">
        <f t="shared" si="197"/>
        <v>0</v>
      </c>
      <c r="AL807">
        <f t="shared" si="190"/>
        <v>0.34750000000000009</v>
      </c>
      <c r="AN807" t="s">
        <v>2131</v>
      </c>
      <c r="AO807">
        <v>0</v>
      </c>
      <c r="AP807">
        <v>70.849999999999994</v>
      </c>
      <c r="AR807" t="str" cm="1">
        <f t="array" ref="AR807:AS807">_xlfn.TEXTSPLIT(AN807," ")</f>
        <v>26.10.2023</v>
      </c>
      <c r="AS807" t="str">
        <v>13:26:24</v>
      </c>
      <c r="AT807">
        <f t="shared" si="203"/>
        <v>13.400000000000245</v>
      </c>
      <c r="AU807">
        <f t="shared" si="198"/>
        <v>9.539999999999992</v>
      </c>
      <c r="AV807">
        <f t="shared" si="199"/>
        <v>0</v>
      </c>
      <c r="AW807">
        <f t="shared" si="191"/>
        <v>0.70999999999999985</v>
      </c>
    </row>
    <row r="808" spans="1:49" x14ac:dyDescent="0.25">
      <c r="A808" t="s">
        <v>2132</v>
      </c>
      <c r="B808">
        <v>0.6</v>
      </c>
      <c r="C808">
        <v>21.42</v>
      </c>
      <c r="E808" t="s">
        <v>2132</v>
      </c>
      <c r="F808">
        <v>1.2</v>
      </c>
      <c r="G808">
        <v>90.19</v>
      </c>
      <c r="I808" t="str" cm="1">
        <f t="array" ref="I808:J808">_xlfn.TEXTSPLIT(A808," ")</f>
        <v>27.10.2023</v>
      </c>
      <c r="J808" t="str">
        <v>13:27:20</v>
      </c>
      <c r="K808">
        <f t="shared" si="200"/>
        <v>13.416666666666913</v>
      </c>
      <c r="L808">
        <f t="shared" si="193"/>
        <v>7.1000000000000014</v>
      </c>
      <c r="M808">
        <f t="shared" si="194"/>
        <v>0.6</v>
      </c>
      <c r="N808">
        <f t="shared" si="188"/>
        <v>0.92249999999999976</v>
      </c>
      <c r="Q808" t="str" cm="1">
        <f t="array" ref="Q808:R808">_xlfn.TEXTSPLIT(E808," ")</f>
        <v>27.10.2023</v>
      </c>
      <c r="R808" t="str">
        <v>13:27:20</v>
      </c>
      <c r="S808">
        <f t="shared" si="201"/>
        <v>13.416666666666913</v>
      </c>
      <c r="T808">
        <f t="shared" si="192"/>
        <v>11.590000000000003</v>
      </c>
      <c r="U808">
        <f t="shared" si="195"/>
        <v>1.2</v>
      </c>
      <c r="V808">
        <f t="shared" si="189"/>
        <v>1.6075000000000002</v>
      </c>
      <c r="AC808" t="s">
        <v>2133</v>
      </c>
      <c r="AD808">
        <v>0</v>
      </c>
      <c r="AE808">
        <v>8.19</v>
      </c>
      <c r="AG808" t="str" cm="1">
        <f t="array" ref="AG808:AH808">_xlfn.TEXTSPLIT(AC809," ")</f>
        <v>26.10.2023</v>
      </c>
      <c r="AH808" t="str">
        <v>13:28:24</v>
      </c>
      <c r="AI808">
        <f t="shared" si="202"/>
        <v>13.416666666666913</v>
      </c>
      <c r="AJ808">
        <f t="shared" si="196"/>
        <v>3.6599999999999993</v>
      </c>
      <c r="AK808">
        <f t="shared" si="197"/>
        <v>0</v>
      </c>
      <c r="AL808">
        <f t="shared" si="190"/>
        <v>0.34750000000000009</v>
      </c>
      <c r="AN808" t="s">
        <v>2133</v>
      </c>
      <c r="AO808">
        <v>0.15</v>
      </c>
      <c r="AP808">
        <v>70.849999999999994</v>
      </c>
      <c r="AR808" t="str" cm="1">
        <f t="array" ref="AR808:AS808">_xlfn.TEXTSPLIT(AN808," ")</f>
        <v>26.10.2023</v>
      </c>
      <c r="AS808" t="str">
        <v>13:27:24</v>
      </c>
      <c r="AT808">
        <f t="shared" si="203"/>
        <v>13.416666666666913</v>
      </c>
      <c r="AU808">
        <f t="shared" si="198"/>
        <v>9.539999999999992</v>
      </c>
      <c r="AV808">
        <f t="shared" si="199"/>
        <v>0.15</v>
      </c>
      <c r="AW808">
        <f t="shared" si="191"/>
        <v>0.70999999999999985</v>
      </c>
    </row>
    <row r="809" spans="1:49" x14ac:dyDescent="0.25">
      <c r="A809" t="s">
        <v>2134</v>
      </c>
      <c r="B809">
        <v>0.75</v>
      </c>
      <c r="C809">
        <v>21.43</v>
      </c>
      <c r="E809" t="s">
        <v>2134</v>
      </c>
      <c r="F809">
        <v>2.1</v>
      </c>
      <c r="G809">
        <v>90.22</v>
      </c>
      <c r="I809" t="str" cm="1">
        <f t="array" ref="I809:J809">_xlfn.TEXTSPLIT(A809," ")</f>
        <v>27.10.2023</v>
      </c>
      <c r="J809" t="str">
        <v>13:28:21</v>
      </c>
      <c r="K809">
        <f t="shared" si="200"/>
        <v>13.43333333333358</v>
      </c>
      <c r="L809">
        <f t="shared" si="193"/>
        <v>7.1099999999999994</v>
      </c>
      <c r="M809">
        <f t="shared" si="194"/>
        <v>0.75</v>
      </c>
      <c r="N809">
        <f t="shared" si="188"/>
        <v>0.92999999999999972</v>
      </c>
      <c r="Q809" t="str" cm="1">
        <f t="array" ref="Q809:R809">_xlfn.TEXTSPLIT(E809," ")</f>
        <v>27.10.2023</v>
      </c>
      <c r="R809" t="str">
        <v>13:28:21</v>
      </c>
      <c r="S809">
        <f t="shared" si="201"/>
        <v>13.43333333333358</v>
      </c>
      <c r="T809">
        <f t="shared" si="192"/>
        <v>11.620000000000005</v>
      </c>
      <c r="U809">
        <f t="shared" si="195"/>
        <v>2.1</v>
      </c>
      <c r="V809">
        <f t="shared" si="189"/>
        <v>1.6275000000000002</v>
      </c>
      <c r="AC809" t="s">
        <v>2135</v>
      </c>
      <c r="AD809">
        <v>0</v>
      </c>
      <c r="AE809">
        <v>8.19</v>
      </c>
      <c r="AG809" t="str" cm="1">
        <f t="array" ref="AG809:AH809">_xlfn.TEXTSPLIT(AC810," ")</f>
        <v>26.10.2023</v>
      </c>
      <c r="AH809" t="str">
        <v>13:29:24</v>
      </c>
      <c r="AI809">
        <f t="shared" si="202"/>
        <v>13.43333333333358</v>
      </c>
      <c r="AJ809">
        <f t="shared" si="196"/>
        <v>3.6599999999999993</v>
      </c>
      <c r="AK809">
        <f t="shared" si="197"/>
        <v>0</v>
      </c>
      <c r="AL809">
        <f t="shared" si="190"/>
        <v>0.34750000000000009</v>
      </c>
      <c r="AN809" t="s">
        <v>2135</v>
      </c>
      <c r="AO809">
        <v>0.15</v>
      </c>
      <c r="AP809">
        <v>70.849999999999994</v>
      </c>
      <c r="AR809" t="str" cm="1">
        <f t="array" ref="AR809:AS809">_xlfn.TEXTSPLIT(AN809," ")</f>
        <v>26.10.2023</v>
      </c>
      <c r="AS809" t="str">
        <v>13:28:24</v>
      </c>
      <c r="AT809">
        <f t="shared" si="203"/>
        <v>13.43333333333358</v>
      </c>
      <c r="AU809">
        <f t="shared" si="198"/>
        <v>9.539999999999992</v>
      </c>
      <c r="AV809">
        <f t="shared" si="199"/>
        <v>0.15</v>
      </c>
      <c r="AW809">
        <f t="shared" si="191"/>
        <v>0.70749999999999991</v>
      </c>
    </row>
    <row r="810" spans="1:49" x14ac:dyDescent="0.25">
      <c r="A810" t="s">
        <v>2136</v>
      </c>
      <c r="B810">
        <v>0.6</v>
      </c>
      <c r="C810">
        <v>21.45</v>
      </c>
      <c r="E810" t="s">
        <v>2136</v>
      </c>
      <c r="F810">
        <v>1.8</v>
      </c>
      <c r="G810">
        <v>90.25</v>
      </c>
      <c r="I810" t="str" cm="1">
        <f t="array" ref="I810:J810">_xlfn.TEXTSPLIT(A810," ")</f>
        <v>27.10.2023</v>
      </c>
      <c r="J810" t="str">
        <v>13:29:21</v>
      </c>
      <c r="K810">
        <f t="shared" si="200"/>
        <v>13.450000000000248</v>
      </c>
      <c r="L810">
        <f t="shared" si="193"/>
        <v>7.129999999999999</v>
      </c>
      <c r="M810">
        <f t="shared" si="194"/>
        <v>0.6</v>
      </c>
      <c r="N810">
        <f t="shared" si="188"/>
        <v>0.93249999999999977</v>
      </c>
      <c r="Q810" t="str" cm="1">
        <f t="array" ref="Q810:R810">_xlfn.TEXTSPLIT(E810," ")</f>
        <v>27.10.2023</v>
      </c>
      <c r="R810" t="str">
        <v>13:29:21</v>
      </c>
      <c r="S810">
        <f t="shared" si="201"/>
        <v>13.450000000000248</v>
      </c>
      <c r="T810">
        <f t="shared" si="192"/>
        <v>11.650000000000006</v>
      </c>
      <c r="U810">
        <f t="shared" si="195"/>
        <v>1.8</v>
      </c>
      <c r="V810">
        <f t="shared" si="189"/>
        <v>1.6424999999999998</v>
      </c>
      <c r="AC810" t="s">
        <v>2137</v>
      </c>
      <c r="AD810">
        <v>0</v>
      </c>
      <c r="AE810">
        <v>8.19</v>
      </c>
      <c r="AG810" t="str" cm="1">
        <f t="array" ref="AG810:AH810">_xlfn.TEXTSPLIT(AC811," ")</f>
        <v>26.10.2023</v>
      </c>
      <c r="AH810" t="str">
        <v>13:30:25</v>
      </c>
      <c r="AI810">
        <f t="shared" si="202"/>
        <v>13.450000000000248</v>
      </c>
      <c r="AJ810">
        <f t="shared" si="196"/>
        <v>3.6599999999999993</v>
      </c>
      <c r="AK810">
        <f t="shared" si="197"/>
        <v>0</v>
      </c>
      <c r="AL810">
        <f t="shared" si="190"/>
        <v>0.34750000000000009</v>
      </c>
      <c r="AN810" t="s">
        <v>2137</v>
      </c>
      <c r="AO810">
        <v>0.15</v>
      </c>
      <c r="AP810">
        <v>70.849999999999994</v>
      </c>
      <c r="AR810" t="str" cm="1">
        <f t="array" ref="AR810:AS810">_xlfn.TEXTSPLIT(AN810," ")</f>
        <v>26.10.2023</v>
      </c>
      <c r="AS810" t="str">
        <v>13:29:24</v>
      </c>
      <c r="AT810">
        <f t="shared" si="203"/>
        <v>13.450000000000248</v>
      </c>
      <c r="AU810">
        <f t="shared" si="198"/>
        <v>9.539999999999992</v>
      </c>
      <c r="AV810">
        <f t="shared" si="199"/>
        <v>0.15</v>
      </c>
      <c r="AW810">
        <f t="shared" si="191"/>
        <v>0.70749999999999991</v>
      </c>
    </row>
    <row r="811" spans="1:49" x14ac:dyDescent="0.25">
      <c r="A811" t="s">
        <v>2138</v>
      </c>
      <c r="B811">
        <v>1.2</v>
      </c>
      <c r="C811">
        <v>21.47</v>
      </c>
      <c r="E811" t="s">
        <v>2138</v>
      </c>
      <c r="F811">
        <v>1.35</v>
      </c>
      <c r="G811">
        <v>90.28</v>
      </c>
      <c r="I811" t="str" cm="1">
        <f t="array" ref="I811:J811">_xlfn.TEXTSPLIT(A811," ")</f>
        <v>27.10.2023</v>
      </c>
      <c r="J811" t="str">
        <v>13:30:21</v>
      </c>
      <c r="K811">
        <f t="shared" si="200"/>
        <v>13.466666666666915</v>
      </c>
      <c r="L811">
        <f t="shared" si="193"/>
        <v>7.1499999999999986</v>
      </c>
      <c r="M811">
        <f t="shared" si="194"/>
        <v>1.2</v>
      </c>
      <c r="N811">
        <f t="shared" si="188"/>
        <v>0.94499999999999984</v>
      </c>
      <c r="Q811" t="str" cm="1">
        <f t="array" ref="Q811:R811">_xlfn.TEXTSPLIT(E811," ")</f>
        <v>27.10.2023</v>
      </c>
      <c r="R811" t="str">
        <v>13:30:21</v>
      </c>
      <c r="S811">
        <f t="shared" si="201"/>
        <v>13.466666666666915</v>
      </c>
      <c r="T811">
        <f t="shared" si="192"/>
        <v>11.680000000000007</v>
      </c>
      <c r="U811">
        <f t="shared" si="195"/>
        <v>1.35</v>
      </c>
      <c r="V811">
        <f t="shared" si="189"/>
        <v>1.6424999999999996</v>
      </c>
      <c r="AC811" t="s">
        <v>2139</v>
      </c>
      <c r="AD811">
        <v>0</v>
      </c>
      <c r="AE811">
        <v>8.19</v>
      </c>
      <c r="AG811" t="str" cm="1">
        <f t="array" ref="AG811:AH811">_xlfn.TEXTSPLIT(AC812," ")</f>
        <v>26.10.2023</v>
      </c>
      <c r="AH811" t="str">
        <v>13:31:25</v>
      </c>
      <c r="AI811">
        <f t="shared" si="202"/>
        <v>13.466666666666915</v>
      </c>
      <c r="AJ811">
        <f t="shared" si="196"/>
        <v>3.6599999999999993</v>
      </c>
      <c r="AK811">
        <f t="shared" si="197"/>
        <v>0</v>
      </c>
      <c r="AL811">
        <f t="shared" si="190"/>
        <v>0.34750000000000009</v>
      </c>
      <c r="AN811" t="s">
        <v>2139</v>
      </c>
      <c r="AO811">
        <v>0.15</v>
      </c>
      <c r="AP811">
        <v>70.86</v>
      </c>
      <c r="AR811" t="str" cm="1">
        <f t="array" ref="AR811:AS811">_xlfn.TEXTSPLIT(AN811," ")</f>
        <v>26.10.2023</v>
      </c>
      <c r="AS811" t="str">
        <v>13:30:25</v>
      </c>
      <c r="AT811">
        <f t="shared" si="203"/>
        <v>13.466666666666915</v>
      </c>
      <c r="AU811">
        <f t="shared" si="198"/>
        <v>9.5499999999999972</v>
      </c>
      <c r="AV811">
        <f t="shared" si="199"/>
        <v>0.15</v>
      </c>
      <c r="AW811">
        <f t="shared" si="191"/>
        <v>0.70499999999999985</v>
      </c>
    </row>
    <row r="812" spans="1:49" x14ac:dyDescent="0.25">
      <c r="A812" t="s">
        <v>2140</v>
      </c>
      <c r="B812">
        <v>0.9</v>
      </c>
      <c r="C812">
        <v>21.48</v>
      </c>
      <c r="E812" t="s">
        <v>2140</v>
      </c>
      <c r="F812">
        <v>1.35</v>
      </c>
      <c r="G812">
        <v>90.3</v>
      </c>
      <c r="I812" t="str" cm="1">
        <f t="array" ref="I812:J812">_xlfn.TEXTSPLIT(A812," ")</f>
        <v>27.10.2023</v>
      </c>
      <c r="J812" t="str">
        <v>13:31:21</v>
      </c>
      <c r="K812">
        <f t="shared" si="200"/>
        <v>13.483333333333583</v>
      </c>
      <c r="L812">
        <f t="shared" si="193"/>
        <v>7.16</v>
      </c>
      <c r="M812">
        <f t="shared" si="194"/>
        <v>0.9</v>
      </c>
      <c r="N812">
        <f t="shared" si="188"/>
        <v>0.9524999999999999</v>
      </c>
      <c r="Q812" t="str" cm="1">
        <f t="array" ref="Q812:R812">_xlfn.TEXTSPLIT(E812," ")</f>
        <v>27.10.2023</v>
      </c>
      <c r="R812" t="str">
        <v>13:31:21</v>
      </c>
      <c r="S812">
        <f t="shared" si="201"/>
        <v>13.483333333333583</v>
      </c>
      <c r="T812">
        <f t="shared" si="192"/>
        <v>11.700000000000003</v>
      </c>
      <c r="U812">
        <f t="shared" si="195"/>
        <v>1.35</v>
      </c>
      <c r="V812">
        <f t="shared" si="189"/>
        <v>1.635</v>
      </c>
      <c r="AC812" t="s">
        <v>2141</v>
      </c>
      <c r="AD812">
        <v>0</v>
      </c>
      <c r="AE812">
        <v>8.19</v>
      </c>
      <c r="AG812" t="str" cm="1">
        <f t="array" ref="AG812:AH812">_xlfn.TEXTSPLIT(AC813," ")</f>
        <v>26.10.2023</v>
      </c>
      <c r="AH812" t="str">
        <v>13:32:25</v>
      </c>
      <c r="AI812">
        <f t="shared" si="202"/>
        <v>13.483333333333583</v>
      </c>
      <c r="AJ812">
        <f t="shared" si="196"/>
        <v>3.6599999999999993</v>
      </c>
      <c r="AK812">
        <f t="shared" si="197"/>
        <v>0</v>
      </c>
      <c r="AL812">
        <f t="shared" si="190"/>
        <v>0.34750000000000009</v>
      </c>
      <c r="AN812" t="s">
        <v>2141</v>
      </c>
      <c r="AO812">
        <v>0.3</v>
      </c>
      <c r="AP812">
        <v>70.86</v>
      </c>
      <c r="AR812" t="str" cm="1">
        <f t="array" ref="AR812:AS812">_xlfn.TEXTSPLIT(AN812," ")</f>
        <v>26.10.2023</v>
      </c>
      <c r="AS812" t="str">
        <v>13:31:25</v>
      </c>
      <c r="AT812">
        <f t="shared" si="203"/>
        <v>13.483333333333583</v>
      </c>
      <c r="AU812">
        <f t="shared" si="198"/>
        <v>9.5499999999999972</v>
      </c>
      <c r="AV812">
        <f t="shared" si="199"/>
        <v>0.3</v>
      </c>
      <c r="AW812">
        <f t="shared" si="191"/>
        <v>0.70499999999999985</v>
      </c>
    </row>
    <row r="813" spans="1:49" x14ac:dyDescent="0.25">
      <c r="A813" t="s">
        <v>2142</v>
      </c>
      <c r="B813">
        <v>0.6</v>
      </c>
      <c r="C813">
        <v>21.49</v>
      </c>
      <c r="E813" t="s">
        <v>2142</v>
      </c>
      <c r="F813">
        <v>1.5</v>
      </c>
      <c r="G813">
        <v>90.33</v>
      </c>
      <c r="I813" t="str" cm="1">
        <f t="array" ref="I813:J813">_xlfn.TEXTSPLIT(A813," ")</f>
        <v>27.10.2023</v>
      </c>
      <c r="J813" t="str">
        <v>13:32:21</v>
      </c>
      <c r="K813">
        <f t="shared" si="200"/>
        <v>13.50000000000025</v>
      </c>
      <c r="L813">
        <f t="shared" si="193"/>
        <v>7.1699999999999982</v>
      </c>
      <c r="M813">
        <f t="shared" si="194"/>
        <v>0.6</v>
      </c>
      <c r="N813">
        <f t="shared" si="188"/>
        <v>0.9524999999999999</v>
      </c>
      <c r="Q813" t="str" cm="1">
        <f t="array" ref="Q813:R813">_xlfn.TEXTSPLIT(E813," ")</f>
        <v>27.10.2023</v>
      </c>
      <c r="R813" t="str">
        <v>13:32:21</v>
      </c>
      <c r="S813">
        <f t="shared" si="201"/>
        <v>13.50000000000025</v>
      </c>
      <c r="T813">
        <f t="shared" si="192"/>
        <v>11.730000000000004</v>
      </c>
      <c r="U813">
        <f t="shared" si="195"/>
        <v>1.5</v>
      </c>
      <c r="V813">
        <f t="shared" si="189"/>
        <v>1.635</v>
      </c>
      <c r="AC813" t="s">
        <v>2143</v>
      </c>
      <c r="AD813">
        <v>0</v>
      </c>
      <c r="AE813">
        <v>8.19</v>
      </c>
      <c r="AG813" t="str" cm="1">
        <f t="array" ref="AG813:AH813">_xlfn.TEXTSPLIT(AC814," ")</f>
        <v>26.10.2023</v>
      </c>
      <c r="AH813" t="str">
        <v>13:33:25</v>
      </c>
      <c r="AI813">
        <f t="shared" si="202"/>
        <v>13.50000000000025</v>
      </c>
      <c r="AJ813">
        <f t="shared" si="196"/>
        <v>3.6599999999999993</v>
      </c>
      <c r="AK813">
        <f t="shared" si="197"/>
        <v>0</v>
      </c>
      <c r="AL813">
        <f t="shared" si="190"/>
        <v>0.34750000000000009</v>
      </c>
      <c r="AN813" t="s">
        <v>2143</v>
      </c>
      <c r="AO813">
        <v>0.3</v>
      </c>
      <c r="AP813">
        <v>70.87</v>
      </c>
      <c r="AR813" t="str" cm="1">
        <f t="array" ref="AR813:AS813">_xlfn.TEXTSPLIT(AN813," ")</f>
        <v>26.10.2023</v>
      </c>
      <c r="AS813" t="str">
        <v>13:32:25</v>
      </c>
      <c r="AT813">
        <f t="shared" si="203"/>
        <v>13.50000000000025</v>
      </c>
      <c r="AU813">
        <f t="shared" si="198"/>
        <v>9.5600000000000023</v>
      </c>
      <c r="AV813">
        <f t="shared" si="199"/>
        <v>0.3</v>
      </c>
      <c r="AW813">
        <f t="shared" si="191"/>
        <v>0.69999999999999973</v>
      </c>
    </row>
    <row r="814" spans="1:49" x14ac:dyDescent="0.25">
      <c r="A814" t="s">
        <v>2144</v>
      </c>
      <c r="B814">
        <v>0.9</v>
      </c>
      <c r="C814">
        <v>21.51</v>
      </c>
      <c r="E814" t="s">
        <v>2144</v>
      </c>
      <c r="F814">
        <v>2.25</v>
      </c>
      <c r="G814">
        <v>90.37</v>
      </c>
      <c r="I814" t="str" cm="1">
        <f t="array" ref="I814:J814">_xlfn.TEXTSPLIT(A814," ")</f>
        <v>27.10.2023</v>
      </c>
      <c r="J814" t="str">
        <v>13:33:21</v>
      </c>
      <c r="K814">
        <f t="shared" si="200"/>
        <v>13.516666666666918</v>
      </c>
      <c r="L814">
        <f t="shared" si="193"/>
        <v>7.1900000000000013</v>
      </c>
      <c r="M814">
        <f t="shared" si="194"/>
        <v>0.9</v>
      </c>
      <c r="N814">
        <f t="shared" si="188"/>
        <v>0.95499999999999985</v>
      </c>
      <c r="Q814" t="str" cm="1">
        <f t="array" ref="Q814:R814">_xlfn.TEXTSPLIT(E814," ")</f>
        <v>27.10.2023</v>
      </c>
      <c r="R814" t="str">
        <v>13:33:21</v>
      </c>
      <c r="S814">
        <f t="shared" si="201"/>
        <v>13.516666666666918</v>
      </c>
      <c r="T814">
        <f t="shared" si="192"/>
        <v>11.77000000000001</v>
      </c>
      <c r="U814">
        <f t="shared" si="195"/>
        <v>2.25</v>
      </c>
      <c r="V814">
        <f t="shared" si="189"/>
        <v>1.6549999999999998</v>
      </c>
      <c r="AC814" t="s">
        <v>2145</v>
      </c>
      <c r="AD814">
        <v>0</v>
      </c>
      <c r="AE814">
        <v>8.19</v>
      </c>
      <c r="AG814" t="str" cm="1">
        <f t="array" ref="AG814:AH814">_xlfn.TEXTSPLIT(AC815," ")</f>
        <v>26.10.2023</v>
      </c>
      <c r="AH814" t="str">
        <v>13:34:25</v>
      </c>
      <c r="AI814">
        <f t="shared" si="202"/>
        <v>13.516666666666918</v>
      </c>
      <c r="AJ814">
        <f t="shared" si="196"/>
        <v>3.6599999999999993</v>
      </c>
      <c r="AK814">
        <f t="shared" si="197"/>
        <v>0</v>
      </c>
      <c r="AL814">
        <f t="shared" si="190"/>
        <v>0.34750000000000009</v>
      </c>
      <c r="AN814" t="s">
        <v>2145</v>
      </c>
      <c r="AO814">
        <v>0.45</v>
      </c>
      <c r="AP814">
        <v>70.87</v>
      </c>
      <c r="AR814" t="str" cm="1">
        <f t="array" ref="AR814:AS814">_xlfn.TEXTSPLIT(AN814," ")</f>
        <v>26.10.2023</v>
      </c>
      <c r="AS814" t="str">
        <v>13:33:25</v>
      </c>
      <c r="AT814">
        <f t="shared" si="203"/>
        <v>13.516666666666918</v>
      </c>
      <c r="AU814">
        <f t="shared" si="198"/>
        <v>9.5600000000000023</v>
      </c>
      <c r="AV814">
        <f t="shared" si="199"/>
        <v>0.45</v>
      </c>
      <c r="AW814">
        <f t="shared" si="191"/>
        <v>0.6974999999999999</v>
      </c>
    </row>
    <row r="815" spans="1:49" x14ac:dyDescent="0.25">
      <c r="A815" t="s">
        <v>2146</v>
      </c>
      <c r="B815">
        <v>0.9</v>
      </c>
      <c r="C815">
        <v>21.52</v>
      </c>
      <c r="E815" t="s">
        <v>2146</v>
      </c>
      <c r="F815">
        <v>1.65</v>
      </c>
      <c r="G815">
        <v>90.39</v>
      </c>
      <c r="I815" t="str" cm="1">
        <f t="array" ref="I815:J815">_xlfn.TEXTSPLIT(A815," ")</f>
        <v>27.10.2023</v>
      </c>
      <c r="J815" t="str">
        <v>13:34:21</v>
      </c>
      <c r="K815">
        <f t="shared" si="200"/>
        <v>13.533333333333585</v>
      </c>
      <c r="L815">
        <f t="shared" si="193"/>
        <v>7.1999999999999993</v>
      </c>
      <c r="M815">
        <f t="shared" si="194"/>
        <v>0.9</v>
      </c>
      <c r="N815">
        <f t="shared" si="188"/>
        <v>0.95999999999999974</v>
      </c>
      <c r="Q815" t="str" cm="1">
        <f t="array" ref="Q815:R815">_xlfn.TEXTSPLIT(E815," ")</f>
        <v>27.10.2023</v>
      </c>
      <c r="R815" t="str">
        <v>13:34:21</v>
      </c>
      <c r="S815">
        <f t="shared" si="201"/>
        <v>13.533333333333585</v>
      </c>
      <c r="T815">
        <f t="shared" si="192"/>
        <v>11.790000000000006</v>
      </c>
      <c r="U815">
        <f t="shared" si="195"/>
        <v>1.65</v>
      </c>
      <c r="V815">
        <f t="shared" si="189"/>
        <v>1.6674999999999998</v>
      </c>
      <c r="AC815" t="s">
        <v>2147</v>
      </c>
      <c r="AD815">
        <v>0</v>
      </c>
      <c r="AE815">
        <v>8.19</v>
      </c>
      <c r="AG815" t="str" cm="1">
        <f t="array" ref="AG815:AH815">_xlfn.TEXTSPLIT(AC816," ")</f>
        <v>26.10.2023</v>
      </c>
      <c r="AH815" t="str">
        <v>13:35:25</v>
      </c>
      <c r="AI815">
        <f t="shared" si="202"/>
        <v>13.533333333333585</v>
      </c>
      <c r="AJ815">
        <f t="shared" si="196"/>
        <v>3.6599999999999993</v>
      </c>
      <c r="AK815">
        <f t="shared" si="197"/>
        <v>0</v>
      </c>
      <c r="AL815">
        <f t="shared" si="190"/>
        <v>0.34750000000000009</v>
      </c>
      <c r="AN815" t="s">
        <v>2147</v>
      </c>
      <c r="AO815">
        <v>0.45</v>
      </c>
      <c r="AP815">
        <v>70.88</v>
      </c>
      <c r="AR815" t="str" cm="1">
        <f t="array" ref="AR815:AS815">_xlfn.TEXTSPLIT(AN815," ")</f>
        <v>26.10.2023</v>
      </c>
      <c r="AS815" t="str">
        <v>13:34:25</v>
      </c>
      <c r="AT815">
        <f t="shared" si="203"/>
        <v>13.533333333333585</v>
      </c>
      <c r="AU815">
        <f t="shared" si="198"/>
        <v>9.5699999999999932</v>
      </c>
      <c r="AV815">
        <f t="shared" si="199"/>
        <v>0.45</v>
      </c>
      <c r="AW815">
        <f t="shared" si="191"/>
        <v>0.69499999999999995</v>
      </c>
    </row>
    <row r="816" spans="1:49" x14ac:dyDescent="0.25">
      <c r="A816" t="s">
        <v>2148</v>
      </c>
      <c r="B816">
        <v>1.05</v>
      </c>
      <c r="C816">
        <v>21.53</v>
      </c>
      <c r="E816" t="s">
        <v>2148</v>
      </c>
      <c r="F816">
        <v>1.5</v>
      </c>
      <c r="G816">
        <v>90.42</v>
      </c>
      <c r="I816" t="str" cm="1">
        <f t="array" ref="I816:J816">_xlfn.TEXTSPLIT(A816," ")</f>
        <v>27.10.2023</v>
      </c>
      <c r="J816" t="str">
        <v>13:35:21</v>
      </c>
      <c r="K816">
        <f t="shared" si="200"/>
        <v>13.550000000000253</v>
      </c>
      <c r="L816">
        <f t="shared" si="193"/>
        <v>7.2100000000000009</v>
      </c>
      <c r="M816">
        <f t="shared" si="194"/>
        <v>1.05</v>
      </c>
      <c r="N816">
        <f t="shared" si="188"/>
        <v>0.9674999999999998</v>
      </c>
      <c r="Q816" t="str" cm="1">
        <f t="array" ref="Q816:R816">_xlfn.TEXTSPLIT(E816," ")</f>
        <v>27.10.2023</v>
      </c>
      <c r="R816" t="str">
        <v>13:35:21</v>
      </c>
      <c r="S816">
        <f t="shared" si="201"/>
        <v>13.550000000000253</v>
      </c>
      <c r="T816">
        <f t="shared" si="192"/>
        <v>11.820000000000007</v>
      </c>
      <c r="U816">
        <f t="shared" si="195"/>
        <v>1.5</v>
      </c>
      <c r="V816">
        <f t="shared" si="189"/>
        <v>1.6724999999999999</v>
      </c>
      <c r="AC816" t="s">
        <v>2149</v>
      </c>
      <c r="AD816">
        <v>0</v>
      </c>
      <c r="AE816">
        <v>8.19</v>
      </c>
      <c r="AG816" t="str" cm="1">
        <f t="array" ref="AG816:AH816">_xlfn.TEXTSPLIT(AC817," ")</f>
        <v>26.10.2023</v>
      </c>
      <c r="AH816" t="str">
        <v>13:36:26</v>
      </c>
      <c r="AI816">
        <f t="shared" si="202"/>
        <v>13.550000000000253</v>
      </c>
      <c r="AJ816">
        <f t="shared" si="196"/>
        <v>3.6599999999999993</v>
      </c>
      <c r="AK816">
        <f t="shared" si="197"/>
        <v>0</v>
      </c>
      <c r="AL816">
        <f t="shared" si="190"/>
        <v>0.34750000000000009</v>
      </c>
      <c r="AN816" t="s">
        <v>2149</v>
      </c>
      <c r="AO816">
        <v>0.6</v>
      </c>
      <c r="AP816">
        <v>70.89</v>
      </c>
      <c r="AR816" t="str" cm="1">
        <f t="array" ref="AR816:AS816">_xlfn.TEXTSPLIT(AN816," ")</f>
        <v>26.10.2023</v>
      </c>
      <c r="AS816" t="str">
        <v>13:35:25</v>
      </c>
      <c r="AT816">
        <f t="shared" si="203"/>
        <v>13.550000000000253</v>
      </c>
      <c r="AU816">
        <f t="shared" si="198"/>
        <v>9.5799999999999983</v>
      </c>
      <c r="AV816">
        <f t="shared" si="199"/>
        <v>0.6</v>
      </c>
      <c r="AW816">
        <f t="shared" si="191"/>
        <v>0.69499999999999995</v>
      </c>
    </row>
    <row r="817" spans="1:49" x14ac:dyDescent="0.25">
      <c r="A817" t="s">
        <v>2150</v>
      </c>
      <c r="B817">
        <v>1.05</v>
      </c>
      <c r="C817">
        <v>21.55</v>
      </c>
      <c r="E817" t="s">
        <v>2150</v>
      </c>
      <c r="F817">
        <v>2.4</v>
      </c>
      <c r="G817">
        <v>90.47</v>
      </c>
      <c r="I817" t="str" cm="1">
        <f t="array" ref="I817:J817">_xlfn.TEXTSPLIT(A817," ")</f>
        <v>27.10.2023</v>
      </c>
      <c r="J817" t="str">
        <v>13:36:21</v>
      </c>
      <c r="K817">
        <f t="shared" si="200"/>
        <v>13.56666666666692</v>
      </c>
      <c r="L817">
        <f t="shared" si="193"/>
        <v>7.23</v>
      </c>
      <c r="M817">
        <f t="shared" si="194"/>
        <v>1.05</v>
      </c>
      <c r="N817">
        <f t="shared" si="188"/>
        <v>0.96749999999999969</v>
      </c>
      <c r="Q817" t="str" cm="1">
        <f t="array" ref="Q817:R817">_xlfn.TEXTSPLIT(E817," ")</f>
        <v>27.10.2023</v>
      </c>
      <c r="R817" t="str">
        <v>13:36:21</v>
      </c>
      <c r="S817">
        <f t="shared" si="201"/>
        <v>13.56666666666692</v>
      </c>
      <c r="T817">
        <f t="shared" si="192"/>
        <v>11.870000000000005</v>
      </c>
      <c r="U817">
        <f t="shared" si="195"/>
        <v>2.4</v>
      </c>
      <c r="V817">
        <f t="shared" si="189"/>
        <v>1.6675</v>
      </c>
      <c r="AC817" t="s">
        <v>2151</v>
      </c>
      <c r="AD817">
        <v>0</v>
      </c>
      <c r="AE817">
        <v>8.19</v>
      </c>
      <c r="AG817" t="str" cm="1">
        <f t="array" ref="AG817:AH817">_xlfn.TEXTSPLIT(AC818," ")</f>
        <v>26.10.2023</v>
      </c>
      <c r="AH817" t="str">
        <v>13:37:26</v>
      </c>
      <c r="AI817">
        <f t="shared" si="202"/>
        <v>13.56666666666692</v>
      </c>
      <c r="AJ817">
        <f t="shared" si="196"/>
        <v>3.6599999999999993</v>
      </c>
      <c r="AK817">
        <f t="shared" si="197"/>
        <v>0</v>
      </c>
      <c r="AL817">
        <f t="shared" si="190"/>
        <v>0.34750000000000009</v>
      </c>
      <c r="AN817" t="s">
        <v>2151</v>
      </c>
      <c r="AO817">
        <v>0.45</v>
      </c>
      <c r="AP817">
        <v>70.91</v>
      </c>
      <c r="AR817" t="str" cm="1">
        <f t="array" ref="AR817:AS817">_xlfn.TEXTSPLIT(AN817," ")</f>
        <v>26.10.2023</v>
      </c>
      <c r="AS817" t="str">
        <v>13:36:26</v>
      </c>
      <c r="AT817">
        <f t="shared" si="203"/>
        <v>13.56666666666692</v>
      </c>
      <c r="AU817">
        <f t="shared" si="198"/>
        <v>9.5999999999999943</v>
      </c>
      <c r="AV817">
        <f t="shared" si="199"/>
        <v>0.45</v>
      </c>
      <c r="AW817">
        <f t="shared" si="191"/>
        <v>0.69250000000000012</v>
      </c>
    </row>
    <row r="818" spans="1:49" x14ac:dyDescent="0.25">
      <c r="A818" t="s">
        <v>2152</v>
      </c>
      <c r="B818">
        <v>1.05</v>
      </c>
      <c r="C818">
        <v>21.57</v>
      </c>
      <c r="E818" t="s">
        <v>2152</v>
      </c>
      <c r="F818">
        <v>3.6</v>
      </c>
      <c r="G818">
        <v>90.53</v>
      </c>
      <c r="I818" t="str" cm="1">
        <f t="array" ref="I818:J818">_xlfn.TEXTSPLIT(A818," ")</f>
        <v>27.10.2023</v>
      </c>
      <c r="J818" t="str">
        <v>13:37:22</v>
      </c>
      <c r="K818">
        <f t="shared" si="200"/>
        <v>13.583333333333588</v>
      </c>
      <c r="L818">
        <f t="shared" si="193"/>
        <v>7.25</v>
      </c>
      <c r="M818">
        <f t="shared" si="194"/>
        <v>1.05</v>
      </c>
      <c r="N818">
        <f t="shared" si="188"/>
        <v>0.96999999999999964</v>
      </c>
      <c r="Q818" t="str" cm="1">
        <f t="array" ref="Q818:R818">_xlfn.TEXTSPLIT(E818," ")</f>
        <v>27.10.2023</v>
      </c>
      <c r="R818" t="str">
        <v>13:37:22</v>
      </c>
      <c r="S818">
        <f t="shared" si="201"/>
        <v>13.583333333333588</v>
      </c>
      <c r="T818">
        <f t="shared" si="192"/>
        <v>11.930000000000007</v>
      </c>
      <c r="U818">
        <f t="shared" si="195"/>
        <v>3.6</v>
      </c>
      <c r="V818">
        <f t="shared" si="189"/>
        <v>1.6849999999999996</v>
      </c>
      <c r="AC818" t="s">
        <v>2153</v>
      </c>
      <c r="AD818">
        <v>0</v>
      </c>
      <c r="AE818">
        <v>8.19</v>
      </c>
      <c r="AG818" t="str" cm="1">
        <f t="array" ref="AG818:AH818">_xlfn.TEXTSPLIT(AC819," ")</f>
        <v>26.10.2023</v>
      </c>
      <c r="AH818" t="str">
        <v>13:38:26</v>
      </c>
      <c r="AI818">
        <f t="shared" si="202"/>
        <v>13.583333333333588</v>
      </c>
      <c r="AJ818">
        <f t="shared" si="196"/>
        <v>3.6599999999999993</v>
      </c>
      <c r="AK818">
        <f t="shared" si="197"/>
        <v>0</v>
      </c>
      <c r="AL818">
        <f t="shared" si="190"/>
        <v>0.34750000000000009</v>
      </c>
      <c r="AN818" t="s">
        <v>2153</v>
      </c>
      <c r="AO818">
        <v>1.95</v>
      </c>
      <c r="AP818">
        <v>70.94</v>
      </c>
      <c r="AR818" t="str" cm="1">
        <f t="array" ref="AR818:AS818">_xlfn.TEXTSPLIT(AN818," ")</f>
        <v>26.10.2023</v>
      </c>
      <c r="AS818" t="str">
        <v>13:37:26</v>
      </c>
      <c r="AT818">
        <f t="shared" si="203"/>
        <v>13.583333333333588</v>
      </c>
      <c r="AU818">
        <f t="shared" si="198"/>
        <v>9.6299999999999955</v>
      </c>
      <c r="AV818">
        <f t="shared" si="199"/>
        <v>1.95</v>
      </c>
      <c r="AW818">
        <f t="shared" si="191"/>
        <v>0.70750000000000002</v>
      </c>
    </row>
    <row r="819" spans="1:49" x14ac:dyDescent="0.25">
      <c r="A819" t="s">
        <v>2154</v>
      </c>
      <c r="B819">
        <v>2.5499999999999998</v>
      </c>
      <c r="C819">
        <v>21.62</v>
      </c>
      <c r="E819" t="s">
        <v>2154</v>
      </c>
      <c r="F819">
        <v>3.15</v>
      </c>
      <c r="G819">
        <v>90.59</v>
      </c>
      <c r="I819" t="str" cm="1">
        <f t="array" ref="I819:J819">_xlfn.TEXTSPLIT(A819," ")</f>
        <v>27.10.2023</v>
      </c>
      <c r="J819" t="str">
        <v>13:38:22</v>
      </c>
      <c r="K819">
        <f t="shared" si="200"/>
        <v>13.600000000000255</v>
      </c>
      <c r="L819">
        <f t="shared" si="193"/>
        <v>7.3000000000000007</v>
      </c>
      <c r="M819">
        <f t="shared" si="194"/>
        <v>2.5499999999999998</v>
      </c>
      <c r="N819">
        <f t="shared" si="188"/>
        <v>0.9824999999999996</v>
      </c>
      <c r="Q819" t="str" cm="1">
        <f t="array" ref="Q819:R819">_xlfn.TEXTSPLIT(E819," ")</f>
        <v>27.10.2023</v>
      </c>
      <c r="R819" t="str">
        <v>13:38:22</v>
      </c>
      <c r="S819">
        <f t="shared" si="201"/>
        <v>13.600000000000255</v>
      </c>
      <c r="T819">
        <f t="shared" si="192"/>
        <v>11.990000000000009</v>
      </c>
      <c r="U819">
        <f t="shared" si="195"/>
        <v>3.15</v>
      </c>
      <c r="V819">
        <f t="shared" si="189"/>
        <v>1.7</v>
      </c>
      <c r="AC819" t="s">
        <v>2155</v>
      </c>
      <c r="AD819">
        <v>0.15</v>
      </c>
      <c r="AE819">
        <v>8.2100000000000009</v>
      </c>
      <c r="AG819" t="str" cm="1">
        <f t="array" ref="AG819:AH819">_xlfn.TEXTSPLIT(AC820," ")</f>
        <v>26.10.2023</v>
      </c>
      <c r="AH819" t="str">
        <v>13:39:26</v>
      </c>
      <c r="AI819">
        <f t="shared" si="202"/>
        <v>13.600000000000255</v>
      </c>
      <c r="AJ819">
        <f t="shared" si="196"/>
        <v>3.6800000000000006</v>
      </c>
      <c r="AK819">
        <f t="shared" si="197"/>
        <v>0.15</v>
      </c>
      <c r="AL819">
        <f t="shared" si="190"/>
        <v>0.34500000000000003</v>
      </c>
      <c r="AN819" t="s">
        <v>2155</v>
      </c>
      <c r="AO819">
        <v>2.1</v>
      </c>
      <c r="AP819">
        <v>70.97</v>
      </c>
      <c r="AR819" t="str" cm="1">
        <f t="array" ref="AR819:AS819">_xlfn.TEXTSPLIT(AN819," ")</f>
        <v>26.10.2023</v>
      </c>
      <c r="AS819" t="str">
        <v>13:38:26</v>
      </c>
      <c r="AT819">
        <f t="shared" si="203"/>
        <v>13.600000000000255</v>
      </c>
      <c r="AU819">
        <f t="shared" si="198"/>
        <v>9.6599999999999966</v>
      </c>
      <c r="AV819">
        <f t="shared" si="199"/>
        <v>2.1</v>
      </c>
      <c r="AW819">
        <f t="shared" si="191"/>
        <v>0.71000000000000008</v>
      </c>
    </row>
    <row r="820" spans="1:49" x14ac:dyDescent="0.25">
      <c r="A820" t="s">
        <v>2156</v>
      </c>
      <c r="B820">
        <v>3.3</v>
      </c>
      <c r="C820">
        <v>21.67</v>
      </c>
      <c r="E820" t="s">
        <v>2156</v>
      </c>
      <c r="F820">
        <v>3.9</v>
      </c>
      <c r="G820">
        <v>90.64</v>
      </c>
      <c r="I820" t="str" cm="1">
        <f t="array" ref="I820:J820">_xlfn.TEXTSPLIT(A820," ")</f>
        <v>27.10.2023</v>
      </c>
      <c r="J820" t="str">
        <v>13:39:22</v>
      </c>
      <c r="K820">
        <f t="shared" si="200"/>
        <v>13.616666666666923</v>
      </c>
      <c r="L820">
        <f t="shared" si="193"/>
        <v>7.3500000000000014</v>
      </c>
      <c r="M820">
        <f t="shared" si="194"/>
        <v>3.3</v>
      </c>
      <c r="N820">
        <f t="shared" si="188"/>
        <v>0.99999999999999967</v>
      </c>
      <c r="Q820" t="str" cm="1">
        <f t="array" ref="Q820:R820">_xlfn.TEXTSPLIT(E820," ")</f>
        <v>27.10.2023</v>
      </c>
      <c r="R820" t="str">
        <v>13:39:22</v>
      </c>
      <c r="S820">
        <f t="shared" si="201"/>
        <v>13.616666666666923</v>
      </c>
      <c r="T820">
        <f t="shared" si="192"/>
        <v>12.040000000000006</v>
      </c>
      <c r="U820">
        <f t="shared" si="195"/>
        <v>3.9</v>
      </c>
      <c r="V820">
        <f t="shared" si="189"/>
        <v>1.7250000000000001</v>
      </c>
      <c r="AC820" t="s">
        <v>2157</v>
      </c>
      <c r="AD820">
        <v>2.1</v>
      </c>
      <c r="AE820">
        <v>8.24</v>
      </c>
      <c r="AG820" t="str" cm="1">
        <f t="array" ref="AG820:AH820">_xlfn.TEXTSPLIT(AC821," ")</f>
        <v>26.10.2023</v>
      </c>
      <c r="AH820" t="str">
        <v>13:40:26</v>
      </c>
      <c r="AI820">
        <f t="shared" si="202"/>
        <v>13.616666666666923</v>
      </c>
      <c r="AJ820">
        <f t="shared" si="196"/>
        <v>3.71</v>
      </c>
      <c r="AK820">
        <f t="shared" si="197"/>
        <v>2.1</v>
      </c>
      <c r="AL820">
        <f t="shared" si="190"/>
        <v>0.34750000000000003</v>
      </c>
      <c r="AN820" t="s">
        <v>2157</v>
      </c>
      <c r="AO820">
        <v>1.8</v>
      </c>
      <c r="AP820">
        <v>71</v>
      </c>
      <c r="AR820" t="str" cm="1">
        <f t="array" ref="AR820:AS820">_xlfn.TEXTSPLIT(AN820," ")</f>
        <v>26.10.2023</v>
      </c>
      <c r="AS820" t="str">
        <v>13:39:26</v>
      </c>
      <c r="AT820">
        <f t="shared" si="203"/>
        <v>13.616666666666923</v>
      </c>
      <c r="AU820">
        <f t="shared" si="198"/>
        <v>9.6899999999999977</v>
      </c>
      <c r="AV820">
        <f t="shared" si="199"/>
        <v>1.8</v>
      </c>
      <c r="AW820">
        <f t="shared" si="191"/>
        <v>0.69750000000000001</v>
      </c>
    </row>
    <row r="821" spans="1:49" x14ac:dyDescent="0.25">
      <c r="A821" t="s">
        <v>2158</v>
      </c>
      <c r="B821">
        <v>2.1</v>
      </c>
      <c r="C821">
        <v>21.71</v>
      </c>
      <c r="E821" t="s">
        <v>2158</v>
      </c>
      <c r="F821">
        <v>2.1</v>
      </c>
      <c r="G821">
        <v>90.68</v>
      </c>
      <c r="I821" t="str" cm="1">
        <f t="array" ref="I821:J821">_xlfn.TEXTSPLIT(A821," ")</f>
        <v>27.10.2023</v>
      </c>
      <c r="J821" t="str">
        <v>13:40:22</v>
      </c>
      <c r="K821">
        <f t="shared" si="200"/>
        <v>13.63333333333359</v>
      </c>
      <c r="L821">
        <f t="shared" si="193"/>
        <v>7.3900000000000006</v>
      </c>
      <c r="M821">
        <f t="shared" si="194"/>
        <v>2.1</v>
      </c>
      <c r="N821">
        <f t="shared" si="188"/>
        <v>1.0074999999999996</v>
      </c>
      <c r="Q821" t="str" cm="1">
        <f t="array" ref="Q821:R821">_xlfn.TEXTSPLIT(E821," ")</f>
        <v>27.10.2023</v>
      </c>
      <c r="R821" t="str">
        <v>13:40:22</v>
      </c>
      <c r="S821">
        <f t="shared" si="201"/>
        <v>13.63333333333359</v>
      </c>
      <c r="T821">
        <f t="shared" si="192"/>
        <v>12.080000000000013</v>
      </c>
      <c r="U821">
        <f t="shared" si="195"/>
        <v>2.1</v>
      </c>
      <c r="V821">
        <f t="shared" si="189"/>
        <v>1.7324999999999997</v>
      </c>
      <c r="AC821" t="s">
        <v>2159</v>
      </c>
      <c r="AD821">
        <v>1.8</v>
      </c>
      <c r="AE821">
        <v>8.26</v>
      </c>
      <c r="AG821" t="str" cm="1">
        <f t="array" ref="AG821:AH821">_xlfn.TEXTSPLIT(AC822," ")</f>
        <v>26.10.2023</v>
      </c>
      <c r="AH821" t="str">
        <v>13:41:26</v>
      </c>
      <c r="AI821">
        <f t="shared" si="202"/>
        <v>13.63333333333359</v>
      </c>
      <c r="AJ821">
        <f t="shared" si="196"/>
        <v>3.7299999999999995</v>
      </c>
      <c r="AK821">
        <f t="shared" si="197"/>
        <v>1.8</v>
      </c>
      <c r="AL821">
        <f t="shared" si="190"/>
        <v>0.35</v>
      </c>
      <c r="AN821" t="s">
        <v>2159</v>
      </c>
      <c r="AO821">
        <v>1.8</v>
      </c>
      <c r="AP821">
        <v>71.03</v>
      </c>
      <c r="AR821" t="str" cm="1">
        <f t="array" ref="AR821:AS821">_xlfn.TEXTSPLIT(AN821," ")</f>
        <v>26.10.2023</v>
      </c>
      <c r="AS821" t="str">
        <v>13:40:26</v>
      </c>
      <c r="AT821">
        <f t="shared" si="203"/>
        <v>13.63333333333359</v>
      </c>
      <c r="AU821">
        <f t="shared" si="198"/>
        <v>9.7199999999999989</v>
      </c>
      <c r="AV821">
        <f t="shared" si="199"/>
        <v>1.8</v>
      </c>
      <c r="AW821">
        <f t="shared" si="191"/>
        <v>0.69499999999999995</v>
      </c>
    </row>
    <row r="822" spans="1:49" x14ac:dyDescent="0.25">
      <c r="A822" t="s">
        <v>2160</v>
      </c>
      <c r="B822">
        <v>1.95</v>
      </c>
      <c r="C822">
        <v>21.74</v>
      </c>
      <c r="E822" t="s">
        <v>2160</v>
      </c>
      <c r="F822">
        <v>3</v>
      </c>
      <c r="G822">
        <v>90.74</v>
      </c>
      <c r="I822" t="str" cm="1">
        <f t="array" ref="I822:J822">_xlfn.TEXTSPLIT(A822," ")</f>
        <v>27.10.2023</v>
      </c>
      <c r="J822" t="str">
        <v>13:41:22</v>
      </c>
      <c r="K822">
        <f t="shared" si="200"/>
        <v>13.650000000000258</v>
      </c>
      <c r="L822">
        <f t="shared" si="193"/>
        <v>7.4199999999999982</v>
      </c>
      <c r="M822">
        <f t="shared" si="194"/>
        <v>1.95</v>
      </c>
      <c r="N822">
        <f t="shared" si="188"/>
        <v>1.0099999999999998</v>
      </c>
      <c r="Q822" t="str" cm="1">
        <f t="array" ref="Q822:R822">_xlfn.TEXTSPLIT(E822," ")</f>
        <v>27.10.2023</v>
      </c>
      <c r="R822" t="str">
        <v>13:41:22</v>
      </c>
      <c r="S822">
        <f t="shared" si="201"/>
        <v>13.650000000000258</v>
      </c>
      <c r="T822">
        <f t="shared" si="192"/>
        <v>12.14</v>
      </c>
      <c r="U822">
        <f t="shared" si="195"/>
        <v>3</v>
      </c>
      <c r="V822">
        <f t="shared" si="189"/>
        <v>1.7575000000000001</v>
      </c>
      <c r="AC822" t="s">
        <v>2161</v>
      </c>
      <c r="AD822">
        <v>1.05</v>
      </c>
      <c r="AE822">
        <v>8.27</v>
      </c>
      <c r="AG822" t="str" cm="1">
        <f t="array" ref="AG822:AH822">_xlfn.TEXTSPLIT(AC823," ")</f>
        <v>26.10.2023</v>
      </c>
      <c r="AH822" t="str">
        <v>13:42:26</v>
      </c>
      <c r="AI822">
        <f t="shared" si="202"/>
        <v>13.650000000000258</v>
      </c>
      <c r="AJ822">
        <f t="shared" si="196"/>
        <v>3.7399999999999993</v>
      </c>
      <c r="AK822">
        <f t="shared" si="197"/>
        <v>1.05</v>
      </c>
      <c r="AL822">
        <f t="shared" si="190"/>
        <v>0.35000000000000014</v>
      </c>
      <c r="AN822" t="s">
        <v>2161</v>
      </c>
      <c r="AO822">
        <v>1.65</v>
      </c>
      <c r="AP822">
        <v>71.06</v>
      </c>
      <c r="AR822" t="str" cm="1">
        <f t="array" ref="AR822:AS822">_xlfn.TEXTSPLIT(AN822," ")</f>
        <v>26.10.2023</v>
      </c>
      <c r="AS822" t="str">
        <v>13:41:26</v>
      </c>
      <c r="AT822">
        <f t="shared" si="203"/>
        <v>13.650000000000258</v>
      </c>
      <c r="AU822">
        <f t="shared" si="198"/>
        <v>9.75</v>
      </c>
      <c r="AV822">
        <f t="shared" si="199"/>
        <v>1.65</v>
      </c>
      <c r="AW822">
        <f t="shared" si="191"/>
        <v>0.69999999999999973</v>
      </c>
    </row>
    <row r="823" spans="1:49" x14ac:dyDescent="0.25">
      <c r="A823" t="s">
        <v>2162</v>
      </c>
      <c r="B823">
        <v>1.95</v>
      </c>
      <c r="C823">
        <v>21.77</v>
      </c>
      <c r="E823" t="s">
        <v>2162</v>
      </c>
      <c r="F823">
        <v>2.7</v>
      </c>
      <c r="G823">
        <v>90.77</v>
      </c>
      <c r="I823" t="str" cm="1">
        <f t="array" ref="I823:J823">_xlfn.TEXTSPLIT(A823," ")</f>
        <v>27.10.2023</v>
      </c>
      <c r="J823" t="str">
        <v>13:42:22</v>
      </c>
      <c r="K823">
        <f t="shared" si="200"/>
        <v>13.666666666666925</v>
      </c>
      <c r="L823">
        <f t="shared" si="193"/>
        <v>7.4499999999999993</v>
      </c>
      <c r="M823">
        <f t="shared" si="194"/>
        <v>1.95</v>
      </c>
      <c r="N823">
        <f t="shared" si="188"/>
        <v>1.0249999999999999</v>
      </c>
      <c r="Q823" t="str" cm="1">
        <f t="array" ref="Q823:R823">_xlfn.TEXTSPLIT(E823," ")</f>
        <v>27.10.2023</v>
      </c>
      <c r="R823" t="str">
        <v>13:42:22</v>
      </c>
      <c r="S823">
        <f t="shared" si="201"/>
        <v>13.666666666666925</v>
      </c>
      <c r="T823">
        <f t="shared" si="192"/>
        <v>12.170000000000002</v>
      </c>
      <c r="U823">
        <f t="shared" si="195"/>
        <v>2.7</v>
      </c>
      <c r="V823">
        <f t="shared" si="189"/>
        <v>1.7725</v>
      </c>
      <c r="AC823" t="s">
        <v>2163</v>
      </c>
      <c r="AD823">
        <v>0.45</v>
      </c>
      <c r="AE823">
        <v>8.2799999999999994</v>
      </c>
      <c r="AG823" t="str" cm="1">
        <f t="array" ref="AG823:AH823">_xlfn.TEXTSPLIT(AC824," ")</f>
        <v>26.10.2023</v>
      </c>
      <c r="AH823" t="str">
        <v>13:43:27</v>
      </c>
      <c r="AI823">
        <f t="shared" si="202"/>
        <v>13.666666666666925</v>
      </c>
      <c r="AJ823">
        <f t="shared" si="196"/>
        <v>3.7499999999999991</v>
      </c>
      <c r="AK823">
        <f t="shared" si="197"/>
        <v>0.45</v>
      </c>
      <c r="AL823">
        <f t="shared" si="190"/>
        <v>0.34000000000000008</v>
      </c>
      <c r="AN823" t="s">
        <v>2163</v>
      </c>
      <c r="AO823">
        <v>1.05</v>
      </c>
      <c r="AP823">
        <v>71.069999999999993</v>
      </c>
      <c r="AR823" t="str" cm="1">
        <f t="array" ref="AR823:AS823">_xlfn.TEXTSPLIT(AN823," ")</f>
        <v>26.10.2023</v>
      </c>
      <c r="AS823" t="str">
        <v>13:42:26</v>
      </c>
      <c r="AT823">
        <f t="shared" si="203"/>
        <v>13.666666666666925</v>
      </c>
      <c r="AU823">
        <f t="shared" si="198"/>
        <v>9.7599999999999909</v>
      </c>
      <c r="AV823">
        <f t="shared" si="199"/>
        <v>1.05</v>
      </c>
      <c r="AW823">
        <f t="shared" si="191"/>
        <v>0.70249999999999979</v>
      </c>
    </row>
    <row r="824" spans="1:49" x14ac:dyDescent="0.25">
      <c r="A824" t="s">
        <v>2164</v>
      </c>
      <c r="B824">
        <v>1.95</v>
      </c>
      <c r="C824">
        <v>21.81</v>
      </c>
      <c r="E824" t="s">
        <v>2164</v>
      </c>
      <c r="F824">
        <v>1.95</v>
      </c>
      <c r="G824">
        <v>90.8</v>
      </c>
      <c r="I824" t="str" cm="1">
        <f t="array" ref="I824:J824">_xlfn.TEXTSPLIT(A824," ")</f>
        <v>27.10.2023</v>
      </c>
      <c r="J824" t="str">
        <v>13:43:22</v>
      </c>
      <c r="K824">
        <f t="shared" si="200"/>
        <v>13.683333333333593</v>
      </c>
      <c r="L824">
        <f t="shared" si="193"/>
        <v>7.4899999999999984</v>
      </c>
      <c r="M824">
        <f t="shared" si="194"/>
        <v>1.95</v>
      </c>
      <c r="N824">
        <f t="shared" si="188"/>
        <v>1.0374999999999999</v>
      </c>
      <c r="Q824" t="str" cm="1">
        <f t="array" ref="Q824:R824">_xlfn.TEXTSPLIT(E824," ")</f>
        <v>27.10.2023</v>
      </c>
      <c r="R824" t="str">
        <v>13:43:22</v>
      </c>
      <c r="S824">
        <f t="shared" si="201"/>
        <v>13.683333333333593</v>
      </c>
      <c r="T824">
        <f t="shared" si="192"/>
        <v>12.200000000000003</v>
      </c>
      <c r="U824">
        <f t="shared" si="195"/>
        <v>1.95</v>
      </c>
      <c r="V824">
        <f t="shared" si="189"/>
        <v>1.7774999999999999</v>
      </c>
      <c r="AC824" t="s">
        <v>2165</v>
      </c>
      <c r="AD824">
        <v>0.9</v>
      </c>
      <c r="AE824">
        <v>8.2899999999999991</v>
      </c>
      <c r="AG824" t="str" cm="1">
        <f t="array" ref="AG824:AH824">_xlfn.TEXTSPLIT(AC825," ")</f>
        <v>26.10.2023</v>
      </c>
      <c r="AH824" t="str">
        <v>13:44:27</v>
      </c>
      <c r="AI824">
        <f t="shared" si="202"/>
        <v>13.683333333333593</v>
      </c>
      <c r="AJ824">
        <f t="shared" si="196"/>
        <v>3.7599999999999989</v>
      </c>
      <c r="AK824">
        <f t="shared" si="197"/>
        <v>0.9</v>
      </c>
      <c r="AL824">
        <f t="shared" si="190"/>
        <v>0.33250000000000007</v>
      </c>
      <c r="AN824" t="s">
        <v>2165</v>
      </c>
      <c r="AO824">
        <v>0.75</v>
      </c>
      <c r="AP824">
        <v>71.08</v>
      </c>
      <c r="AR824" t="str" cm="1">
        <f t="array" ref="AR824:AS824">_xlfn.TEXTSPLIT(AN824," ")</f>
        <v>26.10.2023</v>
      </c>
      <c r="AS824" t="str">
        <v>13:43:27</v>
      </c>
      <c r="AT824">
        <f t="shared" si="203"/>
        <v>13.683333333333593</v>
      </c>
      <c r="AU824">
        <f t="shared" si="198"/>
        <v>9.769999999999996</v>
      </c>
      <c r="AV824">
        <f t="shared" si="199"/>
        <v>0.75</v>
      </c>
      <c r="AW824">
        <f t="shared" si="191"/>
        <v>0.69749999999999979</v>
      </c>
    </row>
    <row r="825" spans="1:49" x14ac:dyDescent="0.25">
      <c r="A825" t="s">
        <v>2166</v>
      </c>
      <c r="B825">
        <v>1.95</v>
      </c>
      <c r="C825">
        <v>21.83</v>
      </c>
      <c r="E825" t="s">
        <v>2166</v>
      </c>
      <c r="F825">
        <v>2.85</v>
      </c>
      <c r="G825">
        <v>90.85</v>
      </c>
      <c r="I825" t="str" cm="1">
        <f t="array" ref="I825:J825">_xlfn.TEXTSPLIT(A825," ")</f>
        <v>27.10.2023</v>
      </c>
      <c r="J825" t="str">
        <v>13:44:22</v>
      </c>
      <c r="K825">
        <f t="shared" si="200"/>
        <v>13.70000000000026</v>
      </c>
      <c r="L825">
        <f t="shared" si="193"/>
        <v>7.509999999999998</v>
      </c>
      <c r="M825">
        <f t="shared" si="194"/>
        <v>1.95</v>
      </c>
      <c r="N825">
        <f t="shared" si="188"/>
        <v>1.0549999999999999</v>
      </c>
      <c r="Q825" t="str" cm="1">
        <f t="array" ref="Q825:R825">_xlfn.TEXTSPLIT(E825," ")</f>
        <v>27.10.2023</v>
      </c>
      <c r="R825" t="str">
        <v>13:44:22</v>
      </c>
      <c r="S825">
        <f t="shared" si="201"/>
        <v>13.70000000000026</v>
      </c>
      <c r="T825">
        <f t="shared" si="192"/>
        <v>12.25</v>
      </c>
      <c r="U825">
        <f t="shared" si="195"/>
        <v>2.85</v>
      </c>
      <c r="V825">
        <f t="shared" si="189"/>
        <v>1.7925</v>
      </c>
      <c r="AC825" t="s">
        <v>2167</v>
      </c>
      <c r="AD825">
        <v>0.3</v>
      </c>
      <c r="AE825">
        <v>8.3000000000000007</v>
      </c>
      <c r="AG825" t="str" cm="1">
        <f t="array" ref="AG825:AH825">_xlfn.TEXTSPLIT(AC826," ")</f>
        <v>26.10.2023</v>
      </c>
      <c r="AH825" t="str">
        <v>13:45:27</v>
      </c>
      <c r="AI825">
        <f t="shared" si="202"/>
        <v>13.70000000000026</v>
      </c>
      <c r="AJ825">
        <f t="shared" si="196"/>
        <v>3.7700000000000005</v>
      </c>
      <c r="AK825">
        <f t="shared" si="197"/>
        <v>0.3</v>
      </c>
      <c r="AL825">
        <f t="shared" si="190"/>
        <v>0.32250000000000001</v>
      </c>
      <c r="AN825" t="s">
        <v>2167</v>
      </c>
      <c r="AO825">
        <v>0.6</v>
      </c>
      <c r="AP825">
        <v>71.09</v>
      </c>
      <c r="AR825" t="str" cm="1">
        <f t="array" ref="AR825:AS825">_xlfn.TEXTSPLIT(AN825," ")</f>
        <v>26.10.2023</v>
      </c>
      <c r="AS825" t="str">
        <v>13:44:27</v>
      </c>
      <c r="AT825">
        <f t="shared" si="203"/>
        <v>13.70000000000026</v>
      </c>
      <c r="AU825">
        <f t="shared" si="198"/>
        <v>9.7800000000000011</v>
      </c>
      <c r="AV825">
        <f t="shared" si="199"/>
        <v>0.6</v>
      </c>
      <c r="AW825">
        <f t="shared" si="191"/>
        <v>0.67999999999999972</v>
      </c>
    </row>
    <row r="826" spans="1:49" x14ac:dyDescent="0.25">
      <c r="A826" t="s">
        <v>2168</v>
      </c>
      <c r="B826">
        <v>1.05</v>
      </c>
      <c r="C826">
        <v>21.85</v>
      </c>
      <c r="E826" t="s">
        <v>2168</v>
      </c>
      <c r="F826">
        <v>2.5499999999999998</v>
      </c>
      <c r="G826">
        <v>90.89</v>
      </c>
      <c r="I826" t="str" cm="1">
        <f t="array" ref="I826:J826">_xlfn.TEXTSPLIT(A826," ")</f>
        <v>27.10.2023</v>
      </c>
      <c r="J826" t="str">
        <v>13:45:23</v>
      </c>
      <c r="K826">
        <f t="shared" si="200"/>
        <v>13.716666666666928</v>
      </c>
      <c r="L826">
        <f t="shared" si="193"/>
        <v>7.5300000000000011</v>
      </c>
      <c r="M826">
        <f t="shared" si="194"/>
        <v>1.05</v>
      </c>
      <c r="N826">
        <f t="shared" si="188"/>
        <v>1.0549999999999999</v>
      </c>
      <c r="Q826" t="str" cm="1">
        <f t="array" ref="Q826:R826">_xlfn.TEXTSPLIT(E826," ")</f>
        <v>27.10.2023</v>
      </c>
      <c r="R826" t="str">
        <v>13:45:23</v>
      </c>
      <c r="S826">
        <f t="shared" si="201"/>
        <v>13.716666666666928</v>
      </c>
      <c r="T826">
        <f t="shared" si="192"/>
        <v>12.290000000000006</v>
      </c>
      <c r="U826">
        <f t="shared" si="195"/>
        <v>2.5499999999999998</v>
      </c>
      <c r="V826">
        <f t="shared" si="189"/>
        <v>1.8124999999999998</v>
      </c>
      <c r="AC826" t="s">
        <v>2169</v>
      </c>
      <c r="AD826">
        <v>0.75</v>
      </c>
      <c r="AE826">
        <v>8.3000000000000007</v>
      </c>
      <c r="AG826" t="str" cm="1">
        <f t="array" ref="AG826:AH826">_xlfn.TEXTSPLIT(AC827," ")</f>
        <v>26.10.2023</v>
      </c>
      <c r="AH826" t="str">
        <v>13:46:27</v>
      </c>
      <c r="AI826">
        <f t="shared" si="202"/>
        <v>13.716666666666928</v>
      </c>
      <c r="AJ826">
        <f t="shared" si="196"/>
        <v>3.7700000000000005</v>
      </c>
      <c r="AK826">
        <f t="shared" si="197"/>
        <v>0.75</v>
      </c>
      <c r="AL826">
        <f t="shared" si="190"/>
        <v>0.32250000000000001</v>
      </c>
      <c r="AN826" t="s">
        <v>2169</v>
      </c>
      <c r="AO826">
        <v>0.6</v>
      </c>
      <c r="AP826">
        <v>71.099999999999994</v>
      </c>
      <c r="AR826" t="str" cm="1">
        <f t="array" ref="AR826:AS826">_xlfn.TEXTSPLIT(AN826," ")</f>
        <v>26.10.2023</v>
      </c>
      <c r="AS826" t="str">
        <v>13:45:27</v>
      </c>
      <c r="AT826">
        <f t="shared" si="203"/>
        <v>13.716666666666928</v>
      </c>
      <c r="AU826">
        <f t="shared" si="198"/>
        <v>9.789999999999992</v>
      </c>
      <c r="AV826">
        <f t="shared" si="199"/>
        <v>0.6</v>
      </c>
      <c r="AW826">
        <f t="shared" si="191"/>
        <v>0.66499999999999981</v>
      </c>
    </row>
    <row r="827" spans="1:49" x14ac:dyDescent="0.25">
      <c r="A827" t="s">
        <v>2170</v>
      </c>
      <c r="B827">
        <v>1.05</v>
      </c>
      <c r="C827">
        <v>21.87</v>
      </c>
      <c r="E827" t="s">
        <v>2170</v>
      </c>
      <c r="F827">
        <v>2.1</v>
      </c>
      <c r="G827">
        <v>90.92</v>
      </c>
      <c r="I827" t="str" cm="1">
        <f t="array" ref="I827:J827">_xlfn.TEXTSPLIT(A827," ")</f>
        <v>27.10.2023</v>
      </c>
      <c r="J827" t="str">
        <v>13:46:23</v>
      </c>
      <c r="K827">
        <f t="shared" si="200"/>
        <v>13.733333333333595</v>
      </c>
      <c r="L827">
        <f t="shared" si="193"/>
        <v>7.5500000000000007</v>
      </c>
      <c r="M827">
        <f t="shared" si="194"/>
        <v>1.05</v>
      </c>
      <c r="N827">
        <f t="shared" si="188"/>
        <v>1.0524999999999998</v>
      </c>
      <c r="Q827" t="str" cm="1">
        <f t="array" ref="Q827:R827">_xlfn.TEXTSPLIT(E827," ")</f>
        <v>27.10.2023</v>
      </c>
      <c r="R827" t="str">
        <v>13:46:23</v>
      </c>
      <c r="S827">
        <f t="shared" si="201"/>
        <v>13.733333333333595</v>
      </c>
      <c r="T827">
        <f t="shared" si="192"/>
        <v>12.320000000000007</v>
      </c>
      <c r="U827">
        <f t="shared" si="195"/>
        <v>2.1</v>
      </c>
      <c r="V827">
        <f t="shared" si="189"/>
        <v>1.8299999999999996</v>
      </c>
      <c r="AC827" t="s">
        <v>2171</v>
      </c>
      <c r="AD827">
        <v>0.15</v>
      </c>
      <c r="AE827">
        <v>8.31</v>
      </c>
      <c r="AG827" t="str" cm="1">
        <f t="array" ref="AG827:AH827">_xlfn.TEXTSPLIT(AC828," ")</f>
        <v>26.10.2023</v>
      </c>
      <c r="AH827" t="str">
        <v>13:47:27</v>
      </c>
      <c r="AI827">
        <f t="shared" si="202"/>
        <v>13.733333333333595</v>
      </c>
      <c r="AJ827">
        <f t="shared" si="196"/>
        <v>3.7800000000000002</v>
      </c>
      <c r="AK827">
        <f t="shared" si="197"/>
        <v>0.15</v>
      </c>
      <c r="AL827">
        <f t="shared" si="190"/>
        <v>0.31500000000000006</v>
      </c>
      <c r="AN827" t="s">
        <v>2171</v>
      </c>
      <c r="AO827">
        <v>0.45</v>
      </c>
      <c r="AP827">
        <v>71.11</v>
      </c>
      <c r="AR827" t="str" cm="1">
        <f t="array" ref="AR827:AS827">_xlfn.TEXTSPLIT(AN827," ")</f>
        <v>26.10.2023</v>
      </c>
      <c r="AS827" t="str">
        <v>13:46:27</v>
      </c>
      <c r="AT827">
        <f t="shared" si="203"/>
        <v>13.733333333333595</v>
      </c>
      <c r="AU827">
        <f t="shared" si="198"/>
        <v>9.7999999999999972</v>
      </c>
      <c r="AV827">
        <f t="shared" si="199"/>
        <v>0.45</v>
      </c>
      <c r="AW827">
        <f t="shared" si="191"/>
        <v>0.6549999999999998</v>
      </c>
    </row>
    <row r="828" spans="1:49" x14ac:dyDescent="0.25">
      <c r="A828" t="s">
        <v>2172</v>
      </c>
      <c r="B828">
        <v>1.2</v>
      </c>
      <c r="C828">
        <v>21.89</v>
      </c>
      <c r="E828" t="s">
        <v>2172</v>
      </c>
      <c r="F828">
        <v>2.4</v>
      </c>
      <c r="G828">
        <v>90.96</v>
      </c>
      <c r="I828" t="str" cm="1">
        <f t="array" ref="I828:J828">_xlfn.TEXTSPLIT(A828," ")</f>
        <v>27.10.2023</v>
      </c>
      <c r="J828" t="str">
        <v>13:47:23</v>
      </c>
      <c r="K828">
        <f t="shared" si="200"/>
        <v>13.750000000000263</v>
      </c>
      <c r="L828">
        <f t="shared" si="193"/>
        <v>7.57</v>
      </c>
      <c r="M828">
        <f t="shared" si="194"/>
        <v>1.2</v>
      </c>
      <c r="N828">
        <f t="shared" si="188"/>
        <v>1.0474999999999999</v>
      </c>
      <c r="Q828" t="str" cm="1">
        <f t="array" ref="Q828:R828">_xlfn.TEXTSPLIT(E828," ")</f>
        <v>27.10.2023</v>
      </c>
      <c r="R828" t="str">
        <v>13:47:23</v>
      </c>
      <c r="S828">
        <f t="shared" si="201"/>
        <v>13.750000000000263</v>
      </c>
      <c r="T828">
        <f t="shared" si="192"/>
        <v>12.36</v>
      </c>
      <c r="U828">
        <f t="shared" si="195"/>
        <v>2.4</v>
      </c>
      <c r="V828">
        <f t="shared" si="189"/>
        <v>1.8374999999999997</v>
      </c>
      <c r="AC828" t="s">
        <v>2173</v>
      </c>
      <c r="AD828">
        <v>0</v>
      </c>
      <c r="AE828">
        <v>8.31</v>
      </c>
      <c r="AG828" t="str" cm="1">
        <f t="array" ref="AG828:AH828">_xlfn.TEXTSPLIT(AC829," ")</f>
        <v>26.10.2023</v>
      </c>
      <c r="AH828" t="str">
        <v>13:48:27</v>
      </c>
      <c r="AI828">
        <f t="shared" si="202"/>
        <v>13.750000000000263</v>
      </c>
      <c r="AJ828">
        <f t="shared" si="196"/>
        <v>3.7800000000000002</v>
      </c>
      <c r="AK828">
        <f t="shared" si="197"/>
        <v>0</v>
      </c>
      <c r="AL828">
        <f t="shared" si="190"/>
        <v>0.30500000000000005</v>
      </c>
      <c r="AN828" t="s">
        <v>2173</v>
      </c>
      <c r="AO828">
        <v>0.45</v>
      </c>
      <c r="AP828">
        <v>71.12</v>
      </c>
      <c r="AR828" t="str" cm="1">
        <f t="array" ref="AR828:AS828">_xlfn.TEXTSPLIT(AN828," ")</f>
        <v>26.10.2023</v>
      </c>
      <c r="AS828" t="str">
        <v>13:47:27</v>
      </c>
      <c r="AT828">
        <f t="shared" si="203"/>
        <v>13.750000000000263</v>
      </c>
      <c r="AU828">
        <f t="shared" si="198"/>
        <v>9.8100000000000023</v>
      </c>
      <c r="AV828">
        <f t="shared" si="199"/>
        <v>0.45</v>
      </c>
      <c r="AW828">
        <f t="shared" si="191"/>
        <v>0.64999999999999991</v>
      </c>
    </row>
    <row r="829" spans="1:49" x14ac:dyDescent="0.25">
      <c r="A829" t="s">
        <v>2174</v>
      </c>
      <c r="B829">
        <v>1.5</v>
      </c>
      <c r="C829">
        <v>21.91</v>
      </c>
      <c r="E829" t="s">
        <v>2174</v>
      </c>
      <c r="F829">
        <v>2.25</v>
      </c>
      <c r="G829">
        <v>91</v>
      </c>
      <c r="I829" t="str" cm="1">
        <f t="array" ref="I829:J829">_xlfn.TEXTSPLIT(A829," ")</f>
        <v>27.10.2023</v>
      </c>
      <c r="J829" t="str">
        <v>13:48:23</v>
      </c>
      <c r="K829">
        <f t="shared" si="200"/>
        <v>13.76666666666693</v>
      </c>
      <c r="L829">
        <f t="shared" si="193"/>
        <v>7.59</v>
      </c>
      <c r="M829">
        <f t="shared" si="194"/>
        <v>1.5</v>
      </c>
      <c r="N829">
        <f t="shared" si="188"/>
        <v>1.0599999999999998</v>
      </c>
      <c r="Q829" t="str" cm="1">
        <f t="array" ref="Q829:R829">_xlfn.TEXTSPLIT(E829," ")</f>
        <v>27.10.2023</v>
      </c>
      <c r="R829" t="str">
        <v>13:48:23</v>
      </c>
      <c r="S829">
        <f t="shared" si="201"/>
        <v>13.76666666666693</v>
      </c>
      <c r="T829">
        <f t="shared" si="192"/>
        <v>12.400000000000006</v>
      </c>
      <c r="U829">
        <f t="shared" si="195"/>
        <v>2.25</v>
      </c>
      <c r="V829">
        <f t="shared" si="189"/>
        <v>1.835</v>
      </c>
      <c r="AC829" t="s">
        <v>2175</v>
      </c>
      <c r="AD829">
        <v>0.3</v>
      </c>
      <c r="AE829">
        <v>8.32</v>
      </c>
      <c r="AG829" t="str" cm="1">
        <f t="array" ref="AG829:AH829">_xlfn.TEXTSPLIT(AC830," ")</f>
        <v>26.10.2023</v>
      </c>
      <c r="AH829" t="str">
        <v>13:49:27</v>
      </c>
      <c r="AI829">
        <f t="shared" si="202"/>
        <v>13.76666666666693</v>
      </c>
      <c r="AJ829">
        <f t="shared" si="196"/>
        <v>3.79</v>
      </c>
      <c r="AK829">
        <f t="shared" si="197"/>
        <v>0.3</v>
      </c>
      <c r="AL829">
        <f t="shared" si="190"/>
        <v>0.30500000000000005</v>
      </c>
      <c r="AN829" t="s">
        <v>2175</v>
      </c>
      <c r="AO829">
        <v>0.75</v>
      </c>
      <c r="AP829">
        <v>71.13</v>
      </c>
      <c r="AR829" t="str" cm="1">
        <f t="array" ref="AR829:AS829">_xlfn.TEXTSPLIT(AN829," ")</f>
        <v>26.10.2023</v>
      </c>
      <c r="AS829" t="str">
        <v>13:48:27</v>
      </c>
      <c r="AT829">
        <f t="shared" si="203"/>
        <v>13.76666666666693</v>
      </c>
      <c r="AU829">
        <f t="shared" si="198"/>
        <v>9.8199999999999932</v>
      </c>
      <c r="AV829">
        <f t="shared" si="199"/>
        <v>0.75</v>
      </c>
      <c r="AW829">
        <f t="shared" si="191"/>
        <v>0.65249999999999997</v>
      </c>
    </row>
    <row r="830" spans="1:49" x14ac:dyDescent="0.25">
      <c r="A830" t="s">
        <v>2176</v>
      </c>
      <c r="B830">
        <v>1.35</v>
      </c>
      <c r="C830">
        <v>21.94</v>
      </c>
      <c r="E830" t="s">
        <v>2176</v>
      </c>
      <c r="F830">
        <v>1.8</v>
      </c>
      <c r="G830">
        <v>91.03</v>
      </c>
      <c r="I830" t="str" cm="1">
        <f t="array" ref="I830:J830">_xlfn.TEXTSPLIT(A830," ")</f>
        <v>27.10.2023</v>
      </c>
      <c r="J830" t="str">
        <v>13:49:23</v>
      </c>
      <c r="K830">
        <f t="shared" si="200"/>
        <v>13.783333333333598</v>
      </c>
      <c r="L830">
        <f t="shared" si="193"/>
        <v>7.620000000000001</v>
      </c>
      <c r="M830">
        <f t="shared" si="194"/>
        <v>1.35</v>
      </c>
      <c r="N830">
        <f t="shared" si="188"/>
        <v>1.0674999999999997</v>
      </c>
      <c r="Q830" t="str" cm="1">
        <f t="array" ref="Q830:R830">_xlfn.TEXTSPLIT(E830," ")</f>
        <v>27.10.2023</v>
      </c>
      <c r="R830" t="str">
        <v>13:49:23</v>
      </c>
      <c r="S830">
        <f t="shared" si="201"/>
        <v>13.783333333333598</v>
      </c>
      <c r="T830">
        <f t="shared" si="192"/>
        <v>12.430000000000007</v>
      </c>
      <c r="U830">
        <f t="shared" si="195"/>
        <v>1.8</v>
      </c>
      <c r="V830">
        <f t="shared" si="189"/>
        <v>1.8424999999999998</v>
      </c>
      <c r="AC830" t="s">
        <v>2177</v>
      </c>
      <c r="AD830">
        <v>0.6</v>
      </c>
      <c r="AE830">
        <v>8.32</v>
      </c>
      <c r="AG830" t="str" cm="1">
        <f t="array" ref="AG830:AH830">_xlfn.TEXTSPLIT(AC831," ")</f>
        <v>26.10.2023</v>
      </c>
      <c r="AH830" t="str">
        <v>13:50:28</v>
      </c>
      <c r="AI830">
        <f t="shared" si="202"/>
        <v>13.783333333333598</v>
      </c>
      <c r="AJ830">
        <f t="shared" si="196"/>
        <v>3.79</v>
      </c>
      <c r="AK830">
        <f t="shared" si="197"/>
        <v>0.6</v>
      </c>
      <c r="AL830">
        <f t="shared" si="190"/>
        <v>0.31250000000000006</v>
      </c>
      <c r="AN830" t="s">
        <v>2177</v>
      </c>
      <c r="AO830">
        <v>0.75</v>
      </c>
      <c r="AP830">
        <v>71.14</v>
      </c>
      <c r="AR830" t="str" cm="1">
        <f t="array" ref="AR830:AS830">_xlfn.TEXTSPLIT(AN830," ")</f>
        <v>26.10.2023</v>
      </c>
      <c r="AS830" t="str">
        <v>13:49:27</v>
      </c>
      <c r="AT830">
        <f t="shared" si="203"/>
        <v>13.783333333333598</v>
      </c>
      <c r="AU830">
        <f t="shared" si="198"/>
        <v>9.8299999999999983</v>
      </c>
      <c r="AV830">
        <f t="shared" si="199"/>
        <v>0.75</v>
      </c>
      <c r="AW830">
        <f t="shared" si="191"/>
        <v>0.65499999999999992</v>
      </c>
    </row>
    <row r="831" spans="1:49" x14ac:dyDescent="0.25">
      <c r="A831" t="s">
        <v>2178</v>
      </c>
      <c r="B831">
        <v>1.5</v>
      </c>
      <c r="C831">
        <v>21.96</v>
      </c>
      <c r="E831" t="s">
        <v>2178</v>
      </c>
      <c r="F831">
        <v>1.8</v>
      </c>
      <c r="G831">
        <v>91.06</v>
      </c>
      <c r="I831" t="str" cm="1">
        <f t="array" ref="I831:J831">_xlfn.TEXTSPLIT(A831," ")</f>
        <v>27.10.2023</v>
      </c>
      <c r="J831" t="str">
        <v>13:50:23</v>
      </c>
      <c r="K831">
        <f t="shared" si="200"/>
        <v>13.800000000000265</v>
      </c>
      <c r="L831">
        <f t="shared" si="193"/>
        <v>7.6400000000000006</v>
      </c>
      <c r="M831">
        <f t="shared" si="194"/>
        <v>1.5</v>
      </c>
      <c r="N831">
        <f t="shared" ref="N831:N894" si="204">AVERAGE(M772:M831)</f>
        <v>1.0824999999999998</v>
      </c>
      <c r="Q831" t="str" cm="1">
        <f t="array" ref="Q831:R831">_xlfn.TEXTSPLIT(E831," ")</f>
        <v>27.10.2023</v>
      </c>
      <c r="R831" t="str">
        <v>13:50:23</v>
      </c>
      <c r="S831">
        <f t="shared" si="201"/>
        <v>13.800000000000265</v>
      </c>
      <c r="T831">
        <f t="shared" si="192"/>
        <v>12.460000000000008</v>
      </c>
      <c r="U831">
        <f t="shared" si="195"/>
        <v>1.8</v>
      </c>
      <c r="V831">
        <f t="shared" ref="V831:V894" si="205">AVERAGE(U772:U831)</f>
        <v>1.8474999999999997</v>
      </c>
      <c r="AC831" t="s">
        <v>2179</v>
      </c>
      <c r="AD831">
        <v>0.3</v>
      </c>
      <c r="AE831">
        <v>8.33</v>
      </c>
      <c r="AG831" t="str" cm="1">
        <f t="array" ref="AG831:AH831">_xlfn.TEXTSPLIT(AC832," ")</f>
        <v>26.10.2023</v>
      </c>
      <c r="AH831" t="str">
        <v>13:51:28</v>
      </c>
      <c r="AI831">
        <f t="shared" si="202"/>
        <v>13.800000000000265</v>
      </c>
      <c r="AJ831">
        <f t="shared" si="196"/>
        <v>3.8</v>
      </c>
      <c r="AK831">
        <f t="shared" si="197"/>
        <v>0.3</v>
      </c>
      <c r="AL831">
        <f t="shared" ref="AL831:AL894" si="206">AVERAGE(AK772:AK831)</f>
        <v>0.31250000000000011</v>
      </c>
      <c r="AN831" t="s">
        <v>2179</v>
      </c>
      <c r="AO831">
        <v>0.6</v>
      </c>
      <c r="AP831">
        <v>71.150000000000006</v>
      </c>
      <c r="AR831" t="str" cm="1">
        <f t="array" ref="AR831:AS831">_xlfn.TEXTSPLIT(AN831," ")</f>
        <v>26.10.2023</v>
      </c>
      <c r="AS831" t="str">
        <v>13:50:28</v>
      </c>
      <c r="AT831">
        <f t="shared" si="203"/>
        <v>13.800000000000265</v>
      </c>
      <c r="AU831">
        <f t="shared" si="198"/>
        <v>9.8400000000000034</v>
      </c>
      <c r="AV831">
        <f t="shared" si="199"/>
        <v>0.6</v>
      </c>
      <c r="AW831">
        <f t="shared" ref="AW831:AW894" si="207">AVERAGE(AV772:AV831)</f>
        <v>0.65500000000000003</v>
      </c>
    </row>
    <row r="832" spans="1:49" x14ac:dyDescent="0.25">
      <c r="A832" t="s">
        <v>2180</v>
      </c>
      <c r="B832">
        <v>0.9</v>
      </c>
      <c r="C832">
        <v>21.98</v>
      </c>
      <c r="E832" t="s">
        <v>2180</v>
      </c>
      <c r="F832">
        <v>2.25</v>
      </c>
      <c r="G832">
        <v>91.09</v>
      </c>
      <c r="I832" t="str" cm="1">
        <f t="array" ref="I832:J832">_xlfn.TEXTSPLIT(A832," ")</f>
        <v>27.10.2023</v>
      </c>
      <c r="J832" t="str">
        <v>13:51:23</v>
      </c>
      <c r="K832">
        <f t="shared" si="200"/>
        <v>13.816666666666933</v>
      </c>
      <c r="L832">
        <f t="shared" si="193"/>
        <v>7.66</v>
      </c>
      <c r="M832">
        <f t="shared" si="194"/>
        <v>0.9</v>
      </c>
      <c r="N832">
        <f t="shared" si="204"/>
        <v>1.085</v>
      </c>
      <c r="Q832" t="str" cm="1">
        <f t="array" ref="Q832:R832">_xlfn.TEXTSPLIT(E832," ")</f>
        <v>27.10.2023</v>
      </c>
      <c r="R832" t="str">
        <v>13:51:23</v>
      </c>
      <c r="S832">
        <f t="shared" si="201"/>
        <v>13.816666666666933</v>
      </c>
      <c r="T832">
        <f t="shared" si="192"/>
        <v>12.490000000000009</v>
      </c>
      <c r="U832">
        <f t="shared" si="195"/>
        <v>2.25</v>
      </c>
      <c r="V832">
        <f t="shared" si="205"/>
        <v>1.8624999999999998</v>
      </c>
      <c r="AC832" t="s">
        <v>2181</v>
      </c>
      <c r="AD832">
        <v>0.3</v>
      </c>
      <c r="AE832">
        <v>8.34</v>
      </c>
      <c r="AG832" t="str" cm="1">
        <f t="array" ref="AG832:AH832">_xlfn.TEXTSPLIT(AC833," ")</f>
        <v>26.10.2023</v>
      </c>
      <c r="AH832" t="str">
        <v>13:52:28</v>
      </c>
      <c r="AI832">
        <f t="shared" si="202"/>
        <v>13.816666666666933</v>
      </c>
      <c r="AJ832">
        <f t="shared" si="196"/>
        <v>3.8099999999999996</v>
      </c>
      <c r="AK832">
        <f t="shared" si="197"/>
        <v>0.3</v>
      </c>
      <c r="AL832">
        <f t="shared" si="206"/>
        <v>0.31250000000000011</v>
      </c>
      <c r="AN832" t="s">
        <v>2181</v>
      </c>
      <c r="AO832">
        <v>0.9</v>
      </c>
      <c r="AP832">
        <v>71.17</v>
      </c>
      <c r="AR832" t="str" cm="1">
        <f t="array" ref="AR832:AS832">_xlfn.TEXTSPLIT(AN832," ")</f>
        <v>26.10.2023</v>
      </c>
      <c r="AS832" t="str">
        <v>13:51:28</v>
      </c>
      <c r="AT832">
        <f t="shared" si="203"/>
        <v>13.816666666666933</v>
      </c>
      <c r="AU832">
        <f t="shared" si="198"/>
        <v>9.86</v>
      </c>
      <c r="AV832">
        <f t="shared" si="199"/>
        <v>0.9</v>
      </c>
      <c r="AW832">
        <f t="shared" si="207"/>
        <v>0.66</v>
      </c>
    </row>
    <row r="833" spans="1:49" x14ac:dyDescent="0.25">
      <c r="A833" t="s">
        <v>2182</v>
      </c>
      <c r="B833">
        <v>1.05</v>
      </c>
      <c r="C833">
        <v>21.99</v>
      </c>
      <c r="E833" t="s">
        <v>2182</v>
      </c>
      <c r="F833">
        <v>1.5</v>
      </c>
      <c r="G833">
        <v>91.11</v>
      </c>
      <c r="I833" t="str" cm="1">
        <f t="array" ref="I833:J833">_xlfn.TEXTSPLIT(A833," ")</f>
        <v>27.10.2023</v>
      </c>
      <c r="J833" t="str">
        <v>13:52:23</v>
      </c>
      <c r="K833">
        <f t="shared" si="200"/>
        <v>13.8333333333336</v>
      </c>
      <c r="L833">
        <f t="shared" si="193"/>
        <v>7.6699999999999982</v>
      </c>
      <c r="M833">
        <f t="shared" si="194"/>
        <v>1.05</v>
      </c>
      <c r="N833">
        <f t="shared" si="204"/>
        <v>1.0874999999999999</v>
      </c>
      <c r="Q833" t="str" cm="1">
        <f t="array" ref="Q833:R833">_xlfn.TEXTSPLIT(E833," ")</f>
        <v>27.10.2023</v>
      </c>
      <c r="R833" t="str">
        <v>13:52:23</v>
      </c>
      <c r="S833">
        <f t="shared" si="201"/>
        <v>13.8333333333336</v>
      </c>
      <c r="T833">
        <f t="shared" si="192"/>
        <v>12.510000000000005</v>
      </c>
      <c r="U833">
        <f t="shared" si="195"/>
        <v>1.5</v>
      </c>
      <c r="V833">
        <f t="shared" si="205"/>
        <v>1.8774999999999999</v>
      </c>
      <c r="AC833" t="s">
        <v>2183</v>
      </c>
      <c r="AD833">
        <v>0.45</v>
      </c>
      <c r="AE833">
        <v>8.34</v>
      </c>
      <c r="AG833" t="str" cm="1">
        <f t="array" ref="AG833:AH833">_xlfn.TEXTSPLIT(AC834," ")</f>
        <v>26.10.2023</v>
      </c>
      <c r="AH833" t="str">
        <v>13:53:28</v>
      </c>
      <c r="AI833">
        <f t="shared" si="202"/>
        <v>13.8333333333336</v>
      </c>
      <c r="AJ833">
        <f t="shared" si="196"/>
        <v>3.8099999999999996</v>
      </c>
      <c r="AK833">
        <f t="shared" si="197"/>
        <v>0.45</v>
      </c>
      <c r="AL833">
        <f t="shared" si="206"/>
        <v>0.31250000000000011</v>
      </c>
      <c r="AN833" t="s">
        <v>2183</v>
      </c>
      <c r="AO833">
        <v>0.3</v>
      </c>
      <c r="AP833">
        <v>71.17</v>
      </c>
      <c r="AR833" t="str" cm="1">
        <f t="array" ref="AR833:AS833">_xlfn.TEXTSPLIT(AN833," ")</f>
        <v>26.10.2023</v>
      </c>
      <c r="AS833" t="str">
        <v>13:52:28</v>
      </c>
      <c r="AT833">
        <f t="shared" si="203"/>
        <v>13.8333333333336</v>
      </c>
      <c r="AU833">
        <f t="shared" si="198"/>
        <v>9.86</v>
      </c>
      <c r="AV833">
        <f t="shared" si="199"/>
        <v>0.3</v>
      </c>
      <c r="AW833">
        <f t="shared" si="207"/>
        <v>0.65749999999999997</v>
      </c>
    </row>
    <row r="834" spans="1:49" x14ac:dyDescent="0.25">
      <c r="A834" t="s">
        <v>2184</v>
      </c>
      <c r="B834">
        <v>0</v>
      </c>
      <c r="C834">
        <v>21.99</v>
      </c>
      <c r="E834" t="s">
        <v>2184</v>
      </c>
      <c r="F834">
        <v>0.6</v>
      </c>
      <c r="G834">
        <v>91.13</v>
      </c>
      <c r="I834" t="str" cm="1">
        <f t="array" ref="I834:J834">_xlfn.TEXTSPLIT(A834," ")</f>
        <v>27.10.2023</v>
      </c>
      <c r="J834" t="str">
        <v>13:53:23</v>
      </c>
      <c r="K834">
        <f t="shared" si="200"/>
        <v>13.850000000000268</v>
      </c>
      <c r="L834">
        <f t="shared" si="193"/>
        <v>7.6699999999999982</v>
      </c>
      <c r="M834">
        <f t="shared" si="194"/>
        <v>0</v>
      </c>
      <c r="N834">
        <f t="shared" si="204"/>
        <v>1.085</v>
      </c>
      <c r="Q834" t="str" cm="1">
        <f t="array" ref="Q834:R834">_xlfn.TEXTSPLIT(E834," ")</f>
        <v>27.10.2023</v>
      </c>
      <c r="R834" t="str">
        <v>13:53:23</v>
      </c>
      <c r="S834">
        <f t="shared" si="201"/>
        <v>13.850000000000268</v>
      </c>
      <c r="T834">
        <f t="shared" si="192"/>
        <v>12.530000000000001</v>
      </c>
      <c r="U834">
        <f t="shared" si="195"/>
        <v>0.6</v>
      </c>
      <c r="V834">
        <f t="shared" si="205"/>
        <v>1.8649999999999998</v>
      </c>
      <c r="AC834" t="s">
        <v>2185</v>
      </c>
      <c r="AD834">
        <v>0.15</v>
      </c>
      <c r="AE834">
        <v>8.34</v>
      </c>
      <c r="AG834" t="str" cm="1">
        <f t="array" ref="AG834:AH834">_xlfn.TEXTSPLIT(AC835," ")</f>
        <v>26.10.2023</v>
      </c>
      <c r="AH834" t="str">
        <v>13:54:28</v>
      </c>
      <c r="AI834">
        <f t="shared" si="202"/>
        <v>13.850000000000268</v>
      </c>
      <c r="AJ834">
        <f t="shared" si="196"/>
        <v>3.8099999999999996</v>
      </c>
      <c r="AK834">
        <f t="shared" si="197"/>
        <v>0.15</v>
      </c>
      <c r="AL834">
        <f t="shared" si="206"/>
        <v>0.31250000000000006</v>
      </c>
      <c r="AN834" t="s">
        <v>2185</v>
      </c>
      <c r="AO834">
        <v>0</v>
      </c>
      <c r="AP834">
        <v>71.17</v>
      </c>
      <c r="AR834" t="str" cm="1">
        <f t="array" ref="AR834:AS834">_xlfn.TEXTSPLIT(AN834," ")</f>
        <v>26.10.2023</v>
      </c>
      <c r="AS834" t="str">
        <v>13:53:28</v>
      </c>
      <c r="AT834">
        <f t="shared" si="203"/>
        <v>13.850000000000268</v>
      </c>
      <c r="AU834">
        <f t="shared" si="198"/>
        <v>9.86</v>
      </c>
      <c r="AV834">
        <f t="shared" si="199"/>
        <v>0</v>
      </c>
      <c r="AW834">
        <f t="shared" si="207"/>
        <v>0.65749999999999997</v>
      </c>
    </row>
    <row r="835" spans="1:49" x14ac:dyDescent="0.25">
      <c r="A835" t="s">
        <v>2186</v>
      </c>
      <c r="B835">
        <v>0.3</v>
      </c>
      <c r="C835">
        <v>22</v>
      </c>
      <c r="E835" t="s">
        <v>2186</v>
      </c>
      <c r="F835">
        <v>1.05</v>
      </c>
      <c r="G835">
        <v>91.14</v>
      </c>
      <c r="I835" t="str" cm="1">
        <f t="array" ref="I835:J835">_xlfn.TEXTSPLIT(A835," ")</f>
        <v>27.10.2023</v>
      </c>
      <c r="J835" t="str">
        <v>13:54:23</v>
      </c>
      <c r="K835">
        <f t="shared" si="200"/>
        <v>13.866666666666935</v>
      </c>
      <c r="L835">
        <f t="shared" si="193"/>
        <v>7.68</v>
      </c>
      <c r="M835">
        <f t="shared" si="194"/>
        <v>0.3</v>
      </c>
      <c r="N835">
        <f t="shared" si="204"/>
        <v>1.0899999999999999</v>
      </c>
      <c r="Q835" t="str" cm="1">
        <f t="array" ref="Q835:R835">_xlfn.TEXTSPLIT(E835," ")</f>
        <v>27.10.2023</v>
      </c>
      <c r="R835" t="str">
        <v>13:54:23</v>
      </c>
      <c r="S835">
        <f t="shared" si="201"/>
        <v>13.866666666666935</v>
      </c>
      <c r="T835">
        <f t="shared" ref="T835:T898" si="208">G835-78.6</f>
        <v>12.540000000000006</v>
      </c>
      <c r="U835">
        <f t="shared" si="195"/>
        <v>1.05</v>
      </c>
      <c r="V835">
        <f t="shared" si="205"/>
        <v>1.8649999999999998</v>
      </c>
      <c r="AC835" t="s">
        <v>2187</v>
      </c>
      <c r="AD835">
        <v>0</v>
      </c>
      <c r="AE835">
        <v>8.34</v>
      </c>
      <c r="AG835" t="str" cm="1">
        <f t="array" ref="AG835:AH835">_xlfn.TEXTSPLIT(AC836," ")</f>
        <v>26.10.2023</v>
      </c>
      <c r="AH835" t="str">
        <v>13:55:28</v>
      </c>
      <c r="AI835">
        <f t="shared" si="202"/>
        <v>13.866666666666935</v>
      </c>
      <c r="AJ835">
        <f t="shared" si="196"/>
        <v>3.8099999999999996</v>
      </c>
      <c r="AK835">
        <f t="shared" si="197"/>
        <v>0</v>
      </c>
      <c r="AL835">
        <f t="shared" si="206"/>
        <v>0.31250000000000006</v>
      </c>
      <c r="AN835" t="s">
        <v>2187</v>
      </c>
      <c r="AO835">
        <v>0</v>
      </c>
      <c r="AP835">
        <v>71.17</v>
      </c>
      <c r="AR835" t="str" cm="1">
        <f t="array" ref="AR835:AS835">_xlfn.TEXTSPLIT(AN835," ")</f>
        <v>26.10.2023</v>
      </c>
      <c r="AS835" t="str">
        <v>13:54:28</v>
      </c>
      <c r="AT835">
        <f t="shared" si="203"/>
        <v>13.866666666666935</v>
      </c>
      <c r="AU835">
        <f t="shared" si="198"/>
        <v>9.86</v>
      </c>
      <c r="AV835">
        <f t="shared" si="199"/>
        <v>0</v>
      </c>
      <c r="AW835">
        <f t="shared" si="207"/>
        <v>0.65499999999999992</v>
      </c>
    </row>
    <row r="836" spans="1:49" x14ac:dyDescent="0.25">
      <c r="A836" t="s">
        <v>2188</v>
      </c>
      <c r="B836">
        <v>0.3</v>
      </c>
      <c r="C836">
        <v>22.01</v>
      </c>
      <c r="E836" t="s">
        <v>2188</v>
      </c>
      <c r="F836">
        <v>1.05</v>
      </c>
      <c r="G836">
        <v>91.16</v>
      </c>
      <c r="I836" t="str" cm="1">
        <f t="array" ref="I836:J836">_xlfn.TEXTSPLIT(A836," ")</f>
        <v>27.10.2023</v>
      </c>
      <c r="J836" t="str">
        <v>13:55:23</v>
      </c>
      <c r="K836">
        <f t="shared" si="200"/>
        <v>13.883333333333603</v>
      </c>
      <c r="L836">
        <f t="shared" ref="L836:L899" si="209">C836-14.32</f>
        <v>7.6900000000000013</v>
      </c>
      <c r="M836">
        <f t="shared" ref="M836:M899" si="210">B836</f>
        <v>0.3</v>
      </c>
      <c r="N836">
        <f t="shared" si="204"/>
        <v>1.0949999999999998</v>
      </c>
      <c r="Q836" t="str" cm="1">
        <f t="array" ref="Q836:R836">_xlfn.TEXTSPLIT(E836," ")</f>
        <v>27.10.2023</v>
      </c>
      <c r="R836" t="str">
        <v>13:55:23</v>
      </c>
      <c r="S836">
        <f t="shared" si="201"/>
        <v>13.883333333333603</v>
      </c>
      <c r="T836">
        <f t="shared" si="208"/>
        <v>12.560000000000002</v>
      </c>
      <c r="U836">
        <f t="shared" ref="U836:U899" si="211">F836</f>
        <v>1.05</v>
      </c>
      <c r="V836">
        <f t="shared" si="205"/>
        <v>1.8674999999999997</v>
      </c>
      <c r="AC836" t="s">
        <v>2189</v>
      </c>
      <c r="AD836">
        <v>0</v>
      </c>
      <c r="AE836">
        <v>8.34</v>
      </c>
      <c r="AG836" t="str" cm="1">
        <f t="array" ref="AG836:AH836">_xlfn.TEXTSPLIT(AC837," ")</f>
        <v>26.10.2023</v>
      </c>
      <c r="AH836" t="str">
        <v>13:56:29</v>
      </c>
      <c r="AI836">
        <f t="shared" si="202"/>
        <v>13.883333333333603</v>
      </c>
      <c r="AJ836">
        <f t="shared" ref="AJ836:AJ899" si="212">AE836-4.53</f>
        <v>3.8099999999999996</v>
      </c>
      <c r="AK836">
        <f t="shared" ref="AK836:AK899" si="213">AD836</f>
        <v>0</v>
      </c>
      <c r="AL836">
        <f t="shared" si="206"/>
        <v>0.31250000000000006</v>
      </c>
      <c r="AN836" t="s">
        <v>2189</v>
      </c>
      <c r="AO836">
        <v>0.15</v>
      </c>
      <c r="AP836">
        <v>71.17</v>
      </c>
      <c r="AR836" t="str" cm="1">
        <f t="array" ref="AR836:AS836">_xlfn.TEXTSPLIT(AN836," ")</f>
        <v>26.10.2023</v>
      </c>
      <c r="AS836" t="str">
        <v>13:55:28</v>
      </c>
      <c r="AT836">
        <f t="shared" si="203"/>
        <v>13.883333333333603</v>
      </c>
      <c r="AU836">
        <f t="shared" ref="AU836:AU899" si="214">AP836-61.31</f>
        <v>9.86</v>
      </c>
      <c r="AV836">
        <f t="shared" ref="AV836:AV899" si="215">AO836</f>
        <v>0.15</v>
      </c>
      <c r="AW836">
        <f t="shared" si="207"/>
        <v>0.65499999999999992</v>
      </c>
    </row>
    <row r="837" spans="1:49" x14ac:dyDescent="0.25">
      <c r="A837" t="s">
        <v>2190</v>
      </c>
      <c r="B837">
        <v>0.75</v>
      </c>
      <c r="C837">
        <v>22.02</v>
      </c>
      <c r="E837" t="s">
        <v>2190</v>
      </c>
      <c r="F837">
        <v>1.65</v>
      </c>
      <c r="G837">
        <v>91.19</v>
      </c>
      <c r="I837" t="str" cm="1">
        <f t="array" ref="I837:J837">_xlfn.TEXTSPLIT(A837," ")</f>
        <v>27.10.2023</v>
      </c>
      <c r="J837" t="str">
        <v>13:56:24</v>
      </c>
      <c r="K837">
        <f t="shared" ref="K837:K900" si="216">1/60+K836</f>
        <v>13.90000000000027</v>
      </c>
      <c r="L837">
        <f t="shared" si="209"/>
        <v>7.6999999999999993</v>
      </c>
      <c r="M837">
        <f t="shared" si="210"/>
        <v>0.75</v>
      </c>
      <c r="N837">
        <f t="shared" si="204"/>
        <v>1.1024999999999998</v>
      </c>
      <c r="Q837" t="str" cm="1">
        <f t="array" ref="Q837:R837">_xlfn.TEXTSPLIT(E837," ")</f>
        <v>27.10.2023</v>
      </c>
      <c r="R837" t="str">
        <v>13:56:24</v>
      </c>
      <c r="S837">
        <f t="shared" ref="S837:S900" si="217">1/60+S836</f>
        <v>13.90000000000027</v>
      </c>
      <c r="T837">
        <f t="shared" si="208"/>
        <v>12.590000000000003</v>
      </c>
      <c r="U837">
        <f t="shared" si="211"/>
        <v>1.65</v>
      </c>
      <c r="V837">
        <f t="shared" si="205"/>
        <v>1.88</v>
      </c>
      <c r="AC837" t="s">
        <v>2191</v>
      </c>
      <c r="AD837">
        <v>0</v>
      </c>
      <c r="AE837">
        <v>8.34</v>
      </c>
      <c r="AG837" t="str" cm="1">
        <f t="array" ref="AG837:AH837">_xlfn.TEXTSPLIT(AC838," ")</f>
        <v>26.10.2023</v>
      </c>
      <c r="AH837" t="str">
        <v>13:57:29</v>
      </c>
      <c r="AI837">
        <f t="shared" ref="AI837:AI900" si="218">1/60+AI836</f>
        <v>13.90000000000027</v>
      </c>
      <c r="AJ837">
        <f t="shared" si="212"/>
        <v>3.8099999999999996</v>
      </c>
      <c r="AK837">
        <f t="shared" si="213"/>
        <v>0</v>
      </c>
      <c r="AL837">
        <f t="shared" si="206"/>
        <v>0.31250000000000006</v>
      </c>
      <c r="AN837" t="s">
        <v>2191</v>
      </c>
      <c r="AO837">
        <v>0.15</v>
      </c>
      <c r="AP837">
        <v>71.17</v>
      </c>
      <c r="AR837" t="str" cm="1">
        <f t="array" ref="AR837:AS837">_xlfn.TEXTSPLIT(AN837," ")</f>
        <v>26.10.2023</v>
      </c>
      <c r="AS837" t="str">
        <v>13:56:29</v>
      </c>
      <c r="AT837">
        <f t="shared" ref="AT837:AT900" si="219">1/60+AT836</f>
        <v>13.90000000000027</v>
      </c>
      <c r="AU837">
        <f t="shared" si="214"/>
        <v>9.86</v>
      </c>
      <c r="AV837">
        <f t="shared" si="215"/>
        <v>0.15</v>
      </c>
      <c r="AW837">
        <f t="shared" si="207"/>
        <v>0.65249999999999997</v>
      </c>
    </row>
    <row r="838" spans="1:49" x14ac:dyDescent="0.25">
      <c r="A838" t="s">
        <v>2192</v>
      </c>
      <c r="B838">
        <v>0.45</v>
      </c>
      <c r="C838">
        <v>22.03</v>
      </c>
      <c r="E838" t="s">
        <v>2192</v>
      </c>
      <c r="F838">
        <v>1.8</v>
      </c>
      <c r="G838">
        <v>91.22</v>
      </c>
      <c r="I838" t="str" cm="1">
        <f t="array" ref="I838:J838">_xlfn.TEXTSPLIT(A838," ")</f>
        <v>27.10.2023</v>
      </c>
      <c r="J838" t="str">
        <v>13:57:24</v>
      </c>
      <c r="K838">
        <f t="shared" si="216"/>
        <v>13.916666666666938</v>
      </c>
      <c r="L838">
        <f t="shared" si="209"/>
        <v>7.7100000000000009</v>
      </c>
      <c r="M838">
        <f t="shared" si="210"/>
        <v>0.45</v>
      </c>
      <c r="N838">
        <f t="shared" si="204"/>
        <v>1.105</v>
      </c>
      <c r="Q838" t="str" cm="1">
        <f t="array" ref="Q838:R838">_xlfn.TEXTSPLIT(E838," ")</f>
        <v>27.10.2023</v>
      </c>
      <c r="R838" t="str">
        <v>13:57:24</v>
      </c>
      <c r="S838">
        <f t="shared" si="217"/>
        <v>13.916666666666938</v>
      </c>
      <c r="T838">
        <f t="shared" si="208"/>
        <v>12.620000000000005</v>
      </c>
      <c r="U838">
        <f t="shared" si="211"/>
        <v>1.8</v>
      </c>
      <c r="V838">
        <f t="shared" si="205"/>
        <v>1.8924999999999996</v>
      </c>
      <c r="AC838" t="s">
        <v>2193</v>
      </c>
      <c r="AD838">
        <v>0</v>
      </c>
      <c r="AE838">
        <v>8.34</v>
      </c>
      <c r="AG838" t="str" cm="1">
        <f t="array" ref="AG838:AH838">_xlfn.TEXTSPLIT(AC839," ")</f>
        <v>26.10.2023</v>
      </c>
      <c r="AH838" t="str">
        <v>13:58:29</v>
      </c>
      <c r="AI838">
        <f t="shared" si="218"/>
        <v>13.916666666666938</v>
      </c>
      <c r="AJ838">
        <f t="shared" si="212"/>
        <v>3.8099999999999996</v>
      </c>
      <c r="AK838">
        <f t="shared" si="213"/>
        <v>0</v>
      </c>
      <c r="AL838">
        <f t="shared" si="206"/>
        <v>0.31250000000000006</v>
      </c>
      <c r="AN838" t="s">
        <v>2193</v>
      </c>
      <c r="AO838">
        <v>0.3</v>
      </c>
      <c r="AP838">
        <v>71.180000000000007</v>
      </c>
      <c r="AR838" t="str" cm="1">
        <f t="array" ref="AR838:AS838">_xlfn.TEXTSPLIT(AN838," ")</f>
        <v>26.10.2023</v>
      </c>
      <c r="AS838" t="str">
        <v>13:57:29</v>
      </c>
      <c r="AT838">
        <f t="shared" si="219"/>
        <v>13.916666666666938</v>
      </c>
      <c r="AU838">
        <f t="shared" si="214"/>
        <v>9.8700000000000045</v>
      </c>
      <c r="AV838">
        <f t="shared" si="215"/>
        <v>0.3</v>
      </c>
      <c r="AW838">
        <f t="shared" si="207"/>
        <v>0.65499999999999992</v>
      </c>
    </row>
    <row r="839" spans="1:49" x14ac:dyDescent="0.25">
      <c r="A839" t="s">
        <v>2194</v>
      </c>
      <c r="B839">
        <v>0.9</v>
      </c>
      <c r="C839">
        <v>22.04</v>
      </c>
      <c r="E839" t="s">
        <v>2194</v>
      </c>
      <c r="F839">
        <v>1.65</v>
      </c>
      <c r="G839">
        <v>91.25</v>
      </c>
      <c r="I839" t="str" cm="1">
        <f t="array" ref="I839:J839">_xlfn.TEXTSPLIT(A839," ")</f>
        <v>27.10.2023</v>
      </c>
      <c r="J839" t="str">
        <v>13:58:24</v>
      </c>
      <c r="K839">
        <f t="shared" si="216"/>
        <v>13.933333333333605</v>
      </c>
      <c r="L839">
        <f t="shared" si="209"/>
        <v>7.7199999999999989</v>
      </c>
      <c r="M839">
        <f t="shared" si="210"/>
        <v>0.9</v>
      </c>
      <c r="N839">
        <f t="shared" si="204"/>
        <v>1.1099999999999999</v>
      </c>
      <c r="Q839" t="str" cm="1">
        <f t="array" ref="Q839:R839">_xlfn.TEXTSPLIT(E839," ")</f>
        <v>27.10.2023</v>
      </c>
      <c r="R839" t="str">
        <v>13:58:24</v>
      </c>
      <c r="S839">
        <f t="shared" si="217"/>
        <v>13.933333333333605</v>
      </c>
      <c r="T839">
        <f t="shared" si="208"/>
        <v>12.650000000000006</v>
      </c>
      <c r="U839">
        <f t="shared" si="211"/>
        <v>1.65</v>
      </c>
      <c r="V839">
        <f t="shared" si="205"/>
        <v>1.9024999999999996</v>
      </c>
      <c r="AC839" t="s">
        <v>2195</v>
      </c>
      <c r="AD839">
        <v>0</v>
      </c>
      <c r="AE839">
        <v>8.34</v>
      </c>
      <c r="AG839" t="str" cm="1">
        <f t="array" ref="AG839:AH839">_xlfn.TEXTSPLIT(AC840," ")</f>
        <v>26.10.2023</v>
      </c>
      <c r="AH839" t="str">
        <v>13:59:29</v>
      </c>
      <c r="AI839">
        <f t="shared" si="218"/>
        <v>13.933333333333605</v>
      </c>
      <c r="AJ839">
        <f t="shared" si="212"/>
        <v>3.8099999999999996</v>
      </c>
      <c r="AK839">
        <f t="shared" si="213"/>
        <v>0</v>
      </c>
      <c r="AL839">
        <f t="shared" si="206"/>
        <v>0.31250000000000006</v>
      </c>
      <c r="AN839" t="s">
        <v>2195</v>
      </c>
      <c r="AO839">
        <v>0.15</v>
      </c>
      <c r="AP839">
        <v>71.180000000000007</v>
      </c>
      <c r="AR839" t="str" cm="1">
        <f t="array" ref="AR839:AS839">_xlfn.TEXTSPLIT(AN839," ")</f>
        <v>26.10.2023</v>
      </c>
      <c r="AS839" t="str">
        <v>13:58:29</v>
      </c>
      <c r="AT839">
        <f t="shared" si="219"/>
        <v>13.933333333333605</v>
      </c>
      <c r="AU839">
        <f t="shared" si="214"/>
        <v>9.8700000000000045</v>
      </c>
      <c r="AV839">
        <f t="shared" si="215"/>
        <v>0.15</v>
      </c>
      <c r="AW839">
        <f t="shared" si="207"/>
        <v>0.64999999999999991</v>
      </c>
    </row>
    <row r="840" spans="1:49" x14ac:dyDescent="0.25">
      <c r="A840" t="s">
        <v>2196</v>
      </c>
      <c r="B840">
        <v>0.6</v>
      </c>
      <c r="C840">
        <v>22.06</v>
      </c>
      <c r="E840" t="s">
        <v>2196</v>
      </c>
      <c r="F840">
        <v>1.5</v>
      </c>
      <c r="G840">
        <v>91.27</v>
      </c>
      <c r="I840" t="str" cm="1">
        <f t="array" ref="I840:J840">_xlfn.TEXTSPLIT(A840," ")</f>
        <v>27.10.2023</v>
      </c>
      <c r="J840" t="str">
        <v>13:59:24</v>
      </c>
      <c r="K840">
        <f t="shared" si="216"/>
        <v>13.950000000000273</v>
      </c>
      <c r="L840">
        <f t="shared" si="209"/>
        <v>7.7399999999999984</v>
      </c>
      <c r="M840">
        <f t="shared" si="210"/>
        <v>0.6</v>
      </c>
      <c r="N840">
        <f t="shared" si="204"/>
        <v>1.1074999999999997</v>
      </c>
      <c r="Q840" t="str" cm="1">
        <f t="array" ref="Q840:R840">_xlfn.TEXTSPLIT(E840," ")</f>
        <v>27.10.2023</v>
      </c>
      <c r="R840" t="str">
        <v>13:59:24</v>
      </c>
      <c r="S840">
        <f t="shared" si="217"/>
        <v>13.950000000000273</v>
      </c>
      <c r="T840">
        <f t="shared" si="208"/>
        <v>12.670000000000002</v>
      </c>
      <c r="U840">
        <f t="shared" si="211"/>
        <v>1.5</v>
      </c>
      <c r="V840">
        <f t="shared" si="205"/>
        <v>1.8999999999999997</v>
      </c>
      <c r="AC840" t="s">
        <v>2197</v>
      </c>
      <c r="AD840">
        <v>0</v>
      </c>
      <c r="AE840">
        <v>8.34</v>
      </c>
      <c r="AG840" t="str" cm="1">
        <f t="array" ref="AG840:AH840">_xlfn.TEXTSPLIT(AC841," ")</f>
        <v>26.10.2023</v>
      </c>
      <c r="AH840" t="str">
        <v>14:00:29</v>
      </c>
      <c r="AI840">
        <f t="shared" si="218"/>
        <v>13.950000000000273</v>
      </c>
      <c r="AJ840">
        <f t="shared" si="212"/>
        <v>3.8099999999999996</v>
      </c>
      <c r="AK840">
        <f t="shared" si="213"/>
        <v>0</v>
      </c>
      <c r="AL840">
        <f t="shared" si="206"/>
        <v>0.31250000000000006</v>
      </c>
      <c r="AN840" t="s">
        <v>2197</v>
      </c>
      <c r="AO840">
        <v>0.3</v>
      </c>
      <c r="AP840">
        <v>71.180000000000007</v>
      </c>
      <c r="AR840" t="str" cm="1">
        <f t="array" ref="AR840:AS840">_xlfn.TEXTSPLIT(AN840," ")</f>
        <v>26.10.2023</v>
      </c>
      <c r="AS840" t="str">
        <v>13:59:29</v>
      </c>
      <c r="AT840">
        <f t="shared" si="219"/>
        <v>13.950000000000273</v>
      </c>
      <c r="AU840">
        <f t="shared" si="214"/>
        <v>9.8700000000000045</v>
      </c>
      <c r="AV840">
        <f t="shared" si="215"/>
        <v>0.3</v>
      </c>
      <c r="AW840">
        <f t="shared" si="207"/>
        <v>0.64999999999999991</v>
      </c>
    </row>
    <row r="841" spans="1:49" x14ac:dyDescent="0.25">
      <c r="A841" t="s">
        <v>2198</v>
      </c>
      <c r="B841">
        <v>1.2</v>
      </c>
      <c r="C841">
        <v>22.07</v>
      </c>
      <c r="E841" t="s">
        <v>2198</v>
      </c>
      <c r="F841">
        <v>1.35</v>
      </c>
      <c r="G841">
        <v>91.3</v>
      </c>
      <c r="I841" t="str" cm="1">
        <f t="array" ref="I841:J841">_xlfn.TEXTSPLIT(A841," ")</f>
        <v>27.10.2023</v>
      </c>
      <c r="J841" t="str">
        <v>14:00:24</v>
      </c>
      <c r="K841">
        <f t="shared" si="216"/>
        <v>13.96666666666694</v>
      </c>
      <c r="L841">
        <f t="shared" si="209"/>
        <v>7.75</v>
      </c>
      <c r="M841">
        <f t="shared" si="210"/>
        <v>1.2</v>
      </c>
      <c r="N841">
        <f t="shared" si="204"/>
        <v>1.1174999999999997</v>
      </c>
      <c r="Q841" t="str" cm="1">
        <f t="array" ref="Q841:R841">_xlfn.TEXTSPLIT(E841," ")</f>
        <v>27.10.2023</v>
      </c>
      <c r="R841" t="str">
        <v>14:00:24</v>
      </c>
      <c r="S841">
        <f t="shared" si="217"/>
        <v>13.96666666666694</v>
      </c>
      <c r="T841">
        <f t="shared" si="208"/>
        <v>12.700000000000003</v>
      </c>
      <c r="U841">
        <f t="shared" si="211"/>
        <v>1.35</v>
      </c>
      <c r="V841">
        <f t="shared" si="205"/>
        <v>1.8899999999999997</v>
      </c>
      <c r="AC841" t="s">
        <v>2199</v>
      </c>
      <c r="AD841">
        <v>0</v>
      </c>
      <c r="AE841">
        <v>8.34</v>
      </c>
      <c r="AG841" t="str" cm="1">
        <f t="array" ref="AG841:AH841">_xlfn.TEXTSPLIT(AC842," ")</f>
        <v>26.10.2023</v>
      </c>
      <c r="AH841" t="str">
        <v>14:01:29</v>
      </c>
      <c r="AI841">
        <f t="shared" si="218"/>
        <v>13.96666666666694</v>
      </c>
      <c r="AJ841">
        <f t="shared" si="212"/>
        <v>3.8099999999999996</v>
      </c>
      <c r="AK841">
        <f t="shared" si="213"/>
        <v>0</v>
      </c>
      <c r="AL841">
        <f t="shared" si="206"/>
        <v>0.31250000000000006</v>
      </c>
      <c r="AN841" t="s">
        <v>2199</v>
      </c>
      <c r="AO841">
        <v>0.15</v>
      </c>
      <c r="AP841">
        <v>71.19</v>
      </c>
      <c r="AR841" t="str" cm="1">
        <f t="array" ref="AR841:AS841">_xlfn.TEXTSPLIT(AN841," ")</f>
        <v>26.10.2023</v>
      </c>
      <c r="AS841" t="str">
        <v>14:00:29</v>
      </c>
      <c r="AT841">
        <f t="shared" si="219"/>
        <v>13.96666666666694</v>
      </c>
      <c r="AU841">
        <f t="shared" si="214"/>
        <v>9.8799999999999955</v>
      </c>
      <c r="AV841">
        <f t="shared" si="215"/>
        <v>0.15</v>
      </c>
      <c r="AW841">
        <f t="shared" si="207"/>
        <v>0.6499999999999998</v>
      </c>
    </row>
    <row r="842" spans="1:49" x14ac:dyDescent="0.25">
      <c r="A842" t="s">
        <v>2200</v>
      </c>
      <c r="B842">
        <v>0.75</v>
      </c>
      <c r="C842">
        <v>22.08</v>
      </c>
      <c r="E842" t="s">
        <v>2200</v>
      </c>
      <c r="F842">
        <v>2.1</v>
      </c>
      <c r="G842">
        <v>91.33</v>
      </c>
      <c r="I842" t="str" cm="1">
        <f t="array" ref="I842:J842">_xlfn.TEXTSPLIT(A842," ")</f>
        <v>27.10.2023</v>
      </c>
      <c r="J842" t="str">
        <v>14:01:24</v>
      </c>
      <c r="K842">
        <f t="shared" si="216"/>
        <v>13.983333333333608</v>
      </c>
      <c r="L842">
        <f t="shared" si="209"/>
        <v>7.759999999999998</v>
      </c>
      <c r="M842">
        <f t="shared" si="210"/>
        <v>0.75</v>
      </c>
      <c r="N842">
        <f t="shared" si="204"/>
        <v>1.1124999999999998</v>
      </c>
      <c r="Q842" t="str" cm="1">
        <f t="array" ref="Q842:R842">_xlfn.TEXTSPLIT(E842," ")</f>
        <v>27.10.2023</v>
      </c>
      <c r="R842" t="str">
        <v>14:01:24</v>
      </c>
      <c r="S842">
        <f t="shared" si="217"/>
        <v>13.983333333333608</v>
      </c>
      <c r="T842">
        <f t="shared" si="208"/>
        <v>12.730000000000004</v>
      </c>
      <c r="U842">
        <f t="shared" si="211"/>
        <v>2.1</v>
      </c>
      <c r="V842">
        <f t="shared" si="205"/>
        <v>1.9024999999999996</v>
      </c>
      <c r="AC842" t="s">
        <v>2201</v>
      </c>
      <c r="AD842">
        <v>0</v>
      </c>
      <c r="AE842">
        <v>8.34</v>
      </c>
      <c r="AG842" t="str" cm="1">
        <f t="array" ref="AG842:AH842">_xlfn.TEXTSPLIT(AC843," ")</f>
        <v>26.10.2023</v>
      </c>
      <c r="AH842" t="str">
        <v>14:02:29</v>
      </c>
      <c r="AI842">
        <f t="shared" si="218"/>
        <v>13.983333333333608</v>
      </c>
      <c r="AJ842">
        <f t="shared" si="212"/>
        <v>3.8099999999999996</v>
      </c>
      <c r="AK842">
        <f t="shared" si="213"/>
        <v>0</v>
      </c>
      <c r="AL842">
        <f t="shared" si="206"/>
        <v>0.31250000000000006</v>
      </c>
      <c r="AN842" t="s">
        <v>2201</v>
      </c>
      <c r="AO842">
        <v>0.3</v>
      </c>
      <c r="AP842">
        <v>71.19</v>
      </c>
      <c r="AR842" t="str" cm="1">
        <f t="array" ref="AR842:AS842">_xlfn.TEXTSPLIT(AN842," ")</f>
        <v>26.10.2023</v>
      </c>
      <c r="AS842" t="str">
        <v>14:01:29</v>
      </c>
      <c r="AT842">
        <f t="shared" si="219"/>
        <v>13.983333333333608</v>
      </c>
      <c r="AU842">
        <f t="shared" si="214"/>
        <v>9.8799999999999955</v>
      </c>
      <c r="AV842">
        <f t="shared" si="215"/>
        <v>0.3</v>
      </c>
      <c r="AW842">
        <f t="shared" si="207"/>
        <v>0.64749999999999974</v>
      </c>
    </row>
    <row r="843" spans="1:49" x14ac:dyDescent="0.25">
      <c r="A843" t="s">
        <v>2202</v>
      </c>
      <c r="B843">
        <v>0.9</v>
      </c>
      <c r="C843">
        <v>22.09</v>
      </c>
      <c r="E843" t="s">
        <v>2202</v>
      </c>
      <c r="F843">
        <v>2.4</v>
      </c>
      <c r="G843">
        <v>91.36</v>
      </c>
      <c r="I843" t="str" cm="1">
        <f t="array" ref="I843:J843">_xlfn.TEXTSPLIT(A843," ")</f>
        <v>27.10.2023</v>
      </c>
      <c r="J843" t="str">
        <v>14:02:24</v>
      </c>
      <c r="K843">
        <f t="shared" si="216"/>
        <v>14.000000000000275</v>
      </c>
      <c r="L843">
        <f t="shared" si="209"/>
        <v>7.77</v>
      </c>
      <c r="M843">
        <f t="shared" si="210"/>
        <v>0.9</v>
      </c>
      <c r="N843">
        <f t="shared" si="204"/>
        <v>1.1125</v>
      </c>
      <c r="Q843" t="str" cm="1">
        <f t="array" ref="Q843:R843">_xlfn.TEXTSPLIT(E843," ")</f>
        <v>27.10.2023</v>
      </c>
      <c r="R843" t="str">
        <v>14:02:24</v>
      </c>
      <c r="S843">
        <f t="shared" si="217"/>
        <v>14.000000000000275</v>
      </c>
      <c r="T843">
        <f t="shared" si="208"/>
        <v>12.760000000000005</v>
      </c>
      <c r="U843">
        <f t="shared" si="211"/>
        <v>2.4</v>
      </c>
      <c r="V843">
        <f t="shared" si="205"/>
        <v>1.9199999999999995</v>
      </c>
      <c r="AC843" t="s">
        <v>2203</v>
      </c>
      <c r="AD843">
        <v>0</v>
      </c>
      <c r="AE843">
        <v>8.34</v>
      </c>
      <c r="AG843" t="str" cm="1">
        <f t="array" ref="AG843:AH843">_xlfn.TEXTSPLIT(AC844," ")</f>
        <v>26.10.2023</v>
      </c>
      <c r="AH843" t="str">
        <v>14:03:30</v>
      </c>
      <c r="AI843">
        <f t="shared" si="218"/>
        <v>14.000000000000275</v>
      </c>
      <c r="AJ843">
        <f t="shared" si="212"/>
        <v>3.8099999999999996</v>
      </c>
      <c r="AK843">
        <f t="shared" si="213"/>
        <v>0</v>
      </c>
      <c r="AL843">
        <f t="shared" si="206"/>
        <v>0.31250000000000006</v>
      </c>
      <c r="AN843" t="s">
        <v>2203</v>
      </c>
      <c r="AO843">
        <v>0.3</v>
      </c>
      <c r="AP843">
        <v>71.2</v>
      </c>
      <c r="AR843" t="str" cm="1">
        <f t="array" ref="AR843:AS843">_xlfn.TEXTSPLIT(AN843," ")</f>
        <v>26.10.2023</v>
      </c>
      <c r="AS843" t="str">
        <v>14:02:29</v>
      </c>
      <c r="AT843">
        <f t="shared" si="219"/>
        <v>14.000000000000275</v>
      </c>
      <c r="AU843">
        <f t="shared" si="214"/>
        <v>9.89</v>
      </c>
      <c r="AV843">
        <f t="shared" si="215"/>
        <v>0.3</v>
      </c>
      <c r="AW843">
        <f t="shared" si="207"/>
        <v>0.63999999999999979</v>
      </c>
    </row>
    <row r="844" spans="1:49" x14ac:dyDescent="0.25">
      <c r="A844" t="s">
        <v>2204</v>
      </c>
      <c r="B844">
        <v>0.75</v>
      </c>
      <c r="C844">
        <v>22.11</v>
      </c>
      <c r="E844" t="s">
        <v>2204</v>
      </c>
      <c r="F844">
        <v>1.35</v>
      </c>
      <c r="G844">
        <v>91.39</v>
      </c>
      <c r="I844" t="str" cm="1">
        <f t="array" ref="I844:J844">_xlfn.TEXTSPLIT(A844," ")</f>
        <v>27.10.2023</v>
      </c>
      <c r="J844" t="str">
        <v>14:03:24</v>
      </c>
      <c r="K844">
        <f t="shared" si="216"/>
        <v>14.016666666666943</v>
      </c>
      <c r="L844">
        <f t="shared" si="209"/>
        <v>7.7899999999999991</v>
      </c>
      <c r="M844">
        <f t="shared" si="210"/>
        <v>0.75</v>
      </c>
      <c r="N844">
        <f t="shared" si="204"/>
        <v>1.1149999999999998</v>
      </c>
      <c r="Q844" t="str" cm="1">
        <f t="array" ref="Q844:R844">_xlfn.TEXTSPLIT(E844," ")</f>
        <v>27.10.2023</v>
      </c>
      <c r="R844" t="str">
        <v>14:03:24</v>
      </c>
      <c r="S844">
        <f t="shared" si="217"/>
        <v>14.016666666666943</v>
      </c>
      <c r="T844">
        <f t="shared" si="208"/>
        <v>12.790000000000006</v>
      </c>
      <c r="U844">
        <f t="shared" si="211"/>
        <v>1.35</v>
      </c>
      <c r="V844">
        <f t="shared" si="205"/>
        <v>1.9174999999999998</v>
      </c>
      <c r="AC844" t="s">
        <v>2205</v>
      </c>
      <c r="AD844">
        <v>0</v>
      </c>
      <c r="AE844">
        <v>8.34</v>
      </c>
      <c r="AG844" t="str" cm="1">
        <f t="array" ref="AG844:AH844">_xlfn.TEXTSPLIT(AC845," ")</f>
        <v>26.10.2023</v>
      </c>
      <c r="AH844" t="str">
        <v>14:04:30</v>
      </c>
      <c r="AI844">
        <f t="shared" si="218"/>
        <v>14.016666666666943</v>
      </c>
      <c r="AJ844">
        <f t="shared" si="212"/>
        <v>3.8099999999999996</v>
      </c>
      <c r="AK844">
        <f t="shared" si="213"/>
        <v>0</v>
      </c>
      <c r="AL844">
        <f t="shared" si="206"/>
        <v>0.31250000000000006</v>
      </c>
      <c r="AN844" t="s">
        <v>2205</v>
      </c>
      <c r="AO844">
        <v>0.45</v>
      </c>
      <c r="AP844">
        <v>71.209999999999994</v>
      </c>
      <c r="AR844" t="str" cm="1">
        <f t="array" ref="AR844:AS844">_xlfn.TEXTSPLIT(AN844," ")</f>
        <v>26.10.2023</v>
      </c>
      <c r="AS844" t="str">
        <v>14:03:30</v>
      </c>
      <c r="AT844">
        <f t="shared" si="219"/>
        <v>14.016666666666943</v>
      </c>
      <c r="AU844">
        <f t="shared" si="214"/>
        <v>9.8999999999999915</v>
      </c>
      <c r="AV844">
        <f t="shared" si="215"/>
        <v>0.45</v>
      </c>
      <c r="AW844">
        <f t="shared" si="207"/>
        <v>0.64249999999999974</v>
      </c>
    </row>
    <row r="845" spans="1:49" x14ac:dyDescent="0.25">
      <c r="A845" t="s">
        <v>2206</v>
      </c>
      <c r="B845">
        <v>0.75</v>
      </c>
      <c r="C845">
        <v>22.12</v>
      </c>
      <c r="E845" t="s">
        <v>2206</v>
      </c>
      <c r="F845">
        <v>1.65</v>
      </c>
      <c r="G845">
        <v>91.42</v>
      </c>
      <c r="I845" t="str" cm="1">
        <f t="array" ref="I845:J845">_xlfn.TEXTSPLIT(A845," ")</f>
        <v>27.10.2023</v>
      </c>
      <c r="J845" t="str">
        <v>14:04:24</v>
      </c>
      <c r="K845">
        <f t="shared" si="216"/>
        <v>14.03333333333361</v>
      </c>
      <c r="L845">
        <f t="shared" si="209"/>
        <v>7.8000000000000007</v>
      </c>
      <c r="M845">
        <f t="shared" si="210"/>
        <v>0.75</v>
      </c>
      <c r="N845">
        <f t="shared" si="204"/>
        <v>1.1099999999999999</v>
      </c>
      <c r="Q845" t="str" cm="1">
        <f t="array" ref="Q845:R845">_xlfn.TEXTSPLIT(E845," ")</f>
        <v>27.10.2023</v>
      </c>
      <c r="R845" t="str">
        <v>14:04:24</v>
      </c>
      <c r="S845">
        <f t="shared" si="217"/>
        <v>14.03333333333361</v>
      </c>
      <c r="T845">
        <f t="shared" si="208"/>
        <v>12.820000000000007</v>
      </c>
      <c r="U845">
        <f t="shared" si="211"/>
        <v>1.65</v>
      </c>
      <c r="V845">
        <f t="shared" si="205"/>
        <v>1.9174999999999995</v>
      </c>
      <c r="AC845" t="s">
        <v>2207</v>
      </c>
      <c r="AD845">
        <v>0</v>
      </c>
      <c r="AE845">
        <v>8.34</v>
      </c>
      <c r="AG845" t="str" cm="1">
        <f t="array" ref="AG845:AH845">_xlfn.TEXTSPLIT(AC846," ")</f>
        <v>26.10.2023</v>
      </c>
      <c r="AH845" t="str">
        <v>14:05:30</v>
      </c>
      <c r="AI845">
        <f t="shared" si="218"/>
        <v>14.03333333333361</v>
      </c>
      <c r="AJ845">
        <f t="shared" si="212"/>
        <v>3.8099999999999996</v>
      </c>
      <c r="AK845">
        <f t="shared" si="213"/>
        <v>0</v>
      </c>
      <c r="AL845">
        <f t="shared" si="206"/>
        <v>0.31250000000000006</v>
      </c>
      <c r="AN845" t="s">
        <v>2207</v>
      </c>
      <c r="AO845">
        <v>0.45</v>
      </c>
      <c r="AP845">
        <v>71.209999999999994</v>
      </c>
      <c r="AR845" t="str" cm="1">
        <f t="array" ref="AR845:AS845">_xlfn.TEXTSPLIT(AN845," ")</f>
        <v>26.10.2023</v>
      </c>
      <c r="AS845" t="str">
        <v>14:04:30</v>
      </c>
      <c r="AT845">
        <f t="shared" si="219"/>
        <v>14.03333333333361</v>
      </c>
      <c r="AU845">
        <f t="shared" si="214"/>
        <v>9.8999999999999915</v>
      </c>
      <c r="AV845">
        <f t="shared" si="215"/>
        <v>0.45</v>
      </c>
      <c r="AW845">
        <f t="shared" si="207"/>
        <v>0.64249999999999974</v>
      </c>
    </row>
    <row r="846" spans="1:49" x14ac:dyDescent="0.25">
      <c r="A846" t="s">
        <v>2208</v>
      </c>
      <c r="B846">
        <v>0.9</v>
      </c>
      <c r="C846">
        <v>22.14</v>
      </c>
      <c r="E846" t="s">
        <v>2208</v>
      </c>
      <c r="F846">
        <v>1.95</v>
      </c>
      <c r="G846">
        <v>91.45</v>
      </c>
      <c r="I846" t="str" cm="1">
        <f t="array" ref="I846:J846">_xlfn.TEXTSPLIT(A846," ")</f>
        <v>27.10.2023</v>
      </c>
      <c r="J846" t="str">
        <v>14:05:24</v>
      </c>
      <c r="K846">
        <f t="shared" si="216"/>
        <v>14.050000000000278</v>
      </c>
      <c r="L846">
        <f t="shared" si="209"/>
        <v>7.82</v>
      </c>
      <c r="M846">
        <f t="shared" si="210"/>
        <v>0.9</v>
      </c>
      <c r="N846">
        <f t="shared" si="204"/>
        <v>1.115</v>
      </c>
      <c r="Q846" t="str" cm="1">
        <f t="array" ref="Q846:R846">_xlfn.TEXTSPLIT(E846," ")</f>
        <v>27.10.2023</v>
      </c>
      <c r="R846" t="str">
        <v>14:05:24</v>
      </c>
      <c r="S846">
        <f t="shared" si="217"/>
        <v>14.050000000000278</v>
      </c>
      <c r="T846">
        <f t="shared" si="208"/>
        <v>12.850000000000009</v>
      </c>
      <c r="U846">
        <f t="shared" si="211"/>
        <v>1.95</v>
      </c>
      <c r="V846">
        <f t="shared" si="205"/>
        <v>1.9174999999999998</v>
      </c>
      <c r="AC846" t="s">
        <v>2209</v>
      </c>
      <c r="AD846">
        <v>0</v>
      </c>
      <c r="AE846">
        <v>8.34</v>
      </c>
      <c r="AG846" t="str" cm="1">
        <f t="array" ref="AG846:AH846">_xlfn.TEXTSPLIT(AC847," ")</f>
        <v>26.10.2023</v>
      </c>
      <c r="AH846" t="str">
        <v>14:06:30</v>
      </c>
      <c r="AI846">
        <f t="shared" si="218"/>
        <v>14.050000000000278</v>
      </c>
      <c r="AJ846">
        <f t="shared" si="212"/>
        <v>3.8099999999999996</v>
      </c>
      <c r="AK846">
        <f t="shared" si="213"/>
        <v>0</v>
      </c>
      <c r="AL846">
        <f t="shared" si="206"/>
        <v>0.31250000000000006</v>
      </c>
      <c r="AN846" t="s">
        <v>2209</v>
      </c>
      <c r="AO846">
        <v>0.45</v>
      </c>
      <c r="AP846">
        <v>71.22</v>
      </c>
      <c r="AR846" t="str" cm="1">
        <f t="array" ref="AR846:AS846">_xlfn.TEXTSPLIT(AN846," ")</f>
        <v>26.10.2023</v>
      </c>
      <c r="AS846" t="str">
        <v>14:05:30</v>
      </c>
      <c r="AT846">
        <f t="shared" si="219"/>
        <v>14.050000000000278</v>
      </c>
      <c r="AU846">
        <f t="shared" si="214"/>
        <v>9.9099999999999966</v>
      </c>
      <c r="AV846">
        <f t="shared" si="215"/>
        <v>0.45</v>
      </c>
      <c r="AW846">
        <f t="shared" si="207"/>
        <v>0.64249999999999985</v>
      </c>
    </row>
    <row r="847" spans="1:49" x14ac:dyDescent="0.25">
      <c r="A847" t="s">
        <v>2210</v>
      </c>
      <c r="B847">
        <v>0.9</v>
      </c>
      <c r="C847">
        <v>22.15</v>
      </c>
      <c r="E847" t="s">
        <v>2210</v>
      </c>
      <c r="F847">
        <v>2.5499999999999998</v>
      </c>
      <c r="G847">
        <v>91.49</v>
      </c>
      <c r="I847" t="str" cm="1">
        <f t="array" ref="I847:J847">_xlfn.TEXTSPLIT(A847," ")</f>
        <v>27.10.2023</v>
      </c>
      <c r="J847" t="str">
        <v>14:06:24</v>
      </c>
      <c r="K847">
        <f t="shared" si="216"/>
        <v>14.066666666666945</v>
      </c>
      <c r="L847">
        <f t="shared" si="209"/>
        <v>7.8299999999999983</v>
      </c>
      <c r="M847">
        <f t="shared" si="210"/>
        <v>0.9</v>
      </c>
      <c r="N847">
        <f t="shared" si="204"/>
        <v>1.1175000000000002</v>
      </c>
      <c r="Q847" t="str" cm="1">
        <f t="array" ref="Q847:R847">_xlfn.TEXTSPLIT(E847," ")</f>
        <v>27.10.2023</v>
      </c>
      <c r="R847" t="str">
        <v>14:06:24</v>
      </c>
      <c r="S847">
        <f t="shared" si="217"/>
        <v>14.066666666666945</v>
      </c>
      <c r="T847">
        <f t="shared" si="208"/>
        <v>12.89</v>
      </c>
      <c r="U847">
        <f t="shared" si="211"/>
        <v>2.5499999999999998</v>
      </c>
      <c r="V847">
        <f t="shared" si="205"/>
        <v>1.9349999999999996</v>
      </c>
      <c r="AC847" t="s">
        <v>2211</v>
      </c>
      <c r="AD847">
        <v>0</v>
      </c>
      <c r="AE847">
        <v>8.34</v>
      </c>
      <c r="AG847" t="str" cm="1">
        <f t="array" ref="AG847:AH847">_xlfn.TEXTSPLIT(AC848," ")</f>
        <v>26.10.2023</v>
      </c>
      <c r="AH847" t="str">
        <v>14:07:30</v>
      </c>
      <c r="AI847">
        <f t="shared" si="218"/>
        <v>14.066666666666945</v>
      </c>
      <c r="AJ847">
        <f t="shared" si="212"/>
        <v>3.8099999999999996</v>
      </c>
      <c r="AK847">
        <f t="shared" si="213"/>
        <v>0</v>
      </c>
      <c r="AL847">
        <f t="shared" si="206"/>
        <v>0.31250000000000006</v>
      </c>
      <c r="AN847" t="s">
        <v>2211</v>
      </c>
      <c r="AO847">
        <v>0.3</v>
      </c>
      <c r="AP847">
        <v>71.23</v>
      </c>
      <c r="AR847" t="str" cm="1">
        <f t="array" ref="AR847:AS847">_xlfn.TEXTSPLIT(AN847," ")</f>
        <v>26.10.2023</v>
      </c>
      <c r="AS847" t="str">
        <v>14:06:30</v>
      </c>
      <c r="AT847">
        <f t="shared" si="219"/>
        <v>14.066666666666945</v>
      </c>
      <c r="AU847">
        <f t="shared" si="214"/>
        <v>9.9200000000000017</v>
      </c>
      <c r="AV847">
        <f t="shared" si="215"/>
        <v>0.3</v>
      </c>
      <c r="AW847">
        <f t="shared" si="207"/>
        <v>0.64249999999999985</v>
      </c>
    </row>
    <row r="848" spans="1:49" x14ac:dyDescent="0.25">
      <c r="A848" t="s">
        <v>2212</v>
      </c>
      <c r="B848">
        <v>0.75</v>
      </c>
      <c r="C848">
        <v>22.18</v>
      </c>
      <c r="E848" t="s">
        <v>2212</v>
      </c>
      <c r="F848">
        <v>3</v>
      </c>
      <c r="G848">
        <v>91.56</v>
      </c>
      <c r="I848" t="str" cm="1">
        <f t="array" ref="I848:J848">_xlfn.TEXTSPLIT(A848," ")</f>
        <v>27.10.2023</v>
      </c>
      <c r="J848" t="str">
        <v>14:07:25</v>
      </c>
      <c r="K848">
        <f t="shared" si="216"/>
        <v>14.083333333333613</v>
      </c>
      <c r="L848">
        <f t="shared" si="209"/>
        <v>7.8599999999999994</v>
      </c>
      <c r="M848">
        <f t="shared" si="210"/>
        <v>0.75</v>
      </c>
      <c r="N848">
        <f t="shared" si="204"/>
        <v>1.1125000000000003</v>
      </c>
      <c r="Q848" t="str" cm="1">
        <f t="array" ref="Q848:R848">_xlfn.TEXTSPLIT(E848," ")</f>
        <v>27.10.2023</v>
      </c>
      <c r="R848" t="str">
        <v>14:07:25</v>
      </c>
      <c r="S848">
        <f t="shared" si="217"/>
        <v>14.083333333333613</v>
      </c>
      <c r="T848">
        <f t="shared" si="208"/>
        <v>12.960000000000008</v>
      </c>
      <c r="U848">
        <f t="shared" si="211"/>
        <v>3</v>
      </c>
      <c r="V848">
        <f t="shared" si="205"/>
        <v>1.9324999999999999</v>
      </c>
      <c r="AC848" t="s">
        <v>2213</v>
      </c>
      <c r="AD848">
        <v>0</v>
      </c>
      <c r="AE848">
        <v>8.34</v>
      </c>
      <c r="AG848" t="str" cm="1">
        <f t="array" ref="AG848:AH848">_xlfn.TEXTSPLIT(AC849," ")</f>
        <v>26.10.2023</v>
      </c>
      <c r="AH848" t="str">
        <v>14:08:30</v>
      </c>
      <c r="AI848">
        <f t="shared" si="218"/>
        <v>14.083333333333613</v>
      </c>
      <c r="AJ848">
        <f t="shared" si="212"/>
        <v>3.8099999999999996</v>
      </c>
      <c r="AK848">
        <f t="shared" si="213"/>
        <v>0</v>
      </c>
      <c r="AL848">
        <f t="shared" si="206"/>
        <v>0.31250000000000006</v>
      </c>
      <c r="AN848" t="s">
        <v>2213</v>
      </c>
      <c r="AO848">
        <v>1.2</v>
      </c>
      <c r="AP848">
        <v>71.260000000000005</v>
      </c>
      <c r="AR848" t="str" cm="1">
        <f t="array" ref="AR848:AS848">_xlfn.TEXTSPLIT(AN848," ")</f>
        <v>26.10.2023</v>
      </c>
      <c r="AS848" t="str">
        <v>14:07:30</v>
      </c>
      <c r="AT848">
        <f t="shared" si="219"/>
        <v>14.083333333333613</v>
      </c>
      <c r="AU848">
        <f t="shared" si="214"/>
        <v>9.9500000000000028</v>
      </c>
      <c r="AV848">
        <f t="shared" si="215"/>
        <v>1.2</v>
      </c>
      <c r="AW848">
        <f t="shared" si="207"/>
        <v>0.64999999999999991</v>
      </c>
    </row>
    <row r="849" spans="1:49" x14ac:dyDescent="0.25">
      <c r="A849" t="s">
        <v>2214</v>
      </c>
      <c r="B849">
        <v>2.85</v>
      </c>
      <c r="C849">
        <v>22.23</v>
      </c>
      <c r="E849" t="s">
        <v>2214</v>
      </c>
      <c r="F849">
        <v>4.3499999999999996</v>
      </c>
      <c r="G849">
        <v>91.61</v>
      </c>
      <c r="I849" t="str" cm="1">
        <f t="array" ref="I849:J849">_xlfn.TEXTSPLIT(A849," ")</f>
        <v>27.10.2023</v>
      </c>
      <c r="J849" t="str">
        <v>14:08:25</v>
      </c>
      <c r="K849">
        <f t="shared" si="216"/>
        <v>14.10000000000028</v>
      </c>
      <c r="L849">
        <f t="shared" si="209"/>
        <v>7.91</v>
      </c>
      <c r="M849">
        <f t="shared" si="210"/>
        <v>2.85</v>
      </c>
      <c r="N849">
        <f t="shared" si="204"/>
        <v>1.1125</v>
      </c>
      <c r="Q849" t="str" cm="1">
        <f t="array" ref="Q849:R849">_xlfn.TEXTSPLIT(E849," ")</f>
        <v>27.10.2023</v>
      </c>
      <c r="R849" t="str">
        <v>14:08:25</v>
      </c>
      <c r="S849">
        <f t="shared" si="217"/>
        <v>14.10000000000028</v>
      </c>
      <c r="T849">
        <f t="shared" si="208"/>
        <v>13.010000000000005</v>
      </c>
      <c r="U849">
        <f t="shared" si="211"/>
        <v>4.3499999999999996</v>
      </c>
      <c r="V849">
        <f t="shared" si="205"/>
        <v>1.9474999999999993</v>
      </c>
      <c r="AC849" t="s">
        <v>2215</v>
      </c>
      <c r="AD849">
        <v>0.3</v>
      </c>
      <c r="AE849">
        <v>8.36</v>
      </c>
      <c r="AG849" t="str" cm="1">
        <f t="array" ref="AG849:AH849">_xlfn.TEXTSPLIT(AC850," ")</f>
        <v>26.10.2023</v>
      </c>
      <c r="AH849" t="str">
        <v>14:09:30</v>
      </c>
      <c r="AI849">
        <f t="shared" si="218"/>
        <v>14.10000000000028</v>
      </c>
      <c r="AJ849">
        <f t="shared" si="212"/>
        <v>3.8299999999999992</v>
      </c>
      <c r="AK849">
        <f t="shared" si="213"/>
        <v>0.3</v>
      </c>
      <c r="AL849">
        <f t="shared" si="206"/>
        <v>0.31750000000000006</v>
      </c>
      <c r="AN849" t="s">
        <v>2215</v>
      </c>
      <c r="AO849">
        <v>2.5499999999999998</v>
      </c>
      <c r="AP849">
        <v>71.31</v>
      </c>
      <c r="AR849" t="str" cm="1">
        <f t="array" ref="AR849:AS849">_xlfn.TEXTSPLIT(AN849," ")</f>
        <v>26.10.2023</v>
      </c>
      <c r="AS849" t="str">
        <v>14:08:30</v>
      </c>
      <c r="AT849">
        <f t="shared" si="219"/>
        <v>14.10000000000028</v>
      </c>
      <c r="AU849">
        <f t="shared" si="214"/>
        <v>10</v>
      </c>
      <c r="AV849">
        <f t="shared" si="215"/>
        <v>2.5499999999999998</v>
      </c>
      <c r="AW849">
        <f t="shared" si="207"/>
        <v>0.66249999999999987</v>
      </c>
    </row>
    <row r="850" spans="1:49" x14ac:dyDescent="0.25">
      <c r="A850" t="s">
        <v>2216</v>
      </c>
      <c r="B850">
        <v>2.7</v>
      </c>
      <c r="C850">
        <v>22.27</v>
      </c>
      <c r="E850" t="s">
        <v>2216</v>
      </c>
      <c r="F850">
        <v>2.1</v>
      </c>
      <c r="G850">
        <v>91.66</v>
      </c>
      <c r="I850" t="str" cm="1">
        <f t="array" ref="I850:J850">_xlfn.TEXTSPLIT(A850," ")</f>
        <v>27.10.2023</v>
      </c>
      <c r="J850" t="str">
        <v>14:09:25</v>
      </c>
      <c r="K850">
        <f t="shared" si="216"/>
        <v>14.116666666666948</v>
      </c>
      <c r="L850">
        <f t="shared" si="209"/>
        <v>7.9499999999999993</v>
      </c>
      <c r="M850">
        <f t="shared" si="210"/>
        <v>2.7</v>
      </c>
      <c r="N850">
        <f t="shared" si="204"/>
        <v>1.1200000000000001</v>
      </c>
      <c r="Q850" t="str" cm="1">
        <f t="array" ref="Q850:R850">_xlfn.TEXTSPLIT(E850," ")</f>
        <v>27.10.2023</v>
      </c>
      <c r="R850" t="str">
        <v>14:09:25</v>
      </c>
      <c r="S850">
        <f t="shared" si="217"/>
        <v>14.116666666666948</v>
      </c>
      <c r="T850">
        <f t="shared" si="208"/>
        <v>13.060000000000002</v>
      </c>
      <c r="U850">
        <f t="shared" si="211"/>
        <v>2.1</v>
      </c>
      <c r="V850">
        <f t="shared" si="205"/>
        <v>1.9499999999999995</v>
      </c>
      <c r="AC850" t="s">
        <v>2217</v>
      </c>
      <c r="AD850">
        <v>1.35</v>
      </c>
      <c r="AE850">
        <v>8.39</v>
      </c>
      <c r="AG850" t="str" cm="1">
        <f t="array" ref="AG850:AH850">_xlfn.TEXTSPLIT(AC851," ")</f>
        <v>26.10.2023</v>
      </c>
      <c r="AH850" t="str">
        <v>14:10:31</v>
      </c>
      <c r="AI850">
        <f t="shared" si="218"/>
        <v>14.116666666666948</v>
      </c>
      <c r="AJ850">
        <f t="shared" si="212"/>
        <v>3.8600000000000003</v>
      </c>
      <c r="AK850">
        <f t="shared" si="213"/>
        <v>1.35</v>
      </c>
      <c r="AL850">
        <f t="shared" si="206"/>
        <v>0.31000000000000011</v>
      </c>
      <c r="AN850" t="s">
        <v>2217</v>
      </c>
      <c r="AO850">
        <v>1.8</v>
      </c>
      <c r="AP850">
        <v>71.33</v>
      </c>
      <c r="AR850" t="str" cm="1">
        <f t="array" ref="AR850:AS850">_xlfn.TEXTSPLIT(AN850," ")</f>
        <v>26.10.2023</v>
      </c>
      <c r="AS850" t="str">
        <v>14:09:30</v>
      </c>
      <c r="AT850">
        <f t="shared" si="219"/>
        <v>14.116666666666948</v>
      </c>
      <c r="AU850">
        <f t="shared" si="214"/>
        <v>10.019999999999996</v>
      </c>
      <c r="AV850">
        <f t="shared" si="215"/>
        <v>1.8</v>
      </c>
      <c r="AW850">
        <f t="shared" si="207"/>
        <v>0.64750000000000008</v>
      </c>
    </row>
    <row r="851" spans="1:49" x14ac:dyDescent="0.25">
      <c r="A851" t="s">
        <v>2218</v>
      </c>
      <c r="B851">
        <v>2.5499999999999998</v>
      </c>
      <c r="C851">
        <v>22.31</v>
      </c>
      <c r="E851" t="s">
        <v>2218</v>
      </c>
      <c r="F851">
        <v>2.5499999999999998</v>
      </c>
      <c r="G851">
        <v>91.71</v>
      </c>
      <c r="I851" t="str" cm="1">
        <f t="array" ref="I851:J851">_xlfn.TEXTSPLIT(A851," ")</f>
        <v>27.10.2023</v>
      </c>
      <c r="J851" t="str">
        <v>14:10:25</v>
      </c>
      <c r="K851">
        <f t="shared" si="216"/>
        <v>14.133333333333615</v>
      </c>
      <c r="L851">
        <f t="shared" si="209"/>
        <v>7.9899999999999984</v>
      </c>
      <c r="M851">
        <f t="shared" si="210"/>
        <v>2.5499999999999998</v>
      </c>
      <c r="N851">
        <f t="shared" si="204"/>
        <v>1.1275000000000002</v>
      </c>
      <c r="Q851" t="str" cm="1">
        <f t="array" ref="Q851:R851">_xlfn.TEXTSPLIT(E851," ")</f>
        <v>27.10.2023</v>
      </c>
      <c r="R851" t="str">
        <v>14:10:25</v>
      </c>
      <c r="S851">
        <f t="shared" si="217"/>
        <v>14.133333333333615</v>
      </c>
      <c r="T851">
        <f t="shared" si="208"/>
        <v>13.11</v>
      </c>
      <c r="U851">
        <f t="shared" si="211"/>
        <v>2.5499999999999998</v>
      </c>
      <c r="V851">
        <f t="shared" si="205"/>
        <v>1.9549999999999994</v>
      </c>
      <c r="AC851" t="s">
        <v>2219</v>
      </c>
      <c r="AD851">
        <v>1.5</v>
      </c>
      <c r="AE851">
        <v>8.41</v>
      </c>
      <c r="AG851" t="str" cm="1">
        <f t="array" ref="AG851:AH851">_xlfn.TEXTSPLIT(AC852," ")</f>
        <v>26.10.2023</v>
      </c>
      <c r="AH851" t="str">
        <v>14:11:31</v>
      </c>
      <c r="AI851">
        <f t="shared" si="218"/>
        <v>14.133333333333615</v>
      </c>
      <c r="AJ851">
        <f t="shared" si="212"/>
        <v>3.88</v>
      </c>
      <c r="AK851">
        <f t="shared" si="213"/>
        <v>1.5</v>
      </c>
      <c r="AL851">
        <f t="shared" si="206"/>
        <v>0.31250000000000006</v>
      </c>
      <c r="AN851" t="s">
        <v>2219</v>
      </c>
      <c r="AO851">
        <v>1.05</v>
      </c>
      <c r="AP851">
        <v>71.349999999999994</v>
      </c>
      <c r="AR851" t="str" cm="1">
        <f t="array" ref="AR851:AS851">_xlfn.TEXTSPLIT(AN851," ")</f>
        <v>26.10.2023</v>
      </c>
      <c r="AS851" t="str">
        <v>14:10:31</v>
      </c>
      <c r="AT851">
        <f t="shared" si="219"/>
        <v>14.133333333333615</v>
      </c>
      <c r="AU851">
        <f t="shared" si="214"/>
        <v>10.039999999999992</v>
      </c>
      <c r="AV851">
        <f t="shared" si="215"/>
        <v>1.05</v>
      </c>
      <c r="AW851">
        <f t="shared" si="207"/>
        <v>0.63499999999999979</v>
      </c>
    </row>
    <row r="852" spans="1:49" x14ac:dyDescent="0.25">
      <c r="A852" t="s">
        <v>2220</v>
      </c>
      <c r="B852">
        <v>2.25</v>
      </c>
      <c r="C852">
        <v>22.34</v>
      </c>
      <c r="E852" t="s">
        <v>2220</v>
      </c>
      <c r="F852">
        <v>2.1</v>
      </c>
      <c r="G852">
        <v>91.74</v>
      </c>
      <c r="I852" t="str" cm="1">
        <f t="array" ref="I852:J852">_xlfn.TEXTSPLIT(A852," ")</f>
        <v>27.10.2023</v>
      </c>
      <c r="J852" t="str">
        <v>14:11:25</v>
      </c>
      <c r="K852">
        <f t="shared" si="216"/>
        <v>14.150000000000283</v>
      </c>
      <c r="L852">
        <f t="shared" si="209"/>
        <v>8.02</v>
      </c>
      <c r="M852">
        <f t="shared" si="210"/>
        <v>2.25</v>
      </c>
      <c r="N852">
        <f t="shared" si="204"/>
        <v>1.1475</v>
      </c>
      <c r="Q852" t="str" cm="1">
        <f t="array" ref="Q852:R852">_xlfn.TEXTSPLIT(E852," ")</f>
        <v>27.10.2023</v>
      </c>
      <c r="R852" t="str">
        <v>14:11:25</v>
      </c>
      <c r="S852">
        <f t="shared" si="217"/>
        <v>14.150000000000283</v>
      </c>
      <c r="T852">
        <f t="shared" si="208"/>
        <v>13.14</v>
      </c>
      <c r="U852">
        <f t="shared" si="211"/>
        <v>2.1</v>
      </c>
      <c r="V852">
        <f t="shared" si="205"/>
        <v>1.9499999999999997</v>
      </c>
      <c r="AC852" t="s">
        <v>2221</v>
      </c>
      <c r="AD852">
        <v>0.9</v>
      </c>
      <c r="AE852">
        <v>8.43</v>
      </c>
      <c r="AG852" t="str" cm="1">
        <f t="array" ref="AG852:AH852">_xlfn.TEXTSPLIT(AC853," ")</f>
        <v>26.10.2023</v>
      </c>
      <c r="AH852" t="str">
        <v>14:12:31</v>
      </c>
      <c r="AI852">
        <f t="shared" si="218"/>
        <v>14.150000000000283</v>
      </c>
      <c r="AJ852">
        <f t="shared" si="212"/>
        <v>3.8999999999999995</v>
      </c>
      <c r="AK852">
        <f t="shared" si="213"/>
        <v>0.9</v>
      </c>
      <c r="AL852">
        <f t="shared" si="206"/>
        <v>0.30500000000000005</v>
      </c>
      <c r="AN852" t="s">
        <v>2221</v>
      </c>
      <c r="AO852">
        <v>0.9</v>
      </c>
      <c r="AP852">
        <v>71.36</v>
      </c>
      <c r="AR852" t="str" cm="1">
        <f t="array" ref="AR852:AS852">_xlfn.TEXTSPLIT(AN852," ")</f>
        <v>26.10.2023</v>
      </c>
      <c r="AS852" t="str">
        <v>14:11:31</v>
      </c>
      <c r="AT852">
        <f t="shared" si="219"/>
        <v>14.150000000000283</v>
      </c>
      <c r="AU852">
        <f t="shared" si="214"/>
        <v>10.049999999999997</v>
      </c>
      <c r="AV852">
        <f t="shared" si="215"/>
        <v>0.9</v>
      </c>
      <c r="AW852">
        <f t="shared" si="207"/>
        <v>0.63499999999999979</v>
      </c>
    </row>
    <row r="853" spans="1:49" x14ac:dyDescent="0.25">
      <c r="A853" t="s">
        <v>2222</v>
      </c>
      <c r="B853">
        <v>1.35</v>
      </c>
      <c r="C853">
        <v>22.36</v>
      </c>
      <c r="E853" t="s">
        <v>2222</v>
      </c>
      <c r="F853">
        <v>1.8</v>
      </c>
      <c r="G853">
        <v>91.76</v>
      </c>
      <c r="I853" t="str" cm="1">
        <f t="array" ref="I853:J853">_xlfn.TEXTSPLIT(A853," ")</f>
        <v>27.10.2023</v>
      </c>
      <c r="J853" t="str">
        <v>14:12:25</v>
      </c>
      <c r="K853">
        <f t="shared" si="216"/>
        <v>14.16666666666695</v>
      </c>
      <c r="L853">
        <f t="shared" si="209"/>
        <v>8.0399999999999991</v>
      </c>
      <c r="M853">
        <f t="shared" si="210"/>
        <v>1.35</v>
      </c>
      <c r="N853">
        <f t="shared" si="204"/>
        <v>1.1400000000000001</v>
      </c>
      <c r="Q853" t="str" cm="1">
        <f t="array" ref="Q853:R853">_xlfn.TEXTSPLIT(E853," ")</f>
        <v>27.10.2023</v>
      </c>
      <c r="R853" t="str">
        <v>14:12:25</v>
      </c>
      <c r="S853">
        <f t="shared" si="217"/>
        <v>14.16666666666695</v>
      </c>
      <c r="T853">
        <f t="shared" si="208"/>
        <v>13.160000000000011</v>
      </c>
      <c r="U853">
        <f t="shared" si="211"/>
        <v>1.8</v>
      </c>
      <c r="V853">
        <f t="shared" si="205"/>
        <v>1.9524999999999997</v>
      </c>
      <c r="AC853" t="s">
        <v>2223</v>
      </c>
      <c r="AD853">
        <v>1.2</v>
      </c>
      <c r="AE853">
        <v>8.44</v>
      </c>
      <c r="AG853" t="str" cm="1">
        <f t="array" ref="AG853:AH853">_xlfn.TEXTSPLIT(AC854," ")</f>
        <v>26.10.2023</v>
      </c>
      <c r="AH853" t="str">
        <v>14:13:31</v>
      </c>
      <c r="AI853">
        <f t="shared" si="218"/>
        <v>14.16666666666695</v>
      </c>
      <c r="AJ853">
        <f t="shared" si="212"/>
        <v>3.9099999999999993</v>
      </c>
      <c r="AK853">
        <f t="shared" si="213"/>
        <v>1.2</v>
      </c>
      <c r="AL853">
        <f t="shared" si="206"/>
        <v>0.315</v>
      </c>
      <c r="AN853" t="s">
        <v>2223</v>
      </c>
      <c r="AO853">
        <v>1.05</v>
      </c>
      <c r="AP853">
        <v>71.37</v>
      </c>
      <c r="AR853" t="str" cm="1">
        <f t="array" ref="AR853:AS853">_xlfn.TEXTSPLIT(AN853," ")</f>
        <v>26.10.2023</v>
      </c>
      <c r="AS853" t="str">
        <v>14:12:31</v>
      </c>
      <c r="AT853">
        <f t="shared" si="219"/>
        <v>14.16666666666695</v>
      </c>
      <c r="AU853">
        <f t="shared" si="214"/>
        <v>10.060000000000002</v>
      </c>
      <c r="AV853">
        <f t="shared" si="215"/>
        <v>1.05</v>
      </c>
      <c r="AW853">
        <f t="shared" si="207"/>
        <v>0.63499999999999979</v>
      </c>
    </row>
    <row r="854" spans="1:49" x14ac:dyDescent="0.25">
      <c r="A854" t="s">
        <v>2224</v>
      </c>
      <c r="B854">
        <v>1.2</v>
      </c>
      <c r="C854">
        <v>22.39</v>
      </c>
      <c r="E854" t="s">
        <v>2224</v>
      </c>
      <c r="F854">
        <v>1.8</v>
      </c>
      <c r="G854">
        <v>91.8</v>
      </c>
      <c r="I854" t="str" cm="1">
        <f t="array" ref="I854:J854">_xlfn.TEXTSPLIT(A854," ")</f>
        <v>27.10.2023</v>
      </c>
      <c r="J854" t="str">
        <v>14:13:25</v>
      </c>
      <c r="K854">
        <f t="shared" si="216"/>
        <v>14.183333333333618</v>
      </c>
      <c r="L854">
        <f t="shared" si="209"/>
        <v>8.07</v>
      </c>
      <c r="M854">
        <f t="shared" si="210"/>
        <v>1.2</v>
      </c>
      <c r="N854">
        <f t="shared" si="204"/>
        <v>1.1424999999999998</v>
      </c>
      <c r="Q854" t="str" cm="1">
        <f t="array" ref="Q854:R854">_xlfn.TEXTSPLIT(E854," ")</f>
        <v>27.10.2023</v>
      </c>
      <c r="R854" t="str">
        <v>14:13:25</v>
      </c>
      <c r="S854">
        <f t="shared" si="217"/>
        <v>14.183333333333618</v>
      </c>
      <c r="T854">
        <f t="shared" si="208"/>
        <v>13.200000000000003</v>
      </c>
      <c r="U854">
        <f t="shared" si="211"/>
        <v>1.8</v>
      </c>
      <c r="V854">
        <f t="shared" si="205"/>
        <v>1.9524999999999997</v>
      </c>
      <c r="AC854" t="s">
        <v>2225</v>
      </c>
      <c r="AD854">
        <v>0.75</v>
      </c>
      <c r="AE854">
        <v>8.4499999999999993</v>
      </c>
      <c r="AG854" t="str" cm="1">
        <f t="array" ref="AG854:AH854">_xlfn.TEXTSPLIT(AC855," ")</f>
        <v>26.10.2023</v>
      </c>
      <c r="AH854" t="str">
        <v>14:14:31</v>
      </c>
      <c r="AI854">
        <f t="shared" si="218"/>
        <v>14.183333333333618</v>
      </c>
      <c r="AJ854">
        <f t="shared" si="212"/>
        <v>3.919999999999999</v>
      </c>
      <c r="AK854">
        <f t="shared" si="213"/>
        <v>0.75</v>
      </c>
      <c r="AL854">
        <f t="shared" si="206"/>
        <v>0.31500000000000006</v>
      </c>
      <c r="AN854" t="s">
        <v>2225</v>
      </c>
      <c r="AO854">
        <v>0.9</v>
      </c>
      <c r="AP854">
        <v>71.39</v>
      </c>
      <c r="AR854" t="str" cm="1">
        <f t="array" ref="AR854:AS854">_xlfn.TEXTSPLIT(AN854," ")</f>
        <v>26.10.2023</v>
      </c>
      <c r="AS854" t="str">
        <v>14:13:31</v>
      </c>
      <c r="AT854">
        <f t="shared" si="219"/>
        <v>14.183333333333618</v>
      </c>
      <c r="AU854">
        <f t="shared" si="214"/>
        <v>10.079999999999998</v>
      </c>
      <c r="AV854">
        <f t="shared" si="215"/>
        <v>0.9</v>
      </c>
      <c r="AW854">
        <f t="shared" si="207"/>
        <v>0.63499999999999979</v>
      </c>
    </row>
    <row r="855" spans="1:49" x14ac:dyDescent="0.25">
      <c r="A855" t="s">
        <v>2226</v>
      </c>
      <c r="B855">
        <v>1.35</v>
      </c>
      <c r="C855">
        <v>22.41</v>
      </c>
      <c r="E855" t="s">
        <v>2226</v>
      </c>
      <c r="F855">
        <v>2.5499999999999998</v>
      </c>
      <c r="G855">
        <v>91.84</v>
      </c>
      <c r="I855" t="str" cm="1">
        <f t="array" ref="I855:J855">_xlfn.TEXTSPLIT(A855," ")</f>
        <v>27.10.2023</v>
      </c>
      <c r="J855" t="str">
        <v>14:14:25</v>
      </c>
      <c r="K855">
        <f t="shared" si="216"/>
        <v>14.200000000000285</v>
      </c>
      <c r="L855">
        <f t="shared" si="209"/>
        <v>8.09</v>
      </c>
      <c r="M855">
        <f t="shared" si="210"/>
        <v>1.35</v>
      </c>
      <c r="N855">
        <f t="shared" si="204"/>
        <v>1.1499999999999997</v>
      </c>
      <c r="Q855" t="str" cm="1">
        <f t="array" ref="Q855:R855">_xlfn.TEXTSPLIT(E855," ")</f>
        <v>27.10.2023</v>
      </c>
      <c r="R855" t="str">
        <v>14:14:25</v>
      </c>
      <c r="S855">
        <f t="shared" si="217"/>
        <v>14.200000000000285</v>
      </c>
      <c r="T855">
        <f t="shared" si="208"/>
        <v>13.240000000000009</v>
      </c>
      <c r="U855">
        <f t="shared" si="211"/>
        <v>2.5499999999999998</v>
      </c>
      <c r="V855">
        <f t="shared" si="205"/>
        <v>1.9549999999999994</v>
      </c>
      <c r="AC855" t="s">
        <v>2227</v>
      </c>
      <c r="AD855">
        <v>0.6</v>
      </c>
      <c r="AE855">
        <v>8.4600000000000009</v>
      </c>
      <c r="AG855" t="str" cm="1">
        <f t="array" ref="AG855:AH855">_xlfn.TEXTSPLIT(AC856," ")</f>
        <v>26.10.2023</v>
      </c>
      <c r="AH855" t="str">
        <v>14:15:31</v>
      </c>
      <c r="AI855">
        <f t="shared" si="218"/>
        <v>14.200000000000285</v>
      </c>
      <c r="AJ855">
        <f t="shared" si="212"/>
        <v>3.9300000000000006</v>
      </c>
      <c r="AK855">
        <f t="shared" si="213"/>
        <v>0.6</v>
      </c>
      <c r="AL855">
        <f t="shared" si="206"/>
        <v>0.3175</v>
      </c>
      <c r="AN855" t="s">
        <v>2227</v>
      </c>
      <c r="AO855">
        <v>1.2</v>
      </c>
      <c r="AP855">
        <v>71.41</v>
      </c>
      <c r="AR855" t="str" cm="1">
        <f t="array" ref="AR855:AS855">_xlfn.TEXTSPLIT(AN855," ")</f>
        <v>26.10.2023</v>
      </c>
      <c r="AS855" t="str">
        <v>14:14:31</v>
      </c>
      <c r="AT855">
        <f t="shared" si="219"/>
        <v>14.200000000000285</v>
      </c>
      <c r="AU855">
        <f t="shared" si="214"/>
        <v>10.099999999999994</v>
      </c>
      <c r="AV855">
        <f t="shared" si="215"/>
        <v>1.2</v>
      </c>
      <c r="AW855">
        <f t="shared" si="207"/>
        <v>0.64249999999999996</v>
      </c>
    </row>
    <row r="856" spans="1:49" x14ac:dyDescent="0.25">
      <c r="A856" t="s">
        <v>2228</v>
      </c>
      <c r="B856">
        <v>1.2</v>
      </c>
      <c r="C856">
        <v>22.43</v>
      </c>
      <c r="E856" t="s">
        <v>2228</v>
      </c>
      <c r="F856">
        <v>2.1</v>
      </c>
      <c r="G856">
        <v>91.87</v>
      </c>
      <c r="I856" t="str" cm="1">
        <f t="array" ref="I856:J856">_xlfn.TEXTSPLIT(A856," ")</f>
        <v>27.10.2023</v>
      </c>
      <c r="J856" t="str">
        <v>14:15:25</v>
      </c>
      <c r="K856">
        <f t="shared" si="216"/>
        <v>14.216666666666953</v>
      </c>
      <c r="L856">
        <f t="shared" si="209"/>
        <v>8.11</v>
      </c>
      <c r="M856">
        <f t="shared" si="210"/>
        <v>1.2</v>
      </c>
      <c r="N856">
        <f t="shared" si="204"/>
        <v>1.1499999999999997</v>
      </c>
      <c r="Q856" t="str" cm="1">
        <f t="array" ref="Q856:R856">_xlfn.TEXTSPLIT(E856," ")</f>
        <v>27.10.2023</v>
      </c>
      <c r="R856" t="str">
        <v>14:15:25</v>
      </c>
      <c r="S856">
        <f t="shared" si="217"/>
        <v>14.216666666666953</v>
      </c>
      <c r="T856">
        <f t="shared" si="208"/>
        <v>13.27000000000001</v>
      </c>
      <c r="U856">
        <f t="shared" si="211"/>
        <v>2.1</v>
      </c>
      <c r="V856">
        <f t="shared" si="205"/>
        <v>1.9574999999999994</v>
      </c>
      <c r="AC856" t="s">
        <v>2229</v>
      </c>
      <c r="AD856">
        <v>0.3</v>
      </c>
      <c r="AE856">
        <v>8.4700000000000006</v>
      </c>
      <c r="AG856" t="str" cm="1">
        <f t="array" ref="AG856:AH856">_xlfn.TEXTSPLIT(AC857," ")</f>
        <v>26.10.2023</v>
      </c>
      <c r="AH856" t="str">
        <v>14:16:31</v>
      </c>
      <c r="AI856">
        <f t="shared" si="218"/>
        <v>14.216666666666953</v>
      </c>
      <c r="AJ856">
        <f t="shared" si="212"/>
        <v>3.9400000000000004</v>
      </c>
      <c r="AK856">
        <f t="shared" si="213"/>
        <v>0.3</v>
      </c>
      <c r="AL856">
        <f t="shared" si="206"/>
        <v>0.31750000000000006</v>
      </c>
      <c r="AN856" t="s">
        <v>2229</v>
      </c>
      <c r="AO856">
        <v>0.75</v>
      </c>
      <c r="AP856">
        <v>71.430000000000007</v>
      </c>
      <c r="AR856" t="str" cm="1">
        <f t="array" ref="AR856:AS856">_xlfn.TEXTSPLIT(AN856," ")</f>
        <v>26.10.2023</v>
      </c>
      <c r="AS856" t="str">
        <v>14:15:31</v>
      </c>
      <c r="AT856">
        <f t="shared" si="219"/>
        <v>14.216666666666953</v>
      </c>
      <c r="AU856">
        <f t="shared" si="214"/>
        <v>10.120000000000005</v>
      </c>
      <c r="AV856">
        <f t="shared" si="215"/>
        <v>0.75</v>
      </c>
      <c r="AW856">
        <f t="shared" si="207"/>
        <v>0.63749999999999984</v>
      </c>
    </row>
    <row r="857" spans="1:49" x14ac:dyDescent="0.25">
      <c r="A857" t="s">
        <v>2230</v>
      </c>
      <c r="B857">
        <v>1.35</v>
      </c>
      <c r="C857">
        <v>22.45</v>
      </c>
      <c r="E857" t="s">
        <v>2230</v>
      </c>
      <c r="F857">
        <v>1.5</v>
      </c>
      <c r="G857">
        <v>91.9</v>
      </c>
      <c r="I857" t="str" cm="1">
        <f t="array" ref="I857:J857">_xlfn.TEXTSPLIT(A857," ")</f>
        <v>27.10.2023</v>
      </c>
      <c r="J857" t="str">
        <v>14:16:25</v>
      </c>
      <c r="K857">
        <f t="shared" si="216"/>
        <v>14.23333333333362</v>
      </c>
      <c r="L857">
        <f t="shared" si="209"/>
        <v>8.129999999999999</v>
      </c>
      <c r="M857">
        <f t="shared" si="210"/>
        <v>1.35</v>
      </c>
      <c r="N857">
        <f t="shared" si="204"/>
        <v>1.1549999999999998</v>
      </c>
      <c r="Q857" t="str" cm="1">
        <f t="array" ref="Q857:R857">_xlfn.TEXTSPLIT(E857," ")</f>
        <v>27.10.2023</v>
      </c>
      <c r="R857" t="str">
        <v>14:16:25</v>
      </c>
      <c r="S857">
        <f t="shared" si="217"/>
        <v>14.23333333333362</v>
      </c>
      <c r="T857">
        <f t="shared" si="208"/>
        <v>13.300000000000011</v>
      </c>
      <c r="U857">
        <f t="shared" si="211"/>
        <v>1.5</v>
      </c>
      <c r="V857">
        <f t="shared" si="205"/>
        <v>1.9574999999999994</v>
      </c>
      <c r="AC857" t="s">
        <v>2231</v>
      </c>
      <c r="AD857">
        <v>0.6</v>
      </c>
      <c r="AE857">
        <v>8.4700000000000006</v>
      </c>
      <c r="AG857" t="str" cm="1">
        <f t="array" ref="AG857:AH857">_xlfn.TEXTSPLIT(AC858," ")</f>
        <v>26.10.2023</v>
      </c>
      <c r="AH857" t="str">
        <v>14:17:31</v>
      </c>
      <c r="AI857">
        <f t="shared" si="218"/>
        <v>14.23333333333362</v>
      </c>
      <c r="AJ857">
        <f t="shared" si="212"/>
        <v>3.9400000000000004</v>
      </c>
      <c r="AK857">
        <f t="shared" si="213"/>
        <v>0.6</v>
      </c>
      <c r="AL857">
        <f t="shared" si="206"/>
        <v>0.32000000000000012</v>
      </c>
      <c r="AN857" t="s">
        <v>2231</v>
      </c>
      <c r="AO857">
        <v>1.05</v>
      </c>
      <c r="AP857">
        <v>71.44</v>
      </c>
      <c r="AR857" t="str" cm="1">
        <f t="array" ref="AR857:AS857">_xlfn.TEXTSPLIT(AN857," ")</f>
        <v>26.10.2023</v>
      </c>
      <c r="AS857" t="str">
        <v>14:16:31</v>
      </c>
      <c r="AT857">
        <f t="shared" si="219"/>
        <v>14.23333333333362</v>
      </c>
      <c r="AU857">
        <f t="shared" si="214"/>
        <v>10.129999999999995</v>
      </c>
      <c r="AV857">
        <f t="shared" si="215"/>
        <v>1.05</v>
      </c>
      <c r="AW857">
        <f t="shared" si="207"/>
        <v>0.64249999999999985</v>
      </c>
    </row>
    <row r="858" spans="1:49" x14ac:dyDescent="0.25">
      <c r="A858" t="s">
        <v>2232</v>
      </c>
      <c r="B858">
        <v>1.35</v>
      </c>
      <c r="C858">
        <v>22.48</v>
      </c>
      <c r="E858" t="s">
        <v>2232</v>
      </c>
      <c r="F858">
        <v>2.1</v>
      </c>
      <c r="G858">
        <v>91.94</v>
      </c>
      <c r="I858" t="str" cm="1">
        <f t="array" ref="I858:J858">_xlfn.TEXTSPLIT(A858," ")</f>
        <v>27.10.2023</v>
      </c>
      <c r="J858" t="str">
        <v>14:17:26</v>
      </c>
      <c r="K858">
        <f t="shared" si="216"/>
        <v>14.250000000000288</v>
      </c>
      <c r="L858">
        <f t="shared" si="209"/>
        <v>8.16</v>
      </c>
      <c r="M858">
        <f t="shared" si="210"/>
        <v>1.35</v>
      </c>
      <c r="N858">
        <f t="shared" si="204"/>
        <v>1.1599999999999997</v>
      </c>
      <c r="Q858" t="str" cm="1">
        <f t="array" ref="Q858:R858">_xlfn.TEXTSPLIT(E858," ")</f>
        <v>27.10.2023</v>
      </c>
      <c r="R858" t="str">
        <v>14:17:26</v>
      </c>
      <c r="S858">
        <f t="shared" si="217"/>
        <v>14.250000000000288</v>
      </c>
      <c r="T858">
        <f t="shared" si="208"/>
        <v>13.340000000000003</v>
      </c>
      <c r="U858">
        <f t="shared" si="211"/>
        <v>2.1</v>
      </c>
      <c r="V858">
        <f t="shared" si="205"/>
        <v>1.9624999999999992</v>
      </c>
      <c r="AC858" t="s">
        <v>2233</v>
      </c>
      <c r="AD858">
        <v>0.15</v>
      </c>
      <c r="AE858">
        <v>8.48</v>
      </c>
      <c r="AG858" t="str" cm="1">
        <f t="array" ref="AG858:AH858">_xlfn.TEXTSPLIT(AC859," ")</f>
        <v>26.10.2023</v>
      </c>
      <c r="AH858" t="str">
        <v>14:18:31</v>
      </c>
      <c r="AI858">
        <f t="shared" si="218"/>
        <v>14.250000000000288</v>
      </c>
      <c r="AJ858">
        <f t="shared" si="212"/>
        <v>3.95</v>
      </c>
      <c r="AK858">
        <f t="shared" si="213"/>
        <v>0.15</v>
      </c>
      <c r="AL858">
        <f t="shared" si="206"/>
        <v>0.31750000000000006</v>
      </c>
      <c r="AN858" t="s">
        <v>2233</v>
      </c>
      <c r="AO858">
        <v>0.45</v>
      </c>
      <c r="AP858">
        <v>71.45</v>
      </c>
      <c r="AR858" t="str" cm="1">
        <f t="array" ref="AR858:AS858">_xlfn.TEXTSPLIT(AN858," ")</f>
        <v>26.10.2023</v>
      </c>
      <c r="AS858" t="str">
        <v>14:17:31</v>
      </c>
      <c r="AT858">
        <f t="shared" si="219"/>
        <v>14.250000000000288</v>
      </c>
      <c r="AU858">
        <f t="shared" si="214"/>
        <v>10.14</v>
      </c>
      <c r="AV858">
        <f t="shared" si="215"/>
        <v>0.45</v>
      </c>
      <c r="AW858">
        <f t="shared" si="207"/>
        <v>0.63749999999999996</v>
      </c>
    </row>
    <row r="859" spans="1:49" x14ac:dyDescent="0.25">
      <c r="A859" t="s">
        <v>2234</v>
      </c>
      <c r="B859">
        <v>0.9</v>
      </c>
      <c r="C859">
        <v>22.49</v>
      </c>
      <c r="E859" t="s">
        <v>2234</v>
      </c>
      <c r="F859">
        <v>2.5499999999999998</v>
      </c>
      <c r="G859">
        <v>91.97</v>
      </c>
      <c r="I859" t="str" cm="1">
        <f t="array" ref="I859:J859">_xlfn.TEXTSPLIT(A859," ")</f>
        <v>27.10.2023</v>
      </c>
      <c r="J859" t="str">
        <v>14:18:26</v>
      </c>
      <c r="K859">
        <f t="shared" si="216"/>
        <v>14.266666666666955</v>
      </c>
      <c r="L859">
        <f t="shared" si="209"/>
        <v>8.1699999999999982</v>
      </c>
      <c r="M859">
        <f t="shared" si="210"/>
        <v>0.9</v>
      </c>
      <c r="N859">
        <f t="shared" si="204"/>
        <v>1.1475</v>
      </c>
      <c r="Q859" t="str" cm="1">
        <f t="array" ref="Q859:R859">_xlfn.TEXTSPLIT(E859," ")</f>
        <v>27.10.2023</v>
      </c>
      <c r="R859" t="str">
        <v>14:18:26</v>
      </c>
      <c r="S859">
        <f t="shared" si="217"/>
        <v>14.266666666666955</v>
      </c>
      <c r="T859">
        <f t="shared" si="208"/>
        <v>13.370000000000005</v>
      </c>
      <c r="U859">
        <f t="shared" si="211"/>
        <v>2.5499999999999998</v>
      </c>
      <c r="V859">
        <f t="shared" si="205"/>
        <v>1.9699999999999991</v>
      </c>
      <c r="AC859" t="s">
        <v>2235</v>
      </c>
      <c r="AD859">
        <v>0.3</v>
      </c>
      <c r="AE859">
        <v>8.48</v>
      </c>
      <c r="AG859" t="str" cm="1">
        <f t="array" ref="AG859:AH859">_xlfn.TEXTSPLIT(AC860," ")</f>
        <v>26.10.2023</v>
      </c>
      <c r="AH859" t="str">
        <v>14:19:32</v>
      </c>
      <c r="AI859">
        <f t="shared" si="218"/>
        <v>14.266666666666955</v>
      </c>
      <c r="AJ859">
        <f t="shared" si="212"/>
        <v>3.95</v>
      </c>
      <c r="AK859">
        <f t="shared" si="213"/>
        <v>0.3</v>
      </c>
      <c r="AL859">
        <f t="shared" si="206"/>
        <v>0.31750000000000006</v>
      </c>
      <c r="AN859" t="s">
        <v>2235</v>
      </c>
      <c r="AO859">
        <v>0.6</v>
      </c>
      <c r="AP859">
        <v>71.459999999999994</v>
      </c>
      <c r="AR859" t="str" cm="1">
        <f t="array" ref="AR859:AS859">_xlfn.TEXTSPLIT(AN859," ")</f>
        <v>26.10.2023</v>
      </c>
      <c r="AS859" t="str">
        <v>14:18:31</v>
      </c>
      <c r="AT859">
        <f t="shared" si="219"/>
        <v>14.266666666666955</v>
      </c>
      <c r="AU859">
        <f t="shared" si="214"/>
        <v>10.149999999999991</v>
      </c>
      <c r="AV859">
        <f t="shared" si="215"/>
        <v>0.6</v>
      </c>
      <c r="AW859">
        <f t="shared" si="207"/>
        <v>0.63749999999999996</v>
      </c>
    </row>
    <row r="860" spans="1:49" x14ac:dyDescent="0.25">
      <c r="A860" t="s">
        <v>2236</v>
      </c>
      <c r="B860">
        <v>1.05</v>
      </c>
      <c r="C860">
        <v>22.51</v>
      </c>
      <c r="E860" t="s">
        <v>2236</v>
      </c>
      <c r="F860">
        <v>1.65</v>
      </c>
      <c r="G860">
        <v>92</v>
      </c>
      <c r="I860" t="str" cm="1">
        <f t="array" ref="I860:J860">_xlfn.TEXTSPLIT(A860," ")</f>
        <v>27.10.2023</v>
      </c>
      <c r="J860" t="str">
        <v>14:19:26</v>
      </c>
      <c r="K860">
        <f t="shared" si="216"/>
        <v>14.283333333333623</v>
      </c>
      <c r="L860">
        <f t="shared" si="209"/>
        <v>8.1900000000000013</v>
      </c>
      <c r="M860">
        <f t="shared" si="210"/>
        <v>1.05</v>
      </c>
      <c r="N860">
        <f t="shared" si="204"/>
        <v>1.1449999999999998</v>
      </c>
      <c r="Q860" t="str" cm="1">
        <f t="array" ref="Q860:R860">_xlfn.TEXTSPLIT(E860," ")</f>
        <v>27.10.2023</v>
      </c>
      <c r="R860" t="str">
        <v>14:19:26</v>
      </c>
      <c r="S860">
        <f t="shared" si="217"/>
        <v>14.283333333333623</v>
      </c>
      <c r="T860">
        <f t="shared" si="208"/>
        <v>13.400000000000006</v>
      </c>
      <c r="U860">
        <f t="shared" si="211"/>
        <v>1.65</v>
      </c>
      <c r="V860">
        <f t="shared" si="205"/>
        <v>1.9724999999999993</v>
      </c>
      <c r="AC860" t="s">
        <v>2237</v>
      </c>
      <c r="AD860">
        <v>0.15</v>
      </c>
      <c r="AE860">
        <v>8.48</v>
      </c>
      <c r="AG860" t="str" cm="1">
        <f t="array" ref="AG860:AH860">_xlfn.TEXTSPLIT(AC861," ")</f>
        <v>26.10.2023</v>
      </c>
      <c r="AH860" t="str">
        <v>14:20:32</v>
      </c>
      <c r="AI860">
        <f t="shared" si="218"/>
        <v>14.283333333333623</v>
      </c>
      <c r="AJ860">
        <f t="shared" si="212"/>
        <v>3.95</v>
      </c>
      <c r="AK860">
        <f t="shared" si="213"/>
        <v>0.15</v>
      </c>
      <c r="AL860">
        <f t="shared" si="206"/>
        <v>0.31500000000000011</v>
      </c>
      <c r="AN860" t="s">
        <v>2237</v>
      </c>
      <c r="AO860">
        <v>0.45</v>
      </c>
      <c r="AP860">
        <v>71.459999999999994</v>
      </c>
      <c r="AR860" t="str" cm="1">
        <f t="array" ref="AR860:AS860">_xlfn.TEXTSPLIT(AN860," ")</f>
        <v>26.10.2023</v>
      </c>
      <c r="AS860" t="str">
        <v>14:19:32</v>
      </c>
      <c r="AT860">
        <f t="shared" si="219"/>
        <v>14.283333333333623</v>
      </c>
      <c r="AU860">
        <f t="shared" si="214"/>
        <v>10.149999999999991</v>
      </c>
      <c r="AV860">
        <f t="shared" si="215"/>
        <v>0.45</v>
      </c>
      <c r="AW860">
        <f t="shared" si="207"/>
        <v>0.63750000000000007</v>
      </c>
    </row>
    <row r="861" spans="1:49" x14ac:dyDescent="0.25">
      <c r="A861" t="s">
        <v>2238</v>
      </c>
      <c r="B861">
        <v>1.05</v>
      </c>
      <c r="C861">
        <v>22.53</v>
      </c>
      <c r="E861" t="s">
        <v>2238</v>
      </c>
      <c r="F861">
        <v>1.65</v>
      </c>
      <c r="G861">
        <v>92.03</v>
      </c>
      <c r="I861" t="str" cm="1">
        <f t="array" ref="I861:J861">_xlfn.TEXTSPLIT(A861," ")</f>
        <v>27.10.2023</v>
      </c>
      <c r="J861" t="str">
        <v>14:20:26</v>
      </c>
      <c r="K861">
        <f t="shared" si="216"/>
        <v>14.30000000000029</v>
      </c>
      <c r="L861">
        <f t="shared" si="209"/>
        <v>8.2100000000000009</v>
      </c>
      <c r="M861">
        <f t="shared" si="210"/>
        <v>1.05</v>
      </c>
      <c r="N861">
        <f t="shared" si="204"/>
        <v>1.1475</v>
      </c>
      <c r="Q861" t="str" cm="1">
        <f t="array" ref="Q861:R861">_xlfn.TEXTSPLIT(E861," ")</f>
        <v>27.10.2023</v>
      </c>
      <c r="R861" t="str">
        <v>14:20:26</v>
      </c>
      <c r="S861">
        <f t="shared" si="217"/>
        <v>14.30000000000029</v>
      </c>
      <c r="T861">
        <f t="shared" si="208"/>
        <v>13.430000000000007</v>
      </c>
      <c r="U861">
        <f t="shared" si="211"/>
        <v>1.65</v>
      </c>
      <c r="V861">
        <f t="shared" si="205"/>
        <v>1.9749999999999992</v>
      </c>
      <c r="AC861" t="s">
        <v>2239</v>
      </c>
      <c r="AD861">
        <v>0.3</v>
      </c>
      <c r="AE861">
        <v>8.49</v>
      </c>
      <c r="AG861" t="str" cm="1">
        <f t="array" ref="AG861:AH861">_xlfn.TEXTSPLIT(AC862," ")</f>
        <v>26.10.2023</v>
      </c>
      <c r="AH861" t="str">
        <v>14:21:32</v>
      </c>
      <c r="AI861">
        <f t="shared" si="218"/>
        <v>14.30000000000029</v>
      </c>
      <c r="AJ861">
        <f t="shared" si="212"/>
        <v>3.96</v>
      </c>
      <c r="AK861">
        <f t="shared" si="213"/>
        <v>0.3</v>
      </c>
      <c r="AL861">
        <f t="shared" si="206"/>
        <v>0.31500000000000006</v>
      </c>
      <c r="AN861" t="s">
        <v>2239</v>
      </c>
      <c r="AO861">
        <v>0.45</v>
      </c>
      <c r="AP861">
        <v>71.47</v>
      </c>
      <c r="AR861" t="str" cm="1">
        <f t="array" ref="AR861:AS861">_xlfn.TEXTSPLIT(AN861," ")</f>
        <v>26.10.2023</v>
      </c>
      <c r="AS861" t="str">
        <v>14:20:32</v>
      </c>
      <c r="AT861">
        <f t="shared" si="219"/>
        <v>14.30000000000029</v>
      </c>
      <c r="AU861">
        <f t="shared" si="214"/>
        <v>10.159999999999997</v>
      </c>
      <c r="AV861">
        <f t="shared" si="215"/>
        <v>0.45</v>
      </c>
      <c r="AW861">
        <f t="shared" si="207"/>
        <v>0.63750000000000007</v>
      </c>
    </row>
    <row r="862" spans="1:49" x14ac:dyDescent="0.25">
      <c r="A862" t="s">
        <v>2240</v>
      </c>
      <c r="B862">
        <v>1.5</v>
      </c>
      <c r="C862">
        <v>22.56</v>
      </c>
      <c r="E862" t="s">
        <v>2240</v>
      </c>
      <c r="F862">
        <v>1.65</v>
      </c>
      <c r="G862">
        <v>92.06</v>
      </c>
      <c r="I862" t="str" cm="1">
        <f t="array" ref="I862:J862">_xlfn.TEXTSPLIT(A862," ")</f>
        <v>27.10.2023</v>
      </c>
      <c r="J862" t="str">
        <v>14:21:26</v>
      </c>
      <c r="K862">
        <f t="shared" si="216"/>
        <v>14.316666666666958</v>
      </c>
      <c r="L862">
        <f t="shared" si="209"/>
        <v>8.2399999999999984</v>
      </c>
      <c r="M862">
        <f t="shared" si="210"/>
        <v>1.5</v>
      </c>
      <c r="N862">
        <f t="shared" si="204"/>
        <v>1.155</v>
      </c>
      <c r="Q862" t="str" cm="1">
        <f t="array" ref="Q862:R862">_xlfn.TEXTSPLIT(E862," ")</f>
        <v>27.10.2023</v>
      </c>
      <c r="R862" t="str">
        <v>14:21:26</v>
      </c>
      <c r="S862">
        <f t="shared" si="217"/>
        <v>14.316666666666958</v>
      </c>
      <c r="T862">
        <f t="shared" si="208"/>
        <v>13.460000000000008</v>
      </c>
      <c r="U862">
        <f t="shared" si="211"/>
        <v>1.65</v>
      </c>
      <c r="V862">
        <f t="shared" si="205"/>
        <v>1.9774999999999996</v>
      </c>
      <c r="AC862" t="s">
        <v>2241</v>
      </c>
      <c r="AD862">
        <v>0.15</v>
      </c>
      <c r="AE862">
        <v>8.49</v>
      </c>
      <c r="AG862" t="str" cm="1">
        <f t="array" ref="AG862:AH862">_xlfn.TEXTSPLIT(AC863," ")</f>
        <v>26.10.2023</v>
      </c>
      <c r="AH862" t="str">
        <v>14:22:32</v>
      </c>
      <c r="AI862">
        <f t="shared" si="218"/>
        <v>14.316666666666958</v>
      </c>
      <c r="AJ862">
        <f t="shared" si="212"/>
        <v>3.96</v>
      </c>
      <c r="AK862">
        <f t="shared" si="213"/>
        <v>0.15</v>
      </c>
      <c r="AL862">
        <f t="shared" si="206"/>
        <v>0.31250000000000006</v>
      </c>
      <c r="AN862" t="s">
        <v>2241</v>
      </c>
      <c r="AO862">
        <v>0.6</v>
      </c>
      <c r="AP862">
        <v>71.48</v>
      </c>
      <c r="AR862" t="str" cm="1">
        <f t="array" ref="AR862:AS862">_xlfn.TEXTSPLIT(AN862," ")</f>
        <v>26.10.2023</v>
      </c>
      <c r="AS862" t="str">
        <v>14:21:32</v>
      </c>
      <c r="AT862">
        <f t="shared" si="219"/>
        <v>14.316666666666958</v>
      </c>
      <c r="AU862">
        <f t="shared" si="214"/>
        <v>10.170000000000002</v>
      </c>
      <c r="AV862">
        <f t="shared" si="215"/>
        <v>0.6</v>
      </c>
      <c r="AW862">
        <f t="shared" si="207"/>
        <v>0.64000000000000024</v>
      </c>
    </row>
    <row r="863" spans="1:49" x14ac:dyDescent="0.25">
      <c r="A863" t="s">
        <v>2242</v>
      </c>
      <c r="B863">
        <v>1.65</v>
      </c>
      <c r="C863">
        <v>22.57</v>
      </c>
      <c r="E863" t="s">
        <v>2242</v>
      </c>
      <c r="F863">
        <v>1.2</v>
      </c>
      <c r="G863">
        <v>92.08</v>
      </c>
      <c r="I863" t="str" cm="1">
        <f t="array" ref="I863:J863">_xlfn.TEXTSPLIT(A863," ")</f>
        <v>27.10.2023</v>
      </c>
      <c r="J863" t="str">
        <v>14:22:26</v>
      </c>
      <c r="K863">
        <f t="shared" si="216"/>
        <v>14.333333333333625</v>
      </c>
      <c r="L863">
        <f t="shared" si="209"/>
        <v>8.25</v>
      </c>
      <c r="M863">
        <f t="shared" si="210"/>
        <v>1.65</v>
      </c>
      <c r="N863">
        <f t="shared" si="204"/>
        <v>1.165</v>
      </c>
      <c r="Q863" t="str" cm="1">
        <f t="array" ref="Q863:R863">_xlfn.TEXTSPLIT(E863," ")</f>
        <v>27.10.2023</v>
      </c>
      <c r="R863" t="str">
        <v>14:22:26</v>
      </c>
      <c r="S863">
        <f t="shared" si="217"/>
        <v>14.333333333333625</v>
      </c>
      <c r="T863">
        <f t="shared" si="208"/>
        <v>13.480000000000004</v>
      </c>
      <c r="U863">
        <f t="shared" si="211"/>
        <v>1.2</v>
      </c>
      <c r="V863">
        <f t="shared" si="205"/>
        <v>1.9799999999999998</v>
      </c>
      <c r="AC863" t="s">
        <v>2243</v>
      </c>
      <c r="AD863">
        <v>0.3</v>
      </c>
      <c r="AE863">
        <v>8.49</v>
      </c>
      <c r="AG863" t="str" cm="1">
        <f t="array" ref="AG863:AH863">_xlfn.TEXTSPLIT(AC864," ")</f>
        <v>26.10.2023</v>
      </c>
      <c r="AH863" t="str">
        <v>14:23:32</v>
      </c>
      <c r="AI863">
        <f t="shared" si="218"/>
        <v>14.333333333333625</v>
      </c>
      <c r="AJ863">
        <f t="shared" si="212"/>
        <v>3.96</v>
      </c>
      <c r="AK863">
        <f t="shared" si="213"/>
        <v>0.3</v>
      </c>
      <c r="AL863">
        <f t="shared" si="206"/>
        <v>0.31500000000000006</v>
      </c>
      <c r="AN863" t="s">
        <v>2243</v>
      </c>
      <c r="AO863">
        <v>0.15</v>
      </c>
      <c r="AP863">
        <v>71.48</v>
      </c>
      <c r="AR863" t="str" cm="1">
        <f t="array" ref="AR863:AS863">_xlfn.TEXTSPLIT(AN863," ")</f>
        <v>26.10.2023</v>
      </c>
      <c r="AS863" t="str">
        <v>14:22:32</v>
      </c>
      <c r="AT863">
        <f t="shared" si="219"/>
        <v>14.333333333333625</v>
      </c>
      <c r="AU863">
        <f t="shared" si="214"/>
        <v>10.170000000000002</v>
      </c>
      <c r="AV863">
        <f t="shared" si="215"/>
        <v>0.15</v>
      </c>
      <c r="AW863">
        <f t="shared" si="207"/>
        <v>0.64000000000000012</v>
      </c>
    </row>
    <row r="864" spans="1:49" x14ac:dyDescent="0.25">
      <c r="A864" t="s">
        <v>2244</v>
      </c>
      <c r="B864">
        <v>0</v>
      </c>
      <c r="C864">
        <v>22.57</v>
      </c>
      <c r="E864" t="s">
        <v>2244</v>
      </c>
      <c r="F864">
        <v>1.35</v>
      </c>
      <c r="G864">
        <v>92.1</v>
      </c>
      <c r="I864" t="str" cm="1">
        <f t="array" ref="I864:J864">_xlfn.TEXTSPLIT(A864," ")</f>
        <v>27.10.2023</v>
      </c>
      <c r="J864" t="str">
        <v>14:23:26</v>
      </c>
      <c r="K864">
        <f t="shared" si="216"/>
        <v>14.350000000000293</v>
      </c>
      <c r="L864">
        <f t="shared" si="209"/>
        <v>8.25</v>
      </c>
      <c r="M864">
        <f t="shared" si="210"/>
        <v>0</v>
      </c>
      <c r="N864">
        <f t="shared" si="204"/>
        <v>1.165</v>
      </c>
      <c r="Q864" t="str" cm="1">
        <f t="array" ref="Q864:R864">_xlfn.TEXTSPLIT(E864," ")</f>
        <v>27.10.2023</v>
      </c>
      <c r="R864" t="str">
        <v>14:23:26</v>
      </c>
      <c r="S864">
        <f t="shared" si="217"/>
        <v>14.350000000000293</v>
      </c>
      <c r="T864">
        <f t="shared" si="208"/>
        <v>13.5</v>
      </c>
      <c r="U864">
        <f t="shared" si="211"/>
        <v>1.35</v>
      </c>
      <c r="V864">
        <f t="shared" si="205"/>
        <v>1.9799999999999995</v>
      </c>
      <c r="AC864" t="s">
        <v>2245</v>
      </c>
      <c r="AD864">
        <v>0</v>
      </c>
      <c r="AE864">
        <v>8.49</v>
      </c>
      <c r="AG864" t="str" cm="1">
        <f t="array" ref="AG864:AH864">_xlfn.TEXTSPLIT(AC865," ")</f>
        <v>26.10.2023</v>
      </c>
      <c r="AH864" t="str">
        <v>14:24:32</v>
      </c>
      <c r="AI864">
        <f t="shared" si="218"/>
        <v>14.350000000000293</v>
      </c>
      <c r="AJ864">
        <f t="shared" si="212"/>
        <v>3.96</v>
      </c>
      <c r="AK864">
        <f t="shared" si="213"/>
        <v>0</v>
      </c>
      <c r="AL864">
        <f t="shared" si="206"/>
        <v>0.31</v>
      </c>
      <c r="AN864" t="s">
        <v>2245</v>
      </c>
      <c r="AO864">
        <v>0</v>
      </c>
      <c r="AP864">
        <v>71.48</v>
      </c>
      <c r="AR864" t="str" cm="1">
        <f t="array" ref="AR864:AS864">_xlfn.TEXTSPLIT(AN864," ")</f>
        <v>26.10.2023</v>
      </c>
      <c r="AS864" t="str">
        <v>14:23:32</v>
      </c>
      <c r="AT864">
        <f t="shared" si="219"/>
        <v>14.350000000000293</v>
      </c>
      <c r="AU864">
        <f t="shared" si="214"/>
        <v>10.170000000000002</v>
      </c>
      <c r="AV864">
        <f t="shared" si="215"/>
        <v>0</v>
      </c>
      <c r="AW864">
        <f t="shared" si="207"/>
        <v>0.64000000000000012</v>
      </c>
    </row>
    <row r="865" spans="1:49" x14ac:dyDescent="0.25">
      <c r="A865" t="s">
        <v>2246</v>
      </c>
      <c r="B865">
        <v>0.15</v>
      </c>
      <c r="C865">
        <v>22.57</v>
      </c>
      <c r="E865" t="s">
        <v>2246</v>
      </c>
      <c r="F865">
        <v>0.9</v>
      </c>
      <c r="G865">
        <v>92.11</v>
      </c>
      <c r="I865" t="str" cm="1">
        <f t="array" ref="I865:J865">_xlfn.TEXTSPLIT(A865," ")</f>
        <v>27.10.2023</v>
      </c>
      <c r="J865" t="str">
        <v>14:24:26</v>
      </c>
      <c r="K865">
        <f t="shared" si="216"/>
        <v>14.36666666666696</v>
      </c>
      <c r="L865">
        <f t="shared" si="209"/>
        <v>8.25</v>
      </c>
      <c r="M865">
        <f t="shared" si="210"/>
        <v>0.15</v>
      </c>
      <c r="N865">
        <f t="shared" si="204"/>
        <v>1.1675000000000002</v>
      </c>
      <c r="Q865" t="str" cm="1">
        <f t="array" ref="Q865:R865">_xlfn.TEXTSPLIT(E865," ")</f>
        <v>27.10.2023</v>
      </c>
      <c r="R865" t="str">
        <v>14:24:26</v>
      </c>
      <c r="S865">
        <f t="shared" si="217"/>
        <v>14.36666666666696</v>
      </c>
      <c r="T865">
        <f t="shared" si="208"/>
        <v>13.510000000000005</v>
      </c>
      <c r="U865">
        <f t="shared" si="211"/>
        <v>0.9</v>
      </c>
      <c r="V865">
        <f t="shared" si="205"/>
        <v>1.9749999999999994</v>
      </c>
      <c r="AC865" t="s">
        <v>2247</v>
      </c>
      <c r="AD865">
        <v>0</v>
      </c>
      <c r="AE865">
        <v>8.49</v>
      </c>
      <c r="AG865" t="str" cm="1">
        <f t="array" ref="AG865:AH865">_xlfn.TEXTSPLIT(AC866," ")</f>
        <v>26.10.2023</v>
      </c>
      <c r="AH865" t="str">
        <v>14:25:33</v>
      </c>
      <c r="AI865">
        <f t="shared" si="218"/>
        <v>14.36666666666696</v>
      </c>
      <c r="AJ865">
        <f t="shared" si="212"/>
        <v>3.96</v>
      </c>
      <c r="AK865">
        <f t="shared" si="213"/>
        <v>0</v>
      </c>
      <c r="AL865">
        <f t="shared" si="206"/>
        <v>0.31</v>
      </c>
      <c r="AN865" t="s">
        <v>2247</v>
      </c>
      <c r="AO865">
        <v>0.15</v>
      </c>
      <c r="AP865">
        <v>71.48</v>
      </c>
      <c r="AR865" t="str" cm="1">
        <f t="array" ref="AR865:AS865">_xlfn.TEXTSPLIT(AN865," ")</f>
        <v>26.10.2023</v>
      </c>
      <c r="AS865" t="str">
        <v>14:24:32</v>
      </c>
      <c r="AT865">
        <f t="shared" si="219"/>
        <v>14.36666666666696</v>
      </c>
      <c r="AU865">
        <f t="shared" si="214"/>
        <v>10.170000000000002</v>
      </c>
      <c r="AV865">
        <f t="shared" si="215"/>
        <v>0.15</v>
      </c>
      <c r="AW865">
        <f t="shared" si="207"/>
        <v>0.64250000000000007</v>
      </c>
    </row>
    <row r="866" spans="1:49" x14ac:dyDescent="0.25">
      <c r="A866" t="s">
        <v>2248</v>
      </c>
      <c r="B866">
        <v>0.3</v>
      </c>
      <c r="C866">
        <v>22.58</v>
      </c>
      <c r="E866" t="s">
        <v>2248</v>
      </c>
      <c r="F866">
        <v>0.9</v>
      </c>
      <c r="G866">
        <v>92.12</v>
      </c>
      <c r="I866" t="str" cm="1">
        <f t="array" ref="I866:J866">_xlfn.TEXTSPLIT(A866," ")</f>
        <v>27.10.2023</v>
      </c>
      <c r="J866" t="str">
        <v>14:25:26</v>
      </c>
      <c r="K866">
        <f t="shared" si="216"/>
        <v>14.383333333333628</v>
      </c>
      <c r="L866">
        <f t="shared" si="209"/>
        <v>8.259999999999998</v>
      </c>
      <c r="M866">
        <f t="shared" si="210"/>
        <v>0.3</v>
      </c>
      <c r="N866">
        <f t="shared" si="204"/>
        <v>1.1700000000000004</v>
      </c>
      <c r="Q866" t="str" cm="1">
        <f t="array" ref="Q866:R866">_xlfn.TEXTSPLIT(E866," ")</f>
        <v>27.10.2023</v>
      </c>
      <c r="R866" t="str">
        <v>14:25:26</v>
      </c>
      <c r="S866">
        <f t="shared" si="217"/>
        <v>14.383333333333628</v>
      </c>
      <c r="T866">
        <f t="shared" si="208"/>
        <v>13.52000000000001</v>
      </c>
      <c r="U866">
        <f t="shared" si="211"/>
        <v>0.9</v>
      </c>
      <c r="V866">
        <f t="shared" si="205"/>
        <v>1.9749999999999994</v>
      </c>
      <c r="AC866" t="s">
        <v>2249</v>
      </c>
      <c r="AD866">
        <v>0</v>
      </c>
      <c r="AE866">
        <v>8.49</v>
      </c>
      <c r="AG866" t="str" cm="1">
        <f t="array" ref="AG866:AH866">_xlfn.TEXTSPLIT(AC867," ")</f>
        <v>26.10.2023</v>
      </c>
      <c r="AH866" t="str">
        <v>14:26:33</v>
      </c>
      <c r="AI866">
        <f t="shared" si="218"/>
        <v>14.383333333333628</v>
      </c>
      <c r="AJ866">
        <f t="shared" si="212"/>
        <v>3.96</v>
      </c>
      <c r="AK866">
        <f t="shared" si="213"/>
        <v>0</v>
      </c>
      <c r="AL866">
        <f t="shared" si="206"/>
        <v>0.31</v>
      </c>
      <c r="AN866" t="s">
        <v>2249</v>
      </c>
      <c r="AO866">
        <v>0</v>
      </c>
      <c r="AP866">
        <v>71.489999999999995</v>
      </c>
      <c r="AR866" t="str" cm="1">
        <f t="array" ref="AR866:AS866">_xlfn.TEXTSPLIT(AN866," ")</f>
        <v>26.10.2023</v>
      </c>
      <c r="AS866" t="str">
        <v>14:25:33</v>
      </c>
      <c r="AT866">
        <f t="shared" si="219"/>
        <v>14.383333333333628</v>
      </c>
      <c r="AU866">
        <f t="shared" si="214"/>
        <v>10.179999999999993</v>
      </c>
      <c r="AV866">
        <f t="shared" si="215"/>
        <v>0</v>
      </c>
      <c r="AW866">
        <f t="shared" si="207"/>
        <v>0.64000000000000012</v>
      </c>
    </row>
    <row r="867" spans="1:49" x14ac:dyDescent="0.25">
      <c r="A867" t="s">
        <v>2250</v>
      </c>
      <c r="B867">
        <v>0.45</v>
      </c>
      <c r="C867">
        <v>22.59</v>
      </c>
      <c r="E867" t="s">
        <v>2250</v>
      </c>
      <c r="F867">
        <v>1.05</v>
      </c>
      <c r="G867">
        <v>92.14</v>
      </c>
      <c r="I867" t="str" cm="1">
        <f t="array" ref="I867:J867">_xlfn.TEXTSPLIT(A867," ")</f>
        <v>27.10.2023</v>
      </c>
      <c r="J867" t="str">
        <v>14:26:26</v>
      </c>
      <c r="K867">
        <f t="shared" si="216"/>
        <v>14.400000000000295</v>
      </c>
      <c r="L867">
        <f t="shared" si="209"/>
        <v>8.27</v>
      </c>
      <c r="M867">
        <f t="shared" si="210"/>
        <v>0.45</v>
      </c>
      <c r="N867">
        <f t="shared" si="204"/>
        <v>1.1725000000000001</v>
      </c>
      <c r="Q867" t="str" cm="1">
        <f t="array" ref="Q867:R867">_xlfn.TEXTSPLIT(E867," ")</f>
        <v>27.10.2023</v>
      </c>
      <c r="R867" t="str">
        <v>14:26:26</v>
      </c>
      <c r="S867">
        <f t="shared" si="217"/>
        <v>14.400000000000295</v>
      </c>
      <c r="T867">
        <f t="shared" si="208"/>
        <v>13.540000000000006</v>
      </c>
      <c r="U867">
        <f t="shared" si="211"/>
        <v>1.05</v>
      </c>
      <c r="V867">
        <f t="shared" si="205"/>
        <v>1.9749999999999992</v>
      </c>
      <c r="AC867" t="s">
        <v>2251</v>
      </c>
      <c r="AD867">
        <v>0</v>
      </c>
      <c r="AE867">
        <v>8.49</v>
      </c>
      <c r="AG867" t="str" cm="1">
        <f t="array" ref="AG867:AH867">_xlfn.TEXTSPLIT(AC868," ")</f>
        <v>26.10.2023</v>
      </c>
      <c r="AH867" t="str">
        <v>14:27:33</v>
      </c>
      <c r="AI867">
        <f t="shared" si="218"/>
        <v>14.400000000000295</v>
      </c>
      <c r="AJ867">
        <f t="shared" si="212"/>
        <v>3.96</v>
      </c>
      <c r="AK867">
        <f t="shared" si="213"/>
        <v>0</v>
      </c>
      <c r="AL867">
        <f t="shared" si="206"/>
        <v>0.31</v>
      </c>
      <c r="AN867" t="s">
        <v>2251</v>
      </c>
      <c r="AO867">
        <v>0.15</v>
      </c>
      <c r="AP867">
        <v>71.489999999999995</v>
      </c>
      <c r="AR867" t="str" cm="1">
        <f t="array" ref="AR867:AS867">_xlfn.TEXTSPLIT(AN867," ")</f>
        <v>26.10.2023</v>
      </c>
      <c r="AS867" t="str">
        <v>14:26:33</v>
      </c>
      <c r="AT867">
        <f t="shared" si="219"/>
        <v>14.400000000000295</v>
      </c>
      <c r="AU867">
        <f t="shared" si="214"/>
        <v>10.179999999999993</v>
      </c>
      <c r="AV867">
        <f t="shared" si="215"/>
        <v>0.15</v>
      </c>
      <c r="AW867">
        <f t="shared" si="207"/>
        <v>0.64250000000000007</v>
      </c>
    </row>
    <row r="868" spans="1:49" x14ac:dyDescent="0.25">
      <c r="A868" t="s">
        <v>2252</v>
      </c>
      <c r="B868">
        <v>0.3</v>
      </c>
      <c r="C868">
        <v>22.59</v>
      </c>
      <c r="E868" t="s">
        <v>2252</v>
      </c>
      <c r="F868">
        <v>1.5</v>
      </c>
      <c r="G868">
        <v>92.17</v>
      </c>
      <c r="I868" t="str" cm="1">
        <f t="array" ref="I868:J868">_xlfn.TEXTSPLIT(A868," ")</f>
        <v>27.10.2023</v>
      </c>
      <c r="J868" t="str">
        <v>14:27:26</v>
      </c>
      <c r="K868">
        <f t="shared" si="216"/>
        <v>14.416666666666963</v>
      </c>
      <c r="L868">
        <f t="shared" si="209"/>
        <v>8.27</v>
      </c>
      <c r="M868">
        <f t="shared" si="210"/>
        <v>0.3</v>
      </c>
      <c r="N868">
        <f t="shared" si="204"/>
        <v>1.1675000000000002</v>
      </c>
      <c r="Q868" t="str" cm="1">
        <f t="array" ref="Q868:R868">_xlfn.TEXTSPLIT(E868," ")</f>
        <v>27.10.2023</v>
      </c>
      <c r="R868" t="str">
        <v>14:27:26</v>
      </c>
      <c r="S868">
        <f t="shared" si="217"/>
        <v>14.416666666666963</v>
      </c>
      <c r="T868">
        <f t="shared" si="208"/>
        <v>13.570000000000007</v>
      </c>
      <c r="U868">
        <f t="shared" si="211"/>
        <v>1.5</v>
      </c>
      <c r="V868">
        <f t="shared" si="205"/>
        <v>1.9799999999999995</v>
      </c>
      <c r="AC868" t="s">
        <v>2253</v>
      </c>
      <c r="AD868">
        <v>0</v>
      </c>
      <c r="AE868">
        <v>8.49</v>
      </c>
      <c r="AG868" t="str" cm="1">
        <f t="array" ref="AG868:AH868">_xlfn.TEXTSPLIT(AC869," ")</f>
        <v>26.10.2023</v>
      </c>
      <c r="AH868" t="str">
        <v>14:28:33</v>
      </c>
      <c r="AI868">
        <f t="shared" si="218"/>
        <v>14.416666666666963</v>
      </c>
      <c r="AJ868">
        <f t="shared" si="212"/>
        <v>3.96</v>
      </c>
      <c r="AK868">
        <f t="shared" si="213"/>
        <v>0</v>
      </c>
      <c r="AL868">
        <f t="shared" si="206"/>
        <v>0.31</v>
      </c>
      <c r="AN868" t="s">
        <v>2253</v>
      </c>
      <c r="AO868">
        <v>0</v>
      </c>
      <c r="AP868">
        <v>71.489999999999995</v>
      </c>
      <c r="AR868" t="str" cm="1">
        <f t="array" ref="AR868:AS868">_xlfn.TEXTSPLIT(AN868," ")</f>
        <v>26.10.2023</v>
      </c>
      <c r="AS868" t="str">
        <v>14:27:33</v>
      </c>
      <c r="AT868">
        <f t="shared" si="219"/>
        <v>14.416666666666963</v>
      </c>
      <c r="AU868">
        <f t="shared" si="214"/>
        <v>10.179999999999993</v>
      </c>
      <c r="AV868">
        <f t="shared" si="215"/>
        <v>0</v>
      </c>
      <c r="AW868">
        <f t="shared" si="207"/>
        <v>0.64000000000000012</v>
      </c>
    </row>
    <row r="869" spans="1:49" x14ac:dyDescent="0.25">
      <c r="A869" t="s">
        <v>2254</v>
      </c>
      <c r="B869">
        <v>0.45</v>
      </c>
      <c r="C869">
        <v>22.6</v>
      </c>
      <c r="E869" t="s">
        <v>2254</v>
      </c>
      <c r="F869">
        <v>1.95</v>
      </c>
      <c r="G869">
        <v>92.2</v>
      </c>
      <c r="I869" t="str" cm="1">
        <f t="array" ref="I869:J869">_xlfn.TEXTSPLIT(A869," ")</f>
        <v>27.10.2023</v>
      </c>
      <c r="J869" t="str">
        <v>14:28:27</v>
      </c>
      <c r="K869">
        <f t="shared" si="216"/>
        <v>14.43333333333363</v>
      </c>
      <c r="L869">
        <f t="shared" si="209"/>
        <v>8.2800000000000011</v>
      </c>
      <c r="M869">
        <f t="shared" si="210"/>
        <v>0.45</v>
      </c>
      <c r="N869">
        <f t="shared" si="204"/>
        <v>1.1625000000000003</v>
      </c>
      <c r="Q869" t="str" cm="1">
        <f t="array" ref="Q869:R869">_xlfn.TEXTSPLIT(E869," ")</f>
        <v>27.10.2023</v>
      </c>
      <c r="R869" t="str">
        <v>14:28:27</v>
      </c>
      <c r="S869">
        <f t="shared" si="217"/>
        <v>14.43333333333363</v>
      </c>
      <c r="T869">
        <f t="shared" si="208"/>
        <v>13.600000000000009</v>
      </c>
      <c r="U869">
        <f t="shared" si="211"/>
        <v>1.95</v>
      </c>
      <c r="V869">
        <f t="shared" si="205"/>
        <v>1.9774999999999994</v>
      </c>
      <c r="AC869" t="s">
        <v>2255</v>
      </c>
      <c r="AD869">
        <v>0</v>
      </c>
      <c r="AE869">
        <v>8.49</v>
      </c>
      <c r="AG869" t="str" cm="1">
        <f t="array" ref="AG869:AH869">_xlfn.TEXTSPLIT(AC870," ")</f>
        <v>26.10.2023</v>
      </c>
      <c r="AH869" t="str">
        <v>14:29:33</v>
      </c>
      <c r="AI869">
        <f t="shared" si="218"/>
        <v>14.43333333333363</v>
      </c>
      <c r="AJ869">
        <f t="shared" si="212"/>
        <v>3.96</v>
      </c>
      <c r="AK869">
        <f t="shared" si="213"/>
        <v>0</v>
      </c>
      <c r="AL869">
        <f t="shared" si="206"/>
        <v>0.31</v>
      </c>
      <c r="AN869" t="s">
        <v>2255</v>
      </c>
      <c r="AO869">
        <v>0.3</v>
      </c>
      <c r="AP869">
        <v>71.489999999999995</v>
      </c>
      <c r="AR869" t="str" cm="1">
        <f t="array" ref="AR869:AS869">_xlfn.TEXTSPLIT(AN869," ")</f>
        <v>26.10.2023</v>
      </c>
      <c r="AS869" t="str">
        <v>14:28:33</v>
      </c>
      <c r="AT869">
        <f t="shared" si="219"/>
        <v>14.43333333333363</v>
      </c>
      <c r="AU869">
        <f t="shared" si="214"/>
        <v>10.179999999999993</v>
      </c>
      <c r="AV869">
        <f t="shared" si="215"/>
        <v>0.3</v>
      </c>
      <c r="AW869">
        <f t="shared" si="207"/>
        <v>0.64250000000000007</v>
      </c>
    </row>
    <row r="870" spans="1:49" x14ac:dyDescent="0.25">
      <c r="A870" t="s">
        <v>2256</v>
      </c>
      <c r="B870">
        <v>0.6</v>
      </c>
      <c r="C870">
        <v>22.61</v>
      </c>
      <c r="E870" t="s">
        <v>2256</v>
      </c>
      <c r="F870">
        <v>1.65</v>
      </c>
      <c r="G870">
        <v>92.23</v>
      </c>
      <c r="I870" t="str" cm="1">
        <f t="array" ref="I870:J870">_xlfn.TEXTSPLIT(A870," ")</f>
        <v>27.10.2023</v>
      </c>
      <c r="J870" t="str">
        <v>14:29:27</v>
      </c>
      <c r="K870">
        <f t="shared" si="216"/>
        <v>14.450000000000298</v>
      </c>
      <c r="L870">
        <f t="shared" si="209"/>
        <v>8.2899999999999991</v>
      </c>
      <c r="M870">
        <f t="shared" si="210"/>
        <v>0.6</v>
      </c>
      <c r="N870">
        <f t="shared" si="204"/>
        <v>1.1625000000000003</v>
      </c>
      <c r="Q870" t="str" cm="1">
        <f t="array" ref="Q870:R870">_xlfn.TEXTSPLIT(E870," ")</f>
        <v>27.10.2023</v>
      </c>
      <c r="R870" t="str">
        <v>14:29:27</v>
      </c>
      <c r="S870">
        <f t="shared" si="217"/>
        <v>14.450000000000298</v>
      </c>
      <c r="T870">
        <f t="shared" si="208"/>
        <v>13.63000000000001</v>
      </c>
      <c r="U870">
        <f t="shared" si="211"/>
        <v>1.65</v>
      </c>
      <c r="V870">
        <f t="shared" si="205"/>
        <v>1.9749999999999994</v>
      </c>
      <c r="AC870" t="s">
        <v>2257</v>
      </c>
      <c r="AD870">
        <v>0</v>
      </c>
      <c r="AE870">
        <v>8.49</v>
      </c>
      <c r="AG870" t="str" cm="1">
        <f t="array" ref="AG870:AH870">_xlfn.TEXTSPLIT(AC871," ")</f>
        <v>26.10.2023</v>
      </c>
      <c r="AH870" t="str">
        <v>14:30:33</v>
      </c>
      <c r="AI870">
        <f t="shared" si="218"/>
        <v>14.450000000000298</v>
      </c>
      <c r="AJ870">
        <f t="shared" si="212"/>
        <v>3.96</v>
      </c>
      <c r="AK870">
        <f t="shared" si="213"/>
        <v>0</v>
      </c>
      <c r="AL870">
        <f t="shared" si="206"/>
        <v>0.31</v>
      </c>
      <c r="AN870" t="s">
        <v>2257</v>
      </c>
      <c r="AO870">
        <v>0.15</v>
      </c>
      <c r="AP870">
        <v>71.489999999999995</v>
      </c>
      <c r="AR870" t="str" cm="1">
        <f t="array" ref="AR870:AS870">_xlfn.TEXTSPLIT(AN870," ")</f>
        <v>26.10.2023</v>
      </c>
      <c r="AS870" t="str">
        <v>14:29:33</v>
      </c>
      <c r="AT870">
        <f t="shared" si="219"/>
        <v>14.450000000000298</v>
      </c>
      <c r="AU870">
        <f t="shared" si="214"/>
        <v>10.179999999999993</v>
      </c>
      <c r="AV870">
        <f t="shared" si="215"/>
        <v>0.15</v>
      </c>
      <c r="AW870">
        <f t="shared" si="207"/>
        <v>0.64249999999999996</v>
      </c>
    </row>
    <row r="871" spans="1:49" x14ac:dyDescent="0.25">
      <c r="A871" t="s">
        <v>2258</v>
      </c>
      <c r="B871">
        <v>0.75</v>
      </c>
      <c r="C871">
        <v>22.62</v>
      </c>
      <c r="E871" t="s">
        <v>2258</v>
      </c>
      <c r="F871">
        <v>1.05</v>
      </c>
      <c r="G871">
        <v>92.25</v>
      </c>
      <c r="I871" t="str" cm="1">
        <f t="array" ref="I871:J871">_xlfn.TEXTSPLIT(A871," ")</f>
        <v>27.10.2023</v>
      </c>
      <c r="J871" t="str">
        <v>14:30:27</v>
      </c>
      <c r="K871">
        <f t="shared" si="216"/>
        <v>14.466666666666965</v>
      </c>
      <c r="L871">
        <f t="shared" si="209"/>
        <v>8.3000000000000007</v>
      </c>
      <c r="M871">
        <f t="shared" si="210"/>
        <v>0.75</v>
      </c>
      <c r="N871">
        <f t="shared" si="204"/>
        <v>1.1550000000000002</v>
      </c>
      <c r="Q871" t="str" cm="1">
        <f t="array" ref="Q871:R871">_xlfn.TEXTSPLIT(E871," ")</f>
        <v>27.10.2023</v>
      </c>
      <c r="R871" t="str">
        <v>14:30:27</v>
      </c>
      <c r="S871">
        <f t="shared" si="217"/>
        <v>14.466666666666965</v>
      </c>
      <c r="T871">
        <f t="shared" si="208"/>
        <v>13.650000000000006</v>
      </c>
      <c r="U871">
        <f t="shared" si="211"/>
        <v>1.05</v>
      </c>
      <c r="V871">
        <f t="shared" si="205"/>
        <v>1.9699999999999995</v>
      </c>
      <c r="AC871" t="s">
        <v>2259</v>
      </c>
      <c r="AD871">
        <v>0</v>
      </c>
      <c r="AE871">
        <v>8.49</v>
      </c>
      <c r="AG871" t="str" cm="1">
        <f t="array" ref="AG871:AH871">_xlfn.TEXTSPLIT(AC872," ")</f>
        <v>26.10.2023</v>
      </c>
      <c r="AH871" t="str">
        <v>14:31:33</v>
      </c>
      <c r="AI871">
        <f t="shared" si="218"/>
        <v>14.466666666666965</v>
      </c>
      <c r="AJ871">
        <f t="shared" si="212"/>
        <v>3.96</v>
      </c>
      <c r="AK871">
        <f t="shared" si="213"/>
        <v>0</v>
      </c>
      <c r="AL871">
        <f t="shared" si="206"/>
        <v>0.31</v>
      </c>
      <c r="AN871" t="s">
        <v>2259</v>
      </c>
      <c r="AO871">
        <v>0.3</v>
      </c>
      <c r="AP871">
        <v>71.5</v>
      </c>
      <c r="AR871" t="str" cm="1">
        <f t="array" ref="AR871:AS871">_xlfn.TEXTSPLIT(AN871," ")</f>
        <v>26.10.2023</v>
      </c>
      <c r="AS871" t="str">
        <v>14:30:33</v>
      </c>
      <c r="AT871">
        <f t="shared" si="219"/>
        <v>14.466666666666965</v>
      </c>
      <c r="AU871">
        <f t="shared" si="214"/>
        <v>10.189999999999998</v>
      </c>
      <c r="AV871">
        <f t="shared" si="215"/>
        <v>0.3</v>
      </c>
      <c r="AW871">
        <f t="shared" si="207"/>
        <v>0.64499999999999991</v>
      </c>
    </row>
    <row r="872" spans="1:49" x14ac:dyDescent="0.25">
      <c r="A872" t="s">
        <v>2260</v>
      </c>
      <c r="B872">
        <v>0.6</v>
      </c>
      <c r="C872">
        <v>22.64</v>
      </c>
      <c r="E872" t="s">
        <v>2260</v>
      </c>
      <c r="F872">
        <v>1.2</v>
      </c>
      <c r="G872">
        <v>92.27</v>
      </c>
      <c r="I872" t="str" cm="1">
        <f t="array" ref="I872:J872">_xlfn.TEXTSPLIT(A872," ")</f>
        <v>27.10.2023</v>
      </c>
      <c r="J872" t="str">
        <v>14:31:27</v>
      </c>
      <c r="K872">
        <f t="shared" si="216"/>
        <v>14.483333333333633</v>
      </c>
      <c r="L872">
        <f t="shared" si="209"/>
        <v>8.32</v>
      </c>
      <c r="M872">
        <f t="shared" si="210"/>
        <v>0.6</v>
      </c>
      <c r="N872">
        <f t="shared" si="204"/>
        <v>1.1499999999999999</v>
      </c>
      <c r="Q872" t="str" cm="1">
        <f t="array" ref="Q872:R872">_xlfn.TEXTSPLIT(E872," ")</f>
        <v>27.10.2023</v>
      </c>
      <c r="R872" t="str">
        <v>14:31:27</v>
      </c>
      <c r="S872">
        <f t="shared" si="217"/>
        <v>14.483333333333633</v>
      </c>
      <c r="T872">
        <f t="shared" si="208"/>
        <v>13.670000000000002</v>
      </c>
      <c r="U872">
        <f t="shared" si="211"/>
        <v>1.2</v>
      </c>
      <c r="V872">
        <f t="shared" si="205"/>
        <v>1.9674999999999996</v>
      </c>
      <c r="AC872" t="s">
        <v>2261</v>
      </c>
      <c r="AD872">
        <v>0</v>
      </c>
      <c r="AE872">
        <v>8.49</v>
      </c>
      <c r="AG872" t="str" cm="1">
        <f t="array" ref="AG872:AH872">_xlfn.TEXTSPLIT(AC873," ")</f>
        <v>26.10.2023</v>
      </c>
      <c r="AH872" t="str">
        <v>14:32:34</v>
      </c>
      <c r="AI872">
        <f t="shared" si="218"/>
        <v>14.483333333333633</v>
      </c>
      <c r="AJ872">
        <f t="shared" si="212"/>
        <v>3.96</v>
      </c>
      <c r="AK872">
        <f t="shared" si="213"/>
        <v>0</v>
      </c>
      <c r="AL872">
        <f t="shared" si="206"/>
        <v>0.31</v>
      </c>
      <c r="AN872" t="s">
        <v>2261</v>
      </c>
      <c r="AO872">
        <v>0.45</v>
      </c>
      <c r="AP872">
        <v>71.510000000000005</v>
      </c>
      <c r="AR872" t="str" cm="1">
        <f t="array" ref="AR872:AS872">_xlfn.TEXTSPLIT(AN872," ")</f>
        <v>26.10.2023</v>
      </c>
      <c r="AS872" t="str">
        <v>14:31:33</v>
      </c>
      <c r="AT872">
        <f t="shared" si="219"/>
        <v>14.483333333333633</v>
      </c>
      <c r="AU872">
        <f t="shared" si="214"/>
        <v>10.200000000000003</v>
      </c>
      <c r="AV872">
        <f t="shared" si="215"/>
        <v>0.45</v>
      </c>
      <c r="AW872">
        <f t="shared" si="207"/>
        <v>0.64750000000000008</v>
      </c>
    </row>
    <row r="873" spans="1:49" x14ac:dyDescent="0.25">
      <c r="A873" t="s">
        <v>2262</v>
      </c>
      <c r="B873">
        <v>0.9</v>
      </c>
      <c r="C873">
        <v>22.65</v>
      </c>
      <c r="E873" t="s">
        <v>2262</v>
      </c>
      <c r="F873">
        <v>1.8</v>
      </c>
      <c r="G873">
        <v>92.31</v>
      </c>
      <c r="I873" t="str" cm="1">
        <f t="array" ref="I873:J873">_xlfn.TEXTSPLIT(A873," ")</f>
        <v>27.10.2023</v>
      </c>
      <c r="J873" t="str">
        <v>14:32:27</v>
      </c>
      <c r="K873">
        <f t="shared" si="216"/>
        <v>14.5000000000003</v>
      </c>
      <c r="L873">
        <f t="shared" si="209"/>
        <v>8.3299999999999983</v>
      </c>
      <c r="M873">
        <f t="shared" si="210"/>
        <v>0.9</v>
      </c>
      <c r="N873">
        <f t="shared" si="204"/>
        <v>1.1550000000000002</v>
      </c>
      <c r="Q873" t="str" cm="1">
        <f t="array" ref="Q873:R873">_xlfn.TEXTSPLIT(E873," ")</f>
        <v>27.10.2023</v>
      </c>
      <c r="R873" t="str">
        <v>14:32:27</v>
      </c>
      <c r="S873">
        <f t="shared" si="217"/>
        <v>14.5000000000003</v>
      </c>
      <c r="T873">
        <f t="shared" si="208"/>
        <v>13.710000000000008</v>
      </c>
      <c r="U873">
        <f t="shared" si="211"/>
        <v>1.8</v>
      </c>
      <c r="V873">
        <f t="shared" si="205"/>
        <v>1.9724999999999997</v>
      </c>
      <c r="AC873" t="s">
        <v>2263</v>
      </c>
      <c r="AD873">
        <v>0</v>
      </c>
      <c r="AE873">
        <v>8.49</v>
      </c>
      <c r="AG873" t="str" cm="1">
        <f t="array" ref="AG873:AH873">_xlfn.TEXTSPLIT(AC874," ")</f>
        <v>26.10.2023</v>
      </c>
      <c r="AH873" t="str">
        <v>14:33:34</v>
      </c>
      <c r="AI873">
        <f t="shared" si="218"/>
        <v>14.5000000000003</v>
      </c>
      <c r="AJ873">
        <f t="shared" si="212"/>
        <v>3.96</v>
      </c>
      <c r="AK873">
        <f t="shared" si="213"/>
        <v>0</v>
      </c>
      <c r="AL873">
        <f t="shared" si="206"/>
        <v>0.31</v>
      </c>
      <c r="AN873" t="s">
        <v>2263</v>
      </c>
      <c r="AO873">
        <v>0.3</v>
      </c>
      <c r="AP873">
        <v>71.52</v>
      </c>
      <c r="AR873" t="str" cm="1">
        <f t="array" ref="AR873:AS873">_xlfn.TEXTSPLIT(AN873," ")</f>
        <v>26.10.2023</v>
      </c>
      <c r="AS873" t="str">
        <v>14:32:34</v>
      </c>
      <c r="AT873">
        <f t="shared" si="219"/>
        <v>14.5000000000003</v>
      </c>
      <c r="AU873">
        <f t="shared" si="214"/>
        <v>10.209999999999994</v>
      </c>
      <c r="AV873">
        <f t="shared" si="215"/>
        <v>0.3</v>
      </c>
      <c r="AW873">
        <f t="shared" si="207"/>
        <v>0.64749999999999985</v>
      </c>
    </row>
    <row r="874" spans="1:49" x14ac:dyDescent="0.25">
      <c r="A874" t="s">
        <v>2264</v>
      </c>
      <c r="B874">
        <v>0.75</v>
      </c>
      <c r="C874">
        <v>22.66</v>
      </c>
      <c r="E874" t="s">
        <v>2264</v>
      </c>
      <c r="F874">
        <v>2.25</v>
      </c>
      <c r="G874">
        <v>92.34</v>
      </c>
      <c r="I874" t="str" cm="1">
        <f t="array" ref="I874:J874">_xlfn.TEXTSPLIT(A874," ")</f>
        <v>27.10.2023</v>
      </c>
      <c r="J874" t="str">
        <v>14:33:27</v>
      </c>
      <c r="K874">
        <f t="shared" si="216"/>
        <v>14.516666666666968</v>
      </c>
      <c r="L874">
        <f t="shared" si="209"/>
        <v>8.34</v>
      </c>
      <c r="M874">
        <f t="shared" si="210"/>
        <v>0.75</v>
      </c>
      <c r="N874">
        <f t="shared" si="204"/>
        <v>1.1525000000000001</v>
      </c>
      <c r="Q874" t="str" cm="1">
        <f t="array" ref="Q874:R874">_xlfn.TEXTSPLIT(E874," ")</f>
        <v>27.10.2023</v>
      </c>
      <c r="R874" t="str">
        <v>14:33:27</v>
      </c>
      <c r="S874">
        <f t="shared" si="217"/>
        <v>14.516666666666968</v>
      </c>
      <c r="T874">
        <f t="shared" si="208"/>
        <v>13.740000000000009</v>
      </c>
      <c r="U874">
        <f t="shared" si="211"/>
        <v>2.25</v>
      </c>
      <c r="V874">
        <f t="shared" si="205"/>
        <v>1.9724999999999995</v>
      </c>
      <c r="AC874" t="s">
        <v>2265</v>
      </c>
      <c r="AD874">
        <v>0</v>
      </c>
      <c r="AE874">
        <v>8.49</v>
      </c>
      <c r="AG874" t="str" cm="1">
        <f t="array" ref="AG874:AH874">_xlfn.TEXTSPLIT(AC875," ")</f>
        <v>26.10.2023</v>
      </c>
      <c r="AH874" t="str">
        <v>14:34:34</v>
      </c>
      <c r="AI874">
        <f t="shared" si="218"/>
        <v>14.516666666666968</v>
      </c>
      <c r="AJ874">
        <f t="shared" si="212"/>
        <v>3.96</v>
      </c>
      <c r="AK874">
        <f t="shared" si="213"/>
        <v>0</v>
      </c>
      <c r="AL874">
        <f t="shared" si="206"/>
        <v>0.31</v>
      </c>
      <c r="AN874" t="s">
        <v>2265</v>
      </c>
      <c r="AO874">
        <v>0.45</v>
      </c>
      <c r="AP874">
        <v>71.53</v>
      </c>
      <c r="AR874" t="str" cm="1">
        <f t="array" ref="AR874:AS874">_xlfn.TEXTSPLIT(AN874," ")</f>
        <v>26.10.2023</v>
      </c>
      <c r="AS874" t="str">
        <v>14:33:34</v>
      </c>
      <c r="AT874">
        <f t="shared" si="219"/>
        <v>14.516666666666968</v>
      </c>
      <c r="AU874">
        <f t="shared" si="214"/>
        <v>10.219999999999999</v>
      </c>
      <c r="AV874">
        <f t="shared" si="215"/>
        <v>0.45</v>
      </c>
      <c r="AW874">
        <f t="shared" si="207"/>
        <v>0.64749999999999985</v>
      </c>
    </row>
    <row r="875" spans="1:49" x14ac:dyDescent="0.25">
      <c r="A875" t="s">
        <v>2266</v>
      </c>
      <c r="B875">
        <v>0</v>
      </c>
      <c r="C875">
        <v>22.66</v>
      </c>
      <c r="E875" t="s">
        <v>2266</v>
      </c>
      <c r="F875">
        <v>1.5</v>
      </c>
      <c r="G875">
        <v>92.36</v>
      </c>
      <c r="I875" t="str" cm="1">
        <f t="array" ref="I875:J875">_xlfn.TEXTSPLIT(A875," ")</f>
        <v>27.10.2023</v>
      </c>
      <c r="J875" t="str">
        <v>14:34:27</v>
      </c>
      <c r="K875">
        <f t="shared" si="216"/>
        <v>14.533333333333635</v>
      </c>
      <c r="L875">
        <f t="shared" si="209"/>
        <v>8.34</v>
      </c>
      <c r="M875">
        <f t="shared" si="210"/>
        <v>0</v>
      </c>
      <c r="N875">
        <f t="shared" si="204"/>
        <v>1.1375</v>
      </c>
      <c r="Q875" t="str" cm="1">
        <f t="array" ref="Q875:R875">_xlfn.TEXTSPLIT(E875," ")</f>
        <v>27.10.2023</v>
      </c>
      <c r="R875" t="str">
        <v>14:34:27</v>
      </c>
      <c r="S875">
        <f t="shared" si="217"/>
        <v>14.533333333333635</v>
      </c>
      <c r="T875">
        <f t="shared" si="208"/>
        <v>13.760000000000005</v>
      </c>
      <c r="U875">
        <f t="shared" si="211"/>
        <v>1.5</v>
      </c>
      <c r="V875">
        <f t="shared" si="205"/>
        <v>1.9699999999999995</v>
      </c>
      <c r="AC875" t="s">
        <v>2267</v>
      </c>
      <c r="AD875">
        <v>0</v>
      </c>
      <c r="AE875">
        <v>8.49</v>
      </c>
      <c r="AG875" t="str" cm="1">
        <f t="array" ref="AG875:AH875">_xlfn.TEXTSPLIT(AC876," ")</f>
        <v>26.10.2023</v>
      </c>
      <c r="AH875" t="str">
        <v>14:35:34</v>
      </c>
      <c r="AI875">
        <f t="shared" si="218"/>
        <v>14.533333333333635</v>
      </c>
      <c r="AJ875">
        <f t="shared" si="212"/>
        <v>3.96</v>
      </c>
      <c r="AK875">
        <f t="shared" si="213"/>
        <v>0</v>
      </c>
      <c r="AL875">
        <f t="shared" si="206"/>
        <v>0.31</v>
      </c>
      <c r="AN875" t="s">
        <v>2267</v>
      </c>
      <c r="AO875">
        <v>0.75</v>
      </c>
      <c r="AP875">
        <v>71.540000000000006</v>
      </c>
      <c r="AR875" t="str" cm="1">
        <f t="array" ref="AR875:AS875">_xlfn.TEXTSPLIT(AN875," ")</f>
        <v>26.10.2023</v>
      </c>
      <c r="AS875" t="str">
        <v>14:34:34</v>
      </c>
      <c r="AT875">
        <f t="shared" si="219"/>
        <v>14.533333333333635</v>
      </c>
      <c r="AU875">
        <f t="shared" si="214"/>
        <v>10.230000000000004</v>
      </c>
      <c r="AV875">
        <f t="shared" si="215"/>
        <v>0.75</v>
      </c>
      <c r="AW875">
        <f t="shared" si="207"/>
        <v>0.65249999999999986</v>
      </c>
    </row>
    <row r="876" spans="1:49" x14ac:dyDescent="0.25">
      <c r="A876" t="s">
        <v>2268</v>
      </c>
      <c r="B876">
        <v>1.05</v>
      </c>
      <c r="C876">
        <v>22.68</v>
      </c>
      <c r="E876" t="s">
        <v>2268</v>
      </c>
      <c r="F876">
        <v>1.5</v>
      </c>
      <c r="G876">
        <v>92.39</v>
      </c>
      <c r="I876" t="str" cm="1">
        <f t="array" ref="I876:J876">_xlfn.TEXTSPLIT(A876," ")</f>
        <v>27.10.2023</v>
      </c>
      <c r="J876" t="str">
        <v>14:35:27</v>
      </c>
      <c r="K876">
        <f t="shared" si="216"/>
        <v>14.550000000000303</v>
      </c>
      <c r="L876">
        <f t="shared" si="209"/>
        <v>8.36</v>
      </c>
      <c r="M876">
        <f t="shared" si="210"/>
        <v>1.05</v>
      </c>
      <c r="N876">
        <f t="shared" si="204"/>
        <v>1.1375</v>
      </c>
      <c r="Q876" t="str" cm="1">
        <f t="array" ref="Q876:R876">_xlfn.TEXTSPLIT(E876," ")</f>
        <v>27.10.2023</v>
      </c>
      <c r="R876" t="str">
        <v>14:35:27</v>
      </c>
      <c r="S876">
        <f t="shared" si="217"/>
        <v>14.550000000000303</v>
      </c>
      <c r="T876">
        <f t="shared" si="208"/>
        <v>13.790000000000006</v>
      </c>
      <c r="U876">
        <f t="shared" si="211"/>
        <v>1.5</v>
      </c>
      <c r="V876">
        <f t="shared" si="205"/>
        <v>1.9699999999999995</v>
      </c>
      <c r="AC876" t="s">
        <v>2269</v>
      </c>
      <c r="AD876">
        <v>0</v>
      </c>
      <c r="AE876">
        <v>8.49</v>
      </c>
      <c r="AG876" t="str" cm="1">
        <f t="array" ref="AG876:AH876">_xlfn.TEXTSPLIT(AC877," ")</f>
        <v>26.10.2023</v>
      </c>
      <c r="AH876" t="str">
        <v>14:36:34</v>
      </c>
      <c r="AI876">
        <f t="shared" si="218"/>
        <v>14.550000000000303</v>
      </c>
      <c r="AJ876">
        <f t="shared" si="212"/>
        <v>3.96</v>
      </c>
      <c r="AK876">
        <f t="shared" si="213"/>
        <v>0</v>
      </c>
      <c r="AL876">
        <f t="shared" si="206"/>
        <v>0.31</v>
      </c>
      <c r="AN876" t="s">
        <v>2269</v>
      </c>
      <c r="AO876">
        <v>0.6</v>
      </c>
      <c r="AP876">
        <v>71.55</v>
      </c>
      <c r="AR876" t="str" cm="1">
        <f t="array" ref="AR876:AS876">_xlfn.TEXTSPLIT(AN876," ")</f>
        <v>26.10.2023</v>
      </c>
      <c r="AS876" t="str">
        <v>14:35:34</v>
      </c>
      <c r="AT876">
        <f t="shared" si="219"/>
        <v>14.550000000000303</v>
      </c>
      <c r="AU876">
        <f t="shared" si="214"/>
        <v>10.239999999999995</v>
      </c>
      <c r="AV876">
        <f t="shared" si="215"/>
        <v>0.6</v>
      </c>
      <c r="AW876">
        <f t="shared" si="207"/>
        <v>0.65249999999999997</v>
      </c>
    </row>
    <row r="877" spans="1:49" x14ac:dyDescent="0.25">
      <c r="A877" t="s">
        <v>2270</v>
      </c>
      <c r="B877">
        <v>0.9</v>
      </c>
      <c r="C877">
        <v>22.7</v>
      </c>
      <c r="E877" t="s">
        <v>2270</v>
      </c>
      <c r="F877">
        <v>2.25</v>
      </c>
      <c r="G877">
        <v>92.44</v>
      </c>
      <c r="I877" t="str" cm="1">
        <f t="array" ref="I877:J877">_xlfn.TEXTSPLIT(A877," ")</f>
        <v>27.10.2023</v>
      </c>
      <c r="J877" t="str">
        <v>14:36:27</v>
      </c>
      <c r="K877">
        <f t="shared" si="216"/>
        <v>14.56666666666697</v>
      </c>
      <c r="L877">
        <f t="shared" si="209"/>
        <v>8.379999999999999</v>
      </c>
      <c r="M877">
        <f t="shared" si="210"/>
        <v>0.9</v>
      </c>
      <c r="N877">
        <f t="shared" si="204"/>
        <v>1.1350000000000002</v>
      </c>
      <c r="Q877" t="str" cm="1">
        <f t="array" ref="Q877:R877">_xlfn.TEXTSPLIT(E877," ")</f>
        <v>27.10.2023</v>
      </c>
      <c r="R877" t="str">
        <v>14:36:27</v>
      </c>
      <c r="S877">
        <f t="shared" si="217"/>
        <v>14.56666666666697</v>
      </c>
      <c r="T877">
        <f t="shared" si="208"/>
        <v>13.840000000000003</v>
      </c>
      <c r="U877">
        <f t="shared" si="211"/>
        <v>2.25</v>
      </c>
      <c r="V877">
        <f t="shared" si="205"/>
        <v>1.9674999999999996</v>
      </c>
      <c r="AC877" t="s">
        <v>2271</v>
      </c>
      <c r="AD877">
        <v>0</v>
      </c>
      <c r="AE877">
        <v>8.49</v>
      </c>
      <c r="AG877" t="str" cm="1">
        <f t="array" ref="AG877:AH877">_xlfn.TEXTSPLIT(AC878," ")</f>
        <v>26.10.2023</v>
      </c>
      <c r="AH877" t="str">
        <v>14:37:34</v>
      </c>
      <c r="AI877">
        <f t="shared" si="218"/>
        <v>14.56666666666697</v>
      </c>
      <c r="AJ877">
        <f t="shared" si="212"/>
        <v>3.96</v>
      </c>
      <c r="AK877">
        <f t="shared" si="213"/>
        <v>0</v>
      </c>
      <c r="AL877">
        <f t="shared" si="206"/>
        <v>0.31</v>
      </c>
      <c r="AN877" t="s">
        <v>2271</v>
      </c>
      <c r="AO877">
        <v>0.3</v>
      </c>
      <c r="AP877">
        <v>71.56</v>
      </c>
      <c r="AR877" t="str" cm="1">
        <f t="array" ref="AR877:AS877">_xlfn.TEXTSPLIT(AN877," ")</f>
        <v>26.10.2023</v>
      </c>
      <c r="AS877" t="str">
        <v>14:36:34</v>
      </c>
      <c r="AT877">
        <f t="shared" si="219"/>
        <v>14.56666666666697</v>
      </c>
      <c r="AU877">
        <f t="shared" si="214"/>
        <v>10.25</v>
      </c>
      <c r="AV877">
        <f t="shared" si="215"/>
        <v>0.3</v>
      </c>
      <c r="AW877">
        <f t="shared" si="207"/>
        <v>0.64999999999999991</v>
      </c>
    </row>
    <row r="878" spans="1:49" x14ac:dyDescent="0.25">
      <c r="A878" t="s">
        <v>2272</v>
      </c>
      <c r="B878">
        <v>0.9</v>
      </c>
      <c r="C878">
        <v>22.72</v>
      </c>
      <c r="E878" t="s">
        <v>2272</v>
      </c>
      <c r="F878">
        <v>3.45</v>
      </c>
      <c r="G878">
        <v>92.49</v>
      </c>
      <c r="I878" t="str" cm="1">
        <f t="array" ref="I878:J878">_xlfn.TEXTSPLIT(A878," ")</f>
        <v>27.10.2023</v>
      </c>
      <c r="J878" t="str">
        <v>14:37:27</v>
      </c>
      <c r="K878">
        <f t="shared" si="216"/>
        <v>14.583333333333638</v>
      </c>
      <c r="L878">
        <f t="shared" si="209"/>
        <v>8.3999999999999986</v>
      </c>
      <c r="M878">
        <f t="shared" si="210"/>
        <v>0.9</v>
      </c>
      <c r="N878">
        <f t="shared" si="204"/>
        <v>1.1325000000000003</v>
      </c>
      <c r="Q878" t="str" cm="1">
        <f t="array" ref="Q878:R878">_xlfn.TEXTSPLIT(E878," ")</f>
        <v>27.10.2023</v>
      </c>
      <c r="R878" t="str">
        <v>14:37:27</v>
      </c>
      <c r="S878">
        <f t="shared" si="217"/>
        <v>14.583333333333638</v>
      </c>
      <c r="T878">
        <f t="shared" si="208"/>
        <v>13.89</v>
      </c>
      <c r="U878">
        <f t="shared" si="211"/>
        <v>3.45</v>
      </c>
      <c r="V878">
        <f t="shared" si="205"/>
        <v>1.9649999999999999</v>
      </c>
      <c r="AC878" t="s">
        <v>2273</v>
      </c>
      <c r="AD878">
        <v>0</v>
      </c>
      <c r="AE878">
        <v>8.49</v>
      </c>
      <c r="AG878" t="str" cm="1">
        <f t="array" ref="AG878:AH878">_xlfn.TEXTSPLIT(AC879," ")</f>
        <v>26.10.2023</v>
      </c>
      <c r="AH878" t="str">
        <v>14:38:34</v>
      </c>
      <c r="AI878">
        <f t="shared" si="218"/>
        <v>14.583333333333638</v>
      </c>
      <c r="AJ878">
        <f t="shared" si="212"/>
        <v>3.96</v>
      </c>
      <c r="AK878">
        <f t="shared" si="213"/>
        <v>0</v>
      </c>
      <c r="AL878">
        <f t="shared" si="206"/>
        <v>0.31</v>
      </c>
      <c r="AN878" t="s">
        <v>2273</v>
      </c>
      <c r="AO878">
        <v>1.05</v>
      </c>
      <c r="AP878">
        <v>71.58</v>
      </c>
      <c r="AR878" t="str" cm="1">
        <f t="array" ref="AR878:AS878">_xlfn.TEXTSPLIT(AN878," ")</f>
        <v>26.10.2023</v>
      </c>
      <c r="AS878" t="str">
        <v>14:37:34</v>
      </c>
      <c r="AT878">
        <f t="shared" si="219"/>
        <v>14.583333333333638</v>
      </c>
      <c r="AU878">
        <f t="shared" si="214"/>
        <v>10.269999999999996</v>
      </c>
      <c r="AV878">
        <f t="shared" si="215"/>
        <v>1.05</v>
      </c>
      <c r="AW878">
        <f t="shared" si="207"/>
        <v>0.63499999999999979</v>
      </c>
    </row>
    <row r="879" spans="1:49" x14ac:dyDescent="0.25">
      <c r="A879" t="s">
        <v>2274</v>
      </c>
      <c r="B879">
        <v>2.25</v>
      </c>
      <c r="C879">
        <v>22.76</v>
      </c>
      <c r="E879" t="s">
        <v>2274</v>
      </c>
      <c r="F879">
        <v>2.85</v>
      </c>
      <c r="G879">
        <v>92.55</v>
      </c>
      <c r="I879" t="str" cm="1">
        <f t="array" ref="I879:J879">_xlfn.TEXTSPLIT(A879," ")</f>
        <v>27.10.2023</v>
      </c>
      <c r="J879" t="str">
        <v>14:38:27</v>
      </c>
      <c r="K879">
        <f t="shared" si="216"/>
        <v>14.600000000000305</v>
      </c>
      <c r="L879">
        <f t="shared" si="209"/>
        <v>8.4400000000000013</v>
      </c>
      <c r="M879">
        <f t="shared" si="210"/>
        <v>2.25</v>
      </c>
      <c r="N879">
        <f t="shared" si="204"/>
        <v>1.1275000000000002</v>
      </c>
      <c r="Q879" t="str" cm="1">
        <f t="array" ref="Q879:R879">_xlfn.TEXTSPLIT(E879," ")</f>
        <v>27.10.2023</v>
      </c>
      <c r="R879" t="str">
        <v>14:38:27</v>
      </c>
      <c r="S879">
        <f t="shared" si="217"/>
        <v>14.600000000000305</v>
      </c>
      <c r="T879">
        <f t="shared" si="208"/>
        <v>13.950000000000003</v>
      </c>
      <c r="U879">
        <f t="shared" si="211"/>
        <v>2.85</v>
      </c>
      <c r="V879">
        <f t="shared" si="205"/>
        <v>1.96</v>
      </c>
      <c r="AC879" t="s">
        <v>2275</v>
      </c>
      <c r="AD879">
        <v>0</v>
      </c>
      <c r="AE879">
        <v>8.51</v>
      </c>
      <c r="AG879" t="str" cm="1">
        <f t="array" ref="AG879:AH879">_xlfn.TEXTSPLIT(AC880," ")</f>
        <v>26.10.2023</v>
      </c>
      <c r="AH879" t="str">
        <v>14:39:35</v>
      </c>
      <c r="AI879">
        <f t="shared" si="218"/>
        <v>14.600000000000305</v>
      </c>
      <c r="AJ879">
        <f t="shared" si="212"/>
        <v>3.9799999999999995</v>
      </c>
      <c r="AK879">
        <f t="shared" si="213"/>
        <v>0</v>
      </c>
      <c r="AL879">
        <f t="shared" si="206"/>
        <v>0.30750000000000005</v>
      </c>
      <c r="AN879" t="s">
        <v>2275</v>
      </c>
      <c r="AO879">
        <v>1.5</v>
      </c>
      <c r="AP879">
        <v>71.61</v>
      </c>
      <c r="AR879" t="str" cm="1">
        <f t="array" ref="AR879:AS879">_xlfn.TEXTSPLIT(AN879," ")</f>
        <v>26.10.2023</v>
      </c>
      <c r="AS879" t="str">
        <v>14:38:34</v>
      </c>
      <c r="AT879">
        <f t="shared" si="219"/>
        <v>14.600000000000305</v>
      </c>
      <c r="AU879">
        <f t="shared" si="214"/>
        <v>10.299999999999997</v>
      </c>
      <c r="AV879">
        <f t="shared" si="215"/>
        <v>1.5</v>
      </c>
      <c r="AW879">
        <f t="shared" si="207"/>
        <v>0.62499999999999989</v>
      </c>
    </row>
    <row r="880" spans="1:49" x14ac:dyDescent="0.25">
      <c r="A880" t="s">
        <v>2276</v>
      </c>
      <c r="B880">
        <v>3</v>
      </c>
      <c r="C880">
        <v>22.82</v>
      </c>
      <c r="E880" t="s">
        <v>2276</v>
      </c>
      <c r="F880">
        <v>3.45</v>
      </c>
      <c r="G880">
        <v>92.6</v>
      </c>
      <c r="I880" t="str" cm="1">
        <f t="array" ref="I880:J880">_xlfn.TEXTSPLIT(A880," ")</f>
        <v>27.10.2023</v>
      </c>
      <c r="J880" t="str">
        <v>14:39:28</v>
      </c>
      <c r="K880">
        <f t="shared" si="216"/>
        <v>14.616666666666973</v>
      </c>
      <c r="L880">
        <f t="shared" si="209"/>
        <v>8.5</v>
      </c>
      <c r="M880">
        <f t="shared" si="210"/>
        <v>3</v>
      </c>
      <c r="N880">
        <f t="shared" si="204"/>
        <v>1.1224999999999998</v>
      </c>
      <c r="Q880" t="str" cm="1">
        <f t="array" ref="Q880:R880">_xlfn.TEXTSPLIT(E880," ")</f>
        <v>27.10.2023</v>
      </c>
      <c r="R880" t="str">
        <v>14:39:28</v>
      </c>
      <c r="S880">
        <f t="shared" si="217"/>
        <v>14.616666666666973</v>
      </c>
      <c r="T880">
        <f t="shared" si="208"/>
        <v>14</v>
      </c>
      <c r="U880">
        <f t="shared" si="211"/>
        <v>3.45</v>
      </c>
      <c r="V880">
        <f t="shared" si="205"/>
        <v>1.9525000000000001</v>
      </c>
      <c r="AC880" t="s">
        <v>2277</v>
      </c>
      <c r="AD880">
        <v>1.65</v>
      </c>
      <c r="AE880">
        <v>8.5399999999999991</v>
      </c>
      <c r="AG880" t="str" cm="1">
        <f t="array" ref="AG880:AH880">_xlfn.TEXTSPLIT(AC881," ")</f>
        <v>26.10.2023</v>
      </c>
      <c r="AH880" t="str">
        <v>14:40:35</v>
      </c>
      <c r="AI880">
        <f t="shared" si="218"/>
        <v>14.616666666666973</v>
      </c>
      <c r="AJ880">
        <f t="shared" si="212"/>
        <v>4.0099999999999989</v>
      </c>
      <c r="AK880">
        <f t="shared" si="213"/>
        <v>1.65</v>
      </c>
      <c r="AL880">
        <f t="shared" si="206"/>
        <v>0.3</v>
      </c>
      <c r="AN880" t="s">
        <v>2277</v>
      </c>
      <c r="AO880">
        <v>2.25</v>
      </c>
      <c r="AP880">
        <v>71.650000000000006</v>
      </c>
      <c r="AR880" t="str" cm="1">
        <f t="array" ref="AR880:AS880">_xlfn.TEXTSPLIT(AN880," ")</f>
        <v>26.10.2023</v>
      </c>
      <c r="AS880" t="str">
        <v>14:39:35</v>
      </c>
      <c r="AT880">
        <f t="shared" si="219"/>
        <v>14.616666666666973</v>
      </c>
      <c r="AU880">
        <f t="shared" si="214"/>
        <v>10.340000000000003</v>
      </c>
      <c r="AV880">
        <f t="shared" si="215"/>
        <v>2.25</v>
      </c>
      <c r="AW880">
        <f t="shared" si="207"/>
        <v>0.63249999999999995</v>
      </c>
    </row>
    <row r="881" spans="1:49" x14ac:dyDescent="0.25">
      <c r="A881" t="s">
        <v>2278</v>
      </c>
      <c r="B881">
        <v>2.5499999999999998</v>
      </c>
      <c r="C881">
        <v>22.85</v>
      </c>
      <c r="E881" t="s">
        <v>2278</v>
      </c>
      <c r="F881">
        <v>1.95</v>
      </c>
      <c r="G881">
        <v>92.62</v>
      </c>
      <c r="I881" t="str" cm="1">
        <f t="array" ref="I881:J881">_xlfn.TEXTSPLIT(A881," ")</f>
        <v>27.10.2023</v>
      </c>
      <c r="J881" t="str">
        <v>14:40:28</v>
      </c>
      <c r="K881">
        <f t="shared" si="216"/>
        <v>14.63333333333364</v>
      </c>
      <c r="L881">
        <f t="shared" si="209"/>
        <v>8.5300000000000011</v>
      </c>
      <c r="M881">
        <f t="shared" si="210"/>
        <v>2.5499999999999998</v>
      </c>
      <c r="N881">
        <f t="shared" si="204"/>
        <v>1.1299999999999999</v>
      </c>
      <c r="Q881" t="str" cm="1">
        <f t="array" ref="Q881:R881">_xlfn.TEXTSPLIT(E881," ")</f>
        <v>27.10.2023</v>
      </c>
      <c r="R881" t="str">
        <v>14:40:28</v>
      </c>
      <c r="S881">
        <f t="shared" si="217"/>
        <v>14.63333333333364</v>
      </c>
      <c r="T881">
        <f t="shared" si="208"/>
        <v>14.02000000000001</v>
      </c>
      <c r="U881">
        <f t="shared" si="211"/>
        <v>1.95</v>
      </c>
      <c r="V881">
        <f t="shared" si="205"/>
        <v>1.9500000000000002</v>
      </c>
      <c r="AC881" t="s">
        <v>2279</v>
      </c>
      <c r="AD881">
        <v>1.8</v>
      </c>
      <c r="AE881">
        <v>8.57</v>
      </c>
      <c r="AG881" t="str" cm="1">
        <f t="array" ref="AG881:AH881">_xlfn.TEXTSPLIT(AC882," ")</f>
        <v>26.10.2023</v>
      </c>
      <c r="AH881" t="str">
        <v>14:41:35</v>
      </c>
      <c r="AI881">
        <f t="shared" si="218"/>
        <v>14.63333333333364</v>
      </c>
      <c r="AJ881">
        <f t="shared" si="212"/>
        <v>4.04</v>
      </c>
      <c r="AK881">
        <f t="shared" si="213"/>
        <v>1.8</v>
      </c>
      <c r="AL881">
        <f t="shared" si="206"/>
        <v>0.30000000000000004</v>
      </c>
      <c r="AN881" t="s">
        <v>2279</v>
      </c>
      <c r="AO881">
        <v>1.8</v>
      </c>
      <c r="AP881">
        <v>71.680000000000007</v>
      </c>
      <c r="AR881" t="str" cm="1">
        <f t="array" ref="AR881:AS881">_xlfn.TEXTSPLIT(AN881," ")</f>
        <v>26.10.2023</v>
      </c>
      <c r="AS881" t="str">
        <v>14:40:35</v>
      </c>
      <c r="AT881">
        <f t="shared" si="219"/>
        <v>14.63333333333364</v>
      </c>
      <c r="AU881">
        <f t="shared" si="214"/>
        <v>10.370000000000005</v>
      </c>
      <c r="AV881">
        <f t="shared" si="215"/>
        <v>1.8</v>
      </c>
      <c r="AW881">
        <f t="shared" si="207"/>
        <v>0.63249999999999995</v>
      </c>
    </row>
    <row r="882" spans="1:49" x14ac:dyDescent="0.25">
      <c r="A882" t="s">
        <v>2280</v>
      </c>
      <c r="B882">
        <v>1.5</v>
      </c>
      <c r="C882">
        <v>22.88</v>
      </c>
      <c r="E882" t="s">
        <v>2280</v>
      </c>
      <c r="F882">
        <v>1.8</v>
      </c>
      <c r="G882">
        <v>92.66</v>
      </c>
      <c r="I882" t="str" cm="1">
        <f t="array" ref="I882:J882">_xlfn.TEXTSPLIT(A882," ")</f>
        <v>27.10.2023</v>
      </c>
      <c r="J882" t="str">
        <v>14:41:28</v>
      </c>
      <c r="K882">
        <f t="shared" si="216"/>
        <v>14.650000000000308</v>
      </c>
      <c r="L882">
        <f t="shared" si="209"/>
        <v>8.5599999999999987</v>
      </c>
      <c r="M882">
        <f t="shared" si="210"/>
        <v>1.5</v>
      </c>
      <c r="N882">
        <f t="shared" si="204"/>
        <v>1.1224999999999998</v>
      </c>
      <c r="Q882" t="str" cm="1">
        <f t="array" ref="Q882:R882">_xlfn.TEXTSPLIT(E882," ")</f>
        <v>27.10.2023</v>
      </c>
      <c r="R882" t="str">
        <v>14:41:28</v>
      </c>
      <c r="S882">
        <f t="shared" si="217"/>
        <v>14.650000000000308</v>
      </c>
      <c r="T882">
        <f t="shared" si="208"/>
        <v>14.060000000000002</v>
      </c>
      <c r="U882">
        <f t="shared" si="211"/>
        <v>1.8</v>
      </c>
      <c r="V882">
        <f t="shared" si="205"/>
        <v>1.9300000000000002</v>
      </c>
      <c r="AC882" t="s">
        <v>2281</v>
      </c>
      <c r="AD882">
        <v>1.65</v>
      </c>
      <c r="AE882">
        <v>8.59</v>
      </c>
      <c r="AG882" t="str" cm="1">
        <f t="array" ref="AG882:AH882">_xlfn.TEXTSPLIT(AC883," ")</f>
        <v>26.10.2023</v>
      </c>
      <c r="AH882" t="str">
        <v>14:42:35</v>
      </c>
      <c r="AI882">
        <f t="shared" si="218"/>
        <v>14.650000000000308</v>
      </c>
      <c r="AJ882">
        <f t="shared" si="212"/>
        <v>4.0599999999999996</v>
      </c>
      <c r="AK882">
        <f t="shared" si="213"/>
        <v>1.65</v>
      </c>
      <c r="AL882">
        <f t="shared" si="206"/>
        <v>0.31</v>
      </c>
      <c r="AN882" t="s">
        <v>2281</v>
      </c>
      <c r="AO882">
        <v>1.05</v>
      </c>
      <c r="AP882">
        <v>71.69</v>
      </c>
      <c r="AR882" t="str" cm="1">
        <f t="array" ref="AR882:AS882">_xlfn.TEXTSPLIT(AN882," ")</f>
        <v>26.10.2023</v>
      </c>
      <c r="AS882" t="str">
        <v>14:41:35</v>
      </c>
      <c r="AT882">
        <f t="shared" si="219"/>
        <v>14.650000000000308</v>
      </c>
      <c r="AU882">
        <f t="shared" si="214"/>
        <v>10.379999999999995</v>
      </c>
      <c r="AV882">
        <f t="shared" si="215"/>
        <v>1.05</v>
      </c>
      <c r="AW882">
        <f t="shared" si="207"/>
        <v>0.62249999999999994</v>
      </c>
    </row>
    <row r="883" spans="1:49" x14ac:dyDescent="0.25">
      <c r="A883" t="s">
        <v>2282</v>
      </c>
      <c r="B883">
        <v>1.65</v>
      </c>
      <c r="C883">
        <v>22.91</v>
      </c>
      <c r="E883" t="s">
        <v>2282</v>
      </c>
      <c r="F883">
        <v>2.25</v>
      </c>
      <c r="G883">
        <v>92.69</v>
      </c>
      <c r="I883" t="str" cm="1">
        <f t="array" ref="I883:J883">_xlfn.TEXTSPLIT(A883," ")</f>
        <v>27.10.2023</v>
      </c>
      <c r="J883" t="str">
        <v>14:42:28</v>
      </c>
      <c r="K883">
        <f t="shared" si="216"/>
        <v>14.666666666666975</v>
      </c>
      <c r="L883">
        <f t="shared" si="209"/>
        <v>8.59</v>
      </c>
      <c r="M883">
        <f t="shared" si="210"/>
        <v>1.65</v>
      </c>
      <c r="N883">
        <f t="shared" si="204"/>
        <v>1.1174999999999999</v>
      </c>
      <c r="Q883" t="str" cm="1">
        <f t="array" ref="Q883:R883">_xlfn.TEXTSPLIT(E883," ")</f>
        <v>27.10.2023</v>
      </c>
      <c r="R883" t="str">
        <v>14:42:28</v>
      </c>
      <c r="S883">
        <f t="shared" si="217"/>
        <v>14.666666666666975</v>
      </c>
      <c r="T883">
        <f t="shared" si="208"/>
        <v>14.090000000000003</v>
      </c>
      <c r="U883">
        <f t="shared" si="211"/>
        <v>2.25</v>
      </c>
      <c r="V883">
        <f t="shared" si="205"/>
        <v>1.9225000000000001</v>
      </c>
      <c r="AC883" t="s">
        <v>2283</v>
      </c>
      <c r="AD883">
        <v>0.75</v>
      </c>
      <c r="AE883">
        <v>8.6</v>
      </c>
      <c r="AG883" t="str" cm="1">
        <f t="array" ref="AG883:AH883">_xlfn.TEXTSPLIT(AC884," ")</f>
        <v>26.10.2023</v>
      </c>
      <c r="AH883" t="str">
        <v>14:43:35</v>
      </c>
      <c r="AI883">
        <f t="shared" si="218"/>
        <v>14.666666666666975</v>
      </c>
      <c r="AJ883">
        <f t="shared" si="212"/>
        <v>4.0699999999999994</v>
      </c>
      <c r="AK883">
        <f t="shared" si="213"/>
        <v>0.75</v>
      </c>
      <c r="AL883">
        <f t="shared" si="206"/>
        <v>0.31500000000000006</v>
      </c>
      <c r="AN883" t="s">
        <v>2283</v>
      </c>
      <c r="AO883">
        <v>0.75</v>
      </c>
      <c r="AP883">
        <v>71.709999999999994</v>
      </c>
      <c r="AR883" t="str" cm="1">
        <f t="array" ref="AR883:AS883">_xlfn.TEXTSPLIT(AN883," ")</f>
        <v>26.10.2023</v>
      </c>
      <c r="AS883" t="str">
        <v>14:42:35</v>
      </c>
      <c r="AT883">
        <f t="shared" si="219"/>
        <v>14.666666666666975</v>
      </c>
      <c r="AU883">
        <f t="shared" si="214"/>
        <v>10.399999999999991</v>
      </c>
      <c r="AV883">
        <f t="shared" si="215"/>
        <v>0.75</v>
      </c>
      <c r="AW883">
        <f t="shared" si="207"/>
        <v>0.61749999999999983</v>
      </c>
    </row>
    <row r="884" spans="1:49" x14ac:dyDescent="0.25">
      <c r="A884" t="s">
        <v>2284</v>
      </c>
      <c r="B884">
        <v>1.35</v>
      </c>
      <c r="C884">
        <v>22.93</v>
      </c>
      <c r="E884" t="s">
        <v>2284</v>
      </c>
      <c r="F884">
        <v>2.1</v>
      </c>
      <c r="G884">
        <v>92.72</v>
      </c>
      <c r="I884" t="str" cm="1">
        <f t="array" ref="I884:J884">_xlfn.TEXTSPLIT(A884," ")</f>
        <v>27.10.2023</v>
      </c>
      <c r="J884" t="str">
        <v>14:43:28</v>
      </c>
      <c r="K884">
        <f t="shared" si="216"/>
        <v>14.683333333333643</v>
      </c>
      <c r="L884">
        <f t="shared" si="209"/>
        <v>8.61</v>
      </c>
      <c r="M884">
        <f t="shared" si="210"/>
        <v>1.35</v>
      </c>
      <c r="N884">
        <f t="shared" si="204"/>
        <v>1.1074999999999997</v>
      </c>
      <c r="Q884" t="str" cm="1">
        <f t="array" ref="Q884:R884">_xlfn.TEXTSPLIT(E884," ")</f>
        <v>27.10.2023</v>
      </c>
      <c r="R884" t="str">
        <v>14:43:28</v>
      </c>
      <c r="S884">
        <f t="shared" si="217"/>
        <v>14.683333333333643</v>
      </c>
      <c r="T884">
        <f t="shared" si="208"/>
        <v>14.120000000000005</v>
      </c>
      <c r="U884">
        <f t="shared" si="211"/>
        <v>2.1</v>
      </c>
      <c r="V884">
        <f t="shared" si="205"/>
        <v>1.925</v>
      </c>
      <c r="AC884" t="s">
        <v>2285</v>
      </c>
      <c r="AD884">
        <v>0.45</v>
      </c>
      <c r="AE884">
        <v>8.6</v>
      </c>
      <c r="AG884" t="str" cm="1">
        <f t="array" ref="AG884:AH884">_xlfn.TEXTSPLIT(AC885," ")</f>
        <v>26.10.2023</v>
      </c>
      <c r="AH884" t="str">
        <v>14:44:35</v>
      </c>
      <c r="AI884">
        <f t="shared" si="218"/>
        <v>14.683333333333643</v>
      </c>
      <c r="AJ884">
        <f t="shared" si="212"/>
        <v>4.0699999999999994</v>
      </c>
      <c r="AK884">
        <f t="shared" si="213"/>
        <v>0.45</v>
      </c>
      <c r="AL884">
        <f t="shared" si="206"/>
        <v>0.30750000000000005</v>
      </c>
      <c r="AN884" t="s">
        <v>2285</v>
      </c>
      <c r="AO884">
        <v>0.75</v>
      </c>
      <c r="AP884">
        <v>71.72</v>
      </c>
      <c r="AR884" t="str" cm="1">
        <f t="array" ref="AR884:AS884">_xlfn.TEXTSPLIT(AN884," ")</f>
        <v>26.10.2023</v>
      </c>
      <c r="AS884" t="str">
        <v>14:43:35</v>
      </c>
      <c r="AT884">
        <f t="shared" si="219"/>
        <v>14.683333333333643</v>
      </c>
      <c r="AU884">
        <f t="shared" si="214"/>
        <v>10.409999999999997</v>
      </c>
      <c r="AV884">
        <f t="shared" si="215"/>
        <v>0.75</v>
      </c>
      <c r="AW884">
        <f t="shared" si="207"/>
        <v>0.61749999999999994</v>
      </c>
    </row>
    <row r="885" spans="1:49" x14ac:dyDescent="0.25">
      <c r="A885" t="s">
        <v>2286</v>
      </c>
      <c r="B885">
        <v>1.65</v>
      </c>
      <c r="C885">
        <v>22.95</v>
      </c>
      <c r="E885" t="s">
        <v>2286</v>
      </c>
      <c r="F885">
        <v>1.5</v>
      </c>
      <c r="G885">
        <v>92.75</v>
      </c>
      <c r="I885" t="str" cm="1">
        <f t="array" ref="I885:J885">_xlfn.TEXTSPLIT(A885," ")</f>
        <v>27.10.2023</v>
      </c>
      <c r="J885" t="str">
        <v>14:44:28</v>
      </c>
      <c r="K885">
        <f t="shared" si="216"/>
        <v>14.70000000000031</v>
      </c>
      <c r="L885">
        <f t="shared" si="209"/>
        <v>8.629999999999999</v>
      </c>
      <c r="M885">
        <f t="shared" si="210"/>
        <v>1.65</v>
      </c>
      <c r="N885">
        <f t="shared" si="204"/>
        <v>1.1024999999999998</v>
      </c>
      <c r="Q885" t="str" cm="1">
        <f t="array" ref="Q885:R885">_xlfn.TEXTSPLIT(E885," ")</f>
        <v>27.10.2023</v>
      </c>
      <c r="R885" t="str">
        <v>14:44:28</v>
      </c>
      <c r="S885">
        <f t="shared" si="217"/>
        <v>14.70000000000031</v>
      </c>
      <c r="T885">
        <f t="shared" si="208"/>
        <v>14.150000000000006</v>
      </c>
      <c r="U885">
        <f t="shared" si="211"/>
        <v>1.5</v>
      </c>
      <c r="V885">
        <f t="shared" si="205"/>
        <v>1.9025000000000003</v>
      </c>
      <c r="AC885" t="s">
        <v>2287</v>
      </c>
      <c r="AD885">
        <v>0.6</v>
      </c>
      <c r="AE885">
        <v>8.61</v>
      </c>
      <c r="AG885" t="str" cm="1">
        <f t="array" ref="AG885:AH885">_xlfn.TEXTSPLIT(AC886," ")</f>
        <v>26.10.2023</v>
      </c>
      <c r="AH885" t="str">
        <v>14:45:36</v>
      </c>
      <c r="AI885">
        <f t="shared" si="218"/>
        <v>14.70000000000031</v>
      </c>
      <c r="AJ885">
        <f t="shared" si="212"/>
        <v>4.0799999999999992</v>
      </c>
      <c r="AK885">
        <f t="shared" si="213"/>
        <v>0.6</v>
      </c>
      <c r="AL885">
        <f t="shared" si="206"/>
        <v>0.31250000000000006</v>
      </c>
      <c r="AN885" t="s">
        <v>2287</v>
      </c>
      <c r="AO885">
        <v>0.6</v>
      </c>
      <c r="AP885">
        <v>71.73</v>
      </c>
      <c r="AR885" t="str" cm="1">
        <f t="array" ref="AR885:AS885">_xlfn.TEXTSPLIT(AN885," ")</f>
        <v>26.10.2023</v>
      </c>
      <c r="AS885" t="str">
        <v>14:44:35</v>
      </c>
      <c r="AT885">
        <f t="shared" si="219"/>
        <v>14.70000000000031</v>
      </c>
      <c r="AU885">
        <f t="shared" si="214"/>
        <v>10.420000000000002</v>
      </c>
      <c r="AV885">
        <f t="shared" si="215"/>
        <v>0.6</v>
      </c>
      <c r="AW885">
        <f t="shared" si="207"/>
        <v>0.61749999999999983</v>
      </c>
    </row>
    <row r="886" spans="1:49" x14ac:dyDescent="0.25">
      <c r="A886" t="s">
        <v>2288</v>
      </c>
      <c r="B886">
        <v>0.9</v>
      </c>
      <c r="C886">
        <v>22.97</v>
      </c>
      <c r="E886" t="s">
        <v>2288</v>
      </c>
      <c r="F886">
        <v>1.5</v>
      </c>
      <c r="G886">
        <v>92.78</v>
      </c>
      <c r="I886" t="str" cm="1">
        <f t="array" ref="I886:J886">_xlfn.TEXTSPLIT(A886," ")</f>
        <v>27.10.2023</v>
      </c>
      <c r="J886" t="str">
        <v>14:45:28</v>
      </c>
      <c r="K886">
        <f t="shared" si="216"/>
        <v>14.716666666666978</v>
      </c>
      <c r="L886">
        <f t="shared" si="209"/>
        <v>8.6499999999999986</v>
      </c>
      <c r="M886">
        <f t="shared" si="210"/>
        <v>0.9</v>
      </c>
      <c r="N886">
        <f t="shared" si="204"/>
        <v>1.1000000000000001</v>
      </c>
      <c r="Q886" t="str" cm="1">
        <f t="array" ref="Q886:R886">_xlfn.TEXTSPLIT(E886," ")</f>
        <v>27.10.2023</v>
      </c>
      <c r="R886" t="str">
        <v>14:45:28</v>
      </c>
      <c r="S886">
        <f t="shared" si="217"/>
        <v>14.716666666666978</v>
      </c>
      <c r="T886">
        <f t="shared" si="208"/>
        <v>14.180000000000007</v>
      </c>
      <c r="U886">
        <f t="shared" si="211"/>
        <v>1.5</v>
      </c>
      <c r="V886">
        <f t="shared" si="205"/>
        <v>1.8850000000000005</v>
      </c>
      <c r="AC886" t="s">
        <v>2289</v>
      </c>
      <c r="AD886">
        <v>0.45</v>
      </c>
      <c r="AE886">
        <v>8.6199999999999992</v>
      </c>
      <c r="AG886" t="str" cm="1">
        <f t="array" ref="AG886:AH886">_xlfn.TEXTSPLIT(AC887," ")</f>
        <v>26.10.2023</v>
      </c>
      <c r="AH886" t="str">
        <v>14:46:36</v>
      </c>
      <c r="AI886">
        <f t="shared" si="218"/>
        <v>14.716666666666978</v>
      </c>
      <c r="AJ886">
        <f t="shared" si="212"/>
        <v>4.089999999999999</v>
      </c>
      <c r="AK886">
        <f t="shared" si="213"/>
        <v>0.45</v>
      </c>
      <c r="AL886">
        <f t="shared" si="206"/>
        <v>0.30750000000000005</v>
      </c>
      <c r="AN886" t="s">
        <v>2289</v>
      </c>
      <c r="AO886">
        <v>0.75</v>
      </c>
      <c r="AP886">
        <v>71.75</v>
      </c>
      <c r="AR886" t="str" cm="1">
        <f t="array" ref="AR886:AS886">_xlfn.TEXTSPLIT(AN886," ")</f>
        <v>26.10.2023</v>
      </c>
      <c r="AS886" t="str">
        <v>14:45:36</v>
      </c>
      <c r="AT886">
        <f t="shared" si="219"/>
        <v>14.716666666666978</v>
      </c>
      <c r="AU886">
        <f t="shared" si="214"/>
        <v>10.439999999999998</v>
      </c>
      <c r="AV886">
        <f t="shared" si="215"/>
        <v>0.75</v>
      </c>
      <c r="AW886">
        <f t="shared" si="207"/>
        <v>0.61999999999999988</v>
      </c>
    </row>
    <row r="887" spans="1:49" x14ac:dyDescent="0.25">
      <c r="A887" t="s">
        <v>2290</v>
      </c>
      <c r="B887">
        <v>1.05</v>
      </c>
      <c r="C887">
        <v>22.98</v>
      </c>
      <c r="E887" t="s">
        <v>2290</v>
      </c>
      <c r="F887">
        <v>2.25</v>
      </c>
      <c r="G887">
        <v>92.81</v>
      </c>
      <c r="I887" t="str" cm="1">
        <f t="array" ref="I887:J887">_xlfn.TEXTSPLIT(A887," ")</f>
        <v>27.10.2023</v>
      </c>
      <c r="J887" t="str">
        <v>14:46:28</v>
      </c>
      <c r="K887">
        <f t="shared" si="216"/>
        <v>14.733333333333645</v>
      </c>
      <c r="L887">
        <f t="shared" si="209"/>
        <v>8.66</v>
      </c>
      <c r="M887">
        <f t="shared" si="210"/>
        <v>1.05</v>
      </c>
      <c r="N887">
        <f t="shared" si="204"/>
        <v>1.1000000000000001</v>
      </c>
      <c r="Q887" t="str" cm="1">
        <f t="array" ref="Q887:R887">_xlfn.TEXTSPLIT(E887," ")</f>
        <v>27.10.2023</v>
      </c>
      <c r="R887" t="str">
        <v>14:46:28</v>
      </c>
      <c r="S887">
        <f t="shared" si="217"/>
        <v>14.733333333333645</v>
      </c>
      <c r="T887">
        <f t="shared" si="208"/>
        <v>14.210000000000008</v>
      </c>
      <c r="U887">
        <f t="shared" si="211"/>
        <v>2.25</v>
      </c>
      <c r="V887">
        <f t="shared" si="205"/>
        <v>1.8875000000000002</v>
      </c>
      <c r="AC887" t="s">
        <v>2291</v>
      </c>
      <c r="AD887">
        <v>0.3</v>
      </c>
      <c r="AE887">
        <v>8.6199999999999992</v>
      </c>
      <c r="AG887" t="str" cm="1">
        <f t="array" ref="AG887:AH887">_xlfn.TEXTSPLIT(AC888," ")</f>
        <v>26.10.2023</v>
      </c>
      <c r="AH887" t="str">
        <v>14:47:36</v>
      </c>
      <c r="AI887">
        <f t="shared" si="218"/>
        <v>14.733333333333645</v>
      </c>
      <c r="AJ887">
        <f t="shared" si="212"/>
        <v>4.089999999999999</v>
      </c>
      <c r="AK887">
        <f t="shared" si="213"/>
        <v>0.3</v>
      </c>
      <c r="AL887">
        <f t="shared" si="206"/>
        <v>0.31000000000000011</v>
      </c>
      <c r="AN887" t="s">
        <v>2291</v>
      </c>
      <c r="AO887">
        <v>0.75</v>
      </c>
      <c r="AP887">
        <v>71.75</v>
      </c>
      <c r="AR887" t="str" cm="1">
        <f t="array" ref="AR887:AS887">_xlfn.TEXTSPLIT(AN887," ")</f>
        <v>26.10.2023</v>
      </c>
      <c r="AS887" t="str">
        <v>14:46:36</v>
      </c>
      <c r="AT887">
        <f t="shared" si="219"/>
        <v>14.733333333333645</v>
      </c>
      <c r="AU887">
        <f t="shared" si="214"/>
        <v>10.439999999999998</v>
      </c>
      <c r="AV887">
        <f t="shared" si="215"/>
        <v>0.75</v>
      </c>
      <c r="AW887">
        <f t="shared" si="207"/>
        <v>0.625</v>
      </c>
    </row>
    <row r="888" spans="1:49" x14ac:dyDescent="0.25">
      <c r="A888" t="s">
        <v>2292</v>
      </c>
      <c r="B888">
        <v>0.9</v>
      </c>
      <c r="C888">
        <v>23</v>
      </c>
      <c r="E888" t="s">
        <v>2292</v>
      </c>
      <c r="F888">
        <v>1.8</v>
      </c>
      <c r="G888">
        <v>92.84</v>
      </c>
      <c r="I888" t="str" cm="1">
        <f t="array" ref="I888:J888">_xlfn.TEXTSPLIT(A888," ")</f>
        <v>27.10.2023</v>
      </c>
      <c r="J888" t="str">
        <v>14:47:28</v>
      </c>
      <c r="K888">
        <f t="shared" si="216"/>
        <v>14.750000000000313</v>
      </c>
      <c r="L888">
        <f t="shared" si="209"/>
        <v>8.68</v>
      </c>
      <c r="M888">
        <f t="shared" si="210"/>
        <v>0.9</v>
      </c>
      <c r="N888">
        <f t="shared" si="204"/>
        <v>1.0949999999999998</v>
      </c>
      <c r="Q888" t="str" cm="1">
        <f t="array" ref="Q888:R888">_xlfn.TEXTSPLIT(E888," ")</f>
        <v>27.10.2023</v>
      </c>
      <c r="R888" t="str">
        <v>14:47:28</v>
      </c>
      <c r="S888">
        <f t="shared" si="217"/>
        <v>14.750000000000313</v>
      </c>
      <c r="T888">
        <f t="shared" si="208"/>
        <v>14.240000000000009</v>
      </c>
      <c r="U888">
        <f t="shared" si="211"/>
        <v>1.8</v>
      </c>
      <c r="V888">
        <f t="shared" si="205"/>
        <v>1.8775000000000002</v>
      </c>
      <c r="AC888" t="s">
        <v>2293</v>
      </c>
      <c r="AD888">
        <v>0.15</v>
      </c>
      <c r="AE888">
        <v>8.6300000000000008</v>
      </c>
      <c r="AG888" t="str" cm="1">
        <f t="array" ref="AG888:AH888">_xlfn.TEXTSPLIT(AC889," ")</f>
        <v>26.10.2023</v>
      </c>
      <c r="AH888" t="str">
        <v>14:48:36</v>
      </c>
      <c r="AI888">
        <f t="shared" si="218"/>
        <v>14.750000000000313</v>
      </c>
      <c r="AJ888">
        <f t="shared" si="212"/>
        <v>4.1000000000000005</v>
      </c>
      <c r="AK888">
        <f t="shared" si="213"/>
        <v>0.15</v>
      </c>
      <c r="AL888">
        <f t="shared" si="206"/>
        <v>0.31250000000000006</v>
      </c>
      <c r="AN888" t="s">
        <v>2293</v>
      </c>
      <c r="AO888">
        <v>0.75</v>
      </c>
      <c r="AP888">
        <v>71.760000000000005</v>
      </c>
      <c r="AR888" t="str" cm="1">
        <f t="array" ref="AR888:AS888">_xlfn.TEXTSPLIT(AN888," ")</f>
        <v>26.10.2023</v>
      </c>
      <c r="AS888" t="str">
        <v>14:47:36</v>
      </c>
      <c r="AT888">
        <f t="shared" si="219"/>
        <v>14.750000000000313</v>
      </c>
      <c r="AU888">
        <f t="shared" si="214"/>
        <v>10.450000000000003</v>
      </c>
      <c r="AV888">
        <f t="shared" si="215"/>
        <v>0.75</v>
      </c>
      <c r="AW888">
        <f t="shared" si="207"/>
        <v>0.63</v>
      </c>
    </row>
    <row r="889" spans="1:49" x14ac:dyDescent="0.25">
      <c r="A889" t="s">
        <v>2294</v>
      </c>
      <c r="B889">
        <v>1.2</v>
      </c>
      <c r="C889">
        <v>23.02</v>
      </c>
      <c r="E889" t="s">
        <v>2294</v>
      </c>
      <c r="F889">
        <v>1.65</v>
      </c>
      <c r="G889">
        <v>92.87</v>
      </c>
      <c r="I889" t="str" cm="1">
        <f t="array" ref="I889:J889">_xlfn.TEXTSPLIT(A889," ")</f>
        <v>27.10.2023</v>
      </c>
      <c r="J889" t="str">
        <v>14:48:28</v>
      </c>
      <c r="K889">
        <f t="shared" si="216"/>
        <v>14.76666666666698</v>
      </c>
      <c r="L889">
        <f t="shared" si="209"/>
        <v>8.6999999999999993</v>
      </c>
      <c r="M889">
        <f t="shared" si="210"/>
        <v>1.2</v>
      </c>
      <c r="N889">
        <f t="shared" si="204"/>
        <v>1.0899999999999999</v>
      </c>
      <c r="Q889" t="str" cm="1">
        <f t="array" ref="Q889:R889">_xlfn.TEXTSPLIT(E889," ")</f>
        <v>27.10.2023</v>
      </c>
      <c r="R889" t="str">
        <v>14:48:28</v>
      </c>
      <c r="S889">
        <f t="shared" si="217"/>
        <v>14.76666666666698</v>
      </c>
      <c r="T889">
        <f t="shared" si="208"/>
        <v>14.27000000000001</v>
      </c>
      <c r="U889">
        <f t="shared" si="211"/>
        <v>1.65</v>
      </c>
      <c r="V889">
        <f t="shared" si="205"/>
        <v>1.8674999999999999</v>
      </c>
      <c r="AC889" t="s">
        <v>2295</v>
      </c>
      <c r="AD889">
        <v>0.15</v>
      </c>
      <c r="AE889">
        <v>8.64</v>
      </c>
      <c r="AG889" t="str" cm="1">
        <f t="array" ref="AG889:AH889">_xlfn.TEXTSPLIT(AC890," ")</f>
        <v>26.10.2023</v>
      </c>
      <c r="AH889" t="str">
        <v>14:49:36</v>
      </c>
      <c r="AI889">
        <f t="shared" si="218"/>
        <v>14.76666666666698</v>
      </c>
      <c r="AJ889">
        <f t="shared" si="212"/>
        <v>4.1100000000000003</v>
      </c>
      <c r="AK889">
        <f t="shared" si="213"/>
        <v>0.15</v>
      </c>
      <c r="AL889">
        <f t="shared" si="206"/>
        <v>0.31000000000000011</v>
      </c>
      <c r="AN889" t="s">
        <v>2295</v>
      </c>
      <c r="AO889">
        <v>0.45</v>
      </c>
      <c r="AP889">
        <v>71.78</v>
      </c>
      <c r="AR889" t="str" cm="1">
        <f t="array" ref="AR889:AS889">_xlfn.TEXTSPLIT(AN889," ")</f>
        <v>26.10.2023</v>
      </c>
      <c r="AS889" t="str">
        <v>14:48:36</v>
      </c>
      <c r="AT889">
        <f t="shared" si="219"/>
        <v>14.76666666666698</v>
      </c>
      <c r="AU889">
        <f t="shared" si="214"/>
        <v>10.469999999999999</v>
      </c>
      <c r="AV889">
        <f t="shared" si="215"/>
        <v>0.45</v>
      </c>
      <c r="AW889">
        <f t="shared" si="207"/>
        <v>0.62500000000000011</v>
      </c>
    </row>
    <row r="890" spans="1:49" x14ac:dyDescent="0.25">
      <c r="A890" t="s">
        <v>2296</v>
      </c>
      <c r="B890">
        <v>1.2</v>
      </c>
      <c r="C890">
        <v>23.04</v>
      </c>
      <c r="E890" t="s">
        <v>2296</v>
      </c>
      <c r="F890">
        <v>1.8</v>
      </c>
      <c r="G890">
        <v>92.89</v>
      </c>
      <c r="I890" t="str" cm="1">
        <f t="array" ref="I890:J890">_xlfn.TEXTSPLIT(A890," ")</f>
        <v>27.10.2023</v>
      </c>
      <c r="J890" t="str">
        <v>14:49:28</v>
      </c>
      <c r="K890">
        <f t="shared" si="216"/>
        <v>14.783333333333648</v>
      </c>
      <c r="L890">
        <f t="shared" si="209"/>
        <v>8.7199999999999989</v>
      </c>
      <c r="M890">
        <f t="shared" si="210"/>
        <v>1.2</v>
      </c>
      <c r="N890">
        <f t="shared" si="204"/>
        <v>1.0874999999999997</v>
      </c>
      <c r="Q890" t="str" cm="1">
        <f t="array" ref="Q890:R890">_xlfn.TEXTSPLIT(E890," ")</f>
        <v>27.10.2023</v>
      </c>
      <c r="R890" t="str">
        <v>14:49:28</v>
      </c>
      <c r="S890">
        <f t="shared" si="217"/>
        <v>14.783333333333648</v>
      </c>
      <c r="T890">
        <f t="shared" si="208"/>
        <v>14.290000000000006</v>
      </c>
      <c r="U890">
        <f t="shared" si="211"/>
        <v>1.8</v>
      </c>
      <c r="V890">
        <f t="shared" si="205"/>
        <v>1.8674999999999999</v>
      </c>
      <c r="AC890" t="s">
        <v>2297</v>
      </c>
      <c r="AD890">
        <v>0.3</v>
      </c>
      <c r="AE890">
        <v>8.64</v>
      </c>
      <c r="AG890" t="str" cm="1">
        <f t="array" ref="AG890:AH890">_xlfn.TEXTSPLIT(AC891," ")</f>
        <v>26.10.2023</v>
      </c>
      <c r="AH890" t="str">
        <v>14:50:36</v>
      </c>
      <c r="AI890">
        <f t="shared" si="218"/>
        <v>14.783333333333648</v>
      </c>
      <c r="AJ890">
        <f t="shared" si="212"/>
        <v>4.1100000000000003</v>
      </c>
      <c r="AK890">
        <f t="shared" si="213"/>
        <v>0.3</v>
      </c>
      <c r="AL890">
        <f t="shared" si="206"/>
        <v>0.30500000000000005</v>
      </c>
      <c r="AN890" t="s">
        <v>2297</v>
      </c>
      <c r="AO890">
        <v>0.75</v>
      </c>
      <c r="AP890">
        <v>71.78</v>
      </c>
      <c r="AR890" t="str" cm="1">
        <f t="array" ref="AR890:AS890">_xlfn.TEXTSPLIT(AN890," ")</f>
        <v>26.10.2023</v>
      </c>
      <c r="AS890" t="str">
        <v>14:49:36</v>
      </c>
      <c r="AT890">
        <f t="shared" si="219"/>
        <v>14.783333333333648</v>
      </c>
      <c r="AU890">
        <f t="shared" si="214"/>
        <v>10.469999999999999</v>
      </c>
      <c r="AV890">
        <f t="shared" si="215"/>
        <v>0.75</v>
      </c>
      <c r="AW890">
        <f t="shared" si="207"/>
        <v>0.62500000000000011</v>
      </c>
    </row>
    <row r="891" spans="1:49" x14ac:dyDescent="0.25">
      <c r="A891" t="s">
        <v>2298</v>
      </c>
      <c r="B891">
        <v>1.35</v>
      </c>
      <c r="C891">
        <v>23.06</v>
      </c>
      <c r="E891" t="s">
        <v>2298</v>
      </c>
      <c r="F891">
        <v>1.95</v>
      </c>
      <c r="G891">
        <v>92.93</v>
      </c>
      <c r="I891" t="str" cm="1">
        <f t="array" ref="I891:J891">_xlfn.TEXTSPLIT(A891," ")</f>
        <v>27.10.2023</v>
      </c>
      <c r="J891" t="str">
        <v>14:50:28</v>
      </c>
      <c r="K891">
        <f t="shared" si="216"/>
        <v>14.800000000000315</v>
      </c>
      <c r="L891">
        <f t="shared" si="209"/>
        <v>8.7399999999999984</v>
      </c>
      <c r="M891">
        <f t="shared" si="210"/>
        <v>1.35</v>
      </c>
      <c r="N891">
        <f t="shared" si="204"/>
        <v>1.0849999999999997</v>
      </c>
      <c r="Q891" t="str" cm="1">
        <f t="array" ref="Q891:R891">_xlfn.TEXTSPLIT(E891," ")</f>
        <v>27.10.2023</v>
      </c>
      <c r="R891" t="str">
        <v>14:50:28</v>
      </c>
      <c r="S891">
        <f t="shared" si="217"/>
        <v>14.800000000000315</v>
      </c>
      <c r="T891">
        <f t="shared" si="208"/>
        <v>14.330000000000013</v>
      </c>
      <c r="U891">
        <f t="shared" si="211"/>
        <v>1.95</v>
      </c>
      <c r="V891">
        <f t="shared" si="205"/>
        <v>1.8699999999999999</v>
      </c>
      <c r="AC891" t="s">
        <v>2299</v>
      </c>
      <c r="AD891">
        <v>0.3</v>
      </c>
      <c r="AE891">
        <v>8.64</v>
      </c>
      <c r="AG891" t="str" cm="1">
        <f t="array" ref="AG891:AH891">_xlfn.TEXTSPLIT(AC892," ")</f>
        <v>26.10.2023</v>
      </c>
      <c r="AH891" t="str">
        <v>14:51:36</v>
      </c>
      <c r="AI891">
        <f t="shared" si="218"/>
        <v>14.800000000000315</v>
      </c>
      <c r="AJ891">
        <f t="shared" si="212"/>
        <v>4.1100000000000003</v>
      </c>
      <c r="AK891">
        <f t="shared" si="213"/>
        <v>0.3</v>
      </c>
      <c r="AL891">
        <f t="shared" si="206"/>
        <v>0.30500000000000005</v>
      </c>
      <c r="AN891" t="s">
        <v>2299</v>
      </c>
      <c r="AO891">
        <v>0.6</v>
      </c>
      <c r="AP891">
        <v>71.790000000000006</v>
      </c>
      <c r="AR891" t="str" cm="1">
        <f t="array" ref="AR891:AS891">_xlfn.TEXTSPLIT(AN891," ")</f>
        <v>26.10.2023</v>
      </c>
      <c r="AS891" t="str">
        <v>14:50:36</v>
      </c>
      <c r="AT891">
        <f t="shared" si="219"/>
        <v>14.800000000000315</v>
      </c>
      <c r="AU891">
        <f t="shared" si="214"/>
        <v>10.480000000000004</v>
      </c>
      <c r="AV891">
        <f t="shared" si="215"/>
        <v>0.6</v>
      </c>
      <c r="AW891">
        <f t="shared" si="207"/>
        <v>0.62500000000000011</v>
      </c>
    </row>
    <row r="892" spans="1:49" x14ac:dyDescent="0.25">
      <c r="A892" t="s">
        <v>2300</v>
      </c>
      <c r="B892">
        <v>0.9</v>
      </c>
      <c r="C892">
        <v>23.07</v>
      </c>
      <c r="E892" t="s">
        <v>2300</v>
      </c>
      <c r="F892">
        <v>1.5</v>
      </c>
      <c r="G892">
        <v>92.94</v>
      </c>
      <c r="I892" t="str" cm="1">
        <f t="array" ref="I892:J892">_xlfn.TEXTSPLIT(A892," ")</f>
        <v>27.10.2023</v>
      </c>
      <c r="J892" t="str">
        <v>14:51:29</v>
      </c>
      <c r="K892">
        <f t="shared" si="216"/>
        <v>14.816666666666983</v>
      </c>
      <c r="L892">
        <f t="shared" si="209"/>
        <v>8.75</v>
      </c>
      <c r="M892">
        <f t="shared" si="210"/>
        <v>0.9</v>
      </c>
      <c r="N892">
        <f t="shared" si="204"/>
        <v>1.085</v>
      </c>
      <c r="Q892" t="str" cm="1">
        <f t="array" ref="Q892:R892">_xlfn.TEXTSPLIT(E892," ")</f>
        <v>27.10.2023</v>
      </c>
      <c r="R892" t="str">
        <v>14:51:29</v>
      </c>
      <c r="S892">
        <f t="shared" si="217"/>
        <v>14.816666666666983</v>
      </c>
      <c r="T892">
        <f t="shared" si="208"/>
        <v>14.340000000000003</v>
      </c>
      <c r="U892">
        <f t="shared" si="211"/>
        <v>1.5</v>
      </c>
      <c r="V892">
        <f t="shared" si="205"/>
        <v>1.8574999999999997</v>
      </c>
      <c r="AC892" t="s">
        <v>2301</v>
      </c>
      <c r="AD892">
        <v>0.3</v>
      </c>
      <c r="AE892">
        <v>8.65</v>
      </c>
      <c r="AG892" t="str" cm="1">
        <f t="array" ref="AG892:AH892">_xlfn.TEXTSPLIT(AC893," ")</f>
        <v>26.10.2023</v>
      </c>
      <c r="AH892" t="str">
        <v>14:52:36</v>
      </c>
      <c r="AI892">
        <f t="shared" si="218"/>
        <v>14.816666666666983</v>
      </c>
      <c r="AJ892">
        <f t="shared" si="212"/>
        <v>4.12</v>
      </c>
      <c r="AK892">
        <f t="shared" si="213"/>
        <v>0.3</v>
      </c>
      <c r="AL892">
        <f t="shared" si="206"/>
        <v>0.30500000000000005</v>
      </c>
      <c r="AN892" t="s">
        <v>2301</v>
      </c>
      <c r="AO892">
        <v>0.6</v>
      </c>
      <c r="AP892">
        <v>71.8</v>
      </c>
      <c r="AR892" t="str" cm="1">
        <f t="array" ref="AR892:AS892">_xlfn.TEXTSPLIT(AN892," ")</f>
        <v>26.10.2023</v>
      </c>
      <c r="AS892" t="str">
        <v>14:51:36</v>
      </c>
      <c r="AT892">
        <f t="shared" si="219"/>
        <v>14.816666666666983</v>
      </c>
      <c r="AU892">
        <f t="shared" si="214"/>
        <v>10.489999999999995</v>
      </c>
      <c r="AV892">
        <f t="shared" si="215"/>
        <v>0.6</v>
      </c>
      <c r="AW892">
        <f t="shared" si="207"/>
        <v>0.62000000000000022</v>
      </c>
    </row>
    <row r="893" spans="1:49" x14ac:dyDescent="0.25">
      <c r="A893" t="s">
        <v>2302</v>
      </c>
      <c r="B893">
        <v>0.9</v>
      </c>
      <c r="C893">
        <v>23.08</v>
      </c>
      <c r="E893" t="s">
        <v>2302</v>
      </c>
      <c r="F893">
        <v>0.75</v>
      </c>
      <c r="G893">
        <v>92.96</v>
      </c>
      <c r="I893" t="str" cm="1">
        <f t="array" ref="I893:J893">_xlfn.TEXTSPLIT(A893," ")</f>
        <v>27.10.2023</v>
      </c>
      <c r="J893" t="str">
        <v>14:52:29</v>
      </c>
      <c r="K893">
        <f t="shared" si="216"/>
        <v>14.83333333333365</v>
      </c>
      <c r="L893">
        <f t="shared" si="209"/>
        <v>8.759999999999998</v>
      </c>
      <c r="M893">
        <f t="shared" si="210"/>
        <v>0.9</v>
      </c>
      <c r="N893">
        <f t="shared" si="204"/>
        <v>1.0825</v>
      </c>
      <c r="Q893" t="str" cm="1">
        <f t="array" ref="Q893:R893">_xlfn.TEXTSPLIT(E893," ")</f>
        <v>27.10.2023</v>
      </c>
      <c r="R893" t="str">
        <v>14:52:29</v>
      </c>
      <c r="S893">
        <f t="shared" si="217"/>
        <v>14.83333333333365</v>
      </c>
      <c r="T893">
        <f t="shared" si="208"/>
        <v>14.36</v>
      </c>
      <c r="U893">
        <f t="shared" si="211"/>
        <v>0.75</v>
      </c>
      <c r="V893">
        <f t="shared" si="205"/>
        <v>1.8449999999999998</v>
      </c>
      <c r="AC893" t="s">
        <v>2303</v>
      </c>
      <c r="AD893">
        <v>0.15</v>
      </c>
      <c r="AE893">
        <v>8.65</v>
      </c>
      <c r="AG893" t="str" cm="1">
        <f t="array" ref="AG893:AH893">_xlfn.TEXTSPLIT(AC894," ")</f>
        <v>26.10.2023</v>
      </c>
      <c r="AH893" t="str">
        <v>14:53:37</v>
      </c>
      <c r="AI893">
        <f t="shared" si="218"/>
        <v>14.83333333333365</v>
      </c>
      <c r="AJ893">
        <f t="shared" si="212"/>
        <v>4.12</v>
      </c>
      <c r="AK893">
        <f t="shared" si="213"/>
        <v>0.15</v>
      </c>
      <c r="AL893">
        <f t="shared" si="206"/>
        <v>0.3</v>
      </c>
      <c r="AN893" t="s">
        <v>2303</v>
      </c>
      <c r="AO893">
        <v>0.15</v>
      </c>
      <c r="AP893">
        <v>71.8</v>
      </c>
      <c r="AR893" t="str" cm="1">
        <f t="array" ref="AR893:AS893">_xlfn.TEXTSPLIT(AN893," ")</f>
        <v>26.10.2023</v>
      </c>
      <c r="AS893" t="str">
        <v>14:52:36</v>
      </c>
      <c r="AT893">
        <f t="shared" si="219"/>
        <v>14.83333333333365</v>
      </c>
      <c r="AU893">
        <f t="shared" si="214"/>
        <v>10.489999999999995</v>
      </c>
      <c r="AV893">
        <f t="shared" si="215"/>
        <v>0.15</v>
      </c>
      <c r="AW893">
        <f t="shared" si="207"/>
        <v>0.61750000000000005</v>
      </c>
    </row>
    <row r="894" spans="1:49" x14ac:dyDescent="0.25">
      <c r="A894" t="s">
        <v>2304</v>
      </c>
      <c r="B894">
        <v>0</v>
      </c>
      <c r="C894">
        <v>23.08</v>
      </c>
      <c r="E894" t="s">
        <v>2304</v>
      </c>
      <c r="F894">
        <v>0.75</v>
      </c>
      <c r="G894">
        <v>92.97</v>
      </c>
      <c r="I894" t="str" cm="1">
        <f t="array" ref="I894:J894">_xlfn.TEXTSPLIT(A894," ")</f>
        <v>27.10.2023</v>
      </c>
      <c r="J894" t="str">
        <v>14:53:29</v>
      </c>
      <c r="K894">
        <f t="shared" si="216"/>
        <v>14.850000000000318</v>
      </c>
      <c r="L894">
        <f t="shared" si="209"/>
        <v>8.759999999999998</v>
      </c>
      <c r="M894">
        <f t="shared" si="210"/>
        <v>0</v>
      </c>
      <c r="N894">
        <f t="shared" si="204"/>
        <v>1.0825</v>
      </c>
      <c r="Q894" t="str" cm="1">
        <f t="array" ref="Q894:R894">_xlfn.TEXTSPLIT(E894," ")</f>
        <v>27.10.2023</v>
      </c>
      <c r="R894" t="str">
        <v>14:53:29</v>
      </c>
      <c r="S894">
        <f t="shared" si="217"/>
        <v>14.850000000000318</v>
      </c>
      <c r="T894">
        <f t="shared" si="208"/>
        <v>14.370000000000005</v>
      </c>
      <c r="U894">
        <f t="shared" si="211"/>
        <v>0.75</v>
      </c>
      <c r="V894">
        <f t="shared" si="205"/>
        <v>1.8474999999999997</v>
      </c>
      <c r="AC894" t="s">
        <v>2305</v>
      </c>
      <c r="AD894">
        <v>0.45</v>
      </c>
      <c r="AE894">
        <v>8.65</v>
      </c>
      <c r="AG894" t="str" cm="1">
        <f t="array" ref="AG894:AH894">_xlfn.TEXTSPLIT(AC895," ")</f>
        <v>26.10.2023</v>
      </c>
      <c r="AH894" t="str">
        <v>14:54:37</v>
      </c>
      <c r="AI894">
        <f t="shared" si="218"/>
        <v>14.850000000000318</v>
      </c>
      <c r="AJ894">
        <f t="shared" si="212"/>
        <v>4.12</v>
      </c>
      <c r="AK894">
        <f t="shared" si="213"/>
        <v>0.45</v>
      </c>
      <c r="AL894">
        <f t="shared" si="206"/>
        <v>0.30499999999999999</v>
      </c>
      <c r="AN894" t="s">
        <v>2305</v>
      </c>
      <c r="AO894">
        <v>0</v>
      </c>
      <c r="AP894">
        <v>71.8</v>
      </c>
      <c r="AR894" t="str" cm="1">
        <f t="array" ref="AR894:AS894">_xlfn.TEXTSPLIT(AN894," ")</f>
        <v>26.10.2023</v>
      </c>
      <c r="AS894" t="str">
        <v>14:53:37</v>
      </c>
      <c r="AT894">
        <f t="shared" si="219"/>
        <v>14.850000000000318</v>
      </c>
      <c r="AU894">
        <f t="shared" si="214"/>
        <v>10.489999999999995</v>
      </c>
      <c r="AV894">
        <f t="shared" si="215"/>
        <v>0</v>
      </c>
      <c r="AW894">
        <f t="shared" si="207"/>
        <v>0.61750000000000005</v>
      </c>
    </row>
    <row r="895" spans="1:49" x14ac:dyDescent="0.25">
      <c r="A895" t="s">
        <v>2306</v>
      </c>
      <c r="B895">
        <v>0</v>
      </c>
      <c r="C895">
        <v>23.08</v>
      </c>
      <c r="E895" t="s">
        <v>2306</v>
      </c>
      <c r="F895">
        <v>0.75</v>
      </c>
      <c r="G895">
        <v>92.99</v>
      </c>
      <c r="I895" t="str" cm="1">
        <f t="array" ref="I895:J895">_xlfn.TEXTSPLIT(A895," ")</f>
        <v>27.10.2023</v>
      </c>
      <c r="J895" t="str">
        <v>14:54:29</v>
      </c>
      <c r="K895">
        <f t="shared" si="216"/>
        <v>14.866666666666985</v>
      </c>
      <c r="L895">
        <f t="shared" si="209"/>
        <v>8.759999999999998</v>
      </c>
      <c r="M895">
        <f t="shared" si="210"/>
        <v>0</v>
      </c>
      <c r="N895">
        <f t="shared" ref="N895:N958" si="220">AVERAGE(M836:M895)</f>
        <v>1.0774999999999999</v>
      </c>
      <c r="Q895" t="str" cm="1">
        <f t="array" ref="Q895:R895">_xlfn.TEXTSPLIT(E895," ")</f>
        <v>27.10.2023</v>
      </c>
      <c r="R895" t="str">
        <v>14:54:29</v>
      </c>
      <c r="S895">
        <f t="shared" si="217"/>
        <v>14.866666666666985</v>
      </c>
      <c r="T895">
        <f t="shared" si="208"/>
        <v>14.39</v>
      </c>
      <c r="U895">
        <f t="shared" si="211"/>
        <v>0.75</v>
      </c>
      <c r="V895">
        <f t="shared" ref="V895:V958" si="221">AVERAGE(U836:U895)</f>
        <v>1.8424999999999998</v>
      </c>
      <c r="AC895" t="s">
        <v>2307</v>
      </c>
      <c r="AD895">
        <v>0</v>
      </c>
      <c r="AE895">
        <v>8.65</v>
      </c>
      <c r="AG895" t="str" cm="1">
        <f t="array" ref="AG895:AH895">_xlfn.TEXTSPLIT(AC896," ")</f>
        <v>26.10.2023</v>
      </c>
      <c r="AH895" t="str">
        <v>14:55:37</v>
      </c>
      <c r="AI895">
        <f t="shared" si="218"/>
        <v>14.866666666666985</v>
      </c>
      <c r="AJ895">
        <f t="shared" si="212"/>
        <v>4.12</v>
      </c>
      <c r="AK895">
        <f t="shared" si="213"/>
        <v>0</v>
      </c>
      <c r="AL895">
        <f t="shared" ref="AL895:AL958" si="222">AVERAGE(AK836:AK895)</f>
        <v>0.30499999999999999</v>
      </c>
      <c r="AN895" t="s">
        <v>2307</v>
      </c>
      <c r="AO895">
        <v>0</v>
      </c>
      <c r="AP895">
        <v>71.8</v>
      </c>
      <c r="AR895" t="str" cm="1">
        <f t="array" ref="AR895:AS895">_xlfn.TEXTSPLIT(AN895," ")</f>
        <v>26.10.2023</v>
      </c>
      <c r="AS895" t="str">
        <v>14:54:37</v>
      </c>
      <c r="AT895">
        <f t="shared" si="219"/>
        <v>14.866666666666985</v>
      </c>
      <c r="AU895">
        <f t="shared" si="214"/>
        <v>10.489999999999995</v>
      </c>
      <c r="AV895">
        <f t="shared" si="215"/>
        <v>0</v>
      </c>
      <c r="AW895">
        <f t="shared" ref="AW895:AW958" si="223">AVERAGE(AV836:AV895)</f>
        <v>0.61750000000000005</v>
      </c>
    </row>
    <row r="896" spans="1:49" x14ac:dyDescent="0.25">
      <c r="A896" t="s">
        <v>2308</v>
      </c>
      <c r="B896">
        <v>0.3</v>
      </c>
      <c r="C896">
        <v>23.09</v>
      </c>
      <c r="E896" t="s">
        <v>2308</v>
      </c>
      <c r="F896">
        <v>0.9</v>
      </c>
      <c r="G896">
        <v>93</v>
      </c>
      <c r="I896" t="str" cm="1">
        <f t="array" ref="I896:J896">_xlfn.TEXTSPLIT(A896," ")</f>
        <v>27.10.2023</v>
      </c>
      <c r="J896" t="str">
        <v>14:55:29</v>
      </c>
      <c r="K896">
        <f t="shared" si="216"/>
        <v>14.883333333333653</v>
      </c>
      <c r="L896">
        <f t="shared" si="209"/>
        <v>8.77</v>
      </c>
      <c r="M896">
        <f t="shared" si="210"/>
        <v>0.3</v>
      </c>
      <c r="N896">
        <f t="shared" si="220"/>
        <v>1.0774999999999999</v>
      </c>
      <c r="Q896" t="str" cm="1">
        <f t="array" ref="Q896:R896">_xlfn.TEXTSPLIT(E896," ")</f>
        <v>27.10.2023</v>
      </c>
      <c r="R896" t="str">
        <v>14:55:29</v>
      </c>
      <c r="S896">
        <f t="shared" si="217"/>
        <v>14.883333333333653</v>
      </c>
      <c r="T896">
        <f t="shared" si="208"/>
        <v>14.400000000000006</v>
      </c>
      <c r="U896">
        <f t="shared" si="211"/>
        <v>0.9</v>
      </c>
      <c r="V896">
        <f t="shared" si="221"/>
        <v>1.8399999999999999</v>
      </c>
      <c r="AC896" t="s">
        <v>2309</v>
      </c>
      <c r="AD896">
        <v>0</v>
      </c>
      <c r="AE896">
        <v>8.65</v>
      </c>
      <c r="AG896" t="str" cm="1">
        <f t="array" ref="AG896:AH896">_xlfn.TEXTSPLIT(AC897," ")</f>
        <v>26.10.2023</v>
      </c>
      <c r="AH896" t="str">
        <v>14:56:37</v>
      </c>
      <c r="AI896">
        <f t="shared" si="218"/>
        <v>14.883333333333653</v>
      </c>
      <c r="AJ896">
        <f t="shared" si="212"/>
        <v>4.12</v>
      </c>
      <c r="AK896">
        <f t="shared" si="213"/>
        <v>0</v>
      </c>
      <c r="AL896">
        <f t="shared" si="222"/>
        <v>0.30499999999999999</v>
      </c>
      <c r="AN896" t="s">
        <v>2309</v>
      </c>
      <c r="AO896">
        <v>0</v>
      </c>
      <c r="AP896">
        <v>71.81</v>
      </c>
      <c r="AR896" t="str" cm="1">
        <f t="array" ref="AR896:AS896">_xlfn.TEXTSPLIT(AN896," ")</f>
        <v>26.10.2023</v>
      </c>
      <c r="AS896" t="str">
        <v>14:55:37</v>
      </c>
      <c r="AT896">
        <f t="shared" si="219"/>
        <v>14.883333333333653</v>
      </c>
      <c r="AU896">
        <f t="shared" si="214"/>
        <v>10.5</v>
      </c>
      <c r="AV896">
        <f t="shared" si="215"/>
        <v>0</v>
      </c>
      <c r="AW896">
        <f t="shared" si="223"/>
        <v>0.6150000000000001</v>
      </c>
    </row>
    <row r="897" spans="1:49" x14ac:dyDescent="0.25">
      <c r="A897" t="s">
        <v>2310</v>
      </c>
      <c r="B897">
        <v>0.45</v>
      </c>
      <c r="C897">
        <v>23.09</v>
      </c>
      <c r="E897" t="s">
        <v>2310</v>
      </c>
      <c r="F897">
        <v>1.05</v>
      </c>
      <c r="G897">
        <v>93.02</v>
      </c>
      <c r="I897" t="str" cm="1">
        <f t="array" ref="I897:J897">_xlfn.TEXTSPLIT(A897," ")</f>
        <v>27.10.2023</v>
      </c>
      <c r="J897" t="str">
        <v>14:56:29</v>
      </c>
      <c r="K897">
        <f t="shared" si="216"/>
        <v>14.90000000000032</v>
      </c>
      <c r="L897">
        <f t="shared" si="209"/>
        <v>8.77</v>
      </c>
      <c r="M897">
        <f t="shared" si="210"/>
        <v>0.45</v>
      </c>
      <c r="N897">
        <f t="shared" si="220"/>
        <v>1.0725</v>
      </c>
      <c r="Q897" t="str" cm="1">
        <f t="array" ref="Q897:R897">_xlfn.TEXTSPLIT(E897," ")</f>
        <v>27.10.2023</v>
      </c>
      <c r="R897" t="str">
        <v>14:56:29</v>
      </c>
      <c r="S897">
        <f t="shared" si="217"/>
        <v>14.90000000000032</v>
      </c>
      <c r="T897">
        <f t="shared" si="208"/>
        <v>14.420000000000002</v>
      </c>
      <c r="U897">
        <f t="shared" si="211"/>
        <v>1.05</v>
      </c>
      <c r="V897">
        <f t="shared" si="221"/>
        <v>1.8299999999999996</v>
      </c>
      <c r="AC897" t="s">
        <v>2311</v>
      </c>
      <c r="AD897">
        <v>0</v>
      </c>
      <c r="AE897">
        <v>8.65</v>
      </c>
      <c r="AG897" t="str" cm="1">
        <f t="array" ref="AG897:AH897">_xlfn.TEXTSPLIT(AC898," ")</f>
        <v>26.10.2023</v>
      </c>
      <c r="AH897" t="str">
        <v>14:57:37</v>
      </c>
      <c r="AI897">
        <f t="shared" si="218"/>
        <v>14.90000000000032</v>
      </c>
      <c r="AJ897">
        <f t="shared" si="212"/>
        <v>4.12</v>
      </c>
      <c r="AK897">
        <f t="shared" si="213"/>
        <v>0</v>
      </c>
      <c r="AL897">
        <f t="shared" si="222"/>
        <v>0.30499999999999999</v>
      </c>
      <c r="AN897" t="s">
        <v>2311</v>
      </c>
      <c r="AO897">
        <v>0.15</v>
      </c>
      <c r="AP897">
        <v>71.81</v>
      </c>
      <c r="AR897" t="str" cm="1">
        <f t="array" ref="AR897:AS897">_xlfn.TEXTSPLIT(AN897," ")</f>
        <v>26.10.2023</v>
      </c>
      <c r="AS897" t="str">
        <v>14:56:37</v>
      </c>
      <c r="AT897">
        <f t="shared" si="219"/>
        <v>14.90000000000032</v>
      </c>
      <c r="AU897">
        <f t="shared" si="214"/>
        <v>10.5</v>
      </c>
      <c r="AV897">
        <f t="shared" si="215"/>
        <v>0.15</v>
      </c>
      <c r="AW897">
        <f t="shared" si="223"/>
        <v>0.6150000000000001</v>
      </c>
    </row>
    <row r="898" spans="1:49" x14ac:dyDescent="0.25">
      <c r="A898" t="s">
        <v>2312</v>
      </c>
      <c r="B898">
        <v>0.45</v>
      </c>
      <c r="C898">
        <v>23.1</v>
      </c>
      <c r="E898" t="s">
        <v>2312</v>
      </c>
      <c r="F898">
        <v>1.65</v>
      </c>
      <c r="G898">
        <v>93.06</v>
      </c>
      <c r="I898" t="str" cm="1">
        <f t="array" ref="I898:J898">_xlfn.TEXTSPLIT(A898," ")</f>
        <v>27.10.2023</v>
      </c>
      <c r="J898" t="str">
        <v>14:57:29</v>
      </c>
      <c r="K898">
        <f t="shared" si="216"/>
        <v>14.916666666666988</v>
      </c>
      <c r="L898">
        <f t="shared" si="209"/>
        <v>8.7800000000000011</v>
      </c>
      <c r="M898">
        <f t="shared" si="210"/>
        <v>0.45</v>
      </c>
      <c r="N898">
        <f t="shared" si="220"/>
        <v>1.0725</v>
      </c>
      <c r="Q898" t="str" cm="1">
        <f t="array" ref="Q898:R898">_xlfn.TEXTSPLIT(E898," ")</f>
        <v>27.10.2023</v>
      </c>
      <c r="R898" t="str">
        <v>14:57:29</v>
      </c>
      <c r="S898">
        <f t="shared" si="217"/>
        <v>14.916666666666988</v>
      </c>
      <c r="T898">
        <f t="shared" si="208"/>
        <v>14.460000000000008</v>
      </c>
      <c r="U898">
        <f t="shared" si="211"/>
        <v>1.65</v>
      </c>
      <c r="V898">
        <f t="shared" si="221"/>
        <v>1.8275000000000001</v>
      </c>
      <c r="AC898" t="s">
        <v>2313</v>
      </c>
      <c r="AD898">
        <v>0</v>
      </c>
      <c r="AE898">
        <v>8.65</v>
      </c>
      <c r="AG898" t="str" cm="1">
        <f t="array" ref="AG898:AH898">_xlfn.TEXTSPLIT(AC899," ")</f>
        <v>26.10.2023</v>
      </c>
      <c r="AH898" t="str">
        <v>14:58:37</v>
      </c>
      <c r="AI898">
        <f t="shared" si="218"/>
        <v>14.916666666666988</v>
      </c>
      <c r="AJ898">
        <f t="shared" si="212"/>
        <v>4.12</v>
      </c>
      <c r="AK898">
        <f t="shared" si="213"/>
        <v>0</v>
      </c>
      <c r="AL898">
        <f t="shared" si="222"/>
        <v>0.30499999999999999</v>
      </c>
      <c r="AN898" t="s">
        <v>2313</v>
      </c>
      <c r="AO898">
        <v>0.15</v>
      </c>
      <c r="AP898">
        <v>71.81</v>
      </c>
      <c r="AR898" t="str" cm="1">
        <f t="array" ref="AR898:AS898">_xlfn.TEXTSPLIT(AN898," ")</f>
        <v>26.10.2023</v>
      </c>
      <c r="AS898" t="str">
        <v>14:57:37</v>
      </c>
      <c r="AT898">
        <f t="shared" si="219"/>
        <v>14.916666666666988</v>
      </c>
      <c r="AU898">
        <f t="shared" si="214"/>
        <v>10.5</v>
      </c>
      <c r="AV898">
        <f t="shared" si="215"/>
        <v>0.15</v>
      </c>
      <c r="AW898">
        <f t="shared" si="223"/>
        <v>0.61250000000000016</v>
      </c>
    </row>
    <row r="899" spans="1:49" x14ac:dyDescent="0.25">
      <c r="A899" t="s">
        <v>2314</v>
      </c>
      <c r="B899">
        <v>0.3</v>
      </c>
      <c r="C899">
        <v>23.11</v>
      </c>
      <c r="E899" t="s">
        <v>2314</v>
      </c>
      <c r="F899">
        <v>1.8</v>
      </c>
      <c r="G899">
        <v>93.07</v>
      </c>
      <c r="I899" t="str" cm="1">
        <f t="array" ref="I899:J899">_xlfn.TEXTSPLIT(A899," ")</f>
        <v>27.10.2023</v>
      </c>
      <c r="J899" t="str">
        <v>14:58:29</v>
      </c>
      <c r="K899">
        <f t="shared" si="216"/>
        <v>14.933333333333655</v>
      </c>
      <c r="L899">
        <f t="shared" si="209"/>
        <v>8.7899999999999991</v>
      </c>
      <c r="M899">
        <f t="shared" si="210"/>
        <v>0.3</v>
      </c>
      <c r="N899">
        <f t="shared" si="220"/>
        <v>1.0624999999999998</v>
      </c>
      <c r="Q899" t="str" cm="1">
        <f t="array" ref="Q899:R899">_xlfn.TEXTSPLIT(E899," ")</f>
        <v>27.10.2023</v>
      </c>
      <c r="R899" t="str">
        <v>14:58:29</v>
      </c>
      <c r="S899">
        <f t="shared" si="217"/>
        <v>14.933333333333655</v>
      </c>
      <c r="T899">
        <f t="shared" ref="T899:T962" si="224">G899-78.6</f>
        <v>14.469999999999999</v>
      </c>
      <c r="U899">
        <f t="shared" si="211"/>
        <v>1.8</v>
      </c>
      <c r="V899">
        <f t="shared" si="221"/>
        <v>1.8299999999999998</v>
      </c>
      <c r="AC899" t="s">
        <v>2315</v>
      </c>
      <c r="AD899">
        <v>0</v>
      </c>
      <c r="AE899">
        <v>8.65</v>
      </c>
      <c r="AG899" t="str" cm="1">
        <f t="array" ref="AG899:AH899">_xlfn.TEXTSPLIT(AC900," ")</f>
        <v>26.10.2023</v>
      </c>
      <c r="AH899" t="str">
        <v>14:59:37</v>
      </c>
      <c r="AI899">
        <f t="shared" si="218"/>
        <v>14.933333333333655</v>
      </c>
      <c r="AJ899">
        <f t="shared" si="212"/>
        <v>4.12</v>
      </c>
      <c r="AK899">
        <f t="shared" si="213"/>
        <v>0</v>
      </c>
      <c r="AL899">
        <f t="shared" si="222"/>
        <v>0.30499999999999999</v>
      </c>
      <c r="AN899" t="s">
        <v>2315</v>
      </c>
      <c r="AO899">
        <v>0</v>
      </c>
      <c r="AP899">
        <v>71.81</v>
      </c>
      <c r="AR899" t="str" cm="1">
        <f t="array" ref="AR899:AS899">_xlfn.TEXTSPLIT(AN899," ")</f>
        <v>26.10.2023</v>
      </c>
      <c r="AS899" t="str">
        <v>14:58:37</v>
      </c>
      <c r="AT899">
        <f t="shared" si="219"/>
        <v>14.933333333333655</v>
      </c>
      <c r="AU899">
        <f t="shared" si="214"/>
        <v>10.5</v>
      </c>
      <c r="AV899">
        <f t="shared" si="215"/>
        <v>0</v>
      </c>
      <c r="AW899">
        <f t="shared" si="223"/>
        <v>0.61</v>
      </c>
    </row>
    <row r="900" spans="1:49" x14ac:dyDescent="0.25">
      <c r="A900" t="s">
        <v>2316</v>
      </c>
      <c r="B900">
        <v>0.75</v>
      </c>
      <c r="C900">
        <v>23.12</v>
      </c>
      <c r="E900" t="s">
        <v>2316</v>
      </c>
      <c r="F900">
        <v>1.2</v>
      </c>
      <c r="G900">
        <v>93.1</v>
      </c>
      <c r="I900" t="str" cm="1">
        <f t="array" ref="I900:J900">_xlfn.TEXTSPLIT(A900," ")</f>
        <v>27.10.2023</v>
      </c>
      <c r="J900" t="str">
        <v>14:59:29</v>
      </c>
      <c r="K900">
        <f t="shared" si="216"/>
        <v>14.950000000000323</v>
      </c>
      <c r="L900">
        <f t="shared" ref="L900:L963" si="225">C900-14.32</f>
        <v>8.8000000000000007</v>
      </c>
      <c r="M900">
        <f t="shared" ref="M900:M963" si="226">B900</f>
        <v>0.75</v>
      </c>
      <c r="N900">
        <f t="shared" si="220"/>
        <v>1.0649999999999999</v>
      </c>
      <c r="Q900" t="str" cm="1">
        <f t="array" ref="Q900:R900">_xlfn.TEXTSPLIT(E900," ")</f>
        <v>27.10.2023</v>
      </c>
      <c r="R900" t="str">
        <v>14:59:29</v>
      </c>
      <c r="S900">
        <f t="shared" si="217"/>
        <v>14.950000000000323</v>
      </c>
      <c r="T900">
        <f t="shared" si="224"/>
        <v>14.5</v>
      </c>
      <c r="U900">
        <f t="shared" ref="U900:U963" si="227">F900</f>
        <v>1.2</v>
      </c>
      <c r="V900">
        <f t="shared" si="221"/>
        <v>1.825</v>
      </c>
      <c r="AC900" t="s">
        <v>2317</v>
      </c>
      <c r="AD900">
        <v>0</v>
      </c>
      <c r="AE900">
        <v>8.65</v>
      </c>
      <c r="AG900" t="str" cm="1">
        <f t="array" ref="AG900:AH900">_xlfn.TEXTSPLIT(AC901," ")</f>
        <v>26.10.2023</v>
      </c>
      <c r="AH900" t="str">
        <v>15:00:37</v>
      </c>
      <c r="AI900">
        <f t="shared" si="218"/>
        <v>14.950000000000323</v>
      </c>
      <c r="AJ900">
        <f t="shared" ref="AJ900:AJ963" si="228">AE900-4.53</f>
        <v>4.12</v>
      </c>
      <c r="AK900">
        <f t="shared" ref="AK900:AK963" si="229">AD900</f>
        <v>0</v>
      </c>
      <c r="AL900">
        <f t="shared" si="222"/>
        <v>0.30499999999999999</v>
      </c>
      <c r="AN900" t="s">
        <v>2317</v>
      </c>
      <c r="AO900">
        <v>0.3</v>
      </c>
      <c r="AP900">
        <v>71.81</v>
      </c>
      <c r="AR900" t="str" cm="1">
        <f t="array" ref="AR900:AS900">_xlfn.TEXTSPLIT(AN900," ")</f>
        <v>26.10.2023</v>
      </c>
      <c r="AS900" t="str">
        <v>14:59:37</v>
      </c>
      <c r="AT900">
        <f t="shared" si="219"/>
        <v>14.950000000000323</v>
      </c>
      <c r="AU900">
        <f t="shared" ref="AU900:AU963" si="230">AP900-61.31</f>
        <v>10.5</v>
      </c>
      <c r="AV900">
        <f t="shared" ref="AV900:AV963" si="231">AO900</f>
        <v>0.3</v>
      </c>
      <c r="AW900">
        <f t="shared" si="223"/>
        <v>0.61</v>
      </c>
    </row>
    <row r="901" spans="1:49" x14ac:dyDescent="0.25">
      <c r="A901" t="s">
        <v>2318</v>
      </c>
      <c r="B901">
        <v>0.45</v>
      </c>
      <c r="C901">
        <v>23.13</v>
      </c>
      <c r="E901" t="s">
        <v>2318</v>
      </c>
      <c r="F901">
        <v>0.9</v>
      </c>
      <c r="G901">
        <v>93.11</v>
      </c>
      <c r="I901" t="str" cm="1">
        <f t="array" ref="I901:J901">_xlfn.TEXTSPLIT(A901," ")</f>
        <v>27.10.2023</v>
      </c>
      <c r="J901" t="str">
        <v>15:00:29</v>
      </c>
      <c r="K901">
        <f t="shared" ref="K901:K964" si="232">1/60+K900</f>
        <v>14.96666666666699</v>
      </c>
      <c r="L901">
        <f t="shared" si="225"/>
        <v>8.8099999999999987</v>
      </c>
      <c r="M901">
        <f t="shared" si="226"/>
        <v>0.45</v>
      </c>
      <c r="N901">
        <f t="shared" si="220"/>
        <v>1.0524999999999998</v>
      </c>
      <c r="Q901" t="str" cm="1">
        <f t="array" ref="Q901:R901">_xlfn.TEXTSPLIT(E901," ")</f>
        <v>27.10.2023</v>
      </c>
      <c r="R901" t="str">
        <v>15:00:29</v>
      </c>
      <c r="S901">
        <f t="shared" ref="S901:S964" si="233">1/60+S900</f>
        <v>14.96666666666699</v>
      </c>
      <c r="T901">
        <f t="shared" si="224"/>
        <v>14.510000000000005</v>
      </c>
      <c r="U901">
        <f t="shared" si="227"/>
        <v>0.9</v>
      </c>
      <c r="V901">
        <f t="shared" si="221"/>
        <v>1.8175000000000001</v>
      </c>
      <c r="AC901" t="s">
        <v>2319</v>
      </c>
      <c r="AD901">
        <v>0</v>
      </c>
      <c r="AE901">
        <v>8.65</v>
      </c>
      <c r="AG901" t="str" cm="1">
        <f t="array" ref="AG901:AH901">_xlfn.TEXTSPLIT(AC902," ")</f>
        <v>26.10.2023</v>
      </c>
      <c r="AH901" t="str">
        <v>15:01:37</v>
      </c>
      <c r="AI901">
        <f t="shared" ref="AI901:AI964" si="234">1/60+AI900</f>
        <v>14.96666666666699</v>
      </c>
      <c r="AJ901">
        <f t="shared" si="228"/>
        <v>4.12</v>
      </c>
      <c r="AK901">
        <f t="shared" si="229"/>
        <v>0</v>
      </c>
      <c r="AL901">
        <f t="shared" si="222"/>
        <v>0.30499999999999999</v>
      </c>
      <c r="AN901" t="s">
        <v>2319</v>
      </c>
      <c r="AO901">
        <v>0.15</v>
      </c>
      <c r="AP901">
        <v>71.819999999999993</v>
      </c>
      <c r="AR901" t="str" cm="1">
        <f t="array" ref="AR901:AS901">_xlfn.TEXTSPLIT(AN901," ")</f>
        <v>26.10.2023</v>
      </c>
      <c r="AS901" t="str">
        <v>15:00:37</v>
      </c>
      <c r="AT901">
        <f t="shared" ref="AT901:AT964" si="235">1/60+AT900</f>
        <v>14.96666666666699</v>
      </c>
      <c r="AU901">
        <f t="shared" si="230"/>
        <v>10.509999999999991</v>
      </c>
      <c r="AV901">
        <f t="shared" si="231"/>
        <v>0.15</v>
      </c>
      <c r="AW901">
        <f t="shared" si="223"/>
        <v>0.60999999999999988</v>
      </c>
    </row>
    <row r="902" spans="1:49" x14ac:dyDescent="0.25">
      <c r="A902" t="s">
        <v>2320</v>
      </c>
      <c r="B902">
        <v>0.75</v>
      </c>
      <c r="C902">
        <v>23.14</v>
      </c>
      <c r="E902" t="s">
        <v>2320</v>
      </c>
      <c r="F902">
        <v>1.35</v>
      </c>
      <c r="G902">
        <v>93.14</v>
      </c>
      <c r="I902" t="str" cm="1">
        <f t="array" ref="I902:J902">_xlfn.TEXTSPLIT(A902," ")</f>
        <v>27.10.2023</v>
      </c>
      <c r="J902" t="str">
        <v>15:01:29</v>
      </c>
      <c r="K902">
        <f t="shared" si="232"/>
        <v>14.983333333333658</v>
      </c>
      <c r="L902">
        <f t="shared" si="225"/>
        <v>8.82</v>
      </c>
      <c r="M902">
        <f t="shared" si="226"/>
        <v>0.75</v>
      </c>
      <c r="N902">
        <f t="shared" si="220"/>
        <v>1.0524999999999998</v>
      </c>
      <c r="Q902" t="str" cm="1">
        <f t="array" ref="Q902:R902">_xlfn.TEXTSPLIT(E902," ")</f>
        <v>27.10.2023</v>
      </c>
      <c r="R902" t="str">
        <v>15:01:29</v>
      </c>
      <c r="S902">
        <f t="shared" si="233"/>
        <v>14.983333333333658</v>
      </c>
      <c r="T902">
        <f t="shared" si="224"/>
        <v>14.540000000000006</v>
      </c>
      <c r="U902">
        <f t="shared" si="227"/>
        <v>1.35</v>
      </c>
      <c r="V902">
        <f t="shared" si="221"/>
        <v>1.8050000000000002</v>
      </c>
      <c r="AC902" t="s">
        <v>2321</v>
      </c>
      <c r="AD902">
        <v>0</v>
      </c>
      <c r="AE902">
        <v>8.65</v>
      </c>
      <c r="AG902" t="str" cm="1">
        <f t="array" ref="AG902:AH902">_xlfn.TEXTSPLIT(AC903," ")</f>
        <v>26.10.2023</v>
      </c>
      <c r="AH902" t="str">
        <v>15:02:37</v>
      </c>
      <c r="AI902">
        <f t="shared" si="234"/>
        <v>14.983333333333658</v>
      </c>
      <c r="AJ902">
        <f t="shared" si="228"/>
        <v>4.12</v>
      </c>
      <c r="AK902">
        <f t="shared" si="229"/>
        <v>0</v>
      </c>
      <c r="AL902">
        <f t="shared" si="222"/>
        <v>0.30499999999999999</v>
      </c>
      <c r="AN902" t="s">
        <v>2321</v>
      </c>
      <c r="AO902">
        <v>0.3</v>
      </c>
      <c r="AP902">
        <v>71.819999999999993</v>
      </c>
      <c r="AR902" t="str" cm="1">
        <f t="array" ref="AR902:AS902">_xlfn.TEXTSPLIT(AN902," ")</f>
        <v>26.10.2023</v>
      </c>
      <c r="AS902" t="str">
        <v>15:01:37</v>
      </c>
      <c r="AT902">
        <f t="shared" si="235"/>
        <v>14.983333333333658</v>
      </c>
      <c r="AU902">
        <f t="shared" si="230"/>
        <v>10.509999999999991</v>
      </c>
      <c r="AV902">
        <f t="shared" si="231"/>
        <v>0.3</v>
      </c>
      <c r="AW902">
        <f t="shared" si="223"/>
        <v>0.60999999999999988</v>
      </c>
    </row>
    <row r="903" spans="1:49" x14ac:dyDescent="0.25">
      <c r="A903" t="s">
        <v>2322</v>
      </c>
      <c r="B903">
        <v>0.9</v>
      </c>
      <c r="C903">
        <v>23.15</v>
      </c>
      <c r="E903" t="s">
        <v>2322</v>
      </c>
      <c r="F903">
        <v>1.95</v>
      </c>
      <c r="G903">
        <v>93.18</v>
      </c>
      <c r="I903" t="str" cm="1">
        <f t="array" ref="I903:J903">_xlfn.TEXTSPLIT(A903," ")</f>
        <v>27.10.2023</v>
      </c>
      <c r="J903" t="str">
        <v>15:02:30</v>
      </c>
      <c r="K903">
        <f t="shared" si="232"/>
        <v>15.000000000000325</v>
      </c>
      <c r="L903">
        <f t="shared" si="225"/>
        <v>8.8299999999999983</v>
      </c>
      <c r="M903">
        <f t="shared" si="226"/>
        <v>0.9</v>
      </c>
      <c r="N903">
        <f t="shared" si="220"/>
        <v>1.0525</v>
      </c>
      <c r="Q903" t="str" cm="1">
        <f t="array" ref="Q903:R903">_xlfn.TEXTSPLIT(E903," ")</f>
        <v>27.10.2023</v>
      </c>
      <c r="R903" t="str">
        <v>15:02:30</v>
      </c>
      <c r="S903">
        <f t="shared" si="233"/>
        <v>15.000000000000325</v>
      </c>
      <c r="T903">
        <f t="shared" si="224"/>
        <v>14.580000000000013</v>
      </c>
      <c r="U903">
        <f t="shared" si="227"/>
        <v>1.95</v>
      </c>
      <c r="V903">
        <f t="shared" si="221"/>
        <v>1.7974999999999999</v>
      </c>
      <c r="AC903" t="s">
        <v>2323</v>
      </c>
      <c r="AD903">
        <v>0</v>
      </c>
      <c r="AE903">
        <v>8.65</v>
      </c>
      <c r="AG903" t="str" cm="1">
        <f t="array" ref="AG903:AH903">_xlfn.TEXTSPLIT(AC904," ")</f>
        <v>26.10.2023</v>
      </c>
      <c r="AH903" t="str">
        <v>15:03:38</v>
      </c>
      <c r="AI903">
        <f t="shared" si="234"/>
        <v>15.000000000000325</v>
      </c>
      <c r="AJ903">
        <f t="shared" si="228"/>
        <v>4.12</v>
      </c>
      <c r="AK903">
        <f t="shared" si="229"/>
        <v>0</v>
      </c>
      <c r="AL903">
        <f t="shared" si="222"/>
        <v>0.30499999999999999</v>
      </c>
      <c r="AN903" t="s">
        <v>2323</v>
      </c>
      <c r="AO903">
        <v>0.3</v>
      </c>
      <c r="AP903">
        <v>71.83</v>
      </c>
      <c r="AR903" t="str" cm="1">
        <f t="array" ref="AR903:AS903">_xlfn.TEXTSPLIT(AN903," ")</f>
        <v>26.10.2023</v>
      </c>
      <c r="AS903" t="str">
        <v>15:02:37</v>
      </c>
      <c r="AT903">
        <f t="shared" si="235"/>
        <v>15.000000000000325</v>
      </c>
      <c r="AU903">
        <f t="shared" si="230"/>
        <v>10.519999999999996</v>
      </c>
      <c r="AV903">
        <f t="shared" si="231"/>
        <v>0.3</v>
      </c>
      <c r="AW903">
        <f t="shared" si="223"/>
        <v>0.60999999999999988</v>
      </c>
    </row>
    <row r="904" spans="1:49" x14ac:dyDescent="0.25">
      <c r="A904" t="s">
        <v>2324</v>
      </c>
      <c r="B904">
        <v>0.15</v>
      </c>
      <c r="C904">
        <v>23.16</v>
      </c>
      <c r="E904" t="s">
        <v>2324</v>
      </c>
      <c r="F904">
        <v>1.65</v>
      </c>
      <c r="G904">
        <v>93.2</v>
      </c>
      <c r="I904" t="str" cm="1">
        <f t="array" ref="I904:J904">_xlfn.TEXTSPLIT(A904," ")</f>
        <v>27.10.2023</v>
      </c>
      <c r="J904" t="str">
        <v>15:03:30</v>
      </c>
      <c r="K904">
        <f t="shared" si="232"/>
        <v>15.016666666666993</v>
      </c>
      <c r="L904">
        <f t="shared" si="225"/>
        <v>8.84</v>
      </c>
      <c r="M904">
        <f t="shared" si="226"/>
        <v>0.15</v>
      </c>
      <c r="N904">
        <f t="shared" si="220"/>
        <v>1.0425</v>
      </c>
      <c r="Q904" t="str" cm="1">
        <f t="array" ref="Q904:R904">_xlfn.TEXTSPLIT(E904," ")</f>
        <v>27.10.2023</v>
      </c>
      <c r="R904" t="str">
        <v>15:03:30</v>
      </c>
      <c r="S904">
        <f t="shared" si="233"/>
        <v>15.016666666666993</v>
      </c>
      <c r="T904">
        <f t="shared" si="224"/>
        <v>14.600000000000009</v>
      </c>
      <c r="U904">
        <f t="shared" si="227"/>
        <v>1.65</v>
      </c>
      <c r="V904">
        <f t="shared" si="221"/>
        <v>1.8025</v>
      </c>
      <c r="AC904" t="s">
        <v>2325</v>
      </c>
      <c r="AD904">
        <v>0</v>
      </c>
      <c r="AE904">
        <v>8.65</v>
      </c>
      <c r="AG904" t="str" cm="1">
        <f t="array" ref="AG904:AH904">_xlfn.TEXTSPLIT(AC905," ")</f>
        <v>26.10.2023</v>
      </c>
      <c r="AH904" t="str">
        <v>15:04:38</v>
      </c>
      <c r="AI904">
        <f t="shared" si="234"/>
        <v>15.016666666666993</v>
      </c>
      <c r="AJ904">
        <f t="shared" si="228"/>
        <v>4.12</v>
      </c>
      <c r="AK904">
        <f t="shared" si="229"/>
        <v>0</v>
      </c>
      <c r="AL904">
        <f t="shared" si="222"/>
        <v>0.30499999999999999</v>
      </c>
      <c r="AN904" t="s">
        <v>2325</v>
      </c>
      <c r="AO904">
        <v>0.15</v>
      </c>
      <c r="AP904">
        <v>71.83</v>
      </c>
      <c r="AR904" t="str" cm="1">
        <f t="array" ref="AR904:AS904">_xlfn.TEXTSPLIT(AN904," ")</f>
        <v>26.10.2023</v>
      </c>
      <c r="AS904" t="str">
        <v>15:03:38</v>
      </c>
      <c r="AT904">
        <f t="shared" si="235"/>
        <v>15.016666666666993</v>
      </c>
      <c r="AU904">
        <f t="shared" si="230"/>
        <v>10.519999999999996</v>
      </c>
      <c r="AV904">
        <f t="shared" si="231"/>
        <v>0.15</v>
      </c>
      <c r="AW904">
        <f t="shared" si="223"/>
        <v>0.60499999999999987</v>
      </c>
    </row>
    <row r="905" spans="1:49" x14ac:dyDescent="0.25">
      <c r="A905" t="s">
        <v>2326</v>
      </c>
      <c r="B905">
        <v>1.05</v>
      </c>
      <c r="C905">
        <v>23.18</v>
      </c>
      <c r="E905" t="s">
        <v>2326</v>
      </c>
      <c r="F905">
        <v>1.2</v>
      </c>
      <c r="G905">
        <v>93.22</v>
      </c>
      <c r="I905" t="str" cm="1">
        <f t="array" ref="I905:J905">_xlfn.TEXTSPLIT(A905," ")</f>
        <v>27.10.2023</v>
      </c>
      <c r="J905" t="str">
        <v>15:04:30</v>
      </c>
      <c r="K905">
        <f t="shared" si="232"/>
        <v>15.03333333333366</v>
      </c>
      <c r="L905">
        <f t="shared" si="225"/>
        <v>8.86</v>
      </c>
      <c r="M905">
        <f t="shared" si="226"/>
        <v>1.05</v>
      </c>
      <c r="N905">
        <f t="shared" si="220"/>
        <v>1.0474999999999999</v>
      </c>
      <c r="Q905" t="str" cm="1">
        <f t="array" ref="Q905:R905">_xlfn.TEXTSPLIT(E905," ")</f>
        <v>27.10.2023</v>
      </c>
      <c r="R905" t="str">
        <v>15:04:30</v>
      </c>
      <c r="S905">
        <f t="shared" si="233"/>
        <v>15.03333333333366</v>
      </c>
      <c r="T905">
        <f t="shared" si="224"/>
        <v>14.620000000000005</v>
      </c>
      <c r="U905">
        <f t="shared" si="227"/>
        <v>1.2</v>
      </c>
      <c r="V905">
        <f t="shared" si="221"/>
        <v>1.7950000000000004</v>
      </c>
      <c r="AC905" t="s">
        <v>2327</v>
      </c>
      <c r="AD905">
        <v>0</v>
      </c>
      <c r="AE905">
        <v>8.65</v>
      </c>
      <c r="AG905" t="str" cm="1">
        <f t="array" ref="AG905:AH905">_xlfn.TEXTSPLIT(AC906," ")</f>
        <v>26.10.2023</v>
      </c>
      <c r="AH905" t="str">
        <v>15:05:38</v>
      </c>
      <c r="AI905">
        <f t="shared" si="234"/>
        <v>15.03333333333366</v>
      </c>
      <c r="AJ905">
        <f t="shared" si="228"/>
        <v>4.12</v>
      </c>
      <c r="AK905">
        <f t="shared" si="229"/>
        <v>0</v>
      </c>
      <c r="AL905">
        <f t="shared" si="222"/>
        <v>0.30499999999999999</v>
      </c>
      <c r="AN905" t="s">
        <v>2327</v>
      </c>
      <c r="AO905">
        <v>0.45</v>
      </c>
      <c r="AP905">
        <v>71.84</v>
      </c>
      <c r="AR905" t="str" cm="1">
        <f t="array" ref="AR905:AS905">_xlfn.TEXTSPLIT(AN905," ")</f>
        <v>26.10.2023</v>
      </c>
      <c r="AS905" t="str">
        <v>15:04:38</v>
      </c>
      <c r="AT905">
        <f t="shared" si="235"/>
        <v>15.03333333333366</v>
      </c>
      <c r="AU905">
        <f t="shared" si="230"/>
        <v>10.530000000000001</v>
      </c>
      <c r="AV905">
        <f t="shared" si="231"/>
        <v>0.45</v>
      </c>
      <c r="AW905">
        <f t="shared" si="223"/>
        <v>0.60499999999999987</v>
      </c>
    </row>
    <row r="906" spans="1:49" x14ac:dyDescent="0.25">
      <c r="A906" t="s">
        <v>2328</v>
      </c>
      <c r="B906">
        <v>0.9</v>
      </c>
      <c r="C906">
        <v>23.19</v>
      </c>
      <c r="E906" t="s">
        <v>2328</v>
      </c>
      <c r="F906">
        <v>1.2</v>
      </c>
      <c r="G906">
        <v>93.24</v>
      </c>
      <c r="I906" t="str" cm="1">
        <f t="array" ref="I906:J906">_xlfn.TEXTSPLIT(A906," ")</f>
        <v>27.10.2023</v>
      </c>
      <c r="J906" t="str">
        <v>15:05:30</v>
      </c>
      <c r="K906">
        <f t="shared" si="232"/>
        <v>15.050000000000328</v>
      </c>
      <c r="L906">
        <f t="shared" si="225"/>
        <v>8.870000000000001</v>
      </c>
      <c r="M906">
        <f t="shared" si="226"/>
        <v>0.9</v>
      </c>
      <c r="N906">
        <f t="shared" si="220"/>
        <v>1.0474999999999999</v>
      </c>
      <c r="Q906" t="str" cm="1">
        <f t="array" ref="Q906:R906">_xlfn.TEXTSPLIT(E906," ")</f>
        <v>27.10.2023</v>
      </c>
      <c r="R906" t="str">
        <v>15:05:30</v>
      </c>
      <c r="S906">
        <f t="shared" si="233"/>
        <v>15.050000000000328</v>
      </c>
      <c r="T906">
        <f t="shared" si="224"/>
        <v>14.64</v>
      </c>
      <c r="U906">
        <f t="shared" si="227"/>
        <v>1.2</v>
      </c>
      <c r="V906">
        <f t="shared" si="221"/>
        <v>1.7825000000000002</v>
      </c>
      <c r="AC906" t="s">
        <v>2329</v>
      </c>
      <c r="AD906">
        <v>0</v>
      </c>
      <c r="AE906">
        <v>8.65</v>
      </c>
      <c r="AG906" t="str" cm="1">
        <f t="array" ref="AG906:AH906">_xlfn.TEXTSPLIT(AC907," ")</f>
        <v>26.10.2023</v>
      </c>
      <c r="AH906" t="str">
        <v>15:06:38</v>
      </c>
      <c r="AI906">
        <f t="shared" si="234"/>
        <v>15.050000000000328</v>
      </c>
      <c r="AJ906">
        <f t="shared" si="228"/>
        <v>4.12</v>
      </c>
      <c r="AK906">
        <f t="shared" si="229"/>
        <v>0</v>
      </c>
      <c r="AL906">
        <f t="shared" si="222"/>
        <v>0.30499999999999999</v>
      </c>
      <c r="AN906" t="s">
        <v>2329</v>
      </c>
      <c r="AO906">
        <v>0.45</v>
      </c>
      <c r="AP906">
        <v>71.849999999999994</v>
      </c>
      <c r="AR906" t="str" cm="1">
        <f t="array" ref="AR906:AS906">_xlfn.TEXTSPLIT(AN906," ")</f>
        <v>26.10.2023</v>
      </c>
      <c r="AS906" t="str">
        <v>15:05:38</v>
      </c>
      <c r="AT906">
        <f t="shared" si="235"/>
        <v>15.050000000000328</v>
      </c>
      <c r="AU906">
        <f t="shared" si="230"/>
        <v>10.539999999999992</v>
      </c>
      <c r="AV906">
        <f t="shared" si="231"/>
        <v>0.45</v>
      </c>
      <c r="AW906">
        <f t="shared" si="223"/>
        <v>0.60499999999999987</v>
      </c>
    </row>
    <row r="907" spans="1:49" x14ac:dyDescent="0.25">
      <c r="A907" t="s">
        <v>2330</v>
      </c>
      <c r="B907">
        <v>0.75</v>
      </c>
      <c r="C907">
        <v>23.2</v>
      </c>
      <c r="E907" t="s">
        <v>2330</v>
      </c>
      <c r="F907">
        <v>2.25</v>
      </c>
      <c r="G907">
        <v>93.29</v>
      </c>
      <c r="I907" t="str" cm="1">
        <f t="array" ref="I907:J907">_xlfn.TEXTSPLIT(A907," ")</f>
        <v>27.10.2023</v>
      </c>
      <c r="J907" t="str">
        <v>15:06:30</v>
      </c>
      <c r="K907">
        <f t="shared" si="232"/>
        <v>15.066666666666995</v>
      </c>
      <c r="L907">
        <f t="shared" si="225"/>
        <v>8.879999999999999</v>
      </c>
      <c r="M907">
        <f t="shared" si="226"/>
        <v>0.75</v>
      </c>
      <c r="N907">
        <f t="shared" si="220"/>
        <v>1.0449999999999997</v>
      </c>
      <c r="Q907" t="str" cm="1">
        <f t="array" ref="Q907:R907">_xlfn.TEXTSPLIT(E907," ")</f>
        <v>27.10.2023</v>
      </c>
      <c r="R907" t="str">
        <v>15:06:30</v>
      </c>
      <c r="S907">
        <f t="shared" si="233"/>
        <v>15.066666666666995</v>
      </c>
      <c r="T907">
        <f t="shared" si="224"/>
        <v>14.690000000000012</v>
      </c>
      <c r="U907">
        <f t="shared" si="227"/>
        <v>2.25</v>
      </c>
      <c r="V907">
        <f t="shared" si="221"/>
        <v>1.7775000000000003</v>
      </c>
      <c r="AC907" t="s">
        <v>2331</v>
      </c>
      <c r="AD907">
        <v>0</v>
      </c>
      <c r="AE907">
        <v>8.65</v>
      </c>
      <c r="AG907" t="str" cm="1">
        <f t="array" ref="AG907:AH907">_xlfn.TEXTSPLIT(AC908," ")</f>
        <v>26.10.2023</v>
      </c>
      <c r="AH907" t="str">
        <v>15:07:38</v>
      </c>
      <c r="AI907">
        <f t="shared" si="234"/>
        <v>15.066666666666995</v>
      </c>
      <c r="AJ907">
        <f t="shared" si="228"/>
        <v>4.12</v>
      </c>
      <c r="AK907">
        <f t="shared" si="229"/>
        <v>0</v>
      </c>
      <c r="AL907">
        <f t="shared" si="222"/>
        <v>0.30499999999999999</v>
      </c>
      <c r="AN907" t="s">
        <v>2331</v>
      </c>
      <c r="AO907">
        <v>0.3</v>
      </c>
      <c r="AP907">
        <v>71.86</v>
      </c>
      <c r="AR907" t="str" cm="1">
        <f t="array" ref="AR907:AS907">_xlfn.TEXTSPLIT(AN907," ")</f>
        <v>26.10.2023</v>
      </c>
      <c r="AS907" t="str">
        <v>15:06:38</v>
      </c>
      <c r="AT907">
        <f t="shared" si="235"/>
        <v>15.066666666666995</v>
      </c>
      <c r="AU907">
        <f t="shared" si="230"/>
        <v>10.549999999999997</v>
      </c>
      <c r="AV907">
        <f t="shared" si="231"/>
        <v>0.3</v>
      </c>
      <c r="AW907">
        <f t="shared" si="223"/>
        <v>0.60499999999999987</v>
      </c>
    </row>
    <row r="908" spans="1:49" x14ac:dyDescent="0.25">
      <c r="A908" t="s">
        <v>2332</v>
      </c>
      <c r="B908">
        <v>0.6</v>
      </c>
      <c r="C908">
        <v>23.23</v>
      </c>
      <c r="E908" t="s">
        <v>2332</v>
      </c>
      <c r="F908">
        <v>3.45</v>
      </c>
      <c r="G908">
        <v>93.35</v>
      </c>
      <c r="I908" t="str" cm="1">
        <f t="array" ref="I908:J908">_xlfn.TEXTSPLIT(A908," ")</f>
        <v>27.10.2023</v>
      </c>
      <c r="J908" t="str">
        <v>15:07:30</v>
      </c>
      <c r="K908">
        <f t="shared" si="232"/>
        <v>15.083333333333663</v>
      </c>
      <c r="L908">
        <f t="shared" si="225"/>
        <v>8.91</v>
      </c>
      <c r="M908">
        <f t="shared" si="226"/>
        <v>0.6</v>
      </c>
      <c r="N908">
        <f t="shared" si="220"/>
        <v>1.0424999999999998</v>
      </c>
      <c r="Q908" t="str" cm="1">
        <f t="array" ref="Q908:R908">_xlfn.TEXTSPLIT(E908," ")</f>
        <v>27.10.2023</v>
      </c>
      <c r="R908" t="str">
        <v>15:07:30</v>
      </c>
      <c r="S908">
        <f t="shared" si="233"/>
        <v>15.083333333333663</v>
      </c>
      <c r="T908">
        <f t="shared" si="224"/>
        <v>14.75</v>
      </c>
      <c r="U908">
        <f t="shared" si="227"/>
        <v>3.45</v>
      </c>
      <c r="V908">
        <f t="shared" si="221"/>
        <v>1.7850000000000004</v>
      </c>
      <c r="AC908" t="s">
        <v>2333</v>
      </c>
      <c r="AD908">
        <v>0</v>
      </c>
      <c r="AE908">
        <v>8.65</v>
      </c>
      <c r="AG908" t="str" cm="1">
        <f t="array" ref="AG908:AH908">_xlfn.TEXTSPLIT(AC909," ")</f>
        <v>26.10.2023</v>
      </c>
      <c r="AH908" t="str">
        <v>15:08:38</v>
      </c>
      <c r="AI908">
        <f t="shared" si="234"/>
        <v>15.083333333333663</v>
      </c>
      <c r="AJ908">
        <f t="shared" si="228"/>
        <v>4.12</v>
      </c>
      <c r="AK908">
        <f t="shared" si="229"/>
        <v>0</v>
      </c>
      <c r="AL908">
        <f t="shared" si="222"/>
        <v>0.30499999999999999</v>
      </c>
      <c r="AN908" t="s">
        <v>2333</v>
      </c>
      <c r="AO908">
        <v>1.5</v>
      </c>
      <c r="AP908">
        <v>71.900000000000006</v>
      </c>
      <c r="AR908" t="str" cm="1">
        <f t="array" ref="AR908:AS908">_xlfn.TEXTSPLIT(AN908," ")</f>
        <v>26.10.2023</v>
      </c>
      <c r="AS908" t="str">
        <v>15:07:38</v>
      </c>
      <c r="AT908">
        <f t="shared" si="235"/>
        <v>15.083333333333663</v>
      </c>
      <c r="AU908">
        <f t="shared" si="230"/>
        <v>10.590000000000003</v>
      </c>
      <c r="AV908">
        <f t="shared" si="231"/>
        <v>1.5</v>
      </c>
      <c r="AW908">
        <f t="shared" si="223"/>
        <v>0.60999999999999988</v>
      </c>
    </row>
    <row r="909" spans="1:49" x14ac:dyDescent="0.25">
      <c r="A909" t="s">
        <v>2334</v>
      </c>
      <c r="B909">
        <v>2.25</v>
      </c>
      <c r="C909">
        <v>23.28</v>
      </c>
      <c r="E909" t="s">
        <v>2334</v>
      </c>
      <c r="F909">
        <v>2.85</v>
      </c>
      <c r="G909">
        <v>93.4</v>
      </c>
      <c r="I909" t="str" cm="1">
        <f t="array" ref="I909:J909">_xlfn.TEXTSPLIT(A909," ")</f>
        <v>27.10.2023</v>
      </c>
      <c r="J909" t="str">
        <v>15:08:30</v>
      </c>
      <c r="K909">
        <f t="shared" si="232"/>
        <v>15.10000000000033</v>
      </c>
      <c r="L909">
        <f t="shared" si="225"/>
        <v>8.9600000000000009</v>
      </c>
      <c r="M909">
        <f t="shared" si="226"/>
        <v>2.25</v>
      </c>
      <c r="N909">
        <f t="shared" si="220"/>
        <v>1.0324999999999998</v>
      </c>
      <c r="Q909" t="str" cm="1">
        <f t="array" ref="Q909:R909">_xlfn.TEXTSPLIT(E909," ")</f>
        <v>27.10.2023</v>
      </c>
      <c r="R909" t="str">
        <v>15:08:30</v>
      </c>
      <c r="S909">
        <f t="shared" si="233"/>
        <v>15.10000000000033</v>
      </c>
      <c r="T909">
        <f t="shared" si="224"/>
        <v>14.800000000000011</v>
      </c>
      <c r="U909">
        <f t="shared" si="227"/>
        <v>2.85</v>
      </c>
      <c r="V909">
        <f t="shared" si="221"/>
        <v>1.7600000000000005</v>
      </c>
      <c r="AC909" t="s">
        <v>2335</v>
      </c>
      <c r="AD909">
        <v>0.15</v>
      </c>
      <c r="AE909">
        <v>8.7100000000000009</v>
      </c>
      <c r="AG909" t="str" cm="1">
        <f t="array" ref="AG909:AH909">_xlfn.TEXTSPLIT(AC910," ")</f>
        <v>26.10.2023</v>
      </c>
      <c r="AH909" t="str">
        <v>15:09:38</v>
      </c>
      <c r="AI909">
        <f t="shared" si="234"/>
        <v>15.10000000000033</v>
      </c>
      <c r="AJ909">
        <f t="shared" si="228"/>
        <v>4.1800000000000006</v>
      </c>
      <c r="AK909">
        <f t="shared" si="229"/>
        <v>0.15</v>
      </c>
      <c r="AL909">
        <f t="shared" si="222"/>
        <v>0.30249999999999994</v>
      </c>
      <c r="AN909" t="s">
        <v>2335</v>
      </c>
      <c r="AO909">
        <v>3</v>
      </c>
      <c r="AP909">
        <v>71.930000000000007</v>
      </c>
      <c r="AR909" t="str" cm="1">
        <f t="array" ref="AR909:AS909">_xlfn.TEXTSPLIT(AN909," ")</f>
        <v>26.10.2023</v>
      </c>
      <c r="AS909" t="str">
        <v>15:08:38</v>
      </c>
      <c r="AT909">
        <f t="shared" si="235"/>
        <v>15.10000000000033</v>
      </c>
      <c r="AU909">
        <f t="shared" si="230"/>
        <v>10.620000000000005</v>
      </c>
      <c r="AV909">
        <f t="shared" si="231"/>
        <v>3</v>
      </c>
      <c r="AW909">
        <f t="shared" si="223"/>
        <v>0.61749999999999994</v>
      </c>
    </row>
    <row r="910" spans="1:49" x14ac:dyDescent="0.25">
      <c r="A910" t="s">
        <v>2336</v>
      </c>
      <c r="B910">
        <v>3.45</v>
      </c>
      <c r="C910">
        <v>23.32</v>
      </c>
      <c r="E910" t="s">
        <v>2336</v>
      </c>
      <c r="F910">
        <v>2.85</v>
      </c>
      <c r="G910">
        <v>93.44</v>
      </c>
      <c r="I910" t="str" cm="1">
        <f t="array" ref="I910:J910">_xlfn.TEXTSPLIT(A910," ")</f>
        <v>27.10.2023</v>
      </c>
      <c r="J910" t="str">
        <v>15:09:31</v>
      </c>
      <c r="K910">
        <f t="shared" si="232"/>
        <v>15.116666666666998</v>
      </c>
      <c r="L910">
        <f t="shared" si="225"/>
        <v>9</v>
      </c>
      <c r="M910">
        <f t="shared" si="226"/>
        <v>3.45</v>
      </c>
      <c r="N910">
        <f t="shared" si="220"/>
        <v>1.0449999999999997</v>
      </c>
      <c r="Q910" t="str" cm="1">
        <f t="array" ref="Q910:R910">_xlfn.TEXTSPLIT(E910," ")</f>
        <v>27.10.2023</v>
      </c>
      <c r="R910" t="str">
        <v>15:09:31</v>
      </c>
      <c r="S910">
        <f t="shared" si="233"/>
        <v>15.116666666666998</v>
      </c>
      <c r="T910">
        <f t="shared" si="224"/>
        <v>14.840000000000003</v>
      </c>
      <c r="U910">
        <f t="shared" si="227"/>
        <v>2.85</v>
      </c>
      <c r="V910">
        <f t="shared" si="221"/>
        <v>1.7725000000000004</v>
      </c>
      <c r="AC910" t="s">
        <v>2337</v>
      </c>
      <c r="AD910">
        <v>50.7</v>
      </c>
      <c r="AE910">
        <v>9.5</v>
      </c>
      <c r="AG910" t="str" cm="1">
        <f t="array" ref="AG910:AH910">_xlfn.TEXTSPLIT(AC911," ")</f>
        <v>26.10.2023</v>
      </c>
      <c r="AH910" t="str">
        <v>15:10:38</v>
      </c>
      <c r="AI910">
        <f t="shared" si="234"/>
        <v>15.116666666666998</v>
      </c>
      <c r="AJ910">
        <f t="shared" si="228"/>
        <v>4.97</v>
      </c>
      <c r="AK910">
        <f t="shared" si="229"/>
        <v>50.7</v>
      </c>
      <c r="AL910">
        <f t="shared" si="222"/>
        <v>1.125</v>
      </c>
      <c r="AN910" t="s">
        <v>2337</v>
      </c>
      <c r="AO910">
        <v>1.65</v>
      </c>
      <c r="AP910">
        <v>71.959999999999994</v>
      </c>
      <c r="AR910" t="str" cm="1">
        <f t="array" ref="AR910:AS910">_xlfn.TEXTSPLIT(AN910," ")</f>
        <v>26.10.2023</v>
      </c>
      <c r="AS910" t="str">
        <v>15:09:38</v>
      </c>
      <c r="AT910">
        <f t="shared" si="235"/>
        <v>15.116666666666998</v>
      </c>
      <c r="AU910">
        <f t="shared" si="230"/>
        <v>10.649999999999991</v>
      </c>
      <c r="AV910">
        <f t="shared" si="231"/>
        <v>1.65</v>
      </c>
      <c r="AW910">
        <f t="shared" si="223"/>
        <v>0.61499999999999999</v>
      </c>
    </row>
    <row r="911" spans="1:49" x14ac:dyDescent="0.25">
      <c r="A911" t="s">
        <v>2338</v>
      </c>
      <c r="B911">
        <v>1.8</v>
      </c>
      <c r="C911">
        <v>23.35</v>
      </c>
      <c r="E911" t="s">
        <v>2338</v>
      </c>
      <c r="F911">
        <v>1.35</v>
      </c>
      <c r="G911">
        <v>93.47</v>
      </c>
      <c r="I911" t="str" cm="1">
        <f t="array" ref="I911:J911">_xlfn.TEXTSPLIT(A911," ")</f>
        <v>27.10.2023</v>
      </c>
      <c r="J911" t="str">
        <v>15:10:31</v>
      </c>
      <c r="K911">
        <f t="shared" si="232"/>
        <v>15.133333333333665</v>
      </c>
      <c r="L911">
        <f t="shared" si="225"/>
        <v>9.0300000000000011</v>
      </c>
      <c r="M911">
        <f t="shared" si="226"/>
        <v>1.8</v>
      </c>
      <c r="N911">
        <f t="shared" si="220"/>
        <v>1.0325</v>
      </c>
      <c r="Q911" t="str" cm="1">
        <f t="array" ref="Q911:R911">_xlfn.TEXTSPLIT(E911," ")</f>
        <v>27.10.2023</v>
      </c>
      <c r="R911" t="str">
        <v>15:10:31</v>
      </c>
      <c r="S911">
        <f t="shared" si="233"/>
        <v>15.133333333333665</v>
      </c>
      <c r="T911">
        <f t="shared" si="224"/>
        <v>14.870000000000005</v>
      </c>
      <c r="U911">
        <f t="shared" si="227"/>
        <v>1.35</v>
      </c>
      <c r="V911">
        <f t="shared" si="221"/>
        <v>1.7525000000000002</v>
      </c>
      <c r="AC911" t="s">
        <v>2339</v>
      </c>
      <c r="AD911">
        <v>1.35</v>
      </c>
      <c r="AE911">
        <v>9.5299999999999994</v>
      </c>
      <c r="AG911" t="str" cm="1">
        <f t="array" ref="AG911:AH911">_xlfn.TEXTSPLIT(AC912," ")</f>
        <v>26.10.2023</v>
      </c>
      <c r="AH911" t="str">
        <v>15:11:38</v>
      </c>
      <c r="AI911">
        <f t="shared" si="234"/>
        <v>15.133333333333665</v>
      </c>
      <c r="AJ911">
        <f t="shared" si="228"/>
        <v>4.9999999999999991</v>
      </c>
      <c r="AK911">
        <f t="shared" si="229"/>
        <v>1.35</v>
      </c>
      <c r="AL911">
        <f t="shared" si="222"/>
        <v>1.1224999999999998</v>
      </c>
      <c r="AN911" t="s">
        <v>2339</v>
      </c>
      <c r="AO911">
        <v>1.5</v>
      </c>
      <c r="AP911">
        <v>71.989999999999995</v>
      </c>
      <c r="AR911" t="str" cm="1">
        <f t="array" ref="AR911:AS911">_xlfn.TEXTSPLIT(AN911," ")</f>
        <v>26.10.2023</v>
      </c>
      <c r="AS911" t="str">
        <v>15:10:38</v>
      </c>
      <c r="AT911">
        <f t="shared" si="235"/>
        <v>15.133333333333665</v>
      </c>
      <c r="AU911">
        <f t="shared" si="230"/>
        <v>10.679999999999993</v>
      </c>
      <c r="AV911">
        <f t="shared" si="231"/>
        <v>1.5</v>
      </c>
      <c r="AW911">
        <f t="shared" si="223"/>
        <v>0.62250000000000005</v>
      </c>
    </row>
    <row r="912" spans="1:49" x14ac:dyDescent="0.25">
      <c r="A912" t="s">
        <v>2340</v>
      </c>
      <c r="B912">
        <v>1.65</v>
      </c>
      <c r="C912">
        <v>23.37</v>
      </c>
      <c r="E912" t="s">
        <v>2340</v>
      </c>
      <c r="F912">
        <v>1.35</v>
      </c>
      <c r="G912">
        <v>93.49</v>
      </c>
      <c r="I912" t="str" cm="1">
        <f t="array" ref="I912:J912">_xlfn.TEXTSPLIT(A912," ")</f>
        <v>27.10.2023</v>
      </c>
      <c r="J912" t="str">
        <v>15:11:31</v>
      </c>
      <c r="K912">
        <f t="shared" si="232"/>
        <v>15.150000000000333</v>
      </c>
      <c r="L912">
        <f t="shared" si="225"/>
        <v>9.0500000000000007</v>
      </c>
      <c r="M912">
        <f t="shared" si="226"/>
        <v>1.65</v>
      </c>
      <c r="N912">
        <f t="shared" si="220"/>
        <v>1.0225</v>
      </c>
      <c r="Q912" t="str" cm="1">
        <f t="array" ref="Q912:R912">_xlfn.TEXTSPLIT(E912," ")</f>
        <v>27.10.2023</v>
      </c>
      <c r="R912" t="str">
        <v>15:11:31</v>
      </c>
      <c r="S912">
        <f t="shared" si="233"/>
        <v>15.150000000000333</v>
      </c>
      <c r="T912">
        <f t="shared" si="224"/>
        <v>14.89</v>
      </c>
      <c r="U912">
        <f t="shared" si="227"/>
        <v>1.35</v>
      </c>
      <c r="V912">
        <f t="shared" si="221"/>
        <v>1.74</v>
      </c>
      <c r="AC912" t="s">
        <v>2341</v>
      </c>
      <c r="AD912">
        <v>1.8</v>
      </c>
      <c r="AE912">
        <v>9.56</v>
      </c>
      <c r="AG912" t="str" cm="1">
        <f t="array" ref="AG912:AH912">_xlfn.TEXTSPLIT(AC913," ")</f>
        <v>26.10.2023</v>
      </c>
      <c r="AH912" t="str">
        <v>15:12:38</v>
      </c>
      <c r="AI912">
        <f t="shared" si="234"/>
        <v>15.150000000000333</v>
      </c>
      <c r="AJ912">
        <f t="shared" si="228"/>
        <v>5.03</v>
      </c>
      <c r="AK912">
        <f t="shared" si="229"/>
        <v>1.8</v>
      </c>
      <c r="AL912">
        <f t="shared" si="222"/>
        <v>1.1375</v>
      </c>
      <c r="AN912" t="s">
        <v>2341</v>
      </c>
      <c r="AO912">
        <v>1.8</v>
      </c>
      <c r="AP912">
        <v>72.02</v>
      </c>
      <c r="AR912" t="str" cm="1">
        <f t="array" ref="AR912:AS912">_xlfn.TEXTSPLIT(AN912," ")</f>
        <v>26.10.2023</v>
      </c>
      <c r="AS912" t="str">
        <v>15:11:38</v>
      </c>
      <c r="AT912">
        <f t="shared" si="235"/>
        <v>15.150000000000333</v>
      </c>
      <c r="AU912">
        <f t="shared" si="230"/>
        <v>10.709999999999994</v>
      </c>
      <c r="AV912">
        <f t="shared" si="231"/>
        <v>1.8</v>
      </c>
      <c r="AW912">
        <f t="shared" si="223"/>
        <v>0.63749999999999984</v>
      </c>
    </row>
    <row r="913" spans="1:49" x14ac:dyDescent="0.25">
      <c r="A913" t="s">
        <v>2342</v>
      </c>
      <c r="B913">
        <v>1.35</v>
      </c>
      <c r="C913">
        <v>23.4</v>
      </c>
      <c r="E913" t="s">
        <v>2342</v>
      </c>
      <c r="F913">
        <v>1.95</v>
      </c>
      <c r="G913">
        <v>93.53</v>
      </c>
      <c r="I913" t="str" cm="1">
        <f t="array" ref="I913:J913">_xlfn.TEXTSPLIT(A913," ")</f>
        <v>27.10.2023</v>
      </c>
      <c r="J913" t="str">
        <v>15:12:31</v>
      </c>
      <c r="K913">
        <f t="shared" si="232"/>
        <v>15.166666666667</v>
      </c>
      <c r="L913">
        <f t="shared" si="225"/>
        <v>9.0799999999999983</v>
      </c>
      <c r="M913">
        <f t="shared" si="226"/>
        <v>1.35</v>
      </c>
      <c r="N913">
        <f t="shared" si="220"/>
        <v>1.0225</v>
      </c>
      <c r="Q913" t="str" cm="1">
        <f t="array" ref="Q913:R913">_xlfn.TEXTSPLIT(E913," ")</f>
        <v>27.10.2023</v>
      </c>
      <c r="R913" t="str">
        <v>15:12:31</v>
      </c>
      <c r="S913">
        <f t="shared" si="233"/>
        <v>15.166666666667</v>
      </c>
      <c r="T913">
        <f t="shared" si="224"/>
        <v>14.930000000000007</v>
      </c>
      <c r="U913">
        <f t="shared" si="227"/>
        <v>1.95</v>
      </c>
      <c r="V913">
        <f t="shared" si="221"/>
        <v>1.7425000000000002</v>
      </c>
      <c r="AC913" t="s">
        <v>2343</v>
      </c>
      <c r="AD913">
        <v>1.5</v>
      </c>
      <c r="AE913">
        <v>9.59</v>
      </c>
      <c r="AG913" t="str" cm="1">
        <f t="array" ref="AG913:AH913">_xlfn.TEXTSPLIT(AC914," ")</f>
        <v>26.10.2023</v>
      </c>
      <c r="AH913" t="str">
        <v>15:13:38</v>
      </c>
      <c r="AI913">
        <f t="shared" si="234"/>
        <v>15.166666666667</v>
      </c>
      <c r="AJ913">
        <f t="shared" si="228"/>
        <v>5.0599999999999996</v>
      </c>
      <c r="AK913">
        <f t="shared" si="229"/>
        <v>1.5</v>
      </c>
      <c r="AL913">
        <f t="shared" si="222"/>
        <v>1.1424999999999998</v>
      </c>
      <c r="AN913" t="s">
        <v>2343</v>
      </c>
      <c r="AO913">
        <v>1.8</v>
      </c>
      <c r="AP913">
        <v>72.05</v>
      </c>
      <c r="AR913" t="str" cm="1">
        <f t="array" ref="AR913:AS913">_xlfn.TEXTSPLIT(AN913," ")</f>
        <v>26.10.2023</v>
      </c>
      <c r="AS913" t="str">
        <v>15:12:38</v>
      </c>
      <c r="AT913">
        <f t="shared" si="235"/>
        <v>15.166666666667</v>
      </c>
      <c r="AU913">
        <f t="shared" si="230"/>
        <v>10.739999999999995</v>
      </c>
      <c r="AV913">
        <f t="shared" si="231"/>
        <v>1.8</v>
      </c>
      <c r="AW913">
        <f t="shared" si="223"/>
        <v>0.64999999999999991</v>
      </c>
    </row>
    <row r="914" spans="1:49" x14ac:dyDescent="0.25">
      <c r="A914" t="s">
        <v>2344</v>
      </c>
      <c r="B914">
        <v>1.5</v>
      </c>
      <c r="C914">
        <v>23.42</v>
      </c>
      <c r="E914" t="s">
        <v>2344</v>
      </c>
      <c r="F914">
        <v>2.5499999999999998</v>
      </c>
      <c r="G914">
        <v>93.56</v>
      </c>
      <c r="I914" t="str" cm="1">
        <f t="array" ref="I914:J914">_xlfn.TEXTSPLIT(A914," ")</f>
        <v>27.10.2023</v>
      </c>
      <c r="J914" t="str">
        <v>15:13:31</v>
      </c>
      <c r="K914">
        <f t="shared" si="232"/>
        <v>15.183333333333668</v>
      </c>
      <c r="L914">
        <f t="shared" si="225"/>
        <v>9.1000000000000014</v>
      </c>
      <c r="M914">
        <f t="shared" si="226"/>
        <v>1.5</v>
      </c>
      <c r="N914">
        <f t="shared" si="220"/>
        <v>1.0274999999999999</v>
      </c>
      <c r="Q914" t="str" cm="1">
        <f t="array" ref="Q914:R914">_xlfn.TEXTSPLIT(E914," ")</f>
        <v>27.10.2023</v>
      </c>
      <c r="R914" t="str">
        <v>15:13:31</v>
      </c>
      <c r="S914">
        <f t="shared" si="233"/>
        <v>15.183333333333668</v>
      </c>
      <c r="T914">
        <f t="shared" si="224"/>
        <v>14.960000000000008</v>
      </c>
      <c r="U914">
        <f t="shared" si="227"/>
        <v>2.5499999999999998</v>
      </c>
      <c r="V914">
        <f t="shared" si="221"/>
        <v>1.7550000000000001</v>
      </c>
      <c r="AC914" t="s">
        <v>2345</v>
      </c>
      <c r="AD914">
        <v>1.05</v>
      </c>
      <c r="AE914">
        <v>9.6</v>
      </c>
      <c r="AG914" t="str" cm="1">
        <f t="array" ref="AG914:AH914">_xlfn.TEXTSPLIT(AC915," ")</f>
        <v>26.10.2023</v>
      </c>
      <c r="AH914" t="str">
        <v>15:14:39</v>
      </c>
      <c r="AI914">
        <f t="shared" si="234"/>
        <v>15.183333333333668</v>
      </c>
      <c r="AJ914">
        <f t="shared" si="228"/>
        <v>5.0699999999999994</v>
      </c>
      <c r="AK914">
        <f t="shared" si="229"/>
        <v>1.05</v>
      </c>
      <c r="AL914">
        <f t="shared" si="222"/>
        <v>1.1475</v>
      </c>
      <c r="AN914" t="s">
        <v>2345</v>
      </c>
      <c r="AO914">
        <v>1.05</v>
      </c>
      <c r="AP914">
        <v>72.06</v>
      </c>
      <c r="AR914" t="str" cm="1">
        <f t="array" ref="AR914:AS914">_xlfn.TEXTSPLIT(AN914," ")</f>
        <v>26.10.2023</v>
      </c>
      <c r="AS914" t="str">
        <v>15:13:38</v>
      </c>
      <c r="AT914">
        <f t="shared" si="235"/>
        <v>15.183333333333668</v>
      </c>
      <c r="AU914">
        <f t="shared" si="230"/>
        <v>10.75</v>
      </c>
      <c r="AV914">
        <f t="shared" si="231"/>
        <v>1.05</v>
      </c>
      <c r="AW914">
        <f t="shared" si="223"/>
        <v>0.65249999999999986</v>
      </c>
    </row>
    <row r="915" spans="1:49" x14ac:dyDescent="0.25">
      <c r="A915" t="s">
        <v>2346</v>
      </c>
      <c r="B915">
        <v>1.35</v>
      </c>
      <c r="C915">
        <v>23.44</v>
      </c>
      <c r="E915" t="s">
        <v>2346</v>
      </c>
      <c r="F915">
        <v>1.5</v>
      </c>
      <c r="G915">
        <v>93.58</v>
      </c>
      <c r="I915" t="str" cm="1">
        <f t="array" ref="I915:J915">_xlfn.TEXTSPLIT(A915," ")</f>
        <v>27.10.2023</v>
      </c>
      <c r="J915" t="str">
        <v>15:14:31</v>
      </c>
      <c r="K915">
        <f t="shared" si="232"/>
        <v>15.200000000000335</v>
      </c>
      <c r="L915">
        <f t="shared" si="225"/>
        <v>9.120000000000001</v>
      </c>
      <c r="M915">
        <f t="shared" si="226"/>
        <v>1.35</v>
      </c>
      <c r="N915">
        <f t="shared" si="220"/>
        <v>1.0274999999999999</v>
      </c>
      <c r="Q915" t="str" cm="1">
        <f t="array" ref="Q915:R915">_xlfn.TEXTSPLIT(E915," ")</f>
        <v>27.10.2023</v>
      </c>
      <c r="R915" t="str">
        <v>15:14:31</v>
      </c>
      <c r="S915">
        <f t="shared" si="233"/>
        <v>15.200000000000335</v>
      </c>
      <c r="T915">
        <f t="shared" si="224"/>
        <v>14.980000000000004</v>
      </c>
      <c r="U915">
        <f t="shared" si="227"/>
        <v>1.5</v>
      </c>
      <c r="V915">
        <f t="shared" si="221"/>
        <v>1.7375</v>
      </c>
      <c r="AC915" t="s">
        <v>2347</v>
      </c>
      <c r="AD915">
        <v>1.2</v>
      </c>
      <c r="AE915">
        <v>9.6199999999999992</v>
      </c>
      <c r="AG915" t="str" cm="1">
        <f t="array" ref="AG915:AH915">_xlfn.TEXTSPLIT(AC916," ")</f>
        <v>26.10.2023</v>
      </c>
      <c r="AH915" t="str">
        <v>15:15:39</v>
      </c>
      <c r="AI915">
        <f t="shared" si="234"/>
        <v>15.200000000000335</v>
      </c>
      <c r="AJ915">
        <f t="shared" si="228"/>
        <v>5.089999999999999</v>
      </c>
      <c r="AK915">
        <f t="shared" si="229"/>
        <v>1.2</v>
      </c>
      <c r="AL915">
        <f t="shared" si="222"/>
        <v>1.1575</v>
      </c>
      <c r="AN915" t="s">
        <v>2347</v>
      </c>
      <c r="AO915">
        <v>1.05</v>
      </c>
      <c r="AP915">
        <v>72.08</v>
      </c>
      <c r="AR915" t="str" cm="1">
        <f t="array" ref="AR915:AS915">_xlfn.TEXTSPLIT(AN915," ")</f>
        <v>26.10.2023</v>
      </c>
      <c r="AS915" t="str">
        <v>15:14:39</v>
      </c>
      <c r="AT915">
        <f t="shared" si="235"/>
        <v>15.200000000000335</v>
      </c>
      <c r="AU915">
        <f t="shared" si="230"/>
        <v>10.769999999999996</v>
      </c>
      <c r="AV915">
        <f t="shared" si="231"/>
        <v>1.05</v>
      </c>
      <c r="AW915">
        <f t="shared" si="223"/>
        <v>0.6499999999999998</v>
      </c>
    </row>
    <row r="916" spans="1:49" x14ac:dyDescent="0.25">
      <c r="A916" t="s">
        <v>2348</v>
      </c>
      <c r="B916">
        <v>0.9</v>
      </c>
      <c r="C916">
        <v>23.46</v>
      </c>
      <c r="E916" t="s">
        <v>2348</v>
      </c>
      <c r="F916">
        <v>1.2</v>
      </c>
      <c r="G916">
        <v>93.61</v>
      </c>
      <c r="I916" t="str" cm="1">
        <f t="array" ref="I916:J916">_xlfn.TEXTSPLIT(A916," ")</f>
        <v>27.10.2023</v>
      </c>
      <c r="J916" t="str">
        <v>15:15:31</v>
      </c>
      <c r="K916">
        <f t="shared" si="232"/>
        <v>15.216666666667003</v>
      </c>
      <c r="L916">
        <f t="shared" si="225"/>
        <v>9.14</v>
      </c>
      <c r="M916">
        <f t="shared" si="226"/>
        <v>0.9</v>
      </c>
      <c r="N916">
        <f t="shared" si="220"/>
        <v>1.0225</v>
      </c>
      <c r="Q916" t="str" cm="1">
        <f t="array" ref="Q916:R916">_xlfn.TEXTSPLIT(E916," ")</f>
        <v>27.10.2023</v>
      </c>
      <c r="R916" t="str">
        <v>15:15:31</v>
      </c>
      <c r="S916">
        <f t="shared" si="233"/>
        <v>15.216666666667003</v>
      </c>
      <c r="T916">
        <f t="shared" si="224"/>
        <v>15.010000000000005</v>
      </c>
      <c r="U916">
        <f t="shared" si="227"/>
        <v>1.2</v>
      </c>
      <c r="V916">
        <f t="shared" si="221"/>
        <v>1.7225000000000001</v>
      </c>
      <c r="AC916" t="s">
        <v>2349</v>
      </c>
      <c r="AD916">
        <v>0.9</v>
      </c>
      <c r="AE916">
        <v>9.6300000000000008</v>
      </c>
      <c r="AG916" t="str" cm="1">
        <f t="array" ref="AG916:AH916">_xlfn.TEXTSPLIT(AC917," ")</f>
        <v>26.10.2023</v>
      </c>
      <c r="AH916" t="str">
        <v>15:16:39</v>
      </c>
      <c r="AI916">
        <f t="shared" si="234"/>
        <v>15.216666666667003</v>
      </c>
      <c r="AJ916">
        <f t="shared" si="228"/>
        <v>5.1000000000000005</v>
      </c>
      <c r="AK916">
        <f t="shared" si="229"/>
        <v>0.9</v>
      </c>
      <c r="AL916">
        <f t="shared" si="222"/>
        <v>1.1675000000000002</v>
      </c>
      <c r="AN916" t="s">
        <v>2349</v>
      </c>
      <c r="AO916">
        <v>0.75</v>
      </c>
      <c r="AP916">
        <v>72.09</v>
      </c>
      <c r="AR916" t="str" cm="1">
        <f t="array" ref="AR916:AS916">_xlfn.TEXTSPLIT(AN916," ")</f>
        <v>26.10.2023</v>
      </c>
      <c r="AS916" t="str">
        <v>15:15:39</v>
      </c>
      <c r="AT916">
        <f t="shared" si="235"/>
        <v>15.216666666667003</v>
      </c>
      <c r="AU916">
        <f t="shared" si="230"/>
        <v>10.780000000000001</v>
      </c>
      <c r="AV916">
        <f t="shared" si="231"/>
        <v>0.75</v>
      </c>
      <c r="AW916">
        <f t="shared" si="223"/>
        <v>0.6499999999999998</v>
      </c>
    </row>
    <row r="917" spans="1:49" x14ac:dyDescent="0.25">
      <c r="A917" t="s">
        <v>2350</v>
      </c>
      <c r="B917">
        <v>1.05</v>
      </c>
      <c r="C917">
        <v>23.48</v>
      </c>
      <c r="E917" t="s">
        <v>2350</v>
      </c>
      <c r="F917">
        <v>1.8</v>
      </c>
      <c r="G917">
        <v>93.64</v>
      </c>
      <c r="I917" t="str" cm="1">
        <f t="array" ref="I917:J917">_xlfn.TEXTSPLIT(A917," ")</f>
        <v>27.10.2023</v>
      </c>
      <c r="J917" t="str">
        <v>15:16:31</v>
      </c>
      <c r="K917">
        <f t="shared" si="232"/>
        <v>15.23333333333367</v>
      </c>
      <c r="L917">
        <f t="shared" si="225"/>
        <v>9.16</v>
      </c>
      <c r="M917">
        <f t="shared" si="226"/>
        <v>1.05</v>
      </c>
      <c r="N917">
        <f t="shared" si="220"/>
        <v>1.0174999999999998</v>
      </c>
      <c r="Q917" t="str" cm="1">
        <f t="array" ref="Q917:R917">_xlfn.TEXTSPLIT(E917," ")</f>
        <v>27.10.2023</v>
      </c>
      <c r="R917" t="str">
        <v>15:16:31</v>
      </c>
      <c r="S917">
        <f t="shared" si="233"/>
        <v>15.23333333333367</v>
      </c>
      <c r="T917">
        <f t="shared" si="224"/>
        <v>15.040000000000006</v>
      </c>
      <c r="U917">
        <f t="shared" si="227"/>
        <v>1.8</v>
      </c>
      <c r="V917">
        <f t="shared" si="221"/>
        <v>1.7275</v>
      </c>
      <c r="AC917" t="s">
        <v>2351</v>
      </c>
      <c r="AD917">
        <v>0.75</v>
      </c>
      <c r="AE917">
        <v>9.64</v>
      </c>
      <c r="AG917" t="str" cm="1">
        <f t="array" ref="AG917:AH917">_xlfn.TEXTSPLIT(AC918," ")</f>
        <v>26.10.2023</v>
      </c>
      <c r="AH917" t="str">
        <v>15:17:39</v>
      </c>
      <c r="AI917">
        <f t="shared" si="234"/>
        <v>15.23333333333367</v>
      </c>
      <c r="AJ917">
        <f t="shared" si="228"/>
        <v>5.1100000000000003</v>
      </c>
      <c r="AK917">
        <f t="shared" si="229"/>
        <v>0.75</v>
      </c>
      <c r="AL917">
        <f t="shared" si="222"/>
        <v>1.1700000000000004</v>
      </c>
      <c r="AN917" t="s">
        <v>2351</v>
      </c>
      <c r="AO917">
        <v>0.75</v>
      </c>
      <c r="AP917">
        <v>72.14</v>
      </c>
      <c r="AR917" t="str" cm="1">
        <f t="array" ref="AR917:AS917">_xlfn.TEXTSPLIT(AN917," ")</f>
        <v>26.10.2023</v>
      </c>
      <c r="AS917" t="str">
        <v>15:16:39</v>
      </c>
      <c r="AT917">
        <f t="shared" si="235"/>
        <v>15.23333333333367</v>
      </c>
      <c r="AU917">
        <f t="shared" si="230"/>
        <v>10.829999999999998</v>
      </c>
      <c r="AV917">
        <f t="shared" si="231"/>
        <v>0.75</v>
      </c>
      <c r="AW917">
        <f t="shared" si="223"/>
        <v>0.6449999999999998</v>
      </c>
    </row>
    <row r="918" spans="1:49" x14ac:dyDescent="0.25">
      <c r="A918" t="s">
        <v>2352</v>
      </c>
      <c r="B918">
        <v>0.75</v>
      </c>
      <c r="C918">
        <v>23.49</v>
      </c>
      <c r="E918" t="s">
        <v>2352</v>
      </c>
      <c r="F918">
        <v>2.1</v>
      </c>
      <c r="G918">
        <v>93.68</v>
      </c>
      <c r="I918" t="str" cm="1">
        <f t="array" ref="I918:J918">_xlfn.TEXTSPLIT(A918," ")</f>
        <v>27.10.2023</v>
      </c>
      <c r="J918" t="str">
        <v>15:17:31</v>
      </c>
      <c r="K918">
        <f t="shared" si="232"/>
        <v>15.250000000000338</v>
      </c>
      <c r="L918">
        <f t="shared" si="225"/>
        <v>9.1699999999999982</v>
      </c>
      <c r="M918">
        <f t="shared" si="226"/>
        <v>0.75</v>
      </c>
      <c r="N918">
        <f t="shared" si="220"/>
        <v>1.0074999999999998</v>
      </c>
      <c r="Q918" t="str" cm="1">
        <f t="array" ref="Q918:R918">_xlfn.TEXTSPLIT(E918," ")</f>
        <v>27.10.2023</v>
      </c>
      <c r="R918" t="str">
        <v>15:17:31</v>
      </c>
      <c r="S918">
        <f t="shared" si="233"/>
        <v>15.250000000000338</v>
      </c>
      <c r="T918">
        <f t="shared" si="224"/>
        <v>15.080000000000013</v>
      </c>
      <c r="U918">
        <f t="shared" si="227"/>
        <v>2.1</v>
      </c>
      <c r="V918">
        <f t="shared" si="221"/>
        <v>1.7274999999999998</v>
      </c>
      <c r="AC918" t="s">
        <v>2353</v>
      </c>
      <c r="AD918">
        <v>0.6</v>
      </c>
      <c r="AE918">
        <v>9.66</v>
      </c>
      <c r="AG918" t="str" cm="1">
        <f t="array" ref="AG918:AH918">_xlfn.TEXTSPLIT(AC919," ")</f>
        <v>26.10.2023</v>
      </c>
      <c r="AH918" t="str">
        <v>15:18:39</v>
      </c>
      <c r="AI918">
        <f t="shared" si="234"/>
        <v>15.250000000000338</v>
      </c>
      <c r="AJ918">
        <f t="shared" si="228"/>
        <v>5.13</v>
      </c>
      <c r="AK918">
        <f t="shared" si="229"/>
        <v>0.6</v>
      </c>
      <c r="AL918">
        <f t="shared" si="222"/>
        <v>1.1775</v>
      </c>
      <c r="AN918" t="s">
        <v>2353</v>
      </c>
      <c r="AO918">
        <v>31.35</v>
      </c>
      <c r="AP918">
        <v>73.09</v>
      </c>
      <c r="AR918" t="str" cm="1">
        <f t="array" ref="AR918:AS918">_xlfn.TEXTSPLIT(AN918," ")</f>
        <v>26.10.2023</v>
      </c>
      <c r="AS918" t="str">
        <v>15:17:39</v>
      </c>
      <c r="AT918">
        <f t="shared" si="235"/>
        <v>15.250000000000338</v>
      </c>
      <c r="AU918">
        <f t="shared" si="230"/>
        <v>11.780000000000001</v>
      </c>
      <c r="AV918">
        <f t="shared" si="231"/>
        <v>31.35</v>
      </c>
      <c r="AW918">
        <f t="shared" si="223"/>
        <v>1.1599999999999999</v>
      </c>
    </row>
    <row r="919" spans="1:49" x14ac:dyDescent="0.25">
      <c r="A919" t="s">
        <v>2354</v>
      </c>
      <c r="B919">
        <v>1.05</v>
      </c>
      <c r="C919">
        <v>23.51</v>
      </c>
      <c r="E919" t="s">
        <v>2354</v>
      </c>
      <c r="F919">
        <v>1.95</v>
      </c>
      <c r="G919">
        <v>93.7</v>
      </c>
      <c r="I919" t="str" cm="1">
        <f t="array" ref="I919:J919">_xlfn.TEXTSPLIT(A919," ")</f>
        <v>27.10.2023</v>
      </c>
      <c r="J919" t="str">
        <v>15:18:31</v>
      </c>
      <c r="K919">
        <f t="shared" si="232"/>
        <v>15.266666666667005</v>
      </c>
      <c r="L919">
        <f t="shared" si="225"/>
        <v>9.1900000000000013</v>
      </c>
      <c r="M919">
        <f t="shared" si="226"/>
        <v>1.05</v>
      </c>
      <c r="N919">
        <f t="shared" si="220"/>
        <v>1.0099999999999998</v>
      </c>
      <c r="Q919" t="str" cm="1">
        <f t="array" ref="Q919:R919">_xlfn.TEXTSPLIT(E919," ")</f>
        <v>27.10.2023</v>
      </c>
      <c r="R919" t="str">
        <v>15:18:31</v>
      </c>
      <c r="S919">
        <f t="shared" si="233"/>
        <v>15.266666666667005</v>
      </c>
      <c r="T919">
        <f t="shared" si="224"/>
        <v>15.100000000000009</v>
      </c>
      <c r="U919">
        <f t="shared" si="227"/>
        <v>1.95</v>
      </c>
      <c r="V919">
        <f t="shared" si="221"/>
        <v>1.7174999999999998</v>
      </c>
      <c r="AC919" t="s">
        <v>2355</v>
      </c>
      <c r="AD919">
        <v>0.75</v>
      </c>
      <c r="AE919">
        <v>9.67</v>
      </c>
      <c r="AG919" t="str" cm="1">
        <f t="array" ref="AG919:AH919">_xlfn.TEXTSPLIT(AC920," ")</f>
        <v>26.10.2023</v>
      </c>
      <c r="AH919" t="str">
        <v>15:19:39</v>
      </c>
      <c r="AI919">
        <f t="shared" si="234"/>
        <v>15.266666666667005</v>
      </c>
      <c r="AJ919">
        <f t="shared" si="228"/>
        <v>5.14</v>
      </c>
      <c r="AK919">
        <f t="shared" si="229"/>
        <v>0.75</v>
      </c>
      <c r="AL919">
        <f t="shared" si="222"/>
        <v>1.1850000000000001</v>
      </c>
      <c r="AN919" t="s">
        <v>2355</v>
      </c>
      <c r="AO919">
        <v>27.9</v>
      </c>
      <c r="AP919">
        <v>73.09</v>
      </c>
      <c r="AR919" t="str" cm="1">
        <f t="array" ref="AR919:AS919">_xlfn.TEXTSPLIT(AN919," ")</f>
        <v>26.10.2023</v>
      </c>
      <c r="AS919" t="str">
        <v>15:18:39</v>
      </c>
      <c r="AT919">
        <f t="shared" si="235"/>
        <v>15.266666666667005</v>
      </c>
      <c r="AU919">
        <f t="shared" si="230"/>
        <v>11.780000000000001</v>
      </c>
      <c r="AV919">
        <f t="shared" si="231"/>
        <v>27.9</v>
      </c>
      <c r="AW919">
        <f t="shared" si="223"/>
        <v>1.6149999999999995</v>
      </c>
    </row>
    <row r="920" spans="1:49" x14ac:dyDescent="0.25">
      <c r="A920" t="s">
        <v>2356</v>
      </c>
      <c r="B920">
        <v>1.2</v>
      </c>
      <c r="C920">
        <v>23.53</v>
      </c>
      <c r="E920" t="s">
        <v>2356</v>
      </c>
      <c r="F920">
        <v>1.35</v>
      </c>
      <c r="G920">
        <v>93.72</v>
      </c>
      <c r="I920" t="str" cm="1">
        <f t="array" ref="I920:J920">_xlfn.TEXTSPLIT(A920," ")</f>
        <v>27.10.2023</v>
      </c>
      <c r="J920" t="str">
        <v>15:19:31</v>
      </c>
      <c r="K920">
        <f t="shared" si="232"/>
        <v>15.283333333333672</v>
      </c>
      <c r="L920">
        <f t="shared" si="225"/>
        <v>9.2100000000000009</v>
      </c>
      <c r="M920">
        <f t="shared" si="226"/>
        <v>1.2</v>
      </c>
      <c r="N920">
        <f t="shared" si="220"/>
        <v>1.0124999999999997</v>
      </c>
      <c r="Q920" t="str" cm="1">
        <f t="array" ref="Q920:R920">_xlfn.TEXTSPLIT(E920," ")</f>
        <v>27.10.2023</v>
      </c>
      <c r="R920" t="str">
        <v>15:19:31</v>
      </c>
      <c r="S920">
        <f t="shared" si="233"/>
        <v>15.283333333333672</v>
      </c>
      <c r="T920">
        <f t="shared" si="224"/>
        <v>15.120000000000005</v>
      </c>
      <c r="U920">
        <f t="shared" si="227"/>
        <v>1.35</v>
      </c>
      <c r="V920">
        <f t="shared" si="221"/>
        <v>1.7124999999999997</v>
      </c>
      <c r="AC920" t="s">
        <v>2357</v>
      </c>
      <c r="AD920">
        <v>0.75</v>
      </c>
      <c r="AE920">
        <v>9.68</v>
      </c>
      <c r="AG920" t="str" cm="1">
        <f t="array" ref="AG920:AH920">_xlfn.TEXTSPLIT(AC921," ")</f>
        <v>26.10.2023</v>
      </c>
      <c r="AH920" t="str">
        <v>15:20:39</v>
      </c>
      <c r="AI920">
        <f t="shared" si="234"/>
        <v>15.283333333333672</v>
      </c>
      <c r="AJ920">
        <f t="shared" si="228"/>
        <v>5.1499999999999995</v>
      </c>
      <c r="AK920">
        <f t="shared" si="229"/>
        <v>0.75</v>
      </c>
      <c r="AL920">
        <f t="shared" si="222"/>
        <v>1.1950000000000001</v>
      </c>
      <c r="AN920" t="s">
        <v>2357</v>
      </c>
      <c r="AO920">
        <v>0.15</v>
      </c>
      <c r="AP920">
        <v>73.099999999999994</v>
      </c>
      <c r="AR920" t="str" cm="1">
        <f t="array" ref="AR920:AS920">_xlfn.TEXTSPLIT(AN920," ")</f>
        <v>26.10.2023</v>
      </c>
      <c r="AS920" t="str">
        <v>15:19:39</v>
      </c>
      <c r="AT920">
        <f t="shared" si="235"/>
        <v>15.283333333333672</v>
      </c>
      <c r="AU920">
        <f t="shared" si="230"/>
        <v>11.789999999999992</v>
      </c>
      <c r="AV920">
        <f t="shared" si="231"/>
        <v>0.15</v>
      </c>
      <c r="AW920">
        <f t="shared" si="223"/>
        <v>1.6099999999999999</v>
      </c>
    </row>
    <row r="921" spans="1:49" x14ac:dyDescent="0.25">
      <c r="A921" t="s">
        <v>2358</v>
      </c>
      <c r="B921">
        <v>1.35</v>
      </c>
      <c r="C921">
        <v>23.55</v>
      </c>
      <c r="E921" t="s">
        <v>2358</v>
      </c>
      <c r="F921">
        <v>1.65</v>
      </c>
      <c r="G921">
        <v>93.75</v>
      </c>
      <c r="I921" t="str" cm="1">
        <f t="array" ref="I921:J921">_xlfn.TEXTSPLIT(A921," ")</f>
        <v>27.10.2023</v>
      </c>
      <c r="J921" t="str">
        <v>15:20:31</v>
      </c>
      <c r="K921">
        <f t="shared" si="232"/>
        <v>15.30000000000034</v>
      </c>
      <c r="L921">
        <f t="shared" si="225"/>
        <v>9.23</v>
      </c>
      <c r="M921">
        <f t="shared" si="226"/>
        <v>1.35</v>
      </c>
      <c r="N921">
        <f t="shared" si="220"/>
        <v>1.0174999999999998</v>
      </c>
      <c r="Q921" t="str" cm="1">
        <f t="array" ref="Q921:R921">_xlfn.TEXTSPLIT(E921," ")</f>
        <v>27.10.2023</v>
      </c>
      <c r="R921" t="str">
        <v>15:20:31</v>
      </c>
      <c r="S921">
        <f t="shared" si="233"/>
        <v>15.30000000000034</v>
      </c>
      <c r="T921">
        <f t="shared" si="224"/>
        <v>15.150000000000006</v>
      </c>
      <c r="U921">
        <f t="shared" si="227"/>
        <v>1.65</v>
      </c>
      <c r="V921">
        <f t="shared" si="221"/>
        <v>1.7124999999999997</v>
      </c>
      <c r="AC921" t="s">
        <v>2359</v>
      </c>
      <c r="AD921">
        <v>0.45</v>
      </c>
      <c r="AE921">
        <v>9.69</v>
      </c>
      <c r="AG921" t="str" cm="1">
        <f t="array" ref="AG921:AH921">_xlfn.TEXTSPLIT(AC922," ")</f>
        <v>26.10.2023</v>
      </c>
      <c r="AH921" t="str">
        <v>15:21:40</v>
      </c>
      <c r="AI921">
        <f t="shared" si="234"/>
        <v>15.30000000000034</v>
      </c>
      <c r="AJ921">
        <f t="shared" si="228"/>
        <v>5.1599999999999993</v>
      </c>
      <c r="AK921">
        <f t="shared" si="229"/>
        <v>0.45</v>
      </c>
      <c r="AL921">
        <f t="shared" si="222"/>
        <v>1.1975000000000002</v>
      </c>
      <c r="AN921" t="s">
        <v>2359</v>
      </c>
      <c r="AO921">
        <v>0.6</v>
      </c>
      <c r="AP921">
        <v>73.11</v>
      </c>
      <c r="AR921" t="str" cm="1">
        <f t="array" ref="AR921:AS921">_xlfn.TEXTSPLIT(AN921," ")</f>
        <v>26.10.2023</v>
      </c>
      <c r="AS921" t="str">
        <v>15:20:39</v>
      </c>
      <c r="AT921">
        <f t="shared" si="235"/>
        <v>15.30000000000034</v>
      </c>
      <c r="AU921">
        <f t="shared" si="230"/>
        <v>11.799999999999997</v>
      </c>
      <c r="AV921">
        <f t="shared" si="231"/>
        <v>0.6</v>
      </c>
      <c r="AW921">
        <f t="shared" si="223"/>
        <v>1.6125</v>
      </c>
    </row>
    <row r="922" spans="1:49" x14ac:dyDescent="0.25">
      <c r="A922" t="s">
        <v>2360</v>
      </c>
      <c r="B922">
        <v>1.05</v>
      </c>
      <c r="C922">
        <v>23.56</v>
      </c>
      <c r="E922" t="s">
        <v>2360</v>
      </c>
      <c r="F922">
        <v>1.5</v>
      </c>
      <c r="G922">
        <v>93.77</v>
      </c>
      <c r="I922" t="str" cm="1">
        <f t="array" ref="I922:J922">_xlfn.TEXTSPLIT(A922," ")</f>
        <v>27.10.2023</v>
      </c>
      <c r="J922" t="str">
        <v>15:21:31</v>
      </c>
      <c r="K922">
        <f t="shared" si="232"/>
        <v>15.316666666667007</v>
      </c>
      <c r="L922">
        <f t="shared" si="225"/>
        <v>9.2399999999999984</v>
      </c>
      <c r="M922">
        <f t="shared" si="226"/>
        <v>1.05</v>
      </c>
      <c r="N922">
        <f t="shared" si="220"/>
        <v>1.0099999999999998</v>
      </c>
      <c r="Q922" t="str" cm="1">
        <f t="array" ref="Q922:R922">_xlfn.TEXTSPLIT(E922," ")</f>
        <v>27.10.2023</v>
      </c>
      <c r="R922" t="str">
        <v>15:21:31</v>
      </c>
      <c r="S922">
        <f t="shared" si="233"/>
        <v>15.316666666667007</v>
      </c>
      <c r="T922">
        <f t="shared" si="224"/>
        <v>15.170000000000002</v>
      </c>
      <c r="U922">
        <f t="shared" si="227"/>
        <v>1.5</v>
      </c>
      <c r="V922">
        <f t="shared" si="221"/>
        <v>1.7099999999999997</v>
      </c>
      <c r="AC922" t="s">
        <v>2361</v>
      </c>
      <c r="AD922">
        <v>0.9</v>
      </c>
      <c r="AE922">
        <v>9.6999999999999993</v>
      </c>
      <c r="AG922" t="str" cm="1">
        <f t="array" ref="AG922:AH922">_xlfn.TEXTSPLIT(AC923," ")</f>
        <v>26.10.2023</v>
      </c>
      <c r="AH922" t="str">
        <v>15:22:40</v>
      </c>
      <c r="AI922">
        <f t="shared" si="234"/>
        <v>15.316666666667007</v>
      </c>
      <c r="AJ922">
        <f t="shared" si="228"/>
        <v>5.169999999999999</v>
      </c>
      <c r="AK922">
        <f t="shared" si="229"/>
        <v>0.9</v>
      </c>
      <c r="AL922">
        <f t="shared" si="222"/>
        <v>1.2100000000000002</v>
      </c>
      <c r="AN922" t="s">
        <v>2361</v>
      </c>
      <c r="AO922">
        <v>0.75</v>
      </c>
      <c r="AP922">
        <v>73.12</v>
      </c>
      <c r="AR922" t="str" cm="1">
        <f t="array" ref="AR922:AS922">_xlfn.TEXTSPLIT(AN922," ")</f>
        <v>26.10.2023</v>
      </c>
      <c r="AS922" t="str">
        <v>15:21:40</v>
      </c>
      <c r="AT922">
        <f t="shared" si="235"/>
        <v>15.316666666667007</v>
      </c>
      <c r="AU922">
        <f t="shared" si="230"/>
        <v>11.810000000000002</v>
      </c>
      <c r="AV922">
        <f t="shared" si="231"/>
        <v>0.75</v>
      </c>
      <c r="AW922">
        <f t="shared" si="223"/>
        <v>1.615</v>
      </c>
    </row>
    <row r="923" spans="1:49" x14ac:dyDescent="0.25">
      <c r="A923" t="s">
        <v>2362</v>
      </c>
      <c r="B923">
        <v>0.9</v>
      </c>
      <c r="C923">
        <v>23.57</v>
      </c>
      <c r="E923" t="s">
        <v>2362</v>
      </c>
      <c r="F923">
        <v>1.2</v>
      </c>
      <c r="G923">
        <v>93.79</v>
      </c>
      <c r="I923" t="str" cm="1">
        <f t="array" ref="I923:J923">_xlfn.TEXTSPLIT(A923," ")</f>
        <v>27.10.2023</v>
      </c>
      <c r="J923" t="str">
        <v>15:22:31</v>
      </c>
      <c r="K923">
        <f t="shared" si="232"/>
        <v>15.333333333333675</v>
      </c>
      <c r="L923">
        <f t="shared" si="225"/>
        <v>9.25</v>
      </c>
      <c r="M923">
        <f t="shared" si="226"/>
        <v>0.9</v>
      </c>
      <c r="N923">
        <f t="shared" si="220"/>
        <v>0.99749999999999972</v>
      </c>
      <c r="Q923" t="str" cm="1">
        <f t="array" ref="Q923:R923">_xlfn.TEXTSPLIT(E923," ")</f>
        <v>27.10.2023</v>
      </c>
      <c r="R923" t="str">
        <v>15:22:31</v>
      </c>
      <c r="S923">
        <f t="shared" si="233"/>
        <v>15.333333333333675</v>
      </c>
      <c r="T923">
        <f t="shared" si="224"/>
        <v>15.190000000000012</v>
      </c>
      <c r="U923">
        <f t="shared" si="227"/>
        <v>1.2</v>
      </c>
      <c r="V923">
        <f t="shared" si="221"/>
        <v>1.7099999999999997</v>
      </c>
      <c r="AC923" t="s">
        <v>2363</v>
      </c>
      <c r="AD923">
        <v>0.45</v>
      </c>
      <c r="AE923">
        <v>9.7100000000000009</v>
      </c>
      <c r="AG923" t="str" cm="1">
        <f t="array" ref="AG923:AH923">_xlfn.TEXTSPLIT(AC924," ")</f>
        <v>26.10.2023</v>
      </c>
      <c r="AH923" t="str">
        <v>15:23:40</v>
      </c>
      <c r="AI923">
        <f t="shared" si="234"/>
        <v>15.333333333333675</v>
      </c>
      <c r="AJ923">
        <f t="shared" si="228"/>
        <v>5.1800000000000006</v>
      </c>
      <c r="AK923">
        <f t="shared" si="229"/>
        <v>0.45</v>
      </c>
      <c r="AL923">
        <f t="shared" si="222"/>
        <v>1.2125000000000001</v>
      </c>
      <c r="AN923" t="s">
        <v>2363</v>
      </c>
      <c r="AO923">
        <v>0.45</v>
      </c>
      <c r="AP923">
        <v>73.12</v>
      </c>
      <c r="AR923" t="str" cm="1">
        <f t="array" ref="AR923:AS923">_xlfn.TEXTSPLIT(AN923," ")</f>
        <v>26.10.2023</v>
      </c>
      <c r="AS923" t="str">
        <v>15:22:40</v>
      </c>
      <c r="AT923">
        <f t="shared" si="235"/>
        <v>15.333333333333675</v>
      </c>
      <c r="AU923">
        <f t="shared" si="230"/>
        <v>11.810000000000002</v>
      </c>
      <c r="AV923">
        <f t="shared" si="231"/>
        <v>0.45</v>
      </c>
      <c r="AW923">
        <f t="shared" si="223"/>
        <v>1.62</v>
      </c>
    </row>
    <row r="924" spans="1:49" x14ac:dyDescent="0.25">
      <c r="A924" t="s">
        <v>2364</v>
      </c>
      <c r="B924">
        <v>0</v>
      </c>
      <c r="C924">
        <v>23.57</v>
      </c>
      <c r="E924" t="s">
        <v>2364</v>
      </c>
      <c r="F924">
        <v>1.05</v>
      </c>
      <c r="G924">
        <v>93.81</v>
      </c>
      <c r="I924" t="str" cm="1">
        <f t="array" ref="I924:J924">_xlfn.TEXTSPLIT(A924," ")</f>
        <v>27.10.2023</v>
      </c>
      <c r="J924" t="str">
        <v>15:23:32</v>
      </c>
      <c r="K924">
        <f t="shared" si="232"/>
        <v>15.350000000000342</v>
      </c>
      <c r="L924">
        <f t="shared" si="225"/>
        <v>9.25</v>
      </c>
      <c r="M924">
        <f t="shared" si="226"/>
        <v>0</v>
      </c>
      <c r="N924">
        <f t="shared" si="220"/>
        <v>0.99749999999999972</v>
      </c>
      <c r="Q924" t="str" cm="1">
        <f t="array" ref="Q924:R924">_xlfn.TEXTSPLIT(E924," ")</f>
        <v>27.10.2023</v>
      </c>
      <c r="R924" t="str">
        <v>15:23:32</v>
      </c>
      <c r="S924">
        <f t="shared" si="233"/>
        <v>15.350000000000342</v>
      </c>
      <c r="T924">
        <f t="shared" si="224"/>
        <v>15.210000000000008</v>
      </c>
      <c r="U924">
        <f t="shared" si="227"/>
        <v>1.05</v>
      </c>
      <c r="V924">
        <f t="shared" si="221"/>
        <v>1.7049999999999996</v>
      </c>
      <c r="AC924" t="s">
        <v>2365</v>
      </c>
      <c r="AD924">
        <v>0.6</v>
      </c>
      <c r="AE924">
        <v>9.7100000000000009</v>
      </c>
      <c r="AG924" t="str" cm="1">
        <f t="array" ref="AG924:AH924">_xlfn.TEXTSPLIT(AC925," ")</f>
        <v>26.10.2023</v>
      </c>
      <c r="AH924" t="str">
        <v>15:24:40</v>
      </c>
      <c r="AI924">
        <f t="shared" si="234"/>
        <v>15.350000000000342</v>
      </c>
      <c r="AJ924">
        <f t="shared" si="228"/>
        <v>5.1800000000000006</v>
      </c>
      <c r="AK924">
        <f t="shared" si="229"/>
        <v>0.6</v>
      </c>
      <c r="AL924">
        <f t="shared" si="222"/>
        <v>1.2225000000000001</v>
      </c>
      <c r="AN924" t="s">
        <v>2365</v>
      </c>
      <c r="AO924">
        <v>0</v>
      </c>
      <c r="AP924">
        <v>73.12</v>
      </c>
      <c r="AR924" t="str" cm="1">
        <f t="array" ref="AR924:AS924">_xlfn.TEXTSPLIT(AN924," ")</f>
        <v>26.10.2023</v>
      </c>
      <c r="AS924" t="str">
        <v>15:23:40</v>
      </c>
      <c r="AT924">
        <f t="shared" si="235"/>
        <v>15.350000000000342</v>
      </c>
      <c r="AU924">
        <f t="shared" si="230"/>
        <v>11.810000000000002</v>
      </c>
      <c r="AV924">
        <f t="shared" si="231"/>
        <v>0</v>
      </c>
      <c r="AW924">
        <f t="shared" si="223"/>
        <v>1.62</v>
      </c>
    </row>
    <row r="925" spans="1:49" x14ac:dyDescent="0.25">
      <c r="A925" t="s">
        <v>2366</v>
      </c>
      <c r="B925">
        <v>0</v>
      </c>
      <c r="C925">
        <v>23.57</v>
      </c>
      <c r="E925" t="s">
        <v>2366</v>
      </c>
      <c r="F925">
        <v>0.9</v>
      </c>
      <c r="G925">
        <v>93.82</v>
      </c>
      <c r="I925" t="str" cm="1">
        <f t="array" ref="I925:J925">_xlfn.TEXTSPLIT(A925," ")</f>
        <v>27.10.2023</v>
      </c>
      <c r="J925" t="str">
        <v>15:24:32</v>
      </c>
      <c r="K925">
        <f t="shared" si="232"/>
        <v>15.36666666666701</v>
      </c>
      <c r="L925">
        <f t="shared" si="225"/>
        <v>9.25</v>
      </c>
      <c r="M925">
        <f t="shared" si="226"/>
        <v>0</v>
      </c>
      <c r="N925">
        <f t="shared" si="220"/>
        <v>0.99499999999999977</v>
      </c>
      <c r="Q925" t="str" cm="1">
        <f t="array" ref="Q925:R925">_xlfn.TEXTSPLIT(E925," ")</f>
        <v>27.10.2023</v>
      </c>
      <c r="R925" t="str">
        <v>15:24:32</v>
      </c>
      <c r="S925">
        <f t="shared" si="233"/>
        <v>15.36666666666701</v>
      </c>
      <c r="T925">
        <f t="shared" si="224"/>
        <v>15.219999999999999</v>
      </c>
      <c r="U925">
        <f t="shared" si="227"/>
        <v>0.9</v>
      </c>
      <c r="V925">
        <f t="shared" si="221"/>
        <v>1.7049999999999996</v>
      </c>
      <c r="AC925" t="s">
        <v>2367</v>
      </c>
      <c r="AD925">
        <v>0</v>
      </c>
      <c r="AE925">
        <v>9.7100000000000009</v>
      </c>
      <c r="AG925" t="str" cm="1">
        <f t="array" ref="AG925:AH925">_xlfn.TEXTSPLIT(AC926," ")</f>
        <v>26.10.2023</v>
      </c>
      <c r="AH925" t="str">
        <v>15:25:40</v>
      </c>
      <c r="AI925">
        <f t="shared" si="234"/>
        <v>15.36666666666701</v>
      </c>
      <c r="AJ925">
        <f t="shared" si="228"/>
        <v>5.1800000000000006</v>
      </c>
      <c r="AK925">
        <f t="shared" si="229"/>
        <v>0</v>
      </c>
      <c r="AL925">
        <f t="shared" si="222"/>
        <v>1.2225000000000001</v>
      </c>
      <c r="AN925" t="s">
        <v>2367</v>
      </c>
      <c r="AO925">
        <v>0.15</v>
      </c>
      <c r="AP925">
        <v>73.12</v>
      </c>
      <c r="AR925" t="str" cm="1">
        <f t="array" ref="AR925:AS925">_xlfn.TEXTSPLIT(AN925," ")</f>
        <v>26.10.2023</v>
      </c>
      <c r="AS925" t="str">
        <v>15:24:40</v>
      </c>
      <c r="AT925">
        <f t="shared" si="235"/>
        <v>15.36666666666701</v>
      </c>
      <c r="AU925">
        <f t="shared" si="230"/>
        <v>11.810000000000002</v>
      </c>
      <c r="AV925">
        <f t="shared" si="231"/>
        <v>0.15</v>
      </c>
      <c r="AW925">
        <f t="shared" si="223"/>
        <v>1.62</v>
      </c>
    </row>
    <row r="926" spans="1:49" x14ac:dyDescent="0.25">
      <c r="A926" t="s">
        <v>2368</v>
      </c>
      <c r="B926">
        <v>0.15</v>
      </c>
      <c r="C926">
        <v>23.57</v>
      </c>
      <c r="E926" t="s">
        <v>2368</v>
      </c>
      <c r="F926">
        <v>0.75</v>
      </c>
      <c r="G926">
        <v>93.83</v>
      </c>
      <c r="I926" t="str" cm="1">
        <f t="array" ref="I926:J926">_xlfn.TEXTSPLIT(A926," ")</f>
        <v>27.10.2023</v>
      </c>
      <c r="J926" t="str">
        <v>15:25:32</v>
      </c>
      <c r="K926">
        <f t="shared" si="232"/>
        <v>15.383333333333677</v>
      </c>
      <c r="L926">
        <f t="shared" si="225"/>
        <v>9.25</v>
      </c>
      <c r="M926">
        <f t="shared" si="226"/>
        <v>0.15</v>
      </c>
      <c r="N926">
        <f t="shared" si="220"/>
        <v>0.99249999999999972</v>
      </c>
      <c r="Q926" t="str" cm="1">
        <f t="array" ref="Q926:R926">_xlfn.TEXTSPLIT(E926," ")</f>
        <v>27.10.2023</v>
      </c>
      <c r="R926" t="str">
        <v>15:25:32</v>
      </c>
      <c r="S926">
        <f t="shared" si="233"/>
        <v>15.383333333333677</v>
      </c>
      <c r="T926">
        <f t="shared" si="224"/>
        <v>15.230000000000004</v>
      </c>
      <c r="U926">
        <f t="shared" si="227"/>
        <v>0.75</v>
      </c>
      <c r="V926">
        <f t="shared" si="221"/>
        <v>1.7024999999999999</v>
      </c>
      <c r="AC926" t="s">
        <v>2369</v>
      </c>
      <c r="AD926">
        <v>0</v>
      </c>
      <c r="AE926">
        <v>9.7100000000000009</v>
      </c>
      <c r="AG926" t="str" cm="1">
        <f t="array" ref="AG926:AH926">_xlfn.TEXTSPLIT(AC927," ")</f>
        <v>26.10.2023</v>
      </c>
      <c r="AH926" t="str">
        <v>15:26:40</v>
      </c>
      <c r="AI926">
        <f t="shared" si="234"/>
        <v>15.383333333333677</v>
      </c>
      <c r="AJ926">
        <f t="shared" si="228"/>
        <v>5.1800000000000006</v>
      </c>
      <c r="AK926">
        <f t="shared" si="229"/>
        <v>0</v>
      </c>
      <c r="AL926">
        <f t="shared" si="222"/>
        <v>1.2225000000000001</v>
      </c>
      <c r="AN926" t="s">
        <v>2369</v>
      </c>
      <c r="AO926">
        <v>0.3</v>
      </c>
      <c r="AP926">
        <v>73.13</v>
      </c>
      <c r="AR926" t="str" cm="1">
        <f t="array" ref="AR926:AS926">_xlfn.TEXTSPLIT(AN926," ")</f>
        <v>26.10.2023</v>
      </c>
      <c r="AS926" t="str">
        <v>15:25:40</v>
      </c>
      <c r="AT926">
        <f t="shared" si="235"/>
        <v>15.383333333333677</v>
      </c>
      <c r="AU926">
        <f t="shared" si="230"/>
        <v>11.819999999999993</v>
      </c>
      <c r="AV926">
        <f t="shared" si="231"/>
        <v>0.3</v>
      </c>
      <c r="AW926">
        <f t="shared" si="223"/>
        <v>1.625</v>
      </c>
    </row>
    <row r="927" spans="1:49" x14ac:dyDescent="0.25">
      <c r="A927" t="s">
        <v>2370</v>
      </c>
      <c r="B927">
        <v>0.3</v>
      </c>
      <c r="C927">
        <v>23.58</v>
      </c>
      <c r="E927" t="s">
        <v>2370</v>
      </c>
      <c r="F927">
        <v>0.75</v>
      </c>
      <c r="G927">
        <v>93.85</v>
      </c>
      <c r="I927" t="str" cm="1">
        <f t="array" ref="I927:J927">_xlfn.TEXTSPLIT(A927," ")</f>
        <v>27.10.2023</v>
      </c>
      <c r="J927" t="str">
        <v>15:26:32</v>
      </c>
      <c r="K927">
        <f t="shared" si="232"/>
        <v>15.400000000000345</v>
      </c>
      <c r="L927">
        <f t="shared" si="225"/>
        <v>9.259999999999998</v>
      </c>
      <c r="M927">
        <f t="shared" si="226"/>
        <v>0.3</v>
      </c>
      <c r="N927">
        <f t="shared" si="220"/>
        <v>0.98999999999999966</v>
      </c>
      <c r="Q927" t="str" cm="1">
        <f t="array" ref="Q927:R927">_xlfn.TEXTSPLIT(E927," ")</f>
        <v>27.10.2023</v>
      </c>
      <c r="R927" t="str">
        <v>15:26:32</v>
      </c>
      <c r="S927">
        <f t="shared" si="233"/>
        <v>15.400000000000345</v>
      </c>
      <c r="T927">
        <f t="shared" si="224"/>
        <v>15.25</v>
      </c>
      <c r="U927">
        <f t="shared" si="227"/>
        <v>0.75</v>
      </c>
      <c r="V927">
        <f t="shared" si="221"/>
        <v>1.6974999999999996</v>
      </c>
      <c r="AC927" t="s">
        <v>2371</v>
      </c>
      <c r="AD927">
        <v>0</v>
      </c>
      <c r="AE927">
        <v>9.7100000000000009</v>
      </c>
      <c r="AG927" t="str" cm="1">
        <f t="array" ref="AG927:AH927">_xlfn.TEXTSPLIT(AC928," ")</f>
        <v>26.10.2023</v>
      </c>
      <c r="AH927" t="str">
        <v>15:27:40</v>
      </c>
      <c r="AI927">
        <f t="shared" si="234"/>
        <v>15.400000000000345</v>
      </c>
      <c r="AJ927">
        <f t="shared" si="228"/>
        <v>5.1800000000000006</v>
      </c>
      <c r="AK927">
        <f t="shared" si="229"/>
        <v>0</v>
      </c>
      <c r="AL927">
        <f t="shared" si="222"/>
        <v>1.2225000000000001</v>
      </c>
      <c r="AN927" t="s">
        <v>2371</v>
      </c>
      <c r="AO927">
        <v>0.3</v>
      </c>
      <c r="AP927">
        <v>73.14</v>
      </c>
      <c r="AR927" t="str" cm="1">
        <f t="array" ref="AR927:AS927">_xlfn.TEXTSPLIT(AN927," ")</f>
        <v>26.10.2023</v>
      </c>
      <c r="AS927" t="str">
        <v>15:26:40</v>
      </c>
      <c r="AT927">
        <f t="shared" si="235"/>
        <v>15.400000000000345</v>
      </c>
      <c r="AU927">
        <f t="shared" si="230"/>
        <v>11.829999999999998</v>
      </c>
      <c r="AV927">
        <f t="shared" si="231"/>
        <v>0.3</v>
      </c>
      <c r="AW927">
        <f t="shared" si="223"/>
        <v>1.6274999999999999</v>
      </c>
    </row>
    <row r="928" spans="1:49" x14ac:dyDescent="0.25">
      <c r="A928" t="s">
        <v>2372</v>
      </c>
      <c r="B928">
        <v>0.45</v>
      </c>
      <c r="C928">
        <v>23.58</v>
      </c>
      <c r="E928" t="s">
        <v>2372</v>
      </c>
      <c r="F928">
        <v>1.05</v>
      </c>
      <c r="G928">
        <v>93.87</v>
      </c>
      <c r="I928" t="str" cm="1">
        <f t="array" ref="I928:J928">_xlfn.TEXTSPLIT(A928," ")</f>
        <v>27.10.2023</v>
      </c>
      <c r="J928" t="str">
        <v>15:27:32</v>
      </c>
      <c r="K928">
        <f t="shared" si="232"/>
        <v>15.416666666667012</v>
      </c>
      <c r="L928">
        <f t="shared" si="225"/>
        <v>9.259999999999998</v>
      </c>
      <c r="M928">
        <f t="shared" si="226"/>
        <v>0.45</v>
      </c>
      <c r="N928">
        <f t="shared" si="220"/>
        <v>0.9924999999999996</v>
      </c>
      <c r="Q928" t="str" cm="1">
        <f t="array" ref="Q928:R928">_xlfn.TEXTSPLIT(E928," ")</f>
        <v>27.10.2023</v>
      </c>
      <c r="R928" t="str">
        <v>15:27:32</v>
      </c>
      <c r="S928">
        <f t="shared" si="233"/>
        <v>15.416666666667012</v>
      </c>
      <c r="T928">
        <f t="shared" si="224"/>
        <v>15.27000000000001</v>
      </c>
      <c r="U928">
        <f t="shared" si="227"/>
        <v>1.05</v>
      </c>
      <c r="V928">
        <f t="shared" si="221"/>
        <v>1.6899999999999997</v>
      </c>
      <c r="AC928" t="s">
        <v>2373</v>
      </c>
      <c r="AD928">
        <v>0</v>
      </c>
      <c r="AE928">
        <v>9.7100000000000009</v>
      </c>
      <c r="AG928" t="str" cm="1">
        <f t="array" ref="AG928:AH928">_xlfn.TEXTSPLIT(AC929," ")</f>
        <v>26.10.2023</v>
      </c>
      <c r="AH928" t="str">
        <v>15:28:40</v>
      </c>
      <c r="AI928">
        <f t="shared" si="234"/>
        <v>15.416666666667012</v>
      </c>
      <c r="AJ928">
        <f t="shared" si="228"/>
        <v>5.1800000000000006</v>
      </c>
      <c r="AK928">
        <f t="shared" si="229"/>
        <v>0</v>
      </c>
      <c r="AL928">
        <f t="shared" si="222"/>
        <v>1.2225000000000001</v>
      </c>
      <c r="AN928" t="s">
        <v>2373</v>
      </c>
      <c r="AO928">
        <v>0.3</v>
      </c>
      <c r="AP928">
        <v>73.14</v>
      </c>
      <c r="AR928" t="str" cm="1">
        <f t="array" ref="AR928:AS928">_xlfn.TEXTSPLIT(AN928," ")</f>
        <v>26.10.2023</v>
      </c>
      <c r="AS928" t="str">
        <v>15:27:40</v>
      </c>
      <c r="AT928">
        <f t="shared" si="235"/>
        <v>15.416666666667012</v>
      </c>
      <c r="AU928">
        <f t="shared" si="230"/>
        <v>11.829999999999998</v>
      </c>
      <c r="AV928">
        <f t="shared" si="231"/>
        <v>0.3</v>
      </c>
      <c r="AW928">
        <f t="shared" si="223"/>
        <v>1.6324999999999998</v>
      </c>
    </row>
    <row r="929" spans="1:49" x14ac:dyDescent="0.25">
      <c r="A929" t="s">
        <v>2374</v>
      </c>
      <c r="B929">
        <v>0.3</v>
      </c>
      <c r="C929">
        <v>23.59</v>
      </c>
      <c r="E929" t="s">
        <v>2374</v>
      </c>
      <c r="F929">
        <v>1.35</v>
      </c>
      <c r="G929">
        <v>93.89</v>
      </c>
      <c r="I929" t="str" cm="1">
        <f t="array" ref="I929:J929">_xlfn.TEXTSPLIT(A929," ")</f>
        <v>27.10.2023</v>
      </c>
      <c r="J929" t="str">
        <v>15:28:32</v>
      </c>
      <c r="K929">
        <f t="shared" si="232"/>
        <v>15.43333333333368</v>
      </c>
      <c r="L929">
        <f t="shared" si="225"/>
        <v>9.27</v>
      </c>
      <c r="M929">
        <f t="shared" si="226"/>
        <v>0.3</v>
      </c>
      <c r="N929">
        <f t="shared" si="220"/>
        <v>0.98999999999999966</v>
      </c>
      <c r="Q929" t="str" cm="1">
        <f t="array" ref="Q929:R929">_xlfn.TEXTSPLIT(E929," ")</f>
        <v>27.10.2023</v>
      </c>
      <c r="R929" t="str">
        <v>15:28:32</v>
      </c>
      <c r="S929">
        <f t="shared" si="233"/>
        <v>15.43333333333368</v>
      </c>
      <c r="T929">
        <f t="shared" si="224"/>
        <v>15.290000000000006</v>
      </c>
      <c r="U929">
        <f t="shared" si="227"/>
        <v>1.35</v>
      </c>
      <c r="V929">
        <f t="shared" si="221"/>
        <v>1.6799999999999995</v>
      </c>
      <c r="AC929" t="s">
        <v>2375</v>
      </c>
      <c r="AD929">
        <v>0</v>
      </c>
      <c r="AE929">
        <v>9.7100000000000009</v>
      </c>
      <c r="AG929" t="str" cm="1">
        <f t="array" ref="AG929:AH929">_xlfn.TEXTSPLIT(AC930," ")</f>
        <v>26.10.2023</v>
      </c>
      <c r="AH929" t="str">
        <v>15:29:40</v>
      </c>
      <c r="AI929">
        <f t="shared" si="234"/>
        <v>15.43333333333368</v>
      </c>
      <c r="AJ929">
        <f t="shared" si="228"/>
        <v>5.1800000000000006</v>
      </c>
      <c r="AK929">
        <f t="shared" si="229"/>
        <v>0</v>
      </c>
      <c r="AL929">
        <f t="shared" si="222"/>
        <v>1.2225000000000001</v>
      </c>
      <c r="AN929" t="s">
        <v>2375</v>
      </c>
      <c r="AO929">
        <v>0.15</v>
      </c>
      <c r="AP929">
        <v>73.150000000000006</v>
      </c>
      <c r="AR929" t="str" cm="1">
        <f t="array" ref="AR929:AS929">_xlfn.TEXTSPLIT(AN929," ")</f>
        <v>26.10.2023</v>
      </c>
      <c r="AS929" t="str">
        <v>15:28:40</v>
      </c>
      <c r="AT929">
        <f t="shared" si="235"/>
        <v>15.43333333333368</v>
      </c>
      <c r="AU929">
        <f t="shared" si="230"/>
        <v>11.840000000000003</v>
      </c>
      <c r="AV929">
        <f t="shared" si="231"/>
        <v>0.15</v>
      </c>
      <c r="AW929">
        <f t="shared" si="223"/>
        <v>1.6300000000000001</v>
      </c>
    </row>
    <row r="930" spans="1:49" x14ac:dyDescent="0.25">
      <c r="A930" t="s">
        <v>2376</v>
      </c>
      <c r="B930">
        <v>0.3</v>
      </c>
      <c r="C930">
        <v>23.6</v>
      </c>
      <c r="E930" t="s">
        <v>2376</v>
      </c>
      <c r="F930">
        <v>1.5</v>
      </c>
      <c r="G930">
        <v>93.91</v>
      </c>
      <c r="I930" t="str" cm="1">
        <f t="array" ref="I930:J930">_xlfn.TEXTSPLIT(A930," ")</f>
        <v>27.10.2023</v>
      </c>
      <c r="J930" t="str">
        <v>15:29:32</v>
      </c>
      <c r="K930">
        <f t="shared" si="232"/>
        <v>15.450000000000347</v>
      </c>
      <c r="L930">
        <f t="shared" si="225"/>
        <v>9.2800000000000011</v>
      </c>
      <c r="M930">
        <f t="shared" si="226"/>
        <v>0.3</v>
      </c>
      <c r="N930">
        <f t="shared" si="220"/>
        <v>0.98499999999999965</v>
      </c>
      <c r="Q930" t="str" cm="1">
        <f t="array" ref="Q930:R930">_xlfn.TEXTSPLIT(E930," ")</f>
        <v>27.10.2023</v>
      </c>
      <c r="R930" t="str">
        <v>15:29:32</v>
      </c>
      <c r="S930">
        <f t="shared" si="233"/>
        <v>15.450000000000347</v>
      </c>
      <c r="T930">
        <f t="shared" si="224"/>
        <v>15.310000000000002</v>
      </c>
      <c r="U930">
        <f t="shared" si="227"/>
        <v>1.5</v>
      </c>
      <c r="V930">
        <f t="shared" si="221"/>
        <v>1.6774999999999995</v>
      </c>
      <c r="AC930" t="s">
        <v>2377</v>
      </c>
      <c r="AD930">
        <v>0</v>
      </c>
      <c r="AE930">
        <v>9.7100000000000009</v>
      </c>
      <c r="AG930" t="str" cm="1">
        <f t="array" ref="AG930:AH930">_xlfn.TEXTSPLIT(AC931," ")</f>
        <v>26.10.2023</v>
      </c>
      <c r="AH930" t="str">
        <v>15:30:41</v>
      </c>
      <c r="AI930">
        <f t="shared" si="234"/>
        <v>15.450000000000347</v>
      </c>
      <c r="AJ930">
        <f t="shared" si="228"/>
        <v>5.1800000000000006</v>
      </c>
      <c r="AK930">
        <f t="shared" si="229"/>
        <v>0</v>
      </c>
      <c r="AL930">
        <f t="shared" si="222"/>
        <v>1.2225000000000001</v>
      </c>
      <c r="AN930" t="s">
        <v>2377</v>
      </c>
      <c r="AO930">
        <v>0.45</v>
      </c>
      <c r="AP930">
        <v>73.150000000000006</v>
      </c>
      <c r="AR930" t="str" cm="1">
        <f t="array" ref="AR930:AS930">_xlfn.TEXTSPLIT(AN930," ")</f>
        <v>26.10.2023</v>
      </c>
      <c r="AS930" t="str">
        <v>15:29:40</v>
      </c>
      <c r="AT930">
        <f t="shared" si="235"/>
        <v>15.450000000000347</v>
      </c>
      <c r="AU930">
        <f t="shared" si="230"/>
        <v>11.840000000000003</v>
      </c>
      <c r="AV930">
        <f t="shared" si="231"/>
        <v>0.45</v>
      </c>
      <c r="AW930">
        <f t="shared" si="223"/>
        <v>1.6350000000000002</v>
      </c>
    </row>
    <row r="931" spans="1:49" x14ac:dyDescent="0.25">
      <c r="A931" t="s">
        <v>2378</v>
      </c>
      <c r="B931">
        <v>0.75</v>
      </c>
      <c r="C931">
        <v>23.61</v>
      </c>
      <c r="E931" t="s">
        <v>2378</v>
      </c>
      <c r="F931">
        <v>1.2</v>
      </c>
      <c r="G931">
        <v>93.93</v>
      </c>
      <c r="I931" t="str" cm="1">
        <f t="array" ref="I931:J931">_xlfn.TEXTSPLIT(A931," ")</f>
        <v>27.10.2023</v>
      </c>
      <c r="J931" t="str">
        <v>15:30:32</v>
      </c>
      <c r="K931">
        <f t="shared" si="232"/>
        <v>15.466666666667015</v>
      </c>
      <c r="L931">
        <f t="shared" si="225"/>
        <v>9.2899999999999991</v>
      </c>
      <c r="M931">
        <f t="shared" si="226"/>
        <v>0.75</v>
      </c>
      <c r="N931">
        <f t="shared" si="220"/>
        <v>0.98499999999999965</v>
      </c>
      <c r="Q931" t="str" cm="1">
        <f t="array" ref="Q931:R931">_xlfn.TEXTSPLIT(E931," ")</f>
        <v>27.10.2023</v>
      </c>
      <c r="R931" t="str">
        <v>15:30:32</v>
      </c>
      <c r="S931">
        <f t="shared" si="233"/>
        <v>15.466666666667015</v>
      </c>
      <c r="T931">
        <f t="shared" si="224"/>
        <v>15.330000000000013</v>
      </c>
      <c r="U931">
        <f t="shared" si="227"/>
        <v>1.2</v>
      </c>
      <c r="V931">
        <f t="shared" si="221"/>
        <v>1.6799999999999995</v>
      </c>
      <c r="AC931" t="s">
        <v>2379</v>
      </c>
      <c r="AD931">
        <v>0</v>
      </c>
      <c r="AE931">
        <v>9.7100000000000009</v>
      </c>
      <c r="AG931" t="str" cm="1">
        <f t="array" ref="AG931:AH931">_xlfn.TEXTSPLIT(AC932," ")</f>
        <v>26.10.2023</v>
      </c>
      <c r="AH931" t="str">
        <v>15:31:41</v>
      </c>
      <c r="AI931">
        <f t="shared" si="234"/>
        <v>15.466666666667015</v>
      </c>
      <c r="AJ931">
        <f t="shared" si="228"/>
        <v>5.1800000000000006</v>
      </c>
      <c r="AK931">
        <f t="shared" si="229"/>
        <v>0</v>
      </c>
      <c r="AL931">
        <f t="shared" si="222"/>
        <v>1.2225000000000001</v>
      </c>
      <c r="AN931" t="s">
        <v>2379</v>
      </c>
      <c r="AO931">
        <v>0.3</v>
      </c>
      <c r="AP931">
        <v>73.150000000000006</v>
      </c>
      <c r="AR931" t="str" cm="1">
        <f t="array" ref="AR931:AS931">_xlfn.TEXTSPLIT(AN931," ")</f>
        <v>26.10.2023</v>
      </c>
      <c r="AS931" t="str">
        <v>15:30:41</v>
      </c>
      <c r="AT931">
        <f t="shared" si="235"/>
        <v>15.466666666667015</v>
      </c>
      <c r="AU931">
        <f t="shared" si="230"/>
        <v>11.840000000000003</v>
      </c>
      <c r="AV931">
        <f t="shared" si="231"/>
        <v>0.3</v>
      </c>
      <c r="AW931">
        <f t="shared" si="223"/>
        <v>1.635</v>
      </c>
    </row>
    <row r="932" spans="1:49" x14ac:dyDescent="0.25">
      <c r="A932" t="s">
        <v>2380</v>
      </c>
      <c r="B932">
        <v>0.45</v>
      </c>
      <c r="C932">
        <v>23.62</v>
      </c>
      <c r="E932" t="s">
        <v>2380</v>
      </c>
      <c r="F932">
        <v>1.05</v>
      </c>
      <c r="G932">
        <v>93.95</v>
      </c>
      <c r="I932" t="str" cm="1">
        <f t="array" ref="I932:J932">_xlfn.TEXTSPLIT(A932," ")</f>
        <v>27.10.2023</v>
      </c>
      <c r="J932" t="str">
        <v>15:31:32</v>
      </c>
      <c r="K932">
        <f t="shared" si="232"/>
        <v>15.483333333333682</v>
      </c>
      <c r="L932">
        <f t="shared" si="225"/>
        <v>9.3000000000000007</v>
      </c>
      <c r="M932">
        <f t="shared" si="226"/>
        <v>0.45</v>
      </c>
      <c r="N932">
        <f t="shared" si="220"/>
        <v>0.98249999999999971</v>
      </c>
      <c r="Q932" t="str" cm="1">
        <f t="array" ref="Q932:R932">_xlfn.TEXTSPLIT(E932," ")</f>
        <v>27.10.2023</v>
      </c>
      <c r="R932" t="str">
        <v>15:31:32</v>
      </c>
      <c r="S932">
        <f t="shared" si="233"/>
        <v>15.483333333333682</v>
      </c>
      <c r="T932">
        <f t="shared" si="224"/>
        <v>15.350000000000009</v>
      </c>
      <c r="U932">
        <f t="shared" si="227"/>
        <v>1.05</v>
      </c>
      <c r="V932">
        <f t="shared" si="221"/>
        <v>1.6774999999999995</v>
      </c>
      <c r="AC932" t="s">
        <v>2381</v>
      </c>
      <c r="AD932">
        <v>0</v>
      </c>
      <c r="AE932">
        <v>9.7100000000000009</v>
      </c>
      <c r="AG932" t="str" cm="1">
        <f t="array" ref="AG932:AH932">_xlfn.TEXTSPLIT(AC933," ")</f>
        <v>26.10.2023</v>
      </c>
      <c r="AH932" t="str">
        <v>15:32:41</v>
      </c>
      <c r="AI932">
        <f t="shared" si="234"/>
        <v>15.483333333333682</v>
      </c>
      <c r="AJ932">
        <f t="shared" si="228"/>
        <v>5.1800000000000006</v>
      </c>
      <c r="AK932">
        <f t="shared" si="229"/>
        <v>0</v>
      </c>
      <c r="AL932">
        <f t="shared" si="222"/>
        <v>1.2225000000000001</v>
      </c>
      <c r="AN932" t="s">
        <v>2381</v>
      </c>
      <c r="AO932">
        <v>0.45</v>
      </c>
      <c r="AP932">
        <v>73.16</v>
      </c>
      <c r="AR932" t="str" cm="1">
        <f t="array" ref="AR932:AS932">_xlfn.TEXTSPLIT(AN932," ")</f>
        <v>26.10.2023</v>
      </c>
      <c r="AS932" t="str">
        <v>15:31:41</v>
      </c>
      <c r="AT932">
        <f t="shared" si="235"/>
        <v>15.483333333333682</v>
      </c>
      <c r="AU932">
        <f t="shared" si="230"/>
        <v>11.849999999999994</v>
      </c>
      <c r="AV932">
        <f t="shared" si="231"/>
        <v>0.45</v>
      </c>
      <c r="AW932">
        <f t="shared" si="223"/>
        <v>1.6350000000000002</v>
      </c>
    </row>
    <row r="933" spans="1:49" x14ac:dyDescent="0.25">
      <c r="A933" t="s">
        <v>2382</v>
      </c>
      <c r="B933">
        <v>0.6</v>
      </c>
      <c r="C933">
        <v>23.63</v>
      </c>
      <c r="E933" t="s">
        <v>2382</v>
      </c>
      <c r="F933">
        <v>1.2</v>
      </c>
      <c r="G933">
        <v>93.97</v>
      </c>
      <c r="I933" t="str" cm="1">
        <f t="array" ref="I933:J933">_xlfn.TEXTSPLIT(A933," ")</f>
        <v>27.10.2023</v>
      </c>
      <c r="J933" t="str">
        <v>15:32:33</v>
      </c>
      <c r="K933">
        <f t="shared" si="232"/>
        <v>15.50000000000035</v>
      </c>
      <c r="L933">
        <f t="shared" si="225"/>
        <v>9.3099999999999987</v>
      </c>
      <c r="M933">
        <f t="shared" si="226"/>
        <v>0.6</v>
      </c>
      <c r="N933">
        <f t="shared" si="220"/>
        <v>0.9774999999999997</v>
      </c>
      <c r="Q933" t="str" cm="1">
        <f t="array" ref="Q933:R933">_xlfn.TEXTSPLIT(E933," ")</f>
        <v>27.10.2023</v>
      </c>
      <c r="R933" t="str">
        <v>15:32:33</v>
      </c>
      <c r="S933">
        <f t="shared" si="233"/>
        <v>15.50000000000035</v>
      </c>
      <c r="T933">
        <f t="shared" si="224"/>
        <v>15.370000000000005</v>
      </c>
      <c r="U933">
        <f t="shared" si="227"/>
        <v>1.2</v>
      </c>
      <c r="V933">
        <f t="shared" si="221"/>
        <v>1.6674999999999998</v>
      </c>
      <c r="AC933" t="s">
        <v>2383</v>
      </c>
      <c r="AD933">
        <v>0</v>
      </c>
      <c r="AE933">
        <v>9.7100000000000009</v>
      </c>
      <c r="AG933" t="str" cm="1">
        <f t="array" ref="AG933:AH933">_xlfn.TEXTSPLIT(AC934," ")</f>
        <v>26.10.2023</v>
      </c>
      <c r="AH933" t="str">
        <v>15:33:41</v>
      </c>
      <c r="AI933">
        <f t="shared" si="234"/>
        <v>15.50000000000035</v>
      </c>
      <c r="AJ933">
        <f t="shared" si="228"/>
        <v>5.1800000000000006</v>
      </c>
      <c r="AK933">
        <f t="shared" si="229"/>
        <v>0</v>
      </c>
      <c r="AL933">
        <f t="shared" si="222"/>
        <v>1.2225000000000001</v>
      </c>
      <c r="AN933" t="s">
        <v>2383</v>
      </c>
      <c r="AO933">
        <v>0.45</v>
      </c>
      <c r="AP933">
        <v>73.17</v>
      </c>
      <c r="AR933" t="str" cm="1">
        <f t="array" ref="AR933:AS933">_xlfn.TEXTSPLIT(AN933," ")</f>
        <v>26.10.2023</v>
      </c>
      <c r="AS933" t="str">
        <v>15:32:41</v>
      </c>
      <c r="AT933">
        <f t="shared" si="235"/>
        <v>15.50000000000035</v>
      </c>
      <c r="AU933">
        <f t="shared" si="230"/>
        <v>11.86</v>
      </c>
      <c r="AV933">
        <f t="shared" si="231"/>
        <v>0.45</v>
      </c>
      <c r="AW933">
        <f t="shared" si="223"/>
        <v>1.6375</v>
      </c>
    </row>
    <row r="934" spans="1:49" x14ac:dyDescent="0.25">
      <c r="A934" t="s">
        <v>2384</v>
      </c>
      <c r="B934">
        <v>1.05</v>
      </c>
      <c r="C934">
        <v>23.64</v>
      </c>
      <c r="E934" t="s">
        <v>2384</v>
      </c>
      <c r="F934">
        <v>1.35</v>
      </c>
      <c r="G934">
        <v>93.99</v>
      </c>
      <c r="I934" t="str" cm="1">
        <f t="array" ref="I934:J934">_xlfn.TEXTSPLIT(A934," ")</f>
        <v>27.10.2023</v>
      </c>
      <c r="J934" t="str">
        <v>15:33:33</v>
      </c>
      <c r="K934">
        <f t="shared" si="232"/>
        <v>15.516666666667017</v>
      </c>
      <c r="L934">
        <f t="shared" si="225"/>
        <v>9.32</v>
      </c>
      <c r="M934">
        <f t="shared" si="226"/>
        <v>1.05</v>
      </c>
      <c r="N934">
        <f t="shared" si="220"/>
        <v>0.98249999999999971</v>
      </c>
      <c r="Q934" t="str" cm="1">
        <f t="array" ref="Q934:R934">_xlfn.TEXTSPLIT(E934," ")</f>
        <v>27.10.2023</v>
      </c>
      <c r="R934" t="str">
        <v>15:33:33</v>
      </c>
      <c r="S934">
        <f t="shared" si="233"/>
        <v>15.516666666667017</v>
      </c>
      <c r="T934">
        <f t="shared" si="224"/>
        <v>15.39</v>
      </c>
      <c r="U934">
        <f t="shared" si="227"/>
        <v>1.35</v>
      </c>
      <c r="V934">
        <f t="shared" si="221"/>
        <v>1.6524999999999999</v>
      </c>
      <c r="AC934" t="s">
        <v>2385</v>
      </c>
      <c r="AD934">
        <v>0</v>
      </c>
      <c r="AE934">
        <v>9.7100000000000009</v>
      </c>
      <c r="AG934" t="str" cm="1">
        <f t="array" ref="AG934:AH934">_xlfn.TEXTSPLIT(AC935," ")</f>
        <v>26.10.2023</v>
      </c>
      <c r="AH934" t="str">
        <v>15:34:41</v>
      </c>
      <c r="AI934">
        <f t="shared" si="234"/>
        <v>15.516666666667017</v>
      </c>
      <c r="AJ934">
        <f t="shared" si="228"/>
        <v>5.1800000000000006</v>
      </c>
      <c r="AK934">
        <f t="shared" si="229"/>
        <v>0</v>
      </c>
      <c r="AL934">
        <f t="shared" si="222"/>
        <v>1.2225000000000001</v>
      </c>
      <c r="AN934" t="s">
        <v>2385</v>
      </c>
      <c r="AO934">
        <v>0.45</v>
      </c>
      <c r="AP934">
        <v>73.180000000000007</v>
      </c>
      <c r="AR934" t="str" cm="1">
        <f t="array" ref="AR934:AS934">_xlfn.TEXTSPLIT(AN934," ")</f>
        <v>26.10.2023</v>
      </c>
      <c r="AS934" t="str">
        <v>15:33:41</v>
      </c>
      <c r="AT934">
        <f t="shared" si="235"/>
        <v>15.516666666667017</v>
      </c>
      <c r="AU934">
        <f t="shared" si="230"/>
        <v>11.870000000000005</v>
      </c>
      <c r="AV934">
        <f t="shared" si="231"/>
        <v>0.45</v>
      </c>
      <c r="AW934">
        <f t="shared" si="223"/>
        <v>1.6375000000000002</v>
      </c>
    </row>
    <row r="935" spans="1:49" x14ac:dyDescent="0.25">
      <c r="A935" t="s">
        <v>2386</v>
      </c>
      <c r="B935">
        <v>0.15</v>
      </c>
      <c r="C935">
        <v>23.64</v>
      </c>
      <c r="E935" t="s">
        <v>2386</v>
      </c>
      <c r="F935">
        <v>1.8</v>
      </c>
      <c r="G935">
        <v>94.03</v>
      </c>
      <c r="I935" t="str" cm="1">
        <f t="array" ref="I935:J935">_xlfn.TEXTSPLIT(A935," ")</f>
        <v>27.10.2023</v>
      </c>
      <c r="J935" t="str">
        <v>15:34:33</v>
      </c>
      <c r="K935">
        <f t="shared" si="232"/>
        <v>15.533333333333685</v>
      </c>
      <c r="L935">
        <f t="shared" si="225"/>
        <v>9.32</v>
      </c>
      <c r="M935">
        <f t="shared" si="226"/>
        <v>0.15</v>
      </c>
      <c r="N935">
        <f t="shared" si="220"/>
        <v>0.98499999999999965</v>
      </c>
      <c r="Q935" t="str" cm="1">
        <f t="array" ref="Q935:R935">_xlfn.TEXTSPLIT(E935," ")</f>
        <v>27.10.2023</v>
      </c>
      <c r="R935" t="str">
        <v>15:34:33</v>
      </c>
      <c r="S935">
        <f t="shared" si="233"/>
        <v>15.533333333333685</v>
      </c>
      <c r="T935">
        <f t="shared" si="224"/>
        <v>15.430000000000007</v>
      </c>
      <c r="U935">
        <f t="shared" si="227"/>
        <v>1.8</v>
      </c>
      <c r="V935">
        <f t="shared" si="221"/>
        <v>1.6574999999999998</v>
      </c>
      <c r="AC935" t="s">
        <v>2387</v>
      </c>
      <c r="AD935">
        <v>0</v>
      </c>
      <c r="AE935">
        <v>9.8800000000000008</v>
      </c>
      <c r="AG935" t="str" cm="1">
        <f t="array" ref="AG935:AH935">_xlfn.TEXTSPLIT(AC936," ")</f>
        <v>26.10.2023</v>
      </c>
      <c r="AH935" t="str">
        <v>15:35:41</v>
      </c>
      <c r="AI935">
        <f t="shared" si="234"/>
        <v>15.533333333333685</v>
      </c>
      <c r="AJ935">
        <f t="shared" si="228"/>
        <v>5.3500000000000005</v>
      </c>
      <c r="AK935">
        <f t="shared" si="229"/>
        <v>0</v>
      </c>
      <c r="AL935">
        <f t="shared" si="222"/>
        <v>1.2225000000000001</v>
      </c>
      <c r="AN935" t="s">
        <v>2387</v>
      </c>
      <c r="AO935">
        <v>0.45</v>
      </c>
      <c r="AP935">
        <v>73.180000000000007</v>
      </c>
      <c r="AR935" t="str" cm="1">
        <f t="array" ref="AR935:AS935">_xlfn.TEXTSPLIT(AN935," ")</f>
        <v>26.10.2023</v>
      </c>
      <c r="AS935" t="str">
        <v>15:34:41</v>
      </c>
      <c r="AT935">
        <f t="shared" si="235"/>
        <v>15.533333333333685</v>
      </c>
      <c r="AU935">
        <f t="shared" si="230"/>
        <v>11.870000000000005</v>
      </c>
      <c r="AV935">
        <f t="shared" si="231"/>
        <v>0.45</v>
      </c>
      <c r="AW935">
        <f t="shared" si="223"/>
        <v>1.6325000000000003</v>
      </c>
    </row>
    <row r="936" spans="1:49" x14ac:dyDescent="0.25">
      <c r="A936" t="s">
        <v>2388</v>
      </c>
      <c r="B936">
        <v>0.9</v>
      </c>
      <c r="C936">
        <v>23.66</v>
      </c>
      <c r="E936" t="s">
        <v>2388</v>
      </c>
      <c r="F936">
        <v>1.8</v>
      </c>
      <c r="G936">
        <v>94.06</v>
      </c>
      <c r="I936" t="str" cm="1">
        <f t="array" ref="I936:J936">_xlfn.TEXTSPLIT(A936," ")</f>
        <v>27.10.2023</v>
      </c>
      <c r="J936" t="str">
        <v>15:35:33</v>
      </c>
      <c r="K936">
        <f t="shared" si="232"/>
        <v>15.550000000000352</v>
      </c>
      <c r="L936">
        <f t="shared" si="225"/>
        <v>9.34</v>
      </c>
      <c r="M936">
        <f t="shared" si="226"/>
        <v>0.9</v>
      </c>
      <c r="N936">
        <f t="shared" si="220"/>
        <v>0.9824999999999996</v>
      </c>
      <c r="Q936" t="str" cm="1">
        <f t="array" ref="Q936:R936">_xlfn.TEXTSPLIT(E936," ")</f>
        <v>27.10.2023</v>
      </c>
      <c r="R936" t="str">
        <v>15:35:33</v>
      </c>
      <c r="S936">
        <f t="shared" si="233"/>
        <v>15.550000000000352</v>
      </c>
      <c r="T936">
        <f t="shared" si="224"/>
        <v>15.460000000000008</v>
      </c>
      <c r="U936">
        <f t="shared" si="227"/>
        <v>1.8</v>
      </c>
      <c r="V936">
        <f t="shared" si="221"/>
        <v>1.6625000000000001</v>
      </c>
      <c r="AC936" t="s">
        <v>2389</v>
      </c>
      <c r="AD936">
        <v>30.15</v>
      </c>
      <c r="AE936">
        <v>10.59</v>
      </c>
      <c r="AG936" t="str" cm="1">
        <f t="array" ref="AG936:AH936">_xlfn.TEXTSPLIT(AC937," ")</f>
        <v>26.10.2023</v>
      </c>
      <c r="AH936" t="str">
        <v>15:36:41</v>
      </c>
      <c r="AI936">
        <f t="shared" si="234"/>
        <v>15.550000000000352</v>
      </c>
      <c r="AJ936">
        <f t="shared" si="228"/>
        <v>6.06</v>
      </c>
      <c r="AK936">
        <f t="shared" si="229"/>
        <v>30.15</v>
      </c>
      <c r="AL936">
        <f t="shared" si="222"/>
        <v>1.7250000000000001</v>
      </c>
      <c r="AN936" t="s">
        <v>2389</v>
      </c>
      <c r="AO936">
        <v>0.3</v>
      </c>
      <c r="AP936">
        <v>73.19</v>
      </c>
      <c r="AR936" t="str" cm="1">
        <f t="array" ref="AR936:AS936">_xlfn.TEXTSPLIT(AN936," ")</f>
        <v>26.10.2023</v>
      </c>
      <c r="AS936" t="str">
        <v>15:35:41</v>
      </c>
      <c r="AT936">
        <f t="shared" si="235"/>
        <v>15.550000000000352</v>
      </c>
      <c r="AU936">
        <f t="shared" si="230"/>
        <v>11.879999999999995</v>
      </c>
      <c r="AV936">
        <f t="shared" si="231"/>
        <v>0.3</v>
      </c>
      <c r="AW936">
        <f t="shared" si="223"/>
        <v>1.6275000000000004</v>
      </c>
    </row>
    <row r="937" spans="1:49" x14ac:dyDescent="0.25">
      <c r="A937" t="s">
        <v>2390</v>
      </c>
      <c r="B937">
        <v>0.6</v>
      </c>
      <c r="C937">
        <v>23.67</v>
      </c>
      <c r="E937" t="s">
        <v>2390</v>
      </c>
      <c r="F937">
        <v>1.65</v>
      </c>
      <c r="G937">
        <v>94.09</v>
      </c>
      <c r="I937" t="str" cm="1">
        <f t="array" ref="I937:J937">_xlfn.TEXTSPLIT(A937," ")</f>
        <v>27.10.2023</v>
      </c>
      <c r="J937" t="str">
        <v>15:36:33</v>
      </c>
      <c r="K937">
        <f t="shared" si="232"/>
        <v>15.56666666666702</v>
      </c>
      <c r="L937">
        <f t="shared" si="225"/>
        <v>9.3500000000000014</v>
      </c>
      <c r="M937">
        <f t="shared" si="226"/>
        <v>0.6</v>
      </c>
      <c r="N937">
        <f t="shared" si="220"/>
        <v>0.9774999999999997</v>
      </c>
      <c r="Q937" t="str" cm="1">
        <f t="array" ref="Q937:R937">_xlfn.TEXTSPLIT(E937," ")</f>
        <v>27.10.2023</v>
      </c>
      <c r="R937" t="str">
        <v>15:36:33</v>
      </c>
      <c r="S937">
        <f t="shared" si="233"/>
        <v>15.56666666666702</v>
      </c>
      <c r="T937">
        <f t="shared" si="224"/>
        <v>15.490000000000009</v>
      </c>
      <c r="U937">
        <f t="shared" si="227"/>
        <v>1.65</v>
      </c>
      <c r="V937">
        <f t="shared" si="221"/>
        <v>1.6524999999999999</v>
      </c>
      <c r="AC937" t="s">
        <v>2391</v>
      </c>
      <c r="AD937">
        <v>23.1</v>
      </c>
      <c r="AE937">
        <v>10.59</v>
      </c>
      <c r="AG937" t="str" cm="1">
        <f t="array" ref="AG937:AH937">_xlfn.TEXTSPLIT(AC938," ")</f>
        <v>26.10.2023</v>
      </c>
      <c r="AH937" t="str">
        <v>15:37:41</v>
      </c>
      <c r="AI937">
        <f t="shared" si="234"/>
        <v>15.56666666666702</v>
      </c>
      <c r="AJ937">
        <f t="shared" si="228"/>
        <v>6.06</v>
      </c>
      <c r="AK937">
        <f t="shared" si="229"/>
        <v>23.1</v>
      </c>
      <c r="AL937">
        <f t="shared" si="222"/>
        <v>2.11</v>
      </c>
      <c r="AN937" t="s">
        <v>2391</v>
      </c>
      <c r="AO937">
        <v>0.6</v>
      </c>
      <c r="AP937">
        <v>73.209999999999994</v>
      </c>
      <c r="AR937" t="str" cm="1">
        <f t="array" ref="AR937:AS937">_xlfn.TEXTSPLIT(AN937," ")</f>
        <v>26.10.2023</v>
      </c>
      <c r="AS937" t="str">
        <v>15:36:41</v>
      </c>
      <c r="AT937">
        <f t="shared" si="235"/>
        <v>15.56666666666702</v>
      </c>
      <c r="AU937">
        <f t="shared" si="230"/>
        <v>11.899999999999991</v>
      </c>
      <c r="AV937">
        <f t="shared" si="231"/>
        <v>0.6</v>
      </c>
      <c r="AW937">
        <f t="shared" si="223"/>
        <v>1.6325000000000001</v>
      </c>
    </row>
    <row r="938" spans="1:49" x14ac:dyDescent="0.25">
      <c r="A938" t="s">
        <v>2392</v>
      </c>
      <c r="B938">
        <v>1.05</v>
      </c>
      <c r="C938">
        <v>23.7</v>
      </c>
      <c r="E938" t="s">
        <v>2392</v>
      </c>
      <c r="F938">
        <v>3</v>
      </c>
      <c r="G938">
        <v>94.16</v>
      </c>
      <c r="I938" t="str" cm="1">
        <f t="array" ref="I938:J938">_xlfn.TEXTSPLIT(A938," ")</f>
        <v>27.10.2023</v>
      </c>
      <c r="J938" t="str">
        <v>15:37:33</v>
      </c>
      <c r="K938">
        <f t="shared" si="232"/>
        <v>15.583333333333687</v>
      </c>
      <c r="L938">
        <f t="shared" si="225"/>
        <v>9.379999999999999</v>
      </c>
      <c r="M938">
        <f t="shared" si="226"/>
        <v>1.05</v>
      </c>
      <c r="N938">
        <f t="shared" si="220"/>
        <v>0.97999999999999965</v>
      </c>
      <c r="Q938" t="str" cm="1">
        <f t="array" ref="Q938:R938">_xlfn.TEXTSPLIT(E938," ")</f>
        <v>27.10.2023</v>
      </c>
      <c r="R938" t="str">
        <v>15:37:33</v>
      </c>
      <c r="S938">
        <f t="shared" si="233"/>
        <v>15.583333333333687</v>
      </c>
      <c r="T938">
        <f t="shared" si="224"/>
        <v>15.560000000000002</v>
      </c>
      <c r="U938">
        <f t="shared" si="227"/>
        <v>3</v>
      </c>
      <c r="V938">
        <f t="shared" si="221"/>
        <v>1.645</v>
      </c>
      <c r="AC938" t="s">
        <v>2393</v>
      </c>
      <c r="AD938">
        <v>0</v>
      </c>
      <c r="AE938">
        <v>10.59</v>
      </c>
      <c r="AG938" t="str" cm="1">
        <f t="array" ref="AG938:AH938">_xlfn.TEXTSPLIT(AC939," ")</f>
        <v>26.10.2023</v>
      </c>
      <c r="AH938" t="str">
        <v>15:38:41</v>
      </c>
      <c r="AI938">
        <f t="shared" si="234"/>
        <v>15.583333333333687</v>
      </c>
      <c r="AJ938">
        <f t="shared" si="228"/>
        <v>6.06</v>
      </c>
      <c r="AK938">
        <f t="shared" si="229"/>
        <v>0</v>
      </c>
      <c r="AL938">
        <f t="shared" si="222"/>
        <v>2.11</v>
      </c>
      <c r="AN938" t="s">
        <v>2393</v>
      </c>
      <c r="AO938">
        <v>1.2</v>
      </c>
      <c r="AP938">
        <v>73.239999999999995</v>
      </c>
      <c r="AR938" t="str" cm="1">
        <f t="array" ref="AR938:AS938">_xlfn.TEXTSPLIT(AN938," ")</f>
        <v>26.10.2023</v>
      </c>
      <c r="AS938" t="str">
        <v>15:37:41</v>
      </c>
      <c r="AT938">
        <f t="shared" si="235"/>
        <v>15.583333333333687</v>
      </c>
      <c r="AU938">
        <f t="shared" si="230"/>
        <v>11.929999999999993</v>
      </c>
      <c r="AV938">
        <f t="shared" si="231"/>
        <v>1.2</v>
      </c>
      <c r="AW938">
        <f t="shared" si="223"/>
        <v>1.6350000000000005</v>
      </c>
    </row>
    <row r="939" spans="1:49" x14ac:dyDescent="0.25">
      <c r="A939" t="s">
        <v>2394</v>
      </c>
      <c r="B939">
        <v>1.95</v>
      </c>
      <c r="C939">
        <v>23.74</v>
      </c>
      <c r="E939" t="s">
        <v>2394</v>
      </c>
      <c r="F939">
        <v>3.3</v>
      </c>
      <c r="G939">
        <v>94.2</v>
      </c>
      <c r="I939" t="str" cm="1">
        <f t="array" ref="I939:J939">_xlfn.TEXTSPLIT(A939," ")</f>
        <v>27.10.2023</v>
      </c>
      <c r="J939" t="str">
        <v>15:38:33</v>
      </c>
      <c r="K939">
        <f t="shared" si="232"/>
        <v>15.600000000000355</v>
      </c>
      <c r="L939">
        <f t="shared" si="225"/>
        <v>9.4199999999999982</v>
      </c>
      <c r="M939">
        <f t="shared" si="226"/>
        <v>1.95</v>
      </c>
      <c r="N939">
        <f t="shared" si="220"/>
        <v>0.97499999999999964</v>
      </c>
      <c r="Q939" t="str" cm="1">
        <f t="array" ref="Q939:R939">_xlfn.TEXTSPLIT(E939," ")</f>
        <v>27.10.2023</v>
      </c>
      <c r="R939" t="str">
        <v>15:38:33</v>
      </c>
      <c r="S939">
        <f t="shared" si="233"/>
        <v>15.600000000000355</v>
      </c>
      <c r="T939">
        <f t="shared" si="224"/>
        <v>15.600000000000009</v>
      </c>
      <c r="U939">
        <f t="shared" si="227"/>
        <v>3.3</v>
      </c>
      <c r="V939">
        <f t="shared" si="221"/>
        <v>1.6525000000000001</v>
      </c>
      <c r="AC939" t="s">
        <v>2395</v>
      </c>
      <c r="AD939">
        <v>0.45</v>
      </c>
      <c r="AE939">
        <v>10.63</v>
      </c>
      <c r="AG939" t="str" cm="1">
        <f t="array" ref="AG939:AH939">_xlfn.TEXTSPLIT(AC940," ")</f>
        <v>26.10.2023</v>
      </c>
      <c r="AH939" t="str">
        <v>15:39:41</v>
      </c>
      <c r="AI939">
        <f t="shared" si="234"/>
        <v>15.600000000000355</v>
      </c>
      <c r="AJ939">
        <f t="shared" si="228"/>
        <v>6.1000000000000005</v>
      </c>
      <c r="AK939">
        <f t="shared" si="229"/>
        <v>0.45</v>
      </c>
      <c r="AL939">
        <f t="shared" si="222"/>
        <v>2.1175000000000002</v>
      </c>
      <c r="AN939" t="s">
        <v>2395</v>
      </c>
      <c r="AO939">
        <v>2.1</v>
      </c>
      <c r="AP939">
        <v>73.28</v>
      </c>
      <c r="AR939" t="str" cm="1">
        <f t="array" ref="AR939:AS939">_xlfn.TEXTSPLIT(AN939," ")</f>
        <v>26.10.2023</v>
      </c>
      <c r="AS939" t="str">
        <v>15:38:41</v>
      </c>
      <c r="AT939">
        <f t="shared" si="235"/>
        <v>15.600000000000355</v>
      </c>
      <c r="AU939">
        <f t="shared" si="230"/>
        <v>11.969999999999999</v>
      </c>
      <c r="AV939">
        <f t="shared" si="231"/>
        <v>2.1</v>
      </c>
      <c r="AW939">
        <f t="shared" si="223"/>
        <v>1.6450000000000002</v>
      </c>
    </row>
    <row r="940" spans="1:49" x14ac:dyDescent="0.25">
      <c r="A940" t="s">
        <v>2396</v>
      </c>
      <c r="B940">
        <v>2.85</v>
      </c>
      <c r="C940">
        <v>23.79</v>
      </c>
      <c r="E940" t="s">
        <v>2396</v>
      </c>
      <c r="F940">
        <v>1.8</v>
      </c>
      <c r="G940">
        <v>94.23</v>
      </c>
      <c r="I940" t="str" cm="1">
        <f t="array" ref="I940:J940">_xlfn.TEXTSPLIT(A940," ")</f>
        <v>27.10.2023</v>
      </c>
      <c r="J940" t="str">
        <v>15:39:34</v>
      </c>
      <c r="K940">
        <f t="shared" si="232"/>
        <v>15.616666666667022</v>
      </c>
      <c r="L940">
        <f t="shared" si="225"/>
        <v>9.4699999999999989</v>
      </c>
      <c r="M940">
        <f t="shared" si="226"/>
        <v>2.85</v>
      </c>
      <c r="N940">
        <f t="shared" si="220"/>
        <v>0.9724999999999997</v>
      </c>
      <c r="Q940" t="str" cm="1">
        <f t="array" ref="Q940:R940">_xlfn.TEXTSPLIT(E940," ")</f>
        <v>27.10.2023</v>
      </c>
      <c r="R940" t="str">
        <v>15:39:34</v>
      </c>
      <c r="S940">
        <f t="shared" si="233"/>
        <v>15.616666666667022</v>
      </c>
      <c r="T940">
        <f t="shared" si="224"/>
        <v>15.63000000000001</v>
      </c>
      <c r="U940">
        <f t="shared" si="227"/>
        <v>1.8</v>
      </c>
      <c r="V940">
        <f t="shared" si="221"/>
        <v>1.625</v>
      </c>
      <c r="AC940" t="s">
        <v>2397</v>
      </c>
      <c r="AD940">
        <v>2.5499999999999998</v>
      </c>
      <c r="AE940">
        <v>10.66</v>
      </c>
      <c r="AG940" t="str" cm="1">
        <f t="array" ref="AG940:AH940">_xlfn.TEXTSPLIT(AC941," ")</f>
        <v>26.10.2023</v>
      </c>
      <c r="AH940" t="str">
        <v>15:40:41</v>
      </c>
      <c r="AI940">
        <f t="shared" si="234"/>
        <v>15.616666666667022</v>
      </c>
      <c r="AJ940">
        <f t="shared" si="228"/>
        <v>6.13</v>
      </c>
      <c r="AK940">
        <f t="shared" si="229"/>
        <v>2.5499999999999998</v>
      </c>
      <c r="AL940">
        <f t="shared" si="222"/>
        <v>2.1325000000000003</v>
      </c>
      <c r="AN940" t="s">
        <v>2397</v>
      </c>
      <c r="AO940">
        <v>2.1</v>
      </c>
      <c r="AP940">
        <v>73.31</v>
      </c>
      <c r="AR940" t="str" cm="1">
        <f t="array" ref="AR940:AS940">_xlfn.TEXTSPLIT(AN940," ")</f>
        <v>26.10.2023</v>
      </c>
      <c r="AS940" t="str">
        <v>15:39:41</v>
      </c>
      <c r="AT940">
        <f t="shared" si="235"/>
        <v>15.616666666667022</v>
      </c>
      <c r="AU940">
        <f t="shared" si="230"/>
        <v>12</v>
      </c>
      <c r="AV940">
        <f t="shared" si="231"/>
        <v>2.1</v>
      </c>
      <c r="AW940">
        <f t="shared" si="223"/>
        <v>1.6425000000000003</v>
      </c>
    </row>
    <row r="941" spans="1:49" x14ac:dyDescent="0.25">
      <c r="A941" t="s">
        <v>2398</v>
      </c>
      <c r="B941">
        <v>2.4</v>
      </c>
      <c r="C941">
        <v>23.81</v>
      </c>
      <c r="E941" t="s">
        <v>2398</v>
      </c>
      <c r="F941">
        <v>2.1</v>
      </c>
      <c r="G941">
        <v>94.27</v>
      </c>
      <c r="I941" t="str" cm="1">
        <f t="array" ref="I941:J941">_xlfn.TEXTSPLIT(A941," ")</f>
        <v>27.10.2023</v>
      </c>
      <c r="J941" t="str">
        <v>15:40:34</v>
      </c>
      <c r="K941">
        <f t="shared" si="232"/>
        <v>15.63333333333369</v>
      </c>
      <c r="L941">
        <f t="shared" si="225"/>
        <v>9.4899999999999984</v>
      </c>
      <c r="M941">
        <f t="shared" si="226"/>
        <v>2.4</v>
      </c>
      <c r="N941">
        <f t="shared" si="220"/>
        <v>0.96999999999999964</v>
      </c>
      <c r="Q941" t="str" cm="1">
        <f t="array" ref="Q941:R941">_xlfn.TEXTSPLIT(E941," ")</f>
        <v>27.10.2023</v>
      </c>
      <c r="R941" t="str">
        <v>15:40:34</v>
      </c>
      <c r="S941">
        <f t="shared" si="233"/>
        <v>15.63333333333369</v>
      </c>
      <c r="T941">
        <f t="shared" si="224"/>
        <v>15.670000000000002</v>
      </c>
      <c r="U941">
        <f t="shared" si="227"/>
        <v>2.1</v>
      </c>
      <c r="V941">
        <f t="shared" si="221"/>
        <v>1.6274999999999999</v>
      </c>
      <c r="AC941" t="s">
        <v>2399</v>
      </c>
      <c r="AD941">
        <v>1.65</v>
      </c>
      <c r="AE941">
        <v>10.69</v>
      </c>
      <c r="AG941" t="str" cm="1">
        <f t="array" ref="AG941:AH941">_xlfn.TEXTSPLIT(AC942," ")</f>
        <v>26.10.2023</v>
      </c>
      <c r="AH941" t="str">
        <v>15:41:42</v>
      </c>
      <c r="AI941">
        <f t="shared" si="234"/>
        <v>15.63333333333369</v>
      </c>
      <c r="AJ941">
        <f t="shared" si="228"/>
        <v>6.1599999999999993</v>
      </c>
      <c r="AK941">
        <f t="shared" si="229"/>
        <v>1.65</v>
      </c>
      <c r="AL941">
        <f t="shared" si="222"/>
        <v>2.1300000000000003</v>
      </c>
      <c r="AN941" t="s">
        <v>2399</v>
      </c>
      <c r="AO941">
        <v>1.35</v>
      </c>
      <c r="AP941">
        <v>73.319999999999993</v>
      </c>
      <c r="AR941" t="str" cm="1">
        <f t="array" ref="AR941:AS941">_xlfn.TEXTSPLIT(AN941," ")</f>
        <v>26.10.2023</v>
      </c>
      <c r="AS941" t="str">
        <v>15:40:41</v>
      </c>
      <c r="AT941">
        <f t="shared" si="235"/>
        <v>15.63333333333369</v>
      </c>
      <c r="AU941">
        <f t="shared" si="230"/>
        <v>12.009999999999991</v>
      </c>
      <c r="AV941">
        <f t="shared" si="231"/>
        <v>1.35</v>
      </c>
      <c r="AW941">
        <f t="shared" si="223"/>
        <v>1.635</v>
      </c>
    </row>
    <row r="942" spans="1:49" x14ac:dyDescent="0.25">
      <c r="A942" t="s">
        <v>2400</v>
      </c>
      <c r="B942">
        <v>1.35</v>
      </c>
      <c r="C942">
        <v>23.83</v>
      </c>
      <c r="E942" t="s">
        <v>2400</v>
      </c>
      <c r="F942">
        <v>2.7</v>
      </c>
      <c r="G942">
        <v>94.3</v>
      </c>
      <c r="I942" t="str" cm="1">
        <f t="array" ref="I942:J942">_xlfn.TEXTSPLIT(A942," ")</f>
        <v>27.10.2023</v>
      </c>
      <c r="J942" t="str">
        <v>15:41:34</v>
      </c>
      <c r="K942">
        <f t="shared" si="232"/>
        <v>15.650000000000357</v>
      </c>
      <c r="L942">
        <f t="shared" si="225"/>
        <v>9.509999999999998</v>
      </c>
      <c r="M942">
        <f t="shared" si="226"/>
        <v>1.35</v>
      </c>
      <c r="N942">
        <f t="shared" si="220"/>
        <v>0.96749999999999969</v>
      </c>
      <c r="Q942" t="str" cm="1">
        <f t="array" ref="Q942:R942">_xlfn.TEXTSPLIT(E942," ")</f>
        <v>27.10.2023</v>
      </c>
      <c r="R942" t="str">
        <v>15:41:34</v>
      </c>
      <c r="S942">
        <f t="shared" si="233"/>
        <v>15.650000000000357</v>
      </c>
      <c r="T942">
        <f t="shared" si="224"/>
        <v>15.700000000000003</v>
      </c>
      <c r="U942">
        <f t="shared" si="227"/>
        <v>2.7</v>
      </c>
      <c r="V942">
        <f t="shared" si="221"/>
        <v>1.6425000000000003</v>
      </c>
      <c r="AC942" t="s">
        <v>2401</v>
      </c>
      <c r="AD942">
        <v>1.05</v>
      </c>
      <c r="AE942">
        <v>10.7</v>
      </c>
      <c r="AG942" t="str" cm="1">
        <f t="array" ref="AG942:AH942">_xlfn.TEXTSPLIT(AC943," ")</f>
        <v>26.10.2023</v>
      </c>
      <c r="AH942" t="str">
        <v>15:42:42</v>
      </c>
      <c r="AI942">
        <f t="shared" si="234"/>
        <v>15.650000000000357</v>
      </c>
      <c r="AJ942">
        <f t="shared" si="228"/>
        <v>6.169999999999999</v>
      </c>
      <c r="AK942">
        <f t="shared" si="229"/>
        <v>1.05</v>
      </c>
      <c r="AL942">
        <f t="shared" si="222"/>
        <v>2.12</v>
      </c>
      <c r="AN942" t="s">
        <v>2401</v>
      </c>
      <c r="AO942">
        <v>0.9</v>
      </c>
      <c r="AP942">
        <v>73.34</v>
      </c>
      <c r="AR942" t="str" cm="1">
        <f t="array" ref="AR942:AS942">_xlfn.TEXTSPLIT(AN942," ")</f>
        <v>26.10.2023</v>
      </c>
      <c r="AS942" t="str">
        <v>15:41:42</v>
      </c>
      <c r="AT942">
        <f t="shared" si="235"/>
        <v>15.650000000000357</v>
      </c>
      <c r="AU942">
        <f t="shared" si="230"/>
        <v>12.030000000000001</v>
      </c>
      <c r="AV942">
        <f t="shared" si="231"/>
        <v>0.9</v>
      </c>
      <c r="AW942">
        <f t="shared" si="223"/>
        <v>1.6325000000000001</v>
      </c>
    </row>
    <row r="943" spans="1:49" x14ac:dyDescent="0.25">
      <c r="A943" t="s">
        <v>2402</v>
      </c>
      <c r="B943">
        <v>1.05</v>
      </c>
      <c r="C943">
        <v>23.85</v>
      </c>
      <c r="E943" t="s">
        <v>2402</v>
      </c>
      <c r="F943">
        <v>1.35</v>
      </c>
      <c r="G943">
        <v>94.32</v>
      </c>
      <c r="I943" t="str" cm="1">
        <f t="array" ref="I943:J943">_xlfn.TEXTSPLIT(A943," ")</f>
        <v>27.10.2023</v>
      </c>
      <c r="J943" t="str">
        <v>15:42:34</v>
      </c>
      <c r="K943">
        <f t="shared" si="232"/>
        <v>15.666666666667025</v>
      </c>
      <c r="L943">
        <f t="shared" si="225"/>
        <v>9.5300000000000011</v>
      </c>
      <c r="M943">
        <f t="shared" si="226"/>
        <v>1.05</v>
      </c>
      <c r="N943">
        <f t="shared" si="220"/>
        <v>0.95749999999999968</v>
      </c>
      <c r="Q943" t="str" cm="1">
        <f t="array" ref="Q943:R943">_xlfn.TEXTSPLIT(E943," ")</f>
        <v>27.10.2023</v>
      </c>
      <c r="R943" t="str">
        <v>15:42:34</v>
      </c>
      <c r="S943">
        <f t="shared" si="233"/>
        <v>15.666666666667025</v>
      </c>
      <c r="T943">
        <f t="shared" si="224"/>
        <v>15.719999999999999</v>
      </c>
      <c r="U943">
        <f t="shared" si="227"/>
        <v>1.35</v>
      </c>
      <c r="V943">
        <f t="shared" si="221"/>
        <v>1.6274999999999999</v>
      </c>
      <c r="AC943" t="s">
        <v>2403</v>
      </c>
      <c r="AD943">
        <v>0.75</v>
      </c>
      <c r="AE943">
        <v>10.71</v>
      </c>
      <c r="AG943" t="str" cm="1">
        <f t="array" ref="AG943:AH943">_xlfn.TEXTSPLIT(AC944," ")</f>
        <v>26.10.2023</v>
      </c>
      <c r="AH943" t="str">
        <v>15:43:42</v>
      </c>
      <c r="AI943">
        <f t="shared" si="234"/>
        <v>15.666666666667025</v>
      </c>
      <c r="AJ943">
        <f t="shared" si="228"/>
        <v>6.1800000000000006</v>
      </c>
      <c r="AK943">
        <f t="shared" si="229"/>
        <v>0.75</v>
      </c>
      <c r="AL943">
        <f t="shared" si="222"/>
        <v>2.12</v>
      </c>
      <c r="AN943" t="s">
        <v>2403</v>
      </c>
      <c r="AO943">
        <v>0.6</v>
      </c>
      <c r="AP943">
        <v>73.349999999999994</v>
      </c>
      <c r="AR943" t="str" cm="1">
        <f t="array" ref="AR943:AS943">_xlfn.TEXTSPLIT(AN943," ")</f>
        <v>26.10.2023</v>
      </c>
      <c r="AS943" t="str">
        <v>15:42:42</v>
      </c>
      <c r="AT943">
        <f t="shared" si="235"/>
        <v>15.666666666667025</v>
      </c>
      <c r="AU943">
        <f t="shared" si="230"/>
        <v>12.039999999999992</v>
      </c>
      <c r="AV943">
        <f t="shared" si="231"/>
        <v>0.6</v>
      </c>
      <c r="AW943">
        <f t="shared" si="223"/>
        <v>1.63</v>
      </c>
    </row>
    <row r="944" spans="1:49" x14ac:dyDescent="0.25">
      <c r="A944" t="s">
        <v>2404</v>
      </c>
      <c r="B944">
        <v>1.35</v>
      </c>
      <c r="C944">
        <v>23.87</v>
      </c>
      <c r="E944" t="s">
        <v>2404</v>
      </c>
      <c r="F944">
        <v>1.2</v>
      </c>
      <c r="G944">
        <v>94.35</v>
      </c>
      <c r="I944" t="str" cm="1">
        <f t="array" ref="I944:J944">_xlfn.TEXTSPLIT(A944," ")</f>
        <v>27.10.2023</v>
      </c>
      <c r="J944" t="str">
        <v>15:43:34</v>
      </c>
      <c r="K944">
        <f t="shared" si="232"/>
        <v>15.683333333333692</v>
      </c>
      <c r="L944">
        <f t="shared" si="225"/>
        <v>9.5500000000000007</v>
      </c>
      <c r="M944">
        <f t="shared" si="226"/>
        <v>1.35</v>
      </c>
      <c r="N944">
        <f t="shared" si="220"/>
        <v>0.9574999999999998</v>
      </c>
      <c r="Q944" t="str" cm="1">
        <f t="array" ref="Q944:R944">_xlfn.TEXTSPLIT(E944," ")</f>
        <v>27.10.2023</v>
      </c>
      <c r="R944" t="str">
        <v>15:43:34</v>
      </c>
      <c r="S944">
        <f t="shared" si="233"/>
        <v>15.683333333333692</v>
      </c>
      <c r="T944">
        <f t="shared" si="224"/>
        <v>15.75</v>
      </c>
      <c r="U944">
        <f t="shared" si="227"/>
        <v>1.2</v>
      </c>
      <c r="V944">
        <f t="shared" si="221"/>
        <v>1.6125</v>
      </c>
      <c r="AC944" t="s">
        <v>2405</v>
      </c>
      <c r="AD944">
        <v>0.6</v>
      </c>
      <c r="AE944">
        <v>10.72</v>
      </c>
      <c r="AG944" t="str" cm="1">
        <f t="array" ref="AG944:AH944">_xlfn.TEXTSPLIT(AC945," ")</f>
        <v>26.10.2023</v>
      </c>
      <c r="AH944" t="str">
        <v>15:44:42</v>
      </c>
      <c r="AI944">
        <f t="shared" si="234"/>
        <v>15.683333333333692</v>
      </c>
      <c r="AJ944">
        <f t="shared" si="228"/>
        <v>6.19</v>
      </c>
      <c r="AK944">
        <f t="shared" si="229"/>
        <v>0.6</v>
      </c>
      <c r="AL944">
        <f t="shared" si="222"/>
        <v>2.1225000000000001</v>
      </c>
      <c r="AN944" t="s">
        <v>2405</v>
      </c>
      <c r="AO944">
        <v>0.75</v>
      </c>
      <c r="AP944">
        <v>73.37</v>
      </c>
      <c r="AR944" t="str" cm="1">
        <f t="array" ref="AR944:AS944">_xlfn.TEXTSPLIT(AN944," ")</f>
        <v>26.10.2023</v>
      </c>
      <c r="AS944" t="str">
        <v>15:43:42</v>
      </c>
      <c r="AT944">
        <f t="shared" si="235"/>
        <v>15.683333333333692</v>
      </c>
      <c r="AU944">
        <f t="shared" si="230"/>
        <v>12.060000000000002</v>
      </c>
      <c r="AV944">
        <f t="shared" si="231"/>
        <v>0.75</v>
      </c>
      <c r="AW944">
        <f t="shared" si="223"/>
        <v>1.63</v>
      </c>
    </row>
    <row r="945" spans="1:49" x14ac:dyDescent="0.25">
      <c r="A945" t="s">
        <v>2406</v>
      </c>
      <c r="B945">
        <v>1.35</v>
      </c>
      <c r="C945">
        <v>23.89</v>
      </c>
      <c r="E945" t="s">
        <v>2406</v>
      </c>
      <c r="F945">
        <v>1.5</v>
      </c>
      <c r="G945">
        <v>94.37</v>
      </c>
      <c r="I945" t="str" cm="1">
        <f t="array" ref="I945:J945">_xlfn.TEXTSPLIT(A945," ")</f>
        <v>27.10.2023</v>
      </c>
      <c r="J945" t="str">
        <v>15:44:34</v>
      </c>
      <c r="K945">
        <f t="shared" si="232"/>
        <v>15.70000000000036</v>
      </c>
      <c r="L945">
        <f t="shared" si="225"/>
        <v>9.57</v>
      </c>
      <c r="M945">
        <f t="shared" si="226"/>
        <v>1.35</v>
      </c>
      <c r="N945">
        <f t="shared" si="220"/>
        <v>0.9524999999999999</v>
      </c>
      <c r="Q945" t="str" cm="1">
        <f t="array" ref="Q945:R945">_xlfn.TEXTSPLIT(E945," ")</f>
        <v>27.10.2023</v>
      </c>
      <c r="R945" t="str">
        <v>15:44:34</v>
      </c>
      <c r="S945">
        <f t="shared" si="233"/>
        <v>15.70000000000036</v>
      </c>
      <c r="T945">
        <f t="shared" si="224"/>
        <v>15.77000000000001</v>
      </c>
      <c r="U945">
        <f t="shared" si="227"/>
        <v>1.5</v>
      </c>
      <c r="V945">
        <f t="shared" si="221"/>
        <v>1.6124999999999998</v>
      </c>
      <c r="AC945" t="s">
        <v>2407</v>
      </c>
      <c r="AD945">
        <v>0.6</v>
      </c>
      <c r="AE945">
        <v>10.73</v>
      </c>
      <c r="AG945" t="str" cm="1">
        <f t="array" ref="AG945:AH945">_xlfn.TEXTSPLIT(AC946," ")</f>
        <v>26.10.2023</v>
      </c>
      <c r="AH945" t="str">
        <v>15:45:42</v>
      </c>
      <c r="AI945">
        <f t="shared" si="234"/>
        <v>15.70000000000036</v>
      </c>
      <c r="AJ945">
        <f t="shared" si="228"/>
        <v>6.2</v>
      </c>
      <c r="AK945">
        <f t="shared" si="229"/>
        <v>0.6</v>
      </c>
      <c r="AL945">
        <f t="shared" si="222"/>
        <v>2.1225000000000001</v>
      </c>
      <c r="AN945" t="s">
        <v>2407</v>
      </c>
      <c r="AO945">
        <v>1.2</v>
      </c>
      <c r="AP945">
        <v>73.39</v>
      </c>
      <c r="AR945" t="str" cm="1">
        <f t="array" ref="AR945:AS945">_xlfn.TEXTSPLIT(AN945," ")</f>
        <v>26.10.2023</v>
      </c>
      <c r="AS945" t="str">
        <v>15:44:42</v>
      </c>
      <c r="AT945">
        <f t="shared" si="235"/>
        <v>15.70000000000036</v>
      </c>
      <c r="AU945">
        <f t="shared" si="230"/>
        <v>12.079999999999998</v>
      </c>
      <c r="AV945">
        <f t="shared" si="231"/>
        <v>1.2</v>
      </c>
      <c r="AW945">
        <f t="shared" si="223"/>
        <v>1.64</v>
      </c>
    </row>
    <row r="946" spans="1:49" x14ac:dyDescent="0.25">
      <c r="A946" t="s">
        <v>2408</v>
      </c>
      <c r="B946">
        <v>0.9</v>
      </c>
      <c r="C946">
        <v>23.91</v>
      </c>
      <c r="E946" t="s">
        <v>2408</v>
      </c>
      <c r="F946">
        <v>1.8</v>
      </c>
      <c r="G946">
        <v>94.41</v>
      </c>
      <c r="I946" t="str" cm="1">
        <f t="array" ref="I946:J946">_xlfn.TEXTSPLIT(A946," ")</f>
        <v>27.10.2023</v>
      </c>
      <c r="J946" t="str">
        <v>15:45:34</v>
      </c>
      <c r="K946">
        <f t="shared" si="232"/>
        <v>15.716666666667027</v>
      </c>
      <c r="L946">
        <f t="shared" si="225"/>
        <v>9.59</v>
      </c>
      <c r="M946">
        <f t="shared" si="226"/>
        <v>0.9</v>
      </c>
      <c r="N946">
        <f t="shared" si="220"/>
        <v>0.95250000000000001</v>
      </c>
      <c r="Q946" t="str" cm="1">
        <f t="array" ref="Q946:R946">_xlfn.TEXTSPLIT(E946," ")</f>
        <v>27.10.2023</v>
      </c>
      <c r="R946" t="str">
        <v>15:45:34</v>
      </c>
      <c r="S946">
        <f t="shared" si="233"/>
        <v>15.716666666667027</v>
      </c>
      <c r="T946">
        <f t="shared" si="224"/>
        <v>15.810000000000002</v>
      </c>
      <c r="U946">
        <f t="shared" si="227"/>
        <v>1.8</v>
      </c>
      <c r="V946">
        <f t="shared" si="221"/>
        <v>1.6174999999999997</v>
      </c>
      <c r="AC946" t="s">
        <v>2409</v>
      </c>
      <c r="AD946">
        <v>0.6</v>
      </c>
      <c r="AE946">
        <v>10.74</v>
      </c>
      <c r="AG946" t="str" cm="1">
        <f t="array" ref="AG946:AH946">_xlfn.TEXTSPLIT(AC947," ")</f>
        <v>26.10.2023</v>
      </c>
      <c r="AH946" t="str">
        <v>15:46:42</v>
      </c>
      <c r="AI946">
        <f t="shared" si="234"/>
        <v>15.716666666667027</v>
      </c>
      <c r="AJ946">
        <f t="shared" si="228"/>
        <v>6.21</v>
      </c>
      <c r="AK946">
        <f t="shared" si="229"/>
        <v>0.6</v>
      </c>
      <c r="AL946">
        <f t="shared" si="222"/>
        <v>2.1249999999999996</v>
      </c>
      <c r="AN946" t="s">
        <v>2409</v>
      </c>
      <c r="AO946">
        <v>1.05</v>
      </c>
      <c r="AP946">
        <v>73.400000000000006</v>
      </c>
      <c r="AR946" t="str" cm="1">
        <f t="array" ref="AR946:AS946">_xlfn.TEXTSPLIT(AN946," ")</f>
        <v>26.10.2023</v>
      </c>
      <c r="AS946" t="str">
        <v>15:45:42</v>
      </c>
      <c r="AT946">
        <f t="shared" si="235"/>
        <v>15.716666666667027</v>
      </c>
      <c r="AU946">
        <f t="shared" si="230"/>
        <v>12.090000000000003</v>
      </c>
      <c r="AV946">
        <f t="shared" si="231"/>
        <v>1.05</v>
      </c>
      <c r="AW946">
        <f t="shared" si="223"/>
        <v>1.6449999999999998</v>
      </c>
    </row>
    <row r="947" spans="1:49" x14ac:dyDescent="0.25">
      <c r="A947" t="s">
        <v>2410</v>
      </c>
      <c r="B947">
        <v>1.2</v>
      </c>
      <c r="C947">
        <v>23.93</v>
      </c>
      <c r="E947" t="s">
        <v>2410</v>
      </c>
      <c r="F947">
        <v>1.65</v>
      </c>
      <c r="G947">
        <v>94.43</v>
      </c>
      <c r="I947" t="str" cm="1">
        <f t="array" ref="I947:J947">_xlfn.TEXTSPLIT(A947," ")</f>
        <v>27.10.2023</v>
      </c>
      <c r="J947" t="str">
        <v>15:46:34</v>
      </c>
      <c r="K947">
        <f t="shared" si="232"/>
        <v>15.733333333333695</v>
      </c>
      <c r="L947">
        <f t="shared" si="225"/>
        <v>9.61</v>
      </c>
      <c r="M947">
        <f t="shared" si="226"/>
        <v>1.2</v>
      </c>
      <c r="N947">
        <f t="shared" si="220"/>
        <v>0.95499999999999996</v>
      </c>
      <c r="Q947" t="str" cm="1">
        <f t="array" ref="Q947:R947">_xlfn.TEXTSPLIT(E947," ")</f>
        <v>27.10.2023</v>
      </c>
      <c r="R947" t="str">
        <v>15:46:34</v>
      </c>
      <c r="S947">
        <f t="shared" si="233"/>
        <v>15.733333333333695</v>
      </c>
      <c r="T947">
        <f t="shared" si="224"/>
        <v>15.830000000000013</v>
      </c>
      <c r="U947">
        <f t="shared" si="227"/>
        <v>1.65</v>
      </c>
      <c r="V947">
        <f t="shared" si="221"/>
        <v>1.6074999999999997</v>
      </c>
      <c r="AC947" t="s">
        <v>2411</v>
      </c>
      <c r="AD947">
        <v>0.9</v>
      </c>
      <c r="AE947">
        <v>10.76</v>
      </c>
      <c r="AG947" t="str" cm="1">
        <f t="array" ref="AG947:AH947">_xlfn.TEXTSPLIT(AC948," ")</f>
        <v>26.10.2023</v>
      </c>
      <c r="AH947" t="str">
        <v>15:47:42</v>
      </c>
      <c r="AI947">
        <f t="shared" si="234"/>
        <v>15.733333333333695</v>
      </c>
      <c r="AJ947">
        <f t="shared" si="228"/>
        <v>6.2299999999999995</v>
      </c>
      <c r="AK947">
        <f t="shared" si="229"/>
        <v>0.9</v>
      </c>
      <c r="AL947">
        <f t="shared" si="222"/>
        <v>2.1349999999999993</v>
      </c>
      <c r="AN947" t="s">
        <v>2411</v>
      </c>
      <c r="AO947">
        <v>1.05</v>
      </c>
      <c r="AP947">
        <v>73.42</v>
      </c>
      <c r="AR947" t="str" cm="1">
        <f t="array" ref="AR947:AS947">_xlfn.TEXTSPLIT(AN947," ")</f>
        <v>26.10.2023</v>
      </c>
      <c r="AS947" t="str">
        <v>15:46:42</v>
      </c>
      <c r="AT947">
        <f t="shared" si="235"/>
        <v>15.733333333333695</v>
      </c>
      <c r="AU947">
        <f t="shared" si="230"/>
        <v>12.11</v>
      </c>
      <c r="AV947">
        <f t="shared" si="231"/>
        <v>1.05</v>
      </c>
      <c r="AW947">
        <f t="shared" si="223"/>
        <v>1.6499999999999997</v>
      </c>
    </row>
    <row r="948" spans="1:49" x14ac:dyDescent="0.25">
      <c r="A948" t="s">
        <v>2412</v>
      </c>
      <c r="B948">
        <v>0.9</v>
      </c>
      <c r="C948">
        <v>23.94</v>
      </c>
      <c r="E948" t="s">
        <v>2412</v>
      </c>
      <c r="F948">
        <v>1.05</v>
      </c>
      <c r="G948">
        <v>94.45</v>
      </c>
      <c r="I948" t="str" cm="1">
        <f t="array" ref="I948:J948">_xlfn.TEXTSPLIT(A948," ")</f>
        <v>27.10.2023</v>
      </c>
      <c r="J948" t="str">
        <v>15:47:34</v>
      </c>
      <c r="K948">
        <f t="shared" si="232"/>
        <v>15.750000000000362</v>
      </c>
      <c r="L948">
        <f t="shared" si="225"/>
        <v>9.620000000000001</v>
      </c>
      <c r="M948">
        <f t="shared" si="226"/>
        <v>0.9</v>
      </c>
      <c r="N948">
        <f t="shared" si="220"/>
        <v>0.95499999999999985</v>
      </c>
      <c r="Q948" t="str" cm="1">
        <f t="array" ref="Q948:R948">_xlfn.TEXTSPLIT(E948," ")</f>
        <v>27.10.2023</v>
      </c>
      <c r="R948" t="str">
        <v>15:47:34</v>
      </c>
      <c r="S948">
        <f t="shared" si="233"/>
        <v>15.750000000000362</v>
      </c>
      <c r="T948">
        <f t="shared" si="224"/>
        <v>15.850000000000009</v>
      </c>
      <c r="U948">
        <f t="shared" si="227"/>
        <v>1.05</v>
      </c>
      <c r="V948">
        <f t="shared" si="221"/>
        <v>1.5949999999999998</v>
      </c>
      <c r="AC948" t="s">
        <v>2413</v>
      </c>
      <c r="AD948">
        <v>0.3</v>
      </c>
      <c r="AE948">
        <v>10.76</v>
      </c>
      <c r="AG948" t="str" cm="1">
        <f t="array" ref="AG948:AH948">_xlfn.TEXTSPLIT(AC949," ")</f>
        <v>26.10.2023</v>
      </c>
      <c r="AH948" t="str">
        <v>15:48:42</v>
      </c>
      <c r="AI948">
        <f t="shared" si="234"/>
        <v>15.750000000000362</v>
      </c>
      <c r="AJ948">
        <f t="shared" si="228"/>
        <v>6.2299999999999995</v>
      </c>
      <c r="AK948">
        <f t="shared" si="229"/>
        <v>0.3</v>
      </c>
      <c r="AL948">
        <f t="shared" si="222"/>
        <v>2.1374999999999997</v>
      </c>
      <c r="AN948" t="s">
        <v>2413</v>
      </c>
      <c r="AO948">
        <v>0.6</v>
      </c>
      <c r="AP948">
        <v>73.430000000000007</v>
      </c>
      <c r="AR948" t="str" cm="1">
        <f t="array" ref="AR948:AS948">_xlfn.TEXTSPLIT(AN948," ")</f>
        <v>26.10.2023</v>
      </c>
      <c r="AS948" t="str">
        <v>15:47:42</v>
      </c>
      <c r="AT948">
        <f t="shared" si="235"/>
        <v>15.750000000000362</v>
      </c>
      <c r="AU948">
        <f t="shared" si="230"/>
        <v>12.120000000000005</v>
      </c>
      <c r="AV948">
        <f t="shared" si="231"/>
        <v>0.6</v>
      </c>
      <c r="AW948">
        <f t="shared" si="223"/>
        <v>1.6474999999999997</v>
      </c>
    </row>
    <row r="949" spans="1:49" x14ac:dyDescent="0.25">
      <c r="A949" t="s">
        <v>2414</v>
      </c>
      <c r="B949">
        <v>0.9</v>
      </c>
      <c r="C949">
        <v>23.96</v>
      </c>
      <c r="E949" t="s">
        <v>2414</v>
      </c>
      <c r="F949">
        <v>1.35</v>
      </c>
      <c r="G949">
        <v>94.47</v>
      </c>
      <c r="I949" t="str" cm="1">
        <f t="array" ref="I949:J949">_xlfn.TEXTSPLIT(A949," ")</f>
        <v>27.10.2023</v>
      </c>
      <c r="J949" t="str">
        <v>15:48:34</v>
      </c>
      <c r="K949">
        <f t="shared" si="232"/>
        <v>15.76666666666703</v>
      </c>
      <c r="L949">
        <f t="shared" si="225"/>
        <v>9.64</v>
      </c>
      <c r="M949">
        <f t="shared" si="226"/>
        <v>0.9</v>
      </c>
      <c r="N949">
        <f t="shared" si="220"/>
        <v>0.94999999999999984</v>
      </c>
      <c r="Q949" t="str" cm="1">
        <f t="array" ref="Q949:R949">_xlfn.TEXTSPLIT(E949," ")</f>
        <v>27.10.2023</v>
      </c>
      <c r="R949" t="str">
        <v>15:48:34</v>
      </c>
      <c r="S949">
        <f t="shared" si="233"/>
        <v>15.76666666666703</v>
      </c>
      <c r="T949">
        <f t="shared" si="224"/>
        <v>15.870000000000005</v>
      </c>
      <c r="U949">
        <f t="shared" si="227"/>
        <v>1.35</v>
      </c>
      <c r="V949">
        <f t="shared" si="221"/>
        <v>1.5899999999999999</v>
      </c>
      <c r="AC949" t="s">
        <v>2415</v>
      </c>
      <c r="AD949">
        <v>0</v>
      </c>
      <c r="AE949">
        <v>10.76</v>
      </c>
      <c r="AG949" t="str" cm="1">
        <f t="array" ref="AG949:AH949">_xlfn.TEXTSPLIT(AC950," ")</f>
        <v>26.10.2023</v>
      </c>
      <c r="AH949" t="str">
        <v>15:49:42</v>
      </c>
      <c r="AI949">
        <f t="shared" si="234"/>
        <v>15.76666666666703</v>
      </c>
      <c r="AJ949">
        <f t="shared" si="228"/>
        <v>6.2299999999999995</v>
      </c>
      <c r="AK949">
        <f t="shared" si="229"/>
        <v>0</v>
      </c>
      <c r="AL949">
        <f t="shared" si="222"/>
        <v>2.1349999999999998</v>
      </c>
      <c r="AN949" t="s">
        <v>2415</v>
      </c>
      <c r="AO949">
        <v>0.6</v>
      </c>
      <c r="AP949">
        <v>73.44</v>
      </c>
      <c r="AR949" t="str" cm="1">
        <f t="array" ref="AR949:AS949">_xlfn.TEXTSPLIT(AN949," ")</f>
        <v>26.10.2023</v>
      </c>
      <c r="AS949" t="str">
        <v>15:48:42</v>
      </c>
      <c r="AT949">
        <f t="shared" si="235"/>
        <v>15.76666666666703</v>
      </c>
      <c r="AU949">
        <f t="shared" si="230"/>
        <v>12.129999999999995</v>
      </c>
      <c r="AV949">
        <f t="shared" si="231"/>
        <v>0.6</v>
      </c>
      <c r="AW949">
        <f t="shared" si="223"/>
        <v>1.6499999999999997</v>
      </c>
    </row>
    <row r="950" spans="1:49" x14ac:dyDescent="0.25">
      <c r="A950" t="s">
        <v>2416</v>
      </c>
      <c r="B950">
        <v>0.75</v>
      </c>
      <c r="C950">
        <v>23.97</v>
      </c>
      <c r="E950" t="s">
        <v>2416</v>
      </c>
      <c r="F950">
        <v>1.35</v>
      </c>
      <c r="G950">
        <v>94.5</v>
      </c>
      <c r="I950" t="str" cm="1">
        <f t="array" ref="I950:J950">_xlfn.TEXTSPLIT(A950," ")</f>
        <v>27.10.2023</v>
      </c>
      <c r="J950" t="str">
        <v>15:49:34</v>
      </c>
      <c r="K950">
        <f t="shared" si="232"/>
        <v>15.783333333333697</v>
      </c>
      <c r="L950">
        <f t="shared" si="225"/>
        <v>9.6499999999999986</v>
      </c>
      <c r="M950">
        <f t="shared" si="226"/>
        <v>0.75</v>
      </c>
      <c r="N950">
        <f t="shared" si="220"/>
        <v>0.9425</v>
      </c>
      <c r="Q950" t="str" cm="1">
        <f t="array" ref="Q950:R950">_xlfn.TEXTSPLIT(E950," ")</f>
        <v>27.10.2023</v>
      </c>
      <c r="R950" t="str">
        <v>15:49:34</v>
      </c>
      <c r="S950">
        <f t="shared" si="233"/>
        <v>15.783333333333697</v>
      </c>
      <c r="T950">
        <f t="shared" si="224"/>
        <v>15.900000000000006</v>
      </c>
      <c r="U950">
        <f t="shared" si="227"/>
        <v>1.35</v>
      </c>
      <c r="V950">
        <f t="shared" si="221"/>
        <v>1.5824999999999996</v>
      </c>
      <c r="AC950" t="s">
        <v>2417</v>
      </c>
      <c r="AD950">
        <v>0.9</v>
      </c>
      <c r="AE950">
        <v>10.78</v>
      </c>
      <c r="AG950" t="str" cm="1">
        <f t="array" ref="AG950:AH950">_xlfn.TEXTSPLIT(AC951," ")</f>
        <v>26.10.2023</v>
      </c>
      <c r="AH950" t="str">
        <v>15:50:42</v>
      </c>
      <c r="AI950">
        <f t="shared" si="234"/>
        <v>15.783333333333697</v>
      </c>
      <c r="AJ950">
        <f t="shared" si="228"/>
        <v>6.2499999999999991</v>
      </c>
      <c r="AK950">
        <f t="shared" si="229"/>
        <v>0.9</v>
      </c>
      <c r="AL950">
        <f t="shared" si="222"/>
        <v>2.145</v>
      </c>
      <c r="AN950" t="s">
        <v>2417</v>
      </c>
      <c r="AO950">
        <v>0.45</v>
      </c>
      <c r="AP950">
        <v>73.44</v>
      </c>
      <c r="AR950" t="str" cm="1">
        <f t="array" ref="AR950:AS950">_xlfn.TEXTSPLIT(AN950," ")</f>
        <v>26.10.2023</v>
      </c>
      <c r="AS950" t="str">
        <v>15:49:42</v>
      </c>
      <c r="AT950">
        <f t="shared" si="235"/>
        <v>15.783333333333697</v>
      </c>
      <c r="AU950">
        <f t="shared" si="230"/>
        <v>12.129999999999995</v>
      </c>
      <c r="AV950">
        <f t="shared" si="231"/>
        <v>0.45</v>
      </c>
      <c r="AW950">
        <f t="shared" si="223"/>
        <v>1.6449999999999998</v>
      </c>
    </row>
    <row r="951" spans="1:49" x14ac:dyDescent="0.25">
      <c r="A951" t="s">
        <v>2418</v>
      </c>
      <c r="B951">
        <v>1.05</v>
      </c>
      <c r="C951">
        <v>23.99</v>
      </c>
      <c r="E951" t="s">
        <v>2418</v>
      </c>
      <c r="F951">
        <v>2.25</v>
      </c>
      <c r="G951">
        <v>94.54</v>
      </c>
      <c r="I951" t="str" cm="1">
        <f t="array" ref="I951:J951">_xlfn.TEXTSPLIT(A951," ")</f>
        <v>27.10.2023</v>
      </c>
      <c r="J951" t="str">
        <v>15:50:34</v>
      </c>
      <c r="K951">
        <f t="shared" si="232"/>
        <v>15.800000000000365</v>
      </c>
      <c r="L951">
        <f t="shared" si="225"/>
        <v>9.6699999999999982</v>
      </c>
      <c r="M951">
        <f t="shared" si="226"/>
        <v>1.05</v>
      </c>
      <c r="N951">
        <f t="shared" si="220"/>
        <v>0.93749999999999989</v>
      </c>
      <c r="Q951" t="str" cm="1">
        <f t="array" ref="Q951:R951">_xlfn.TEXTSPLIT(E951," ")</f>
        <v>27.10.2023</v>
      </c>
      <c r="R951" t="str">
        <v>15:50:34</v>
      </c>
      <c r="S951">
        <f t="shared" si="233"/>
        <v>15.800000000000365</v>
      </c>
      <c r="T951">
        <f t="shared" si="224"/>
        <v>15.940000000000012</v>
      </c>
      <c r="U951">
        <f t="shared" si="227"/>
        <v>2.25</v>
      </c>
      <c r="V951">
        <f t="shared" si="221"/>
        <v>1.5874999999999997</v>
      </c>
      <c r="AC951" t="s">
        <v>2419</v>
      </c>
      <c r="AD951">
        <v>0.75</v>
      </c>
      <c r="AE951">
        <v>10.79</v>
      </c>
      <c r="AG951" t="str" cm="1">
        <f t="array" ref="AG951:AH951">_xlfn.TEXTSPLIT(AC952," ")</f>
        <v>26.10.2023</v>
      </c>
      <c r="AH951" t="str">
        <v>15:51:42</v>
      </c>
      <c r="AI951">
        <f t="shared" si="234"/>
        <v>15.800000000000365</v>
      </c>
      <c r="AJ951">
        <f t="shared" si="228"/>
        <v>6.2599999999999989</v>
      </c>
      <c r="AK951">
        <f t="shared" si="229"/>
        <v>0.75</v>
      </c>
      <c r="AL951">
        <f t="shared" si="222"/>
        <v>2.1524999999999994</v>
      </c>
      <c r="AN951" t="s">
        <v>2419</v>
      </c>
      <c r="AO951">
        <v>0.6</v>
      </c>
      <c r="AP951">
        <v>73.459999999999994</v>
      </c>
      <c r="AR951" t="str" cm="1">
        <f t="array" ref="AR951:AS951">_xlfn.TEXTSPLIT(AN951," ")</f>
        <v>26.10.2023</v>
      </c>
      <c r="AS951" t="str">
        <v>15:50:42</v>
      </c>
      <c r="AT951">
        <f t="shared" si="235"/>
        <v>15.800000000000365</v>
      </c>
      <c r="AU951">
        <f t="shared" si="230"/>
        <v>12.149999999999991</v>
      </c>
      <c r="AV951">
        <f t="shared" si="231"/>
        <v>0.6</v>
      </c>
      <c r="AW951">
        <f t="shared" si="223"/>
        <v>1.6449999999999998</v>
      </c>
    </row>
    <row r="952" spans="1:49" x14ac:dyDescent="0.25">
      <c r="A952" t="s">
        <v>2420</v>
      </c>
      <c r="B952">
        <v>0.9</v>
      </c>
      <c r="C952">
        <v>24</v>
      </c>
      <c r="E952" t="s">
        <v>2420</v>
      </c>
      <c r="F952">
        <v>1.2</v>
      </c>
      <c r="G952">
        <v>94.55</v>
      </c>
      <c r="I952" t="str" cm="1">
        <f t="array" ref="I952:J952">_xlfn.TEXTSPLIT(A952," ")</f>
        <v>27.10.2023</v>
      </c>
      <c r="J952" t="str">
        <v>15:51:34</v>
      </c>
      <c r="K952">
        <f t="shared" si="232"/>
        <v>15.816666666667032</v>
      </c>
      <c r="L952">
        <f t="shared" si="225"/>
        <v>9.68</v>
      </c>
      <c r="M952">
        <f t="shared" si="226"/>
        <v>0.9</v>
      </c>
      <c r="N952">
        <f t="shared" si="220"/>
        <v>0.9375</v>
      </c>
      <c r="Q952" t="str" cm="1">
        <f t="array" ref="Q952:R952">_xlfn.TEXTSPLIT(E952," ")</f>
        <v>27.10.2023</v>
      </c>
      <c r="R952" t="str">
        <v>15:51:34</v>
      </c>
      <c r="S952">
        <f t="shared" si="233"/>
        <v>15.816666666667032</v>
      </c>
      <c r="T952">
        <f t="shared" si="224"/>
        <v>15.950000000000003</v>
      </c>
      <c r="U952">
        <f t="shared" si="227"/>
        <v>1.2</v>
      </c>
      <c r="V952">
        <f t="shared" si="221"/>
        <v>1.5824999999999998</v>
      </c>
      <c r="AC952" t="s">
        <v>2421</v>
      </c>
      <c r="AD952">
        <v>0.45</v>
      </c>
      <c r="AE952">
        <v>10.8</v>
      </c>
      <c r="AG952" t="str" cm="1">
        <f t="array" ref="AG952:AH952">_xlfn.TEXTSPLIT(AC953," ")</f>
        <v>26.10.2023</v>
      </c>
      <c r="AH952" t="str">
        <v>15:52:42</v>
      </c>
      <c r="AI952">
        <f t="shared" si="234"/>
        <v>15.816666666667032</v>
      </c>
      <c r="AJ952">
        <f t="shared" si="228"/>
        <v>6.2700000000000005</v>
      </c>
      <c r="AK952">
        <f t="shared" si="229"/>
        <v>0.45</v>
      </c>
      <c r="AL952">
        <f t="shared" si="222"/>
        <v>2.1549999999999998</v>
      </c>
      <c r="AN952" t="s">
        <v>2421</v>
      </c>
      <c r="AO952">
        <v>0.45</v>
      </c>
      <c r="AP952">
        <v>73.459999999999994</v>
      </c>
      <c r="AR952" t="str" cm="1">
        <f t="array" ref="AR952:AS952">_xlfn.TEXTSPLIT(AN952," ")</f>
        <v>26.10.2023</v>
      </c>
      <c r="AS952" t="str">
        <v>15:51:42</v>
      </c>
      <c r="AT952">
        <f t="shared" si="235"/>
        <v>15.816666666667032</v>
      </c>
      <c r="AU952">
        <f t="shared" si="230"/>
        <v>12.149999999999991</v>
      </c>
      <c r="AV952">
        <f t="shared" si="231"/>
        <v>0.45</v>
      </c>
      <c r="AW952">
        <f t="shared" si="223"/>
        <v>1.6424999999999996</v>
      </c>
    </row>
    <row r="953" spans="1:49" x14ac:dyDescent="0.25">
      <c r="A953" t="s">
        <v>2422</v>
      </c>
      <c r="B953">
        <v>0.9</v>
      </c>
      <c r="C953">
        <v>24.01</v>
      </c>
      <c r="E953" t="s">
        <v>2422</v>
      </c>
      <c r="F953">
        <v>0.6</v>
      </c>
      <c r="G953">
        <v>94.56</v>
      </c>
      <c r="I953" t="str" cm="1">
        <f t="array" ref="I953:J953">_xlfn.TEXTSPLIT(A953," ")</f>
        <v>27.10.2023</v>
      </c>
      <c r="J953" t="str">
        <v>15:52:35</v>
      </c>
      <c r="K953">
        <f t="shared" si="232"/>
        <v>15.8333333333337</v>
      </c>
      <c r="L953">
        <f t="shared" si="225"/>
        <v>9.6900000000000013</v>
      </c>
      <c r="M953">
        <f t="shared" si="226"/>
        <v>0.9</v>
      </c>
      <c r="N953">
        <f t="shared" si="220"/>
        <v>0.93749999999999989</v>
      </c>
      <c r="Q953" t="str" cm="1">
        <f t="array" ref="Q953:R953">_xlfn.TEXTSPLIT(E953," ")</f>
        <v>27.10.2023</v>
      </c>
      <c r="R953" t="str">
        <v>15:52:35</v>
      </c>
      <c r="S953">
        <f t="shared" si="233"/>
        <v>15.8333333333337</v>
      </c>
      <c r="T953">
        <f t="shared" si="224"/>
        <v>15.960000000000008</v>
      </c>
      <c r="U953">
        <f t="shared" si="227"/>
        <v>0.6</v>
      </c>
      <c r="V953">
        <f t="shared" si="221"/>
        <v>1.5799999999999996</v>
      </c>
      <c r="AC953" t="s">
        <v>2423</v>
      </c>
      <c r="AD953">
        <v>0.45</v>
      </c>
      <c r="AE953">
        <v>10.81</v>
      </c>
      <c r="AG953" t="str" cm="1">
        <f t="array" ref="AG953:AH953">_xlfn.TEXTSPLIT(AC954," ")</f>
        <v>26.10.2023</v>
      </c>
      <c r="AH953" t="str">
        <v>15:53:43</v>
      </c>
      <c r="AI953">
        <f t="shared" si="234"/>
        <v>15.8333333333337</v>
      </c>
      <c r="AJ953">
        <f t="shared" si="228"/>
        <v>6.28</v>
      </c>
      <c r="AK953">
        <f t="shared" si="229"/>
        <v>0.45</v>
      </c>
      <c r="AL953">
        <f t="shared" si="222"/>
        <v>2.1599999999999993</v>
      </c>
      <c r="AN953" t="s">
        <v>2423</v>
      </c>
      <c r="AO953">
        <v>0.3</v>
      </c>
      <c r="AP953">
        <v>73.459999999999994</v>
      </c>
      <c r="AR953" t="str" cm="1">
        <f t="array" ref="AR953:AS953">_xlfn.TEXTSPLIT(AN953," ")</f>
        <v>26.10.2023</v>
      </c>
      <c r="AS953" t="str">
        <v>15:52:42</v>
      </c>
      <c r="AT953">
        <f t="shared" si="235"/>
        <v>15.8333333333337</v>
      </c>
      <c r="AU953">
        <f t="shared" si="230"/>
        <v>12.149999999999991</v>
      </c>
      <c r="AV953">
        <f t="shared" si="231"/>
        <v>0.3</v>
      </c>
      <c r="AW953">
        <f t="shared" si="223"/>
        <v>1.6449999999999998</v>
      </c>
    </row>
    <row r="954" spans="1:49" x14ac:dyDescent="0.25">
      <c r="A954" t="s">
        <v>2424</v>
      </c>
      <c r="B954">
        <v>0</v>
      </c>
      <c r="C954">
        <v>24.01</v>
      </c>
      <c r="E954" t="s">
        <v>2424</v>
      </c>
      <c r="F954">
        <v>0.6</v>
      </c>
      <c r="G954">
        <v>94.57</v>
      </c>
      <c r="I954" t="str" cm="1">
        <f t="array" ref="I954:J954">_xlfn.TEXTSPLIT(A954," ")</f>
        <v>27.10.2023</v>
      </c>
      <c r="J954" t="str">
        <v>15:53:35</v>
      </c>
      <c r="K954">
        <f t="shared" si="232"/>
        <v>15.850000000000367</v>
      </c>
      <c r="L954">
        <f t="shared" si="225"/>
        <v>9.6900000000000013</v>
      </c>
      <c r="M954">
        <f t="shared" si="226"/>
        <v>0</v>
      </c>
      <c r="N954">
        <f t="shared" si="220"/>
        <v>0.93749999999999989</v>
      </c>
      <c r="Q954" t="str" cm="1">
        <f t="array" ref="Q954:R954">_xlfn.TEXTSPLIT(E954," ")</f>
        <v>27.10.2023</v>
      </c>
      <c r="R954" t="str">
        <v>15:53:35</v>
      </c>
      <c r="S954">
        <f t="shared" si="233"/>
        <v>15.850000000000367</v>
      </c>
      <c r="T954">
        <f t="shared" si="224"/>
        <v>15.969999999999999</v>
      </c>
      <c r="U954">
        <f t="shared" si="227"/>
        <v>0.6</v>
      </c>
      <c r="V954">
        <f t="shared" si="221"/>
        <v>1.5774999999999997</v>
      </c>
      <c r="AC954" t="s">
        <v>2425</v>
      </c>
      <c r="AD954">
        <v>0.3</v>
      </c>
      <c r="AE954">
        <v>10.81</v>
      </c>
      <c r="AG954" t="str" cm="1">
        <f t="array" ref="AG954:AH954">_xlfn.TEXTSPLIT(AC955," ")</f>
        <v>26.10.2023</v>
      </c>
      <c r="AH954" t="str">
        <v>15:54:43</v>
      </c>
      <c r="AI954">
        <f t="shared" si="234"/>
        <v>15.850000000000367</v>
      </c>
      <c r="AJ954">
        <f t="shared" si="228"/>
        <v>6.28</v>
      </c>
      <c r="AK954">
        <f t="shared" si="229"/>
        <v>0.3</v>
      </c>
      <c r="AL954">
        <f t="shared" si="222"/>
        <v>2.1574999999999998</v>
      </c>
      <c r="AN954" t="s">
        <v>2425</v>
      </c>
      <c r="AO954">
        <v>0</v>
      </c>
      <c r="AP954">
        <v>73.459999999999994</v>
      </c>
      <c r="AR954" t="str" cm="1">
        <f t="array" ref="AR954:AS954">_xlfn.TEXTSPLIT(AN954," ")</f>
        <v>26.10.2023</v>
      </c>
      <c r="AS954" t="str">
        <v>15:53:43</v>
      </c>
      <c r="AT954">
        <f t="shared" si="235"/>
        <v>15.850000000000367</v>
      </c>
      <c r="AU954">
        <f t="shared" si="230"/>
        <v>12.149999999999991</v>
      </c>
      <c r="AV954">
        <f t="shared" si="231"/>
        <v>0</v>
      </c>
      <c r="AW954">
        <f t="shared" si="223"/>
        <v>1.6449999999999998</v>
      </c>
    </row>
    <row r="955" spans="1:49" x14ac:dyDescent="0.25">
      <c r="A955" t="s">
        <v>2426</v>
      </c>
      <c r="B955">
        <v>0</v>
      </c>
      <c r="C955">
        <v>24.01</v>
      </c>
      <c r="E955" t="s">
        <v>2426</v>
      </c>
      <c r="F955">
        <v>0.6</v>
      </c>
      <c r="G955">
        <v>94.58</v>
      </c>
      <c r="I955" t="str" cm="1">
        <f t="array" ref="I955:J955">_xlfn.TEXTSPLIT(A955," ")</f>
        <v>27.10.2023</v>
      </c>
      <c r="J955" t="str">
        <v>15:54:35</v>
      </c>
      <c r="K955">
        <f t="shared" si="232"/>
        <v>15.866666666667035</v>
      </c>
      <c r="L955">
        <f t="shared" si="225"/>
        <v>9.6900000000000013</v>
      </c>
      <c r="M955">
        <f t="shared" si="226"/>
        <v>0</v>
      </c>
      <c r="N955">
        <f t="shared" si="220"/>
        <v>0.93749999999999989</v>
      </c>
      <c r="Q955" t="str" cm="1">
        <f t="array" ref="Q955:R955">_xlfn.TEXTSPLIT(E955," ")</f>
        <v>27.10.2023</v>
      </c>
      <c r="R955" t="str">
        <v>15:54:35</v>
      </c>
      <c r="S955">
        <f t="shared" si="233"/>
        <v>15.866666666667035</v>
      </c>
      <c r="T955">
        <f t="shared" si="224"/>
        <v>15.980000000000004</v>
      </c>
      <c r="U955">
        <f t="shared" si="227"/>
        <v>0.6</v>
      </c>
      <c r="V955">
        <f t="shared" si="221"/>
        <v>1.5749999999999995</v>
      </c>
      <c r="AC955" t="s">
        <v>2427</v>
      </c>
      <c r="AD955">
        <v>0</v>
      </c>
      <c r="AE955">
        <v>10.81</v>
      </c>
      <c r="AG955" t="str" cm="1">
        <f t="array" ref="AG955:AH955">_xlfn.TEXTSPLIT(AC956," ")</f>
        <v>26.10.2023</v>
      </c>
      <c r="AH955" t="str">
        <v>15:55:43</v>
      </c>
      <c r="AI955">
        <f t="shared" si="234"/>
        <v>15.866666666667035</v>
      </c>
      <c r="AJ955">
        <f t="shared" si="228"/>
        <v>6.28</v>
      </c>
      <c r="AK955">
        <f t="shared" si="229"/>
        <v>0</v>
      </c>
      <c r="AL955">
        <f t="shared" si="222"/>
        <v>2.1574999999999998</v>
      </c>
      <c r="AN955" t="s">
        <v>2427</v>
      </c>
      <c r="AO955">
        <v>0</v>
      </c>
      <c r="AP955">
        <v>73.459999999999994</v>
      </c>
      <c r="AR955" t="str" cm="1">
        <f t="array" ref="AR955:AS955">_xlfn.TEXTSPLIT(AN955," ")</f>
        <v>26.10.2023</v>
      </c>
      <c r="AS955" t="str">
        <v>15:54:43</v>
      </c>
      <c r="AT955">
        <f t="shared" si="235"/>
        <v>15.866666666667035</v>
      </c>
      <c r="AU955">
        <f t="shared" si="230"/>
        <v>12.149999999999991</v>
      </c>
      <c r="AV955">
        <f t="shared" si="231"/>
        <v>0</v>
      </c>
      <c r="AW955">
        <f t="shared" si="223"/>
        <v>1.6449999999999998</v>
      </c>
    </row>
    <row r="956" spans="1:49" x14ac:dyDescent="0.25">
      <c r="A956" t="s">
        <v>2428</v>
      </c>
      <c r="B956">
        <v>0</v>
      </c>
      <c r="C956">
        <v>24.01</v>
      </c>
      <c r="E956" t="s">
        <v>2428</v>
      </c>
      <c r="F956">
        <v>0.75</v>
      </c>
      <c r="G956">
        <v>94.59</v>
      </c>
      <c r="I956" t="str" cm="1">
        <f t="array" ref="I956:J956">_xlfn.TEXTSPLIT(A956," ")</f>
        <v>27.10.2023</v>
      </c>
      <c r="J956" t="str">
        <v>15:55:35</v>
      </c>
      <c r="K956">
        <f t="shared" si="232"/>
        <v>15.883333333333702</v>
      </c>
      <c r="L956">
        <f t="shared" si="225"/>
        <v>9.6900000000000013</v>
      </c>
      <c r="M956">
        <f t="shared" si="226"/>
        <v>0</v>
      </c>
      <c r="N956">
        <f t="shared" si="220"/>
        <v>0.93249999999999977</v>
      </c>
      <c r="Q956" t="str" cm="1">
        <f t="array" ref="Q956:R956">_xlfn.TEXTSPLIT(E956," ")</f>
        <v>27.10.2023</v>
      </c>
      <c r="R956" t="str">
        <v>15:55:35</v>
      </c>
      <c r="S956">
        <f t="shared" si="233"/>
        <v>15.883333333333702</v>
      </c>
      <c r="T956">
        <f t="shared" si="224"/>
        <v>15.990000000000009</v>
      </c>
      <c r="U956">
        <f t="shared" si="227"/>
        <v>0.75</v>
      </c>
      <c r="V956">
        <f t="shared" si="221"/>
        <v>1.5724999999999993</v>
      </c>
      <c r="AC956" t="s">
        <v>2429</v>
      </c>
      <c r="AD956">
        <v>0</v>
      </c>
      <c r="AE956">
        <v>10.81</v>
      </c>
      <c r="AG956" t="str" cm="1">
        <f t="array" ref="AG956:AH956">_xlfn.TEXTSPLIT(AC957," ")</f>
        <v>26.10.2023</v>
      </c>
      <c r="AH956" t="str">
        <v>15:56:43</v>
      </c>
      <c r="AI956">
        <f t="shared" si="234"/>
        <v>15.883333333333702</v>
      </c>
      <c r="AJ956">
        <f t="shared" si="228"/>
        <v>6.28</v>
      </c>
      <c r="AK956">
        <f t="shared" si="229"/>
        <v>0</v>
      </c>
      <c r="AL956">
        <f t="shared" si="222"/>
        <v>2.1574999999999998</v>
      </c>
      <c r="AN956" t="s">
        <v>2429</v>
      </c>
      <c r="AO956">
        <v>0.15</v>
      </c>
      <c r="AP956">
        <v>73.47</v>
      </c>
      <c r="AR956" t="str" cm="1">
        <f t="array" ref="AR956:AS956">_xlfn.TEXTSPLIT(AN956," ")</f>
        <v>26.10.2023</v>
      </c>
      <c r="AS956" t="str">
        <v>15:55:43</v>
      </c>
      <c r="AT956">
        <f t="shared" si="235"/>
        <v>15.883333333333702</v>
      </c>
      <c r="AU956">
        <f t="shared" si="230"/>
        <v>12.159999999999997</v>
      </c>
      <c r="AV956">
        <f t="shared" si="231"/>
        <v>0.15</v>
      </c>
      <c r="AW956">
        <f t="shared" si="223"/>
        <v>1.6475</v>
      </c>
    </row>
    <row r="957" spans="1:49" x14ac:dyDescent="0.25">
      <c r="A957" t="s">
        <v>2430</v>
      </c>
      <c r="B957">
        <v>0.3</v>
      </c>
      <c r="C957">
        <v>24.02</v>
      </c>
      <c r="E957" t="s">
        <v>2430</v>
      </c>
      <c r="F957">
        <v>1.05</v>
      </c>
      <c r="G957">
        <v>94.61</v>
      </c>
      <c r="I957" t="str" cm="1">
        <f t="array" ref="I957:J957">_xlfn.TEXTSPLIT(A957," ")</f>
        <v>27.10.2023</v>
      </c>
      <c r="J957" t="str">
        <v>15:56:35</v>
      </c>
      <c r="K957">
        <f t="shared" si="232"/>
        <v>15.90000000000037</v>
      </c>
      <c r="L957">
        <f t="shared" si="225"/>
        <v>9.6999999999999993</v>
      </c>
      <c r="M957">
        <f t="shared" si="226"/>
        <v>0.3</v>
      </c>
      <c r="N957">
        <f t="shared" si="220"/>
        <v>0.92999999999999983</v>
      </c>
      <c r="Q957" t="str" cm="1">
        <f t="array" ref="Q957:R957">_xlfn.TEXTSPLIT(E957," ")</f>
        <v>27.10.2023</v>
      </c>
      <c r="R957" t="str">
        <v>15:56:35</v>
      </c>
      <c r="S957">
        <f t="shared" si="233"/>
        <v>15.90000000000037</v>
      </c>
      <c r="T957">
        <f t="shared" si="224"/>
        <v>16.010000000000005</v>
      </c>
      <c r="U957">
        <f t="shared" si="227"/>
        <v>1.05</v>
      </c>
      <c r="V957">
        <f t="shared" si="221"/>
        <v>1.5724999999999993</v>
      </c>
      <c r="AC957" t="s">
        <v>2431</v>
      </c>
      <c r="AD957">
        <v>0</v>
      </c>
      <c r="AE957">
        <v>10.81</v>
      </c>
      <c r="AG957" t="str" cm="1">
        <f t="array" ref="AG957:AH957">_xlfn.TEXTSPLIT(AC958," ")</f>
        <v>26.10.2023</v>
      </c>
      <c r="AH957" t="str">
        <v>15:57:43</v>
      </c>
      <c r="AI957">
        <f t="shared" si="234"/>
        <v>15.90000000000037</v>
      </c>
      <c r="AJ957">
        <f t="shared" si="228"/>
        <v>6.28</v>
      </c>
      <c r="AK957">
        <f t="shared" si="229"/>
        <v>0</v>
      </c>
      <c r="AL957">
        <f t="shared" si="222"/>
        <v>2.1574999999999998</v>
      </c>
      <c r="AN957" t="s">
        <v>2431</v>
      </c>
      <c r="AO957">
        <v>0</v>
      </c>
      <c r="AP957">
        <v>73.47</v>
      </c>
      <c r="AR957" t="str" cm="1">
        <f t="array" ref="AR957:AS957">_xlfn.TEXTSPLIT(AN957," ")</f>
        <v>26.10.2023</v>
      </c>
      <c r="AS957" t="str">
        <v>15:56:43</v>
      </c>
      <c r="AT957">
        <f t="shared" si="235"/>
        <v>15.90000000000037</v>
      </c>
      <c r="AU957">
        <f t="shared" si="230"/>
        <v>12.159999999999997</v>
      </c>
      <c r="AV957">
        <f t="shared" si="231"/>
        <v>0</v>
      </c>
      <c r="AW957">
        <f t="shared" si="223"/>
        <v>1.6449999999999998</v>
      </c>
    </row>
    <row r="958" spans="1:49" x14ac:dyDescent="0.25">
      <c r="A958" t="s">
        <v>2432</v>
      </c>
      <c r="B958">
        <v>0.6</v>
      </c>
      <c r="C958">
        <v>24.03</v>
      </c>
      <c r="E958" t="s">
        <v>2432</v>
      </c>
      <c r="F958">
        <v>1.35</v>
      </c>
      <c r="G958">
        <v>94.63</v>
      </c>
      <c r="I958" t="str" cm="1">
        <f t="array" ref="I958:J958">_xlfn.TEXTSPLIT(A958," ")</f>
        <v>27.10.2023</v>
      </c>
      <c r="J958" t="str">
        <v>15:57:35</v>
      </c>
      <c r="K958">
        <f t="shared" si="232"/>
        <v>15.916666666667037</v>
      </c>
      <c r="L958">
        <f t="shared" si="225"/>
        <v>9.7100000000000009</v>
      </c>
      <c r="M958">
        <f t="shared" si="226"/>
        <v>0.6</v>
      </c>
      <c r="N958">
        <f t="shared" si="220"/>
        <v>0.93249999999999988</v>
      </c>
      <c r="Q958" t="str" cm="1">
        <f t="array" ref="Q958:R958">_xlfn.TEXTSPLIT(E958," ")</f>
        <v>27.10.2023</v>
      </c>
      <c r="R958" t="str">
        <v>15:57:35</v>
      </c>
      <c r="S958">
        <f t="shared" si="233"/>
        <v>15.916666666667037</v>
      </c>
      <c r="T958">
        <f t="shared" si="224"/>
        <v>16.03</v>
      </c>
      <c r="U958">
        <f t="shared" si="227"/>
        <v>1.35</v>
      </c>
      <c r="V958">
        <f t="shared" si="221"/>
        <v>1.5674999999999992</v>
      </c>
      <c r="AC958" t="s">
        <v>2433</v>
      </c>
      <c r="AD958">
        <v>0</v>
      </c>
      <c r="AE958">
        <v>10.81</v>
      </c>
      <c r="AG958" t="str" cm="1">
        <f t="array" ref="AG958:AH958">_xlfn.TEXTSPLIT(AC959," ")</f>
        <v>26.10.2023</v>
      </c>
      <c r="AH958" t="str">
        <v>15:58:43</v>
      </c>
      <c r="AI958">
        <f t="shared" si="234"/>
        <v>15.916666666667037</v>
      </c>
      <c r="AJ958">
        <f t="shared" si="228"/>
        <v>6.28</v>
      </c>
      <c r="AK958">
        <f t="shared" si="229"/>
        <v>0</v>
      </c>
      <c r="AL958">
        <f t="shared" si="222"/>
        <v>2.1574999999999998</v>
      </c>
      <c r="AN958" t="s">
        <v>2433</v>
      </c>
      <c r="AO958">
        <v>0.15</v>
      </c>
      <c r="AP958">
        <v>73.47</v>
      </c>
      <c r="AR958" t="str" cm="1">
        <f t="array" ref="AR958:AS958">_xlfn.TEXTSPLIT(AN958," ")</f>
        <v>26.10.2023</v>
      </c>
      <c r="AS958" t="str">
        <v>15:57:43</v>
      </c>
      <c r="AT958">
        <f t="shared" si="235"/>
        <v>15.916666666667037</v>
      </c>
      <c r="AU958">
        <f t="shared" si="230"/>
        <v>12.159999999999997</v>
      </c>
      <c r="AV958">
        <f t="shared" si="231"/>
        <v>0.15</v>
      </c>
      <c r="AW958">
        <f t="shared" si="223"/>
        <v>1.6449999999999998</v>
      </c>
    </row>
    <row r="959" spans="1:49" x14ac:dyDescent="0.25">
      <c r="A959" t="s">
        <v>2434</v>
      </c>
      <c r="B959">
        <v>0.6</v>
      </c>
      <c r="C959">
        <v>24.04</v>
      </c>
      <c r="E959" t="s">
        <v>2434</v>
      </c>
      <c r="F959">
        <v>1.5</v>
      </c>
      <c r="G959">
        <v>94.65</v>
      </c>
      <c r="I959" t="str" cm="1">
        <f t="array" ref="I959:J959">_xlfn.TEXTSPLIT(A959," ")</f>
        <v>27.10.2023</v>
      </c>
      <c r="J959" t="str">
        <v>15:58:35</v>
      </c>
      <c r="K959">
        <f t="shared" si="232"/>
        <v>15.933333333333705</v>
      </c>
      <c r="L959">
        <f t="shared" si="225"/>
        <v>9.7199999999999989</v>
      </c>
      <c r="M959">
        <f t="shared" si="226"/>
        <v>0.6</v>
      </c>
      <c r="N959">
        <f t="shared" ref="N959:N1022" si="236">AVERAGE(M900:M959)</f>
        <v>0.93749999999999989</v>
      </c>
      <c r="Q959" t="str" cm="1">
        <f t="array" ref="Q959:R959">_xlfn.TEXTSPLIT(E959," ")</f>
        <v>27.10.2023</v>
      </c>
      <c r="R959" t="str">
        <v>15:58:35</v>
      </c>
      <c r="S959">
        <f t="shared" si="233"/>
        <v>15.933333333333705</v>
      </c>
      <c r="T959">
        <f t="shared" si="224"/>
        <v>16.050000000000011</v>
      </c>
      <c r="U959">
        <f t="shared" si="227"/>
        <v>1.5</v>
      </c>
      <c r="V959">
        <f t="shared" ref="V959:V1022" si="237">AVERAGE(U900:U959)</f>
        <v>1.5624999999999993</v>
      </c>
      <c r="AC959" t="s">
        <v>2435</v>
      </c>
      <c r="AD959">
        <v>0</v>
      </c>
      <c r="AE959">
        <v>10.81</v>
      </c>
      <c r="AG959" t="str" cm="1">
        <f t="array" ref="AG959:AH959">_xlfn.TEXTSPLIT(AC960," ")</f>
        <v>26.10.2023</v>
      </c>
      <c r="AH959" t="str">
        <v>15:59:44</v>
      </c>
      <c r="AI959">
        <f t="shared" si="234"/>
        <v>15.933333333333705</v>
      </c>
      <c r="AJ959">
        <f t="shared" si="228"/>
        <v>6.28</v>
      </c>
      <c r="AK959">
        <f t="shared" si="229"/>
        <v>0</v>
      </c>
      <c r="AL959">
        <f t="shared" ref="AL959:AL1022" si="238">AVERAGE(AK900:AK959)</f>
        <v>2.1574999999999998</v>
      </c>
      <c r="AN959" t="s">
        <v>2435</v>
      </c>
      <c r="AO959">
        <v>0.15</v>
      </c>
      <c r="AP959">
        <v>73.47</v>
      </c>
      <c r="AR959" t="str" cm="1">
        <f t="array" ref="AR959:AS959">_xlfn.TEXTSPLIT(AN959," ")</f>
        <v>26.10.2023</v>
      </c>
      <c r="AS959" t="str">
        <v>15:58:43</v>
      </c>
      <c r="AT959">
        <f t="shared" si="235"/>
        <v>15.933333333333705</v>
      </c>
      <c r="AU959">
        <f t="shared" si="230"/>
        <v>12.159999999999997</v>
      </c>
      <c r="AV959">
        <f t="shared" si="231"/>
        <v>0.15</v>
      </c>
      <c r="AW959">
        <f t="shared" ref="AW959:AW1022" si="239">AVERAGE(AV900:AV959)</f>
        <v>1.6475</v>
      </c>
    </row>
    <row r="960" spans="1:49" x14ac:dyDescent="0.25">
      <c r="A960" t="s">
        <v>2436</v>
      </c>
      <c r="B960">
        <v>0.45</v>
      </c>
      <c r="C960">
        <v>24.05</v>
      </c>
      <c r="E960" t="s">
        <v>2436</v>
      </c>
      <c r="F960">
        <v>1.05</v>
      </c>
      <c r="G960">
        <v>94.67</v>
      </c>
      <c r="I960" t="str" cm="1">
        <f t="array" ref="I960:J960">_xlfn.TEXTSPLIT(A960," ")</f>
        <v>27.10.2023</v>
      </c>
      <c r="J960" t="str">
        <v>15:59:35</v>
      </c>
      <c r="K960">
        <f t="shared" si="232"/>
        <v>15.950000000000372</v>
      </c>
      <c r="L960">
        <f t="shared" si="225"/>
        <v>9.73</v>
      </c>
      <c r="M960">
        <f t="shared" si="226"/>
        <v>0.45</v>
      </c>
      <c r="N960">
        <f t="shared" si="236"/>
        <v>0.9325</v>
      </c>
      <c r="Q960" t="str" cm="1">
        <f t="array" ref="Q960:R960">_xlfn.TEXTSPLIT(E960," ")</f>
        <v>27.10.2023</v>
      </c>
      <c r="R960" t="str">
        <v>15:59:35</v>
      </c>
      <c r="S960">
        <f t="shared" si="233"/>
        <v>15.950000000000372</v>
      </c>
      <c r="T960">
        <f t="shared" si="224"/>
        <v>16.070000000000007</v>
      </c>
      <c r="U960">
        <f t="shared" si="227"/>
        <v>1.05</v>
      </c>
      <c r="V960">
        <f t="shared" si="237"/>
        <v>1.5599999999999992</v>
      </c>
      <c r="AC960" t="s">
        <v>2437</v>
      </c>
      <c r="AD960">
        <v>0</v>
      </c>
      <c r="AE960">
        <v>10.81</v>
      </c>
      <c r="AG960" t="str" cm="1">
        <f t="array" ref="AG960:AH960">_xlfn.TEXTSPLIT(AC961," ")</f>
        <v>26.10.2023</v>
      </c>
      <c r="AH960" t="str">
        <v>16:00:44</v>
      </c>
      <c r="AI960">
        <f t="shared" si="234"/>
        <v>15.950000000000372</v>
      </c>
      <c r="AJ960">
        <f t="shared" si="228"/>
        <v>6.28</v>
      </c>
      <c r="AK960">
        <f t="shared" si="229"/>
        <v>0</v>
      </c>
      <c r="AL960">
        <f t="shared" si="238"/>
        <v>2.1574999999999998</v>
      </c>
      <c r="AN960" t="s">
        <v>2437</v>
      </c>
      <c r="AO960">
        <v>0.3</v>
      </c>
      <c r="AP960">
        <v>73.48</v>
      </c>
      <c r="AR960" t="str" cm="1">
        <f t="array" ref="AR960:AS960">_xlfn.TEXTSPLIT(AN960," ")</f>
        <v>26.10.2023</v>
      </c>
      <c r="AS960" t="str">
        <v>15:59:44</v>
      </c>
      <c r="AT960">
        <f t="shared" si="235"/>
        <v>15.950000000000372</v>
      </c>
      <c r="AU960">
        <f t="shared" si="230"/>
        <v>12.170000000000002</v>
      </c>
      <c r="AV960">
        <f t="shared" si="231"/>
        <v>0.3</v>
      </c>
      <c r="AW960">
        <f t="shared" si="239"/>
        <v>1.6475</v>
      </c>
    </row>
    <row r="961" spans="1:49" x14ac:dyDescent="0.25">
      <c r="A961" t="s">
        <v>2438</v>
      </c>
      <c r="B961">
        <v>0.45</v>
      </c>
      <c r="C961">
        <v>24.06</v>
      </c>
      <c r="E961" t="s">
        <v>2438</v>
      </c>
      <c r="F961">
        <v>1.05</v>
      </c>
      <c r="G961">
        <v>94.69</v>
      </c>
      <c r="I961" t="str" cm="1">
        <f t="array" ref="I961:J961">_xlfn.TEXTSPLIT(A961," ")</f>
        <v>27.10.2023</v>
      </c>
      <c r="J961" t="str">
        <v>16:00:35</v>
      </c>
      <c r="K961">
        <f t="shared" si="232"/>
        <v>15.96666666666704</v>
      </c>
      <c r="L961">
        <f t="shared" si="225"/>
        <v>9.7399999999999984</v>
      </c>
      <c r="M961">
        <f t="shared" si="226"/>
        <v>0.45</v>
      </c>
      <c r="N961">
        <f t="shared" si="236"/>
        <v>0.9325</v>
      </c>
      <c r="Q961" t="str" cm="1">
        <f t="array" ref="Q961:R961">_xlfn.TEXTSPLIT(E961," ")</f>
        <v>27.10.2023</v>
      </c>
      <c r="R961" t="str">
        <v>16:00:35</v>
      </c>
      <c r="S961">
        <f t="shared" si="233"/>
        <v>15.96666666666704</v>
      </c>
      <c r="T961">
        <f t="shared" si="224"/>
        <v>16.090000000000003</v>
      </c>
      <c r="U961">
        <f t="shared" si="227"/>
        <v>1.05</v>
      </c>
      <c r="V961">
        <f t="shared" si="237"/>
        <v>1.5624999999999993</v>
      </c>
      <c r="AC961" t="s">
        <v>2439</v>
      </c>
      <c r="AD961">
        <v>0</v>
      </c>
      <c r="AE961">
        <v>10.81</v>
      </c>
      <c r="AG961" t="str" cm="1">
        <f t="array" ref="AG961:AH961">_xlfn.TEXTSPLIT(AC962," ")</f>
        <v>26.10.2023</v>
      </c>
      <c r="AH961" t="str">
        <v>16:01:44</v>
      </c>
      <c r="AI961">
        <f t="shared" si="234"/>
        <v>15.96666666666704</v>
      </c>
      <c r="AJ961">
        <f t="shared" si="228"/>
        <v>6.28</v>
      </c>
      <c r="AK961">
        <f t="shared" si="229"/>
        <v>0</v>
      </c>
      <c r="AL961">
        <f t="shared" si="238"/>
        <v>2.1574999999999998</v>
      </c>
      <c r="AN961" t="s">
        <v>2439</v>
      </c>
      <c r="AO961">
        <v>0.3</v>
      </c>
      <c r="AP961">
        <v>73.489999999999995</v>
      </c>
      <c r="AR961" t="str" cm="1">
        <f t="array" ref="AR961:AS961">_xlfn.TEXTSPLIT(AN961," ")</f>
        <v>26.10.2023</v>
      </c>
      <c r="AS961" t="str">
        <v>16:00:44</v>
      </c>
      <c r="AT961">
        <f t="shared" si="235"/>
        <v>15.96666666666704</v>
      </c>
      <c r="AU961">
        <f t="shared" si="230"/>
        <v>12.179999999999993</v>
      </c>
      <c r="AV961">
        <f t="shared" si="231"/>
        <v>0.3</v>
      </c>
      <c r="AW961">
        <f t="shared" si="239"/>
        <v>1.65</v>
      </c>
    </row>
    <row r="962" spans="1:49" x14ac:dyDescent="0.25">
      <c r="A962" t="s">
        <v>2440</v>
      </c>
      <c r="B962">
        <v>0.6</v>
      </c>
      <c r="C962">
        <v>24.06</v>
      </c>
      <c r="E962" t="s">
        <v>2440</v>
      </c>
      <c r="F962">
        <v>1.05</v>
      </c>
      <c r="G962">
        <v>94.7</v>
      </c>
      <c r="I962" t="str" cm="1">
        <f t="array" ref="I962:J962">_xlfn.TEXTSPLIT(A962," ")</f>
        <v>27.10.2023</v>
      </c>
      <c r="J962" t="str">
        <v>16:01:35</v>
      </c>
      <c r="K962">
        <f t="shared" si="232"/>
        <v>15.983333333333707</v>
      </c>
      <c r="L962">
        <f t="shared" si="225"/>
        <v>9.7399999999999984</v>
      </c>
      <c r="M962">
        <f t="shared" si="226"/>
        <v>0.6</v>
      </c>
      <c r="N962">
        <f t="shared" si="236"/>
        <v>0.93</v>
      </c>
      <c r="Q962" t="str" cm="1">
        <f t="array" ref="Q962:R962">_xlfn.TEXTSPLIT(E962," ")</f>
        <v>27.10.2023</v>
      </c>
      <c r="R962" t="str">
        <v>16:01:35</v>
      </c>
      <c r="S962">
        <f t="shared" si="233"/>
        <v>15.983333333333707</v>
      </c>
      <c r="T962">
        <f t="shared" si="224"/>
        <v>16.100000000000009</v>
      </c>
      <c r="U962">
        <f t="shared" si="227"/>
        <v>1.05</v>
      </c>
      <c r="V962">
        <f t="shared" si="237"/>
        <v>1.557499999999999</v>
      </c>
      <c r="AC962" t="s">
        <v>2441</v>
      </c>
      <c r="AD962">
        <v>0</v>
      </c>
      <c r="AE962">
        <v>10.81</v>
      </c>
      <c r="AG962" t="str" cm="1">
        <f t="array" ref="AG962:AH962">_xlfn.TEXTSPLIT(AC963," ")</f>
        <v>26.10.2023</v>
      </c>
      <c r="AH962" t="str">
        <v>16:02:44</v>
      </c>
      <c r="AI962">
        <f t="shared" si="234"/>
        <v>15.983333333333707</v>
      </c>
      <c r="AJ962">
        <f t="shared" si="228"/>
        <v>6.28</v>
      </c>
      <c r="AK962">
        <f t="shared" si="229"/>
        <v>0</v>
      </c>
      <c r="AL962">
        <f t="shared" si="238"/>
        <v>2.1574999999999998</v>
      </c>
      <c r="AN962" t="s">
        <v>2441</v>
      </c>
      <c r="AO962">
        <v>0.45</v>
      </c>
      <c r="AP962">
        <v>73.489999999999995</v>
      </c>
      <c r="AR962" t="str" cm="1">
        <f t="array" ref="AR962:AS962">_xlfn.TEXTSPLIT(AN962," ")</f>
        <v>26.10.2023</v>
      </c>
      <c r="AS962" t="str">
        <v>16:01:44</v>
      </c>
      <c r="AT962">
        <f t="shared" si="235"/>
        <v>15.983333333333707</v>
      </c>
      <c r="AU962">
        <f t="shared" si="230"/>
        <v>12.179999999999993</v>
      </c>
      <c r="AV962">
        <f t="shared" si="231"/>
        <v>0.45</v>
      </c>
      <c r="AW962">
        <f t="shared" si="239"/>
        <v>1.6524999999999999</v>
      </c>
    </row>
    <row r="963" spans="1:49" x14ac:dyDescent="0.25">
      <c r="A963" t="s">
        <v>2442</v>
      </c>
      <c r="B963">
        <v>0.45</v>
      </c>
      <c r="C963">
        <v>24.07</v>
      </c>
      <c r="E963" t="s">
        <v>2442</v>
      </c>
      <c r="F963">
        <v>1.2</v>
      </c>
      <c r="G963">
        <v>94.73</v>
      </c>
      <c r="I963" t="str" cm="1">
        <f t="array" ref="I963:J963">_xlfn.TEXTSPLIT(A963," ")</f>
        <v>27.10.2023</v>
      </c>
      <c r="J963" t="str">
        <v>16:02:35</v>
      </c>
      <c r="K963">
        <f t="shared" si="232"/>
        <v>16.000000000000373</v>
      </c>
      <c r="L963">
        <f t="shared" si="225"/>
        <v>9.75</v>
      </c>
      <c r="M963">
        <f t="shared" si="226"/>
        <v>0.45</v>
      </c>
      <c r="N963">
        <f t="shared" si="236"/>
        <v>0.9225000000000001</v>
      </c>
      <c r="Q963" t="str" cm="1">
        <f t="array" ref="Q963:R963">_xlfn.TEXTSPLIT(E963," ")</f>
        <v>27.10.2023</v>
      </c>
      <c r="R963" t="str">
        <v>16:02:35</v>
      </c>
      <c r="S963">
        <f t="shared" si="233"/>
        <v>16.000000000000373</v>
      </c>
      <c r="T963">
        <f t="shared" ref="T963:T1026" si="240">G963-78.6</f>
        <v>16.13000000000001</v>
      </c>
      <c r="U963">
        <f t="shared" si="227"/>
        <v>1.2</v>
      </c>
      <c r="V963">
        <f t="shared" si="237"/>
        <v>1.544999999999999</v>
      </c>
      <c r="AC963" t="s">
        <v>2443</v>
      </c>
      <c r="AD963">
        <v>0.3</v>
      </c>
      <c r="AE963">
        <v>10.81</v>
      </c>
      <c r="AG963" t="str" cm="1">
        <f t="array" ref="AG963:AH963">_xlfn.TEXTSPLIT(AC964," ")</f>
        <v>26.10.2023</v>
      </c>
      <c r="AH963" t="str">
        <v>16:03:44</v>
      </c>
      <c r="AI963">
        <f t="shared" si="234"/>
        <v>16.000000000000373</v>
      </c>
      <c r="AJ963">
        <f t="shared" si="228"/>
        <v>6.28</v>
      </c>
      <c r="AK963">
        <f t="shared" si="229"/>
        <v>0.3</v>
      </c>
      <c r="AL963">
        <f t="shared" si="238"/>
        <v>2.1625000000000001</v>
      </c>
      <c r="AN963" t="s">
        <v>2443</v>
      </c>
      <c r="AO963">
        <v>0.3</v>
      </c>
      <c r="AP963">
        <v>73.5</v>
      </c>
      <c r="AR963" t="str" cm="1">
        <f t="array" ref="AR963:AS963">_xlfn.TEXTSPLIT(AN963," ")</f>
        <v>26.10.2023</v>
      </c>
      <c r="AS963" t="str">
        <v>16:02:44</v>
      </c>
      <c r="AT963">
        <f t="shared" si="235"/>
        <v>16.000000000000373</v>
      </c>
      <c r="AU963">
        <f t="shared" si="230"/>
        <v>12.189999999999998</v>
      </c>
      <c r="AV963">
        <f t="shared" si="231"/>
        <v>0.3</v>
      </c>
      <c r="AW963">
        <f t="shared" si="239"/>
        <v>1.6524999999999999</v>
      </c>
    </row>
    <row r="964" spans="1:49" x14ac:dyDescent="0.25">
      <c r="A964" t="s">
        <v>2444</v>
      </c>
      <c r="B964">
        <v>0.6</v>
      </c>
      <c r="C964">
        <v>24.08</v>
      </c>
      <c r="E964" t="s">
        <v>2444</v>
      </c>
      <c r="F964">
        <v>1.5</v>
      </c>
      <c r="G964">
        <v>94.76</v>
      </c>
      <c r="I964" t="str" cm="1">
        <f t="array" ref="I964:J964">_xlfn.TEXTSPLIT(A964," ")</f>
        <v>27.10.2023</v>
      </c>
      <c r="J964" t="str">
        <v>16:03:35</v>
      </c>
      <c r="K964">
        <f t="shared" si="232"/>
        <v>16.016666666667039</v>
      </c>
      <c r="L964">
        <f t="shared" ref="L964:L1027" si="241">C964-14.32</f>
        <v>9.759999999999998</v>
      </c>
      <c r="M964">
        <f t="shared" ref="M964:M1027" si="242">B964</f>
        <v>0.6</v>
      </c>
      <c r="N964">
        <f t="shared" si="236"/>
        <v>0.93000000000000016</v>
      </c>
      <c r="Q964" t="str" cm="1">
        <f t="array" ref="Q964:R964">_xlfn.TEXTSPLIT(E964," ")</f>
        <v>27.10.2023</v>
      </c>
      <c r="R964" t="str">
        <v>16:03:35</v>
      </c>
      <c r="S964">
        <f t="shared" si="233"/>
        <v>16.016666666667039</v>
      </c>
      <c r="T964">
        <f t="shared" si="240"/>
        <v>16.160000000000011</v>
      </c>
      <c r="U964">
        <f t="shared" ref="U964:U1027" si="243">F964</f>
        <v>1.5</v>
      </c>
      <c r="V964">
        <f t="shared" si="237"/>
        <v>1.5424999999999993</v>
      </c>
      <c r="AC964" t="s">
        <v>2445</v>
      </c>
      <c r="AD964">
        <v>0</v>
      </c>
      <c r="AE964">
        <v>10.81</v>
      </c>
      <c r="AG964" t="str" cm="1">
        <f t="array" ref="AG964:AH964">_xlfn.TEXTSPLIT(AC965," ")</f>
        <v>26.10.2023</v>
      </c>
      <c r="AH964" t="str">
        <v>16:04:44</v>
      </c>
      <c r="AI964">
        <f t="shared" si="234"/>
        <v>16.016666666667039</v>
      </c>
      <c r="AJ964">
        <f t="shared" ref="AJ964:AJ1027" si="244">AE964-4.53</f>
        <v>6.28</v>
      </c>
      <c r="AK964">
        <f t="shared" ref="AK964:AK1027" si="245">AD964</f>
        <v>0</v>
      </c>
      <c r="AL964">
        <f t="shared" si="238"/>
        <v>2.1625000000000001</v>
      </c>
      <c r="AN964" t="s">
        <v>2445</v>
      </c>
      <c r="AO964">
        <v>0.6</v>
      </c>
      <c r="AP964">
        <v>73.510000000000005</v>
      </c>
      <c r="AR964" t="str" cm="1">
        <f t="array" ref="AR964:AS964">_xlfn.TEXTSPLIT(AN964," ")</f>
        <v>26.10.2023</v>
      </c>
      <c r="AS964" t="str">
        <v>16:03:44</v>
      </c>
      <c r="AT964">
        <f t="shared" si="235"/>
        <v>16.016666666667039</v>
      </c>
      <c r="AU964">
        <f t="shared" ref="AU964:AU1027" si="246">AP964-61.31</f>
        <v>12.200000000000003</v>
      </c>
      <c r="AV964">
        <f t="shared" ref="AV964:AV1027" si="247">AO964</f>
        <v>0.6</v>
      </c>
      <c r="AW964">
        <f t="shared" si="239"/>
        <v>1.66</v>
      </c>
    </row>
    <row r="965" spans="1:49" x14ac:dyDescent="0.25">
      <c r="A965" t="s">
        <v>2446</v>
      </c>
      <c r="B965">
        <v>0.45</v>
      </c>
      <c r="C965">
        <v>24.09</v>
      </c>
      <c r="E965" t="s">
        <v>2446</v>
      </c>
      <c r="F965">
        <v>1.8</v>
      </c>
      <c r="G965">
        <v>94.78</v>
      </c>
      <c r="I965" t="str" cm="1">
        <f t="array" ref="I965:J965">_xlfn.TEXTSPLIT(A965," ")</f>
        <v>27.10.2023</v>
      </c>
      <c r="J965" t="str">
        <v>16:04:36</v>
      </c>
      <c r="K965">
        <f t="shared" ref="K965:K1028" si="248">1/60+K964</f>
        <v>16.033333333333704</v>
      </c>
      <c r="L965">
        <f t="shared" si="241"/>
        <v>9.77</v>
      </c>
      <c r="M965">
        <f t="shared" si="242"/>
        <v>0.45</v>
      </c>
      <c r="N965">
        <f t="shared" si="236"/>
        <v>0.92000000000000015</v>
      </c>
      <c r="Q965" t="str" cm="1">
        <f t="array" ref="Q965:R965">_xlfn.TEXTSPLIT(E965," ")</f>
        <v>27.10.2023</v>
      </c>
      <c r="R965" t="str">
        <v>16:04:36</v>
      </c>
      <c r="S965">
        <f t="shared" ref="S965:S1028" si="249">1/60+S964</f>
        <v>16.033333333333704</v>
      </c>
      <c r="T965">
        <f t="shared" si="240"/>
        <v>16.180000000000007</v>
      </c>
      <c r="U965">
        <f t="shared" si="243"/>
        <v>1.8</v>
      </c>
      <c r="V965">
        <f t="shared" si="237"/>
        <v>1.5524999999999991</v>
      </c>
      <c r="AC965" t="s">
        <v>2447</v>
      </c>
      <c r="AD965">
        <v>0.15</v>
      </c>
      <c r="AE965">
        <v>10.82</v>
      </c>
      <c r="AG965" t="str" cm="1">
        <f t="array" ref="AG965:AH965">_xlfn.TEXTSPLIT(AC966," ")</f>
        <v>26.10.2023</v>
      </c>
      <c r="AH965" t="str">
        <v>16:05:44</v>
      </c>
      <c r="AI965">
        <f t="shared" ref="AI965:AI1028" si="250">1/60+AI964</f>
        <v>16.033333333333704</v>
      </c>
      <c r="AJ965">
        <f t="shared" si="244"/>
        <v>6.29</v>
      </c>
      <c r="AK965">
        <f t="shared" si="245"/>
        <v>0.15</v>
      </c>
      <c r="AL965">
        <f t="shared" si="238"/>
        <v>2.165</v>
      </c>
      <c r="AN965" t="s">
        <v>2447</v>
      </c>
      <c r="AO965">
        <v>0.75</v>
      </c>
      <c r="AP965">
        <v>73.53</v>
      </c>
      <c r="AR965" t="str" cm="1">
        <f t="array" ref="AR965:AS965">_xlfn.TEXTSPLIT(AN965," ")</f>
        <v>26.10.2023</v>
      </c>
      <c r="AS965" t="str">
        <v>16:04:44</v>
      </c>
      <c r="AT965">
        <f t="shared" ref="AT965:AT1028" si="251">1/60+AT964</f>
        <v>16.033333333333704</v>
      </c>
      <c r="AU965">
        <f t="shared" si="246"/>
        <v>12.219999999999999</v>
      </c>
      <c r="AV965">
        <f t="shared" si="247"/>
        <v>0.75</v>
      </c>
      <c r="AW965">
        <f t="shared" si="239"/>
        <v>1.6649999999999996</v>
      </c>
    </row>
    <row r="966" spans="1:49" x14ac:dyDescent="0.25">
      <c r="A966" t="s">
        <v>2448</v>
      </c>
      <c r="B966">
        <v>0.75</v>
      </c>
      <c r="C966">
        <v>24.11</v>
      </c>
      <c r="E966" t="s">
        <v>2448</v>
      </c>
      <c r="F966">
        <v>1.35</v>
      </c>
      <c r="G966">
        <v>94.81</v>
      </c>
      <c r="I966" t="str" cm="1">
        <f t="array" ref="I966:J966">_xlfn.TEXTSPLIT(A966," ")</f>
        <v>27.10.2023</v>
      </c>
      <c r="J966" t="str">
        <v>16:05:36</v>
      </c>
      <c r="K966">
        <f t="shared" si="248"/>
        <v>16.05000000000037</v>
      </c>
      <c r="L966">
        <f t="shared" si="241"/>
        <v>9.7899999999999991</v>
      </c>
      <c r="M966">
        <f t="shared" si="242"/>
        <v>0.75</v>
      </c>
      <c r="N966">
        <f t="shared" si="236"/>
        <v>0.9175000000000002</v>
      </c>
      <c r="Q966" t="str" cm="1">
        <f t="array" ref="Q966:R966">_xlfn.TEXTSPLIT(E966," ")</f>
        <v>27.10.2023</v>
      </c>
      <c r="R966" t="str">
        <v>16:05:36</v>
      </c>
      <c r="S966">
        <f t="shared" si="249"/>
        <v>16.05000000000037</v>
      </c>
      <c r="T966">
        <f t="shared" si="240"/>
        <v>16.210000000000008</v>
      </c>
      <c r="U966">
        <f t="shared" si="243"/>
        <v>1.35</v>
      </c>
      <c r="V966">
        <f t="shared" si="237"/>
        <v>1.554999999999999</v>
      </c>
      <c r="AC966" t="s">
        <v>2449</v>
      </c>
      <c r="AD966">
        <v>0.3</v>
      </c>
      <c r="AE966">
        <v>10.82</v>
      </c>
      <c r="AG966" t="str" cm="1">
        <f t="array" ref="AG966:AH966">_xlfn.TEXTSPLIT(AC967," ")</f>
        <v>26.10.2023</v>
      </c>
      <c r="AH966" t="str">
        <v>16:06:44</v>
      </c>
      <c r="AI966">
        <f t="shared" si="250"/>
        <v>16.05000000000037</v>
      </c>
      <c r="AJ966">
        <f t="shared" si="244"/>
        <v>6.29</v>
      </c>
      <c r="AK966">
        <f t="shared" si="245"/>
        <v>0.3</v>
      </c>
      <c r="AL966">
        <f t="shared" si="238"/>
        <v>2.1700000000000004</v>
      </c>
      <c r="AN966" t="s">
        <v>2449</v>
      </c>
      <c r="AO966">
        <v>0.75</v>
      </c>
      <c r="AP966">
        <v>73.53</v>
      </c>
      <c r="AR966" t="str" cm="1">
        <f t="array" ref="AR966:AS966">_xlfn.TEXTSPLIT(AN966," ")</f>
        <v>26.10.2023</v>
      </c>
      <c r="AS966" t="str">
        <v>16:05:44</v>
      </c>
      <c r="AT966">
        <f t="shared" si="251"/>
        <v>16.05000000000037</v>
      </c>
      <c r="AU966">
        <f t="shared" si="246"/>
        <v>12.219999999999999</v>
      </c>
      <c r="AV966">
        <f t="shared" si="247"/>
        <v>0.75</v>
      </c>
      <c r="AW966">
        <f t="shared" si="239"/>
        <v>1.6699999999999997</v>
      </c>
    </row>
    <row r="967" spans="1:49" x14ac:dyDescent="0.25">
      <c r="A967" t="s">
        <v>2450</v>
      </c>
      <c r="B967">
        <v>0.6</v>
      </c>
      <c r="C967">
        <v>24.11</v>
      </c>
      <c r="E967" t="s">
        <v>2450</v>
      </c>
      <c r="F967">
        <v>1.65</v>
      </c>
      <c r="G967">
        <v>94.85</v>
      </c>
      <c r="I967" t="str" cm="1">
        <f t="array" ref="I967:J967">_xlfn.TEXTSPLIT(A967," ")</f>
        <v>27.10.2023</v>
      </c>
      <c r="J967" t="str">
        <v>16:06:36</v>
      </c>
      <c r="K967">
        <f t="shared" si="248"/>
        <v>16.066666666667036</v>
      </c>
      <c r="L967">
        <f t="shared" si="241"/>
        <v>9.7899999999999991</v>
      </c>
      <c r="M967">
        <f t="shared" si="242"/>
        <v>0.6</v>
      </c>
      <c r="N967">
        <f t="shared" si="236"/>
        <v>0.91500000000000026</v>
      </c>
      <c r="Q967" t="str" cm="1">
        <f t="array" ref="Q967:R967">_xlfn.TEXTSPLIT(E967," ")</f>
        <v>27.10.2023</v>
      </c>
      <c r="R967" t="str">
        <v>16:06:36</v>
      </c>
      <c r="S967">
        <f t="shared" si="249"/>
        <v>16.066666666667036</v>
      </c>
      <c r="T967">
        <f t="shared" si="240"/>
        <v>16.25</v>
      </c>
      <c r="U967">
        <f t="shared" si="243"/>
        <v>1.65</v>
      </c>
      <c r="V967">
        <f t="shared" si="237"/>
        <v>1.544999999999999</v>
      </c>
      <c r="AC967" t="s">
        <v>2451</v>
      </c>
      <c r="AD967">
        <v>0.45</v>
      </c>
      <c r="AE967">
        <v>10.83</v>
      </c>
      <c r="AG967" t="str" cm="1">
        <f t="array" ref="AG967:AH967">_xlfn.TEXTSPLIT(AC968," ")</f>
        <v>26.10.2023</v>
      </c>
      <c r="AH967" t="str">
        <v>16:07:45</v>
      </c>
      <c r="AI967">
        <f t="shared" si="250"/>
        <v>16.066666666667036</v>
      </c>
      <c r="AJ967">
        <f t="shared" si="244"/>
        <v>6.3</v>
      </c>
      <c r="AK967">
        <f t="shared" si="245"/>
        <v>0.45</v>
      </c>
      <c r="AL967">
        <f t="shared" si="238"/>
        <v>2.1775000000000002</v>
      </c>
      <c r="AN967" t="s">
        <v>2451</v>
      </c>
      <c r="AO967">
        <v>0.45</v>
      </c>
      <c r="AP967">
        <v>73.55</v>
      </c>
      <c r="AR967" t="str" cm="1">
        <f t="array" ref="AR967:AS967">_xlfn.TEXTSPLIT(AN967," ")</f>
        <v>26.10.2023</v>
      </c>
      <c r="AS967" t="str">
        <v>16:06:44</v>
      </c>
      <c r="AT967">
        <f t="shared" si="251"/>
        <v>16.066666666667036</v>
      </c>
      <c r="AU967">
        <f t="shared" si="246"/>
        <v>12.239999999999995</v>
      </c>
      <c r="AV967">
        <f t="shared" si="247"/>
        <v>0.45</v>
      </c>
      <c r="AW967">
        <f t="shared" si="239"/>
        <v>1.6724999999999997</v>
      </c>
    </row>
    <row r="968" spans="1:49" x14ac:dyDescent="0.25">
      <c r="A968" t="s">
        <v>2452</v>
      </c>
      <c r="B968">
        <v>0.75</v>
      </c>
      <c r="C968">
        <v>24.14</v>
      </c>
      <c r="E968" t="s">
        <v>2452</v>
      </c>
      <c r="F968">
        <v>3.75</v>
      </c>
      <c r="G968">
        <v>94.91</v>
      </c>
      <c r="I968" t="str" cm="1">
        <f t="array" ref="I968:J968">_xlfn.TEXTSPLIT(A968," ")</f>
        <v>27.10.2023</v>
      </c>
      <c r="J968" t="str">
        <v>16:07:36</v>
      </c>
      <c r="K968">
        <f t="shared" si="248"/>
        <v>16.083333333333702</v>
      </c>
      <c r="L968">
        <f t="shared" si="241"/>
        <v>9.82</v>
      </c>
      <c r="M968">
        <f t="shared" si="242"/>
        <v>0.75</v>
      </c>
      <c r="N968">
        <f t="shared" si="236"/>
        <v>0.9175000000000002</v>
      </c>
      <c r="Q968" t="str" cm="1">
        <f t="array" ref="Q968:R968">_xlfn.TEXTSPLIT(E968," ")</f>
        <v>27.10.2023</v>
      </c>
      <c r="R968" t="str">
        <v>16:07:36</v>
      </c>
      <c r="S968">
        <f t="shared" si="249"/>
        <v>16.083333333333702</v>
      </c>
      <c r="T968">
        <f t="shared" si="240"/>
        <v>16.310000000000002</v>
      </c>
      <c r="U968">
        <f t="shared" si="243"/>
        <v>3.75</v>
      </c>
      <c r="V968">
        <f t="shared" si="237"/>
        <v>1.5499999999999994</v>
      </c>
      <c r="AC968" t="s">
        <v>2453</v>
      </c>
      <c r="AD968">
        <v>0.3</v>
      </c>
      <c r="AE968">
        <v>10.84</v>
      </c>
      <c r="AG968" t="str" cm="1">
        <f t="array" ref="AG968:AH968">_xlfn.TEXTSPLIT(AC969," ")</f>
        <v>26.10.2023</v>
      </c>
      <c r="AH968" t="str">
        <v>16:08:45</v>
      </c>
      <c r="AI968">
        <f t="shared" si="250"/>
        <v>16.083333333333702</v>
      </c>
      <c r="AJ968">
        <f t="shared" si="244"/>
        <v>6.31</v>
      </c>
      <c r="AK968">
        <f t="shared" si="245"/>
        <v>0.3</v>
      </c>
      <c r="AL968">
        <f t="shared" si="238"/>
        <v>2.1825000000000001</v>
      </c>
      <c r="AN968" t="s">
        <v>2453</v>
      </c>
      <c r="AO968">
        <v>1.2</v>
      </c>
      <c r="AP968">
        <v>73.569999999999993</v>
      </c>
      <c r="AR968" t="str" cm="1">
        <f t="array" ref="AR968:AS968">_xlfn.TEXTSPLIT(AN968," ")</f>
        <v>26.10.2023</v>
      </c>
      <c r="AS968" t="str">
        <v>16:07:45</v>
      </c>
      <c r="AT968">
        <f t="shared" si="251"/>
        <v>16.083333333333702</v>
      </c>
      <c r="AU968">
        <f t="shared" si="246"/>
        <v>12.259999999999991</v>
      </c>
      <c r="AV968">
        <f t="shared" si="247"/>
        <v>1.2</v>
      </c>
      <c r="AW968">
        <f t="shared" si="239"/>
        <v>1.6674999999999998</v>
      </c>
    </row>
    <row r="969" spans="1:49" x14ac:dyDescent="0.25">
      <c r="A969" t="s">
        <v>2454</v>
      </c>
      <c r="B969">
        <v>2.85</v>
      </c>
      <c r="C969">
        <v>24.19</v>
      </c>
      <c r="E969" t="s">
        <v>2454</v>
      </c>
      <c r="F969">
        <v>2.85</v>
      </c>
      <c r="G969">
        <v>94.95</v>
      </c>
      <c r="I969" t="str" cm="1">
        <f t="array" ref="I969:J969">_xlfn.TEXTSPLIT(A969," ")</f>
        <v>27.10.2023</v>
      </c>
      <c r="J969" t="str">
        <v>16:08:36</v>
      </c>
      <c r="K969">
        <f t="shared" si="248"/>
        <v>16.100000000000367</v>
      </c>
      <c r="L969">
        <f t="shared" si="241"/>
        <v>9.870000000000001</v>
      </c>
      <c r="M969">
        <f t="shared" si="242"/>
        <v>2.85</v>
      </c>
      <c r="N969">
        <f t="shared" si="236"/>
        <v>0.92750000000000021</v>
      </c>
      <c r="Q969" t="str" cm="1">
        <f t="array" ref="Q969:R969">_xlfn.TEXTSPLIT(E969," ")</f>
        <v>27.10.2023</v>
      </c>
      <c r="R969" t="str">
        <v>16:08:36</v>
      </c>
      <c r="S969">
        <f t="shared" si="249"/>
        <v>16.100000000000367</v>
      </c>
      <c r="T969">
        <f t="shared" si="240"/>
        <v>16.350000000000009</v>
      </c>
      <c r="U969">
        <f t="shared" si="243"/>
        <v>2.85</v>
      </c>
      <c r="V969">
        <f t="shared" si="237"/>
        <v>1.5499999999999992</v>
      </c>
      <c r="AC969" t="s">
        <v>2455</v>
      </c>
      <c r="AD969">
        <v>0.6</v>
      </c>
      <c r="AE969">
        <v>10.87</v>
      </c>
      <c r="AG969" t="str" cm="1">
        <f t="array" ref="AG969:AH969">_xlfn.TEXTSPLIT(AC970," ")</f>
        <v>26.10.2023</v>
      </c>
      <c r="AH969" t="str">
        <v>16:09:45</v>
      </c>
      <c r="AI969">
        <f t="shared" si="250"/>
        <v>16.100000000000367</v>
      </c>
      <c r="AJ969">
        <f t="shared" si="244"/>
        <v>6.339999999999999</v>
      </c>
      <c r="AK969">
        <f t="shared" si="245"/>
        <v>0.6</v>
      </c>
      <c r="AL969">
        <f t="shared" si="238"/>
        <v>2.19</v>
      </c>
      <c r="AN969" t="s">
        <v>2455</v>
      </c>
      <c r="AO969">
        <v>1.65</v>
      </c>
      <c r="AP969">
        <v>73.599999999999994</v>
      </c>
      <c r="AR969" t="str" cm="1">
        <f t="array" ref="AR969:AS969">_xlfn.TEXTSPLIT(AN969," ")</f>
        <v>26.10.2023</v>
      </c>
      <c r="AS969" t="str">
        <v>16:08:45</v>
      </c>
      <c r="AT969">
        <f t="shared" si="251"/>
        <v>16.100000000000367</v>
      </c>
      <c r="AU969">
        <f t="shared" si="246"/>
        <v>12.289999999999992</v>
      </c>
      <c r="AV969">
        <f t="shared" si="247"/>
        <v>1.65</v>
      </c>
      <c r="AW969">
        <f t="shared" si="239"/>
        <v>1.6449999999999998</v>
      </c>
    </row>
    <row r="970" spans="1:49" x14ac:dyDescent="0.25">
      <c r="A970" t="s">
        <v>2456</v>
      </c>
      <c r="B970">
        <v>2.4</v>
      </c>
      <c r="C970">
        <v>24.23</v>
      </c>
      <c r="E970" t="s">
        <v>2456</v>
      </c>
      <c r="F970">
        <v>2.4</v>
      </c>
      <c r="G970">
        <v>95</v>
      </c>
      <c r="I970" t="str" cm="1">
        <f t="array" ref="I970:J970">_xlfn.TEXTSPLIT(A970," ")</f>
        <v>27.10.2023</v>
      </c>
      <c r="J970" t="str">
        <v>16:09:36</v>
      </c>
      <c r="K970">
        <f t="shared" si="248"/>
        <v>16.116666666667033</v>
      </c>
      <c r="L970">
        <f t="shared" si="241"/>
        <v>9.91</v>
      </c>
      <c r="M970">
        <f t="shared" si="242"/>
        <v>2.4</v>
      </c>
      <c r="N970">
        <f t="shared" si="236"/>
        <v>0.91000000000000025</v>
      </c>
      <c r="Q970" t="str" cm="1">
        <f t="array" ref="Q970:R970">_xlfn.TEXTSPLIT(E970," ")</f>
        <v>27.10.2023</v>
      </c>
      <c r="R970" t="str">
        <v>16:09:36</v>
      </c>
      <c r="S970">
        <f t="shared" si="249"/>
        <v>16.116666666667033</v>
      </c>
      <c r="T970">
        <f t="shared" si="240"/>
        <v>16.400000000000006</v>
      </c>
      <c r="U970">
        <f t="shared" si="243"/>
        <v>2.4</v>
      </c>
      <c r="V970">
        <f t="shared" si="237"/>
        <v>1.5424999999999995</v>
      </c>
      <c r="AC970" t="s">
        <v>2457</v>
      </c>
      <c r="AD970">
        <v>2.4</v>
      </c>
      <c r="AE970">
        <v>10.91</v>
      </c>
      <c r="AG970" t="str" cm="1">
        <f t="array" ref="AG970:AH970">_xlfn.TEXTSPLIT(AC971," ")</f>
        <v>26.10.2023</v>
      </c>
      <c r="AH970" t="str">
        <v>16:10:45</v>
      </c>
      <c r="AI970">
        <f t="shared" si="250"/>
        <v>16.116666666667033</v>
      </c>
      <c r="AJ970">
        <f t="shared" si="244"/>
        <v>6.38</v>
      </c>
      <c r="AK970">
        <f t="shared" si="245"/>
        <v>2.4</v>
      </c>
      <c r="AL970">
        <f t="shared" si="238"/>
        <v>1.385</v>
      </c>
      <c r="AN970" t="s">
        <v>2457</v>
      </c>
      <c r="AO970">
        <v>2.1</v>
      </c>
      <c r="AP970">
        <v>73.64</v>
      </c>
      <c r="AR970" t="str" cm="1">
        <f t="array" ref="AR970:AS970">_xlfn.TEXTSPLIT(AN970," ")</f>
        <v>26.10.2023</v>
      </c>
      <c r="AS970" t="str">
        <v>16:09:45</v>
      </c>
      <c r="AT970">
        <f t="shared" si="251"/>
        <v>16.116666666667033</v>
      </c>
      <c r="AU970">
        <f t="shared" si="246"/>
        <v>12.329999999999998</v>
      </c>
      <c r="AV970">
        <f t="shared" si="247"/>
        <v>2.1</v>
      </c>
      <c r="AW970">
        <f t="shared" si="239"/>
        <v>1.6524999999999996</v>
      </c>
    </row>
    <row r="971" spans="1:49" x14ac:dyDescent="0.25">
      <c r="A971" t="s">
        <v>2458</v>
      </c>
      <c r="B971">
        <v>2.1</v>
      </c>
      <c r="C971">
        <v>24.26</v>
      </c>
      <c r="E971" t="s">
        <v>2458</v>
      </c>
      <c r="F971">
        <v>3.3</v>
      </c>
      <c r="G971">
        <v>95.04</v>
      </c>
      <c r="I971" t="str" cm="1">
        <f t="array" ref="I971:J971">_xlfn.TEXTSPLIT(A971," ")</f>
        <v>27.10.2023</v>
      </c>
      <c r="J971" t="str">
        <v>16:10:36</v>
      </c>
      <c r="K971">
        <f t="shared" si="248"/>
        <v>16.133333333333699</v>
      </c>
      <c r="L971">
        <f t="shared" si="241"/>
        <v>9.9400000000000013</v>
      </c>
      <c r="M971">
        <f t="shared" si="242"/>
        <v>2.1</v>
      </c>
      <c r="N971">
        <f t="shared" si="236"/>
        <v>0.91500000000000026</v>
      </c>
      <c r="Q971" t="str" cm="1">
        <f t="array" ref="Q971:R971">_xlfn.TEXTSPLIT(E971," ")</f>
        <v>27.10.2023</v>
      </c>
      <c r="R971" t="str">
        <v>16:10:36</v>
      </c>
      <c r="S971">
        <f t="shared" si="249"/>
        <v>16.133333333333699</v>
      </c>
      <c r="T971">
        <f t="shared" si="240"/>
        <v>16.440000000000012</v>
      </c>
      <c r="U971">
        <f t="shared" si="243"/>
        <v>3.3</v>
      </c>
      <c r="V971">
        <f t="shared" si="237"/>
        <v>1.5749999999999993</v>
      </c>
      <c r="AC971" t="s">
        <v>2459</v>
      </c>
      <c r="AD971">
        <v>2.25</v>
      </c>
      <c r="AE971">
        <v>10.94</v>
      </c>
      <c r="AG971" t="str" cm="1">
        <f t="array" ref="AG971:AH971">_xlfn.TEXTSPLIT(AC972," ")</f>
        <v>26.10.2023</v>
      </c>
      <c r="AH971" t="str">
        <v>16:11:45</v>
      </c>
      <c r="AI971">
        <f t="shared" si="250"/>
        <v>16.133333333333699</v>
      </c>
      <c r="AJ971">
        <f t="shared" si="244"/>
        <v>6.4099999999999993</v>
      </c>
      <c r="AK971">
        <f t="shared" si="245"/>
        <v>2.25</v>
      </c>
      <c r="AL971">
        <f t="shared" si="238"/>
        <v>1.3999999999999997</v>
      </c>
      <c r="AN971" t="s">
        <v>2459</v>
      </c>
      <c r="AO971">
        <v>1.95</v>
      </c>
      <c r="AP971">
        <v>73.67</v>
      </c>
      <c r="AR971" t="str" cm="1">
        <f t="array" ref="AR971:AS971">_xlfn.TEXTSPLIT(AN971," ")</f>
        <v>26.10.2023</v>
      </c>
      <c r="AS971" t="str">
        <v>16:10:45</v>
      </c>
      <c r="AT971">
        <f t="shared" si="251"/>
        <v>16.133333333333699</v>
      </c>
      <c r="AU971">
        <f t="shared" si="246"/>
        <v>12.36</v>
      </c>
      <c r="AV971">
        <f t="shared" si="247"/>
        <v>1.95</v>
      </c>
      <c r="AW971">
        <f t="shared" si="239"/>
        <v>1.66</v>
      </c>
    </row>
    <row r="972" spans="1:49" x14ac:dyDescent="0.25">
      <c r="A972" t="s">
        <v>2460</v>
      </c>
      <c r="B972">
        <v>2.5499999999999998</v>
      </c>
      <c r="C972">
        <v>24.3</v>
      </c>
      <c r="E972" t="s">
        <v>2460</v>
      </c>
      <c r="F972">
        <v>1.95</v>
      </c>
      <c r="G972">
        <v>95.07</v>
      </c>
      <c r="I972" t="str" cm="1">
        <f t="array" ref="I972:J972">_xlfn.TEXTSPLIT(A972," ")</f>
        <v>27.10.2023</v>
      </c>
      <c r="J972" t="str">
        <v>16:11:36</v>
      </c>
      <c r="K972">
        <f t="shared" si="248"/>
        <v>16.150000000000365</v>
      </c>
      <c r="L972">
        <f t="shared" si="241"/>
        <v>9.98</v>
      </c>
      <c r="M972">
        <f t="shared" si="242"/>
        <v>2.5499999999999998</v>
      </c>
      <c r="N972">
        <f t="shared" si="236"/>
        <v>0.93000000000000016</v>
      </c>
      <c r="Q972" t="str" cm="1">
        <f t="array" ref="Q972:R972">_xlfn.TEXTSPLIT(E972," ")</f>
        <v>27.10.2023</v>
      </c>
      <c r="R972" t="str">
        <v>16:11:36</v>
      </c>
      <c r="S972">
        <f t="shared" si="249"/>
        <v>16.150000000000365</v>
      </c>
      <c r="T972">
        <f t="shared" si="240"/>
        <v>16.47</v>
      </c>
      <c r="U972">
        <f t="shared" si="243"/>
        <v>1.95</v>
      </c>
      <c r="V972">
        <f t="shared" si="237"/>
        <v>1.5849999999999995</v>
      </c>
      <c r="AC972" t="s">
        <v>2461</v>
      </c>
      <c r="AD972">
        <v>1.2</v>
      </c>
      <c r="AE972">
        <v>10.95</v>
      </c>
      <c r="AG972" t="str" cm="1">
        <f t="array" ref="AG972:AH972">_xlfn.TEXTSPLIT(AC973," ")</f>
        <v>26.10.2023</v>
      </c>
      <c r="AH972" t="str">
        <v>16:12:45</v>
      </c>
      <c r="AI972">
        <f t="shared" si="250"/>
        <v>16.150000000000365</v>
      </c>
      <c r="AJ972">
        <f t="shared" si="244"/>
        <v>6.419999999999999</v>
      </c>
      <c r="AK972">
        <f t="shared" si="245"/>
        <v>1.2</v>
      </c>
      <c r="AL972">
        <f t="shared" si="238"/>
        <v>1.3900000000000001</v>
      </c>
      <c r="AN972" t="s">
        <v>2461</v>
      </c>
      <c r="AO972">
        <v>1.5</v>
      </c>
      <c r="AP972">
        <v>73.680000000000007</v>
      </c>
      <c r="AR972" t="str" cm="1">
        <f t="array" ref="AR972:AS972">_xlfn.TEXTSPLIT(AN972," ")</f>
        <v>26.10.2023</v>
      </c>
      <c r="AS972" t="str">
        <v>16:11:45</v>
      </c>
      <c r="AT972">
        <f t="shared" si="251"/>
        <v>16.150000000000365</v>
      </c>
      <c r="AU972">
        <f t="shared" si="246"/>
        <v>12.370000000000005</v>
      </c>
      <c r="AV972">
        <f t="shared" si="247"/>
        <v>1.5</v>
      </c>
      <c r="AW972">
        <f t="shared" si="239"/>
        <v>1.655</v>
      </c>
    </row>
    <row r="973" spans="1:49" x14ac:dyDescent="0.25">
      <c r="A973" t="s">
        <v>2462</v>
      </c>
      <c r="B973">
        <v>1.5</v>
      </c>
      <c r="C973">
        <v>24.31</v>
      </c>
      <c r="E973" t="s">
        <v>2462</v>
      </c>
      <c r="F973">
        <v>1.95</v>
      </c>
      <c r="G973">
        <v>95.11</v>
      </c>
      <c r="I973" t="str" cm="1">
        <f t="array" ref="I973:J973">_xlfn.TEXTSPLIT(A973," ")</f>
        <v>27.10.2023</v>
      </c>
      <c r="J973" t="str">
        <v>16:12:36</v>
      </c>
      <c r="K973">
        <f t="shared" si="248"/>
        <v>16.16666666666703</v>
      </c>
      <c r="L973">
        <f t="shared" si="241"/>
        <v>9.9899999999999984</v>
      </c>
      <c r="M973">
        <f t="shared" si="242"/>
        <v>1.5</v>
      </c>
      <c r="N973">
        <f t="shared" si="236"/>
        <v>0.93250000000000033</v>
      </c>
      <c r="Q973" t="str" cm="1">
        <f t="array" ref="Q973:R973">_xlfn.TEXTSPLIT(E973," ")</f>
        <v>27.10.2023</v>
      </c>
      <c r="R973" t="str">
        <v>16:12:36</v>
      </c>
      <c r="S973">
        <f t="shared" si="249"/>
        <v>16.16666666666703</v>
      </c>
      <c r="T973">
        <f t="shared" si="240"/>
        <v>16.510000000000005</v>
      </c>
      <c r="U973">
        <f t="shared" si="243"/>
        <v>1.95</v>
      </c>
      <c r="V973">
        <f t="shared" si="237"/>
        <v>1.585</v>
      </c>
      <c r="AC973" t="s">
        <v>2463</v>
      </c>
      <c r="AD973">
        <v>1.2</v>
      </c>
      <c r="AE973">
        <v>10.98</v>
      </c>
      <c r="AG973" t="str" cm="1">
        <f t="array" ref="AG973:AH973">_xlfn.TEXTSPLIT(AC974," ")</f>
        <v>26.10.2023</v>
      </c>
      <c r="AH973" t="str">
        <v>16:13:45</v>
      </c>
      <c r="AI973">
        <f t="shared" si="250"/>
        <v>16.16666666666703</v>
      </c>
      <c r="AJ973">
        <f t="shared" si="244"/>
        <v>6.45</v>
      </c>
      <c r="AK973">
        <f t="shared" si="245"/>
        <v>1.2</v>
      </c>
      <c r="AL973">
        <f t="shared" si="238"/>
        <v>1.3850000000000002</v>
      </c>
      <c r="AN973" t="s">
        <v>2463</v>
      </c>
      <c r="AO973">
        <v>0.9</v>
      </c>
      <c r="AP973">
        <v>73.7</v>
      </c>
      <c r="AR973" t="str" cm="1">
        <f t="array" ref="AR973:AS973">_xlfn.TEXTSPLIT(AN973," ")</f>
        <v>26.10.2023</v>
      </c>
      <c r="AS973" t="str">
        <v>16:12:45</v>
      </c>
      <c r="AT973">
        <f t="shared" si="251"/>
        <v>16.16666666666703</v>
      </c>
      <c r="AU973">
        <f t="shared" si="246"/>
        <v>12.39</v>
      </c>
      <c r="AV973">
        <f t="shared" si="247"/>
        <v>0.9</v>
      </c>
      <c r="AW973">
        <f t="shared" si="239"/>
        <v>1.64</v>
      </c>
    </row>
    <row r="974" spans="1:49" x14ac:dyDescent="0.25">
      <c r="A974" t="s">
        <v>2464</v>
      </c>
      <c r="B974">
        <v>1.05</v>
      </c>
      <c r="C974">
        <v>24.33</v>
      </c>
      <c r="E974" t="s">
        <v>2464</v>
      </c>
      <c r="F974">
        <v>2.4</v>
      </c>
      <c r="G974">
        <v>95.15</v>
      </c>
      <c r="I974" t="str" cm="1">
        <f t="array" ref="I974:J974">_xlfn.TEXTSPLIT(A974," ")</f>
        <v>27.10.2023</v>
      </c>
      <c r="J974" t="str">
        <v>16:13:36</v>
      </c>
      <c r="K974">
        <f t="shared" si="248"/>
        <v>16.183333333333696</v>
      </c>
      <c r="L974">
        <f t="shared" si="241"/>
        <v>10.009999999999998</v>
      </c>
      <c r="M974">
        <f t="shared" si="242"/>
        <v>1.05</v>
      </c>
      <c r="N974">
        <f t="shared" si="236"/>
        <v>0.92500000000000016</v>
      </c>
      <c r="Q974" t="str" cm="1">
        <f t="array" ref="Q974:R974">_xlfn.TEXTSPLIT(E974," ")</f>
        <v>27.10.2023</v>
      </c>
      <c r="R974" t="str">
        <v>16:13:36</v>
      </c>
      <c r="S974">
        <f t="shared" si="249"/>
        <v>16.183333333333696</v>
      </c>
      <c r="T974">
        <f t="shared" si="240"/>
        <v>16.550000000000011</v>
      </c>
      <c r="U974">
        <f t="shared" si="243"/>
        <v>2.4</v>
      </c>
      <c r="V974">
        <f t="shared" si="237"/>
        <v>1.5825</v>
      </c>
      <c r="AC974" t="s">
        <v>2465</v>
      </c>
      <c r="AD974">
        <v>1.5</v>
      </c>
      <c r="AE974">
        <v>11</v>
      </c>
      <c r="AG974" t="str" cm="1">
        <f t="array" ref="AG974:AH974">_xlfn.TEXTSPLIT(AC975," ")</f>
        <v>26.10.2023</v>
      </c>
      <c r="AH974" t="str">
        <v>16:14:45</v>
      </c>
      <c r="AI974">
        <f t="shared" si="250"/>
        <v>16.183333333333696</v>
      </c>
      <c r="AJ974">
        <f t="shared" si="244"/>
        <v>6.47</v>
      </c>
      <c r="AK974">
        <f t="shared" si="245"/>
        <v>1.5</v>
      </c>
      <c r="AL974">
        <f t="shared" si="238"/>
        <v>1.3924999999999998</v>
      </c>
      <c r="AN974" t="s">
        <v>2465</v>
      </c>
      <c r="AO974">
        <v>0.75</v>
      </c>
      <c r="AP974">
        <v>73.709999999999994</v>
      </c>
      <c r="AR974" t="str" cm="1">
        <f t="array" ref="AR974:AS974">_xlfn.TEXTSPLIT(AN974," ")</f>
        <v>26.10.2023</v>
      </c>
      <c r="AS974" t="str">
        <v>16:13:45</v>
      </c>
      <c r="AT974">
        <f t="shared" si="251"/>
        <v>16.183333333333696</v>
      </c>
      <c r="AU974">
        <f t="shared" si="246"/>
        <v>12.399999999999991</v>
      </c>
      <c r="AV974">
        <f t="shared" si="247"/>
        <v>0.75</v>
      </c>
      <c r="AW974">
        <f t="shared" si="239"/>
        <v>1.635</v>
      </c>
    </row>
    <row r="975" spans="1:49" x14ac:dyDescent="0.25">
      <c r="A975" t="s">
        <v>2466</v>
      </c>
      <c r="B975">
        <v>1.05</v>
      </c>
      <c r="C975">
        <v>24.35</v>
      </c>
      <c r="E975" t="s">
        <v>2466</v>
      </c>
      <c r="F975">
        <v>1.95</v>
      </c>
      <c r="G975">
        <v>95.18</v>
      </c>
      <c r="I975" t="str" cm="1">
        <f t="array" ref="I975:J975">_xlfn.TEXTSPLIT(A975," ")</f>
        <v>27.10.2023</v>
      </c>
      <c r="J975" t="str">
        <v>16:14:36</v>
      </c>
      <c r="K975">
        <f t="shared" si="248"/>
        <v>16.200000000000362</v>
      </c>
      <c r="L975">
        <f t="shared" si="241"/>
        <v>10.030000000000001</v>
      </c>
      <c r="M975">
        <f t="shared" si="242"/>
        <v>1.05</v>
      </c>
      <c r="N975">
        <f t="shared" si="236"/>
        <v>0.92</v>
      </c>
      <c r="Q975" t="str" cm="1">
        <f t="array" ref="Q975:R975">_xlfn.TEXTSPLIT(E975," ")</f>
        <v>27.10.2023</v>
      </c>
      <c r="R975" t="str">
        <v>16:14:36</v>
      </c>
      <c r="S975">
        <f t="shared" si="249"/>
        <v>16.200000000000362</v>
      </c>
      <c r="T975">
        <f t="shared" si="240"/>
        <v>16.580000000000013</v>
      </c>
      <c r="U975">
        <f t="shared" si="243"/>
        <v>1.95</v>
      </c>
      <c r="V975">
        <f t="shared" si="237"/>
        <v>1.5900000000000003</v>
      </c>
      <c r="AC975" t="s">
        <v>2467</v>
      </c>
      <c r="AD975">
        <v>0.75</v>
      </c>
      <c r="AE975">
        <v>11.01</v>
      </c>
      <c r="AG975" t="str" cm="1">
        <f t="array" ref="AG975:AH975">_xlfn.TEXTSPLIT(AC976," ")</f>
        <v>26.10.2023</v>
      </c>
      <c r="AH975" t="str">
        <v>16:15:45</v>
      </c>
      <c r="AI975">
        <f t="shared" si="250"/>
        <v>16.200000000000362</v>
      </c>
      <c r="AJ975">
        <f t="shared" si="244"/>
        <v>6.4799999999999995</v>
      </c>
      <c r="AK975">
        <f t="shared" si="245"/>
        <v>0.75</v>
      </c>
      <c r="AL975">
        <f t="shared" si="238"/>
        <v>1.385</v>
      </c>
      <c r="AN975" t="s">
        <v>2467</v>
      </c>
      <c r="AO975">
        <v>0.75</v>
      </c>
      <c r="AP975">
        <v>73.72</v>
      </c>
      <c r="AR975" t="str" cm="1">
        <f t="array" ref="AR975:AS975">_xlfn.TEXTSPLIT(AN975," ")</f>
        <v>26.10.2023</v>
      </c>
      <c r="AS975" t="str">
        <v>16:14:45</v>
      </c>
      <c r="AT975">
        <f t="shared" si="251"/>
        <v>16.200000000000362</v>
      </c>
      <c r="AU975">
        <f t="shared" si="246"/>
        <v>12.409999999999997</v>
      </c>
      <c r="AV975">
        <f t="shared" si="247"/>
        <v>0.75</v>
      </c>
      <c r="AW975">
        <f t="shared" si="239"/>
        <v>1.6299999999999997</v>
      </c>
    </row>
    <row r="976" spans="1:49" x14ac:dyDescent="0.25">
      <c r="A976" t="s">
        <v>2468</v>
      </c>
      <c r="B976">
        <v>1.05</v>
      </c>
      <c r="C976">
        <v>24.37</v>
      </c>
      <c r="E976" t="s">
        <v>2468</v>
      </c>
      <c r="F976">
        <v>1.5</v>
      </c>
      <c r="G976">
        <v>95.2</v>
      </c>
      <c r="I976" t="str" cm="1">
        <f t="array" ref="I976:J976">_xlfn.TEXTSPLIT(A976," ")</f>
        <v>27.10.2023</v>
      </c>
      <c r="J976" t="str">
        <v>16:15:37</v>
      </c>
      <c r="K976">
        <f t="shared" si="248"/>
        <v>16.216666666667027</v>
      </c>
      <c r="L976">
        <f t="shared" si="241"/>
        <v>10.050000000000001</v>
      </c>
      <c r="M976">
        <f t="shared" si="242"/>
        <v>1.05</v>
      </c>
      <c r="N976">
        <f t="shared" si="236"/>
        <v>0.92249999999999999</v>
      </c>
      <c r="Q976" t="str" cm="1">
        <f t="array" ref="Q976:R976">_xlfn.TEXTSPLIT(E976," ")</f>
        <v>27.10.2023</v>
      </c>
      <c r="R976" t="str">
        <v>16:15:37</v>
      </c>
      <c r="S976">
        <f t="shared" si="249"/>
        <v>16.216666666667027</v>
      </c>
      <c r="T976">
        <f t="shared" si="240"/>
        <v>16.600000000000009</v>
      </c>
      <c r="U976">
        <f t="shared" si="243"/>
        <v>1.5</v>
      </c>
      <c r="V976">
        <f t="shared" si="237"/>
        <v>1.5950000000000002</v>
      </c>
      <c r="AC976" t="s">
        <v>2469</v>
      </c>
      <c r="AD976">
        <v>0.15</v>
      </c>
      <c r="AE976">
        <v>11.02</v>
      </c>
      <c r="AG976" t="str" cm="1">
        <f t="array" ref="AG976:AH976">_xlfn.TEXTSPLIT(AC977," ")</f>
        <v>26.10.2023</v>
      </c>
      <c r="AH976" t="str">
        <v>16:16:46</v>
      </c>
      <c r="AI976">
        <f t="shared" si="250"/>
        <v>16.216666666667027</v>
      </c>
      <c r="AJ976">
        <f t="shared" si="244"/>
        <v>6.4899999999999993</v>
      </c>
      <c r="AK976">
        <f t="shared" si="245"/>
        <v>0.15</v>
      </c>
      <c r="AL976">
        <f t="shared" si="238"/>
        <v>1.3725000000000001</v>
      </c>
      <c r="AN976" t="s">
        <v>2469</v>
      </c>
      <c r="AO976">
        <v>0.6</v>
      </c>
      <c r="AP976">
        <v>73.739999999999995</v>
      </c>
      <c r="AR976" t="str" cm="1">
        <f t="array" ref="AR976:AS976">_xlfn.TEXTSPLIT(AN976," ")</f>
        <v>26.10.2023</v>
      </c>
      <c r="AS976" t="str">
        <v>16:15:45</v>
      </c>
      <c r="AT976">
        <f t="shared" si="251"/>
        <v>16.216666666667027</v>
      </c>
      <c r="AU976">
        <f t="shared" si="246"/>
        <v>12.429999999999993</v>
      </c>
      <c r="AV976">
        <f t="shared" si="247"/>
        <v>0.6</v>
      </c>
      <c r="AW976">
        <f t="shared" si="239"/>
        <v>1.6274999999999997</v>
      </c>
    </row>
    <row r="977" spans="1:49" x14ac:dyDescent="0.25">
      <c r="A977" t="s">
        <v>2470</v>
      </c>
      <c r="B977">
        <v>1.2</v>
      </c>
      <c r="C977">
        <v>24.38</v>
      </c>
      <c r="E977" t="s">
        <v>2470</v>
      </c>
      <c r="F977">
        <v>1.5</v>
      </c>
      <c r="G977">
        <v>95.23</v>
      </c>
      <c r="I977" t="str" cm="1">
        <f t="array" ref="I977:J977">_xlfn.TEXTSPLIT(A977," ")</f>
        <v>27.10.2023</v>
      </c>
      <c r="J977" t="str">
        <v>16:16:37</v>
      </c>
      <c r="K977">
        <f t="shared" si="248"/>
        <v>16.233333333333693</v>
      </c>
      <c r="L977">
        <f t="shared" si="241"/>
        <v>10.059999999999999</v>
      </c>
      <c r="M977">
        <f t="shared" si="242"/>
        <v>1.2</v>
      </c>
      <c r="N977">
        <f t="shared" si="236"/>
        <v>0.92500000000000016</v>
      </c>
      <c r="Q977" t="str" cm="1">
        <f t="array" ref="Q977:R977">_xlfn.TEXTSPLIT(E977," ")</f>
        <v>27.10.2023</v>
      </c>
      <c r="R977" t="str">
        <v>16:16:37</v>
      </c>
      <c r="S977">
        <f t="shared" si="249"/>
        <v>16.233333333333693</v>
      </c>
      <c r="T977">
        <f t="shared" si="240"/>
        <v>16.63000000000001</v>
      </c>
      <c r="U977">
        <f t="shared" si="243"/>
        <v>1.5</v>
      </c>
      <c r="V977">
        <f t="shared" si="237"/>
        <v>1.5900000000000003</v>
      </c>
      <c r="AC977" t="s">
        <v>2471</v>
      </c>
      <c r="AD977">
        <v>1.2</v>
      </c>
      <c r="AE977">
        <v>11.03</v>
      </c>
      <c r="AG977" t="str" cm="1">
        <f t="array" ref="AG977:AH977">_xlfn.TEXTSPLIT(AC978," ")</f>
        <v>26.10.2023</v>
      </c>
      <c r="AH977" t="str">
        <v>16:17:46</v>
      </c>
      <c r="AI977">
        <f t="shared" si="250"/>
        <v>16.233333333333693</v>
      </c>
      <c r="AJ977">
        <f t="shared" si="244"/>
        <v>6.4999999999999991</v>
      </c>
      <c r="AK977">
        <f t="shared" si="245"/>
        <v>1.2</v>
      </c>
      <c r="AL977">
        <f t="shared" si="238"/>
        <v>1.38</v>
      </c>
      <c r="AN977" t="s">
        <v>2471</v>
      </c>
      <c r="AO977">
        <v>0.9</v>
      </c>
      <c r="AP977">
        <v>73.75</v>
      </c>
      <c r="AR977" t="str" cm="1">
        <f t="array" ref="AR977:AS977">_xlfn.TEXTSPLIT(AN977," ")</f>
        <v>26.10.2023</v>
      </c>
      <c r="AS977" t="str">
        <v>16:16:46</v>
      </c>
      <c r="AT977">
        <f t="shared" si="251"/>
        <v>16.233333333333693</v>
      </c>
      <c r="AU977">
        <f t="shared" si="246"/>
        <v>12.439999999999998</v>
      </c>
      <c r="AV977">
        <f t="shared" si="247"/>
        <v>0.9</v>
      </c>
      <c r="AW977">
        <f t="shared" si="239"/>
        <v>1.6299999999999997</v>
      </c>
    </row>
    <row r="978" spans="1:49" x14ac:dyDescent="0.25">
      <c r="A978" t="s">
        <v>2472</v>
      </c>
      <c r="B978">
        <v>0.9</v>
      </c>
      <c r="C978">
        <v>24.4</v>
      </c>
      <c r="E978" t="s">
        <v>2472</v>
      </c>
      <c r="F978">
        <v>1.95</v>
      </c>
      <c r="G978">
        <v>95.26</v>
      </c>
      <c r="I978" t="str" cm="1">
        <f t="array" ref="I978:J978">_xlfn.TEXTSPLIT(A978," ")</f>
        <v>27.10.2023</v>
      </c>
      <c r="J978" t="str">
        <v>16:17:37</v>
      </c>
      <c r="K978">
        <f t="shared" si="248"/>
        <v>16.250000000000359</v>
      </c>
      <c r="L978">
        <f t="shared" si="241"/>
        <v>10.079999999999998</v>
      </c>
      <c r="M978">
        <f t="shared" si="242"/>
        <v>0.9</v>
      </c>
      <c r="N978">
        <f t="shared" si="236"/>
        <v>0.9275000000000001</v>
      </c>
      <c r="Q978" t="str" cm="1">
        <f t="array" ref="Q978:R978">_xlfn.TEXTSPLIT(E978," ")</f>
        <v>27.10.2023</v>
      </c>
      <c r="R978" t="str">
        <v>16:17:37</v>
      </c>
      <c r="S978">
        <f t="shared" si="249"/>
        <v>16.250000000000359</v>
      </c>
      <c r="T978">
        <f t="shared" si="240"/>
        <v>16.660000000000011</v>
      </c>
      <c r="U978">
        <f t="shared" si="243"/>
        <v>1.95</v>
      </c>
      <c r="V978">
        <f t="shared" si="237"/>
        <v>1.5875000000000001</v>
      </c>
      <c r="AC978" t="s">
        <v>2473</v>
      </c>
      <c r="AD978">
        <v>0.6</v>
      </c>
      <c r="AE978">
        <v>11.04</v>
      </c>
      <c r="AG978" t="str" cm="1">
        <f t="array" ref="AG978:AH978">_xlfn.TEXTSPLIT(AC979," ")</f>
        <v>26.10.2023</v>
      </c>
      <c r="AH978" t="str">
        <v>16:18:46</v>
      </c>
      <c r="AI978">
        <f t="shared" si="250"/>
        <v>16.250000000000359</v>
      </c>
      <c r="AJ978">
        <f t="shared" si="244"/>
        <v>6.5099999999999989</v>
      </c>
      <c r="AK978">
        <f t="shared" si="245"/>
        <v>0.6</v>
      </c>
      <c r="AL978">
        <f t="shared" si="238"/>
        <v>1.38</v>
      </c>
      <c r="AN978" t="s">
        <v>2473</v>
      </c>
      <c r="AO978">
        <v>0.75</v>
      </c>
      <c r="AP978">
        <v>73.760000000000005</v>
      </c>
      <c r="AR978" t="str" cm="1">
        <f t="array" ref="AR978:AS978">_xlfn.TEXTSPLIT(AN978," ")</f>
        <v>26.10.2023</v>
      </c>
      <c r="AS978" t="str">
        <v>16:17:46</v>
      </c>
      <c r="AT978">
        <f t="shared" si="251"/>
        <v>16.250000000000359</v>
      </c>
      <c r="AU978">
        <f t="shared" si="246"/>
        <v>12.450000000000003</v>
      </c>
      <c r="AV978">
        <f t="shared" si="247"/>
        <v>0.75</v>
      </c>
      <c r="AW978">
        <f t="shared" si="239"/>
        <v>1.1200000000000003</v>
      </c>
    </row>
    <row r="979" spans="1:49" x14ac:dyDescent="0.25">
      <c r="A979" t="s">
        <v>2474</v>
      </c>
      <c r="B979">
        <v>1.2</v>
      </c>
      <c r="C979">
        <v>24.42</v>
      </c>
      <c r="E979" t="s">
        <v>2474</v>
      </c>
      <c r="F979">
        <v>2.1</v>
      </c>
      <c r="G979">
        <v>95.29</v>
      </c>
      <c r="I979" t="str" cm="1">
        <f t="array" ref="I979:J979">_xlfn.TEXTSPLIT(A979," ")</f>
        <v>27.10.2023</v>
      </c>
      <c r="J979" t="str">
        <v>16:18:37</v>
      </c>
      <c r="K979">
        <f t="shared" si="248"/>
        <v>16.266666666667025</v>
      </c>
      <c r="L979">
        <f t="shared" si="241"/>
        <v>10.100000000000001</v>
      </c>
      <c r="M979">
        <f t="shared" si="242"/>
        <v>1.2</v>
      </c>
      <c r="N979">
        <f t="shared" si="236"/>
        <v>0.93000000000000016</v>
      </c>
      <c r="Q979" t="str" cm="1">
        <f t="array" ref="Q979:R979">_xlfn.TEXTSPLIT(E979," ")</f>
        <v>27.10.2023</v>
      </c>
      <c r="R979" t="str">
        <v>16:18:37</v>
      </c>
      <c r="S979">
        <f t="shared" si="249"/>
        <v>16.266666666667025</v>
      </c>
      <c r="T979">
        <f t="shared" si="240"/>
        <v>16.690000000000012</v>
      </c>
      <c r="U979">
        <f t="shared" si="243"/>
        <v>2.1</v>
      </c>
      <c r="V979">
        <f t="shared" si="237"/>
        <v>1.5900000000000003</v>
      </c>
      <c r="AC979" t="s">
        <v>2475</v>
      </c>
      <c r="AD979">
        <v>0.6</v>
      </c>
      <c r="AE979">
        <v>11.05</v>
      </c>
      <c r="AG979" t="str" cm="1">
        <f t="array" ref="AG979:AH979">_xlfn.TEXTSPLIT(AC980," ")</f>
        <v>26.10.2023</v>
      </c>
      <c r="AH979" t="str">
        <v>16:19:46</v>
      </c>
      <c r="AI979">
        <f t="shared" si="250"/>
        <v>16.266666666667025</v>
      </c>
      <c r="AJ979">
        <f t="shared" si="244"/>
        <v>6.5200000000000005</v>
      </c>
      <c r="AK979">
        <f t="shared" si="245"/>
        <v>0.6</v>
      </c>
      <c r="AL979">
        <f t="shared" si="238"/>
        <v>1.3775000000000002</v>
      </c>
      <c r="AN979" t="s">
        <v>2475</v>
      </c>
      <c r="AO979">
        <v>0.9</v>
      </c>
      <c r="AP979">
        <v>73.78</v>
      </c>
      <c r="AR979" t="str" cm="1">
        <f t="array" ref="AR979:AS979">_xlfn.TEXTSPLIT(AN979," ")</f>
        <v>26.10.2023</v>
      </c>
      <c r="AS979" t="str">
        <v>16:18:46</v>
      </c>
      <c r="AT979">
        <f t="shared" si="251"/>
        <v>16.266666666667025</v>
      </c>
      <c r="AU979">
        <f t="shared" si="246"/>
        <v>12.469999999999999</v>
      </c>
      <c r="AV979">
        <f t="shared" si="247"/>
        <v>0.9</v>
      </c>
      <c r="AW979">
        <f t="shared" si="239"/>
        <v>0.67</v>
      </c>
    </row>
    <row r="980" spans="1:49" x14ac:dyDescent="0.25">
      <c r="A980" t="s">
        <v>2476</v>
      </c>
      <c r="B980">
        <v>1.05</v>
      </c>
      <c r="C980">
        <v>24.43</v>
      </c>
      <c r="E980" t="s">
        <v>2476</v>
      </c>
      <c r="F980">
        <v>1.35</v>
      </c>
      <c r="G980">
        <v>95.31</v>
      </c>
      <c r="I980" t="str" cm="1">
        <f t="array" ref="I980:J980">_xlfn.TEXTSPLIT(A980," ")</f>
        <v>27.10.2023</v>
      </c>
      <c r="J980" t="str">
        <v>16:19:37</v>
      </c>
      <c r="K980">
        <f t="shared" si="248"/>
        <v>16.28333333333369</v>
      </c>
      <c r="L980">
        <f t="shared" si="241"/>
        <v>10.11</v>
      </c>
      <c r="M980">
        <f t="shared" si="242"/>
        <v>1.05</v>
      </c>
      <c r="N980">
        <f t="shared" si="236"/>
        <v>0.9275000000000001</v>
      </c>
      <c r="Q980" t="str" cm="1">
        <f t="array" ref="Q980:R980">_xlfn.TEXTSPLIT(E980," ")</f>
        <v>27.10.2023</v>
      </c>
      <c r="R980" t="str">
        <v>16:19:37</v>
      </c>
      <c r="S980">
        <f t="shared" si="249"/>
        <v>16.28333333333369</v>
      </c>
      <c r="T980">
        <f t="shared" si="240"/>
        <v>16.710000000000008</v>
      </c>
      <c r="U980">
        <f t="shared" si="243"/>
        <v>1.35</v>
      </c>
      <c r="V980">
        <f t="shared" si="237"/>
        <v>1.59</v>
      </c>
      <c r="AC980" t="s">
        <v>2477</v>
      </c>
      <c r="AD980">
        <v>0.6</v>
      </c>
      <c r="AE980">
        <v>11.06</v>
      </c>
      <c r="AG980" t="str" cm="1">
        <f t="array" ref="AG980:AH980">_xlfn.TEXTSPLIT(AC981," ")</f>
        <v>26.10.2023</v>
      </c>
      <c r="AH980" t="str">
        <v>16:20:46</v>
      </c>
      <c r="AI980">
        <f t="shared" si="250"/>
        <v>16.28333333333369</v>
      </c>
      <c r="AJ980">
        <f t="shared" si="244"/>
        <v>6.53</v>
      </c>
      <c r="AK980">
        <f t="shared" si="245"/>
        <v>0.6</v>
      </c>
      <c r="AL980">
        <f t="shared" si="238"/>
        <v>1.375</v>
      </c>
      <c r="AN980" t="s">
        <v>2477</v>
      </c>
      <c r="AO980">
        <v>0.75</v>
      </c>
      <c r="AP980">
        <v>73.78</v>
      </c>
      <c r="AR980" t="str" cm="1">
        <f t="array" ref="AR980:AS980">_xlfn.TEXTSPLIT(AN980," ")</f>
        <v>26.10.2023</v>
      </c>
      <c r="AS980" t="str">
        <v>16:19:46</v>
      </c>
      <c r="AT980">
        <f t="shared" si="251"/>
        <v>16.28333333333369</v>
      </c>
      <c r="AU980">
        <f t="shared" si="246"/>
        <v>12.469999999999999</v>
      </c>
      <c r="AV980">
        <f t="shared" si="247"/>
        <v>0.75</v>
      </c>
      <c r="AW980">
        <f t="shared" si="239"/>
        <v>0.67999999999999994</v>
      </c>
    </row>
    <row r="981" spans="1:49" x14ac:dyDescent="0.25">
      <c r="A981" t="s">
        <v>2478</v>
      </c>
      <c r="B981">
        <v>0.75</v>
      </c>
      <c r="C981">
        <v>24.44</v>
      </c>
      <c r="E981" t="s">
        <v>2478</v>
      </c>
      <c r="F981">
        <v>1.5</v>
      </c>
      <c r="G981">
        <v>95.33</v>
      </c>
      <c r="I981" t="str" cm="1">
        <f t="array" ref="I981:J981">_xlfn.TEXTSPLIT(A981," ")</f>
        <v>27.10.2023</v>
      </c>
      <c r="J981" t="str">
        <v>16:20:37</v>
      </c>
      <c r="K981">
        <f t="shared" si="248"/>
        <v>16.300000000000356</v>
      </c>
      <c r="L981">
        <f t="shared" si="241"/>
        <v>10.120000000000001</v>
      </c>
      <c r="M981">
        <f t="shared" si="242"/>
        <v>0.75</v>
      </c>
      <c r="N981">
        <f t="shared" si="236"/>
        <v>0.91749999999999998</v>
      </c>
      <c r="Q981" t="str" cm="1">
        <f t="array" ref="Q981:R981">_xlfn.TEXTSPLIT(E981," ")</f>
        <v>27.10.2023</v>
      </c>
      <c r="R981" t="str">
        <v>16:20:37</v>
      </c>
      <c r="S981">
        <f t="shared" si="249"/>
        <v>16.300000000000356</v>
      </c>
      <c r="T981">
        <f t="shared" si="240"/>
        <v>16.730000000000004</v>
      </c>
      <c r="U981">
        <f t="shared" si="243"/>
        <v>1.5</v>
      </c>
      <c r="V981">
        <f t="shared" si="237"/>
        <v>1.5874999999999999</v>
      </c>
      <c r="AC981" t="s">
        <v>2479</v>
      </c>
      <c r="AD981">
        <v>0.45</v>
      </c>
      <c r="AE981">
        <v>11.07</v>
      </c>
      <c r="AG981" t="str" cm="1">
        <f t="array" ref="AG981:AH981">_xlfn.TEXTSPLIT(AC982," ")</f>
        <v>26.10.2023</v>
      </c>
      <c r="AH981" t="str">
        <v>16:21:46</v>
      </c>
      <c r="AI981">
        <f t="shared" si="250"/>
        <v>16.300000000000356</v>
      </c>
      <c r="AJ981">
        <f t="shared" si="244"/>
        <v>6.54</v>
      </c>
      <c r="AK981">
        <f t="shared" si="245"/>
        <v>0.45</v>
      </c>
      <c r="AL981">
        <f t="shared" si="238"/>
        <v>1.3750000000000002</v>
      </c>
      <c r="AN981" t="s">
        <v>2479</v>
      </c>
      <c r="AO981">
        <v>0.6</v>
      </c>
      <c r="AP981">
        <v>73.790000000000006</v>
      </c>
      <c r="AR981" t="str" cm="1">
        <f t="array" ref="AR981:AS981">_xlfn.TEXTSPLIT(AN981," ")</f>
        <v>26.10.2023</v>
      </c>
      <c r="AS981" t="str">
        <v>16:20:46</v>
      </c>
      <c r="AT981">
        <f t="shared" si="251"/>
        <v>16.300000000000356</v>
      </c>
      <c r="AU981">
        <f t="shared" si="246"/>
        <v>12.480000000000004</v>
      </c>
      <c r="AV981">
        <f t="shared" si="247"/>
        <v>0.6</v>
      </c>
      <c r="AW981">
        <f t="shared" si="239"/>
        <v>0.68</v>
      </c>
    </row>
    <row r="982" spans="1:49" x14ac:dyDescent="0.25">
      <c r="A982" t="s">
        <v>2480</v>
      </c>
      <c r="B982">
        <v>0.6</v>
      </c>
      <c r="C982">
        <v>24.45</v>
      </c>
      <c r="E982" t="s">
        <v>2480</v>
      </c>
      <c r="F982">
        <v>1.2</v>
      </c>
      <c r="G982">
        <v>95.35</v>
      </c>
      <c r="I982" t="str" cm="1">
        <f t="array" ref="I982:J982">_xlfn.TEXTSPLIT(A982," ")</f>
        <v>27.10.2023</v>
      </c>
      <c r="J982" t="str">
        <v>16:21:37</v>
      </c>
      <c r="K982">
        <f t="shared" si="248"/>
        <v>16.316666666667022</v>
      </c>
      <c r="L982">
        <f t="shared" si="241"/>
        <v>10.129999999999999</v>
      </c>
      <c r="M982">
        <f t="shared" si="242"/>
        <v>0.6</v>
      </c>
      <c r="N982">
        <f t="shared" si="236"/>
        <v>0.90999999999999992</v>
      </c>
      <c r="Q982" t="str" cm="1">
        <f t="array" ref="Q982:R982">_xlfn.TEXTSPLIT(E982," ")</f>
        <v>27.10.2023</v>
      </c>
      <c r="R982" t="str">
        <v>16:21:37</v>
      </c>
      <c r="S982">
        <f t="shared" si="249"/>
        <v>16.316666666667022</v>
      </c>
      <c r="T982">
        <f t="shared" si="240"/>
        <v>16.75</v>
      </c>
      <c r="U982">
        <f t="shared" si="243"/>
        <v>1.2</v>
      </c>
      <c r="V982">
        <f t="shared" si="237"/>
        <v>1.5825</v>
      </c>
      <c r="AC982" t="s">
        <v>2481</v>
      </c>
      <c r="AD982">
        <v>0.75</v>
      </c>
      <c r="AE982">
        <v>11.08</v>
      </c>
      <c r="AG982" t="str" cm="1">
        <f t="array" ref="AG982:AH982">_xlfn.TEXTSPLIT(AC983," ")</f>
        <v>26.10.2023</v>
      </c>
      <c r="AH982" t="str">
        <v>16:22:46</v>
      </c>
      <c r="AI982">
        <f t="shared" si="250"/>
        <v>16.316666666667022</v>
      </c>
      <c r="AJ982">
        <f t="shared" si="244"/>
        <v>6.55</v>
      </c>
      <c r="AK982">
        <f t="shared" si="245"/>
        <v>0.75</v>
      </c>
      <c r="AL982">
        <f t="shared" si="238"/>
        <v>1.3724999999999998</v>
      </c>
      <c r="AN982" t="s">
        <v>2481</v>
      </c>
      <c r="AO982">
        <v>0.45</v>
      </c>
      <c r="AP982">
        <v>73.8</v>
      </c>
      <c r="AR982" t="str" cm="1">
        <f t="array" ref="AR982:AS982">_xlfn.TEXTSPLIT(AN982," ")</f>
        <v>26.10.2023</v>
      </c>
      <c r="AS982" t="str">
        <v>16:21:46</v>
      </c>
      <c r="AT982">
        <f t="shared" si="251"/>
        <v>16.316666666667022</v>
      </c>
      <c r="AU982">
        <f t="shared" si="246"/>
        <v>12.489999999999995</v>
      </c>
      <c r="AV982">
        <f t="shared" si="247"/>
        <v>0.45</v>
      </c>
      <c r="AW982">
        <f t="shared" si="239"/>
        <v>0.67500000000000004</v>
      </c>
    </row>
    <row r="983" spans="1:49" x14ac:dyDescent="0.25">
      <c r="A983" t="s">
        <v>2482</v>
      </c>
      <c r="B983">
        <v>0.75</v>
      </c>
      <c r="C983">
        <v>24.46</v>
      </c>
      <c r="E983" t="s">
        <v>2482</v>
      </c>
      <c r="F983">
        <v>0.6</v>
      </c>
      <c r="G983">
        <v>95.36</v>
      </c>
      <c r="I983" t="str" cm="1">
        <f t="array" ref="I983:J983">_xlfn.TEXTSPLIT(A983," ")</f>
        <v>27.10.2023</v>
      </c>
      <c r="J983" t="str">
        <v>16:22:37</v>
      </c>
      <c r="K983">
        <f t="shared" si="248"/>
        <v>16.333333333333687</v>
      </c>
      <c r="L983">
        <f t="shared" si="241"/>
        <v>10.14</v>
      </c>
      <c r="M983">
        <f t="shared" si="242"/>
        <v>0.75</v>
      </c>
      <c r="N983">
        <f t="shared" si="236"/>
        <v>0.90749999999999986</v>
      </c>
      <c r="Q983" t="str" cm="1">
        <f t="array" ref="Q983:R983">_xlfn.TEXTSPLIT(E983," ")</f>
        <v>27.10.2023</v>
      </c>
      <c r="R983" t="str">
        <v>16:22:37</v>
      </c>
      <c r="S983">
        <f t="shared" si="249"/>
        <v>16.333333333333687</v>
      </c>
      <c r="T983">
        <f t="shared" si="240"/>
        <v>16.760000000000005</v>
      </c>
      <c r="U983">
        <f t="shared" si="243"/>
        <v>0.6</v>
      </c>
      <c r="V983">
        <f t="shared" si="237"/>
        <v>1.5725</v>
      </c>
      <c r="AC983" t="s">
        <v>2483</v>
      </c>
      <c r="AD983">
        <v>0.6</v>
      </c>
      <c r="AE983">
        <v>11.09</v>
      </c>
      <c r="AG983" t="str" cm="1">
        <f t="array" ref="AG983:AH983">_xlfn.TEXTSPLIT(AC984," ")</f>
        <v>26.10.2023</v>
      </c>
      <c r="AH983" t="str">
        <v>16:23:47</v>
      </c>
      <c r="AI983">
        <f t="shared" si="250"/>
        <v>16.333333333333687</v>
      </c>
      <c r="AJ983">
        <f t="shared" si="244"/>
        <v>6.56</v>
      </c>
      <c r="AK983">
        <f t="shared" si="245"/>
        <v>0.6</v>
      </c>
      <c r="AL983">
        <f t="shared" si="238"/>
        <v>1.375</v>
      </c>
      <c r="AN983" t="s">
        <v>2483</v>
      </c>
      <c r="AO983">
        <v>0.3</v>
      </c>
      <c r="AP983">
        <v>73.8</v>
      </c>
      <c r="AR983" t="str" cm="1">
        <f t="array" ref="AR983:AS983">_xlfn.TEXTSPLIT(AN983," ")</f>
        <v>26.10.2023</v>
      </c>
      <c r="AS983" t="str">
        <v>16:22:46</v>
      </c>
      <c r="AT983">
        <f t="shared" si="251"/>
        <v>16.333333333333687</v>
      </c>
      <c r="AU983">
        <f t="shared" si="246"/>
        <v>12.489999999999995</v>
      </c>
      <c r="AV983">
        <f t="shared" si="247"/>
        <v>0.3</v>
      </c>
      <c r="AW983">
        <f t="shared" si="239"/>
        <v>0.67249999999999999</v>
      </c>
    </row>
    <row r="984" spans="1:49" x14ac:dyDescent="0.25">
      <c r="A984" t="s">
        <v>2484</v>
      </c>
      <c r="B984">
        <v>0</v>
      </c>
      <c r="C984">
        <v>24.46</v>
      </c>
      <c r="E984" t="s">
        <v>2484</v>
      </c>
      <c r="F984">
        <v>0.9</v>
      </c>
      <c r="G984">
        <v>95.37</v>
      </c>
      <c r="I984" t="str" cm="1">
        <f t="array" ref="I984:J984">_xlfn.TEXTSPLIT(A984," ")</f>
        <v>27.10.2023</v>
      </c>
      <c r="J984" t="str">
        <v>16:23:37</v>
      </c>
      <c r="K984">
        <f t="shared" si="248"/>
        <v>16.350000000000353</v>
      </c>
      <c r="L984">
        <f t="shared" si="241"/>
        <v>10.14</v>
      </c>
      <c r="M984">
        <f t="shared" si="242"/>
        <v>0</v>
      </c>
      <c r="N984">
        <f t="shared" si="236"/>
        <v>0.90749999999999986</v>
      </c>
      <c r="Q984" t="str" cm="1">
        <f t="array" ref="Q984:R984">_xlfn.TEXTSPLIT(E984," ")</f>
        <v>27.10.2023</v>
      </c>
      <c r="R984" t="str">
        <v>16:23:37</v>
      </c>
      <c r="S984">
        <f t="shared" si="249"/>
        <v>16.350000000000353</v>
      </c>
      <c r="T984">
        <f t="shared" si="240"/>
        <v>16.77000000000001</v>
      </c>
      <c r="U984">
        <f t="shared" si="243"/>
        <v>0.9</v>
      </c>
      <c r="V984">
        <f t="shared" si="237"/>
        <v>1.57</v>
      </c>
      <c r="AC984" t="s">
        <v>2485</v>
      </c>
      <c r="AD984">
        <v>0.6</v>
      </c>
      <c r="AE984">
        <v>11.09</v>
      </c>
      <c r="AG984" t="str" cm="1">
        <f t="array" ref="AG984:AH984">_xlfn.TEXTSPLIT(AC985," ")</f>
        <v>26.10.2023</v>
      </c>
      <c r="AH984" t="str">
        <v>16:24:47</v>
      </c>
      <c r="AI984">
        <f t="shared" si="250"/>
        <v>16.350000000000353</v>
      </c>
      <c r="AJ984">
        <f t="shared" si="244"/>
        <v>6.56</v>
      </c>
      <c r="AK984">
        <f t="shared" si="245"/>
        <v>0.6</v>
      </c>
      <c r="AL984">
        <f t="shared" si="238"/>
        <v>1.3749999999999998</v>
      </c>
      <c r="AN984" t="s">
        <v>2485</v>
      </c>
      <c r="AO984">
        <v>0</v>
      </c>
      <c r="AP984">
        <v>73.8</v>
      </c>
      <c r="AR984" t="str" cm="1">
        <f t="array" ref="AR984:AS984">_xlfn.TEXTSPLIT(AN984," ")</f>
        <v>26.10.2023</v>
      </c>
      <c r="AS984" t="str">
        <v>16:23:47</v>
      </c>
      <c r="AT984">
        <f t="shared" si="251"/>
        <v>16.350000000000353</v>
      </c>
      <c r="AU984">
        <f t="shared" si="246"/>
        <v>12.489999999999995</v>
      </c>
      <c r="AV984">
        <f t="shared" si="247"/>
        <v>0</v>
      </c>
      <c r="AW984">
        <f t="shared" si="239"/>
        <v>0.67249999999999999</v>
      </c>
    </row>
    <row r="985" spans="1:49" x14ac:dyDescent="0.25">
      <c r="A985" t="s">
        <v>2486</v>
      </c>
      <c r="B985">
        <v>0</v>
      </c>
      <c r="C985">
        <v>24.46</v>
      </c>
      <c r="E985" t="s">
        <v>2486</v>
      </c>
      <c r="F985">
        <v>1.05</v>
      </c>
      <c r="G985">
        <v>95.39</v>
      </c>
      <c r="I985" t="str" cm="1">
        <f t="array" ref="I985:J985">_xlfn.TEXTSPLIT(A985," ")</f>
        <v>27.10.2023</v>
      </c>
      <c r="J985" t="str">
        <v>16:24:37</v>
      </c>
      <c r="K985">
        <f t="shared" si="248"/>
        <v>16.366666666667019</v>
      </c>
      <c r="L985">
        <f t="shared" si="241"/>
        <v>10.14</v>
      </c>
      <c r="M985">
        <f t="shared" si="242"/>
        <v>0</v>
      </c>
      <c r="N985">
        <f t="shared" si="236"/>
        <v>0.90749999999999986</v>
      </c>
      <c r="Q985" t="str" cm="1">
        <f t="array" ref="Q985:R985">_xlfn.TEXTSPLIT(E985," ")</f>
        <v>27.10.2023</v>
      </c>
      <c r="R985" t="str">
        <v>16:24:37</v>
      </c>
      <c r="S985">
        <f t="shared" si="249"/>
        <v>16.366666666667019</v>
      </c>
      <c r="T985">
        <f t="shared" si="240"/>
        <v>16.790000000000006</v>
      </c>
      <c r="U985">
        <f t="shared" si="243"/>
        <v>1.05</v>
      </c>
      <c r="V985">
        <f t="shared" si="237"/>
        <v>1.5725000000000002</v>
      </c>
      <c r="AC985" t="s">
        <v>2487</v>
      </c>
      <c r="AD985">
        <v>0</v>
      </c>
      <c r="AE985">
        <v>11.09</v>
      </c>
      <c r="AG985" t="str" cm="1">
        <f t="array" ref="AG985:AH985">_xlfn.TEXTSPLIT(AC986," ")</f>
        <v>26.10.2023</v>
      </c>
      <c r="AH985" t="str">
        <v>16:25:47</v>
      </c>
      <c r="AI985">
        <f t="shared" si="250"/>
        <v>16.366666666667019</v>
      </c>
      <c r="AJ985">
        <f t="shared" si="244"/>
        <v>6.56</v>
      </c>
      <c r="AK985">
        <f t="shared" si="245"/>
        <v>0</v>
      </c>
      <c r="AL985">
        <f t="shared" si="238"/>
        <v>1.3749999999999998</v>
      </c>
      <c r="AN985" t="s">
        <v>2487</v>
      </c>
      <c r="AO985">
        <v>0</v>
      </c>
      <c r="AP985">
        <v>73.8</v>
      </c>
      <c r="AR985" t="str" cm="1">
        <f t="array" ref="AR985:AS985">_xlfn.TEXTSPLIT(AN985," ")</f>
        <v>26.10.2023</v>
      </c>
      <c r="AS985" t="str">
        <v>16:24:47</v>
      </c>
      <c r="AT985">
        <f t="shared" si="251"/>
        <v>16.366666666667019</v>
      </c>
      <c r="AU985">
        <f t="shared" si="246"/>
        <v>12.489999999999995</v>
      </c>
      <c r="AV985">
        <f t="shared" si="247"/>
        <v>0</v>
      </c>
      <c r="AW985">
        <f t="shared" si="239"/>
        <v>0.66999999999999993</v>
      </c>
    </row>
    <row r="986" spans="1:49" x14ac:dyDescent="0.25">
      <c r="A986" t="s">
        <v>2488</v>
      </c>
      <c r="B986">
        <v>0</v>
      </c>
      <c r="C986">
        <v>24.47</v>
      </c>
      <c r="E986" t="s">
        <v>2488</v>
      </c>
      <c r="F986">
        <v>0.75</v>
      </c>
      <c r="G986">
        <v>95.4</v>
      </c>
      <c r="I986" t="str" cm="1">
        <f t="array" ref="I986:J986">_xlfn.TEXTSPLIT(A986," ")</f>
        <v>27.10.2023</v>
      </c>
      <c r="J986" t="str">
        <v>16:25:37</v>
      </c>
      <c r="K986">
        <f t="shared" si="248"/>
        <v>16.383333333333685</v>
      </c>
      <c r="L986">
        <f t="shared" si="241"/>
        <v>10.149999999999999</v>
      </c>
      <c r="M986">
        <f t="shared" si="242"/>
        <v>0</v>
      </c>
      <c r="N986">
        <f t="shared" si="236"/>
        <v>0.9049999999999998</v>
      </c>
      <c r="Q986" t="str" cm="1">
        <f t="array" ref="Q986:R986">_xlfn.TEXTSPLIT(E986," ")</f>
        <v>27.10.2023</v>
      </c>
      <c r="R986" t="str">
        <v>16:25:37</v>
      </c>
      <c r="S986">
        <f t="shared" si="249"/>
        <v>16.383333333333685</v>
      </c>
      <c r="T986">
        <f t="shared" si="240"/>
        <v>16.800000000000011</v>
      </c>
      <c r="U986">
        <f t="shared" si="243"/>
        <v>0.75</v>
      </c>
      <c r="V986">
        <f t="shared" si="237"/>
        <v>1.5725000000000002</v>
      </c>
      <c r="AC986" t="s">
        <v>2489</v>
      </c>
      <c r="AD986">
        <v>0</v>
      </c>
      <c r="AE986">
        <v>11.09</v>
      </c>
      <c r="AG986" t="str" cm="1">
        <f t="array" ref="AG986:AH986">_xlfn.TEXTSPLIT(AC987," ")</f>
        <v>26.10.2023</v>
      </c>
      <c r="AH986" t="str">
        <v>16:26:47</v>
      </c>
      <c r="AI986">
        <f t="shared" si="250"/>
        <v>16.383333333333685</v>
      </c>
      <c r="AJ986">
        <f t="shared" si="244"/>
        <v>6.56</v>
      </c>
      <c r="AK986">
        <f t="shared" si="245"/>
        <v>0</v>
      </c>
      <c r="AL986">
        <f t="shared" si="238"/>
        <v>1.3749999999999998</v>
      </c>
      <c r="AN986" t="s">
        <v>2489</v>
      </c>
      <c r="AO986">
        <v>0.15</v>
      </c>
      <c r="AP986">
        <v>73.8</v>
      </c>
      <c r="AR986" t="str" cm="1">
        <f t="array" ref="AR986:AS986">_xlfn.TEXTSPLIT(AN986," ")</f>
        <v>26.10.2023</v>
      </c>
      <c r="AS986" t="str">
        <v>16:25:47</v>
      </c>
      <c r="AT986">
        <f t="shared" si="251"/>
        <v>16.383333333333685</v>
      </c>
      <c r="AU986">
        <f t="shared" si="246"/>
        <v>12.489999999999995</v>
      </c>
      <c r="AV986">
        <f t="shared" si="247"/>
        <v>0.15</v>
      </c>
      <c r="AW986">
        <f t="shared" si="239"/>
        <v>0.66749999999999998</v>
      </c>
    </row>
    <row r="987" spans="1:49" x14ac:dyDescent="0.25">
      <c r="A987" t="s">
        <v>2490</v>
      </c>
      <c r="B987">
        <v>0.45</v>
      </c>
      <c r="C987">
        <v>24.47</v>
      </c>
      <c r="E987" t="s">
        <v>2490</v>
      </c>
      <c r="F987">
        <v>0.6</v>
      </c>
      <c r="G987">
        <v>95.41</v>
      </c>
      <c r="I987" t="str" cm="1">
        <f t="array" ref="I987:J987">_xlfn.TEXTSPLIT(A987," ")</f>
        <v>27.10.2023</v>
      </c>
      <c r="J987" t="str">
        <v>16:26:37</v>
      </c>
      <c r="K987">
        <f t="shared" si="248"/>
        <v>16.40000000000035</v>
      </c>
      <c r="L987">
        <f t="shared" si="241"/>
        <v>10.149999999999999</v>
      </c>
      <c r="M987">
        <f t="shared" si="242"/>
        <v>0.45</v>
      </c>
      <c r="N987">
        <f t="shared" si="236"/>
        <v>0.90749999999999997</v>
      </c>
      <c r="Q987" t="str" cm="1">
        <f t="array" ref="Q987:R987">_xlfn.TEXTSPLIT(E987," ")</f>
        <v>27.10.2023</v>
      </c>
      <c r="R987" t="str">
        <v>16:26:37</v>
      </c>
      <c r="S987">
        <f t="shared" si="249"/>
        <v>16.40000000000035</v>
      </c>
      <c r="T987">
        <f t="shared" si="240"/>
        <v>16.810000000000002</v>
      </c>
      <c r="U987">
        <f t="shared" si="243"/>
        <v>0.6</v>
      </c>
      <c r="V987">
        <f t="shared" si="237"/>
        <v>1.57</v>
      </c>
      <c r="AC987" t="s">
        <v>2491</v>
      </c>
      <c r="AD987">
        <v>0</v>
      </c>
      <c r="AE987">
        <v>11.09</v>
      </c>
      <c r="AG987" t="str" cm="1">
        <f t="array" ref="AG987:AH987">_xlfn.TEXTSPLIT(AC988," ")</f>
        <v>26.10.2023</v>
      </c>
      <c r="AH987" t="str">
        <v>16:27:47</v>
      </c>
      <c r="AI987">
        <f t="shared" si="250"/>
        <v>16.40000000000035</v>
      </c>
      <c r="AJ987">
        <f t="shared" si="244"/>
        <v>6.56</v>
      </c>
      <c r="AK987">
        <f t="shared" si="245"/>
        <v>0</v>
      </c>
      <c r="AL987">
        <f t="shared" si="238"/>
        <v>1.3749999999999998</v>
      </c>
      <c r="AN987" t="s">
        <v>2491</v>
      </c>
      <c r="AO987">
        <v>0</v>
      </c>
      <c r="AP987">
        <v>73.8</v>
      </c>
      <c r="AR987" t="str" cm="1">
        <f t="array" ref="AR987:AS987">_xlfn.TEXTSPLIT(AN987," ")</f>
        <v>26.10.2023</v>
      </c>
      <c r="AS987" t="str">
        <v>16:26:47</v>
      </c>
      <c r="AT987">
        <f t="shared" si="251"/>
        <v>16.40000000000035</v>
      </c>
      <c r="AU987">
        <f t="shared" si="246"/>
        <v>12.489999999999995</v>
      </c>
      <c r="AV987">
        <f t="shared" si="247"/>
        <v>0</v>
      </c>
      <c r="AW987">
        <f t="shared" si="239"/>
        <v>0.66249999999999998</v>
      </c>
    </row>
    <row r="988" spans="1:49" x14ac:dyDescent="0.25">
      <c r="A988" t="s">
        <v>2492</v>
      </c>
      <c r="B988">
        <v>0.3</v>
      </c>
      <c r="C988">
        <v>24.47</v>
      </c>
      <c r="E988" t="s">
        <v>2492</v>
      </c>
      <c r="F988">
        <v>0.9</v>
      </c>
      <c r="G988">
        <v>95.42</v>
      </c>
      <c r="I988" t="str" cm="1">
        <f t="array" ref="I988:J988">_xlfn.TEXTSPLIT(A988," ")</f>
        <v>27.10.2023</v>
      </c>
      <c r="J988" t="str">
        <v>16:27:38</v>
      </c>
      <c r="K988">
        <f t="shared" si="248"/>
        <v>16.416666666667016</v>
      </c>
      <c r="L988">
        <f t="shared" si="241"/>
        <v>10.149999999999999</v>
      </c>
      <c r="M988">
        <f t="shared" si="242"/>
        <v>0.3</v>
      </c>
      <c r="N988">
        <f t="shared" si="236"/>
        <v>0.9049999999999998</v>
      </c>
      <c r="Q988" t="str" cm="1">
        <f t="array" ref="Q988:R988">_xlfn.TEXTSPLIT(E988," ")</f>
        <v>27.10.2023</v>
      </c>
      <c r="R988" t="str">
        <v>16:27:38</v>
      </c>
      <c r="S988">
        <f t="shared" si="249"/>
        <v>16.416666666667016</v>
      </c>
      <c r="T988">
        <f t="shared" si="240"/>
        <v>16.820000000000007</v>
      </c>
      <c r="U988">
        <f t="shared" si="243"/>
        <v>0.9</v>
      </c>
      <c r="V988">
        <f t="shared" si="237"/>
        <v>1.5675000000000001</v>
      </c>
      <c r="AC988" t="s">
        <v>2493</v>
      </c>
      <c r="AD988">
        <v>0</v>
      </c>
      <c r="AE988">
        <v>11.09</v>
      </c>
      <c r="AG988" t="str" cm="1">
        <f t="array" ref="AG988:AH988">_xlfn.TEXTSPLIT(AC989," ")</f>
        <v>26.10.2023</v>
      </c>
      <c r="AH988" t="str">
        <v>16:28:47</v>
      </c>
      <c r="AI988">
        <f t="shared" si="250"/>
        <v>16.416666666667016</v>
      </c>
      <c r="AJ988">
        <f t="shared" si="244"/>
        <v>6.56</v>
      </c>
      <c r="AK988">
        <f t="shared" si="245"/>
        <v>0</v>
      </c>
      <c r="AL988">
        <f t="shared" si="238"/>
        <v>1.3749999999999998</v>
      </c>
      <c r="AN988" t="s">
        <v>2493</v>
      </c>
      <c r="AO988">
        <v>0.15</v>
      </c>
      <c r="AP988">
        <v>73.81</v>
      </c>
      <c r="AR988" t="str" cm="1">
        <f t="array" ref="AR988:AS988">_xlfn.TEXTSPLIT(AN988," ")</f>
        <v>26.10.2023</v>
      </c>
      <c r="AS988" t="str">
        <v>16:27:47</v>
      </c>
      <c r="AT988">
        <f t="shared" si="251"/>
        <v>16.416666666667016</v>
      </c>
      <c r="AU988">
        <f t="shared" si="246"/>
        <v>12.5</v>
      </c>
      <c r="AV988">
        <f t="shared" si="247"/>
        <v>0.15</v>
      </c>
      <c r="AW988">
        <f t="shared" si="239"/>
        <v>0.65999999999999992</v>
      </c>
    </row>
    <row r="989" spans="1:49" x14ac:dyDescent="0.25">
      <c r="A989" t="s">
        <v>2494</v>
      </c>
      <c r="B989">
        <v>0.3</v>
      </c>
      <c r="C989">
        <v>24.48</v>
      </c>
      <c r="E989" t="s">
        <v>2494</v>
      </c>
      <c r="F989">
        <v>0.75</v>
      </c>
      <c r="G989">
        <v>95.44</v>
      </c>
      <c r="I989" t="str" cm="1">
        <f t="array" ref="I989:J989">_xlfn.TEXTSPLIT(A989," ")</f>
        <v>27.10.2023</v>
      </c>
      <c r="J989" t="str">
        <v>16:28:38</v>
      </c>
      <c r="K989">
        <f t="shared" si="248"/>
        <v>16.433333333333682</v>
      </c>
      <c r="L989">
        <f t="shared" si="241"/>
        <v>10.16</v>
      </c>
      <c r="M989">
        <f t="shared" si="242"/>
        <v>0.3</v>
      </c>
      <c r="N989">
        <f t="shared" si="236"/>
        <v>0.9049999999999998</v>
      </c>
      <c r="Q989" t="str" cm="1">
        <f t="array" ref="Q989:R989">_xlfn.TEXTSPLIT(E989," ")</f>
        <v>27.10.2023</v>
      </c>
      <c r="R989" t="str">
        <v>16:28:38</v>
      </c>
      <c r="S989">
        <f t="shared" si="249"/>
        <v>16.433333333333682</v>
      </c>
      <c r="T989">
        <f t="shared" si="240"/>
        <v>16.840000000000003</v>
      </c>
      <c r="U989">
        <f t="shared" si="243"/>
        <v>0.75</v>
      </c>
      <c r="V989">
        <f t="shared" si="237"/>
        <v>1.5575000000000001</v>
      </c>
      <c r="AC989" t="s">
        <v>2495</v>
      </c>
      <c r="AD989">
        <v>0</v>
      </c>
      <c r="AE989">
        <v>11.09</v>
      </c>
      <c r="AG989" t="str" cm="1">
        <f t="array" ref="AG989:AH989">_xlfn.TEXTSPLIT(AC990," ")</f>
        <v>26.10.2023</v>
      </c>
      <c r="AH989" t="str">
        <v>16:29:47</v>
      </c>
      <c r="AI989">
        <f t="shared" si="250"/>
        <v>16.433333333333682</v>
      </c>
      <c r="AJ989">
        <f t="shared" si="244"/>
        <v>6.56</v>
      </c>
      <c r="AK989">
        <f t="shared" si="245"/>
        <v>0</v>
      </c>
      <c r="AL989">
        <f t="shared" si="238"/>
        <v>1.3749999999999998</v>
      </c>
      <c r="AN989" t="s">
        <v>2495</v>
      </c>
      <c r="AO989">
        <v>0.15</v>
      </c>
      <c r="AP989">
        <v>73.81</v>
      </c>
      <c r="AR989" t="str" cm="1">
        <f t="array" ref="AR989:AS989">_xlfn.TEXTSPLIT(AN989," ")</f>
        <v>26.10.2023</v>
      </c>
      <c r="AS989" t="str">
        <v>16:28:47</v>
      </c>
      <c r="AT989">
        <f t="shared" si="251"/>
        <v>16.433333333333682</v>
      </c>
      <c r="AU989">
        <f t="shared" si="246"/>
        <v>12.5</v>
      </c>
      <c r="AV989">
        <f t="shared" si="247"/>
        <v>0.15</v>
      </c>
      <c r="AW989">
        <f t="shared" si="239"/>
        <v>0.65999999999999992</v>
      </c>
    </row>
    <row r="990" spans="1:49" x14ac:dyDescent="0.25">
      <c r="A990" t="s">
        <v>2496</v>
      </c>
      <c r="B990">
        <v>0.6</v>
      </c>
      <c r="C990">
        <v>24.49</v>
      </c>
      <c r="E990" t="s">
        <v>2496</v>
      </c>
      <c r="F990">
        <v>0.9</v>
      </c>
      <c r="G990">
        <v>95.45</v>
      </c>
      <c r="I990" t="str" cm="1">
        <f t="array" ref="I990:J990">_xlfn.TEXTSPLIT(A990," ")</f>
        <v>27.10.2023</v>
      </c>
      <c r="J990" t="str">
        <v>16:29:38</v>
      </c>
      <c r="K990">
        <f t="shared" si="248"/>
        <v>16.450000000000347</v>
      </c>
      <c r="L990">
        <f t="shared" si="241"/>
        <v>10.169999999999998</v>
      </c>
      <c r="M990">
        <f t="shared" si="242"/>
        <v>0.6</v>
      </c>
      <c r="N990">
        <f t="shared" si="236"/>
        <v>0.90999999999999981</v>
      </c>
      <c r="Q990" t="str" cm="1">
        <f t="array" ref="Q990:R990">_xlfn.TEXTSPLIT(E990," ")</f>
        <v>27.10.2023</v>
      </c>
      <c r="R990" t="str">
        <v>16:29:38</v>
      </c>
      <c r="S990">
        <f t="shared" si="249"/>
        <v>16.450000000000347</v>
      </c>
      <c r="T990">
        <f t="shared" si="240"/>
        <v>16.850000000000009</v>
      </c>
      <c r="U990">
        <f t="shared" si="243"/>
        <v>0.9</v>
      </c>
      <c r="V990">
        <f t="shared" si="237"/>
        <v>1.5475000000000001</v>
      </c>
      <c r="AC990" t="s">
        <v>2497</v>
      </c>
      <c r="AD990">
        <v>0</v>
      </c>
      <c r="AE990">
        <v>11.09</v>
      </c>
      <c r="AG990" t="str" cm="1">
        <f t="array" ref="AG990:AH990">_xlfn.TEXTSPLIT(AC991," ")</f>
        <v>26.10.2023</v>
      </c>
      <c r="AH990" t="str">
        <v>16:30:48</v>
      </c>
      <c r="AI990">
        <f t="shared" si="250"/>
        <v>16.450000000000347</v>
      </c>
      <c r="AJ990">
        <f t="shared" si="244"/>
        <v>6.56</v>
      </c>
      <c r="AK990">
        <f t="shared" si="245"/>
        <v>0</v>
      </c>
      <c r="AL990">
        <f t="shared" si="238"/>
        <v>1.3749999999999998</v>
      </c>
      <c r="AN990" t="s">
        <v>2497</v>
      </c>
      <c r="AO990">
        <v>0.15</v>
      </c>
      <c r="AP990">
        <v>73.81</v>
      </c>
      <c r="AR990" t="str" cm="1">
        <f t="array" ref="AR990:AS990">_xlfn.TEXTSPLIT(AN990," ")</f>
        <v>26.10.2023</v>
      </c>
      <c r="AS990" t="str">
        <v>16:29:47</v>
      </c>
      <c r="AT990">
        <f t="shared" si="251"/>
        <v>16.450000000000347</v>
      </c>
      <c r="AU990">
        <f t="shared" si="246"/>
        <v>12.5</v>
      </c>
      <c r="AV990">
        <f t="shared" si="247"/>
        <v>0.15</v>
      </c>
      <c r="AW990">
        <f t="shared" si="239"/>
        <v>0.6549999999999998</v>
      </c>
    </row>
    <row r="991" spans="1:49" x14ac:dyDescent="0.25">
      <c r="A991" t="s">
        <v>2498</v>
      </c>
      <c r="B991">
        <v>0.6</v>
      </c>
      <c r="C991">
        <v>24.5</v>
      </c>
      <c r="E991" t="s">
        <v>2498</v>
      </c>
      <c r="F991">
        <v>1.35</v>
      </c>
      <c r="G991">
        <v>95.48</v>
      </c>
      <c r="I991" t="str" cm="1">
        <f t="array" ref="I991:J991">_xlfn.TEXTSPLIT(A991," ")</f>
        <v>27.10.2023</v>
      </c>
      <c r="J991" t="str">
        <v>16:30:38</v>
      </c>
      <c r="K991">
        <f t="shared" si="248"/>
        <v>16.466666666667013</v>
      </c>
      <c r="L991">
        <f t="shared" si="241"/>
        <v>10.18</v>
      </c>
      <c r="M991">
        <f t="shared" si="242"/>
        <v>0.6</v>
      </c>
      <c r="N991">
        <f t="shared" si="236"/>
        <v>0.90749999999999986</v>
      </c>
      <c r="Q991" t="str" cm="1">
        <f t="array" ref="Q991:R991">_xlfn.TEXTSPLIT(E991," ")</f>
        <v>27.10.2023</v>
      </c>
      <c r="R991" t="str">
        <v>16:30:38</v>
      </c>
      <c r="S991">
        <f t="shared" si="249"/>
        <v>16.466666666667013</v>
      </c>
      <c r="T991">
        <f t="shared" si="240"/>
        <v>16.88000000000001</v>
      </c>
      <c r="U991">
        <f t="shared" si="243"/>
        <v>1.35</v>
      </c>
      <c r="V991">
        <f t="shared" si="237"/>
        <v>1.55</v>
      </c>
      <c r="AC991" t="s">
        <v>2499</v>
      </c>
      <c r="AD991">
        <v>0</v>
      </c>
      <c r="AE991">
        <v>11.09</v>
      </c>
      <c r="AG991" t="str" cm="1">
        <f t="array" ref="AG991:AH991">_xlfn.TEXTSPLIT(AC992," ")</f>
        <v>26.10.2023</v>
      </c>
      <c r="AH991" t="str">
        <v>16:31:48</v>
      </c>
      <c r="AI991">
        <f t="shared" si="250"/>
        <v>16.466666666667013</v>
      </c>
      <c r="AJ991">
        <f t="shared" si="244"/>
        <v>6.56</v>
      </c>
      <c r="AK991">
        <f t="shared" si="245"/>
        <v>0</v>
      </c>
      <c r="AL991">
        <f t="shared" si="238"/>
        <v>1.3749999999999998</v>
      </c>
      <c r="AN991" t="s">
        <v>2499</v>
      </c>
      <c r="AO991">
        <v>0.3</v>
      </c>
      <c r="AP991">
        <v>73.81</v>
      </c>
      <c r="AR991" t="str" cm="1">
        <f t="array" ref="AR991:AS991">_xlfn.TEXTSPLIT(AN991," ")</f>
        <v>26.10.2023</v>
      </c>
      <c r="AS991" t="str">
        <v>16:30:48</v>
      </c>
      <c r="AT991">
        <f t="shared" si="251"/>
        <v>16.466666666667013</v>
      </c>
      <c r="AU991">
        <f t="shared" si="246"/>
        <v>12.5</v>
      </c>
      <c r="AV991">
        <f t="shared" si="247"/>
        <v>0.3</v>
      </c>
      <c r="AW991">
        <f t="shared" si="239"/>
        <v>0.65499999999999969</v>
      </c>
    </row>
    <row r="992" spans="1:49" x14ac:dyDescent="0.25">
      <c r="A992" t="s">
        <v>2500</v>
      </c>
      <c r="B992">
        <v>0.6</v>
      </c>
      <c r="C992">
        <v>24.51</v>
      </c>
      <c r="E992" t="s">
        <v>2500</v>
      </c>
      <c r="F992">
        <v>1.95</v>
      </c>
      <c r="G992">
        <v>95.51</v>
      </c>
      <c r="I992" t="str" cm="1">
        <f t="array" ref="I992:J992">_xlfn.TEXTSPLIT(A992," ")</f>
        <v>27.10.2023</v>
      </c>
      <c r="J992" t="str">
        <v>16:31:38</v>
      </c>
      <c r="K992">
        <f t="shared" si="248"/>
        <v>16.483333333333679</v>
      </c>
      <c r="L992">
        <f t="shared" si="241"/>
        <v>10.190000000000001</v>
      </c>
      <c r="M992">
        <f t="shared" si="242"/>
        <v>0.6</v>
      </c>
      <c r="N992">
        <f t="shared" si="236"/>
        <v>0.90999999999999992</v>
      </c>
      <c r="Q992" t="str" cm="1">
        <f t="array" ref="Q992:R992">_xlfn.TEXTSPLIT(E992," ")</f>
        <v>27.10.2023</v>
      </c>
      <c r="R992" t="str">
        <v>16:31:38</v>
      </c>
      <c r="S992">
        <f t="shared" si="249"/>
        <v>16.483333333333679</v>
      </c>
      <c r="T992">
        <f t="shared" si="240"/>
        <v>16.910000000000011</v>
      </c>
      <c r="U992">
        <f t="shared" si="243"/>
        <v>1.95</v>
      </c>
      <c r="V992">
        <f t="shared" si="237"/>
        <v>1.5650000000000002</v>
      </c>
      <c r="AC992" t="s">
        <v>2501</v>
      </c>
      <c r="AD992">
        <v>0</v>
      </c>
      <c r="AE992">
        <v>11.1</v>
      </c>
      <c r="AG992" t="str" cm="1">
        <f t="array" ref="AG992:AH992">_xlfn.TEXTSPLIT(AC993," ")</f>
        <v>26.10.2023</v>
      </c>
      <c r="AH992" t="str">
        <v>16:32:48</v>
      </c>
      <c r="AI992">
        <f t="shared" si="250"/>
        <v>16.483333333333679</v>
      </c>
      <c r="AJ992">
        <f t="shared" si="244"/>
        <v>6.5699999999999994</v>
      </c>
      <c r="AK992">
        <f t="shared" si="245"/>
        <v>0</v>
      </c>
      <c r="AL992">
        <f t="shared" si="238"/>
        <v>1.3749999999999998</v>
      </c>
      <c r="AN992" t="s">
        <v>2501</v>
      </c>
      <c r="AO992">
        <v>0.15</v>
      </c>
      <c r="AP992">
        <v>73.819999999999993</v>
      </c>
      <c r="AR992" t="str" cm="1">
        <f t="array" ref="AR992:AS992">_xlfn.TEXTSPLIT(AN992," ")</f>
        <v>26.10.2023</v>
      </c>
      <c r="AS992" t="str">
        <v>16:31:48</v>
      </c>
      <c r="AT992">
        <f t="shared" si="251"/>
        <v>16.483333333333679</v>
      </c>
      <c r="AU992">
        <f t="shared" si="246"/>
        <v>12.509999999999991</v>
      </c>
      <c r="AV992">
        <f t="shared" si="247"/>
        <v>0.15</v>
      </c>
      <c r="AW992">
        <f t="shared" si="239"/>
        <v>0.6499999999999998</v>
      </c>
    </row>
    <row r="993" spans="1:49" x14ac:dyDescent="0.25">
      <c r="A993" t="s">
        <v>2502</v>
      </c>
      <c r="B993">
        <v>0.9</v>
      </c>
      <c r="C993">
        <v>24.52</v>
      </c>
      <c r="E993" t="s">
        <v>2502</v>
      </c>
      <c r="F993">
        <v>1.35</v>
      </c>
      <c r="G993">
        <v>95.52</v>
      </c>
      <c r="I993" t="str" cm="1">
        <f t="array" ref="I993:J993">_xlfn.TEXTSPLIT(A993," ")</f>
        <v>27.10.2023</v>
      </c>
      <c r="J993" t="str">
        <v>16:32:38</v>
      </c>
      <c r="K993">
        <f t="shared" si="248"/>
        <v>16.500000000000345</v>
      </c>
      <c r="L993">
        <f t="shared" si="241"/>
        <v>10.199999999999999</v>
      </c>
      <c r="M993">
        <f t="shared" si="242"/>
        <v>0.9</v>
      </c>
      <c r="N993">
        <f t="shared" si="236"/>
        <v>0.91499999999999981</v>
      </c>
      <c r="Q993" t="str" cm="1">
        <f t="array" ref="Q993:R993">_xlfn.TEXTSPLIT(E993," ")</f>
        <v>27.10.2023</v>
      </c>
      <c r="R993" t="str">
        <v>16:32:38</v>
      </c>
      <c r="S993">
        <f t="shared" si="249"/>
        <v>16.500000000000345</v>
      </c>
      <c r="T993">
        <f t="shared" si="240"/>
        <v>16.920000000000002</v>
      </c>
      <c r="U993">
        <f t="shared" si="243"/>
        <v>1.35</v>
      </c>
      <c r="V993">
        <f t="shared" si="237"/>
        <v>1.5674999999999999</v>
      </c>
      <c r="AC993" t="s">
        <v>2503</v>
      </c>
      <c r="AD993">
        <v>0.3</v>
      </c>
      <c r="AE993">
        <v>11.1</v>
      </c>
      <c r="AG993" t="str" cm="1">
        <f t="array" ref="AG993:AH993">_xlfn.TEXTSPLIT(AC994," ")</f>
        <v>26.10.2023</v>
      </c>
      <c r="AH993" t="str">
        <v>16:33:48</v>
      </c>
      <c r="AI993">
        <f t="shared" si="250"/>
        <v>16.500000000000345</v>
      </c>
      <c r="AJ993">
        <f t="shared" si="244"/>
        <v>6.5699999999999994</v>
      </c>
      <c r="AK993">
        <f t="shared" si="245"/>
        <v>0.3</v>
      </c>
      <c r="AL993">
        <f t="shared" si="238"/>
        <v>1.3799999999999997</v>
      </c>
      <c r="AN993" t="s">
        <v>2503</v>
      </c>
      <c r="AO993">
        <v>0.3</v>
      </c>
      <c r="AP993">
        <v>73.819999999999993</v>
      </c>
      <c r="AR993" t="str" cm="1">
        <f t="array" ref="AR993:AS993">_xlfn.TEXTSPLIT(AN993," ")</f>
        <v>26.10.2023</v>
      </c>
      <c r="AS993" t="str">
        <v>16:32:48</v>
      </c>
      <c r="AT993">
        <f t="shared" si="251"/>
        <v>16.500000000000345</v>
      </c>
      <c r="AU993">
        <f t="shared" si="246"/>
        <v>12.509999999999991</v>
      </c>
      <c r="AV993">
        <f t="shared" si="247"/>
        <v>0.3</v>
      </c>
      <c r="AW993">
        <f t="shared" si="239"/>
        <v>0.64749999999999963</v>
      </c>
    </row>
    <row r="994" spans="1:49" x14ac:dyDescent="0.25">
      <c r="A994" t="s">
        <v>2504</v>
      </c>
      <c r="B994">
        <v>0.45</v>
      </c>
      <c r="C994">
        <v>24.53</v>
      </c>
      <c r="E994" t="s">
        <v>2504</v>
      </c>
      <c r="F994">
        <v>1.05</v>
      </c>
      <c r="G994">
        <v>95.54</v>
      </c>
      <c r="I994" t="str" cm="1">
        <f t="array" ref="I994:J994">_xlfn.TEXTSPLIT(A994," ")</f>
        <v>27.10.2023</v>
      </c>
      <c r="J994" t="str">
        <v>16:33:38</v>
      </c>
      <c r="K994">
        <f t="shared" si="248"/>
        <v>16.51666666666701</v>
      </c>
      <c r="L994">
        <f t="shared" si="241"/>
        <v>10.210000000000001</v>
      </c>
      <c r="M994">
        <f t="shared" si="242"/>
        <v>0.45</v>
      </c>
      <c r="N994">
        <f t="shared" si="236"/>
        <v>0.90499999999999992</v>
      </c>
      <c r="Q994" t="str" cm="1">
        <f t="array" ref="Q994:R994">_xlfn.TEXTSPLIT(E994," ")</f>
        <v>27.10.2023</v>
      </c>
      <c r="R994" t="str">
        <v>16:33:38</v>
      </c>
      <c r="S994">
        <f t="shared" si="249"/>
        <v>16.51666666666701</v>
      </c>
      <c r="T994">
        <f t="shared" si="240"/>
        <v>16.940000000000012</v>
      </c>
      <c r="U994">
        <f t="shared" si="243"/>
        <v>1.05</v>
      </c>
      <c r="V994">
        <f t="shared" si="237"/>
        <v>1.5625</v>
      </c>
      <c r="AC994" t="s">
        <v>2505</v>
      </c>
      <c r="AD994">
        <v>0.3</v>
      </c>
      <c r="AE994">
        <v>11.1</v>
      </c>
      <c r="AG994" t="str" cm="1">
        <f t="array" ref="AG994:AH994">_xlfn.TEXTSPLIT(AC995," ")</f>
        <v>26.10.2023</v>
      </c>
      <c r="AH994" t="str">
        <v>16:34:48</v>
      </c>
      <c r="AI994">
        <f t="shared" si="250"/>
        <v>16.51666666666701</v>
      </c>
      <c r="AJ994">
        <f t="shared" si="244"/>
        <v>6.5699999999999994</v>
      </c>
      <c r="AK994">
        <f t="shared" si="245"/>
        <v>0.3</v>
      </c>
      <c r="AL994">
        <f t="shared" si="238"/>
        <v>1.3849999999999996</v>
      </c>
      <c r="AN994" t="s">
        <v>2505</v>
      </c>
      <c r="AO994">
        <v>0.3</v>
      </c>
      <c r="AP994">
        <v>73.83</v>
      </c>
      <c r="AR994" t="str" cm="1">
        <f t="array" ref="AR994:AS994">_xlfn.TEXTSPLIT(AN994," ")</f>
        <v>26.10.2023</v>
      </c>
      <c r="AS994" t="str">
        <v>16:33:48</v>
      </c>
      <c r="AT994">
        <f t="shared" si="251"/>
        <v>16.51666666666701</v>
      </c>
      <c r="AU994">
        <f t="shared" si="246"/>
        <v>12.519999999999996</v>
      </c>
      <c r="AV994">
        <f t="shared" si="247"/>
        <v>0.3</v>
      </c>
      <c r="AW994">
        <f t="shared" si="239"/>
        <v>0.64499999999999957</v>
      </c>
    </row>
    <row r="995" spans="1:49" x14ac:dyDescent="0.25">
      <c r="A995" t="s">
        <v>2506</v>
      </c>
      <c r="B995">
        <v>0.45</v>
      </c>
      <c r="C995">
        <v>24.55</v>
      </c>
      <c r="E995" t="s">
        <v>2506</v>
      </c>
      <c r="F995">
        <v>1.2</v>
      </c>
      <c r="G995">
        <v>95.56</v>
      </c>
      <c r="I995" t="str" cm="1">
        <f t="array" ref="I995:J995">_xlfn.TEXTSPLIT(A995," ")</f>
        <v>27.10.2023</v>
      </c>
      <c r="J995" t="str">
        <v>16:34:38</v>
      </c>
      <c r="K995">
        <f t="shared" si="248"/>
        <v>16.533333333333676</v>
      </c>
      <c r="L995">
        <f t="shared" si="241"/>
        <v>10.23</v>
      </c>
      <c r="M995">
        <f t="shared" si="242"/>
        <v>0.45</v>
      </c>
      <c r="N995">
        <f t="shared" si="236"/>
        <v>0.91</v>
      </c>
      <c r="Q995" t="str" cm="1">
        <f t="array" ref="Q995:R995">_xlfn.TEXTSPLIT(E995," ")</f>
        <v>27.10.2023</v>
      </c>
      <c r="R995" t="str">
        <v>16:34:38</v>
      </c>
      <c r="S995">
        <f t="shared" si="249"/>
        <v>16.533333333333676</v>
      </c>
      <c r="T995">
        <f t="shared" si="240"/>
        <v>16.960000000000008</v>
      </c>
      <c r="U995">
        <f t="shared" si="243"/>
        <v>1.2</v>
      </c>
      <c r="V995">
        <f t="shared" si="237"/>
        <v>1.5524999999999998</v>
      </c>
      <c r="AC995" t="s">
        <v>2507</v>
      </c>
      <c r="AD995">
        <v>0.15</v>
      </c>
      <c r="AE995">
        <v>11.11</v>
      </c>
      <c r="AG995" t="str" cm="1">
        <f t="array" ref="AG995:AH995">_xlfn.TEXTSPLIT(AC996," ")</f>
        <v>26.10.2023</v>
      </c>
      <c r="AH995" t="str">
        <v>16:35:48</v>
      </c>
      <c r="AI995">
        <f t="shared" si="250"/>
        <v>16.533333333333676</v>
      </c>
      <c r="AJ995">
        <f t="shared" si="244"/>
        <v>6.5799999999999992</v>
      </c>
      <c r="AK995">
        <f t="shared" si="245"/>
        <v>0.15</v>
      </c>
      <c r="AL995">
        <f t="shared" si="238"/>
        <v>1.3874999999999997</v>
      </c>
      <c r="AN995" t="s">
        <v>2507</v>
      </c>
      <c r="AO995">
        <v>0.3</v>
      </c>
      <c r="AP995">
        <v>73.83</v>
      </c>
      <c r="AR995" t="str" cm="1">
        <f t="array" ref="AR995:AS995">_xlfn.TEXTSPLIT(AN995," ")</f>
        <v>26.10.2023</v>
      </c>
      <c r="AS995" t="str">
        <v>16:34:48</v>
      </c>
      <c r="AT995">
        <f t="shared" si="251"/>
        <v>16.533333333333676</v>
      </c>
      <c r="AU995">
        <f t="shared" si="246"/>
        <v>12.519999999999996</v>
      </c>
      <c r="AV995">
        <f t="shared" si="247"/>
        <v>0.3</v>
      </c>
      <c r="AW995">
        <f t="shared" si="239"/>
        <v>0.64249999999999963</v>
      </c>
    </row>
    <row r="996" spans="1:49" x14ac:dyDescent="0.25">
      <c r="A996" t="s">
        <v>2508</v>
      </c>
      <c r="B996">
        <v>0.45</v>
      </c>
      <c r="C996">
        <v>24.55</v>
      </c>
      <c r="E996" t="s">
        <v>2508</v>
      </c>
      <c r="F996">
        <v>1.05</v>
      </c>
      <c r="G996">
        <v>95.58</v>
      </c>
      <c r="I996" t="str" cm="1">
        <f t="array" ref="I996:J996">_xlfn.TEXTSPLIT(A996," ")</f>
        <v>27.10.2023</v>
      </c>
      <c r="J996" t="str">
        <v>16:35:38</v>
      </c>
      <c r="K996">
        <f t="shared" si="248"/>
        <v>16.550000000000342</v>
      </c>
      <c r="L996">
        <f t="shared" si="241"/>
        <v>10.23</v>
      </c>
      <c r="M996">
        <f t="shared" si="242"/>
        <v>0.45</v>
      </c>
      <c r="N996">
        <f t="shared" si="236"/>
        <v>0.90250000000000008</v>
      </c>
      <c r="Q996" t="str" cm="1">
        <f t="array" ref="Q996:R996">_xlfn.TEXTSPLIT(E996," ")</f>
        <v>27.10.2023</v>
      </c>
      <c r="R996" t="str">
        <v>16:35:38</v>
      </c>
      <c r="S996">
        <f t="shared" si="249"/>
        <v>16.550000000000342</v>
      </c>
      <c r="T996">
        <f t="shared" si="240"/>
        <v>16.980000000000004</v>
      </c>
      <c r="U996">
        <f t="shared" si="243"/>
        <v>1.05</v>
      </c>
      <c r="V996">
        <f t="shared" si="237"/>
        <v>1.5399999999999998</v>
      </c>
      <c r="AC996" t="s">
        <v>2509</v>
      </c>
      <c r="AD996">
        <v>0.45</v>
      </c>
      <c r="AE996">
        <v>11.12</v>
      </c>
      <c r="AG996" t="str" cm="1">
        <f t="array" ref="AG996:AH996">_xlfn.TEXTSPLIT(AC997," ")</f>
        <v>26.10.2023</v>
      </c>
      <c r="AH996" t="str">
        <v>16:36:49</v>
      </c>
      <c r="AI996">
        <f t="shared" si="250"/>
        <v>16.550000000000342</v>
      </c>
      <c r="AJ996">
        <f t="shared" si="244"/>
        <v>6.589999999999999</v>
      </c>
      <c r="AK996">
        <f t="shared" si="245"/>
        <v>0.45</v>
      </c>
      <c r="AL996">
        <f t="shared" si="238"/>
        <v>0.89250000000000018</v>
      </c>
      <c r="AN996" t="s">
        <v>2509</v>
      </c>
      <c r="AO996">
        <v>0.45</v>
      </c>
      <c r="AP996">
        <v>73.84</v>
      </c>
      <c r="AR996" t="str" cm="1">
        <f t="array" ref="AR996:AS996">_xlfn.TEXTSPLIT(AN996," ")</f>
        <v>26.10.2023</v>
      </c>
      <c r="AS996" t="str">
        <v>16:35:48</v>
      </c>
      <c r="AT996">
        <f t="shared" si="251"/>
        <v>16.550000000000342</v>
      </c>
      <c r="AU996">
        <f t="shared" si="246"/>
        <v>12.530000000000001</v>
      </c>
      <c r="AV996">
        <f t="shared" si="247"/>
        <v>0.45</v>
      </c>
      <c r="AW996">
        <f t="shared" si="239"/>
        <v>0.64499999999999968</v>
      </c>
    </row>
    <row r="997" spans="1:49" x14ac:dyDescent="0.25">
      <c r="A997" t="s">
        <v>2510</v>
      </c>
      <c r="B997">
        <v>0.75</v>
      </c>
      <c r="C997">
        <v>24.56</v>
      </c>
      <c r="E997" t="s">
        <v>2510</v>
      </c>
      <c r="F997">
        <v>2.5499999999999998</v>
      </c>
      <c r="G997">
        <v>95.64</v>
      </c>
      <c r="I997" t="str" cm="1">
        <f t="array" ref="I997:J997">_xlfn.TEXTSPLIT(A997," ")</f>
        <v>27.10.2023</v>
      </c>
      <c r="J997" t="str">
        <v>16:36:38</v>
      </c>
      <c r="K997">
        <f t="shared" si="248"/>
        <v>16.566666666667007</v>
      </c>
      <c r="L997">
        <f t="shared" si="241"/>
        <v>10.239999999999998</v>
      </c>
      <c r="M997">
        <f t="shared" si="242"/>
        <v>0.75</v>
      </c>
      <c r="N997">
        <f t="shared" si="236"/>
        <v>0.90500000000000003</v>
      </c>
      <c r="Q997" t="str" cm="1">
        <f t="array" ref="Q997:R997">_xlfn.TEXTSPLIT(E997," ")</f>
        <v>27.10.2023</v>
      </c>
      <c r="R997" t="str">
        <v>16:36:38</v>
      </c>
      <c r="S997">
        <f t="shared" si="249"/>
        <v>16.566666666667007</v>
      </c>
      <c r="T997">
        <f t="shared" si="240"/>
        <v>17.040000000000006</v>
      </c>
      <c r="U997">
        <f t="shared" si="243"/>
        <v>2.5499999999999998</v>
      </c>
      <c r="V997">
        <f t="shared" si="237"/>
        <v>1.5549999999999997</v>
      </c>
      <c r="AC997" t="s">
        <v>2511</v>
      </c>
      <c r="AD997">
        <v>0.45</v>
      </c>
      <c r="AE997">
        <v>11.13</v>
      </c>
      <c r="AG997" t="str" cm="1">
        <f t="array" ref="AG997:AH997">_xlfn.TEXTSPLIT(AC998," ")</f>
        <v>26.10.2023</v>
      </c>
      <c r="AH997" t="str">
        <v>16:37:49</v>
      </c>
      <c r="AI997">
        <f t="shared" si="250"/>
        <v>16.566666666667007</v>
      </c>
      <c r="AJ997">
        <f t="shared" si="244"/>
        <v>6.6000000000000005</v>
      </c>
      <c r="AK997">
        <f t="shared" si="245"/>
        <v>0.45</v>
      </c>
      <c r="AL997">
        <f t="shared" si="238"/>
        <v>0.51500000000000001</v>
      </c>
      <c r="AN997" t="s">
        <v>2511</v>
      </c>
      <c r="AO997">
        <v>0.45</v>
      </c>
      <c r="AP997">
        <v>73.86</v>
      </c>
      <c r="AR997" t="str" cm="1">
        <f t="array" ref="AR997:AS997">_xlfn.TEXTSPLIT(AN997," ")</f>
        <v>26.10.2023</v>
      </c>
      <c r="AS997" t="str">
        <v>16:36:49</v>
      </c>
      <c r="AT997">
        <f t="shared" si="251"/>
        <v>16.566666666667007</v>
      </c>
      <c r="AU997">
        <f t="shared" si="246"/>
        <v>12.549999999999997</v>
      </c>
      <c r="AV997">
        <f t="shared" si="247"/>
        <v>0.45</v>
      </c>
      <c r="AW997">
        <f t="shared" si="239"/>
        <v>0.64249999999999985</v>
      </c>
    </row>
    <row r="998" spans="1:49" x14ac:dyDescent="0.25">
      <c r="A998" t="s">
        <v>2512</v>
      </c>
      <c r="B998">
        <v>0.75</v>
      </c>
      <c r="C998">
        <v>24.59</v>
      </c>
      <c r="E998" t="s">
        <v>2512</v>
      </c>
      <c r="F998">
        <v>2.85</v>
      </c>
      <c r="G998">
        <v>95.67</v>
      </c>
      <c r="I998" t="str" cm="1">
        <f t="array" ref="I998:J998">_xlfn.TEXTSPLIT(A998," ")</f>
        <v>27.10.2023</v>
      </c>
      <c r="J998" t="str">
        <v>16:37:38</v>
      </c>
      <c r="K998">
        <f t="shared" si="248"/>
        <v>16.583333333333673</v>
      </c>
      <c r="L998">
        <f t="shared" si="241"/>
        <v>10.27</v>
      </c>
      <c r="M998">
        <f t="shared" si="242"/>
        <v>0.75</v>
      </c>
      <c r="N998">
        <f t="shared" si="236"/>
        <v>0.9</v>
      </c>
      <c r="Q998" t="str" cm="1">
        <f t="array" ref="Q998:R998">_xlfn.TEXTSPLIT(E998," ")</f>
        <v>27.10.2023</v>
      </c>
      <c r="R998" t="str">
        <v>16:37:38</v>
      </c>
      <c r="S998">
        <f t="shared" si="249"/>
        <v>16.583333333333673</v>
      </c>
      <c r="T998">
        <f t="shared" si="240"/>
        <v>17.070000000000007</v>
      </c>
      <c r="U998">
        <f t="shared" si="243"/>
        <v>2.85</v>
      </c>
      <c r="V998">
        <f t="shared" si="237"/>
        <v>1.5524999999999995</v>
      </c>
      <c r="AC998" t="s">
        <v>2513</v>
      </c>
      <c r="AD998">
        <v>0.3</v>
      </c>
      <c r="AE998">
        <v>11.13</v>
      </c>
      <c r="AG998" t="str" cm="1">
        <f t="array" ref="AG998:AH998">_xlfn.TEXTSPLIT(AC999," ")</f>
        <v>26.10.2023</v>
      </c>
      <c r="AH998" t="str">
        <v>16:38:49</v>
      </c>
      <c r="AI998">
        <f t="shared" si="250"/>
        <v>16.583333333333673</v>
      </c>
      <c r="AJ998">
        <f t="shared" si="244"/>
        <v>6.6000000000000005</v>
      </c>
      <c r="AK998">
        <f t="shared" si="245"/>
        <v>0.3</v>
      </c>
      <c r="AL998">
        <f t="shared" si="238"/>
        <v>0.52</v>
      </c>
      <c r="AN998" t="s">
        <v>2513</v>
      </c>
      <c r="AO998">
        <v>1.65</v>
      </c>
      <c r="AP998">
        <v>73.91</v>
      </c>
      <c r="AR998" t="str" cm="1">
        <f t="array" ref="AR998:AS998">_xlfn.TEXTSPLIT(AN998," ")</f>
        <v>26.10.2023</v>
      </c>
      <c r="AS998" t="str">
        <v>16:37:49</v>
      </c>
      <c r="AT998">
        <f t="shared" si="251"/>
        <v>16.583333333333673</v>
      </c>
      <c r="AU998">
        <f t="shared" si="246"/>
        <v>12.599999999999994</v>
      </c>
      <c r="AV998">
        <f t="shared" si="247"/>
        <v>1.65</v>
      </c>
      <c r="AW998">
        <f t="shared" si="239"/>
        <v>0.6499999999999998</v>
      </c>
    </row>
    <row r="999" spans="1:49" x14ac:dyDescent="0.25">
      <c r="A999" t="s">
        <v>2514</v>
      </c>
      <c r="B999">
        <v>2.7</v>
      </c>
      <c r="C999">
        <v>24.64</v>
      </c>
      <c r="E999" t="s">
        <v>2514</v>
      </c>
      <c r="F999">
        <v>2.1</v>
      </c>
      <c r="G999">
        <v>95.72</v>
      </c>
      <c r="I999" t="str" cm="1">
        <f t="array" ref="I999:J999">_xlfn.TEXTSPLIT(A999," ")</f>
        <v>27.10.2023</v>
      </c>
      <c r="J999" t="str">
        <v>16:38:39</v>
      </c>
      <c r="K999">
        <f t="shared" si="248"/>
        <v>16.600000000000339</v>
      </c>
      <c r="L999">
        <f t="shared" si="241"/>
        <v>10.32</v>
      </c>
      <c r="M999">
        <f t="shared" si="242"/>
        <v>2.7</v>
      </c>
      <c r="N999">
        <f t="shared" si="236"/>
        <v>0.91250000000000009</v>
      </c>
      <c r="Q999" t="str" cm="1">
        <f t="array" ref="Q999:R999">_xlfn.TEXTSPLIT(E999," ")</f>
        <v>27.10.2023</v>
      </c>
      <c r="R999" t="str">
        <v>16:38:39</v>
      </c>
      <c r="S999">
        <f t="shared" si="249"/>
        <v>16.600000000000339</v>
      </c>
      <c r="T999">
        <f t="shared" si="240"/>
        <v>17.120000000000005</v>
      </c>
      <c r="U999">
        <f t="shared" si="243"/>
        <v>2.1</v>
      </c>
      <c r="V999">
        <f t="shared" si="237"/>
        <v>1.5324999999999998</v>
      </c>
      <c r="AC999" t="s">
        <v>2515</v>
      </c>
      <c r="AD999">
        <v>1.05</v>
      </c>
      <c r="AE999">
        <v>11.17</v>
      </c>
      <c r="AG999" t="str" cm="1">
        <f t="array" ref="AG999:AH999">_xlfn.TEXTSPLIT(AC1000," ")</f>
        <v>26.10.2023</v>
      </c>
      <c r="AH999" t="str">
        <v>16:39:49</v>
      </c>
      <c r="AI999">
        <f t="shared" si="250"/>
        <v>16.600000000000339</v>
      </c>
      <c r="AJ999">
        <f t="shared" si="244"/>
        <v>6.64</v>
      </c>
      <c r="AK999">
        <f t="shared" si="245"/>
        <v>1.05</v>
      </c>
      <c r="AL999">
        <f t="shared" si="238"/>
        <v>0.53</v>
      </c>
      <c r="AN999" t="s">
        <v>2515</v>
      </c>
      <c r="AO999">
        <v>2.5499999999999998</v>
      </c>
      <c r="AP999">
        <v>73.930000000000007</v>
      </c>
      <c r="AR999" t="str" cm="1">
        <f t="array" ref="AR999:AS999">_xlfn.TEXTSPLIT(AN999," ")</f>
        <v>26.10.2023</v>
      </c>
      <c r="AS999" t="str">
        <v>16:38:49</v>
      </c>
      <c r="AT999">
        <f t="shared" si="251"/>
        <v>16.600000000000339</v>
      </c>
      <c r="AU999">
        <f t="shared" si="246"/>
        <v>12.620000000000005</v>
      </c>
      <c r="AV999">
        <f t="shared" si="247"/>
        <v>2.5499999999999998</v>
      </c>
      <c r="AW999">
        <f t="shared" si="239"/>
        <v>0.65749999999999964</v>
      </c>
    </row>
    <row r="1000" spans="1:49" x14ac:dyDescent="0.25">
      <c r="A1000" t="s">
        <v>2516</v>
      </c>
      <c r="B1000">
        <v>2.4</v>
      </c>
      <c r="C1000">
        <v>24.66</v>
      </c>
      <c r="E1000" t="s">
        <v>2516</v>
      </c>
      <c r="F1000">
        <v>2.85</v>
      </c>
      <c r="G1000">
        <v>95.76</v>
      </c>
      <c r="I1000" t="str" cm="1">
        <f t="array" ref="I1000:J1000">_xlfn.TEXTSPLIT(A1000," ")</f>
        <v>27.10.2023</v>
      </c>
      <c r="J1000" t="str">
        <v>16:39:39</v>
      </c>
      <c r="K1000">
        <f t="shared" si="248"/>
        <v>16.616666666667005</v>
      </c>
      <c r="L1000">
        <f t="shared" si="241"/>
        <v>10.34</v>
      </c>
      <c r="M1000">
        <f t="shared" si="242"/>
        <v>2.4</v>
      </c>
      <c r="N1000">
        <f t="shared" si="236"/>
        <v>0.90500000000000014</v>
      </c>
      <c r="Q1000" t="str" cm="1">
        <f t="array" ref="Q1000:R1000">_xlfn.TEXTSPLIT(E1000," ")</f>
        <v>27.10.2023</v>
      </c>
      <c r="R1000" t="str">
        <v>16:39:39</v>
      </c>
      <c r="S1000">
        <f t="shared" si="249"/>
        <v>16.616666666667005</v>
      </c>
      <c r="T1000">
        <f t="shared" si="240"/>
        <v>17.160000000000011</v>
      </c>
      <c r="U1000">
        <f t="shared" si="243"/>
        <v>2.85</v>
      </c>
      <c r="V1000">
        <f t="shared" si="237"/>
        <v>1.5499999999999998</v>
      </c>
      <c r="AC1000" t="s">
        <v>2517</v>
      </c>
      <c r="AD1000">
        <v>2.1</v>
      </c>
      <c r="AE1000">
        <v>11.19</v>
      </c>
      <c r="AG1000" t="str" cm="1">
        <f t="array" ref="AG1000:AH1000">_xlfn.TEXTSPLIT(AC1001," ")</f>
        <v>26.10.2023</v>
      </c>
      <c r="AH1000" t="str">
        <v>16:40:49</v>
      </c>
      <c r="AI1000">
        <f t="shared" si="250"/>
        <v>16.616666666667005</v>
      </c>
      <c r="AJ1000">
        <f t="shared" si="244"/>
        <v>6.6599999999999993</v>
      </c>
      <c r="AK1000">
        <f t="shared" si="245"/>
        <v>2.1</v>
      </c>
      <c r="AL1000">
        <f t="shared" si="238"/>
        <v>0.52250000000000008</v>
      </c>
      <c r="AN1000" t="s">
        <v>2517</v>
      </c>
      <c r="AO1000">
        <v>1.5</v>
      </c>
      <c r="AP1000">
        <v>73.959999999999994</v>
      </c>
      <c r="AR1000" t="str" cm="1">
        <f t="array" ref="AR1000:AS1000">_xlfn.TEXTSPLIT(AN1000," ")</f>
        <v>26.10.2023</v>
      </c>
      <c r="AS1000" t="str">
        <v>16:39:49</v>
      </c>
      <c r="AT1000">
        <f t="shared" si="251"/>
        <v>16.616666666667005</v>
      </c>
      <c r="AU1000">
        <f t="shared" si="246"/>
        <v>12.649999999999991</v>
      </c>
      <c r="AV1000">
        <f t="shared" si="247"/>
        <v>1.5</v>
      </c>
      <c r="AW1000">
        <f t="shared" si="239"/>
        <v>0.64749999999999985</v>
      </c>
    </row>
    <row r="1001" spans="1:49" x14ac:dyDescent="0.25">
      <c r="A1001" t="s">
        <v>2518</v>
      </c>
      <c r="B1001">
        <v>1.5</v>
      </c>
      <c r="C1001">
        <v>24.68</v>
      </c>
      <c r="E1001" t="s">
        <v>2518</v>
      </c>
      <c r="F1001">
        <v>1.65</v>
      </c>
      <c r="G1001">
        <v>95.78</v>
      </c>
      <c r="I1001" t="str" cm="1">
        <f t="array" ref="I1001:J1001">_xlfn.TEXTSPLIT(A1001," ")</f>
        <v>27.10.2023</v>
      </c>
      <c r="J1001" t="str">
        <v>16:40:39</v>
      </c>
      <c r="K1001">
        <f t="shared" si="248"/>
        <v>16.63333333333367</v>
      </c>
      <c r="L1001">
        <f t="shared" si="241"/>
        <v>10.36</v>
      </c>
      <c r="M1001">
        <f t="shared" si="242"/>
        <v>1.5</v>
      </c>
      <c r="N1001">
        <f t="shared" si="236"/>
        <v>0.89000000000000024</v>
      </c>
      <c r="Q1001" t="str" cm="1">
        <f t="array" ref="Q1001:R1001">_xlfn.TEXTSPLIT(E1001," ")</f>
        <v>27.10.2023</v>
      </c>
      <c r="R1001" t="str">
        <v>16:40:39</v>
      </c>
      <c r="S1001">
        <f t="shared" si="249"/>
        <v>16.63333333333367</v>
      </c>
      <c r="T1001">
        <f t="shared" si="240"/>
        <v>17.180000000000007</v>
      </c>
      <c r="U1001">
        <f t="shared" si="243"/>
        <v>1.65</v>
      </c>
      <c r="V1001">
        <f t="shared" si="237"/>
        <v>1.5425</v>
      </c>
      <c r="AC1001" t="s">
        <v>2519</v>
      </c>
      <c r="AD1001">
        <v>1.2</v>
      </c>
      <c r="AE1001">
        <v>11.22</v>
      </c>
      <c r="AG1001" t="str" cm="1">
        <f t="array" ref="AG1001:AH1001">_xlfn.TEXTSPLIT(AC1002," ")</f>
        <v>26.10.2023</v>
      </c>
      <c r="AH1001" t="str">
        <v>16:41:49</v>
      </c>
      <c r="AI1001">
        <f t="shared" si="250"/>
        <v>16.63333333333367</v>
      </c>
      <c r="AJ1001">
        <f t="shared" si="244"/>
        <v>6.69</v>
      </c>
      <c r="AK1001">
        <f t="shared" si="245"/>
        <v>1.2</v>
      </c>
      <c r="AL1001">
        <f t="shared" si="238"/>
        <v>0.51500000000000012</v>
      </c>
      <c r="AN1001" t="s">
        <v>2519</v>
      </c>
      <c r="AO1001">
        <v>1.35</v>
      </c>
      <c r="AP1001">
        <v>73.989999999999995</v>
      </c>
      <c r="AR1001" t="str" cm="1">
        <f t="array" ref="AR1001:AS1001">_xlfn.TEXTSPLIT(AN1001," ")</f>
        <v>26.10.2023</v>
      </c>
      <c r="AS1001" t="str">
        <v>16:40:49</v>
      </c>
      <c r="AT1001">
        <f t="shared" si="251"/>
        <v>16.63333333333367</v>
      </c>
      <c r="AU1001">
        <f t="shared" si="246"/>
        <v>12.679999999999993</v>
      </c>
      <c r="AV1001">
        <f t="shared" si="247"/>
        <v>1.35</v>
      </c>
      <c r="AW1001">
        <f t="shared" si="239"/>
        <v>0.64749999999999985</v>
      </c>
    </row>
    <row r="1002" spans="1:49" x14ac:dyDescent="0.25">
      <c r="A1002" t="s">
        <v>2520</v>
      </c>
      <c r="B1002">
        <v>1.2</v>
      </c>
      <c r="C1002">
        <v>24.7</v>
      </c>
      <c r="E1002" t="s">
        <v>2520</v>
      </c>
      <c r="F1002">
        <v>1.65</v>
      </c>
      <c r="G1002">
        <v>95.81</v>
      </c>
      <c r="I1002" t="str" cm="1">
        <f t="array" ref="I1002:J1002">_xlfn.TEXTSPLIT(A1002," ")</f>
        <v>27.10.2023</v>
      </c>
      <c r="J1002" t="str">
        <v>16:41:39</v>
      </c>
      <c r="K1002">
        <f t="shared" si="248"/>
        <v>16.650000000000336</v>
      </c>
      <c r="L1002">
        <f t="shared" si="241"/>
        <v>10.379999999999999</v>
      </c>
      <c r="M1002">
        <f t="shared" si="242"/>
        <v>1.2</v>
      </c>
      <c r="N1002">
        <f t="shared" si="236"/>
        <v>0.8875000000000004</v>
      </c>
      <c r="Q1002" t="str" cm="1">
        <f t="array" ref="Q1002:R1002">_xlfn.TEXTSPLIT(E1002," ")</f>
        <v>27.10.2023</v>
      </c>
      <c r="R1002" t="str">
        <v>16:41:39</v>
      </c>
      <c r="S1002">
        <f t="shared" si="249"/>
        <v>16.650000000000336</v>
      </c>
      <c r="T1002">
        <f t="shared" si="240"/>
        <v>17.210000000000008</v>
      </c>
      <c r="U1002">
        <f t="shared" si="243"/>
        <v>1.65</v>
      </c>
      <c r="V1002">
        <f t="shared" si="237"/>
        <v>1.5249999999999999</v>
      </c>
      <c r="AC1002" t="s">
        <v>2521</v>
      </c>
      <c r="AD1002">
        <v>1.2</v>
      </c>
      <c r="AE1002">
        <v>11.24</v>
      </c>
      <c r="AG1002" t="str" cm="1">
        <f t="array" ref="AG1002:AH1002">_xlfn.TEXTSPLIT(AC1003," ")</f>
        <v>26.10.2023</v>
      </c>
      <c r="AH1002" t="str">
        <v>16:42:49</v>
      </c>
      <c r="AI1002">
        <f t="shared" si="250"/>
        <v>16.650000000000336</v>
      </c>
      <c r="AJ1002">
        <f t="shared" si="244"/>
        <v>6.71</v>
      </c>
      <c r="AK1002">
        <f t="shared" si="245"/>
        <v>1.2</v>
      </c>
      <c r="AL1002">
        <f t="shared" si="238"/>
        <v>0.51750000000000007</v>
      </c>
      <c r="AN1002" t="s">
        <v>2521</v>
      </c>
      <c r="AO1002">
        <v>1.5</v>
      </c>
      <c r="AP1002">
        <v>74.010000000000005</v>
      </c>
      <c r="AR1002" t="str" cm="1">
        <f t="array" ref="AR1002:AS1002">_xlfn.TEXTSPLIT(AN1002," ")</f>
        <v>26.10.2023</v>
      </c>
      <c r="AS1002" t="str">
        <v>16:41:49</v>
      </c>
      <c r="AT1002">
        <f t="shared" si="251"/>
        <v>16.650000000000336</v>
      </c>
      <c r="AU1002">
        <f t="shared" si="246"/>
        <v>12.700000000000003</v>
      </c>
      <c r="AV1002">
        <f t="shared" si="247"/>
        <v>1.5</v>
      </c>
      <c r="AW1002">
        <f t="shared" si="239"/>
        <v>0.65749999999999986</v>
      </c>
    </row>
    <row r="1003" spans="1:49" x14ac:dyDescent="0.25">
      <c r="A1003" t="s">
        <v>2522</v>
      </c>
      <c r="B1003">
        <v>1.2</v>
      </c>
      <c r="C1003">
        <v>24.73</v>
      </c>
      <c r="E1003" t="s">
        <v>2522</v>
      </c>
      <c r="F1003">
        <v>1.5</v>
      </c>
      <c r="G1003">
        <v>95.83</v>
      </c>
      <c r="I1003" t="str" cm="1">
        <f t="array" ref="I1003:J1003">_xlfn.TEXTSPLIT(A1003," ")</f>
        <v>27.10.2023</v>
      </c>
      <c r="J1003" t="str">
        <v>16:42:39</v>
      </c>
      <c r="K1003">
        <f t="shared" si="248"/>
        <v>16.666666666667002</v>
      </c>
      <c r="L1003">
        <f t="shared" si="241"/>
        <v>10.41</v>
      </c>
      <c r="M1003">
        <f t="shared" si="242"/>
        <v>1.2</v>
      </c>
      <c r="N1003">
        <f t="shared" si="236"/>
        <v>0.89000000000000035</v>
      </c>
      <c r="Q1003" t="str" cm="1">
        <f t="array" ref="Q1003:R1003">_xlfn.TEXTSPLIT(E1003," ")</f>
        <v>27.10.2023</v>
      </c>
      <c r="R1003" t="str">
        <v>16:42:39</v>
      </c>
      <c r="S1003">
        <f t="shared" si="249"/>
        <v>16.666666666667002</v>
      </c>
      <c r="T1003">
        <f t="shared" si="240"/>
        <v>17.230000000000004</v>
      </c>
      <c r="U1003">
        <f t="shared" si="243"/>
        <v>1.5</v>
      </c>
      <c r="V1003">
        <f t="shared" si="237"/>
        <v>1.5275000000000001</v>
      </c>
      <c r="AC1003" t="s">
        <v>2523</v>
      </c>
      <c r="AD1003">
        <v>1.2</v>
      </c>
      <c r="AE1003">
        <v>11.25</v>
      </c>
      <c r="AG1003" t="str" cm="1">
        <f t="array" ref="AG1003:AH1003">_xlfn.TEXTSPLIT(AC1004," ")</f>
        <v>26.10.2023</v>
      </c>
      <c r="AH1003" t="str">
        <v>16:43:50</v>
      </c>
      <c r="AI1003">
        <f t="shared" si="250"/>
        <v>16.666666666667002</v>
      </c>
      <c r="AJ1003">
        <f t="shared" si="244"/>
        <v>6.72</v>
      </c>
      <c r="AK1003">
        <f t="shared" si="245"/>
        <v>1.2</v>
      </c>
      <c r="AL1003">
        <f t="shared" si="238"/>
        <v>0.52500000000000002</v>
      </c>
      <c r="AN1003" t="s">
        <v>2523</v>
      </c>
      <c r="AO1003">
        <v>1.5</v>
      </c>
      <c r="AP1003">
        <v>74.03</v>
      </c>
      <c r="AR1003" t="str" cm="1">
        <f t="array" ref="AR1003:AS1003">_xlfn.TEXTSPLIT(AN1003," ")</f>
        <v>26.10.2023</v>
      </c>
      <c r="AS1003" t="str">
        <v>16:42:49</v>
      </c>
      <c r="AT1003">
        <f t="shared" si="251"/>
        <v>16.666666666667002</v>
      </c>
      <c r="AU1003">
        <f t="shared" si="246"/>
        <v>12.719999999999999</v>
      </c>
      <c r="AV1003">
        <f t="shared" si="247"/>
        <v>1.5</v>
      </c>
      <c r="AW1003">
        <f t="shared" si="239"/>
        <v>0.67249999999999976</v>
      </c>
    </row>
    <row r="1004" spans="1:49" x14ac:dyDescent="0.25">
      <c r="A1004" t="s">
        <v>2524</v>
      </c>
      <c r="B1004">
        <v>1.35</v>
      </c>
      <c r="C1004">
        <v>24.74</v>
      </c>
      <c r="E1004" t="s">
        <v>2524</v>
      </c>
      <c r="F1004">
        <v>1.8</v>
      </c>
      <c r="G1004">
        <v>95.87</v>
      </c>
      <c r="I1004" t="str" cm="1">
        <f t="array" ref="I1004:J1004">_xlfn.TEXTSPLIT(A1004," ")</f>
        <v>27.10.2023</v>
      </c>
      <c r="J1004" t="str">
        <v>16:43:39</v>
      </c>
      <c r="K1004">
        <f t="shared" si="248"/>
        <v>16.683333333333668</v>
      </c>
      <c r="L1004">
        <f t="shared" si="241"/>
        <v>10.419999999999998</v>
      </c>
      <c r="M1004">
        <f t="shared" si="242"/>
        <v>1.35</v>
      </c>
      <c r="N1004">
        <f t="shared" si="236"/>
        <v>0.89000000000000035</v>
      </c>
      <c r="Q1004" t="str" cm="1">
        <f t="array" ref="Q1004:R1004">_xlfn.TEXTSPLIT(E1004," ")</f>
        <v>27.10.2023</v>
      </c>
      <c r="R1004" t="str">
        <v>16:43:39</v>
      </c>
      <c r="S1004">
        <f t="shared" si="249"/>
        <v>16.683333333333668</v>
      </c>
      <c r="T1004">
        <f t="shared" si="240"/>
        <v>17.27000000000001</v>
      </c>
      <c r="U1004">
        <f t="shared" si="243"/>
        <v>1.8</v>
      </c>
      <c r="V1004">
        <f t="shared" si="237"/>
        <v>1.5375000000000001</v>
      </c>
      <c r="AC1004" t="s">
        <v>2525</v>
      </c>
      <c r="AD1004">
        <v>0.3</v>
      </c>
      <c r="AE1004">
        <v>11.27</v>
      </c>
      <c r="AG1004" t="str" cm="1">
        <f t="array" ref="AG1004:AH1004">_xlfn.TEXTSPLIT(AC1005," ")</f>
        <v>26.10.2023</v>
      </c>
      <c r="AH1004" t="str">
        <v>16:44:50</v>
      </c>
      <c r="AI1004">
        <f t="shared" si="250"/>
        <v>16.683333333333668</v>
      </c>
      <c r="AJ1004">
        <f t="shared" si="244"/>
        <v>6.7399999999999993</v>
      </c>
      <c r="AK1004">
        <f t="shared" si="245"/>
        <v>0.3</v>
      </c>
      <c r="AL1004">
        <f t="shared" si="238"/>
        <v>0.52</v>
      </c>
      <c r="AN1004" t="s">
        <v>2525</v>
      </c>
      <c r="AO1004">
        <v>1.05</v>
      </c>
      <c r="AP1004">
        <v>74.040000000000006</v>
      </c>
      <c r="AR1004" t="str" cm="1">
        <f t="array" ref="AR1004:AS1004">_xlfn.TEXTSPLIT(AN1004," ")</f>
        <v>26.10.2023</v>
      </c>
      <c r="AS1004" t="str">
        <v>16:43:50</v>
      </c>
      <c r="AT1004">
        <f t="shared" si="251"/>
        <v>16.683333333333668</v>
      </c>
      <c r="AU1004">
        <f t="shared" si="246"/>
        <v>12.730000000000004</v>
      </c>
      <c r="AV1004">
        <f t="shared" si="247"/>
        <v>1.05</v>
      </c>
      <c r="AW1004">
        <f t="shared" si="239"/>
        <v>0.67749999999999988</v>
      </c>
    </row>
    <row r="1005" spans="1:49" x14ac:dyDescent="0.25">
      <c r="A1005" t="s">
        <v>2526</v>
      </c>
      <c r="B1005">
        <v>1.2</v>
      </c>
      <c r="C1005">
        <v>24.76</v>
      </c>
      <c r="E1005" t="s">
        <v>2526</v>
      </c>
      <c r="F1005">
        <v>1.5</v>
      </c>
      <c r="G1005">
        <v>95.89</v>
      </c>
      <c r="I1005" t="str" cm="1">
        <f t="array" ref="I1005:J1005">_xlfn.TEXTSPLIT(A1005," ")</f>
        <v>27.10.2023</v>
      </c>
      <c r="J1005" t="str">
        <v>16:44:39</v>
      </c>
      <c r="K1005">
        <f t="shared" si="248"/>
        <v>16.700000000000333</v>
      </c>
      <c r="L1005">
        <f t="shared" si="241"/>
        <v>10.440000000000001</v>
      </c>
      <c r="M1005">
        <f t="shared" si="242"/>
        <v>1.2</v>
      </c>
      <c r="N1005">
        <f t="shared" si="236"/>
        <v>0.88750000000000029</v>
      </c>
      <c r="Q1005" t="str" cm="1">
        <f t="array" ref="Q1005:R1005">_xlfn.TEXTSPLIT(E1005," ")</f>
        <v>27.10.2023</v>
      </c>
      <c r="R1005" t="str">
        <v>16:44:39</v>
      </c>
      <c r="S1005">
        <f t="shared" si="249"/>
        <v>16.700000000000333</v>
      </c>
      <c r="T1005">
        <f t="shared" si="240"/>
        <v>17.290000000000006</v>
      </c>
      <c r="U1005">
        <f t="shared" si="243"/>
        <v>1.5</v>
      </c>
      <c r="V1005">
        <f t="shared" si="237"/>
        <v>1.5375000000000001</v>
      </c>
      <c r="AC1005" t="s">
        <v>2527</v>
      </c>
      <c r="AD1005">
        <v>1.2</v>
      </c>
      <c r="AE1005">
        <v>11.28</v>
      </c>
      <c r="AG1005" t="str" cm="1">
        <f t="array" ref="AG1005:AH1005">_xlfn.TEXTSPLIT(AC1006," ")</f>
        <v>26.10.2023</v>
      </c>
      <c r="AH1005" t="str">
        <v>16:45:50</v>
      </c>
      <c r="AI1005">
        <f t="shared" si="250"/>
        <v>16.700000000000333</v>
      </c>
      <c r="AJ1005">
        <f t="shared" si="244"/>
        <v>6.7499999999999991</v>
      </c>
      <c r="AK1005">
        <f t="shared" si="245"/>
        <v>1.2</v>
      </c>
      <c r="AL1005">
        <f t="shared" si="238"/>
        <v>0.53</v>
      </c>
      <c r="AN1005" t="s">
        <v>2527</v>
      </c>
      <c r="AO1005">
        <v>0.6</v>
      </c>
      <c r="AP1005">
        <v>74.05</v>
      </c>
      <c r="AR1005" t="str" cm="1">
        <f t="array" ref="AR1005:AS1005">_xlfn.TEXTSPLIT(AN1005," ")</f>
        <v>26.10.2023</v>
      </c>
      <c r="AS1005" t="str">
        <v>16:44:50</v>
      </c>
      <c r="AT1005">
        <f t="shared" si="251"/>
        <v>16.700000000000333</v>
      </c>
      <c r="AU1005">
        <f t="shared" si="246"/>
        <v>12.739999999999995</v>
      </c>
      <c r="AV1005">
        <f t="shared" si="247"/>
        <v>0.6</v>
      </c>
      <c r="AW1005">
        <f t="shared" si="239"/>
        <v>0.66749999999999987</v>
      </c>
    </row>
    <row r="1006" spans="1:49" x14ac:dyDescent="0.25">
      <c r="A1006" t="s">
        <v>2528</v>
      </c>
      <c r="B1006">
        <v>0.9</v>
      </c>
      <c r="C1006">
        <v>24.77</v>
      </c>
      <c r="E1006" t="s">
        <v>2528</v>
      </c>
      <c r="F1006">
        <v>1.05</v>
      </c>
      <c r="G1006">
        <v>95.9</v>
      </c>
      <c r="I1006" t="str" cm="1">
        <f t="array" ref="I1006:J1006">_xlfn.TEXTSPLIT(A1006," ")</f>
        <v>27.10.2023</v>
      </c>
      <c r="J1006" t="str">
        <v>16:45:39</v>
      </c>
      <c r="K1006">
        <f t="shared" si="248"/>
        <v>16.716666666666999</v>
      </c>
      <c r="L1006">
        <f t="shared" si="241"/>
        <v>10.45</v>
      </c>
      <c r="M1006">
        <f t="shared" si="242"/>
        <v>0.9</v>
      </c>
      <c r="N1006">
        <f t="shared" si="236"/>
        <v>0.88750000000000029</v>
      </c>
      <c r="Q1006" t="str" cm="1">
        <f t="array" ref="Q1006:R1006">_xlfn.TEXTSPLIT(E1006," ")</f>
        <v>27.10.2023</v>
      </c>
      <c r="R1006" t="str">
        <v>16:45:39</v>
      </c>
      <c r="S1006">
        <f t="shared" si="249"/>
        <v>16.716666666666999</v>
      </c>
      <c r="T1006">
        <f t="shared" si="240"/>
        <v>17.300000000000011</v>
      </c>
      <c r="U1006">
        <f t="shared" si="243"/>
        <v>1.05</v>
      </c>
      <c r="V1006">
        <f t="shared" si="237"/>
        <v>1.5249999999999997</v>
      </c>
      <c r="AC1006" t="s">
        <v>2529</v>
      </c>
      <c r="AD1006">
        <v>0.6</v>
      </c>
      <c r="AE1006">
        <v>11.3</v>
      </c>
      <c r="AG1006" t="str" cm="1">
        <f t="array" ref="AG1006:AH1006">_xlfn.TEXTSPLIT(AC1007," ")</f>
        <v>26.10.2023</v>
      </c>
      <c r="AH1006" t="str">
        <v>16:46:50</v>
      </c>
      <c r="AI1006">
        <f t="shared" si="250"/>
        <v>16.716666666666999</v>
      </c>
      <c r="AJ1006">
        <f t="shared" si="244"/>
        <v>6.7700000000000005</v>
      </c>
      <c r="AK1006">
        <f t="shared" si="245"/>
        <v>0.6</v>
      </c>
      <c r="AL1006">
        <f t="shared" si="238"/>
        <v>0.53000000000000014</v>
      </c>
      <c r="AN1006" t="s">
        <v>2529</v>
      </c>
      <c r="AO1006">
        <v>0.6</v>
      </c>
      <c r="AP1006">
        <v>74.06</v>
      </c>
      <c r="AR1006" t="str" cm="1">
        <f t="array" ref="AR1006:AS1006">_xlfn.TEXTSPLIT(AN1006," ")</f>
        <v>26.10.2023</v>
      </c>
      <c r="AS1006" t="str">
        <v>16:45:50</v>
      </c>
      <c r="AT1006">
        <f t="shared" si="251"/>
        <v>16.716666666666999</v>
      </c>
      <c r="AU1006">
        <f t="shared" si="246"/>
        <v>12.75</v>
      </c>
      <c r="AV1006">
        <f t="shared" si="247"/>
        <v>0.6</v>
      </c>
      <c r="AW1006">
        <f t="shared" si="239"/>
        <v>0.65999999999999981</v>
      </c>
    </row>
    <row r="1007" spans="1:49" x14ac:dyDescent="0.25">
      <c r="A1007" t="s">
        <v>2530</v>
      </c>
      <c r="B1007">
        <v>0.75</v>
      </c>
      <c r="C1007">
        <v>24.78</v>
      </c>
      <c r="E1007" t="s">
        <v>2530</v>
      </c>
      <c r="F1007">
        <v>1.35</v>
      </c>
      <c r="G1007">
        <v>95.93</v>
      </c>
      <c r="I1007" t="str" cm="1">
        <f t="array" ref="I1007:J1007">_xlfn.TEXTSPLIT(A1007," ")</f>
        <v>27.10.2023</v>
      </c>
      <c r="J1007" t="str">
        <v>16:46:39</v>
      </c>
      <c r="K1007">
        <f t="shared" si="248"/>
        <v>16.733333333333665</v>
      </c>
      <c r="L1007">
        <f t="shared" si="241"/>
        <v>10.46</v>
      </c>
      <c r="M1007">
        <f t="shared" si="242"/>
        <v>0.75</v>
      </c>
      <c r="N1007">
        <f t="shared" si="236"/>
        <v>0.88000000000000034</v>
      </c>
      <c r="Q1007" t="str" cm="1">
        <f t="array" ref="Q1007:R1007">_xlfn.TEXTSPLIT(E1007," ")</f>
        <v>27.10.2023</v>
      </c>
      <c r="R1007" t="str">
        <v>16:46:39</v>
      </c>
      <c r="S1007">
        <f t="shared" si="249"/>
        <v>16.733333333333665</v>
      </c>
      <c r="T1007">
        <f t="shared" si="240"/>
        <v>17.330000000000013</v>
      </c>
      <c r="U1007">
        <f t="shared" si="243"/>
        <v>1.35</v>
      </c>
      <c r="V1007">
        <f t="shared" si="237"/>
        <v>1.5199999999999998</v>
      </c>
      <c r="AC1007" t="s">
        <v>2531</v>
      </c>
      <c r="AD1007">
        <v>0.75</v>
      </c>
      <c r="AE1007">
        <v>11.31</v>
      </c>
      <c r="AG1007" t="str" cm="1">
        <f t="array" ref="AG1007:AH1007">_xlfn.TEXTSPLIT(AC1008," ")</f>
        <v>26.10.2023</v>
      </c>
      <c r="AH1007" t="str">
        <v>16:47:50</v>
      </c>
      <c r="AI1007">
        <f t="shared" si="250"/>
        <v>16.733333333333665</v>
      </c>
      <c r="AJ1007">
        <f t="shared" si="244"/>
        <v>6.78</v>
      </c>
      <c r="AK1007">
        <f t="shared" si="245"/>
        <v>0.75</v>
      </c>
      <c r="AL1007">
        <f t="shared" si="238"/>
        <v>0.52750000000000008</v>
      </c>
      <c r="AN1007" t="s">
        <v>2531</v>
      </c>
      <c r="AO1007">
        <v>0.6</v>
      </c>
      <c r="AP1007">
        <v>74.069999999999993</v>
      </c>
      <c r="AR1007" t="str" cm="1">
        <f t="array" ref="AR1007:AS1007">_xlfn.TEXTSPLIT(AN1007," ")</f>
        <v>26.10.2023</v>
      </c>
      <c r="AS1007" t="str">
        <v>16:46:50</v>
      </c>
      <c r="AT1007">
        <f t="shared" si="251"/>
        <v>16.733333333333665</v>
      </c>
      <c r="AU1007">
        <f t="shared" si="246"/>
        <v>12.759999999999991</v>
      </c>
      <c r="AV1007">
        <f t="shared" si="247"/>
        <v>0.6</v>
      </c>
      <c r="AW1007">
        <f t="shared" si="239"/>
        <v>0.65249999999999986</v>
      </c>
    </row>
    <row r="1008" spans="1:49" x14ac:dyDescent="0.25">
      <c r="A1008" t="s">
        <v>2532</v>
      </c>
      <c r="B1008">
        <v>0.45</v>
      </c>
      <c r="C1008">
        <v>24.8</v>
      </c>
      <c r="E1008" t="s">
        <v>2532</v>
      </c>
      <c r="F1008">
        <v>1.05</v>
      </c>
      <c r="G1008">
        <v>95.95</v>
      </c>
      <c r="I1008" t="str" cm="1">
        <f t="array" ref="I1008:J1008">_xlfn.TEXTSPLIT(A1008," ")</f>
        <v>27.10.2023</v>
      </c>
      <c r="J1008" t="str">
        <v>16:47:40</v>
      </c>
      <c r="K1008">
        <f t="shared" si="248"/>
        <v>16.75000000000033</v>
      </c>
      <c r="L1008">
        <f t="shared" si="241"/>
        <v>10.48</v>
      </c>
      <c r="M1008">
        <f t="shared" si="242"/>
        <v>0.45</v>
      </c>
      <c r="N1008">
        <f t="shared" si="236"/>
        <v>0.87250000000000039</v>
      </c>
      <c r="Q1008" t="str" cm="1">
        <f t="array" ref="Q1008:R1008">_xlfn.TEXTSPLIT(E1008," ")</f>
        <v>27.10.2023</v>
      </c>
      <c r="R1008" t="str">
        <v>16:47:40</v>
      </c>
      <c r="S1008">
        <f t="shared" si="249"/>
        <v>16.75000000000033</v>
      </c>
      <c r="T1008">
        <f t="shared" si="240"/>
        <v>17.350000000000009</v>
      </c>
      <c r="U1008">
        <f t="shared" si="243"/>
        <v>1.05</v>
      </c>
      <c r="V1008">
        <f t="shared" si="237"/>
        <v>1.5199999999999998</v>
      </c>
      <c r="AC1008" t="s">
        <v>2533</v>
      </c>
      <c r="AD1008">
        <v>0.6</v>
      </c>
      <c r="AE1008">
        <v>11.31</v>
      </c>
      <c r="AG1008" t="str" cm="1">
        <f t="array" ref="AG1008:AH1008">_xlfn.TEXTSPLIT(AC1009," ")</f>
        <v>26.10.2023</v>
      </c>
      <c r="AH1008" t="str">
        <v>16:48:50</v>
      </c>
      <c r="AI1008">
        <f t="shared" si="250"/>
        <v>16.75000000000033</v>
      </c>
      <c r="AJ1008">
        <f t="shared" si="244"/>
        <v>6.78</v>
      </c>
      <c r="AK1008">
        <f t="shared" si="245"/>
        <v>0.6</v>
      </c>
      <c r="AL1008">
        <f t="shared" si="238"/>
        <v>0.53250000000000008</v>
      </c>
      <c r="AN1008" t="s">
        <v>2533</v>
      </c>
      <c r="AO1008">
        <v>0.6</v>
      </c>
      <c r="AP1008">
        <v>74.069999999999993</v>
      </c>
      <c r="AR1008" t="str" cm="1">
        <f t="array" ref="AR1008:AS1008">_xlfn.TEXTSPLIT(AN1008," ")</f>
        <v>26.10.2023</v>
      </c>
      <c r="AS1008" t="str">
        <v>16:47:50</v>
      </c>
      <c r="AT1008">
        <f t="shared" si="251"/>
        <v>16.75000000000033</v>
      </c>
      <c r="AU1008">
        <f t="shared" si="246"/>
        <v>12.759999999999991</v>
      </c>
      <c r="AV1008">
        <f t="shared" si="247"/>
        <v>0.6</v>
      </c>
      <c r="AW1008">
        <f t="shared" si="239"/>
        <v>0.65249999999999986</v>
      </c>
    </row>
    <row r="1009" spans="1:49" x14ac:dyDescent="0.25">
      <c r="A1009" t="s">
        <v>2534</v>
      </c>
      <c r="B1009">
        <v>0.75</v>
      </c>
      <c r="C1009">
        <v>24.81</v>
      </c>
      <c r="E1009" t="s">
        <v>2534</v>
      </c>
      <c r="F1009">
        <v>1.8</v>
      </c>
      <c r="G1009">
        <v>95.99</v>
      </c>
      <c r="I1009" t="str" cm="1">
        <f t="array" ref="I1009:J1009">_xlfn.TEXTSPLIT(A1009," ")</f>
        <v>27.10.2023</v>
      </c>
      <c r="J1009" t="str">
        <v>16:48:40</v>
      </c>
      <c r="K1009">
        <f t="shared" si="248"/>
        <v>16.766666666666996</v>
      </c>
      <c r="L1009">
        <f t="shared" si="241"/>
        <v>10.489999999999998</v>
      </c>
      <c r="M1009">
        <f t="shared" si="242"/>
        <v>0.75</v>
      </c>
      <c r="N1009">
        <f t="shared" si="236"/>
        <v>0.87000000000000044</v>
      </c>
      <c r="Q1009" t="str" cm="1">
        <f t="array" ref="Q1009:R1009">_xlfn.TEXTSPLIT(E1009," ")</f>
        <v>27.10.2023</v>
      </c>
      <c r="R1009" t="str">
        <v>16:48:40</v>
      </c>
      <c r="S1009">
        <f t="shared" si="249"/>
        <v>16.766666666666996</v>
      </c>
      <c r="T1009">
        <f t="shared" si="240"/>
        <v>17.39</v>
      </c>
      <c r="U1009">
        <f t="shared" si="243"/>
        <v>1.8</v>
      </c>
      <c r="V1009">
        <f t="shared" si="237"/>
        <v>1.5274999999999999</v>
      </c>
      <c r="AC1009" t="s">
        <v>2535</v>
      </c>
      <c r="AD1009">
        <v>0.45</v>
      </c>
      <c r="AE1009">
        <v>11.32</v>
      </c>
      <c r="AG1009" t="str" cm="1">
        <f t="array" ref="AG1009:AH1009">_xlfn.TEXTSPLIT(AC1010," ")</f>
        <v>26.10.2023</v>
      </c>
      <c r="AH1009" t="str">
        <v>16:49:50</v>
      </c>
      <c r="AI1009">
        <f t="shared" si="250"/>
        <v>16.766666666666996</v>
      </c>
      <c r="AJ1009">
        <f t="shared" si="244"/>
        <v>6.79</v>
      </c>
      <c r="AK1009">
        <f t="shared" si="245"/>
        <v>0.45</v>
      </c>
      <c r="AL1009">
        <f t="shared" si="238"/>
        <v>0.54000000000000015</v>
      </c>
      <c r="AN1009" t="s">
        <v>2535</v>
      </c>
      <c r="AO1009">
        <v>0.45</v>
      </c>
      <c r="AP1009">
        <v>74.08</v>
      </c>
      <c r="AR1009" t="str" cm="1">
        <f t="array" ref="AR1009:AS1009">_xlfn.TEXTSPLIT(AN1009," ")</f>
        <v>26.10.2023</v>
      </c>
      <c r="AS1009" t="str">
        <v>16:48:50</v>
      </c>
      <c r="AT1009">
        <f t="shared" si="251"/>
        <v>16.766666666666996</v>
      </c>
      <c r="AU1009">
        <f t="shared" si="246"/>
        <v>12.769999999999996</v>
      </c>
      <c r="AV1009">
        <f t="shared" si="247"/>
        <v>0.45</v>
      </c>
      <c r="AW1009">
        <f t="shared" si="239"/>
        <v>0.65</v>
      </c>
    </row>
    <row r="1010" spans="1:49" x14ac:dyDescent="0.25">
      <c r="A1010" t="s">
        <v>2536</v>
      </c>
      <c r="B1010">
        <v>0.9</v>
      </c>
      <c r="C1010">
        <v>24.82</v>
      </c>
      <c r="E1010" t="s">
        <v>2536</v>
      </c>
      <c r="F1010">
        <v>1.8</v>
      </c>
      <c r="G1010">
        <v>96.01</v>
      </c>
      <c r="I1010" t="str" cm="1">
        <f t="array" ref="I1010:J1010">_xlfn.TEXTSPLIT(A1010," ")</f>
        <v>27.10.2023</v>
      </c>
      <c r="J1010" t="str">
        <v>16:49:40</v>
      </c>
      <c r="K1010">
        <f t="shared" si="248"/>
        <v>16.783333333333662</v>
      </c>
      <c r="L1010">
        <f t="shared" si="241"/>
        <v>10.5</v>
      </c>
      <c r="M1010">
        <f t="shared" si="242"/>
        <v>0.9</v>
      </c>
      <c r="N1010">
        <f t="shared" si="236"/>
        <v>0.87250000000000039</v>
      </c>
      <c r="Q1010" t="str" cm="1">
        <f t="array" ref="Q1010:R1010">_xlfn.TEXTSPLIT(E1010," ")</f>
        <v>27.10.2023</v>
      </c>
      <c r="R1010" t="str">
        <v>16:49:40</v>
      </c>
      <c r="S1010">
        <f t="shared" si="249"/>
        <v>16.783333333333662</v>
      </c>
      <c r="T1010">
        <f t="shared" si="240"/>
        <v>17.410000000000011</v>
      </c>
      <c r="U1010">
        <f t="shared" si="243"/>
        <v>1.8</v>
      </c>
      <c r="V1010">
        <f t="shared" si="237"/>
        <v>1.5349999999999999</v>
      </c>
      <c r="AC1010" t="s">
        <v>2537</v>
      </c>
      <c r="AD1010">
        <v>0.6</v>
      </c>
      <c r="AE1010">
        <v>11.33</v>
      </c>
      <c r="AG1010" t="str" cm="1">
        <f t="array" ref="AG1010:AH1010">_xlfn.TEXTSPLIT(AC1011," ")</f>
        <v>26.10.2023</v>
      </c>
      <c r="AH1010" t="str">
        <v>16:50:51</v>
      </c>
      <c r="AI1010">
        <f t="shared" si="250"/>
        <v>16.783333333333662</v>
      </c>
      <c r="AJ1010">
        <f t="shared" si="244"/>
        <v>6.8</v>
      </c>
      <c r="AK1010">
        <f t="shared" si="245"/>
        <v>0.6</v>
      </c>
      <c r="AL1010">
        <f t="shared" si="238"/>
        <v>0.53500000000000003</v>
      </c>
      <c r="AN1010" t="s">
        <v>2537</v>
      </c>
      <c r="AO1010">
        <v>0.6</v>
      </c>
      <c r="AP1010">
        <v>74.099999999999994</v>
      </c>
      <c r="AR1010" t="str" cm="1">
        <f t="array" ref="AR1010:AS1010">_xlfn.TEXTSPLIT(AN1010," ")</f>
        <v>26.10.2023</v>
      </c>
      <c r="AS1010" t="str">
        <v>16:49:50</v>
      </c>
      <c r="AT1010">
        <f t="shared" si="251"/>
        <v>16.783333333333662</v>
      </c>
      <c r="AU1010">
        <f t="shared" si="246"/>
        <v>12.789999999999992</v>
      </c>
      <c r="AV1010">
        <f t="shared" si="247"/>
        <v>0.6</v>
      </c>
      <c r="AW1010">
        <f t="shared" si="239"/>
        <v>0.65249999999999997</v>
      </c>
    </row>
    <row r="1011" spans="1:49" x14ac:dyDescent="0.25">
      <c r="A1011" t="s">
        <v>2538</v>
      </c>
      <c r="B1011">
        <v>0.75</v>
      </c>
      <c r="C1011">
        <v>24.84</v>
      </c>
      <c r="E1011" t="s">
        <v>2538</v>
      </c>
      <c r="F1011">
        <v>1.05</v>
      </c>
      <c r="G1011">
        <v>96.03</v>
      </c>
      <c r="I1011" t="str" cm="1">
        <f t="array" ref="I1011:J1011">_xlfn.TEXTSPLIT(A1011," ")</f>
        <v>27.10.2023</v>
      </c>
      <c r="J1011" t="str">
        <v>16:50:40</v>
      </c>
      <c r="K1011">
        <f t="shared" si="248"/>
        <v>16.800000000000328</v>
      </c>
      <c r="L1011">
        <f t="shared" si="241"/>
        <v>10.52</v>
      </c>
      <c r="M1011">
        <f t="shared" si="242"/>
        <v>0.75</v>
      </c>
      <c r="N1011">
        <f t="shared" si="236"/>
        <v>0.86750000000000027</v>
      </c>
      <c r="Q1011" t="str" cm="1">
        <f t="array" ref="Q1011:R1011">_xlfn.TEXTSPLIT(E1011," ")</f>
        <v>27.10.2023</v>
      </c>
      <c r="R1011" t="str">
        <v>16:50:40</v>
      </c>
      <c r="S1011">
        <f t="shared" si="249"/>
        <v>16.800000000000328</v>
      </c>
      <c r="T1011">
        <f t="shared" si="240"/>
        <v>17.430000000000007</v>
      </c>
      <c r="U1011">
        <f t="shared" si="243"/>
        <v>1.05</v>
      </c>
      <c r="V1011">
        <f t="shared" si="237"/>
        <v>1.5149999999999999</v>
      </c>
      <c r="AC1011" t="s">
        <v>2539</v>
      </c>
      <c r="AD1011">
        <v>0.6</v>
      </c>
      <c r="AE1011">
        <v>11.34</v>
      </c>
      <c r="AG1011" t="str" cm="1">
        <f t="array" ref="AG1011:AH1011">_xlfn.TEXTSPLIT(AC1012," ")</f>
        <v>26.10.2023</v>
      </c>
      <c r="AH1011" t="str">
        <v>16:51:51</v>
      </c>
      <c r="AI1011">
        <f t="shared" si="250"/>
        <v>16.800000000000328</v>
      </c>
      <c r="AJ1011">
        <f t="shared" si="244"/>
        <v>6.81</v>
      </c>
      <c r="AK1011">
        <f t="shared" si="245"/>
        <v>0.6</v>
      </c>
      <c r="AL1011">
        <f t="shared" si="238"/>
        <v>0.53250000000000008</v>
      </c>
      <c r="AN1011" t="s">
        <v>2539</v>
      </c>
      <c r="AO1011">
        <v>0.75</v>
      </c>
      <c r="AP1011">
        <v>74.11</v>
      </c>
      <c r="AR1011" t="str" cm="1">
        <f t="array" ref="AR1011:AS1011">_xlfn.TEXTSPLIT(AN1011," ")</f>
        <v>26.10.2023</v>
      </c>
      <c r="AS1011" t="str">
        <v>16:50:51</v>
      </c>
      <c r="AT1011">
        <f t="shared" si="251"/>
        <v>16.800000000000328</v>
      </c>
      <c r="AU1011">
        <f t="shared" si="246"/>
        <v>12.799999999999997</v>
      </c>
      <c r="AV1011">
        <f t="shared" si="247"/>
        <v>0.75</v>
      </c>
      <c r="AW1011">
        <f t="shared" si="239"/>
        <v>0.65500000000000003</v>
      </c>
    </row>
    <row r="1012" spans="1:49" x14ac:dyDescent="0.25">
      <c r="A1012" t="s">
        <v>2540</v>
      </c>
      <c r="B1012">
        <v>0.9</v>
      </c>
      <c r="C1012">
        <v>24.85</v>
      </c>
      <c r="E1012" t="s">
        <v>2540</v>
      </c>
      <c r="F1012">
        <v>0.9</v>
      </c>
      <c r="G1012">
        <v>96.03</v>
      </c>
      <c r="I1012" t="str" cm="1">
        <f t="array" ref="I1012:J1012">_xlfn.TEXTSPLIT(A1012," ")</f>
        <v>27.10.2023</v>
      </c>
      <c r="J1012" t="str">
        <v>16:51:40</v>
      </c>
      <c r="K1012">
        <f t="shared" si="248"/>
        <v>16.816666666666993</v>
      </c>
      <c r="L1012">
        <f t="shared" si="241"/>
        <v>10.530000000000001</v>
      </c>
      <c r="M1012">
        <f t="shared" si="242"/>
        <v>0.9</v>
      </c>
      <c r="N1012">
        <f t="shared" si="236"/>
        <v>0.86750000000000038</v>
      </c>
      <c r="Q1012" t="str" cm="1">
        <f t="array" ref="Q1012:R1012">_xlfn.TEXTSPLIT(E1012," ")</f>
        <v>27.10.2023</v>
      </c>
      <c r="R1012" t="str">
        <v>16:51:40</v>
      </c>
      <c r="S1012">
        <f t="shared" si="249"/>
        <v>16.816666666666993</v>
      </c>
      <c r="T1012">
        <f t="shared" si="240"/>
        <v>17.430000000000007</v>
      </c>
      <c r="U1012">
        <f t="shared" si="243"/>
        <v>0.9</v>
      </c>
      <c r="V1012">
        <f t="shared" si="237"/>
        <v>1.5099999999999996</v>
      </c>
      <c r="AC1012" t="s">
        <v>2541</v>
      </c>
      <c r="AD1012">
        <v>0.45</v>
      </c>
      <c r="AE1012">
        <v>11.35</v>
      </c>
      <c r="AG1012" t="str" cm="1">
        <f t="array" ref="AG1012:AH1012">_xlfn.TEXTSPLIT(AC1013," ")</f>
        <v>26.10.2023</v>
      </c>
      <c r="AH1012" t="str">
        <v>16:52:51</v>
      </c>
      <c r="AI1012">
        <f t="shared" si="250"/>
        <v>16.816666666666993</v>
      </c>
      <c r="AJ1012">
        <f t="shared" si="244"/>
        <v>6.8199999999999994</v>
      </c>
      <c r="AK1012">
        <f t="shared" si="245"/>
        <v>0.45</v>
      </c>
      <c r="AL1012">
        <f t="shared" si="238"/>
        <v>0.53250000000000008</v>
      </c>
      <c r="AN1012" t="s">
        <v>2541</v>
      </c>
      <c r="AO1012">
        <v>0.75</v>
      </c>
      <c r="AP1012">
        <v>74.11</v>
      </c>
      <c r="AR1012" t="str" cm="1">
        <f t="array" ref="AR1012:AS1012">_xlfn.TEXTSPLIT(AN1012," ")</f>
        <v>26.10.2023</v>
      </c>
      <c r="AS1012" t="str">
        <v>16:51:51</v>
      </c>
      <c r="AT1012">
        <f t="shared" si="251"/>
        <v>16.816666666666993</v>
      </c>
      <c r="AU1012">
        <f t="shared" si="246"/>
        <v>12.799999999999997</v>
      </c>
      <c r="AV1012">
        <f t="shared" si="247"/>
        <v>0.75</v>
      </c>
      <c r="AW1012">
        <f t="shared" si="239"/>
        <v>0.66</v>
      </c>
    </row>
    <row r="1013" spans="1:49" x14ac:dyDescent="0.25">
      <c r="A1013" t="s">
        <v>2542</v>
      </c>
      <c r="B1013">
        <v>0.6</v>
      </c>
      <c r="C1013">
        <v>24.85</v>
      </c>
      <c r="E1013" t="s">
        <v>2542</v>
      </c>
      <c r="F1013">
        <v>0.6</v>
      </c>
      <c r="G1013">
        <v>96.04</v>
      </c>
      <c r="I1013" t="str" cm="1">
        <f t="array" ref="I1013:J1013">_xlfn.TEXTSPLIT(A1013," ")</f>
        <v>27.10.2023</v>
      </c>
      <c r="J1013" t="str">
        <v>16:52:40</v>
      </c>
      <c r="K1013">
        <f t="shared" si="248"/>
        <v>16.833333333333659</v>
      </c>
      <c r="L1013">
        <f t="shared" si="241"/>
        <v>10.530000000000001</v>
      </c>
      <c r="M1013">
        <f t="shared" si="242"/>
        <v>0.6</v>
      </c>
      <c r="N1013">
        <f t="shared" si="236"/>
        <v>0.86250000000000038</v>
      </c>
      <c r="Q1013" t="str" cm="1">
        <f t="array" ref="Q1013:R1013">_xlfn.TEXTSPLIT(E1013," ")</f>
        <v>27.10.2023</v>
      </c>
      <c r="R1013" t="str">
        <v>16:52:40</v>
      </c>
      <c r="S1013">
        <f t="shared" si="249"/>
        <v>16.833333333333659</v>
      </c>
      <c r="T1013">
        <f t="shared" si="240"/>
        <v>17.440000000000012</v>
      </c>
      <c r="U1013">
        <f t="shared" si="243"/>
        <v>0.6</v>
      </c>
      <c r="V1013">
        <f t="shared" si="237"/>
        <v>1.5099999999999996</v>
      </c>
      <c r="AC1013" t="s">
        <v>2543</v>
      </c>
      <c r="AD1013">
        <v>0.75</v>
      </c>
      <c r="AE1013">
        <v>11.37</v>
      </c>
      <c r="AG1013" t="str" cm="1">
        <f t="array" ref="AG1013:AH1013">_xlfn.TEXTSPLIT(AC1014," ")</f>
        <v>26.10.2023</v>
      </c>
      <c r="AH1013" t="str">
        <v>16:53:51</v>
      </c>
      <c r="AI1013">
        <f t="shared" si="250"/>
        <v>16.833333333333659</v>
      </c>
      <c r="AJ1013">
        <f t="shared" si="244"/>
        <v>6.839999999999999</v>
      </c>
      <c r="AK1013">
        <f t="shared" si="245"/>
        <v>0.75</v>
      </c>
      <c r="AL1013">
        <f t="shared" si="238"/>
        <v>0.53749999999999998</v>
      </c>
      <c r="AN1013" t="s">
        <v>2543</v>
      </c>
      <c r="AO1013">
        <v>0.3</v>
      </c>
      <c r="AP1013">
        <v>74.12</v>
      </c>
      <c r="AR1013" t="str" cm="1">
        <f t="array" ref="AR1013:AS1013">_xlfn.TEXTSPLIT(AN1013," ")</f>
        <v>26.10.2023</v>
      </c>
      <c r="AS1013" t="str">
        <v>16:52:51</v>
      </c>
      <c r="AT1013">
        <f t="shared" si="251"/>
        <v>16.833333333333659</v>
      </c>
      <c r="AU1013">
        <f t="shared" si="246"/>
        <v>12.810000000000002</v>
      </c>
      <c r="AV1013">
        <f t="shared" si="247"/>
        <v>0.3</v>
      </c>
      <c r="AW1013">
        <f t="shared" si="239"/>
        <v>0.66</v>
      </c>
    </row>
    <row r="1014" spans="1:49" x14ac:dyDescent="0.25">
      <c r="A1014" t="s">
        <v>2544</v>
      </c>
      <c r="B1014">
        <v>0</v>
      </c>
      <c r="C1014">
        <v>24.85</v>
      </c>
      <c r="E1014" t="s">
        <v>2544</v>
      </c>
      <c r="F1014">
        <v>0.6</v>
      </c>
      <c r="G1014">
        <v>96.06</v>
      </c>
      <c r="I1014" t="str" cm="1">
        <f t="array" ref="I1014:J1014">_xlfn.TEXTSPLIT(A1014," ")</f>
        <v>27.10.2023</v>
      </c>
      <c r="J1014" t="str">
        <v>16:53:40</v>
      </c>
      <c r="K1014">
        <f t="shared" si="248"/>
        <v>16.850000000000325</v>
      </c>
      <c r="L1014">
        <f t="shared" si="241"/>
        <v>10.530000000000001</v>
      </c>
      <c r="M1014">
        <f t="shared" si="242"/>
        <v>0</v>
      </c>
      <c r="N1014">
        <f t="shared" si="236"/>
        <v>0.86250000000000038</v>
      </c>
      <c r="Q1014" t="str" cm="1">
        <f t="array" ref="Q1014:R1014">_xlfn.TEXTSPLIT(E1014," ")</f>
        <v>27.10.2023</v>
      </c>
      <c r="R1014" t="str">
        <v>16:53:40</v>
      </c>
      <c r="S1014">
        <f t="shared" si="249"/>
        <v>16.850000000000325</v>
      </c>
      <c r="T1014">
        <f t="shared" si="240"/>
        <v>17.460000000000008</v>
      </c>
      <c r="U1014">
        <f t="shared" si="243"/>
        <v>0.6</v>
      </c>
      <c r="V1014">
        <f t="shared" si="237"/>
        <v>1.5099999999999996</v>
      </c>
      <c r="AC1014" t="s">
        <v>2545</v>
      </c>
      <c r="AD1014">
        <v>0.9</v>
      </c>
      <c r="AE1014">
        <v>11.37</v>
      </c>
      <c r="AG1014" t="str" cm="1">
        <f t="array" ref="AG1014:AH1014">_xlfn.TEXTSPLIT(AC1015," ")</f>
        <v>26.10.2023</v>
      </c>
      <c r="AH1014" t="str">
        <v>16:54:51</v>
      </c>
      <c r="AI1014">
        <f t="shared" si="250"/>
        <v>16.850000000000325</v>
      </c>
      <c r="AJ1014">
        <f t="shared" si="244"/>
        <v>6.839999999999999</v>
      </c>
      <c r="AK1014">
        <f t="shared" si="245"/>
        <v>0.9</v>
      </c>
      <c r="AL1014">
        <f t="shared" si="238"/>
        <v>0.54749999999999999</v>
      </c>
      <c r="AN1014" t="s">
        <v>2545</v>
      </c>
      <c r="AO1014">
        <v>0.15</v>
      </c>
      <c r="AP1014">
        <v>74.12</v>
      </c>
      <c r="AR1014" t="str" cm="1">
        <f t="array" ref="AR1014:AS1014">_xlfn.TEXTSPLIT(AN1014," ")</f>
        <v>26.10.2023</v>
      </c>
      <c r="AS1014" t="str">
        <v>16:53:51</v>
      </c>
      <c r="AT1014">
        <f t="shared" si="251"/>
        <v>16.850000000000325</v>
      </c>
      <c r="AU1014">
        <f t="shared" si="246"/>
        <v>12.810000000000002</v>
      </c>
      <c r="AV1014">
        <f t="shared" si="247"/>
        <v>0.15</v>
      </c>
      <c r="AW1014">
        <f t="shared" si="239"/>
        <v>0.66249999999999998</v>
      </c>
    </row>
    <row r="1015" spans="1:49" x14ac:dyDescent="0.25">
      <c r="A1015" t="s">
        <v>2546</v>
      </c>
      <c r="B1015">
        <v>0</v>
      </c>
      <c r="C1015">
        <v>24.85</v>
      </c>
      <c r="E1015" t="s">
        <v>2546</v>
      </c>
      <c r="F1015">
        <v>0.75</v>
      </c>
      <c r="G1015">
        <v>96.07</v>
      </c>
      <c r="I1015" t="str" cm="1">
        <f t="array" ref="I1015:J1015">_xlfn.TEXTSPLIT(A1015," ")</f>
        <v>27.10.2023</v>
      </c>
      <c r="J1015" t="str">
        <v>16:54:40</v>
      </c>
      <c r="K1015">
        <f t="shared" si="248"/>
        <v>16.86666666666699</v>
      </c>
      <c r="L1015">
        <f t="shared" si="241"/>
        <v>10.530000000000001</v>
      </c>
      <c r="M1015">
        <f t="shared" si="242"/>
        <v>0</v>
      </c>
      <c r="N1015">
        <f t="shared" si="236"/>
        <v>0.86250000000000038</v>
      </c>
      <c r="Q1015" t="str" cm="1">
        <f t="array" ref="Q1015:R1015">_xlfn.TEXTSPLIT(E1015," ")</f>
        <v>27.10.2023</v>
      </c>
      <c r="R1015" t="str">
        <v>16:54:40</v>
      </c>
      <c r="S1015">
        <f t="shared" si="249"/>
        <v>16.86666666666699</v>
      </c>
      <c r="T1015">
        <f t="shared" si="240"/>
        <v>17.47</v>
      </c>
      <c r="U1015">
        <f t="shared" si="243"/>
        <v>0.75</v>
      </c>
      <c r="V1015">
        <f t="shared" si="237"/>
        <v>1.5124999999999995</v>
      </c>
      <c r="AC1015" t="s">
        <v>2547</v>
      </c>
      <c r="AD1015">
        <v>0</v>
      </c>
      <c r="AE1015">
        <v>11.37</v>
      </c>
      <c r="AG1015" t="str" cm="1">
        <f t="array" ref="AG1015:AH1015">_xlfn.TEXTSPLIT(AC1016," ")</f>
        <v>26.10.2023</v>
      </c>
      <c r="AH1015" t="str">
        <v>16:55:51</v>
      </c>
      <c r="AI1015">
        <f t="shared" si="250"/>
        <v>16.86666666666699</v>
      </c>
      <c r="AJ1015">
        <f t="shared" si="244"/>
        <v>6.839999999999999</v>
      </c>
      <c r="AK1015">
        <f t="shared" si="245"/>
        <v>0</v>
      </c>
      <c r="AL1015">
        <f t="shared" si="238"/>
        <v>0.54749999999999999</v>
      </c>
      <c r="AN1015" t="s">
        <v>2547</v>
      </c>
      <c r="AO1015">
        <v>0</v>
      </c>
      <c r="AP1015">
        <v>74.12</v>
      </c>
      <c r="AR1015" t="str" cm="1">
        <f t="array" ref="AR1015:AS1015">_xlfn.TEXTSPLIT(AN1015," ")</f>
        <v>26.10.2023</v>
      </c>
      <c r="AS1015" t="str">
        <v>16:54:51</v>
      </c>
      <c r="AT1015">
        <f t="shared" si="251"/>
        <v>16.86666666666699</v>
      </c>
      <c r="AU1015">
        <f t="shared" si="246"/>
        <v>12.810000000000002</v>
      </c>
      <c r="AV1015">
        <f t="shared" si="247"/>
        <v>0</v>
      </c>
      <c r="AW1015">
        <f t="shared" si="239"/>
        <v>0.66249999999999998</v>
      </c>
    </row>
    <row r="1016" spans="1:49" x14ac:dyDescent="0.25">
      <c r="A1016" t="s">
        <v>2548</v>
      </c>
      <c r="B1016">
        <v>0</v>
      </c>
      <c r="C1016">
        <v>24.85</v>
      </c>
      <c r="E1016" t="s">
        <v>2548</v>
      </c>
      <c r="F1016">
        <v>0.9</v>
      </c>
      <c r="G1016">
        <v>96.08</v>
      </c>
      <c r="I1016" t="str" cm="1">
        <f t="array" ref="I1016:J1016">_xlfn.TEXTSPLIT(A1016," ")</f>
        <v>27.10.2023</v>
      </c>
      <c r="J1016" t="str">
        <v>16:55:41</v>
      </c>
      <c r="K1016">
        <f t="shared" si="248"/>
        <v>16.883333333333656</v>
      </c>
      <c r="L1016">
        <f t="shared" si="241"/>
        <v>10.530000000000001</v>
      </c>
      <c r="M1016">
        <f t="shared" si="242"/>
        <v>0</v>
      </c>
      <c r="N1016">
        <f t="shared" si="236"/>
        <v>0.86250000000000038</v>
      </c>
      <c r="Q1016" t="str" cm="1">
        <f t="array" ref="Q1016:R1016">_xlfn.TEXTSPLIT(E1016," ")</f>
        <v>27.10.2023</v>
      </c>
      <c r="R1016" t="str">
        <v>16:55:41</v>
      </c>
      <c r="S1016">
        <f t="shared" si="249"/>
        <v>16.883333333333656</v>
      </c>
      <c r="T1016">
        <f t="shared" si="240"/>
        <v>17.480000000000004</v>
      </c>
      <c r="U1016">
        <f t="shared" si="243"/>
        <v>0.9</v>
      </c>
      <c r="V1016">
        <f t="shared" si="237"/>
        <v>1.5149999999999997</v>
      </c>
      <c r="AC1016" t="s">
        <v>2549</v>
      </c>
      <c r="AD1016">
        <v>0</v>
      </c>
      <c r="AE1016">
        <v>11.37</v>
      </c>
      <c r="AG1016" t="str" cm="1">
        <f t="array" ref="AG1016:AH1016">_xlfn.TEXTSPLIT(AC1017," ")</f>
        <v>26.10.2023</v>
      </c>
      <c r="AH1016" t="str">
        <v>16:56:52</v>
      </c>
      <c r="AI1016">
        <f t="shared" si="250"/>
        <v>16.883333333333656</v>
      </c>
      <c r="AJ1016">
        <f t="shared" si="244"/>
        <v>6.839999999999999</v>
      </c>
      <c r="AK1016">
        <f t="shared" si="245"/>
        <v>0</v>
      </c>
      <c r="AL1016">
        <f t="shared" si="238"/>
        <v>0.54749999999999999</v>
      </c>
      <c r="AN1016" t="s">
        <v>2549</v>
      </c>
      <c r="AO1016">
        <v>0.15</v>
      </c>
      <c r="AP1016">
        <v>74.12</v>
      </c>
      <c r="AR1016" t="str" cm="1">
        <f t="array" ref="AR1016:AS1016">_xlfn.TEXTSPLIT(AN1016," ")</f>
        <v>26.10.2023</v>
      </c>
      <c r="AS1016" t="str">
        <v>16:55:51</v>
      </c>
      <c r="AT1016">
        <f t="shared" si="251"/>
        <v>16.883333333333656</v>
      </c>
      <c r="AU1016">
        <f t="shared" si="246"/>
        <v>12.810000000000002</v>
      </c>
      <c r="AV1016">
        <f t="shared" si="247"/>
        <v>0.15</v>
      </c>
      <c r="AW1016">
        <f t="shared" si="239"/>
        <v>0.66249999999999987</v>
      </c>
    </row>
    <row r="1017" spans="1:49" x14ac:dyDescent="0.25">
      <c r="A1017" t="s">
        <v>2550</v>
      </c>
      <c r="B1017">
        <v>0</v>
      </c>
      <c r="C1017">
        <v>24.86</v>
      </c>
      <c r="E1017" t="s">
        <v>2550</v>
      </c>
      <c r="F1017">
        <v>1.2</v>
      </c>
      <c r="G1017">
        <v>96.1</v>
      </c>
      <c r="I1017" t="str" cm="1">
        <f t="array" ref="I1017:J1017">_xlfn.TEXTSPLIT(A1017," ")</f>
        <v>27.10.2023</v>
      </c>
      <c r="J1017" t="str">
        <v>16:56:41</v>
      </c>
      <c r="K1017">
        <f t="shared" si="248"/>
        <v>16.900000000000322</v>
      </c>
      <c r="L1017">
        <f t="shared" si="241"/>
        <v>10.54</v>
      </c>
      <c r="M1017">
        <f t="shared" si="242"/>
        <v>0</v>
      </c>
      <c r="N1017">
        <f t="shared" si="236"/>
        <v>0.85750000000000026</v>
      </c>
      <c r="Q1017" t="str" cm="1">
        <f t="array" ref="Q1017:R1017">_xlfn.TEXTSPLIT(E1017," ")</f>
        <v>27.10.2023</v>
      </c>
      <c r="R1017" t="str">
        <v>16:56:41</v>
      </c>
      <c r="S1017">
        <f t="shared" si="249"/>
        <v>16.900000000000322</v>
      </c>
      <c r="T1017">
        <f t="shared" si="240"/>
        <v>17.5</v>
      </c>
      <c r="U1017">
        <f t="shared" si="243"/>
        <v>1.2</v>
      </c>
      <c r="V1017">
        <f t="shared" si="237"/>
        <v>1.5174999999999996</v>
      </c>
      <c r="AC1017" t="s">
        <v>2551</v>
      </c>
      <c r="AD1017">
        <v>0</v>
      </c>
      <c r="AE1017">
        <v>11.37</v>
      </c>
      <c r="AG1017" t="str" cm="1">
        <f t="array" ref="AG1017:AH1017">_xlfn.TEXTSPLIT(AC1018," ")</f>
        <v>26.10.2023</v>
      </c>
      <c r="AH1017" t="str">
        <v>16:57:52</v>
      </c>
      <c r="AI1017">
        <f t="shared" si="250"/>
        <v>16.900000000000322</v>
      </c>
      <c r="AJ1017">
        <f t="shared" si="244"/>
        <v>6.839999999999999</v>
      </c>
      <c r="AK1017">
        <f t="shared" si="245"/>
        <v>0</v>
      </c>
      <c r="AL1017">
        <f t="shared" si="238"/>
        <v>0.54749999999999999</v>
      </c>
      <c r="AN1017" t="s">
        <v>2551</v>
      </c>
      <c r="AO1017">
        <v>0</v>
      </c>
      <c r="AP1017">
        <v>74.13</v>
      </c>
      <c r="AR1017" t="str" cm="1">
        <f t="array" ref="AR1017:AS1017">_xlfn.TEXTSPLIT(AN1017," ")</f>
        <v>26.10.2023</v>
      </c>
      <c r="AS1017" t="str">
        <v>16:56:52</v>
      </c>
      <c r="AT1017">
        <f t="shared" si="251"/>
        <v>16.900000000000322</v>
      </c>
      <c r="AU1017">
        <f t="shared" si="246"/>
        <v>12.819999999999993</v>
      </c>
      <c r="AV1017">
        <f t="shared" si="247"/>
        <v>0</v>
      </c>
      <c r="AW1017">
        <f t="shared" si="239"/>
        <v>0.66249999999999987</v>
      </c>
    </row>
    <row r="1018" spans="1:49" x14ac:dyDescent="0.25">
      <c r="A1018" t="s">
        <v>2552</v>
      </c>
      <c r="B1018">
        <v>0.6</v>
      </c>
      <c r="C1018">
        <v>24.87</v>
      </c>
      <c r="E1018" t="s">
        <v>2552</v>
      </c>
      <c r="F1018">
        <v>1.05</v>
      </c>
      <c r="G1018">
        <v>96.12</v>
      </c>
      <c r="I1018" t="str" cm="1">
        <f t="array" ref="I1018:J1018">_xlfn.TEXTSPLIT(A1018," ")</f>
        <v>27.10.2023</v>
      </c>
      <c r="J1018" t="str">
        <v>16:57:41</v>
      </c>
      <c r="K1018">
        <f t="shared" si="248"/>
        <v>16.916666666666988</v>
      </c>
      <c r="L1018">
        <f t="shared" si="241"/>
        <v>10.55</v>
      </c>
      <c r="M1018">
        <f t="shared" si="242"/>
        <v>0.6</v>
      </c>
      <c r="N1018">
        <f t="shared" si="236"/>
        <v>0.85750000000000026</v>
      </c>
      <c r="Q1018" t="str" cm="1">
        <f t="array" ref="Q1018:R1018">_xlfn.TEXTSPLIT(E1018," ")</f>
        <v>27.10.2023</v>
      </c>
      <c r="R1018" t="str">
        <v>16:57:41</v>
      </c>
      <c r="S1018">
        <f t="shared" si="249"/>
        <v>16.916666666666988</v>
      </c>
      <c r="T1018">
        <f t="shared" si="240"/>
        <v>17.52000000000001</v>
      </c>
      <c r="U1018">
        <f t="shared" si="243"/>
        <v>1.05</v>
      </c>
      <c r="V1018">
        <f t="shared" si="237"/>
        <v>1.5124999999999997</v>
      </c>
      <c r="AC1018" t="s">
        <v>2553</v>
      </c>
      <c r="AD1018">
        <v>0</v>
      </c>
      <c r="AE1018">
        <v>11.37</v>
      </c>
      <c r="AG1018" t="str" cm="1">
        <f t="array" ref="AG1018:AH1018">_xlfn.TEXTSPLIT(AC1019," ")</f>
        <v>26.10.2023</v>
      </c>
      <c r="AH1018" t="str">
        <v>16:58:52</v>
      </c>
      <c r="AI1018">
        <f t="shared" si="250"/>
        <v>16.916666666666988</v>
      </c>
      <c r="AJ1018">
        <f t="shared" si="244"/>
        <v>6.839999999999999</v>
      </c>
      <c r="AK1018">
        <f t="shared" si="245"/>
        <v>0</v>
      </c>
      <c r="AL1018">
        <f t="shared" si="238"/>
        <v>0.54749999999999999</v>
      </c>
      <c r="AN1018" t="s">
        <v>2553</v>
      </c>
      <c r="AO1018">
        <v>0.45</v>
      </c>
      <c r="AP1018">
        <v>74.13</v>
      </c>
      <c r="AR1018" t="str" cm="1">
        <f t="array" ref="AR1018:AS1018">_xlfn.TEXTSPLIT(AN1018," ")</f>
        <v>26.10.2023</v>
      </c>
      <c r="AS1018" t="str">
        <v>16:57:52</v>
      </c>
      <c r="AT1018">
        <f t="shared" si="251"/>
        <v>16.916666666666988</v>
      </c>
      <c r="AU1018">
        <f t="shared" si="246"/>
        <v>12.819999999999993</v>
      </c>
      <c r="AV1018">
        <f t="shared" si="247"/>
        <v>0.45</v>
      </c>
      <c r="AW1018">
        <f t="shared" si="239"/>
        <v>0.66749999999999998</v>
      </c>
    </row>
    <row r="1019" spans="1:49" x14ac:dyDescent="0.25">
      <c r="A1019" t="s">
        <v>2554</v>
      </c>
      <c r="B1019">
        <v>0.6</v>
      </c>
      <c r="C1019">
        <v>24.88</v>
      </c>
      <c r="E1019" t="s">
        <v>2554</v>
      </c>
      <c r="F1019">
        <v>0.9</v>
      </c>
      <c r="G1019">
        <v>96.13</v>
      </c>
      <c r="I1019" t="str" cm="1">
        <f t="array" ref="I1019:J1019">_xlfn.TEXTSPLIT(A1019," ")</f>
        <v>27.10.2023</v>
      </c>
      <c r="J1019" t="str">
        <v>16:58:41</v>
      </c>
      <c r="K1019">
        <f t="shared" si="248"/>
        <v>16.933333333333653</v>
      </c>
      <c r="L1019">
        <f t="shared" si="241"/>
        <v>10.559999999999999</v>
      </c>
      <c r="M1019">
        <f t="shared" si="242"/>
        <v>0.6</v>
      </c>
      <c r="N1019">
        <f t="shared" si="236"/>
        <v>0.85750000000000026</v>
      </c>
      <c r="Q1019" t="str" cm="1">
        <f t="array" ref="Q1019:R1019">_xlfn.TEXTSPLIT(E1019," ")</f>
        <v>27.10.2023</v>
      </c>
      <c r="R1019" t="str">
        <v>16:58:41</v>
      </c>
      <c r="S1019">
        <f t="shared" si="249"/>
        <v>16.933333333333653</v>
      </c>
      <c r="T1019">
        <f t="shared" si="240"/>
        <v>17.53</v>
      </c>
      <c r="U1019">
        <f t="shared" si="243"/>
        <v>0.9</v>
      </c>
      <c r="V1019">
        <f t="shared" si="237"/>
        <v>1.5024999999999999</v>
      </c>
      <c r="AC1019" t="s">
        <v>2555</v>
      </c>
      <c r="AD1019">
        <v>0</v>
      </c>
      <c r="AE1019">
        <v>11.37</v>
      </c>
      <c r="AG1019" t="str" cm="1">
        <f t="array" ref="AG1019:AH1019">_xlfn.TEXTSPLIT(AC1020," ")</f>
        <v>26.10.2023</v>
      </c>
      <c r="AH1019" t="str">
        <v>16:59:52</v>
      </c>
      <c r="AI1019">
        <f t="shared" si="250"/>
        <v>16.933333333333653</v>
      </c>
      <c r="AJ1019">
        <f t="shared" si="244"/>
        <v>6.839999999999999</v>
      </c>
      <c r="AK1019">
        <f t="shared" si="245"/>
        <v>0</v>
      </c>
      <c r="AL1019">
        <f t="shared" si="238"/>
        <v>0.54749999999999999</v>
      </c>
      <c r="AN1019" t="s">
        <v>2555</v>
      </c>
      <c r="AO1019">
        <v>0.15</v>
      </c>
      <c r="AP1019">
        <v>74.14</v>
      </c>
      <c r="AR1019" t="str" cm="1">
        <f t="array" ref="AR1019:AS1019">_xlfn.TEXTSPLIT(AN1019," ")</f>
        <v>26.10.2023</v>
      </c>
      <c r="AS1019" t="str">
        <v>16:58:52</v>
      </c>
      <c r="AT1019">
        <f t="shared" si="251"/>
        <v>16.933333333333653</v>
      </c>
      <c r="AU1019">
        <f t="shared" si="246"/>
        <v>12.829999999999998</v>
      </c>
      <c r="AV1019">
        <f t="shared" si="247"/>
        <v>0.15</v>
      </c>
      <c r="AW1019">
        <f t="shared" si="239"/>
        <v>0.66749999999999998</v>
      </c>
    </row>
    <row r="1020" spans="1:49" x14ac:dyDescent="0.25">
      <c r="A1020" t="s">
        <v>2556</v>
      </c>
      <c r="B1020">
        <v>0.45</v>
      </c>
      <c r="C1020">
        <v>24.89</v>
      </c>
      <c r="E1020" t="s">
        <v>2556</v>
      </c>
      <c r="F1020">
        <v>0.9</v>
      </c>
      <c r="G1020">
        <v>96.15</v>
      </c>
      <c r="I1020" t="str" cm="1">
        <f t="array" ref="I1020:J1020">_xlfn.TEXTSPLIT(A1020," ")</f>
        <v>27.10.2023</v>
      </c>
      <c r="J1020" t="str">
        <v>16:59:41</v>
      </c>
      <c r="K1020">
        <f t="shared" si="248"/>
        <v>16.950000000000319</v>
      </c>
      <c r="L1020">
        <f t="shared" si="241"/>
        <v>10.57</v>
      </c>
      <c r="M1020">
        <f t="shared" si="242"/>
        <v>0.45</v>
      </c>
      <c r="N1020">
        <f t="shared" si="236"/>
        <v>0.85750000000000026</v>
      </c>
      <c r="Q1020" t="str" cm="1">
        <f t="array" ref="Q1020:R1020">_xlfn.TEXTSPLIT(E1020," ")</f>
        <v>27.10.2023</v>
      </c>
      <c r="R1020" t="str">
        <v>16:59:41</v>
      </c>
      <c r="S1020">
        <f t="shared" si="249"/>
        <v>16.950000000000319</v>
      </c>
      <c r="T1020">
        <f t="shared" si="240"/>
        <v>17.550000000000011</v>
      </c>
      <c r="U1020">
        <f t="shared" si="243"/>
        <v>0.9</v>
      </c>
      <c r="V1020">
        <f t="shared" si="237"/>
        <v>1.5</v>
      </c>
      <c r="AC1020" t="s">
        <v>2557</v>
      </c>
      <c r="AD1020">
        <v>0</v>
      </c>
      <c r="AE1020">
        <v>11.37</v>
      </c>
      <c r="AG1020" t="str" cm="1">
        <f t="array" ref="AG1020:AH1020">_xlfn.TEXTSPLIT(AC1021," ")</f>
        <v>26.10.2023</v>
      </c>
      <c r="AH1020" t="str">
        <v>17:00:52</v>
      </c>
      <c r="AI1020">
        <f t="shared" si="250"/>
        <v>16.950000000000319</v>
      </c>
      <c r="AJ1020">
        <f t="shared" si="244"/>
        <v>6.839999999999999</v>
      </c>
      <c r="AK1020">
        <f t="shared" si="245"/>
        <v>0</v>
      </c>
      <c r="AL1020">
        <f t="shared" si="238"/>
        <v>0.54749999999999999</v>
      </c>
      <c r="AN1020" t="s">
        <v>2557</v>
      </c>
      <c r="AO1020">
        <v>0.15</v>
      </c>
      <c r="AP1020">
        <v>74.14</v>
      </c>
      <c r="AR1020" t="str" cm="1">
        <f t="array" ref="AR1020:AS1020">_xlfn.TEXTSPLIT(AN1020," ")</f>
        <v>26.10.2023</v>
      </c>
      <c r="AS1020" t="str">
        <v>16:59:52</v>
      </c>
      <c r="AT1020">
        <f t="shared" si="251"/>
        <v>16.950000000000319</v>
      </c>
      <c r="AU1020">
        <f t="shared" si="246"/>
        <v>12.829999999999998</v>
      </c>
      <c r="AV1020">
        <f t="shared" si="247"/>
        <v>0.15</v>
      </c>
      <c r="AW1020">
        <f t="shared" si="239"/>
        <v>0.66499999999999992</v>
      </c>
    </row>
    <row r="1021" spans="1:49" x14ac:dyDescent="0.25">
      <c r="A1021" t="s">
        <v>2558</v>
      </c>
      <c r="B1021">
        <v>0.6</v>
      </c>
      <c r="C1021">
        <v>24.9</v>
      </c>
      <c r="E1021" t="s">
        <v>2558</v>
      </c>
      <c r="F1021">
        <v>0.9</v>
      </c>
      <c r="G1021">
        <v>96.16</v>
      </c>
      <c r="I1021" t="str" cm="1">
        <f t="array" ref="I1021:J1021">_xlfn.TEXTSPLIT(A1021," ")</f>
        <v>27.10.2023</v>
      </c>
      <c r="J1021" t="str">
        <v>17:00:41</v>
      </c>
      <c r="K1021">
        <f t="shared" si="248"/>
        <v>16.966666666666985</v>
      </c>
      <c r="L1021">
        <f t="shared" si="241"/>
        <v>10.579999999999998</v>
      </c>
      <c r="M1021">
        <f t="shared" si="242"/>
        <v>0.6</v>
      </c>
      <c r="N1021">
        <f t="shared" si="236"/>
        <v>0.86000000000000043</v>
      </c>
      <c r="Q1021" t="str" cm="1">
        <f t="array" ref="Q1021:R1021">_xlfn.TEXTSPLIT(E1021," ")</f>
        <v>27.10.2023</v>
      </c>
      <c r="R1021" t="str">
        <v>17:00:41</v>
      </c>
      <c r="S1021">
        <f t="shared" si="249"/>
        <v>16.966666666666985</v>
      </c>
      <c r="T1021">
        <f t="shared" si="240"/>
        <v>17.560000000000002</v>
      </c>
      <c r="U1021">
        <f t="shared" si="243"/>
        <v>0.9</v>
      </c>
      <c r="V1021">
        <f t="shared" si="237"/>
        <v>1.4975000000000001</v>
      </c>
      <c r="AC1021" t="s">
        <v>2559</v>
      </c>
      <c r="AD1021">
        <v>0</v>
      </c>
      <c r="AE1021">
        <v>11.37</v>
      </c>
      <c r="AG1021" t="str" cm="1">
        <f t="array" ref="AG1021:AH1021">_xlfn.TEXTSPLIT(AC1022," ")</f>
        <v>26.10.2023</v>
      </c>
      <c r="AH1021" t="str">
        <v>17:01:52</v>
      </c>
      <c r="AI1021">
        <f t="shared" si="250"/>
        <v>16.966666666666985</v>
      </c>
      <c r="AJ1021">
        <f t="shared" si="244"/>
        <v>6.839999999999999</v>
      </c>
      <c r="AK1021">
        <f t="shared" si="245"/>
        <v>0</v>
      </c>
      <c r="AL1021">
        <f t="shared" si="238"/>
        <v>0.54749999999999999</v>
      </c>
      <c r="AN1021" t="s">
        <v>2559</v>
      </c>
      <c r="AO1021">
        <v>0.3</v>
      </c>
      <c r="AP1021">
        <v>74.14</v>
      </c>
      <c r="AR1021" t="str" cm="1">
        <f t="array" ref="AR1021:AS1021">_xlfn.TEXTSPLIT(AN1021," ")</f>
        <v>26.10.2023</v>
      </c>
      <c r="AS1021" t="str">
        <v>17:00:52</v>
      </c>
      <c r="AT1021">
        <f t="shared" si="251"/>
        <v>16.966666666666985</v>
      </c>
      <c r="AU1021">
        <f t="shared" si="246"/>
        <v>12.829999999999998</v>
      </c>
      <c r="AV1021">
        <f t="shared" si="247"/>
        <v>0.3</v>
      </c>
      <c r="AW1021">
        <f t="shared" si="239"/>
        <v>0.66499999999999992</v>
      </c>
    </row>
    <row r="1022" spans="1:49" x14ac:dyDescent="0.25">
      <c r="A1022" t="s">
        <v>2560</v>
      </c>
      <c r="B1022">
        <v>0.45</v>
      </c>
      <c r="C1022">
        <v>24.9</v>
      </c>
      <c r="E1022" t="s">
        <v>2560</v>
      </c>
      <c r="F1022">
        <v>1.05</v>
      </c>
      <c r="G1022">
        <v>96.18</v>
      </c>
      <c r="I1022" t="str" cm="1">
        <f t="array" ref="I1022:J1022">_xlfn.TEXTSPLIT(A1022," ")</f>
        <v>27.10.2023</v>
      </c>
      <c r="J1022" t="str">
        <v>17:01:41</v>
      </c>
      <c r="K1022">
        <f t="shared" si="248"/>
        <v>16.98333333333365</v>
      </c>
      <c r="L1022">
        <f t="shared" si="241"/>
        <v>10.579999999999998</v>
      </c>
      <c r="M1022">
        <f t="shared" si="242"/>
        <v>0.45</v>
      </c>
      <c r="N1022">
        <f t="shared" si="236"/>
        <v>0.85750000000000037</v>
      </c>
      <c r="Q1022" t="str" cm="1">
        <f t="array" ref="Q1022:R1022">_xlfn.TEXTSPLIT(E1022," ")</f>
        <v>27.10.2023</v>
      </c>
      <c r="R1022" t="str">
        <v>17:01:41</v>
      </c>
      <c r="S1022">
        <f t="shared" si="249"/>
        <v>16.98333333333365</v>
      </c>
      <c r="T1022">
        <f t="shared" si="240"/>
        <v>17.580000000000013</v>
      </c>
      <c r="U1022">
        <f t="shared" si="243"/>
        <v>1.05</v>
      </c>
      <c r="V1022">
        <f t="shared" si="237"/>
        <v>1.4975000000000001</v>
      </c>
      <c r="AC1022" t="s">
        <v>2561</v>
      </c>
      <c r="AD1022">
        <v>0</v>
      </c>
      <c r="AE1022">
        <v>11.37</v>
      </c>
      <c r="AG1022" t="str" cm="1">
        <f t="array" ref="AG1022:AH1022">_xlfn.TEXTSPLIT(AC1023," ")</f>
        <v>26.10.2023</v>
      </c>
      <c r="AH1022" t="str">
        <v>17:02:52</v>
      </c>
      <c r="AI1022">
        <f t="shared" si="250"/>
        <v>16.98333333333365</v>
      </c>
      <c r="AJ1022">
        <f t="shared" si="244"/>
        <v>6.839999999999999</v>
      </c>
      <c r="AK1022">
        <f t="shared" si="245"/>
        <v>0</v>
      </c>
      <c r="AL1022">
        <f t="shared" si="238"/>
        <v>0.54749999999999999</v>
      </c>
      <c r="AN1022" t="s">
        <v>2561</v>
      </c>
      <c r="AO1022">
        <v>0.3</v>
      </c>
      <c r="AP1022">
        <v>74.150000000000006</v>
      </c>
      <c r="AR1022" t="str" cm="1">
        <f t="array" ref="AR1022:AS1022">_xlfn.TEXTSPLIT(AN1022," ")</f>
        <v>26.10.2023</v>
      </c>
      <c r="AS1022" t="str">
        <v>17:01:52</v>
      </c>
      <c r="AT1022">
        <f t="shared" si="251"/>
        <v>16.98333333333365</v>
      </c>
      <c r="AU1022">
        <f t="shared" si="246"/>
        <v>12.840000000000003</v>
      </c>
      <c r="AV1022">
        <f t="shared" si="247"/>
        <v>0.3</v>
      </c>
      <c r="AW1022">
        <f t="shared" si="239"/>
        <v>0.66249999999999987</v>
      </c>
    </row>
    <row r="1023" spans="1:49" x14ac:dyDescent="0.25">
      <c r="A1023" t="s">
        <v>2562</v>
      </c>
      <c r="B1023">
        <v>0.45</v>
      </c>
      <c r="C1023">
        <v>24.91</v>
      </c>
      <c r="E1023" t="s">
        <v>2562</v>
      </c>
      <c r="F1023">
        <v>1.2</v>
      </c>
      <c r="G1023">
        <v>96.2</v>
      </c>
      <c r="I1023" t="str" cm="1">
        <f t="array" ref="I1023:J1023">_xlfn.TEXTSPLIT(A1023," ")</f>
        <v>27.10.2023</v>
      </c>
      <c r="J1023" t="str">
        <v>17:02:41</v>
      </c>
      <c r="K1023">
        <f t="shared" si="248"/>
        <v>17.000000000000316</v>
      </c>
      <c r="L1023">
        <f t="shared" si="241"/>
        <v>10.59</v>
      </c>
      <c r="M1023">
        <f t="shared" si="242"/>
        <v>0.45</v>
      </c>
      <c r="N1023">
        <f t="shared" ref="N1023:N1086" si="252">AVERAGE(M964:M1023)</f>
        <v>0.85750000000000037</v>
      </c>
      <c r="Q1023" t="str" cm="1">
        <f t="array" ref="Q1023:R1023">_xlfn.TEXTSPLIT(E1023," ")</f>
        <v>27.10.2023</v>
      </c>
      <c r="R1023" t="str">
        <v>17:02:41</v>
      </c>
      <c r="S1023">
        <f t="shared" si="249"/>
        <v>17.000000000000316</v>
      </c>
      <c r="T1023">
        <f t="shared" si="240"/>
        <v>17.600000000000009</v>
      </c>
      <c r="U1023">
        <f t="shared" si="243"/>
        <v>1.2</v>
      </c>
      <c r="V1023">
        <f t="shared" ref="V1023:V1086" si="253">AVERAGE(U964:U1023)</f>
        <v>1.4975000000000001</v>
      </c>
      <c r="AC1023" t="s">
        <v>2563</v>
      </c>
      <c r="AD1023">
        <v>0</v>
      </c>
      <c r="AE1023">
        <v>11.37</v>
      </c>
      <c r="AG1023" t="str" cm="1">
        <f t="array" ref="AG1023:AH1023">_xlfn.TEXTSPLIT(AC1024," ")</f>
        <v>26.10.2023</v>
      </c>
      <c r="AH1023" t="str">
        <v>17:03:53</v>
      </c>
      <c r="AI1023">
        <f t="shared" si="250"/>
        <v>17.000000000000316</v>
      </c>
      <c r="AJ1023">
        <f t="shared" si="244"/>
        <v>6.839999999999999</v>
      </c>
      <c r="AK1023">
        <f t="shared" si="245"/>
        <v>0</v>
      </c>
      <c r="AL1023">
        <f t="shared" ref="AL1023:AL1086" si="254">AVERAGE(AK964:AK1023)</f>
        <v>0.54250000000000009</v>
      </c>
      <c r="AN1023" t="s">
        <v>2563</v>
      </c>
      <c r="AO1023">
        <v>0.45</v>
      </c>
      <c r="AP1023">
        <v>74.16</v>
      </c>
      <c r="AR1023" t="str" cm="1">
        <f t="array" ref="AR1023:AS1023">_xlfn.TEXTSPLIT(AN1023," ")</f>
        <v>26.10.2023</v>
      </c>
      <c r="AS1023" t="str">
        <v>17:02:52</v>
      </c>
      <c r="AT1023">
        <f t="shared" si="251"/>
        <v>17.000000000000316</v>
      </c>
      <c r="AU1023">
        <f t="shared" si="246"/>
        <v>12.849999999999994</v>
      </c>
      <c r="AV1023">
        <f t="shared" si="247"/>
        <v>0.45</v>
      </c>
      <c r="AW1023">
        <f t="shared" ref="AW1023:AW1086" si="255">AVERAGE(AV964:AV1023)</f>
        <v>0.66499999999999992</v>
      </c>
    </row>
    <row r="1024" spans="1:49" x14ac:dyDescent="0.25">
      <c r="A1024" t="s">
        <v>2564</v>
      </c>
      <c r="B1024">
        <v>0.6</v>
      </c>
      <c r="C1024">
        <v>24.92</v>
      </c>
      <c r="E1024" t="s">
        <v>2564</v>
      </c>
      <c r="F1024">
        <v>1.65</v>
      </c>
      <c r="G1024">
        <v>96.23</v>
      </c>
      <c r="I1024" t="str" cm="1">
        <f t="array" ref="I1024:J1024">_xlfn.TEXTSPLIT(A1024," ")</f>
        <v>27.10.2023</v>
      </c>
      <c r="J1024" t="str">
        <v>17:03:41</v>
      </c>
      <c r="K1024">
        <f t="shared" si="248"/>
        <v>17.016666666666982</v>
      </c>
      <c r="L1024">
        <f t="shared" si="241"/>
        <v>10.600000000000001</v>
      </c>
      <c r="M1024">
        <f t="shared" si="242"/>
        <v>0.6</v>
      </c>
      <c r="N1024">
        <f t="shared" si="252"/>
        <v>0.85750000000000037</v>
      </c>
      <c r="Q1024" t="str" cm="1">
        <f t="array" ref="Q1024:R1024">_xlfn.TEXTSPLIT(E1024," ")</f>
        <v>27.10.2023</v>
      </c>
      <c r="R1024" t="str">
        <v>17:03:41</v>
      </c>
      <c r="S1024">
        <f t="shared" si="249"/>
        <v>17.016666666666982</v>
      </c>
      <c r="T1024">
        <f t="shared" si="240"/>
        <v>17.63000000000001</v>
      </c>
      <c r="U1024">
        <f t="shared" si="243"/>
        <v>1.65</v>
      </c>
      <c r="V1024">
        <f t="shared" si="253"/>
        <v>1.5</v>
      </c>
      <c r="AC1024" t="s">
        <v>2565</v>
      </c>
      <c r="AD1024">
        <v>0</v>
      </c>
      <c r="AE1024">
        <v>11.37</v>
      </c>
      <c r="AG1024" t="str" cm="1">
        <f t="array" ref="AG1024:AH1024">_xlfn.TEXTSPLIT(AC1025," ")</f>
        <v>26.10.2023</v>
      </c>
      <c r="AH1024" t="str">
        <v>17:04:53</v>
      </c>
      <c r="AI1024">
        <f t="shared" si="250"/>
        <v>17.016666666666982</v>
      </c>
      <c r="AJ1024">
        <f t="shared" si="244"/>
        <v>6.839999999999999</v>
      </c>
      <c r="AK1024">
        <f t="shared" si="245"/>
        <v>0</v>
      </c>
      <c r="AL1024">
        <f t="shared" si="254"/>
        <v>0.54250000000000009</v>
      </c>
      <c r="AN1024" t="s">
        <v>2565</v>
      </c>
      <c r="AO1024">
        <v>0.45</v>
      </c>
      <c r="AP1024">
        <v>74.16</v>
      </c>
      <c r="AR1024" t="str" cm="1">
        <f t="array" ref="AR1024:AS1024">_xlfn.TEXTSPLIT(AN1024," ")</f>
        <v>26.10.2023</v>
      </c>
      <c r="AS1024" t="str">
        <v>17:03:53</v>
      </c>
      <c r="AT1024">
        <f t="shared" si="251"/>
        <v>17.016666666666982</v>
      </c>
      <c r="AU1024">
        <f t="shared" si="246"/>
        <v>12.849999999999994</v>
      </c>
      <c r="AV1024">
        <f t="shared" si="247"/>
        <v>0.45</v>
      </c>
      <c r="AW1024">
        <f t="shared" si="255"/>
        <v>0.66249999999999998</v>
      </c>
    </row>
    <row r="1025" spans="1:49" x14ac:dyDescent="0.25">
      <c r="A1025" t="s">
        <v>2566</v>
      </c>
      <c r="B1025">
        <v>0.6</v>
      </c>
      <c r="C1025">
        <v>24.93</v>
      </c>
      <c r="E1025" t="s">
        <v>2566</v>
      </c>
      <c r="F1025">
        <v>1.5</v>
      </c>
      <c r="G1025">
        <v>96.25</v>
      </c>
      <c r="I1025" t="str" cm="1">
        <f t="array" ref="I1025:J1025">_xlfn.TEXTSPLIT(A1025," ")</f>
        <v>27.10.2023</v>
      </c>
      <c r="J1025" t="str">
        <v>17:04:41</v>
      </c>
      <c r="K1025">
        <f t="shared" si="248"/>
        <v>17.033333333333648</v>
      </c>
      <c r="L1025">
        <f t="shared" si="241"/>
        <v>10.61</v>
      </c>
      <c r="M1025">
        <f t="shared" si="242"/>
        <v>0.6</v>
      </c>
      <c r="N1025">
        <f t="shared" si="252"/>
        <v>0.86000000000000054</v>
      </c>
      <c r="Q1025" t="str" cm="1">
        <f t="array" ref="Q1025:R1025">_xlfn.TEXTSPLIT(E1025," ")</f>
        <v>27.10.2023</v>
      </c>
      <c r="R1025" t="str">
        <v>17:04:41</v>
      </c>
      <c r="S1025">
        <f t="shared" si="249"/>
        <v>17.033333333333648</v>
      </c>
      <c r="T1025">
        <f t="shared" si="240"/>
        <v>17.650000000000006</v>
      </c>
      <c r="U1025">
        <f t="shared" si="243"/>
        <v>1.5</v>
      </c>
      <c r="V1025">
        <f t="shared" si="253"/>
        <v>1.4950000000000001</v>
      </c>
      <c r="AC1025" t="s">
        <v>2567</v>
      </c>
      <c r="AD1025">
        <v>0.15</v>
      </c>
      <c r="AE1025">
        <v>11.38</v>
      </c>
      <c r="AG1025" t="str" cm="1">
        <f t="array" ref="AG1025:AH1025">_xlfn.TEXTSPLIT(AC1026," ")</f>
        <v>26.10.2023</v>
      </c>
      <c r="AH1025" t="str">
        <v>17:05:53</v>
      </c>
      <c r="AI1025">
        <f t="shared" si="250"/>
        <v>17.033333333333648</v>
      </c>
      <c r="AJ1025">
        <f t="shared" si="244"/>
        <v>6.8500000000000005</v>
      </c>
      <c r="AK1025">
        <f t="shared" si="245"/>
        <v>0.15</v>
      </c>
      <c r="AL1025">
        <f t="shared" si="254"/>
        <v>0.54249999999999998</v>
      </c>
      <c r="AN1025" t="s">
        <v>2567</v>
      </c>
      <c r="AO1025">
        <v>0.3</v>
      </c>
      <c r="AP1025">
        <v>74.17</v>
      </c>
      <c r="AR1025" t="str" cm="1">
        <f t="array" ref="AR1025:AS1025">_xlfn.TEXTSPLIT(AN1025," ")</f>
        <v>26.10.2023</v>
      </c>
      <c r="AS1025" t="str">
        <v>17:04:53</v>
      </c>
      <c r="AT1025">
        <f t="shared" si="251"/>
        <v>17.033333333333648</v>
      </c>
      <c r="AU1025">
        <f t="shared" si="246"/>
        <v>12.86</v>
      </c>
      <c r="AV1025">
        <f t="shared" si="247"/>
        <v>0.3</v>
      </c>
      <c r="AW1025">
        <f t="shared" si="255"/>
        <v>0.65499999999999992</v>
      </c>
    </row>
    <row r="1026" spans="1:49" x14ac:dyDescent="0.25">
      <c r="A1026" t="s">
        <v>2568</v>
      </c>
      <c r="B1026">
        <v>0.6</v>
      </c>
      <c r="C1026">
        <v>24.94</v>
      </c>
      <c r="E1026" t="s">
        <v>2568</v>
      </c>
      <c r="F1026">
        <v>0.9</v>
      </c>
      <c r="G1026">
        <v>96.27</v>
      </c>
      <c r="I1026" t="str" cm="1">
        <f t="array" ref="I1026:J1026">_xlfn.TEXTSPLIT(A1026," ")</f>
        <v>27.10.2023</v>
      </c>
      <c r="J1026" t="str">
        <v>17:05:41</v>
      </c>
      <c r="K1026">
        <f t="shared" si="248"/>
        <v>17.050000000000313</v>
      </c>
      <c r="L1026">
        <f t="shared" si="241"/>
        <v>10.620000000000001</v>
      </c>
      <c r="M1026">
        <f t="shared" si="242"/>
        <v>0.6</v>
      </c>
      <c r="N1026">
        <f t="shared" si="252"/>
        <v>0.85750000000000048</v>
      </c>
      <c r="Q1026" t="str" cm="1">
        <f t="array" ref="Q1026:R1026">_xlfn.TEXTSPLIT(E1026," ")</f>
        <v>27.10.2023</v>
      </c>
      <c r="R1026" t="str">
        <v>17:05:41</v>
      </c>
      <c r="S1026">
        <f t="shared" si="249"/>
        <v>17.050000000000313</v>
      </c>
      <c r="T1026">
        <f t="shared" si="240"/>
        <v>17.670000000000002</v>
      </c>
      <c r="U1026">
        <f t="shared" si="243"/>
        <v>0.9</v>
      </c>
      <c r="V1026">
        <f t="shared" si="253"/>
        <v>1.4875</v>
      </c>
      <c r="AC1026" t="s">
        <v>2569</v>
      </c>
      <c r="AD1026">
        <v>0.3</v>
      </c>
      <c r="AE1026">
        <v>11.38</v>
      </c>
      <c r="AG1026" t="str" cm="1">
        <f t="array" ref="AG1026:AH1026">_xlfn.TEXTSPLIT(AC1027," ")</f>
        <v>26.10.2023</v>
      </c>
      <c r="AH1026" t="str">
        <v>17:06:53</v>
      </c>
      <c r="AI1026">
        <f t="shared" si="250"/>
        <v>17.050000000000313</v>
      </c>
      <c r="AJ1026">
        <f t="shared" si="244"/>
        <v>6.8500000000000005</v>
      </c>
      <c r="AK1026">
        <f t="shared" si="245"/>
        <v>0.3</v>
      </c>
      <c r="AL1026">
        <f t="shared" si="254"/>
        <v>0.54249999999999998</v>
      </c>
      <c r="AN1026" t="s">
        <v>2569</v>
      </c>
      <c r="AO1026">
        <v>0.3</v>
      </c>
      <c r="AP1026">
        <v>74.17</v>
      </c>
      <c r="AR1026" t="str" cm="1">
        <f t="array" ref="AR1026:AS1026">_xlfn.TEXTSPLIT(AN1026," ")</f>
        <v>26.10.2023</v>
      </c>
      <c r="AS1026" t="str">
        <v>17:05:53</v>
      </c>
      <c r="AT1026">
        <f t="shared" si="251"/>
        <v>17.050000000000313</v>
      </c>
      <c r="AU1026">
        <f t="shared" si="246"/>
        <v>12.86</v>
      </c>
      <c r="AV1026">
        <f t="shared" si="247"/>
        <v>0.3</v>
      </c>
      <c r="AW1026">
        <f t="shared" si="255"/>
        <v>0.64749999999999985</v>
      </c>
    </row>
    <row r="1027" spans="1:49" x14ac:dyDescent="0.25">
      <c r="A1027" t="s">
        <v>2570</v>
      </c>
      <c r="B1027">
        <v>0.75</v>
      </c>
      <c r="C1027">
        <v>24.95</v>
      </c>
      <c r="E1027" t="s">
        <v>2570</v>
      </c>
      <c r="F1027">
        <v>1.65</v>
      </c>
      <c r="G1027">
        <v>96.32</v>
      </c>
      <c r="I1027" t="str" cm="1">
        <f t="array" ref="I1027:J1027">_xlfn.TEXTSPLIT(A1027," ")</f>
        <v>27.10.2023</v>
      </c>
      <c r="J1027" t="str">
        <v>17:06:41</v>
      </c>
      <c r="K1027">
        <f t="shared" si="248"/>
        <v>17.066666666666979</v>
      </c>
      <c r="L1027">
        <f t="shared" si="241"/>
        <v>10.629999999999999</v>
      </c>
      <c r="M1027">
        <f t="shared" si="242"/>
        <v>0.75</v>
      </c>
      <c r="N1027">
        <f t="shared" si="252"/>
        <v>0.86000000000000054</v>
      </c>
      <c r="Q1027" t="str" cm="1">
        <f t="array" ref="Q1027:R1027">_xlfn.TEXTSPLIT(E1027," ")</f>
        <v>27.10.2023</v>
      </c>
      <c r="R1027" t="str">
        <v>17:06:41</v>
      </c>
      <c r="S1027">
        <f t="shared" si="249"/>
        <v>17.066666666666979</v>
      </c>
      <c r="T1027">
        <f t="shared" ref="T1027:T1090" si="256">G1027-78.6</f>
        <v>17.72</v>
      </c>
      <c r="U1027">
        <f t="shared" si="243"/>
        <v>1.65</v>
      </c>
      <c r="V1027">
        <f t="shared" si="253"/>
        <v>1.4875000000000003</v>
      </c>
      <c r="AC1027" t="s">
        <v>2571</v>
      </c>
      <c r="AD1027">
        <v>0.15</v>
      </c>
      <c r="AE1027">
        <v>11.39</v>
      </c>
      <c r="AG1027" t="str" cm="1">
        <f t="array" ref="AG1027:AH1027">_xlfn.TEXTSPLIT(AC1028," ")</f>
        <v>26.10.2023</v>
      </c>
      <c r="AH1027" t="str">
        <v>17:07:53</v>
      </c>
      <c r="AI1027">
        <f t="shared" si="250"/>
        <v>17.066666666666979</v>
      </c>
      <c r="AJ1027">
        <f t="shared" si="244"/>
        <v>6.86</v>
      </c>
      <c r="AK1027">
        <f t="shared" si="245"/>
        <v>0.15</v>
      </c>
      <c r="AL1027">
        <f t="shared" si="254"/>
        <v>0.53749999999999987</v>
      </c>
      <c r="AN1027" t="s">
        <v>2571</v>
      </c>
      <c r="AO1027">
        <v>0.45</v>
      </c>
      <c r="AP1027">
        <v>74.19</v>
      </c>
      <c r="AR1027" t="str" cm="1">
        <f t="array" ref="AR1027:AS1027">_xlfn.TEXTSPLIT(AN1027," ")</f>
        <v>26.10.2023</v>
      </c>
      <c r="AS1027" t="str">
        <v>17:06:53</v>
      </c>
      <c r="AT1027">
        <f t="shared" si="251"/>
        <v>17.066666666666979</v>
      </c>
      <c r="AU1027">
        <f t="shared" si="246"/>
        <v>12.879999999999995</v>
      </c>
      <c r="AV1027">
        <f t="shared" si="247"/>
        <v>0.45</v>
      </c>
      <c r="AW1027">
        <f t="shared" si="255"/>
        <v>0.64749999999999985</v>
      </c>
    </row>
    <row r="1028" spans="1:49" x14ac:dyDescent="0.25">
      <c r="A1028" t="s">
        <v>2572</v>
      </c>
      <c r="B1028">
        <v>0.75</v>
      </c>
      <c r="C1028">
        <v>24.99</v>
      </c>
      <c r="E1028" t="s">
        <v>2572</v>
      </c>
      <c r="F1028">
        <v>3.3</v>
      </c>
      <c r="G1028">
        <v>96.37</v>
      </c>
      <c r="I1028" t="str" cm="1">
        <f t="array" ref="I1028:J1028">_xlfn.TEXTSPLIT(A1028," ")</f>
        <v>27.10.2023</v>
      </c>
      <c r="J1028" t="str">
        <v>17:07:41</v>
      </c>
      <c r="K1028">
        <f t="shared" si="248"/>
        <v>17.083333333333645</v>
      </c>
      <c r="L1028">
        <f t="shared" ref="L1028:L1091" si="257">C1028-14.32</f>
        <v>10.669999999999998</v>
      </c>
      <c r="M1028">
        <f t="shared" ref="M1028:M1091" si="258">B1028</f>
        <v>0.75</v>
      </c>
      <c r="N1028">
        <f t="shared" si="252"/>
        <v>0.86000000000000054</v>
      </c>
      <c r="Q1028" t="str" cm="1">
        <f t="array" ref="Q1028:R1028">_xlfn.TEXTSPLIT(E1028," ")</f>
        <v>27.10.2023</v>
      </c>
      <c r="R1028" t="str">
        <v>17:07:41</v>
      </c>
      <c r="S1028">
        <f t="shared" si="249"/>
        <v>17.083333333333645</v>
      </c>
      <c r="T1028">
        <f t="shared" si="256"/>
        <v>17.77000000000001</v>
      </c>
      <c r="U1028">
        <f t="shared" ref="U1028:U1091" si="259">F1028</f>
        <v>3.3</v>
      </c>
      <c r="V1028">
        <f t="shared" si="253"/>
        <v>1.4800000000000004</v>
      </c>
      <c r="AC1028" t="s">
        <v>2573</v>
      </c>
      <c r="AD1028">
        <v>0.75</v>
      </c>
      <c r="AE1028">
        <v>11.4</v>
      </c>
      <c r="AG1028" t="str" cm="1">
        <f t="array" ref="AG1028:AH1028">_xlfn.TEXTSPLIT(AC1029," ")</f>
        <v>26.10.2023</v>
      </c>
      <c r="AH1028" t="str">
        <v>17:08:53</v>
      </c>
      <c r="AI1028">
        <f t="shared" si="250"/>
        <v>17.083333333333645</v>
      </c>
      <c r="AJ1028">
        <f t="shared" ref="AJ1028:AJ1091" si="260">AE1028-4.53</f>
        <v>6.87</v>
      </c>
      <c r="AK1028">
        <f t="shared" ref="AK1028:AK1091" si="261">AD1028</f>
        <v>0.75</v>
      </c>
      <c r="AL1028">
        <f t="shared" si="254"/>
        <v>0.54499999999999993</v>
      </c>
      <c r="AN1028" t="s">
        <v>2573</v>
      </c>
      <c r="AO1028">
        <v>1.05</v>
      </c>
      <c r="AP1028">
        <v>74.22</v>
      </c>
      <c r="AR1028" t="str" cm="1">
        <f t="array" ref="AR1028:AS1028">_xlfn.TEXTSPLIT(AN1028," ")</f>
        <v>26.10.2023</v>
      </c>
      <c r="AS1028" t="str">
        <v>17:07:53</v>
      </c>
      <c r="AT1028">
        <f t="shared" si="251"/>
        <v>17.083333333333645</v>
      </c>
      <c r="AU1028">
        <f t="shared" ref="AU1028:AU1091" si="262">AP1028-61.31</f>
        <v>12.909999999999997</v>
      </c>
      <c r="AV1028">
        <f t="shared" ref="AV1028:AV1091" si="263">AO1028</f>
        <v>1.05</v>
      </c>
      <c r="AW1028">
        <f t="shared" si="255"/>
        <v>0.64499999999999991</v>
      </c>
    </row>
    <row r="1029" spans="1:49" x14ac:dyDescent="0.25">
      <c r="A1029" t="s">
        <v>2574</v>
      </c>
      <c r="B1029">
        <v>2.85</v>
      </c>
      <c r="C1029">
        <v>25.03</v>
      </c>
      <c r="E1029" t="s">
        <v>2574</v>
      </c>
      <c r="F1029">
        <v>2.4</v>
      </c>
      <c r="G1029">
        <v>96.4</v>
      </c>
      <c r="I1029" t="str" cm="1">
        <f t="array" ref="I1029:J1029">_xlfn.TEXTSPLIT(A1029," ")</f>
        <v>27.10.2023</v>
      </c>
      <c r="J1029" t="str">
        <v>17:08:42</v>
      </c>
      <c r="K1029">
        <f t="shared" ref="K1029:K1092" si="264">1/60+K1028</f>
        <v>17.100000000000311</v>
      </c>
      <c r="L1029">
        <f t="shared" si="257"/>
        <v>10.71</v>
      </c>
      <c r="M1029">
        <f t="shared" si="258"/>
        <v>2.85</v>
      </c>
      <c r="N1029">
        <f t="shared" si="252"/>
        <v>0.86000000000000054</v>
      </c>
      <c r="Q1029" t="str" cm="1">
        <f t="array" ref="Q1029:R1029">_xlfn.TEXTSPLIT(E1029," ")</f>
        <v>27.10.2023</v>
      </c>
      <c r="R1029" t="str">
        <v>17:08:42</v>
      </c>
      <c r="S1029">
        <f t="shared" ref="S1029:S1092" si="265">1/60+S1028</f>
        <v>17.100000000000311</v>
      </c>
      <c r="T1029">
        <f t="shared" si="256"/>
        <v>17.800000000000011</v>
      </c>
      <c r="U1029">
        <f t="shared" si="259"/>
        <v>2.4</v>
      </c>
      <c r="V1029">
        <f t="shared" si="253"/>
        <v>1.4725000000000004</v>
      </c>
      <c r="AC1029" t="s">
        <v>2575</v>
      </c>
      <c r="AD1029">
        <v>0.6</v>
      </c>
      <c r="AE1029">
        <v>11.43</v>
      </c>
      <c r="AG1029" t="str" cm="1">
        <f t="array" ref="AG1029:AH1029">_xlfn.TEXTSPLIT(AC1030," ")</f>
        <v>26.10.2023</v>
      </c>
      <c r="AH1029" t="str">
        <v>17:09:53</v>
      </c>
      <c r="AI1029">
        <f t="shared" ref="AI1029:AI1092" si="266">1/60+AI1028</f>
        <v>17.100000000000311</v>
      </c>
      <c r="AJ1029">
        <f t="shared" si="260"/>
        <v>6.8999999999999995</v>
      </c>
      <c r="AK1029">
        <f t="shared" si="261"/>
        <v>0.6</v>
      </c>
      <c r="AL1029">
        <f t="shared" si="254"/>
        <v>0.54500000000000004</v>
      </c>
      <c r="AN1029" t="s">
        <v>2575</v>
      </c>
      <c r="AO1029">
        <v>1.95</v>
      </c>
      <c r="AP1029">
        <v>74.260000000000005</v>
      </c>
      <c r="AR1029" t="str" cm="1">
        <f t="array" ref="AR1029:AS1029">_xlfn.TEXTSPLIT(AN1029," ")</f>
        <v>26.10.2023</v>
      </c>
      <c r="AS1029" t="str">
        <v>17:08:53</v>
      </c>
      <c r="AT1029">
        <f t="shared" ref="AT1029:AT1092" si="267">1/60+AT1028</f>
        <v>17.100000000000311</v>
      </c>
      <c r="AU1029">
        <f t="shared" si="262"/>
        <v>12.950000000000003</v>
      </c>
      <c r="AV1029">
        <f t="shared" si="263"/>
        <v>1.95</v>
      </c>
      <c r="AW1029">
        <f t="shared" si="255"/>
        <v>0.65</v>
      </c>
    </row>
    <row r="1030" spans="1:49" x14ac:dyDescent="0.25">
      <c r="A1030" t="s">
        <v>2576</v>
      </c>
      <c r="B1030">
        <v>2.4</v>
      </c>
      <c r="C1030">
        <v>25.06</v>
      </c>
      <c r="E1030" t="s">
        <v>2576</v>
      </c>
      <c r="F1030">
        <v>1.65</v>
      </c>
      <c r="G1030">
        <v>96.43</v>
      </c>
      <c r="I1030" t="str" cm="1">
        <f t="array" ref="I1030:J1030">_xlfn.TEXTSPLIT(A1030," ")</f>
        <v>27.10.2023</v>
      </c>
      <c r="J1030" t="str">
        <v>17:09:42</v>
      </c>
      <c r="K1030">
        <f t="shared" si="264"/>
        <v>17.116666666666976</v>
      </c>
      <c r="L1030">
        <f t="shared" si="257"/>
        <v>10.739999999999998</v>
      </c>
      <c r="M1030">
        <f t="shared" si="258"/>
        <v>2.4</v>
      </c>
      <c r="N1030">
        <f t="shared" si="252"/>
        <v>0.86000000000000021</v>
      </c>
      <c r="Q1030" t="str" cm="1">
        <f t="array" ref="Q1030:R1030">_xlfn.TEXTSPLIT(E1030," ")</f>
        <v>27.10.2023</v>
      </c>
      <c r="R1030" t="str">
        <v>17:09:42</v>
      </c>
      <c r="S1030">
        <f t="shared" si="265"/>
        <v>17.116666666666976</v>
      </c>
      <c r="T1030">
        <f t="shared" si="256"/>
        <v>17.830000000000013</v>
      </c>
      <c r="U1030">
        <f t="shared" si="259"/>
        <v>1.65</v>
      </c>
      <c r="V1030">
        <f t="shared" si="253"/>
        <v>1.4600000000000004</v>
      </c>
      <c r="AC1030" t="s">
        <v>2577</v>
      </c>
      <c r="AD1030">
        <v>1.95</v>
      </c>
      <c r="AE1030">
        <v>11.46</v>
      </c>
      <c r="AG1030" t="str" cm="1">
        <f t="array" ref="AG1030:AH1030">_xlfn.TEXTSPLIT(AC1031," ")</f>
        <v>26.10.2023</v>
      </c>
      <c r="AH1030" t="str">
        <v>17:10:54</v>
      </c>
      <c r="AI1030">
        <f t="shared" si="266"/>
        <v>17.116666666666976</v>
      </c>
      <c r="AJ1030">
        <f t="shared" si="260"/>
        <v>6.9300000000000006</v>
      </c>
      <c r="AK1030">
        <f t="shared" si="261"/>
        <v>1.95</v>
      </c>
      <c r="AL1030">
        <f t="shared" si="254"/>
        <v>0.53749999999999998</v>
      </c>
      <c r="AN1030" t="s">
        <v>2577</v>
      </c>
      <c r="AO1030">
        <v>2.4</v>
      </c>
      <c r="AP1030">
        <v>74.28</v>
      </c>
      <c r="AR1030" t="str" cm="1">
        <f t="array" ref="AR1030:AS1030">_xlfn.TEXTSPLIT(AN1030," ")</f>
        <v>26.10.2023</v>
      </c>
      <c r="AS1030" t="str">
        <v>17:09:53</v>
      </c>
      <c r="AT1030">
        <f t="shared" si="267"/>
        <v>17.116666666666976</v>
      </c>
      <c r="AU1030">
        <f t="shared" si="262"/>
        <v>12.969999999999999</v>
      </c>
      <c r="AV1030">
        <f t="shared" si="263"/>
        <v>2.4</v>
      </c>
      <c r="AW1030">
        <f t="shared" si="255"/>
        <v>0.65500000000000014</v>
      </c>
    </row>
    <row r="1031" spans="1:49" x14ac:dyDescent="0.25">
      <c r="A1031" t="s">
        <v>2578</v>
      </c>
      <c r="B1031">
        <v>1.65</v>
      </c>
      <c r="C1031">
        <v>25.09</v>
      </c>
      <c r="E1031" t="s">
        <v>2578</v>
      </c>
      <c r="F1031">
        <v>1.8</v>
      </c>
      <c r="G1031">
        <v>96.47</v>
      </c>
      <c r="I1031" t="str" cm="1">
        <f t="array" ref="I1031:J1031">_xlfn.TEXTSPLIT(A1031," ")</f>
        <v>27.10.2023</v>
      </c>
      <c r="J1031" t="str">
        <v>17:10:42</v>
      </c>
      <c r="K1031">
        <f t="shared" si="264"/>
        <v>17.133333333333642</v>
      </c>
      <c r="L1031">
        <f t="shared" si="257"/>
        <v>10.77</v>
      </c>
      <c r="M1031">
        <f t="shared" si="258"/>
        <v>1.65</v>
      </c>
      <c r="N1031">
        <f t="shared" si="252"/>
        <v>0.85250000000000026</v>
      </c>
      <c r="Q1031" t="str" cm="1">
        <f t="array" ref="Q1031:R1031">_xlfn.TEXTSPLIT(E1031," ")</f>
        <v>27.10.2023</v>
      </c>
      <c r="R1031" t="str">
        <v>17:10:42</v>
      </c>
      <c r="S1031">
        <f t="shared" si="265"/>
        <v>17.133333333333642</v>
      </c>
      <c r="T1031">
        <f t="shared" si="256"/>
        <v>17.870000000000005</v>
      </c>
      <c r="U1031">
        <f t="shared" si="259"/>
        <v>1.8</v>
      </c>
      <c r="V1031">
        <f t="shared" si="253"/>
        <v>1.4350000000000003</v>
      </c>
      <c r="AC1031" t="s">
        <v>2579</v>
      </c>
      <c r="AD1031">
        <v>1.5</v>
      </c>
      <c r="AE1031">
        <v>11.49</v>
      </c>
      <c r="AG1031" t="str" cm="1">
        <f t="array" ref="AG1031:AH1031">_xlfn.TEXTSPLIT(AC1032," ")</f>
        <v>26.10.2023</v>
      </c>
      <c r="AH1031" t="str">
        <v>17:11:54</v>
      </c>
      <c r="AI1031">
        <f t="shared" si="266"/>
        <v>17.133333333333642</v>
      </c>
      <c r="AJ1031">
        <f t="shared" si="260"/>
        <v>6.96</v>
      </c>
      <c r="AK1031">
        <f t="shared" si="261"/>
        <v>1.5</v>
      </c>
      <c r="AL1031">
        <f t="shared" si="254"/>
        <v>0.52500000000000002</v>
      </c>
      <c r="AN1031" t="s">
        <v>2579</v>
      </c>
      <c r="AO1031">
        <v>1.2</v>
      </c>
      <c r="AP1031">
        <v>74.290000000000006</v>
      </c>
      <c r="AR1031" t="str" cm="1">
        <f t="array" ref="AR1031:AS1031">_xlfn.TEXTSPLIT(AN1031," ")</f>
        <v>26.10.2023</v>
      </c>
      <c r="AS1031" t="str">
        <v>17:10:54</v>
      </c>
      <c r="AT1031">
        <f t="shared" si="267"/>
        <v>17.133333333333642</v>
      </c>
      <c r="AU1031">
        <f t="shared" si="262"/>
        <v>12.980000000000004</v>
      </c>
      <c r="AV1031">
        <f t="shared" si="263"/>
        <v>1.2</v>
      </c>
      <c r="AW1031">
        <f t="shared" si="255"/>
        <v>0.64250000000000018</v>
      </c>
    </row>
    <row r="1032" spans="1:49" x14ac:dyDescent="0.25">
      <c r="A1032" t="s">
        <v>2580</v>
      </c>
      <c r="B1032">
        <v>1.5</v>
      </c>
      <c r="C1032">
        <v>25.1</v>
      </c>
      <c r="E1032" t="s">
        <v>2580</v>
      </c>
      <c r="F1032">
        <v>2.25</v>
      </c>
      <c r="G1032">
        <v>96.49</v>
      </c>
      <c r="I1032" t="str" cm="1">
        <f t="array" ref="I1032:J1032">_xlfn.TEXTSPLIT(A1032," ")</f>
        <v>27.10.2023</v>
      </c>
      <c r="J1032" t="str">
        <v>17:11:42</v>
      </c>
      <c r="K1032">
        <f t="shared" si="264"/>
        <v>17.150000000000308</v>
      </c>
      <c r="L1032">
        <f t="shared" si="257"/>
        <v>10.780000000000001</v>
      </c>
      <c r="M1032">
        <f t="shared" si="258"/>
        <v>1.5</v>
      </c>
      <c r="N1032">
        <f t="shared" si="252"/>
        <v>0.83500000000000019</v>
      </c>
      <c r="Q1032" t="str" cm="1">
        <f t="array" ref="Q1032:R1032">_xlfn.TEXTSPLIT(E1032," ")</f>
        <v>27.10.2023</v>
      </c>
      <c r="R1032" t="str">
        <v>17:11:42</v>
      </c>
      <c r="S1032">
        <f t="shared" si="265"/>
        <v>17.150000000000308</v>
      </c>
      <c r="T1032">
        <f t="shared" si="256"/>
        <v>17.89</v>
      </c>
      <c r="U1032">
        <f t="shared" si="259"/>
        <v>2.25</v>
      </c>
      <c r="V1032">
        <f t="shared" si="253"/>
        <v>1.4400000000000006</v>
      </c>
      <c r="AC1032" t="s">
        <v>2581</v>
      </c>
      <c r="AD1032">
        <v>1.65</v>
      </c>
      <c r="AE1032">
        <v>11.5</v>
      </c>
      <c r="AG1032" t="str" cm="1">
        <f t="array" ref="AG1032:AH1032">_xlfn.TEXTSPLIT(AC1033," ")</f>
        <v>26.10.2023</v>
      </c>
      <c r="AH1032" t="str">
        <v>17:12:54</v>
      </c>
      <c r="AI1032">
        <f t="shared" si="266"/>
        <v>17.150000000000308</v>
      </c>
      <c r="AJ1032">
        <f t="shared" si="260"/>
        <v>6.97</v>
      </c>
      <c r="AK1032">
        <f t="shared" si="261"/>
        <v>1.65</v>
      </c>
      <c r="AL1032">
        <f t="shared" si="254"/>
        <v>0.53249999999999997</v>
      </c>
      <c r="AN1032" t="s">
        <v>2581</v>
      </c>
      <c r="AO1032">
        <v>0.9</v>
      </c>
      <c r="AP1032">
        <v>74.31</v>
      </c>
      <c r="AR1032" t="str" cm="1">
        <f t="array" ref="AR1032:AS1032">_xlfn.TEXTSPLIT(AN1032," ")</f>
        <v>26.10.2023</v>
      </c>
      <c r="AS1032" t="str">
        <v>17:11:54</v>
      </c>
      <c r="AT1032">
        <f t="shared" si="267"/>
        <v>17.150000000000308</v>
      </c>
      <c r="AU1032">
        <f t="shared" si="262"/>
        <v>13</v>
      </c>
      <c r="AV1032">
        <f t="shared" si="263"/>
        <v>0.9</v>
      </c>
      <c r="AW1032">
        <f t="shared" si="255"/>
        <v>0.63250000000000017</v>
      </c>
    </row>
    <row r="1033" spans="1:49" x14ac:dyDescent="0.25">
      <c r="A1033" t="s">
        <v>2582</v>
      </c>
      <c r="B1033">
        <v>0.45</v>
      </c>
      <c r="C1033">
        <v>25.12</v>
      </c>
      <c r="E1033" t="s">
        <v>2582</v>
      </c>
      <c r="F1033">
        <v>1.2</v>
      </c>
      <c r="G1033">
        <v>96.51</v>
      </c>
      <c r="I1033" t="str" cm="1">
        <f t="array" ref="I1033:J1033">_xlfn.TEXTSPLIT(A1033," ")</f>
        <v>27.10.2023</v>
      </c>
      <c r="J1033" t="str">
        <v>17:12:42</v>
      </c>
      <c r="K1033">
        <f t="shared" si="264"/>
        <v>17.166666666666973</v>
      </c>
      <c r="L1033">
        <f t="shared" si="257"/>
        <v>10.8</v>
      </c>
      <c r="M1033">
        <f t="shared" si="258"/>
        <v>0.45</v>
      </c>
      <c r="N1033">
        <f t="shared" si="252"/>
        <v>0.81750000000000012</v>
      </c>
      <c r="Q1033" t="str" cm="1">
        <f t="array" ref="Q1033:R1033">_xlfn.TEXTSPLIT(E1033," ")</f>
        <v>27.10.2023</v>
      </c>
      <c r="R1033" t="str">
        <v>17:12:42</v>
      </c>
      <c r="S1033">
        <f t="shared" si="265"/>
        <v>17.166666666666973</v>
      </c>
      <c r="T1033">
        <f t="shared" si="256"/>
        <v>17.910000000000011</v>
      </c>
      <c r="U1033">
        <f t="shared" si="259"/>
        <v>1.2</v>
      </c>
      <c r="V1033">
        <f t="shared" si="253"/>
        <v>1.4275000000000004</v>
      </c>
      <c r="AC1033" t="s">
        <v>2583</v>
      </c>
      <c r="AD1033">
        <v>0.6</v>
      </c>
      <c r="AE1033">
        <v>11.5</v>
      </c>
      <c r="AG1033" t="str" cm="1">
        <f t="array" ref="AG1033:AH1033">_xlfn.TEXTSPLIT(AC1034," ")</f>
        <v>26.10.2023</v>
      </c>
      <c r="AH1033" t="str">
        <v>17:13:54</v>
      </c>
      <c r="AI1033">
        <f t="shared" si="266"/>
        <v>17.166666666666973</v>
      </c>
      <c r="AJ1033">
        <f t="shared" si="260"/>
        <v>6.97</v>
      </c>
      <c r="AK1033">
        <f t="shared" si="261"/>
        <v>0.6</v>
      </c>
      <c r="AL1033">
        <f t="shared" si="254"/>
        <v>0.52249999999999996</v>
      </c>
      <c r="AN1033" t="s">
        <v>2583</v>
      </c>
      <c r="AO1033">
        <v>0.75</v>
      </c>
      <c r="AP1033">
        <v>74.319999999999993</v>
      </c>
      <c r="AR1033" t="str" cm="1">
        <f t="array" ref="AR1033:AS1033">_xlfn.TEXTSPLIT(AN1033," ")</f>
        <v>26.10.2023</v>
      </c>
      <c r="AS1033" t="str">
        <v>17:12:54</v>
      </c>
      <c r="AT1033">
        <f t="shared" si="267"/>
        <v>17.166666666666973</v>
      </c>
      <c r="AU1033">
        <f t="shared" si="262"/>
        <v>13.009999999999991</v>
      </c>
      <c r="AV1033">
        <f t="shared" si="263"/>
        <v>0.75</v>
      </c>
      <c r="AW1033">
        <f t="shared" si="255"/>
        <v>0.63000000000000012</v>
      </c>
    </row>
    <row r="1034" spans="1:49" x14ac:dyDescent="0.25">
      <c r="A1034" t="s">
        <v>2584</v>
      </c>
      <c r="B1034">
        <v>1.35</v>
      </c>
      <c r="C1034">
        <v>25.14</v>
      </c>
      <c r="E1034" t="s">
        <v>2584</v>
      </c>
      <c r="F1034">
        <v>1.2</v>
      </c>
      <c r="G1034">
        <v>96.53</v>
      </c>
      <c r="I1034" t="str" cm="1">
        <f t="array" ref="I1034:J1034">_xlfn.TEXTSPLIT(A1034," ")</f>
        <v>27.10.2023</v>
      </c>
      <c r="J1034" t="str">
        <v>17:13:42</v>
      </c>
      <c r="K1034">
        <f t="shared" si="264"/>
        <v>17.183333333333639</v>
      </c>
      <c r="L1034">
        <f t="shared" si="257"/>
        <v>10.82</v>
      </c>
      <c r="M1034">
        <f t="shared" si="258"/>
        <v>1.35</v>
      </c>
      <c r="N1034">
        <f t="shared" si="252"/>
        <v>0.82250000000000023</v>
      </c>
      <c r="Q1034" t="str" cm="1">
        <f t="array" ref="Q1034:R1034">_xlfn.TEXTSPLIT(E1034," ")</f>
        <v>27.10.2023</v>
      </c>
      <c r="R1034" t="str">
        <v>17:13:42</v>
      </c>
      <c r="S1034">
        <f t="shared" si="265"/>
        <v>17.183333333333639</v>
      </c>
      <c r="T1034">
        <f t="shared" si="256"/>
        <v>17.930000000000007</v>
      </c>
      <c r="U1034">
        <f t="shared" si="259"/>
        <v>1.2</v>
      </c>
      <c r="V1034">
        <f t="shared" si="253"/>
        <v>1.4075</v>
      </c>
      <c r="AC1034" t="s">
        <v>2585</v>
      </c>
      <c r="AD1034">
        <v>0</v>
      </c>
      <c r="AE1034">
        <v>11.51</v>
      </c>
      <c r="AG1034" t="str" cm="1">
        <f t="array" ref="AG1034:AH1034">_xlfn.TEXTSPLIT(AC1035," ")</f>
        <v>26.10.2023</v>
      </c>
      <c r="AH1034" t="str">
        <v>17:14:54</v>
      </c>
      <c r="AI1034">
        <f t="shared" si="266"/>
        <v>17.183333333333639</v>
      </c>
      <c r="AJ1034">
        <f t="shared" si="260"/>
        <v>6.9799999999999995</v>
      </c>
      <c r="AK1034">
        <f t="shared" si="261"/>
        <v>0</v>
      </c>
      <c r="AL1034">
        <f t="shared" si="254"/>
        <v>0.4975</v>
      </c>
      <c r="AN1034" t="s">
        <v>2585</v>
      </c>
      <c r="AO1034">
        <v>0.75</v>
      </c>
      <c r="AP1034">
        <v>74.33</v>
      </c>
      <c r="AR1034" t="str" cm="1">
        <f t="array" ref="AR1034:AS1034">_xlfn.TEXTSPLIT(AN1034," ")</f>
        <v>26.10.2023</v>
      </c>
      <c r="AS1034" t="str">
        <v>17:13:54</v>
      </c>
      <c r="AT1034">
        <f t="shared" si="267"/>
        <v>17.183333333333639</v>
      </c>
      <c r="AU1034">
        <f t="shared" si="262"/>
        <v>13.019999999999996</v>
      </c>
      <c r="AV1034">
        <f t="shared" si="263"/>
        <v>0.75</v>
      </c>
      <c r="AW1034">
        <f t="shared" si="255"/>
        <v>0.63000000000000012</v>
      </c>
    </row>
    <row r="1035" spans="1:49" x14ac:dyDescent="0.25">
      <c r="A1035" t="s">
        <v>2586</v>
      </c>
      <c r="B1035">
        <v>0.9</v>
      </c>
      <c r="C1035">
        <v>25.15</v>
      </c>
      <c r="E1035" t="s">
        <v>2586</v>
      </c>
      <c r="F1035">
        <v>1.2</v>
      </c>
      <c r="G1035">
        <v>96.55</v>
      </c>
      <c r="I1035" t="str" cm="1">
        <f t="array" ref="I1035:J1035">_xlfn.TEXTSPLIT(A1035," ")</f>
        <v>27.10.2023</v>
      </c>
      <c r="J1035" t="str">
        <v>17:14:42</v>
      </c>
      <c r="K1035">
        <f t="shared" si="264"/>
        <v>17.200000000000305</v>
      </c>
      <c r="L1035">
        <f t="shared" si="257"/>
        <v>10.829999999999998</v>
      </c>
      <c r="M1035">
        <f t="shared" si="258"/>
        <v>0.9</v>
      </c>
      <c r="N1035">
        <f t="shared" si="252"/>
        <v>0.82000000000000017</v>
      </c>
      <c r="Q1035" t="str" cm="1">
        <f t="array" ref="Q1035:R1035">_xlfn.TEXTSPLIT(E1035," ")</f>
        <v>27.10.2023</v>
      </c>
      <c r="R1035" t="str">
        <v>17:14:42</v>
      </c>
      <c r="S1035">
        <f t="shared" si="265"/>
        <v>17.200000000000305</v>
      </c>
      <c r="T1035">
        <f t="shared" si="256"/>
        <v>17.950000000000003</v>
      </c>
      <c r="U1035">
        <f t="shared" si="259"/>
        <v>1.2</v>
      </c>
      <c r="V1035">
        <f t="shared" si="253"/>
        <v>1.395</v>
      </c>
      <c r="AC1035" t="s">
        <v>2587</v>
      </c>
      <c r="AD1035">
        <v>1.05</v>
      </c>
      <c r="AE1035">
        <v>11.53</v>
      </c>
      <c r="AG1035" t="str" cm="1">
        <f t="array" ref="AG1035:AH1035">_xlfn.TEXTSPLIT(AC1036," ")</f>
        <v>26.10.2023</v>
      </c>
      <c r="AH1035" t="str">
        <v>17:15:54</v>
      </c>
      <c r="AI1035">
        <f t="shared" si="266"/>
        <v>17.200000000000305</v>
      </c>
      <c r="AJ1035">
        <f t="shared" si="260"/>
        <v>6.9999999999999991</v>
      </c>
      <c r="AK1035">
        <f t="shared" si="261"/>
        <v>1.05</v>
      </c>
      <c r="AL1035">
        <f t="shared" si="254"/>
        <v>0.50249999999999995</v>
      </c>
      <c r="AN1035" t="s">
        <v>2587</v>
      </c>
      <c r="AO1035">
        <v>0.9</v>
      </c>
      <c r="AP1035">
        <v>74.349999999999994</v>
      </c>
      <c r="AR1035" t="str" cm="1">
        <f t="array" ref="AR1035:AS1035">_xlfn.TEXTSPLIT(AN1035," ")</f>
        <v>26.10.2023</v>
      </c>
      <c r="AS1035" t="str">
        <v>17:14:54</v>
      </c>
      <c r="AT1035">
        <f t="shared" si="267"/>
        <v>17.200000000000305</v>
      </c>
      <c r="AU1035">
        <f t="shared" si="262"/>
        <v>13.039999999999992</v>
      </c>
      <c r="AV1035">
        <f t="shared" si="263"/>
        <v>0.9</v>
      </c>
      <c r="AW1035">
        <f t="shared" si="255"/>
        <v>0.63250000000000006</v>
      </c>
    </row>
    <row r="1036" spans="1:49" x14ac:dyDescent="0.25">
      <c r="A1036" t="s">
        <v>2588</v>
      </c>
      <c r="B1036">
        <v>0.75</v>
      </c>
      <c r="C1036">
        <v>25.16</v>
      </c>
      <c r="E1036" t="s">
        <v>2588</v>
      </c>
      <c r="F1036">
        <v>1.5</v>
      </c>
      <c r="G1036">
        <v>96.58</v>
      </c>
      <c r="I1036" t="str" cm="1">
        <f t="array" ref="I1036:J1036">_xlfn.TEXTSPLIT(A1036," ")</f>
        <v>27.10.2023</v>
      </c>
      <c r="J1036" t="str">
        <v>17:15:42</v>
      </c>
      <c r="K1036">
        <f t="shared" si="264"/>
        <v>17.216666666666971</v>
      </c>
      <c r="L1036">
        <f t="shared" si="257"/>
        <v>10.84</v>
      </c>
      <c r="M1036">
        <f t="shared" si="258"/>
        <v>0.75</v>
      </c>
      <c r="N1036">
        <f t="shared" si="252"/>
        <v>0.81500000000000006</v>
      </c>
      <c r="Q1036" t="str" cm="1">
        <f t="array" ref="Q1036:R1036">_xlfn.TEXTSPLIT(E1036," ")</f>
        <v>27.10.2023</v>
      </c>
      <c r="R1036" t="str">
        <v>17:15:42</v>
      </c>
      <c r="S1036">
        <f t="shared" si="265"/>
        <v>17.216666666666971</v>
      </c>
      <c r="T1036">
        <f t="shared" si="256"/>
        <v>17.980000000000004</v>
      </c>
      <c r="U1036">
        <f t="shared" si="259"/>
        <v>1.5</v>
      </c>
      <c r="V1036">
        <f t="shared" si="253"/>
        <v>1.395</v>
      </c>
      <c r="AC1036" t="s">
        <v>2589</v>
      </c>
      <c r="AD1036">
        <v>0.9</v>
      </c>
      <c r="AE1036">
        <v>11.54</v>
      </c>
      <c r="AG1036" t="str" cm="1">
        <f t="array" ref="AG1036:AH1036">_xlfn.TEXTSPLIT(AC1037," ")</f>
        <v>26.10.2023</v>
      </c>
      <c r="AH1036" t="str">
        <v>17:16:54</v>
      </c>
      <c r="AI1036">
        <f t="shared" si="266"/>
        <v>17.216666666666971</v>
      </c>
      <c r="AJ1036">
        <f t="shared" si="260"/>
        <v>7.0099999999999989</v>
      </c>
      <c r="AK1036">
        <f t="shared" si="261"/>
        <v>0.9</v>
      </c>
      <c r="AL1036">
        <f t="shared" si="254"/>
        <v>0.51500000000000001</v>
      </c>
      <c r="AN1036" t="s">
        <v>2589</v>
      </c>
      <c r="AO1036">
        <v>1.05</v>
      </c>
      <c r="AP1036">
        <v>74.37</v>
      </c>
      <c r="AR1036" t="str" cm="1">
        <f t="array" ref="AR1036:AS1036">_xlfn.TEXTSPLIT(AN1036," ")</f>
        <v>26.10.2023</v>
      </c>
      <c r="AS1036" t="str">
        <v>17:15:54</v>
      </c>
      <c r="AT1036">
        <f t="shared" si="267"/>
        <v>17.216666666666971</v>
      </c>
      <c r="AU1036">
        <f t="shared" si="262"/>
        <v>13.060000000000002</v>
      </c>
      <c r="AV1036">
        <f t="shared" si="263"/>
        <v>1.05</v>
      </c>
      <c r="AW1036">
        <f t="shared" si="255"/>
        <v>0.64</v>
      </c>
    </row>
    <row r="1037" spans="1:49" x14ac:dyDescent="0.25">
      <c r="A1037" t="s">
        <v>2590</v>
      </c>
      <c r="B1037">
        <v>0.6</v>
      </c>
      <c r="C1037">
        <v>25.17</v>
      </c>
      <c r="E1037" t="s">
        <v>2590</v>
      </c>
      <c r="F1037">
        <v>1.65</v>
      </c>
      <c r="G1037">
        <v>96.6</v>
      </c>
      <c r="I1037" t="str" cm="1">
        <f t="array" ref="I1037:J1037">_xlfn.TEXTSPLIT(A1037," ")</f>
        <v>27.10.2023</v>
      </c>
      <c r="J1037" t="str">
        <v>17:16:42</v>
      </c>
      <c r="K1037">
        <f t="shared" si="264"/>
        <v>17.233333333333636</v>
      </c>
      <c r="L1037">
        <f t="shared" si="257"/>
        <v>10.850000000000001</v>
      </c>
      <c r="M1037">
        <f t="shared" si="258"/>
        <v>0.6</v>
      </c>
      <c r="N1037">
        <f t="shared" si="252"/>
        <v>0.80500000000000005</v>
      </c>
      <c r="Q1037" t="str" cm="1">
        <f t="array" ref="Q1037:R1037">_xlfn.TEXTSPLIT(E1037," ")</f>
        <v>27.10.2023</v>
      </c>
      <c r="R1037" t="str">
        <v>17:16:42</v>
      </c>
      <c r="S1037">
        <f t="shared" si="265"/>
        <v>17.233333333333636</v>
      </c>
      <c r="T1037">
        <f t="shared" si="256"/>
        <v>18</v>
      </c>
      <c r="U1037">
        <f t="shared" si="259"/>
        <v>1.65</v>
      </c>
      <c r="V1037">
        <f t="shared" si="253"/>
        <v>1.3975000000000002</v>
      </c>
      <c r="AC1037" t="s">
        <v>2591</v>
      </c>
      <c r="AD1037">
        <v>0.6</v>
      </c>
      <c r="AE1037">
        <v>11.55</v>
      </c>
      <c r="AG1037" t="str" cm="1">
        <f t="array" ref="AG1037:AH1037">_xlfn.TEXTSPLIT(AC1038," ")</f>
        <v>26.10.2023</v>
      </c>
      <c r="AH1037" t="str">
        <v>17:17:55</v>
      </c>
      <c r="AI1037">
        <f t="shared" si="266"/>
        <v>17.233333333333636</v>
      </c>
      <c r="AJ1037">
        <f t="shared" si="260"/>
        <v>7.0200000000000005</v>
      </c>
      <c r="AK1037">
        <f t="shared" si="261"/>
        <v>0.6</v>
      </c>
      <c r="AL1037">
        <f t="shared" si="254"/>
        <v>0.505</v>
      </c>
      <c r="AN1037" t="s">
        <v>2591</v>
      </c>
      <c r="AO1037">
        <v>1.05</v>
      </c>
      <c r="AP1037">
        <v>74.39</v>
      </c>
      <c r="AR1037" t="str" cm="1">
        <f t="array" ref="AR1037:AS1037">_xlfn.TEXTSPLIT(AN1037," ")</f>
        <v>26.10.2023</v>
      </c>
      <c r="AS1037" t="str">
        <v>17:16:54</v>
      </c>
      <c r="AT1037">
        <f t="shared" si="267"/>
        <v>17.233333333333636</v>
      </c>
      <c r="AU1037">
        <f t="shared" si="262"/>
        <v>13.079999999999998</v>
      </c>
      <c r="AV1037">
        <f t="shared" si="263"/>
        <v>1.05</v>
      </c>
      <c r="AW1037">
        <f t="shared" si="255"/>
        <v>0.64249999999999985</v>
      </c>
    </row>
    <row r="1038" spans="1:49" x14ac:dyDescent="0.25">
      <c r="A1038" t="s">
        <v>2592</v>
      </c>
      <c r="B1038">
        <v>0.6</v>
      </c>
      <c r="C1038">
        <v>25.18</v>
      </c>
      <c r="E1038" t="s">
        <v>2592</v>
      </c>
      <c r="F1038">
        <v>1.35</v>
      </c>
      <c r="G1038">
        <v>96.62</v>
      </c>
      <c r="I1038" t="str" cm="1">
        <f t="array" ref="I1038:J1038">_xlfn.TEXTSPLIT(A1038," ")</f>
        <v>27.10.2023</v>
      </c>
      <c r="J1038" t="str">
        <v>17:17:43</v>
      </c>
      <c r="K1038">
        <f t="shared" si="264"/>
        <v>17.250000000000302</v>
      </c>
      <c r="L1038">
        <f t="shared" si="257"/>
        <v>10.86</v>
      </c>
      <c r="M1038">
        <f t="shared" si="258"/>
        <v>0.6</v>
      </c>
      <c r="N1038">
        <f t="shared" si="252"/>
        <v>0.8</v>
      </c>
      <c r="Q1038" t="str" cm="1">
        <f t="array" ref="Q1038:R1038">_xlfn.TEXTSPLIT(E1038," ")</f>
        <v>27.10.2023</v>
      </c>
      <c r="R1038" t="str">
        <v>17:17:43</v>
      </c>
      <c r="S1038">
        <f t="shared" si="265"/>
        <v>17.250000000000302</v>
      </c>
      <c r="T1038">
        <f t="shared" si="256"/>
        <v>18.02000000000001</v>
      </c>
      <c r="U1038">
        <f t="shared" si="259"/>
        <v>1.35</v>
      </c>
      <c r="V1038">
        <f t="shared" si="253"/>
        <v>1.3875</v>
      </c>
      <c r="AC1038" t="s">
        <v>2593</v>
      </c>
      <c r="AD1038">
        <v>0.45</v>
      </c>
      <c r="AE1038">
        <v>11.55</v>
      </c>
      <c r="AG1038" t="str" cm="1">
        <f t="array" ref="AG1038:AH1038">_xlfn.TEXTSPLIT(AC1039," ")</f>
        <v>26.10.2023</v>
      </c>
      <c r="AH1038" t="str">
        <v>17:18:55</v>
      </c>
      <c r="AI1038">
        <f t="shared" si="266"/>
        <v>17.250000000000302</v>
      </c>
      <c r="AJ1038">
        <f t="shared" si="260"/>
        <v>7.0200000000000005</v>
      </c>
      <c r="AK1038">
        <f t="shared" si="261"/>
        <v>0.45</v>
      </c>
      <c r="AL1038">
        <f t="shared" si="254"/>
        <v>0.50249999999999995</v>
      </c>
      <c r="AN1038" t="s">
        <v>2593</v>
      </c>
      <c r="AO1038">
        <v>0.9</v>
      </c>
      <c r="AP1038">
        <v>74.400000000000006</v>
      </c>
      <c r="AR1038" t="str" cm="1">
        <f t="array" ref="AR1038:AS1038">_xlfn.TEXTSPLIT(AN1038," ")</f>
        <v>26.10.2023</v>
      </c>
      <c r="AS1038" t="str">
        <v>17:17:55</v>
      </c>
      <c r="AT1038">
        <f t="shared" si="267"/>
        <v>17.250000000000302</v>
      </c>
      <c r="AU1038">
        <f t="shared" si="262"/>
        <v>13.090000000000003</v>
      </c>
      <c r="AV1038">
        <f t="shared" si="263"/>
        <v>0.9</v>
      </c>
      <c r="AW1038">
        <f t="shared" si="255"/>
        <v>0.6449999999999998</v>
      </c>
    </row>
    <row r="1039" spans="1:49" x14ac:dyDescent="0.25">
      <c r="A1039" t="s">
        <v>2594</v>
      </c>
      <c r="B1039">
        <v>0.6</v>
      </c>
      <c r="C1039">
        <v>25.19</v>
      </c>
      <c r="E1039" t="s">
        <v>2594</v>
      </c>
      <c r="F1039">
        <v>1.05</v>
      </c>
      <c r="G1039">
        <v>96.63</v>
      </c>
      <c r="I1039" t="str" cm="1">
        <f t="array" ref="I1039:J1039">_xlfn.TEXTSPLIT(A1039," ")</f>
        <v>27.10.2023</v>
      </c>
      <c r="J1039" t="str">
        <v>17:18:43</v>
      </c>
      <c r="K1039">
        <f t="shared" si="264"/>
        <v>17.266666666666968</v>
      </c>
      <c r="L1039">
        <f t="shared" si="257"/>
        <v>10.870000000000001</v>
      </c>
      <c r="M1039">
        <f t="shared" si="258"/>
        <v>0.6</v>
      </c>
      <c r="N1039">
        <f t="shared" si="252"/>
        <v>0.79000000000000015</v>
      </c>
      <c r="Q1039" t="str" cm="1">
        <f t="array" ref="Q1039:R1039">_xlfn.TEXTSPLIT(E1039," ")</f>
        <v>27.10.2023</v>
      </c>
      <c r="R1039" t="str">
        <v>17:18:43</v>
      </c>
      <c r="S1039">
        <f t="shared" si="265"/>
        <v>17.266666666666968</v>
      </c>
      <c r="T1039">
        <f t="shared" si="256"/>
        <v>18.03</v>
      </c>
      <c r="U1039">
        <f t="shared" si="259"/>
        <v>1.05</v>
      </c>
      <c r="V1039">
        <f t="shared" si="253"/>
        <v>1.3699999999999999</v>
      </c>
      <c r="AC1039" t="s">
        <v>2595</v>
      </c>
      <c r="AD1039">
        <v>0.6</v>
      </c>
      <c r="AE1039">
        <v>11.56</v>
      </c>
      <c r="AG1039" t="str" cm="1">
        <f t="array" ref="AG1039:AH1039">_xlfn.TEXTSPLIT(AC1040," ")</f>
        <v>26.10.2023</v>
      </c>
      <c r="AH1039" t="str">
        <v>17:19:55</v>
      </c>
      <c r="AI1039">
        <f t="shared" si="266"/>
        <v>17.266666666666968</v>
      </c>
      <c r="AJ1039">
        <f t="shared" si="260"/>
        <v>7.03</v>
      </c>
      <c r="AK1039">
        <f t="shared" si="261"/>
        <v>0.6</v>
      </c>
      <c r="AL1039">
        <f t="shared" si="254"/>
        <v>0.50249999999999995</v>
      </c>
      <c r="AN1039" t="s">
        <v>2595</v>
      </c>
      <c r="AO1039">
        <v>0.6</v>
      </c>
      <c r="AP1039">
        <v>74.400000000000006</v>
      </c>
      <c r="AR1039" t="str" cm="1">
        <f t="array" ref="AR1039:AS1039">_xlfn.TEXTSPLIT(AN1039," ")</f>
        <v>26.10.2023</v>
      </c>
      <c r="AS1039" t="str">
        <v>17:18:55</v>
      </c>
      <c r="AT1039">
        <f t="shared" si="267"/>
        <v>17.266666666666968</v>
      </c>
      <c r="AU1039">
        <f t="shared" si="262"/>
        <v>13.090000000000003</v>
      </c>
      <c r="AV1039">
        <f t="shared" si="263"/>
        <v>0.6</v>
      </c>
      <c r="AW1039">
        <f t="shared" si="255"/>
        <v>0.6399999999999999</v>
      </c>
    </row>
    <row r="1040" spans="1:49" x14ac:dyDescent="0.25">
      <c r="A1040" t="s">
        <v>2596</v>
      </c>
      <c r="B1040">
        <v>0.75</v>
      </c>
      <c r="C1040">
        <v>25.2</v>
      </c>
      <c r="E1040" t="s">
        <v>2596</v>
      </c>
      <c r="F1040">
        <v>1.05</v>
      </c>
      <c r="G1040">
        <v>96.65</v>
      </c>
      <c r="I1040" t="str" cm="1">
        <f t="array" ref="I1040:J1040">_xlfn.TEXTSPLIT(A1040," ")</f>
        <v>27.10.2023</v>
      </c>
      <c r="J1040" t="str">
        <v>17:19:43</v>
      </c>
      <c r="K1040">
        <f t="shared" si="264"/>
        <v>17.283333333333633</v>
      </c>
      <c r="L1040">
        <f t="shared" si="257"/>
        <v>10.879999999999999</v>
      </c>
      <c r="M1040">
        <f t="shared" si="258"/>
        <v>0.75</v>
      </c>
      <c r="N1040">
        <f t="shared" si="252"/>
        <v>0.78500000000000014</v>
      </c>
      <c r="Q1040" t="str" cm="1">
        <f t="array" ref="Q1040:R1040">_xlfn.TEXTSPLIT(E1040," ")</f>
        <v>27.10.2023</v>
      </c>
      <c r="R1040" t="str">
        <v>17:19:43</v>
      </c>
      <c r="S1040">
        <f t="shared" si="265"/>
        <v>17.283333333333633</v>
      </c>
      <c r="T1040">
        <f t="shared" si="256"/>
        <v>18.050000000000011</v>
      </c>
      <c r="U1040">
        <f t="shared" si="259"/>
        <v>1.05</v>
      </c>
      <c r="V1040">
        <f t="shared" si="253"/>
        <v>1.3649999999999995</v>
      </c>
      <c r="AC1040" t="s">
        <v>2597</v>
      </c>
      <c r="AD1040">
        <v>0.45</v>
      </c>
      <c r="AE1040">
        <v>11.57</v>
      </c>
      <c r="AG1040" t="str" cm="1">
        <f t="array" ref="AG1040:AH1040">_xlfn.TEXTSPLIT(AC1041," ")</f>
        <v>26.10.2023</v>
      </c>
      <c r="AH1040" t="str">
        <v>17:20:55</v>
      </c>
      <c r="AI1040">
        <f t="shared" si="266"/>
        <v>17.283333333333633</v>
      </c>
      <c r="AJ1040">
        <f t="shared" si="260"/>
        <v>7.04</v>
      </c>
      <c r="AK1040">
        <f t="shared" si="261"/>
        <v>0.45</v>
      </c>
      <c r="AL1040">
        <f t="shared" si="254"/>
        <v>0.49999999999999989</v>
      </c>
      <c r="AN1040" t="s">
        <v>2597</v>
      </c>
      <c r="AO1040">
        <v>0.45</v>
      </c>
      <c r="AP1040">
        <v>74.41</v>
      </c>
      <c r="AR1040" t="str" cm="1">
        <f t="array" ref="AR1040:AS1040">_xlfn.TEXTSPLIT(AN1040," ")</f>
        <v>26.10.2023</v>
      </c>
      <c r="AS1040" t="str">
        <v>17:19:55</v>
      </c>
      <c r="AT1040">
        <f t="shared" si="267"/>
        <v>17.283333333333633</v>
      </c>
      <c r="AU1040">
        <f t="shared" si="262"/>
        <v>13.099999999999994</v>
      </c>
      <c r="AV1040">
        <f t="shared" si="263"/>
        <v>0.45</v>
      </c>
      <c r="AW1040">
        <f t="shared" si="255"/>
        <v>0.63499999999999979</v>
      </c>
    </row>
    <row r="1041" spans="1:49" x14ac:dyDescent="0.25">
      <c r="A1041" t="s">
        <v>2598</v>
      </c>
      <c r="B1041">
        <v>0.6</v>
      </c>
      <c r="C1041">
        <v>25.21</v>
      </c>
      <c r="E1041" t="s">
        <v>2598</v>
      </c>
      <c r="F1041">
        <v>1.2</v>
      </c>
      <c r="G1041">
        <v>96.67</v>
      </c>
      <c r="I1041" t="str" cm="1">
        <f t="array" ref="I1041:J1041">_xlfn.TEXTSPLIT(A1041," ")</f>
        <v>27.10.2023</v>
      </c>
      <c r="J1041" t="str">
        <v>17:20:43</v>
      </c>
      <c r="K1041">
        <f t="shared" si="264"/>
        <v>17.300000000000299</v>
      </c>
      <c r="L1041">
        <f t="shared" si="257"/>
        <v>10.89</v>
      </c>
      <c r="M1041">
        <f t="shared" si="258"/>
        <v>0.6</v>
      </c>
      <c r="N1041">
        <f t="shared" si="252"/>
        <v>0.7825000000000002</v>
      </c>
      <c r="Q1041" t="str" cm="1">
        <f t="array" ref="Q1041:R1041">_xlfn.TEXTSPLIT(E1041," ")</f>
        <v>27.10.2023</v>
      </c>
      <c r="R1041" t="str">
        <v>17:20:43</v>
      </c>
      <c r="S1041">
        <f t="shared" si="265"/>
        <v>17.300000000000299</v>
      </c>
      <c r="T1041">
        <f t="shared" si="256"/>
        <v>18.070000000000007</v>
      </c>
      <c r="U1041">
        <f t="shared" si="259"/>
        <v>1.2</v>
      </c>
      <c r="V1041">
        <f t="shared" si="253"/>
        <v>1.3599999999999997</v>
      </c>
      <c r="AC1041" t="s">
        <v>2599</v>
      </c>
      <c r="AD1041">
        <v>0.45</v>
      </c>
      <c r="AE1041">
        <v>11.57</v>
      </c>
      <c r="AG1041" t="str" cm="1">
        <f t="array" ref="AG1041:AH1041">_xlfn.TEXTSPLIT(AC1042," ")</f>
        <v>26.10.2023</v>
      </c>
      <c r="AH1041" t="str">
        <v>17:21:55</v>
      </c>
      <c r="AI1041">
        <f t="shared" si="266"/>
        <v>17.300000000000299</v>
      </c>
      <c r="AJ1041">
        <f t="shared" si="260"/>
        <v>7.04</v>
      </c>
      <c r="AK1041">
        <f t="shared" si="261"/>
        <v>0.45</v>
      </c>
      <c r="AL1041">
        <f t="shared" si="254"/>
        <v>0.49999999999999989</v>
      </c>
      <c r="AN1041" t="s">
        <v>2599</v>
      </c>
      <c r="AO1041">
        <v>0.6</v>
      </c>
      <c r="AP1041">
        <v>74.42</v>
      </c>
      <c r="AR1041" t="str" cm="1">
        <f t="array" ref="AR1041:AS1041">_xlfn.TEXTSPLIT(AN1041," ")</f>
        <v>26.10.2023</v>
      </c>
      <c r="AS1041" t="str">
        <v>17:20:55</v>
      </c>
      <c r="AT1041">
        <f t="shared" si="267"/>
        <v>17.300000000000299</v>
      </c>
      <c r="AU1041">
        <f t="shared" si="262"/>
        <v>13.11</v>
      </c>
      <c r="AV1041">
        <f t="shared" si="263"/>
        <v>0.6</v>
      </c>
      <c r="AW1041">
        <f t="shared" si="255"/>
        <v>0.6349999999999999</v>
      </c>
    </row>
    <row r="1042" spans="1:49" x14ac:dyDescent="0.25">
      <c r="A1042" t="s">
        <v>2600</v>
      </c>
      <c r="B1042">
        <v>0.9</v>
      </c>
      <c r="C1042">
        <v>25.23</v>
      </c>
      <c r="E1042" t="s">
        <v>2600</v>
      </c>
      <c r="F1042">
        <v>1.2</v>
      </c>
      <c r="G1042">
        <v>96.68</v>
      </c>
      <c r="I1042" t="str" cm="1">
        <f t="array" ref="I1042:J1042">_xlfn.TEXTSPLIT(A1042," ")</f>
        <v>27.10.2023</v>
      </c>
      <c r="J1042" t="str">
        <v>17:21:43</v>
      </c>
      <c r="K1042">
        <f t="shared" si="264"/>
        <v>17.316666666666965</v>
      </c>
      <c r="L1042">
        <f t="shared" si="257"/>
        <v>10.91</v>
      </c>
      <c r="M1042">
        <f t="shared" si="258"/>
        <v>0.9</v>
      </c>
      <c r="N1042">
        <f t="shared" si="252"/>
        <v>0.78750000000000009</v>
      </c>
      <c r="Q1042" t="str" cm="1">
        <f t="array" ref="Q1042:R1042">_xlfn.TEXTSPLIT(E1042," ")</f>
        <v>27.10.2023</v>
      </c>
      <c r="R1042" t="str">
        <v>17:21:43</v>
      </c>
      <c r="S1042">
        <f t="shared" si="265"/>
        <v>17.316666666666965</v>
      </c>
      <c r="T1042">
        <f t="shared" si="256"/>
        <v>18.080000000000013</v>
      </c>
      <c r="U1042">
        <f t="shared" si="259"/>
        <v>1.2</v>
      </c>
      <c r="V1042">
        <f t="shared" si="253"/>
        <v>1.3599999999999997</v>
      </c>
      <c r="AC1042" t="s">
        <v>2601</v>
      </c>
      <c r="AD1042">
        <v>0.45</v>
      </c>
      <c r="AE1042">
        <v>11.59</v>
      </c>
      <c r="AG1042" t="str" cm="1">
        <f t="array" ref="AG1042:AH1042">_xlfn.TEXTSPLIT(AC1043," ")</f>
        <v>26.10.2023</v>
      </c>
      <c r="AH1042" t="str">
        <v>17:22:55</v>
      </c>
      <c r="AI1042">
        <f t="shared" si="266"/>
        <v>17.316666666666965</v>
      </c>
      <c r="AJ1042">
        <f t="shared" si="260"/>
        <v>7.06</v>
      </c>
      <c r="AK1042">
        <f t="shared" si="261"/>
        <v>0.45</v>
      </c>
      <c r="AL1042">
        <f t="shared" si="254"/>
        <v>0.49499999999999988</v>
      </c>
      <c r="AN1042" t="s">
        <v>2601</v>
      </c>
      <c r="AO1042">
        <v>0.3</v>
      </c>
      <c r="AP1042">
        <v>74.42</v>
      </c>
      <c r="AR1042" t="str" cm="1">
        <f t="array" ref="AR1042:AS1042">_xlfn.TEXTSPLIT(AN1042," ")</f>
        <v>26.10.2023</v>
      </c>
      <c r="AS1042" t="str">
        <v>17:21:55</v>
      </c>
      <c r="AT1042">
        <f t="shared" si="267"/>
        <v>17.316666666666965</v>
      </c>
      <c r="AU1042">
        <f t="shared" si="262"/>
        <v>13.11</v>
      </c>
      <c r="AV1042">
        <f t="shared" si="263"/>
        <v>0.3</v>
      </c>
      <c r="AW1042">
        <f t="shared" si="255"/>
        <v>0.63249999999999984</v>
      </c>
    </row>
    <row r="1043" spans="1:49" x14ac:dyDescent="0.25">
      <c r="A1043" t="s">
        <v>2602</v>
      </c>
      <c r="B1043">
        <v>0.9</v>
      </c>
      <c r="C1043">
        <v>25.23</v>
      </c>
      <c r="E1043" t="s">
        <v>2602</v>
      </c>
      <c r="F1043">
        <v>0.75</v>
      </c>
      <c r="G1043">
        <v>96.7</v>
      </c>
      <c r="I1043" t="str" cm="1">
        <f t="array" ref="I1043:J1043">_xlfn.TEXTSPLIT(A1043," ")</f>
        <v>27.10.2023</v>
      </c>
      <c r="J1043" t="str">
        <v>17:22:43</v>
      </c>
      <c r="K1043">
        <f t="shared" si="264"/>
        <v>17.333333333333631</v>
      </c>
      <c r="L1043">
        <f t="shared" si="257"/>
        <v>10.91</v>
      </c>
      <c r="M1043">
        <f t="shared" si="258"/>
        <v>0.9</v>
      </c>
      <c r="N1043">
        <f t="shared" si="252"/>
        <v>0.79000000000000015</v>
      </c>
      <c r="Q1043" t="str" cm="1">
        <f t="array" ref="Q1043:R1043">_xlfn.TEXTSPLIT(E1043," ")</f>
        <v>27.10.2023</v>
      </c>
      <c r="R1043" t="str">
        <v>17:22:43</v>
      </c>
      <c r="S1043">
        <f t="shared" si="265"/>
        <v>17.333333333333631</v>
      </c>
      <c r="T1043">
        <f t="shared" si="256"/>
        <v>18.100000000000009</v>
      </c>
      <c r="U1043">
        <f t="shared" si="259"/>
        <v>0.75</v>
      </c>
      <c r="V1043">
        <f t="shared" si="253"/>
        <v>1.3624999999999998</v>
      </c>
      <c r="AC1043" t="s">
        <v>2603</v>
      </c>
      <c r="AD1043">
        <v>0.6</v>
      </c>
      <c r="AE1043">
        <v>11.59</v>
      </c>
      <c r="AG1043" t="str" cm="1">
        <f t="array" ref="AG1043:AH1043">_xlfn.TEXTSPLIT(AC1044," ")</f>
        <v>26.10.2023</v>
      </c>
      <c r="AH1043" t="str">
        <v>17:23:55</v>
      </c>
      <c r="AI1043">
        <f t="shared" si="266"/>
        <v>17.333333333333631</v>
      </c>
      <c r="AJ1043">
        <f t="shared" si="260"/>
        <v>7.06</v>
      </c>
      <c r="AK1043">
        <f t="shared" si="261"/>
        <v>0.6</v>
      </c>
      <c r="AL1043">
        <f t="shared" si="254"/>
        <v>0.49499999999999994</v>
      </c>
      <c r="AN1043" t="s">
        <v>2603</v>
      </c>
      <c r="AO1043">
        <v>0.3</v>
      </c>
      <c r="AP1043">
        <v>74.42</v>
      </c>
      <c r="AR1043" t="str" cm="1">
        <f t="array" ref="AR1043:AS1043">_xlfn.TEXTSPLIT(AN1043," ")</f>
        <v>26.10.2023</v>
      </c>
      <c r="AS1043" t="str">
        <v>17:22:55</v>
      </c>
      <c r="AT1043">
        <f t="shared" si="267"/>
        <v>17.333333333333631</v>
      </c>
      <c r="AU1043">
        <f t="shared" si="262"/>
        <v>13.11</v>
      </c>
      <c r="AV1043">
        <f t="shared" si="263"/>
        <v>0.3</v>
      </c>
      <c r="AW1043">
        <f t="shared" si="255"/>
        <v>0.63249999999999984</v>
      </c>
    </row>
    <row r="1044" spans="1:49" x14ac:dyDescent="0.25">
      <c r="A1044" t="s">
        <v>2604</v>
      </c>
      <c r="B1044">
        <v>0</v>
      </c>
      <c r="C1044">
        <v>25.23</v>
      </c>
      <c r="E1044" t="s">
        <v>2604</v>
      </c>
      <c r="F1044">
        <v>0.6</v>
      </c>
      <c r="G1044">
        <v>96.71</v>
      </c>
      <c r="I1044" t="str" cm="1">
        <f t="array" ref="I1044:J1044">_xlfn.TEXTSPLIT(A1044," ")</f>
        <v>27.10.2023</v>
      </c>
      <c r="J1044" t="str">
        <v>17:23:43</v>
      </c>
      <c r="K1044">
        <f t="shared" si="264"/>
        <v>17.350000000000296</v>
      </c>
      <c r="L1044">
        <f t="shared" si="257"/>
        <v>10.91</v>
      </c>
      <c r="M1044">
        <f t="shared" si="258"/>
        <v>0</v>
      </c>
      <c r="N1044">
        <f t="shared" si="252"/>
        <v>0.79000000000000015</v>
      </c>
      <c r="Q1044" t="str" cm="1">
        <f t="array" ref="Q1044:R1044">_xlfn.TEXTSPLIT(E1044," ")</f>
        <v>27.10.2023</v>
      </c>
      <c r="R1044" t="str">
        <v>17:23:43</v>
      </c>
      <c r="S1044">
        <f t="shared" si="265"/>
        <v>17.350000000000296</v>
      </c>
      <c r="T1044">
        <f t="shared" si="256"/>
        <v>18.11</v>
      </c>
      <c r="U1044">
        <f t="shared" si="259"/>
        <v>0.6</v>
      </c>
      <c r="V1044">
        <f t="shared" si="253"/>
        <v>1.3574999999999995</v>
      </c>
      <c r="AC1044" t="s">
        <v>2605</v>
      </c>
      <c r="AD1044">
        <v>0.3</v>
      </c>
      <c r="AE1044">
        <v>11.59</v>
      </c>
      <c r="AG1044" t="str" cm="1">
        <f t="array" ref="AG1044:AH1044">_xlfn.TEXTSPLIT(AC1045," ")</f>
        <v>26.10.2023</v>
      </c>
      <c r="AH1044" t="str">
        <v>17:24:56</v>
      </c>
      <c r="AI1044">
        <f t="shared" si="266"/>
        <v>17.350000000000296</v>
      </c>
      <c r="AJ1044">
        <f t="shared" si="260"/>
        <v>7.06</v>
      </c>
      <c r="AK1044">
        <f t="shared" si="261"/>
        <v>0.3</v>
      </c>
      <c r="AL1044">
        <f t="shared" si="254"/>
        <v>0.49</v>
      </c>
      <c r="AN1044" t="s">
        <v>2605</v>
      </c>
      <c r="AO1044">
        <v>0</v>
      </c>
      <c r="AP1044">
        <v>74.42</v>
      </c>
      <c r="AR1044" t="str" cm="1">
        <f t="array" ref="AR1044:AS1044">_xlfn.TEXTSPLIT(AN1044," ")</f>
        <v>26.10.2023</v>
      </c>
      <c r="AS1044" t="str">
        <v>17:23:55</v>
      </c>
      <c r="AT1044">
        <f t="shared" si="267"/>
        <v>17.350000000000296</v>
      </c>
      <c r="AU1044">
        <f t="shared" si="262"/>
        <v>13.11</v>
      </c>
      <c r="AV1044">
        <f t="shared" si="263"/>
        <v>0</v>
      </c>
      <c r="AW1044">
        <f t="shared" si="255"/>
        <v>0.63249999999999984</v>
      </c>
    </row>
    <row r="1045" spans="1:49" x14ac:dyDescent="0.25">
      <c r="A1045" t="s">
        <v>2606</v>
      </c>
      <c r="B1045">
        <v>0</v>
      </c>
      <c r="C1045">
        <v>25.23</v>
      </c>
      <c r="E1045" t="s">
        <v>2606</v>
      </c>
      <c r="F1045">
        <v>0.75</v>
      </c>
      <c r="G1045">
        <v>96.72</v>
      </c>
      <c r="I1045" t="str" cm="1">
        <f t="array" ref="I1045:J1045">_xlfn.TEXTSPLIT(A1045," ")</f>
        <v>27.10.2023</v>
      </c>
      <c r="J1045" t="str">
        <v>17:24:43</v>
      </c>
      <c r="K1045">
        <f t="shared" si="264"/>
        <v>17.366666666666962</v>
      </c>
      <c r="L1045">
        <f t="shared" si="257"/>
        <v>10.91</v>
      </c>
      <c r="M1045">
        <f t="shared" si="258"/>
        <v>0</v>
      </c>
      <c r="N1045">
        <f t="shared" si="252"/>
        <v>0.79000000000000015</v>
      </c>
      <c r="Q1045" t="str" cm="1">
        <f t="array" ref="Q1045:R1045">_xlfn.TEXTSPLIT(E1045," ")</f>
        <v>27.10.2023</v>
      </c>
      <c r="R1045" t="str">
        <v>17:24:43</v>
      </c>
      <c r="S1045">
        <f t="shared" si="265"/>
        <v>17.366666666666962</v>
      </c>
      <c r="T1045">
        <f t="shared" si="256"/>
        <v>18.120000000000005</v>
      </c>
      <c r="U1045">
        <f t="shared" si="259"/>
        <v>0.75</v>
      </c>
      <c r="V1045">
        <f t="shared" si="253"/>
        <v>1.3524999999999996</v>
      </c>
      <c r="AC1045" t="s">
        <v>2607</v>
      </c>
      <c r="AD1045">
        <v>0</v>
      </c>
      <c r="AE1045">
        <v>11.59</v>
      </c>
      <c r="AG1045" t="str" cm="1">
        <f t="array" ref="AG1045:AH1045">_xlfn.TEXTSPLIT(AC1046," ")</f>
        <v>26.10.2023</v>
      </c>
      <c r="AH1045" t="str">
        <v>17:25:56</v>
      </c>
      <c r="AI1045">
        <f t="shared" si="266"/>
        <v>17.366666666666962</v>
      </c>
      <c r="AJ1045">
        <f t="shared" si="260"/>
        <v>7.06</v>
      </c>
      <c r="AK1045">
        <f t="shared" si="261"/>
        <v>0</v>
      </c>
      <c r="AL1045">
        <f t="shared" si="254"/>
        <v>0.49</v>
      </c>
      <c r="AN1045" t="s">
        <v>2607</v>
      </c>
      <c r="AO1045">
        <v>0</v>
      </c>
      <c r="AP1045">
        <v>74.42</v>
      </c>
      <c r="AR1045" t="str" cm="1">
        <f t="array" ref="AR1045:AS1045">_xlfn.TEXTSPLIT(AN1045," ")</f>
        <v>26.10.2023</v>
      </c>
      <c r="AS1045" t="str">
        <v>17:24:56</v>
      </c>
      <c r="AT1045">
        <f t="shared" si="267"/>
        <v>17.366666666666962</v>
      </c>
      <c r="AU1045">
        <f t="shared" si="262"/>
        <v>13.11</v>
      </c>
      <c r="AV1045">
        <f t="shared" si="263"/>
        <v>0</v>
      </c>
      <c r="AW1045">
        <f t="shared" si="255"/>
        <v>0.63249999999999984</v>
      </c>
    </row>
    <row r="1046" spans="1:49" x14ac:dyDescent="0.25">
      <c r="A1046" t="s">
        <v>2608</v>
      </c>
      <c r="B1046">
        <v>0</v>
      </c>
      <c r="C1046">
        <v>25.23</v>
      </c>
      <c r="E1046" t="s">
        <v>2608</v>
      </c>
      <c r="F1046">
        <v>0.6</v>
      </c>
      <c r="G1046">
        <v>96.74</v>
      </c>
      <c r="I1046" t="str" cm="1">
        <f t="array" ref="I1046:J1046">_xlfn.TEXTSPLIT(A1046," ")</f>
        <v>27.10.2023</v>
      </c>
      <c r="J1046" t="str">
        <v>17:25:43</v>
      </c>
      <c r="K1046">
        <f t="shared" si="264"/>
        <v>17.383333333333628</v>
      </c>
      <c r="L1046">
        <f t="shared" si="257"/>
        <v>10.91</v>
      </c>
      <c r="M1046">
        <f t="shared" si="258"/>
        <v>0</v>
      </c>
      <c r="N1046">
        <f t="shared" si="252"/>
        <v>0.79000000000000015</v>
      </c>
      <c r="Q1046" t="str" cm="1">
        <f t="array" ref="Q1046:R1046">_xlfn.TEXTSPLIT(E1046," ")</f>
        <v>27.10.2023</v>
      </c>
      <c r="R1046" t="str">
        <v>17:25:43</v>
      </c>
      <c r="S1046">
        <f t="shared" si="265"/>
        <v>17.383333333333628</v>
      </c>
      <c r="T1046">
        <f t="shared" si="256"/>
        <v>18.14</v>
      </c>
      <c r="U1046">
        <f t="shared" si="259"/>
        <v>0.6</v>
      </c>
      <c r="V1046">
        <f t="shared" si="253"/>
        <v>1.3499999999999999</v>
      </c>
      <c r="AC1046" t="s">
        <v>2609</v>
      </c>
      <c r="AD1046">
        <v>0</v>
      </c>
      <c r="AE1046">
        <v>11.59</v>
      </c>
      <c r="AG1046" t="str" cm="1">
        <f t="array" ref="AG1046:AH1046">_xlfn.TEXTSPLIT(AC1047," ")</f>
        <v>26.10.2023</v>
      </c>
      <c r="AH1046" t="str">
        <v>17:26:56</v>
      </c>
      <c r="AI1046">
        <f t="shared" si="266"/>
        <v>17.383333333333628</v>
      </c>
      <c r="AJ1046">
        <f t="shared" si="260"/>
        <v>7.06</v>
      </c>
      <c r="AK1046">
        <f t="shared" si="261"/>
        <v>0</v>
      </c>
      <c r="AL1046">
        <f t="shared" si="254"/>
        <v>0.49</v>
      </c>
      <c r="AN1046" t="s">
        <v>2609</v>
      </c>
      <c r="AO1046">
        <v>0</v>
      </c>
      <c r="AP1046">
        <v>74.430000000000007</v>
      </c>
      <c r="AR1046" t="str" cm="1">
        <f t="array" ref="AR1046:AS1046">_xlfn.TEXTSPLIT(AN1046," ")</f>
        <v>26.10.2023</v>
      </c>
      <c r="AS1046" t="str">
        <v>17:25:56</v>
      </c>
      <c r="AT1046">
        <f t="shared" si="267"/>
        <v>17.383333333333628</v>
      </c>
      <c r="AU1046">
        <f t="shared" si="262"/>
        <v>13.120000000000005</v>
      </c>
      <c r="AV1046">
        <f t="shared" si="263"/>
        <v>0</v>
      </c>
      <c r="AW1046">
        <f t="shared" si="255"/>
        <v>0.62999999999999967</v>
      </c>
    </row>
    <row r="1047" spans="1:49" x14ac:dyDescent="0.25">
      <c r="A1047" t="s">
        <v>2610</v>
      </c>
      <c r="B1047">
        <v>0.15</v>
      </c>
      <c r="C1047">
        <v>25.24</v>
      </c>
      <c r="E1047" t="s">
        <v>2610</v>
      </c>
      <c r="F1047">
        <v>0.6</v>
      </c>
      <c r="G1047">
        <v>96.75</v>
      </c>
      <c r="I1047" t="str" cm="1">
        <f t="array" ref="I1047:J1047">_xlfn.TEXTSPLIT(A1047," ")</f>
        <v>27.10.2023</v>
      </c>
      <c r="J1047" t="str">
        <v>17:26:44</v>
      </c>
      <c r="K1047">
        <f t="shared" si="264"/>
        <v>17.400000000000293</v>
      </c>
      <c r="L1047">
        <f t="shared" si="257"/>
        <v>10.919999999999998</v>
      </c>
      <c r="M1047">
        <f t="shared" si="258"/>
        <v>0.15</v>
      </c>
      <c r="N1047">
        <f t="shared" si="252"/>
        <v>0.78500000000000003</v>
      </c>
      <c r="Q1047" t="str" cm="1">
        <f t="array" ref="Q1047:R1047">_xlfn.TEXTSPLIT(E1047," ")</f>
        <v>27.10.2023</v>
      </c>
      <c r="R1047" t="str">
        <v>17:26:44</v>
      </c>
      <c r="S1047">
        <f t="shared" si="265"/>
        <v>17.400000000000293</v>
      </c>
      <c r="T1047">
        <f t="shared" si="256"/>
        <v>18.150000000000006</v>
      </c>
      <c r="U1047">
        <f t="shared" si="259"/>
        <v>0.6</v>
      </c>
      <c r="V1047">
        <f t="shared" si="253"/>
        <v>1.3499999999999992</v>
      </c>
      <c r="AC1047" t="s">
        <v>2611</v>
      </c>
      <c r="AD1047">
        <v>0</v>
      </c>
      <c r="AE1047">
        <v>11.59</v>
      </c>
      <c r="AG1047" t="str" cm="1">
        <f t="array" ref="AG1047:AH1047">_xlfn.TEXTSPLIT(AC1048," ")</f>
        <v>26.10.2023</v>
      </c>
      <c r="AH1047" t="str">
        <v>17:27:56</v>
      </c>
      <c r="AI1047">
        <f t="shared" si="266"/>
        <v>17.400000000000293</v>
      </c>
      <c r="AJ1047">
        <f t="shared" si="260"/>
        <v>7.06</v>
      </c>
      <c r="AK1047">
        <f t="shared" si="261"/>
        <v>0</v>
      </c>
      <c r="AL1047">
        <f t="shared" si="254"/>
        <v>0.49</v>
      </c>
      <c r="AN1047" t="s">
        <v>2611</v>
      </c>
      <c r="AO1047">
        <v>0.15</v>
      </c>
      <c r="AP1047">
        <v>74.430000000000007</v>
      </c>
      <c r="AR1047" t="str" cm="1">
        <f t="array" ref="AR1047:AS1047">_xlfn.TEXTSPLIT(AN1047," ")</f>
        <v>26.10.2023</v>
      </c>
      <c r="AS1047" t="str">
        <v>17:26:56</v>
      </c>
      <c r="AT1047">
        <f t="shared" si="267"/>
        <v>17.400000000000293</v>
      </c>
      <c r="AU1047">
        <f t="shared" si="262"/>
        <v>13.120000000000005</v>
      </c>
      <c r="AV1047">
        <f t="shared" si="263"/>
        <v>0.15</v>
      </c>
      <c r="AW1047">
        <f t="shared" si="255"/>
        <v>0.63249999999999973</v>
      </c>
    </row>
    <row r="1048" spans="1:49" x14ac:dyDescent="0.25">
      <c r="A1048" t="s">
        <v>2612</v>
      </c>
      <c r="B1048">
        <v>0.3</v>
      </c>
      <c r="C1048">
        <v>25.25</v>
      </c>
      <c r="E1048" t="s">
        <v>2612</v>
      </c>
      <c r="F1048">
        <v>0.75</v>
      </c>
      <c r="G1048">
        <v>96.76</v>
      </c>
      <c r="I1048" t="str" cm="1">
        <f t="array" ref="I1048:J1048">_xlfn.TEXTSPLIT(A1048," ")</f>
        <v>27.10.2023</v>
      </c>
      <c r="J1048" t="str">
        <v>17:27:44</v>
      </c>
      <c r="K1048">
        <f t="shared" si="264"/>
        <v>17.416666666666959</v>
      </c>
      <c r="L1048">
        <f t="shared" si="257"/>
        <v>10.93</v>
      </c>
      <c r="M1048">
        <f t="shared" si="258"/>
        <v>0.3</v>
      </c>
      <c r="N1048">
        <f t="shared" si="252"/>
        <v>0.78500000000000003</v>
      </c>
      <c r="Q1048" t="str" cm="1">
        <f t="array" ref="Q1048:R1048">_xlfn.TEXTSPLIT(E1048," ")</f>
        <v>27.10.2023</v>
      </c>
      <c r="R1048" t="str">
        <v>17:27:44</v>
      </c>
      <c r="S1048">
        <f t="shared" si="265"/>
        <v>17.416666666666959</v>
      </c>
      <c r="T1048">
        <f t="shared" si="256"/>
        <v>18.160000000000011</v>
      </c>
      <c r="U1048">
        <f t="shared" si="259"/>
        <v>0.75</v>
      </c>
      <c r="V1048">
        <f t="shared" si="253"/>
        <v>1.3474999999999997</v>
      </c>
      <c r="AC1048" t="s">
        <v>2613</v>
      </c>
      <c r="AD1048">
        <v>0</v>
      </c>
      <c r="AE1048">
        <v>11.59</v>
      </c>
      <c r="AG1048" t="str" cm="1">
        <f t="array" ref="AG1048:AH1048">_xlfn.TEXTSPLIT(AC1049," ")</f>
        <v>26.10.2023</v>
      </c>
      <c r="AH1048" t="str">
        <v>17:28:56</v>
      </c>
      <c r="AI1048">
        <f t="shared" si="266"/>
        <v>17.416666666666959</v>
      </c>
      <c r="AJ1048">
        <f t="shared" si="260"/>
        <v>7.06</v>
      </c>
      <c r="AK1048">
        <f t="shared" si="261"/>
        <v>0</v>
      </c>
      <c r="AL1048">
        <f t="shared" si="254"/>
        <v>0.49</v>
      </c>
      <c r="AN1048" t="s">
        <v>2613</v>
      </c>
      <c r="AO1048">
        <v>0</v>
      </c>
      <c r="AP1048">
        <v>74.430000000000007</v>
      </c>
      <c r="AR1048" t="str" cm="1">
        <f t="array" ref="AR1048:AS1048">_xlfn.TEXTSPLIT(AN1048," ")</f>
        <v>26.10.2023</v>
      </c>
      <c r="AS1048" t="str">
        <v>17:27:56</v>
      </c>
      <c r="AT1048">
        <f t="shared" si="267"/>
        <v>17.416666666666959</v>
      </c>
      <c r="AU1048">
        <f t="shared" si="262"/>
        <v>13.120000000000005</v>
      </c>
      <c r="AV1048">
        <f t="shared" si="263"/>
        <v>0</v>
      </c>
      <c r="AW1048">
        <f t="shared" si="255"/>
        <v>0.62999999999999967</v>
      </c>
    </row>
    <row r="1049" spans="1:49" x14ac:dyDescent="0.25">
      <c r="A1049" t="s">
        <v>2614</v>
      </c>
      <c r="B1049">
        <v>0.3</v>
      </c>
      <c r="C1049">
        <v>25.25</v>
      </c>
      <c r="E1049" t="s">
        <v>2614</v>
      </c>
      <c r="F1049">
        <v>0.9</v>
      </c>
      <c r="G1049">
        <v>96.78</v>
      </c>
      <c r="I1049" t="str" cm="1">
        <f t="array" ref="I1049:J1049">_xlfn.TEXTSPLIT(A1049," ")</f>
        <v>27.10.2023</v>
      </c>
      <c r="J1049" t="str">
        <v>17:28:44</v>
      </c>
      <c r="K1049">
        <f t="shared" si="264"/>
        <v>17.433333333333625</v>
      </c>
      <c r="L1049">
        <f t="shared" si="257"/>
        <v>10.93</v>
      </c>
      <c r="M1049">
        <f t="shared" si="258"/>
        <v>0.3</v>
      </c>
      <c r="N1049">
        <f t="shared" si="252"/>
        <v>0.78499999999999992</v>
      </c>
      <c r="Q1049" t="str" cm="1">
        <f t="array" ref="Q1049:R1049">_xlfn.TEXTSPLIT(E1049," ")</f>
        <v>27.10.2023</v>
      </c>
      <c r="R1049" t="str">
        <v>17:28:44</v>
      </c>
      <c r="S1049">
        <f t="shared" si="265"/>
        <v>17.433333333333625</v>
      </c>
      <c r="T1049">
        <f t="shared" si="256"/>
        <v>18.180000000000007</v>
      </c>
      <c r="U1049">
        <f t="shared" si="259"/>
        <v>0.9</v>
      </c>
      <c r="V1049">
        <f t="shared" si="253"/>
        <v>1.3499999999999994</v>
      </c>
      <c r="AC1049" t="s">
        <v>2615</v>
      </c>
      <c r="AD1049">
        <v>0</v>
      </c>
      <c r="AE1049">
        <v>11.59</v>
      </c>
      <c r="AG1049" t="str" cm="1">
        <f t="array" ref="AG1049:AH1049">_xlfn.TEXTSPLIT(AC1050," ")</f>
        <v>26.10.2023</v>
      </c>
      <c r="AH1049" t="str">
        <v>17:29:56</v>
      </c>
      <c r="AI1049">
        <f t="shared" si="266"/>
        <v>17.433333333333625</v>
      </c>
      <c r="AJ1049">
        <f t="shared" si="260"/>
        <v>7.06</v>
      </c>
      <c r="AK1049">
        <f t="shared" si="261"/>
        <v>0</v>
      </c>
      <c r="AL1049">
        <f t="shared" si="254"/>
        <v>0.49</v>
      </c>
      <c r="AN1049" t="s">
        <v>2615</v>
      </c>
      <c r="AO1049">
        <v>0.15</v>
      </c>
      <c r="AP1049">
        <v>74.430000000000007</v>
      </c>
      <c r="AR1049" t="str" cm="1">
        <f t="array" ref="AR1049:AS1049">_xlfn.TEXTSPLIT(AN1049," ")</f>
        <v>26.10.2023</v>
      </c>
      <c r="AS1049" t="str">
        <v>17:28:56</v>
      </c>
      <c r="AT1049">
        <f t="shared" si="267"/>
        <v>17.433333333333625</v>
      </c>
      <c r="AU1049">
        <f t="shared" si="262"/>
        <v>13.120000000000005</v>
      </c>
      <c r="AV1049">
        <f t="shared" si="263"/>
        <v>0.15</v>
      </c>
      <c r="AW1049">
        <f t="shared" si="255"/>
        <v>0.62999999999999967</v>
      </c>
    </row>
    <row r="1050" spans="1:49" x14ac:dyDescent="0.25">
      <c r="A1050" t="s">
        <v>2616</v>
      </c>
      <c r="B1050">
        <v>0.45</v>
      </c>
      <c r="C1050">
        <v>25.26</v>
      </c>
      <c r="E1050" t="s">
        <v>2616</v>
      </c>
      <c r="F1050">
        <v>1.2</v>
      </c>
      <c r="G1050">
        <v>96.79</v>
      </c>
      <c r="I1050" t="str" cm="1">
        <f t="array" ref="I1050:J1050">_xlfn.TEXTSPLIT(A1050," ")</f>
        <v>27.10.2023</v>
      </c>
      <c r="J1050" t="str">
        <v>17:29:44</v>
      </c>
      <c r="K1050">
        <f t="shared" si="264"/>
        <v>17.450000000000291</v>
      </c>
      <c r="L1050">
        <f t="shared" si="257"/>
        <v>10.940000000000001</v>
      </c>
      <c r="M1050">
        <f t="shared" si="258"/>
        <v>0.45</v>
      </c>
      <c r="N1050">
        <f t="shared" si="252"/>
        <v>0.78250000000000008</v>
      </c>
      <c r="Q1050" t="str" cm="1">
        <f t="array" ref="Q1050:R1050">_xlfn.TEXTSPLIT(E1050," ")</f>
        <v>27.10.2023</v>
      </c>
      <c r="R1050" t="str">
        <v>17:29:44</v>
      </c>
      <c r="S1050">
        <f t="shared" si="265"/>
        <v>17.450000000000291</v>
      </c>
      <c r="T1050">
        <f t="shared" si="256"/>
        <v>18.190000000000012</v>
      </c>
      <c r="U1050">
        <f t="shared" si="259"/>
        <v>1.2</v>
      </c>
      <c r="V1050">
        <f t="shared" si="253"/>
        <v>1.3549999999999998</v>
      </c>
      <c r="AC1050" t="s">
        <v>2617</v>
      </c>
      <c r="AD1050">
        <v>0</v>
      </c>
      <c r="AE1050">
        <v>11.59</v>
      </c>
      <c r="AG1050" t="str" cm="1">
        <f t="array" ref="AG1050:AH1050">_xlfn.TEXTSPLIT(AC1051," ")</f>
        <v>26.10.2023</v>
      </c>
      <c r="AH1050" t="str">
        <v>17:30:56</v>
      </c>
      <c r="AI1050">
        <f t="shared" si="266"/>
        <v>17.450000000000291</v>
      </c>
      <c r="AJ1050">
        <f t="shared" si="260"/>
        <v>7.06</v>
      </c>
      <c r="AK1050">
        <f t="shared" si="261"/>
        <v>0</v>
      </c>
      <c r="AL1050">
        <f t="shared" si="254"/>
        <v>0.49</v>
      </c>
      <c r="AN1050" t="s">
        <v>2617</v>
      </c>
      <c r="AO1050">
        <v>0.15</v>
      </c>
      <c r="AP1050">
        <v>74.430000000000007</v>
      </c>
      <c r="AR1050" t="str" cm="1">
        <f t="array" ref="AR1050:AS1050">_xlfn.TEXTSPLIT(AN1050," ")</f>
        <v>26.10.2023</v>
      </c>
      <c r="AS1050" t="str">
        <v>17:29:56</v>
      </c>
      <c r="AT1050">
        <f t="shared" si="267"/>
        <v>17.450000000000291</v>
      </c>
      <c r="AU1050">
        <f t="shared" si="262"/>
        <v>13.120000000000005</v>
      </c>
      <c r="AV1050">
        <f t="shared" si="263"/>
        <v>0.15</v>
      </c>
      <c r="AW1050">
        <f t="shared" si="255"/>
        <v>0.62999999999999967</v>
      </c>
    </row>
    <row r="1051" spans="1:49" x14ac:dyDescent="0.25">
      <c r="A1051" t="s">
        <v>2618</v>
      </c>
      <c r="B1051">
        <v>0.15</v>
      </c>
      <c r="C1051">
        <v>25.26</v>
      </c>
      <c r="E1051" t="s">
        <v>2618</v>
      </c>
      <c r="F1051">
        <v>0.9</v>
      </c>
      <c r="G1051">
        <v>96.81</v>
      </c>
      <c r="I1051" t="str" cm="1">
        <f t="array" ref="I1051:J1051">_xlfn.TEXTSPLIT(A1051," ")</f>
        <v>27.10.2023</v>
      </c>
      <c r="J1051" t="str">
        <v>17:30:44</v>
      </c>
      <c r="K1051">
        <f t="shared" si="264"/>
        <v>17.466666666666956</v>
      </c>
      <c r="L1051">
        <f t="shared" si="257"/>
        <v>10.940000000000001</v>
      </c>
      <c r="M1051">
        <f t="shared" si="258"/>
        <v>0.15</v>
      </c>
      <c r="N1051">
        <f t="shared" si="252"/>
        <v>0.77500000000000002</v>
      </c>
      <c r="Q1051" t="str" cm="1">
        <f t="array" ref="Q1051:R1051">_xlfn.TEXTSPLIT(E1051," ")</f>
        <v>27.10.2023</v>
      </c>
      <c r="R1051" t="str">
        <v>17:30:44</v>
      </c>
      <c r="S1051">
        <f t="shared" si="265"/>
        <v>17.466666666666956</v>
      </c>
      <c r="T1051">
        <f t="shared" si="256"/>
        <v>18.210000000000008</v>
      </c>
      <c r="U1051">
        <f t="shared" si="259"/>
        <v>0.9</v>
      </c>
      <c r="V1051">
        <f t="shared" si="253"/>
        <v>1.3474999999999997</v>
      </c>
      <c r="AC1051" t="s">
        <v>2619</v>
      </c>
      <c r="AD1051">
        <v>0</v>
      </c>
      <c r="AE1051">
        <v>11.59</v>
      </c>
      <c r="AG1051" t="str" cm="1">
        <f t="array" ref="AG1051:AH1051">_xlfn.TEXTSPLIT(AC1052," ")</f>
        <v>26.10.2023</v>
      </c>
      <c r="AH1051" t="str">
        <v>17:31:57</v>
      </c>
      <c r="AI1051">
        <f t="shared" si="266"/>
        <v>17.466666666666956</v>
      </c>
      <c r="AJ1051">
        <f t="shared" si="260"/>
        <v>7.06</v>
      </c>
      <c r="AK1051">
        <f t="shared" si="261"/>
        <v>0</v>
      </c>
      <c r="AL1051">
        <f t="shared" si="254"/>
        <v>0.49</v>
      </c>
      <c r="AN1051" t="s">
        <v>2619</v>
      </c>
      <c r="AO1051">
        <v>0.15</v>
      </c>
      <c r="AP1051">
        <v>74.44</v>
      </c>
      <c r="AR1051" t="str" cm="1">
        <f t="array" ref="AR1051:AS1051">_xlfn.TEXTSPLIT(AN1051," ")</f>
        <v>26.10.2023</v>
      </c>
      <c r="AS1051" t="str">
        <v>17:30:56</v>
      </c>
      <c r="AT1051">
        <f t="shared" si="267"/>
        <v>17.466666666666956</v>
      </c>
      <c r="AU1051">
        <f t="shared" si="262"/>
        <v>13.129999999999995</v>
      </c>
      <c r="AV1051">
        <f t="shared" si="263"/>
        <v>0.15</v>
      </c>
      <c r="AW1051">
        <f t="shared" si="255"/>
        <v>0.62749999999999961</v>
      </c>
    </row>
    <row r="1052" spans="1:49" x14ac:dyDescent="0.25">
      <c r="A1052" t="s">
        <v>2620</v>
      </c>
      <c r="B1052">
        <v>0.45</v>
      </c>
      <c r="C1052">
        <v>25.27</v>
      </c>
      <c r="E1052" t="s">
        <v>2620</v>
      </c>
      <c r="F1052">
        <v>1.35</v>
      </c>
      <c r="G1052">
        <v>96.84</v>
      </c>
      <c r="I1052" t="str" cm="1">
        <f t="array" ref="I1052:J1052">_xlfn.TEXTSPLIT(A1052," ")</f>
        <v>27.10.2023</v>
      </c>
      <c r="J1052" t="str">
        <v>17:31:44</v>
      </c>
      <c r="K1052">
        <f t="shared" si="264"/>
        <v>17.483333333333622</v>
      </c>
      <c r="L1052">
        <f t="shared" si="257"/>
        <v>10.95</v>
      </c>
      <c r="M1052">
        <f t="shared" si="258"/>
        <v>0.45</v>
      </c>
      <c r="N1052">
        <f t="shared" si="252"/>
        <v>0.77250000000000008</v>
      </c>
      <c r="Q1052" t="str" cm="1">
        <f t="array" ref="Q1052:R1052">_xlfn.TEXTSPLIT(E1052," ")</f>
        <v>27.10.2023</v>
      </c>
      <c r="R1052" t="str">
        <v>17:31:44</v>
      </c>
      <c r="S1052">
        <f t="shared" si="265"/>
        <v>17.483333333333622</v>
      </c>
      <c r="T1052">
        <f t="shared" si="256"/>
        <v>18.240000000000009</v>
      </c>
      <c r="U1052">
        <f t="shared" si="259"/>
        <v>1.35</v>
      </c>
      <c r="V1052">
        <f t="shared" si="253"/>
        <v>1.3374999999999997</v>
      </c>
      <c r="AC1052" t="s">
        <v>2621</v>
      </c>
      <c r="AD1052">
        <v>0</v>
      </c>
      <c r="AE1052">
        <v>11.59</v>
      </c>
      <c r="AG1052" t="str" cm="1">
        <f t="array" ref="AG1052:AH1052">_xlfn.TEXTSPLIT(AC1053," ")</f>
        <v>26.10.2023</v>
      </c>
      <c r="AH1052" t="str">
        <v>17:32:57</v>
      </c>
      <c r="AI1052">
        <f t="shared" si="266"/>
        <v>17.483333333333622</v>
      </c>
      <c r="AJ1052">
        <f t="shared" si="260"/>
        <v>7.06</v>
      </c>
      <c r="AK1052">
        <f t="shared" si="261"/>
        <v>0</v>
      </c>
      <c r="AL1052">
        <f t="shared" si="254"/>
        <v>0.49</v>
      </c>
      <c r="AN1052" t="s">
        <v>2621</v>
      </c>
      <c r="AO1052">
        <v>0.3</v>
      </c>
      <c r="AP1052">
        <v>74.44</v>
      </c>
      <c r="AR1052" t="str" cm="1">
        <f t="array" ref="AR1052:AS1052">_xlfn.TEXTSPLIT(AN1052," ")</f>
        <v>26.10.2023</v>
      </c>
      <c r="AS1052" t="str">
        <v>17:31:57</v>
      </c>
      <c r="AT1052">
        <f t="shared" si="267"/>
        <v>17.483333333333622</v>
      </c>
      <c r="AU1052">
        <f t="shared" si="262"/>
        <v>13.129999999999995</v>
      </c>
      <c r="AV1052">
        <f t="shared" si="263"/>
        <v>0.3</v>
      </c>
      <c r="AW1052">
        <f t="shared" si="255"/>
        <v>0.62999999999999956</v>
      </c>
    </row>
    <row r="1053" spans="1:49" x14ac:dyDescent="0.25">
      <c r="A1053" t="s">
        <v>2622</v>
      </c>
      <c r="B1053">
        <v>0.3</v>
      </c>
      <c r="C1053">
        <v>25.27</v>
      </c>
      <c r="E1053" t="s">
        <v>2622</v>
      </c>
      <c r="F1053">
        <v>1.2</v>
      </c>
      <c r="G1053">
        <v>96.85</v>
      </c>
      <c r="I1053" t="str" cm="1">
        <f t="array" ref="I1053:J1053">_xlfn.TEXTSPLIT(A1053," ")</f>
        <v>27.10.2023</v>
      </c>
      <c r="J1053" t="str">
        <v>17:32:44</v>
      </c>
      <c r="K1053">
        <f t="shared" si="264"/>
        <v>17.500000000000288</v>
      </c>
      <c r="L1053">
        <f t="shared" si="257"/>
        <v>10.95</v>
      </c>
      <c r="M1053">
        <f t="shared" si="258"/>
        <v>0.3</v>
      </c>
      <c r="N1053">
        <f t="shared" si="252"/>
        <v>0.76249999999999996</v>
      </c>
      <c r="Q1053" t="str" cm="1">
        <f t="array" ref="Q1053:R1053">_xlfn.TEXTSPLIT(E1053," ")</f>
        <v>27.10.2023</v>
      </c>
      <c r="R1053" t="str">
        <v>17:32:44</v>
      </c>
      <c r="S1053">
        <f t="shared" si="265"/>
        <v>17.500000000000288</v>
      </c>
      <c r="T1053">
        <f t="shared" si="256"/>
        <v>18.25</v>
      </c>
      <c r="U1053">
        <f t="shared" si="259"/>
        <v>1.2</v>
      </c>
      <c r="V1053">
        <f t="shared" si="253"/>
        <v>1.3349999999999997</v>
      </c>
      <c r="AC1053" t="s">
        <v>2623</v>
      </c>
      <c r="AD1053">
        <v>0</v>
      </c>
      <c r="AE1053">
        <v>11.59</v>
      </c>
      <c r="AG1053" t="str" cm="1">
        <f t="array" ref="AG1053:AH1053">_xlfn.TEXTSPLIT(AC1054," ")</f>
        <v>26.10.2023</v>
      </c>
      <c r="AH1053" t="str">
        <v>17:33:57</v>
      </c>
      <c r="AI1053">
        <f t="shared" si="266"/>
        <v>17.500000000000288</v>
      </c>
      <c r="AJ1053">
        <f t="shared" si="260"/>
        <v>7.06</v>
      </c>
      <c r="AK1053">
        <f t="shared" si="261"/>
        <v>0</v>
      </c>
      <c r="AL1053">
        <f t="shared" si="254"/>
        <v>0.48499999999999999</v>
      </c>
      <c r="AN1053" t="s">
        <v>2623</v>
      </c>
      <c r="AO1053">
        <v>0.3</v>
      </c>
      <c r="AP1053">
        <v>74.45</v>
      </c>
      <c r="AR1053" t="str" cm="1">
        <f t="array" ref="AR1053:AS1053">_xlfn.TEXTSPLIT(AN1053," ")</f>
        <v>26.10.2023</v>
      </c>
      <c r="AS1053" t="str">
        <v>17:32:57</v>
      </c>
      <c r="AT1053">
        <f t="shared" si="267"/>
        <v>17.500000000000288</v>
      </c>
      <c r="AU1053">
        <f t="shared" si="262"/>
        <v>13.14</v>
      </c>
      <c r="AV1053">
        <f t="shared" si="263"/>
        <v>0.3</v>
      </c>
      <c r="AW1053">
        <f t="shared" si="255"/>
        <v>0.62999999999999945</v>
      </c>
    </row>
    <row r="1054" spans="1:49" x14ac:dyDescent="0.25">
      <c r="A1054" t="s">
        <v>2624</v>
      </c>
      <c r="B1054">
        <v>0.45</v>
      </c>
      <c r="C1054">
        <v>25.28</v>
      </c>
      <c r="E1054" t="s">
        <v>2624</v>
      </c>
      <c r="F1054">
        <v>0.75</v>
      </c>
      <c r="G1054">
        <v>96.87</v>
      </c>
      <c r="I1054" t="str" cm="1">
        <f t="array" ref="I1054:J1054">_xlfn.TEXTSPLIT(A1054," ")</f>
        <v>27.10.2023</v>
      </c>
      <c r="J1054" t="str">
        <v>17:33:44</v>
      </c>
      <c r="K1054">
        <f t="shared" si="264"/>
        <v>17.516666666666953</v>
      </c>
      <c r="L1054">
        <f t="shared" si="257"/>
        <v>10.96</v>
      </c>
      <c r="M1054">
        <f t="shared" si="258"/>
        <v>0.45</v>
      </c>
      <c r="N1054">
        <f t="shared" si="252"/>
        <v>0.76250000000000007</v>
      </c>
      <c r="Q1054" t="str" cm="1">
        <f t="array" ref="Q1054:R1054">_xlfn.TEXTSPLIT(E1054," ")</f>
        <v>27.10.2023</v>
      </c>
      <c r="R1054" t="str">
        <v>17:33:44</v>
      </c>
      <c r="S1054">
        <f t="shared" si="265"/>
        <v>17.516666666666953</v>
      </c>
      <c r="T1054">
        <f t="shared" si="256"/>
        <v>18.27000000000001</v>
      </c>
      <c r="U1054">
        <f t="shared" si="259"/>
        <v>0.75</v>
      </c>
      <c r="V1054">
        <f t="shared" si="253"/>
        <v>1.3299999999999996</v>
      </c>
      <c r="AC1054" t="s">
        <v>2625</v>
      </c>
      <c r="AD1054">
        <v>0</v>
      </c>
      <c r="AE1054">
        <v>11.59</v>
      </c>
      <c r="AG1054" t="str" cm="1">
        <f t="array" ref="AG1054:AH1054">_xlfn.TEXTSPLIT(AC1055," ")</f>
        <v>26.10.2023</v>
      </c>
      <c r="AH1054" t="str">
        <v>17:34:57</v>
      </c>
      <c r="AI1054">
        <f t="shared" si="266"/>
        <v>17.516666666666953</v>
      </c>
      <c r="AJ1054">
        <f t="shared" si="260"/>
        <v>7.06</v>
      </c>
      <c r="AK1054">
        <f t="shared" si="261"/>
        <v>0</v>
      </c>
      <c r="AL1054">
        <f t="shared" si="254"/>
        <v>0.48000000000000004</v>
      </c>
      <c r="AN1054" t="s">
        <v>2625</v>
      </c>
      <c r="AO1054">
        <v>0.3</v>
      </c>
      <c r="AP1054">
        <v>74.459999999999994</v>
      </c>
      <c r="AR1054" t="str" cm="1">
        <f t="array" ref="AR1054:AS1054">_xlfn.TEXTSPLIT(AN1054," ")</f>
        <v>26.10.2023</v>
      </c>
      <c r="AS1054" t="str">
        <v>17:33:57</v>
      </c>
      <c r="AT1054">
        <f t="shared" si="267"/>
        <v>17.516666666666953</v>
      </c>
      <c r="AU1054">
        <f t="shared" si="262"/>
        <v>13.149999999999991</v>
      </c>
      <c r="AV1054">
        <f t="shared" si="263"/>
        <v>0.3</v>
      </c>
      <c r="AW1054">
        <f t="shared" si="255"/>
        <v>0.62999999999999945</v>
      </c>
    </row>
    <row r="1055" spans="1:49" x14ac:dyDescent="0.25">
      <c r="A1055" t="s">
        <v>2626</v>
      </c>
      <c r="B1055">
        <v>0.6</v>
      </c>
      <c r="C1055">
        <v>25.29</v>
      </c>
      <c r="E1055" t="s">
        <v>2626</v>
      </c>
      <c r="F1055">
        <v>1.05</v>
      </c>
      <c r="G1055">
        <v>96.88</v>
      </c>
      <c r="I1055" t="str" cm="1">
        <f t="array" ref="I1055:J1055">_xlfn.TEXTSPLIT(A1055," ")</f>
        <v>27.10.2023</v>
      </c>
      <c r="J1055" t="str">
        <v>17:34:44</v>
      </c>
      <c r="K1055">
        <f t="shared" si="264"/>
        <v>17.533333333333619</v>
      </c>
      <c r="L1055">
        <f t="shared" si="257"/>
        <v>10.969999999999999</v>
      </c>
      <c r="M1055">
        <f t="shared" si="258"/>
        <v>0.6</v>
      </c>
      <c r="N1055">
        <f t="shared" si="252"/>
        <v>0.76500000000000012</v>
      </c>
      <c r="Q1055" t="str" cm="1">
        <f t="array" ref="Q1055:R1055">_xlfn.TEXTSPLIT(E1055," ")</f>
        <v>27.10.2023</v>
      </c>
      <c r="R1055" t="str">
        <v>17:34:44</v>
      </c>
      <c r="S1055">
        <f t="shared" si="265"/>
        <v>17.533333333333619</v>
      </c>
      <c r="T1055">
        <f t="shared" si="256"/>
        <v>18.28</v>
      </c>
      <c r="U1055">
        <f t="shared" si="259"/>
        <v>1.05</v>
      </c>
      <c r="V1055">
        <f t="shared" si="253"/>
        <v>1.3274999999999999</v>
      </c>
      <c r="AC1055" t="s">
        <v>2627</v>
      </c>
      <c r="AD1055">
        <v>0.15</v>
      </c>
      <c r="AE1055">
        <v>11.6</v>
      </c>
      <c r="AG1055" t="str" cm="1">
        <f t="array" ref="AG1055:AH1055">_xlfn.TEXTSPLIT(AC1056," ")</f>
        <v>26.10.2023</v>
      </c>
      <c r="AH1055" t="str">
        <v>17:35:57</v>
      </c>
      <c r="AI1055">
        <f t="shared" si="266"/>
        <v>17.533333333333619</v>
      </c>
      <c r="AJ1055">
        <f t="shared" si="260"/>
        <v>7.0699999999999994</v>
      </c>
      <c r="AK1055">
        <f t="shared" si="261"/>
        <v>0.15</v>
      </c>
      <c r="AL1055">
        <f t="shared" si="254"/>
        <v>0.48000000000000004</v>
      </c>
      <c r="AN1055" t="s">
        <v>2627</v>
      </c>
      <c r="AO1055">
        <v>0.6</v>
      </c>
      <c r="AP1055">
        <v>74.47</v>
      </c>
      <c r="AR1055" t="str" cm="1">
        <f t="array" ref="AR1055:AS1055">_xlfn.TEXTSPLIT(AN1055," ")</f>
        <v>26.10.2023</v>
      </c>
      <c r="AS1055" t="str">
        <v>17:34:57</v>
      </c>
      <c r="AT1055">
        <f t="shared" si="267"/>
        <v>17.533333333333619</v>
      </c>
      <c r="AU1055">
        <f t="shared" si="262"/>
        <v>13.159999999999997</v>
      </c>
      <c r="AV1055">
        <f t="shared" si="263"/>
        <v>0.6</v>
      </c>
      <c r="AW1055">
        <f t="shared" si="255"/>
        <v>0.63499999999999956</v>
      </c>
    </row>
    <row r="1056" spans="1:49" x14ac:dyDescent="0.25">
      <c r="A1056" t="s">
        <v>2628</v>
      </c>
      <c r="B1056">
        <v>0.3</v>
      </c>
      <c r="C1056">
        <v>25.3</v>
      </c>
      <c r="E1056" t="s">
        <v>2628</v>
      </c>
      <c r="F1056">
        <v>0.9</v>
      </c>
      <c r="G1056">
        <v>96.91</v>
      </c>
      <c r="I1056" t="str" cm="1">
        <f t="array" ref="I1056:J1056">_xlfn.TEXTSPLIT(A1056," ")</f>
        <v>27.10.2023</v>
      </c>
      <c r="J1056" t="str">
        <v>17:35:44</v>
      </c>
      <c r="K1056">
        <f t="shared" si="264"/>
        <v>17.550000000000285</v>
      </c>
      <c r="L1056">
        <f t="shared" si="257"/>
        <v>10.98</v>
      </c>
      <c r="M1056">
        <f t="shared" si="258"/>
        <v>0.3</v>
      </c>
      <c r="N1056">
        <f t="shared" si="252"/>
        <v>0.76250000000000007</v>
      </c>
      <c r="Q1056" t="str" cm="1">
        <f t="array" ref="Q1056:R1056">_xlfn.TEXTSPLIT(E1056," ")</f>
        <v>27.10.2023</v>
      </c>
      <c r="R1056" t="str">
        <v>17:35:44</v>
      </c>
      <c r="S1056">
        <f t="shared" si="265"/>
        <v>17.550000000000285</v>
      </c>
      <c r="T1056">
        <f t="shared" si="256"/>
        <v>18.310000000000002</v>
      </c>
      <c r="U1056">
        <f t="shared" si="259"/>
        <v>0.9</v>
      </c>
      <c r="V1056">
        <f t="shared" si="253"/>
        <v>1.325</v>
      </c>
      <c r="AC1056" t="s">
        <v>2629</v>
      </c>
      <c r="AD1056">
        <v>0.45</v>
      </c>
      <c r="AE1056">
        <v>11.6</v>
      </c>
      <c r="AG1056" t="str" cm="1">
        <f t="array" ref="AG1056:AH1056">_xlfn.TEXTSPLIT(AC1057," ")</f>
        <v>26.10.2023</v>
      </c>
      <c r="AH1056" t="str">
        <v>17:36:57</v>
      </c>
      <c r="AI1056">
        <f t="shared" si="266"/>
        <v>17.550000000000285</v>
      </c>
      <c r="AJ1056">
        <f t="shared" si="260"/>
        <v>7.0699999999999994</v>
      </c>
      <c r="AK1056">
        <f t="shared" si="261"/>
        <v>0.45</v>
      </c>
      <c r="AL1056">
        <f t="shared" si="254"/>
        <v>0.47999999999999993</v>
      </c>
      <c r="AN1056" t="s">
        <v>2629</v>
      </c>
      <c r="AO1056">
        <v>0.45</v>
      </c>
      <c r="AP1056">
        <v>74.48</v>
      </c>
      <c r="AR1056" t="str" cm="1">
        <f t="array" ref="AR1056:AS1056">_xlfn.TEXTSPLIT(AN1056," ")</f>
        <v>26.10.2023</v>
      </c>
      <c r="AS1056" t="str">
        <v>17:35:57</v>
      </c>
      <c r="AT1056">
        <f t="shared" si="267"/>
        <v>17.550000000000285</v>
      </c>
      <c r="AU1056">
        <f t="shared" si="262"/>
        <v>13.170000000000002</v>
      </c>
      <c r="AV1056">
        <f t="shared" si="263"/>
        <v>0.45</v>
      </c>
      <c r="AW1056">
        <f t="shared" si="255"/>
        <v>0.63499999999999968</v>
      </c>
    </row>
    <row r="1057" spans="1:49" x14ac:dyDescent="0.25">
      <c r="A1057" t="s">
        <v>2630</v>
      </c>
      <c r="B1057">
        <v>0.6</v>
      </c>
      <c r="C1057">
        <v>25.31</v>
      </c>
      <c r="E1057" t="s">
        <v>2630</v>
      </c>
      <c r="F1057">
        <v>1.65</v>
      </c>
      <c r="G1057">
        <v>96.97</v>
      </c>
      <c r="I1057" t="str" cm="1">
        <f t="array" ref="I1057:J1057">_xlfn.TEXTSPLIT(A1057," ")</f>
        <v>27.10.2023</v>
      </c>
      <c r="J1057" t="str">
        <v>17:36:44</v>
      </c>
      <c r="K1057">
        <f t="shared" si="264"/>
        <v>17.566666666666951</v>
      </c>
      <c r="L1057">
        <f t="shared" si="257"/>
        <v>10.989999999999998</v>
      </c>
      <c r="M1057">
        <f t="shared" si="258"/>
        <v>0.6</v>
      </c>
      <c r="N1057">
        <f t="shared" si="252"/>
        <v>0.76000000000000012</v>
      </c>
      <c r="Q1057" t="str" cm="1">
        <f t="array" ref="Q1057:R1057">_xlfn.TEXTSPLIT(E1057," ")</f>
        <v>27.10.2023</v>
      </c>
      <c r="R1057" t="str">
        <v>17:36:44</v>
      </c>
      <c r="S1057">
        <f t="shared" si="265"/>
        <v>17.566666666666951</v>
      </c>
      <c r="T1057">
        <f t="shared" si="256"/>
        <v>18.370000000000005</v>
      </c>
      <c r="U1057">
        <f t="shared" si="259"/>
        <v>1.65</v>
      </c>
      <c r="V1057">
        <f t="shared" si="253"/>
        <v>1.3099999999999998</v>
      </c>
      <c r="AC1057" t="s">
        <v>2631</v>
      </c>
      <c r="AD1057">
        <v>0.15</v>
      </c>
      <c r="AE1057">
        <v>11.61</v>
      </c>
      <c r="AG1057" t="str" cm="1">
        <f t="array" ref="AG1057:AH1057">_xlfn.TEXTSPLIT(AC1058," ")</f>
        <v>26.10.2023</v>
      </c>
      <c r="AH1057" t="str">
        <v>17:37:57</v>
      </c>
      <c r="AI1057">
        <f t="shared" si="266"/>
        <v>17.566666666666951</v>
      </c>
      <c r="AJ1057">
        <f t="shared" si="260"/>
        <v>7.0799999999999992</v>
      </c>
      <c r="AK1057">
        <f t="shared" si="261"/>
        <v>0.15</v>
      </c>
      <c r="AL1057">
        <f t="shared" si="254"/>
        <v>0.47499999999999992</v>
      </c>
      <c r="AN1057" t="s">
        <v>2631</v>
      </c>
      <c r="AO1057">
        <v>0.45</v>
      </c>
      <c r="AP1057">
        <v>74.510000000000005</v>
      </c>
      <c r="AR1057" t="str" cm="1">
        <f t="array" ref="AR1057:AS1057">_xlfn.TEXTSPLIT(AN1057," ")</f>
        <v>26.10.2023</v>
      </c>
      <c r="AS1057" t="str">
        <v>17:36:57</v>
      </c>
      <c r="AT1057">
        <f t="shared" si="267"/>
        <v>17.566666666666951</v>
      </c>
      <c r="AU1057">
        <f t="shared" si="262"/>
        <v>13.200000000000003</v>
      </c>
      <c r="AV1057">
        <f t="shared" si="263"/>
        <v>0.45</v>
      </c>
      <c r="AW1057">
        <f t="shared" si="255"/>
        <v>0.63499999999999968</v>
      </c>
    </row>
    <row r="1058" spans="1:49" x14ac:dyDescent="0.25">
      <c r="A1058" t="s">
        <v>2632</v>
      </c>
      <c r="B1058">
        <v>0.6</v>
      </c>
      <c r="C1058">
        <v>25.34</v>
      </c>
      <c r="E1058" t="s">
        <v>2632</v>
      </c>
      <c r="F1058">
        <v>3.6</v>
      </c>
      <c r="G1058">
        <v>97.01</v>
      </c>
      <c r="I1058" t="str" cm="1">
        <f t="array" ref="I1058:J1058">_xlfn.TEXTSPLIT(A1058," ")</f>
        <v>27.10.2023</v>
      </c>
      <c r="J1058" t="str">
        <v>17:37:44</v>
      </c>
      <c r="K1058">
        <f t="shared" si="264"/>
        <v>17.583333333333616</v>
      </c>
      <c r="L1058">
        <f t="shared" si="257"/>
        <v>11.02</v>
      </c>
      <c r="M1058">
        <f t="shared" si="258"/>
        <v>0.6</v>
      </c>
      <c r="N1058">
        <f t="shared" si="252"/>
        <v>0.75750000000000017</v>
      </c>
      <c r="Q1058" t="str" cm="1">
        <f t="array" ref="Q1058:R1058">_xlfn.TEXTSPLIT(E1058," ")</f>
        <v>27.10.2023</v>
      </c>
      <c r="R1058" t="str">
        <v>17:37:44</v>
      </c>
      <c r="S1058">
        <f t="shared" si="265"/>
        <v>17.583333333333616</v>
      </c>
      <c r="T1058">
        <f t="shared" si="256"/>
        <v>18.410000000000011</v>
      </c>
      <c r="U1058">
        <f t="shared" si="259"/>
        <v>3.6</v>
      </c>
      <c r="V1058">
        <f t="shared" si="253"/>
        <v>1.3225000000000002</v>
      </c>
      <c r="AC1058" t="s">
        <v>2633</v>
      </c>
      <c r="AD1058">
        <v>0.3</v>
      </c>
      <c r="AE1058">
        <v>11.62</v>
      </c>
      <c r="AG1058" t="str" cm="1">
        <f t="array" ref="AG1058:AH1058">_xlfn.TEXTSPLIT(AC1059," ")</f>
        <v>26.10.2023</v>
      </c>
      <c r="AH1058" t="str">
        <v>17:38:57</v>
      </c>
      <c r="AI1058">
        <f t="shared" si="266"/>
        <v>17.583333333333616</v>
      </c>
      <c r="AJ1058">
        <f t="shared" si="260"/>
        <v>7.089999999999999</v>
      </c>
      <c r="AK1058">
        <f t="shared" si="261"/>
        <v>0.3</v>
      </c>
      <c r="AL1058">
        <f t="shared" si="254"/>
        <v>0.47499999999999992</v>
      </c>
      <c r="AN1058" t="s">
        <v>2633</v>
      </c>
      <c r="AO1058">
        <v>2.1</v>
      </c>
      <c r="AP1058">
        <v>74.540000000000006</v>
      </c>
      <c r="AR1058" t="str" cm="1">
        <f t="array" ref="AR1058:AS1058">_xlfn.TEXTSPLIT(AN1058," ")</f>
        <v>26.10.2023</v>
      </c>
      <c r="AS1058" t="str">
        <v>17:37:57</v>
      </c>
      <c r="AT1058">
        <f t="shared" si="267"/>
        <v>17.583333333333616</v>
      </c>
      <c r="AU1058">
        <f t="shared" si="262"/>
        <v>13.230000000000004</v>
      </c>
      <c r="AV1058">
        <f t="shared" si="263"/>
        <v>2.1</v>
      </c>
      <c r="AW1058">
        <f t="shared" si="255"/>
        <v>0.64249999999999985</v>
      </c>
    </row>
    <row r="1059" spans="1:49" x14ac:dyDescent="0.25">
      <c r="A1059" t="s">
        <v>2634</v>
      </c>
      <c r="B1059">
        <v>2.85</v>
      </c>
      <c r="C1059">
        <v>25.39</v>
      </c>
      <c r="E1059" t="s">
        <v>2634</v>
      </c>
      <c r="F1059">
        <v>1.95</v>
      </c>
      <c r="G1059">
        <v>97.04</v>
      </c>
      <c r="I1059" t="str" cm="1">
        <f t="array" ref="I1059:J1059">_xlfn.TEXTSPLIT(A1059," ")</f>
        <v>27.10.2023</v>
      </c>
      <c r="J1059" t="str">
        <v>17:38:45</v>
      </c>
      <c r="K1059">
        <f t="shared" si="264"/>
        <v>17.600000000000282</v>
      </c>
      <c r="L1059">
        <f t="shared" si="257"/>
        <v>11.07</v>
      </c>
      <c r="M1059">
        <f t="shared" si="258"/>
        <v>2.85</v>
      </c>
      <c r="N1059">
        <f t="shared" si="252"/>
        <v>0.76000000000000012</v>
      </c>
      <c r="Q1059" t="str" cm="1">
        <f t="array" ref="Q1059:R1059">_xlfn.TEXTSPLIT(E1059," ")</f>
        <v>27.10.2023</v>
      </c>
      <c r="R1059" t="str">
        <v>17:38:45</v>
      </c>
      <c r="S1059">
        <f t="shared" si="265"/>
        <v>17.600000000000282</v>
      </c>
      <c r="T1059">
        <f t="shared" si="256"/>
        <v>18.440000000000012</v>
      </c>
      <c r="U1059">
        <f t="shared" si="259"/>
        <v>1.95</v>
      </c>
      <c r="V1059">
        <f t="shared" si="253"/>
        <v>1.3200000000000003</v>
      </c>
      <c r="AC1059" t="s">
        <v>2635</v>
      </c>
      <c r="AD1059">
        <v>1.05</v>
      </c>
      <c r="AE1059">
        <v>11.66</v>
      </c>
      <c r="AG1059" t="str" cm="1">
        <f t="array" ref="AG1059:AH1059">_xlfn.TEXTSPLIT(AC1060," ")</f>
        <v>26.10.2023</v>
      </c>
      <c r="AH1059" t="str">
        <v>17:39:57</v>
      </c>
      <c r="AI1059">
        <f t="shared" si="266"/>
        <v>17.600000000000282</v>
      </c>
      <c r="AJ1059">
        <f t="shared" si="260"/>
        <v>7.13</v>
      </c>
      <c r="AK1059">
        <f t="shared" si="261"/>
        <v>1.05</v>
      </c>
      <c r="AL1059">
        <f t="shared" si="254"/>
        <v>0.47499999999999998</v>
      </c>
      <c r="AN1059" t="s">
        <v>2635</v>
      </c>
      <c r="AO1059">
        <v>1.65</v>
      </c>
      <c r="AP1059">
        <v>74.569999999999993</v>
      </c>
      <c r="AR1059" t="str" cm="1">
        <f t="array" ref="AR1059:AS1059">_xlfn.TEXTSPLIT(AN1059," ")</f>
        <v>26.10.2023</v>
      </c>
      <c r="AS1059" t="str">
        <v>17:38:57</v>
      </c>
      <c r="AT1059">
        <f t="shared" si="267"/>
        <v>17.600000000000282</v>
      </c>
      <c r="AU1059">
        <f t="shared" si="262"/>
        <v>13.259999999999991</v>
      </c>
      <c r="AV1059">
        <f t="shared" si="263"/>
        <v>1.65</v>
      </c>
      <c r="AW1059">
        <f t="shared" si="255"/>
        <v>0.62749999999999995</v>
      </c>
    </row>
    <row r="1060" spans="1:49" x14ac:dyDescent="0.25">
      <c r="A1060" t="s">
        <v>2636</v>
      </c>
      <c r="B1060">
        <v>2.5499999999999998</v>
      </c>
      <c r="C1060">
        <v>25.42</v>
      </c>
      <c r="E1060" t="s">
        <v>2636</v>
      </c>
      <c r="F1060">
        <v>2.1</v>
      </c>
      <c r="G1060">
        <v>97.08</v>
      </c>
      <c r="I1060" t="str" cm="1">
        <f t="array" ref="I1060:J1060">_xlfn.TEXTSPLIT(A1060," ")</f>
        <v>27.10.2023</v>
      </c>
      <c r="J1060" t="str">
        <v>17:39:45</v>
      </c>
      <c r="K1060">
        <f t="shared" si="264"/>
        <v>17.616666666666948</v>
      </c>
      <c r="L1060">
        <f t="shared" si="257"/>
        <v>11.100000000000001</v>
      </c>
      <c r="M1060">
        <f t="shared" si="258"/>
        <v>2.5499999999999998</v>
      </c>
      <c r="N1060">
        <f t="shared" si="252"/>
        <v>0.76249999999999996</v>
      </c>
      <c r="Q1060" t="str" cm="1">
        <f t="array" ref="Q1060:R1060">_xlfn.TEXTSPLIT(E1060," ")</f>
        <v>27.10.2023</v>
      </c>
      <c r="R1060" t="str">
        <v>17:39:45</v>
      </c>
      <c r="S1060">
        <f t="shared" si="265"/>
        <v>17.616666666666948</v>
      </c>
      <c r="T1060">
        <f t="shared" si="256"/>
        <v>18.480000000000004</v>
      </c>
      <c r="U1060">
        <f t="shared" si="259"/>
        <v>2.1</v>
      </c>
      <c r="V1060">
        <f t="shared" si="253"/>
        <v>1.3075000000000001</v>
      </c>
      <c r="AC1060" t="s">
        <v>2637</v>
      </c>
      <c r="AD1060">
        <v>2.4</v>
      </c>
      <c r="AE1060">
        <v>11.69</v>
      </c>
      <c r="AG1060" t="str" cm="1">
        <f t="array" ref="AG1060:AH1060">_xlfn.TEXTSPLIT(AC1061," ")</f>
        <v>26.10.2023</v>
      </c>
      <c r="AH1060" t="str">
        <v>17:40:57</v>
      </c>
      <c r="AI1060">
        <f t="shared" si="266"/>
        <v>17.616666666666948</v>
      </c>
      <c r="AJ1060">
        <f t="shared" si="260"/>
        <v>7.1599999999999993</v>
      </c>
      <c r="AK1060">
        <f t="shared" si="261"/>
        <v>2.4</v>
      </c>
      <c r="AL1060">
        <f t="shared" si="254"/>
        <v>0.47999999999999993</v>
      </c>
      <c r="AN1060" t="s">
        <v>2637</v>
      </c>
      <c r="AO1060">
        <v>1.65</v>
      </c>
      <c r="AP1060">
        <v>74.599999999999994</v>
      </c>
      <c r="AR1060" t="str" cm="1">
        <f t="array" ref="AR1060:AS1060">_xlfn.TEXTSPLIT(AN1060," ")</f>
        <v>26.10.2023</v>
      </c>
      <c r="AS1060" t="str">
        <v>17:39:57</v>
      </c>
      <c r="AT1060">
        <f t="shared" si="267"/>
        <v>17.616666666666948</v>
      </c>
      <c r="AU1060">
        <f t="shared" si="262"/>
        <v>13.289999999999992</v>
      </c>
      <c r="AV1060">
        <f t="shared" si="263"/>
        <v>1.65</v>
      </c>
      <c r="AW1060">
        <f t="shared" si="255"/>
        <v>0.63</v>
      </c>
    </row>
    <row r="1061" spans="1:49" x14ac:dyDescent="0.25">
      <c r="A1061" t="s">
        <v>2638</v>
      </c>
      <c r="B1061">
        <v>1.35</v>
      </c>
      <c r="C1061">
        <v>25.44</v>
      </c>
      <c r="E1061" t="s">
        <v>2638</v>
      </c>
      <c r="F1061">
        <v>1.95</v>
      </c>
      <c r="G1061">
        <v>97.1</v>
      </c>
      <c r="I1061" t="str" cm="1">
        <f t="array" ref="I1061:J1061">_xlfn.TEXTSPLIT(A1061," ")</f>
        <v>27.10.2023</v>
      </c>
      <c r="J1061" t="str">
        <v>17:40:45</v>
      </c>
      <c r="K1061">
        <f t="shared" si="264"/>
        <v>17.633333333333614</v>
      </c>
      <c r="L1061">
        <f t="shared" si="257"/>
        <v>11.120000000000001</v>
      </c>
      <c r="M1061">
        <f t="shared" si="258"/>
        <v>1.35</v>
      </c>
      <c r="N1061">
        <f t="shared" si="252"/>
        <v>0.7599999999999999</v>
      </c>
      <c r="Q1061" t="str" cm="1">
        <f t="array" ref="Q1061:R1061">_xlfn.TEXTSPLIT(E1061," ")</f>
        <v>27.10.2023</v>
      </c>
      <c r="R1061" t="str">
        <v>17:40:45</v>
      </c>
      <c r="S1061">
        <f t="shared" si="265"/>
        <v>17.633333333333614</v>
      </c>
      <c r="T1061">
        <f t="shared" si="256"/>
        <v>18.5</v>
      </c>
      <c r="U1061">
        <f t="shared" si="259"/>
        <v>1.95</v>
      </c>
      <c r="V1061">
        <f t="shared" si="253"/>
        <v>1.3125</v>
      </c>
      <c r="AC1061" t="s">
        <v>2639</v>
      </c>
      <c r="AD1061">
        <v>1.8</v>
      </c>
      <c r="AE1061">
        <v>11.72</v>
      </c>
      <c r="AG1061" t="str" cm="1">
        <f t="array" ref="AG1061:AH1061">_xlfn.TEXTSPLIT(AC1062," ")</f>
        <v>26.10.2023</v>
      </c>
      <c r="AH1061" t="str">
        <v>17:41:57</v>
      </c>
      <c r="AI1061">
        <f t="shared" si="266"/>
        <v>17.633333333333614</v>
      </c>
      <c r="AJ1061">
        <f t="shared" si="260"/>
        <v>7.19</v>
      </c>
      <c r="AK1061">
        <f t="shared" si="261"/>
        <v>1.8</v>
      </c>
      <c r="AL1061">
        <f t="shared" si="254"/>
        <v>0.49</v>
      </c>
      <c r="AN1061" t="s">
        <v>2639</v>
      </c>
      <c r="AO1061">
        <v>2.1</v>
      </c>
      <c r="AP1061">
        <v>74.64</v>
      </c>
      <c r="AR1061" t="str" cm="1">
        <f t="array" ref="AR1061:AS1061">_xlfn.TEXTSPLIT(AN1061," ")</f>
        <v>26.10.2023</v>
      </c>
      <c r="AS1061" t="str">
        <v>17:40:57</v>
      </c>
      <c r="AT1061">
        <f t="shared" si="267"/>
        <v>17.633333333333614</v>
      </c>
      <c r="AU1061">
        <f t="shared" si="262"/>
        <v>13.329999999999998</v>
      </c>
      <c r="AV1061">
        <f t="shared" si="263"/>
        <v>2.1</v>
      </c>
      <c r="AW1061">
        <f t="shared" si="255"/>
        <v>0.64249999999999996</v>
      </c>
    </row>
    <row r="1062" spans="1:49" x14ac:dyDescent="0.25">
      <c r="A1062" t="s">
        <v>2640</v>
      </c>
      <c r="B1062">
        <v>1.35</v>
      </c>
      <c r="C1062">
        <v>25.46</v>
      </c>
      <c r="E1062" t="s">
        <v>2640</v>
      </c>
      <c r="F1062">
        <v>1.35</v>
      </c>
      <c r="G1062">
        <v>97.12</v>
      </c>
      <c r="I1062" t="str" cm="1">
        <f t="array" ref="I1062:J1062">_xlfn.TEXTSPLIT(A1062," ")</f>
        <v>27.10.2023</v>
      </c>
      <c r="J1062" t="str">
        <v>17:41:45</v>
      </c>
      <c r="K1062">
        <f t="shared" si="264"/>
        <v>17.650000000000279</v>
      </c>
      <c r="L1062">
        <f t="shared" si="257"/>
        <v>11.14</v>
      </c>
      <c r="M1062">
        <f t="shared" si="258"/>
        <v>1.35</v>
      </c>
      <c r="N1062">
        <f t="shared" si="252"/>
        <v>0.76249999999999996</v>
      </c>
      <c r="Q1062" t="str" cm="1">
        <f t="array" ref="Q1062:R1062">_xlfn.TEXTSPLIT(E1062," ")</f>
        <v>27.10.2023</v>
      </c>
      <c r="R1062" t="str">
        <v>17:41:45</v>
      </c>
      <c r="S1062">
        <f t="shared" si="265"/>
        <v>17.650000000000279</v>
      </c>
      <c r="T1062">
        <f t="shared" si="256"/>
        <v>18.52000000000001</v>
      </c>
      <c r="U1062">
        <f t="shared" si="259"/>
        <v>1.35</v>
      </c>
      <c r="V1062">
        <f t="shared" si="253"/>
        <v>1.3075000000000001</v>
      </c>
      <c r="AC1062" t="s">
        <v>2641</v>
      </c>
      <c r="AD1062">
        <v>1.5</v>
      </c>
      <c r="AE1062">
        <v>11.74</v>
      </c>
      <c r="AG1062" t="str" cm="1">
        <f t="array" ref="AG1062:AH1062">_xlfn.TEXTSPLIT(AC1063," ")</f>
        <v>26.10.2023</v>
      </c>
      <c r="AH1062" t="str">
        <v>17:42:58</v>
      </c>
      <c r="AI1062">
        <f t="shared" si="266"/>
        <v>17.650000000000279</v>
      </c>
      <c r="AJ1062">
        <f t="shared" si="260"/>
        <v>7.21</v>
      </c>
      <c r="AK1062">
        <f t="shared" si="261"/>
        <v>1.5</v>
      </c>
      <c r="AL1062">
        <f t="shared" si="254"/>
        <v>0.495</v>
      </c>
      <c r="AN1062" t="s">
        <v>2641</v>
      </c>
      <c r="AO1062">
        <v>1.95</v>
      </c>
      <c r="AP1062">
        <v>74.66</v>
      </c>
      <c r="AR1062" t="str" cm="1">
        <f t="array" ref="AR1062:AS1062">_xlfn.TEXTSPLIT(AN1062," ")</f>
        <v>26.10.2023</v>
      </c>
      <c r="AS1062" t="str">
        <v>17:41:57</v>
      </c>
      <c r="AT1062">
        <f t="shared" si="267"/>
        <v>17.650000000000279</v>
      </c>
      <c r="AU1062">
        <f t="shared" si="262"/>
        <v>13.349999999999994</v>
      </c>
      <c r="AV1062">
        <f t="shared" si="263"/>
        <v>1.95</v>
      </c>
      <c r="AW1062">
        <f t="shared" si="255"/>
        <v>0.65</v>
      </c>
    </row>
    <row r="1063" spans="1:49" x14ac:dyDescent="0.25">
      <c r="A1063" t="s">
        <v>2642</v>
      </c>
      <c r="B1063">
        <v>1.05</v>
      </c>
      <c r="C1063">
        <v>25.48</v>
      </c>
      <c r="E1063" t="s">
        <v>2642</v>
      </c>
      <c r="F1063">
        <v>0.9</v>
      </c>
      <c r="G1063">
        <v>97.14</v>
      </c>
      <c r="I1063" t="str" cm="1">
        <f t="array" ref="I1063:J1063">_xlfn.TEXTSPLIT(A1063," ")</f>
        <v>27.10.2023</v>
      </c>
      <c r="J1063" t="str">
        <v>17:42:45</v>
      </c>
      <c r="K1063">
        <f t="shared" si="264"/>
        <v>17.666666666666945</v>
      </c>
      <c r="L1063">
        <f t="shared" si="257"/>
        <v>11.16</v>
      </c>
      <c r="M1063">
        <f t="shared" si="258"/>
        <v>1.05</v>
      </c>
      <c r="N1063">
        <f t="shared" si="252"/>
        <v>0.7599999999999999</v>
      </c>
      <c r="Q1063" t="str" cm="1">
        <f t="array" ref="Q1063:R1063">_xlfn.TEXTSPLIT(E1063," ")</f>
        <v>27.10.2023</v>
      </c>
      <c r="R1063" t="str">
        <v>17:42:45</v>
      </c>
      <c r="S1063">
        <f t="shared" si="265"/>
        <v>17.666666666666945</v>
      </c>
      <c r="T1063">
        <f t="shared" si="256"/>
        <v>18.540000000000006</v>
      </c>
      <c r="U1063">
        <f t="shared" si="259"/>
        <v>0.9</v>
      </c>
      <c r="V1063">
        <f t="shared" si="253"/>
        <v>1.2975000000000001</v>
      </c>
      <c r="AC1063" t="s">
        <v>2643</v>
      </c>
      <c r="AD1063">
        <v>1.35</v>
      </c>
      <c r="AE1063">
        <v>11.74</v>
      </c>
      <c r="AG1063" t="str" cm="1">
        <f t="array" ref="AG1063:AH1063">_xlfn.TEXTSPLIT(AC1064," ")</f>
        <v>26.10.2023</v>
      </c>
      <c r="AH1063" t="str">
        <v>17:43:58</v>
      </c>
      <c r="AI1063">
        <f t="shared" si="266"/>
        <v>17.666666666666945</v>
      </c>
      <c r="AJ1063">
        <f t="shared" si="260"/>
        <v>7.21</v>
      </c>
      <c r="AK1063">
        <f t="shared" si="261"/>
        <v>1.35</v>
      </c>
      <c r="AL1063">
        <f t="shared" si="254"/>
        <v>0.4975</v>
      </c>
      <c r="AN1063" t="s">
        <v>2643</v>
      </c>
      <c r="AO1063">
        <v>1.2</v>
      </c>
      <c r="AP1063">
        <v>74.67</v>
      </c>
      <c r="AR1063" t="str" cm="1">
        <f t="array" ref="AR1063:AS1063">_xlfn.TEXTSPLIT(AN1063," ")</f>
        <v>26.10.2023</v>
      </c>
      <c r="AS1063" t="str">
        <v>17:42:58</v>
      </c>
      <c r="AT1063">
        <f t="shared" si="267"/>
        <v>17.666666666666945</v>
      </c>
      <c r="AU1063">
        <f t="shared" si="262"/>
        <v>13.36</v>
      </c>
      <c r="AV1063">
        <f t="shared" si="263"/>
        <v>1.2</v>
      </c>
      <c r="AW1063">
        <f t="shared" si="255"/>
        <v>0.64500000000000002</v>
      </c>
    </row>
    <row r="1064" spans="1:49" x14ac:dyDescent="0.25">
      <c r="A1064" t="s">
        <v>2644</v>
      </c>
      <c r="B1064">
        <v>1.2</v>
      </c>
      <c r="C1064">
        <v>25.49</v>
      </c>
      <c r="E1064" t="s">
        <v>2644</v>
      </c>
      <c r="F1064">
        <v>1.05</v>
      </c>
      <c r="G1064">
        <v>97.16</v>
      </c>
      <c r="I1064" t="str" cm="1">
        <f t="array" ref="I1064:J1064">_xlfn.TEXTSPLIT(A1064," ")</f>
        <v>27.10.2023</v>
      </c>
      <c r="J1064" t="str">
        <v>17:43:45</v>
      </c>
      <c r="K1064">
        <f t="shared" si="264"/>
        <v>17.683333333333611</v>
      </c>
      <c r="L1064">
        <f t="shared" si="257"/>
        <v>11.169999999999998</v>
      </c>
      <c r="M1064">
        <f t="shared" si="258"/>
        <v>1.2</v>
      </c>
      <c r="N1064">
        <f t="shared" si="252"/>
        <v>0.75749999999999995</v>
      </c>
      <c r="Q1064" t="str" cm="1">
        <f t="array" ref="Q1064:R1064">_xlfn.TEXTSPLIT(E1064," ")</f>
        <v>27.10.2023</v>
      </c>
      <c r="R1064" t="str">
        <v>17:43:45</v>
      </c>
      <c r="S1064">
        <f t="shared" si="265"/>
        <v>17.683333333333611</v>
      </c>
      <c r="T1064">
        <f t="shared" si="256"/>
        <v>18.560000000000002</v>
      </c>
      <c r="U1064">
        <f t="shared" si="259"/>
        <v>1.05</v>
      </c>
      <c r="V1064">
        <f t="shared" si="253"/>
        <v>1.2849999999999999</v>
      </c>
      <c r="AC1064" t="s">
        <v>2645</v>
      </c>
      <c r="AD1064">
        <v>0.15</v>
      </c>
      <c r="AE1064">
        <v>11.77</v>
      </c>
      <c r="AG1064" t="str" cm="1">
        <f t="array" ref="AG1064:AH1064">_xlfn.TEXTSPLIT(AC1065," ")</f>
        <v>26.10.2023</v>
      </c>
      <c r="AH1064" t="str">
        <v>17:44:58</v>
      </c>
      <c r="AI1064">
        <f t="shared" si="266"/>
        <v>17.683333333333611</v>
      </c>
      <c r="AJ1064">
        <f t="shared" si="260"/>
        <v>7.2399999999999993</v>
      </c>
      <c r="AK1064">
        <f t="shared" si="261"/>
        <v>0.15</v>
      </c>
      <c r="AL1064">
        <f t="shared" si="254"/>
        <v>0.495</v>
      </c>
      <c r="AN1064" t="s">
        <v>2645</v>
      </c>
      <c r="AO1064">
        <v>1.05</v>
      </c>
      <c r="AP1064">
        <v>74.69</v>
      </c>
      <c r="AR1064" t="str" cm="1">
        <f t="array" ref="AR1064:AS1064">_xlfn.TEXTSPLIT(AN1064," ")</f>
        <v>26.10.2023</v>
      </c>
      <c r="AS1064" t="str">
        <v>17:43:58</v>
      </c>
      <c r="AT1064">
        <f t="shared" si="267"/>
        <v>17.683333333333611</v>
      </c>
      <c r="AU1064">
        <f t="shared" si="262"/>
        <v>13.379999999999995</v>
      </c>
      <c r="AV1064">
        <f t="shared" si="263"/>
        <v>1.05</v>
      </c>
      <c r="AW1064">
        <f t="shared" si="255"/>
        <v>0.64500000000000002</v>
      </c>
    </row>
    <row r="1065" spans="1:49" x14ac:dyDescent="0.25">
      <c r="A1065" t="s">
        <v>2646</v>
      </c>
      <c r="B1065">
        <v>0.75</v>
      </c>
      <c r="C1065">
        <v>25.5</v>
      </c>
      <c r="E1065" t="s">
        <v>2646</v>
      </c>
      <c r="F1065">
        <v>1.35</v>
      </c>
      <c r="G1065">
        <v>97.18</v>
      </c>
      <c r="I1065" t="str" cm="1">
        <f t="array" ref="I1065:J1065">_xlfn.TEXTSPLIT(A1065," ")</f>
        <v>27.10.2023</v>
      </c>
      <c r="J1065" t="str">
        <v>17:44:45</v>
      </c>
      <c r="K1065">
        <f t="shared" si="264"/>
        <v>17.700000000000276</v>
      </c>
      <c r="L1065">
        <f t="shared" si="257"/>
        <v>11.18</v>
      </c>
      <c r="M1065">
        <f t="shared" si="258"/>
        <v>0.75</v>
      </c>
      <c r="N1065">
        <f t="shared" si="252"/>
        <v>0.74999999999999989</v>
      </c>
      <c r="Q1065" t="str" cm="1">
        <f t="array" ref="Q1065:R1065">_xlfn.TEXTSPLIT(E1065," ")</f>
        <v>27.10.2023</v>
      </c>
      <c r="R1065" t="str">
        <v>17:44:45</v>
      </c>
      <c r="S1065">
        <f t="shared" si="265"/>
        <v>17.700000000000276</v>
      </c>
      <c r="T1065">
        <f t="shared" si="256"/>
        <v>18.580000000000013</v>
      </c>
      <c r="U1065">
        <f t="shared" si="259"/>
        <v>1.35</v>
      </c>
      <c r="V1065">
        <f t="shared" si="253"/>
        <v>1.2824999999999998</v>
      </c>
      <c r="AC1065" t="s">
        <v>2647</v>
      </c>
      <c r="AD1065">
        <v>1.65</v>
      </c>
      <c r="AE1065">
        <v>11.79</v>
      </c>
      <c r="AG1065" t="str" cm="1">
        <f t="array" ref="AG1065:AH1065">_xlfn.TEXTSPLIT(AC1066," ")</f>
        <v>26.10.2023</v>
      </c>
      <c r="AH1065" t="str">
        <v>17:45:58</v>
      </c>
      <c r="AI1065">
        <f t="shared" si="266"/>
        <v>17.700000000000276</v>
      </c>
      <c r="AJ1065">
        <f t="shared" si="260"/>
        <v>7.2599999999999989</v>
      </c>
      <c r="AK1065">
        <f t="shared" si="261"/>
        <v>1.65</v>
      </c>
      <c r="AL1065">
        <f t="shared" si="254"/>
        <v>0.50249999999999995</v>
      </c>
      <c r="AN1065" t="s">
        <v>2647</v>
      </c>
      <c r="AO1065">
        <v>0.9</v>
      </c>
      <c r="AP1065">
        <v>74.709999999999994</v>
      </c>
      <c r="AR1065" t="str" cm="1">
        <f t="array" ref="AR1065:AS1065">_xlfn.TEXTSPLIT(AN1065," ")</f>
        <v>26.10.2023</v>
      </c>
      <c r="AS1065" t="str">
        <v>17:44:58</v>
      </c>
      <c r="AT1065">
        <f t="shared" si="267"/>
        <v>17.700000000000276</v>
      </c>
      <c r="AU1065">
        <f t="shared" si="262"/>
        <v>13.399999999999991</v>
      </c>
      <c r="AV1065">
        <f t="shared" si="263"/>
        <v>0.9</v>
      </c>
      <c r="AW1065">
        <f t="shared" si="255"/>
        <v>0.65</v>
      </c>
    </row>
    <row r="1066" spans="1:49" x14ac:dyDescent="0.25">
      <c r="A1066" t="s">
        <v>2648</v>
      </c>
      <c r="B1066">
        <v>0.9</v>
      </c>
      <c r="C1066">
        <v>25.51</v>
      </c>
      <c r="E1066" t="s">
        <v>2648</v>
      </c>
      <c r="F1066">
        <v>1.65</v>
      </c>
      <c r="G1066">
        <v>97.21</v>
      </c>
      <c r="I1066" t="str" cm="1">
        <f t="array" ref="I1066:J1066">_xlfn.TEXTSPLIT(A1066," ")</f>
        <v>27.10.2023</v>
      </c>
      <c r="J1066" t="str">
        <v>17:45:45</v>
      </c>
      <c r="K1066">
        <f t="shared" si="264"/>
        <v>17.716666666666942</v>
      </c>
      <c r="L1066">
        <f t="shared" si="257"/>
        <v>11.190000000000001</v>
      </c>
      <c r="M1066">
        <f t="shared" si="258"/>
        <v>0.9</v>
      </c>
      <c r="N1066">
        <f t="shared" si="252"/>
        <v>0.75</v>
      </c>
      <c r="Q1066" t="str" cm="1">
        <f t="array" ref="Q1066:R1066">_xlfn.TEXTSPLIT(E1066," ")</f>
        <v>27.10.2023</v>
      </c>
      <c r="R1066" t="str">
        <v>17:45:45</v>
      </c>
      <c r="S1066">
        <f t="shared" si="265"/>
        <v>17.716666666666942</v>
      </c>
      <c r="T1066">
        <f t="shared" si="256"/>
        <v>18.61</v>
      </c>
      <c r="U1066">
        <f t="shared" si="259"/>
        <v>1.65</v>
      </c>
      <c r="V1066">
        <f t="shared" si="253"/>
        <v>1.2925</v>
      </c>
      <c r="AC1066" t="s">
        <v>2649</v>
      </c>
      <c r="AD1066">
        <v>0.9</v>
      </c>
      <c r="AE1066">
        <v>11.8</v>
      </c>
      <c r="AG1066" t="str" cm="1">
        <f t="array" ref="AG1066:AH1066">_xlfn.TEXTSPLIT(AC1067," ")</f>
        <v>26.10.2023</v>
      </c>
      <c r="AH1066" t="str">
        <v>17:46:58</v>
      </c>
      <c r="AI1066">
        <f t="shared" si="266"/>
        <v>17.716666666666942</v>
      </c>
      <c r="AJ1066">
        <f t="shared" si="260"/>
        <v>7.2700000000000005</v>
      </c>
      <c r="AK1066">
        <f t="shared" si="261"/>
        <v>0.9</v>
      </c>
      <c r="AL1066">
        <f t="shared" si="254"/>
        <v>0.50749999999999995</v>
      </c>
      <c r="AN1066" t="s">
        <v>2649</v>
      </c>
      <c r="AO1066">
        <v>1.2</v>
      </c>
      <c r="AP1066">
        <v>74.73</v>
      </c>
      <c r="AR1066" t="str" cm="1">
        <f t="array" ref="AR1066:AS1066">_xlfn.TEXTSPLIT(AN1066," ")</f>
        <v>26.10.2023</v>
      </c>
      <c r="AS1066" t="str">
        <v>17:45:58</v>
      </c>
      <c r="AT1066">
        <f t="shared" si="267"/>
        <v>17.716666666666942</v>
      </c>
      <c r="AU1066">
        <f t="shared" si="262"/>
        <v>13.420000000000002</v>
      </c>
      <c r="AV1066">
        <f t="shared" si="263"/>
        <v>1.2</v>
      </c>
      <c r="AW1066">
        <f t="shared" si="255"/>
        <v>0.66</v>
      </c>
    </row>
    <row r="1067" spans="1:49" x14ac:dyDescent="0.25">
      <c r="A1067" t="s">
        <v>2650</v>
      </c>
      <c r="B1067">
        <v>0.45</v>
      </c>
      <c r="C1067">
        <v>25.52</v>
      </c>
      <c r="E1067" t="s">
        <v>2650</v>
      </c>
      <c r="F1067">
        <v>1.5</v>
      </c>
      <c r="G1067">
        <v>97.23</v>
      </c>
      <c r="I1067" t="str" cm="1">
        <f t="array" ref="I1067:J1067">_xlfn.TEXTSPLIT(A1067," ")</f>
        <v>27.10.2023</v>
      </c>
      <c r="J1067" t="str">
        <v>17:46:45</v>
      </c>
      <c r="K1067">
        <f t="shared" si="264"/>
        <v>17.733333333333608</v>
      </c>
      <c r="L1067">
        <f t="shared" si="257"/>
        <v>11.2</v>
      </c>
      <c r="M1067">
        <f t="shared" si="258"/>
        <v>0.45</v>
      </c>
      <c r="N1067">
        <f t="shared" si="252"/>
        <v>0.745</v>
      </c>
      <c r="Q1067" t="str" cm="1">
        <f t="array" ref="Q1067:R1067">_xlfn.TEXTSPLIT(E1067," ")</f>
        <v>27.10.2023</v>
      </c>
      <c r="R1067" t="str">
        <v>17:46:45</v>
      </c>
      <c r="S1067">
        <f t="shared" si="265"/>
        <v>17.733333333333608</v>
      </c>
      <c r="T1067">
        <f t="shared" si="256"/>
        <v>18.63000000000001</v>
      </c>
      <c r="U1067">
        <f t="shared" si="259"/>
        <v>1.5</v>
      </c>
      <c r="V1067">
        <f t="shared" si="253"/>
        <v>1.2950000000000002</v>
      </c>
      <c r="AC1067" t="s">
        <v>2651</v>
      </c>
      <c r="AD1067">
        <v>0.75</v>
      </c>
      <c r="AE1067">
        <v>11.81</v>
      </c>
      <c r="AG1067" t="str" cm="1">
        <f t="array" ref="AG1067:AH1067">_xlfn.TEXTSPLIT(AC1068," ")</f>
        <v>26.10.2023</v>
      </c>
      <c r="AH1067" t="str">
        <v>17:47:58</v>
      </c>
      <c r="AI1067">
        <f t="shared" si="266"/>
        <v>17.733333333333608</v>
      </c>
      <c r="AJ1067">
        <f t="shared" si="260"/>
        <v>7.28</v>
      </c>
      <c r="AK1067">
        <f t="shared" si="261"/>
        <v>0.75</v>
      </c>
      <c r="AL1067">
        <f t="shared" si="254"/>
        <v>0.50749999999999995</v>
      </c>
      <c r="AN1067" t="s">
        <v>2651</v>
      </c>
      <c r="AO1067">
        <v>1.2</v>
      </c>
      <c r="AP1067">
        <v>74.75</v>
      </c>
      <c r="AR1067" t="str" cm="1">
        <f t="array" ref="AR1067:AS1067">_xlfn.TEXTSPLIT(AN1067," ")</f>
        <v>26.10.2023</v>
      </c>
      <c r="AS1067" t="str">
        <v>17:46:58</v>
      </c>
      <c r="AT1067">
        <f t="shared" si="267"/>
        <v>17.733333333333608</v>
      </c>
      <c r="AU1067">
        <f t="shared" si="262"/>
        <v>13.439999999999998</v>
      </c>
      <c r="AV1067">
        <f t="shared" si="263"/>
        <v>1.2</v>
      </c>
      <c r="AW1067">
        <f t="shared" si="255"/>
        <v>0.67</v>
      </c>
    </row>
    <row r="1068" spans="1:49" x14ac:dyDescent="0.25">
      <c r="A1068" t="s">
        <v>2652</v>
      </c>
      <c r="B1068">
        <v>0.75</v>
      </c>
      <c r="C1068">
        <v>25.53</v>
      </c>
      <c r="E1068" t="s">
        <v>2652</v>
      </c>
      <c r="F1068">
        <v>0.9</v>
      </c>
      <c r="G1068">
        <v>97.24</v>
      </c>
      <c r="I1068" t="str" cm="1">
        <f t="array" ref="I1068:J1068">_xlfn.TEXTSPLIT(A1068," ")</f>
        <v>27.10.2023</v>
      </c>
      <c r="J1068" t="str">
        <v>17:47:45</v>
      </c>
      <c r="K1068">
        <f t="shared" si="264"/>
        <v>17.750000000000274</v>
      </c>
      <c r="L1068">
        <f t="shared" si="257"/>
        <v>11.21</v>
      </c>
      <c r="M1068">
        <f t="shared" si="258"/>
        <v>0.75</v>
      </c>
      <c r="N1068">
        <f t="shared" si="252"/>
        <v>0.75000000000000011</v>
      </c>
      <c r="Q1068" t="str" cm="1">
        <f t="array" ref="Q1068:R1068">_xlfn.TEXTSPLIT(E1068," ")</f>
        <v>27.10.2023</v>
      </c>
      <c r="R1068" t="str">
        <v>17:47:45</v>
      </c>
      <c r="S1068">
        <f t="shared" si="265"/>
        <v>17.750000000000274</v>
      </c>
      <c r="T1068">
        <f t="shared" si="256"/>
        <v>18.64</v>
      </c>
      <c r="U1068">
        <f t="shared" si="259"/>
        <v>0.9</v>
      </c>
      <c r="V1068">
        <f t="shared" si="253"/>
        <v>1.2925000000000002</v>
      </c>
      <c r="AC1068" t="s">
        <v>2653</v>
      </c>
      <c r="AD1068">
        <v>1.05</v>
      </c>
      <c r="AE1068">
        <v>11.83</v>
      </c>
      <c r="AG1068" t="str" cm="1">
        <f t="array" ref="AG1068:AH1068">_xlfn.TEXTSPLIT(AC1069," ")</f>
        <v>26.10.2023</v>
      </c>
      <c r="AH1068" t="str">
        <v>17:48:58</v>
      </c>
      <c r="AI1068">
        <f t="shared" si="266"/>
        <v>17.750000000000274</v>
      </c>
      <c r="AJ1068">
        <f t="shared" si="260"/>
        <v>7.3</v>
      </c>
      <c r="AK1068">
        <f t="shared" si="261"/>
        <v>1.05</v>
      </c>
      <c r="AL1068">
        <f t="shared" si="254"/>
        <v>0.5149999999999999</v>
      </c>
      <c r="AN1068" t="s">
        <v>2653</v>
      </c>
      <c r="AO1068">
        <v>1.05</v>
      </c>
      <c r="AP1068">
        <v>74.760000000000005</v>
      </c>
      <c r="AR1068" t="str" cm="1">
        <f t="array" ref="AR1068:AS1068">_xlfn.TEXTSPLIT(AN1068," ")</f>
        <v>26.10.2023</v>
      </c>
      <c r="AS1068" t="str">
        <v>17:47:58</v>
      </c>
      <c r="AT1068">
        <f t="shared" si="267"/>
        <v>17.750000000000274</v>
      </c>
      <c r="AU1068">
        <f t="shared" si="262"/>
        <v>13.450000000000003</v>
      </c>
      <c r="AV1068">
        <f t="shared" si="263"/>
        <v>1.05</v>
      </c>
      <c r="AW1068">
        <f t="shared" si="255"/>
        <v>0.67749999999999999</v>
      </c>
    </row>
    <row r="1069" spans="1:49" x14ac:dyDescent="0.25">
      <c r="A1069" t="s">
        <v>2654</v>
      </c>
      <c r="B1069">
        <v>0.6</v>
      </c>
      <c r="C1069">
        <v>25.55</v>
      </c>
      <c r="E1069" t="s">
        <v>2654</v>
      </c>
      <c r="F1069">
        <v>0.9</v>
      </c>
      <c r="G1069">
        <v>97.26</v>
      </c>
      <c r="I1069" t="str" cm="1">
        <f t="array" ref="I1069:J1069">_xlfn.TEXTSPLIT(A1069," ")</f>
        <v>27.10.2023</v>
      </c>
      <c r="J1069" t="str">
        <v>17:48:45</v>
      </c>
      <c r="K1069">
        <f t="shared" si="264"/>
        <v>17.766666666666939</v>
      </c>
      <c r="L1069">
        <f t="shared" si="257"/>
        <v>11.23</v>
      </c>
      <c r="M1069">
        <f t="shared" si="258"/>
        <v>0.6</v>
      </c>
      <c r="N1069">
        <f t="shared" si="252"/>
        <v>0.74750000000000016</v>
      </c>
      <c r="Q1069" t="str" cm="1">
        <f t="array" ref="Q1069:R1069">_xlfn.TEXTSPLIT(E1069," ")</f>
        <v>27.10.2023</v>
      </c>
      <c r="R1069" t="str">
        <v>17:48:45</v>
      </c>
      <c r="S1069">
        <f t="shared" si="265"/>
        <v>17.766666666666939</v>
      </c>
      <c r="T1069">
        <f t="shared" si="256"/>
        <v>18.660000000000011</v>
      </c>
      <c r="U1069">
        <f t="shared" si="259"/>
        <v>0.9</v>
      </c>
      <c r="V1069">
        <f t="shared" si="253"/>
        <v>1.2775000000000003</v>
      </c>
      <c r="AC1069" t="s">
        <v>2655</v>
      </c>
      <c r="AD1069">
        <v>0.6</v>
      </c>
      <c r="AE1069">
        <v>11.84</v>
      </c>
      <c r="AG1069" t="str" cm="1">
        <f t="array" ref="AG1069:AH1069">_xlfn.TEXTSPLIT(AC1070," ")</f>
        <v>26.10.2023</v>
      </c>
      <c r="AH1069" t="str">
        <v>17:49:58</v>
      </c>
      <c r="AI1069">
        <f t="shared" si="266"/>
        <v>17.766666666666939</v>
      </c>
      <c r="AJ1069">
        <f t="shared" si="260"/>
        <v>7.31</v>
      </c>
      <c r="AK1069">
        <f t="shared" si="261"/>
        <v>0.6</v>
      </c>
      <c r="AL1069">
        <f t="shared" si="254"/>
        <v>0.51749999999999985</v>
      </c>
      <c r="AN1069" t="s">
        <v>2655</v>
      </c>
      <c r="AO1069">
        <v>0.6</v>
      </c>
      <c r="AP1069">
        <v>74.77</v>
      </c>
      <c r="AR1069" t="str" cm="1">
        <f t="array" ref="AR1069:AS1069">_xlfn.TEXTSPLIT(AN1069," ")</f>
        <v>26.10.2023</v>
      </c>
      <c r="AS1069" t="str">
        <v>17:48:58</v>
      </c>
      <c r="AT1069">
        <f t="shared" si="267"/>
        <v>17.766666666666939</v>
      </c>
      <c r="AU1069">
        <f t="shared" si="262"/>
        <v>13.459999999999994</v>
      </c>
      <c r="AV1069">
        <f t="shared" si="263"/>
        <v>0.6</v>
      </c>
      <c r="AW1069">
        <f t="shared" si="255"/>
        <v>0.68</v>
      </c>
    </row>
    <row r="1070" spans="1:49" x14ac:dyDescent="0.25">
      <c r="A1070" t="s">
        <v>2656</v>
      </c>
      <c r="B1070">
        <v>0.75</v>
      </c>
      <c r="C1070">
        <v>25.56</v>
      </c>
      <c r="E1070" t="s">
        <v>2656</v>
      </c>
      <c r="F1070">
        <v>1.2</v>
      </c>
      <c r="G1070">
        <v>97.28</v>
      </c>
      <c r="I1070" t="str" cm="1">
        <f t="array" ref="I1070:J1070">_xlfn.TEXTSPLIT(A1070," ")</f>
        <v>27.10.2023</v>
      </c>
      <c r="J1070" t="str">
        <v>17:49:46</v>
      </c>
      <c r="K1070">
        <f t="shared" si="264"/>
        <v>17.783333333333605</v>
      </c>
      <c r="L1070">
        <f t="shared" si="257"/>
        <v>11.239999999999998</v>
      </c>
      <c r="M1070">
        <f t="shared" si="258"/>
        <v>0.75</v>
      </c>
      <c r="N1070">
        <f t="shared" si="252"/>
        <v>0.74500000000000022</v>
      </c>
      <c r="Q1070" t="str" cm="1">
        <f t="array" ref="Q1070:R1070">_xlfn.TEXTSPLIT(E1070," ")</f>
        <v>27.10.2023</v>
      </c>
      <c r="R1070" t="str">
        <v>17:49:46</v>
      </c>
      <c r="S1070">
        <f t="shared" si="265"/>
        <v>17.783333333333605</v>
      </c>
      <c r="T1070">
        <f t="shared" si="256"/>
        <v>18.680000000000007</v>
      </c>
      <c r="U1070">
        <f t="shared" si="259"/>
        <v>1.2</v>
      </c>
      <c r="V1070">
        <f t="shared" si="253"/>
        <v>1.2675000000000003</v>
      </c>
      <c r="AC1070" t="s">
        <v>2657</v>
      </c>
      <c r="AD1070">
        <v>0.45</v>
      </c>
      <c r="AE1070">
        <v>11.85</v>
      </c>
      <c r="AG1070" t="str" cm="1">
        <f t="array" ref="AG1070:AH1070">_xlfn.TEXTSPLIT(AC1071," ")</f>
        <v>26.10.2023</v>
      </c>
      <c r="AH1070" t="str">
        <v>17:50:58</v>
      </c>
      <c r="AI1070">
        <f t="shared" si="266"/>
        <v>17.783333333333605</v>
      </c>
      <c r="AJ1070">
        <f t="shared" si="260"/>
        <v>7.3199999999999994</v>
      </c>
      <c r="AK1070">
        <f t="shared" si="261"/>
        <v>0.45</v>
      </c>
      <c r="AL1070">
        <f t="shared" si="254"/>
        <v>0.5149999999999999</v>
      </c>
      <c r="AN1070" t="s">
        <v>2657</v>
      </c>
      <c r="AO1070">
        <v>0.6</v>
      </c>
      <c r="AP1070">
        <v>74.78</v>
      </c>
      <c r="AR1070" t="str" cm="1">
        <f t="array" ref="AR1070:AS1070">_xlfn.TEXTSPLIT(AN1070," ")</f>
        <v>26.10.2023</v>
      </c>
      <c r="AS1070" t="str">
        <v>17:49:58</v>
      </c>
      <c r="AT1070">
        <f t="shared" si="267"/>
        <v>17.783333333333605</v>
      </c>
      <c r="AU1070">
        <f t="shared" si="262"/>
        <v>13.469999999999999</v>
      </c>
      <c r="AV1070">
        <f t="shared" si="263"/>
        <v>0.6</v>
      </c>
      <c r="AW1070">
        <f t="shared" si="255"/>
        <v>0.68</v>
      </c>
    </row>
    <row r="1071" spans="1:49" x14ac:dyDescent="0.25">
      <c r="A1071" t="s">
        <v>2658</v>
      </c>
      <c r="B1071">
        <v>0.6</v>
      </c>
      <c r="C1071">
        <v>25.57</v>
      </c>
      <c r="E1071" t="s">
        <v>2658</v>
      </c>
      <c r="F1071">
        <v>1.35</v>
      </c>
      <c r="G1071">
        <v>97.31</v>
      </c>
      <c r="I1071" t="str" cm="1">
        <f t="array" ref="I1071:J1071">_xlfn.TEXTSPLIT(A1071," ")</f>
        <v>27.10.2023</v>
      </c>
      <c r="J1071" t="str">
        <v>17:50:46</v>
      </c>
      <c r="K1071">
        <f t="shared" si="264"/>
        <v>17.800000000000271</v>
      </c>
      <c r="L1071">
        <f t="shared" si="257"/>
        <v>11.25</v>
      </c>
      <c r="M1071">
        <f t="shared" si="258"/>
        <v>0.6</v>
      </c>
      <c r="N1071">
        <f t="shared" si="252"/>
        <v>0.74250000000000016</v>
      </c>
      <c r="Q1071" t="str" cm="1">
        <f t="array" ref="Q1071:R1071">_xlfn.TEXTSPLIT(E1071," ")</f>
        <v>27.10.2023</v>
      </c>
      <c r="R1071" t="str">
        <v>17:50:46</v>
      </c>
      <c r="S1071">
        <f t="shared" si="265"/>
        <v>17.800000000000271</v>
      </c>
      <c r="T1071">
        <f t="shared" si="256"/>
        <v>18.710000000000008</v>
      </c>
      <c r="U1071">
        <f t="shared" si="259"/>
        <v>1.35</v>
      </c>
      <c r="V1071">
        <f t="shared" si="253"/>
        <v>1.2725000000000002</v>
      </c>
      <c r="AC1071" t="s">
        <v>2659</v>
      </c>
      <c r="AD1071">
        <v>0.75</v>
      </c>
      <c r="AE1071">
        <v>11.85</v>
      </c>
      <c r="AG1071" t="str" cm="1">
        <f t="array" ref="AG1071:AH1071">_xlfn.TEXTSPLIT(AC1072," ")</f>
        <v>26.10.2023</v>
      </c>
      <c r="AH1071" t="str">
        <v>17:51:59</v>
      </c>
      <c r="AI1071">
        <f t="shared" si="266"/>
        <v>17.800000000000271</v>
      </c>
      <c r="AJ1071">
        <f t="shared" si="260"/>
        <v>7.3199999999999994</v>
      </c>
      <c r="AK1071">
        <f t="shared" si="261"/>
        <v>0.75</v>
      </c>
      <c r="AL1071">
        <f t="shared" si="254"/>
        <v>0.51749999999999996</v>
      </c>
      <c r="AN1071" t="s">
        <v>2659</v>
      </c>
      <c r="AO1071">
        <v>0.6</v>
      </c>
      <c r="AP1071">
        <v>74.790000000000006</v>
      </c>
      <c r="AR1071" t="str" cm="1">
        <f t="array" ref="AR1071:AS1071">_xlfn.TEXTSPLIT(AN1071," ")</f>
        <v>26.10.2023</v>
      </c>
      <c r="AS1071" t="str">
        <v>17:50:58</v>
      </c>
      <c r="AT1071">
        <f t="shared" si="267"/>
        <v>17.800000000000271</v>
      </c>
      <c r="AU1071">
        <f t="shared" si="262"/>
        <v>13.480000000000004</v>
      </c>
      <c r="AV1071">
        <f t="shared" si="263"/>
        <v>0.6</v>
      </c>
      <c r="AW1071">
        <f t="shared" si="255"/>
        <v>0.6775000000000001</v>
      </c>
    </row>
    <row r="1072" spans="1:49" x14ac:dyDescent="0.25">
      <c r="A1072" t="s">
        <v>2660</v>
      </c>
      <c r="B1072">
        <v>0.75</v>
      </c>
      <c r="C1072">
        <v>25.58</v>
      </c>
      <c r="E1072" t="s">
        <v>2660</v>
      </c>
      <c r="F1072">
        <v>0.9</v>
      </c>
      <c r="G1072">
        <v>97.31</v>
      </c>
      <c r="I1072" t="str" cm="1">
        <f t="array" ref="I1072:J1072">_xlfn.TEXTSPLIT(A1072," ")</f>
        <v>27.10.2023</v>
      </c>
      <c r="J1072" t="str">
        <v>17:51:46</v>
      </c>
      <c r="K1072">
        <f t="shared" si="264"/>
        <v>17.816666666666936</v>
      </c>
      <c r="L1072">
        <f t="shared" si="257"/>
        <v>11.259999999999998</v>
      </c>
      <c r="M1072">
        <f t="shared" si="258"/>
        <v>0.75</v>
      </c>
      <c r="N1072">
        <f t="shared" si="252"/>
        <v>0.74000000000000021</v>
      </c>
      <c r="Q1072" t="str" cm="1">
        <f t="array" ref="Q1072:R1072">_xlfn.TEXTSPLIT(E1072," ")</f>
        <v>27.10.2023</v>
      </c>
      <c r="R1072" t="str">
        <v>17:51:46</v>
      </c>
      <c r="S1072">
        <f t="shared" si="265"/>
        <v>17.816666666666936</v>
      </c>
      <c r="T1072">
        <f t="shared" si="256"/>
        <v>18.710000000000008</v>
      </c>
      <c r="U1072">
        <f t="shared" si="259"/>
        <v>0.9</v>
      </c>
      <c r="V1072">
        <f t="shared" si="253"/>
        <v>1.2725000000000004</v>
      </c>
      <c r="AC1072" t="s">
        <v>2661</v>
      </c>
      <c r="AD1072">
        <v>0.45</v>
      </c>
      <c r="AE1072">
        <v>11.86</v>
      </c>
      <c r="AG1072" t="str" cm="1">
        <f t="array" ref="AG1072:AH1072">_xlfn.TEXTSPLIT(AC1073," ")</f>
        <v>26.10.2023</v>
      </c>
      <c r="AH1072" t="str">
        <v>17:52:59</v>
      </c>
      <c r="AI1072">
        <f t="shared" si="266"/>
        <v>17.816666666666936</v>
      </c>
      <c r="AJ1072">
        <f t="shared" si="260"/>
        <v>7.3299999999999992</v>
      </c>
      <c r="AK1072">
        <f t="shared" si="261"/>
        <v>0.45</v>
      </c>
      <c r="AL1072">
        <f t="shared" si="254"/>
        <v>0.51749999999999985</v>
      </c>
      <c r="AN1072" t="s">
        <v>2661</v>
      </c>
      <c r="AO1072">
        <v>0.45</v>
      </c>
      <c r="AP1072">
        <v>74.790000000000006</v>
      </c>
      <c r="AR1072" t="str" cm="1">
        <f t="array" ref="AR1072:AS1072">_xlfn.TEXTSPLIT(AN1072," ")</f>
        <v>26.10.2023</v>
      </c>
      <c r="AS1072" t="str">
        <v>17:51:59</v>
      </c>
      <c r="AT1072">
        <f t="shared" si="267"/>
        <v>17.816666666666936</v>
      </c>
      <c r="AU1072">
        <f t="shared" si="262"/>
        <v>13.480000000000004</v>
      </c>
      <c r="AV1072">
        <f t="shared" si="263"/>
        <v>0.45</v>
      </c>
      <c r="AW1072">
        <f t="shared" si="255"/>
        <v>0.6725000000000001</v>
      </c>
    </row>
    <row r="1073" spans="1:49" x14ac:dyDescent="0.25">
      <c r="A1073" t="s">
        <v>2662</v>
      </c>
      <c r="B1073">
        <v>0.6</v>
      </c>
      <c r="C1073">
        <v>25.58</v>
      </c>
      <c r="E1073" t="s">
        <v>2662</v>
      </c>
      <c r="F1073">
        <v>0.75</v>
      </c>
      <c r="G1073">
        <v>97.32</v>
      </c>
      <c r="I1073" t="str" cm="1">
        <f t="array" ref="I1073:J1073">_xlfn.TEXTSPLIT(A1073," ")</f>
        <v>27.10.2023</v>
      </c>
      <c r="J1073" t="str">
        <v>17:52:46</v>
      </c>
      <c r="K1073">
        <f t="shared" si="264"/>
        <v>17.833333333333602</v>
      </c>
      <c r="L1073">
        <f t="shared" si="257"/>
        <v>11.259999999999998</v>
      </c>
      <c r="M1073">
        <f t="shared" si="258"/>
        <v>0.6</v>
      </c>
      <c r="N1073">
        <f t="shared" si="252"/>
        <v>0.74000000000000021</v>
      </c>
      <c r="Q1073" t="str" cm="1">
        <f t="array" ref="Q1073:R1073">_xlfn.TEXTSPLIT(E1073," ")</f>
        <v>27.10.2023</v>
      </c>
      <c r="R1073" t="str">
        <v>17:52:46</v>
      </c>
      <c r="S1073">
        <f t="shared" si="265"/>
        <v>17.833333333333602</v>
      </c>
      <c r="T1073">
        <f t="shared" si="256"/>
        <v>18.72</v>
      </c>
      <c r="U1073">
        <f t="shared" si="259"/>
        <v>0.75</v>
      </c>
      <c r="V1073">
        <f t="shared" si="253"/>
        <v>1.2750000000000006</v>
      </c>
      <c r="AC1073" t="s">
        <v>2663</v>
      </c>
      <c r="AD1073">
        <v>0.6</v>
      </c>
      <c r="AE1073">
        <v>11.87</v>
      </c>
      <c r="AG1073" t="str" cm="1">
        <f t="array" ref="AG1073:AH1073">_xlfn.TEXTSPLIT(AC1074," ")</f>
        <v>26.10.2023</v>
      </c>
      <c r="AH1073" t="str">
        <v>17:53:59</v>
      </c>
      <c r="AI1073">
        <f t="shared" si="266"/>
        <v>17.833333333333602</v>
      </c>
      <c r="AJ1073">
        <f t="shared" si="260"/>
        <v>7.339999999999999</v>
      </c>
      <c r="AK1073">
        <f t="shared" si="261"/>
        <v>0.6</v>
      </c>
      <c r="AL1073">
        <f t="shared" si="254"/>
        <v>0.5149999999999999</v>
      </c>
      <c r="AN1073" t="s">
        <v>2663</v>
      </c>
      <c r="AO1073">
        <v>0.15</v>
      </c>
      <c r="AP1073">
        <v>74.790000000000006</v>
      </c>
      <c r="AR1073" t="str" cm="1">
        <f t="array" ref="AR1073:AS1073">_xlfn.TEXTSPLIT(AN1073," ")</f>
        <v>26.10.2023</v>
      </c>
      <c r="AS1073" t="str">
        <v>17:52:59</v>
      </c>
      <c r="AT1073">
        <f t="shared" si="267"/>
        <v>17.833333333333602</v>
      </c>
      <c r="AU1073">
        <f t="shared" si="262"/>
        <v>13.480000000000004</v>
      </c>
      <c r="AV1073">
        <f t="shared" si="263"/>
        <v>0.15</v>
      </c>
      <c r="AW1073">
        <f t="shared" si="255"/>
        <v>0.67</v>
      </c>
    </row>
    <row r="1074" spans="1:49" x14ac:dyDescent="0.25">
      <c r="A1074" t="s">
        <v>2664</v>
      </c>
      <c r="B1074">
        <v>0</v>
      </c>
      <c r="C1074">
        <v>25.58</v>
      </c>
      <c r="E1074" t="s">
        <v>2664</v>
      </c>
      <c r="F1074">
        <v>0.6</v>
      </c>
      <c r="G1074">
        <v>97.33</v>
      </c>
      <c r="I1074" t="str" cm="1">
        <f t="array" ref="I1074:J1074">_xlfn.TEXTSPLIT(A1074," ")</f>
        <v>27.10.2023</v>
      </c>
      <c r="J1074" t="str">
        <v>17:53:46</v>
      </c>
      <c r="K1074">
        <f t="shared" si="264"/>
        <v>17.850000000000268</v>
      </c>
      <c r="L1074">
        <f t="shared" si="257"/>
        <v>11.259999999999998</v>
      </c>
      <c r="M1074">
        <f t="shared" si="258"/>
        <v>0</v>
      </c>
      <c r="N1074">
        <f t="shared" si="252"/>
        <v>0.74000000000000021</v>
      </c>
      <c r="Q1074" t="str" cm="1">
        <f t="array" ref="Q1074:R1074">_xlfn.TEXTSPLIT(E1074," ")</f>
        <v>27.10.2023</v>
      </c>
      <c r="R1074" t="str">
        <v>17:53:46</v>
      </c>
      <c r="S1074">
        <f t="shared" si="265"/>
        <v>17.850000000000268</v>
      </c>
      <c r="T1074">
        <f t="shared" si="256"/>
        <v>18.730000000000004</v>
      </c>
      <c r="U1074">
        <f t="shared" si="259"/>
        <v>0.6</v>
      </c>
      <c r="V1074">
        <f t="shared" si="253"/>
        <v>1.2750000000000001</v>
      </c>
      <c r="AC1074" t="s">
        <v>2665</v>
      </c>
      <c r="AD1074">
        <v>0.6</v>
      </c>
      <c r="AE1074">
        <v>11.87</v>
      </c>
      <c r="AG1074" t="str" cm="1">
        <f t="array" ref="AG1074:AH1074">_xlfn.TEXTSPLIT(AC1075," ")</f>
        <v>26.10.2023</v>
      </c>
      <c r="AH1074" t="str">
        <v>17:54:59</v>
      </c>
      <c r="AI1074">
        <f t="shared" si="266"/>
        <v>17.850000000000268</v>
      </c>
      <c r="AJ1074">
        <f t="shared" si="260"/>
        <v>7.339999999999999</v>
      </c>
      <c r="AK1074">
        <f t="shared" si="261"/>
        <v>0.6</v>
      </c>
      <c r="AL1074">
        <f t="shared" si="254"/>
        <v>0.51</v>
      </c>
      <c r="AN1074" t="s">
        <v>2665</v>
      </c>
      <c r="AO1074">
        <v>0</v>
      </c>
      <c r="AP1074">
        <v>74.790000000000006</v>
      </c>
      <c r="AR1074" t="str" cm="1">
        <f t="array" ref="AR1074:AS1074">_xlfn.TEXTSPLIT(AN1074," ")</f>
        <v>26.10.2023</v>
      </c>
      <c r="AS1074" t="str">
        <v>17:53:59</v>
      </c>
      <c r="AT1074">
        <f t="shared" si="267"/>
        <v>17.850000000000268</v>
      </c>
      <c r="AU1074">
        <f t="shared" si="262"/>
        <v>13.480000000000004</v>
      </c>
      <c r="AV1074">
        <f t="shared" si="263"/>
        <v>0</v>
      </c>
      <c r="AW1074">
        <f t="shared" si="255"/>
        <v>0.66750000000000009</v>
      </c>
    </row>
    <row r="1075" spans="1:49" x14ac:dyDescent="0.25">
      <c r="A1075" t="s">
        <v>2666</v>
      </c>
      <c r="B1075">
        <v>0</v>
      </c>
      <c r="C1075">
        <v>25.58</v>
      </c>
      <c r="E1075" t="s">
        <v>2666</v>
      </c>
      <c r="F1075">
        <v>0.6</v>
      </c>
      <c r="G1075">
        <v>97.35</v>
      </c>
      <c r="I1075" t="str" cm="1">
        <f t="array" ref="I1075:J1075">_xlfn.TEXTSPLIT(A1075," ")</f>
        <v>27.10.2023</v>
      </c>
      <c r="J1075" t="str">
        <v>17:54:46</v>
      </c>
      <c r="K1075">
        <f t="shared" si="264"/>
        <v>17.866666666666934</v>
      </c>
      <c r="L1075">
        <f t="shared" si="257"/>
        <v>11.259999999999998</v>
      </c>
      <c r="M1075">
        <f t="shared" si="258"/>
        <v>0</v>
      </c>
      <c r="N1075">
        <f t="shared" si="252"/>
        <v>0.74000000000000021</v>
      </c>
      <c r="Q1075" t="str" cm="1">
        <f t="array" ref="Q1075:R1075">_xlfn.TEXTSPLIT(E1075," ")</f>
        <v>27.10.2023</v>
      </c>
      <c r="R1075" t="str">
        <v>17:54:46</v>
      </c>
      <c r="S1075">
        <f t="shared" si="265"/>
        <v>17.866666666666934</v>
      </c>
      <c r="T1075">
        <f t="shared" si="256"/>
        <v>18.75</v>
      </c>
      <c r="U1075">
        <f t="shared" si="259"/>
        <v>0.6</v>
      </c>
      <c r="V1075">
        <f t="shared" si="253"/>
        <v>1.2725000000000002</v>
      </c>
      <c r="AC1075" t="s">
        <v>2667</v>
      </c>
      <c r="AD1075">
        <v>0</v>
      </c>
      <c r="AE1075">
        <v>11.87</v>
      </c>
      <c r="AG1075" t="str" cm="1">
        <f t="array" ref="AG1075:AH1075">_xlfn.TEXTSPLIT(AC1076," ")</f>
        <v>26.10.2023</v>
      </c>
      <c r="AH1075" t="str">
        <v>17:55:59</v>
      </c>
      <c r="AI1075">
        <f t="shared" si="266"/>
        <v>17.866666666666934</v>
      </c>
      <c r="AJ1075">
        <f t="shared" si="260"/>
        <v>7.339999999999999</v>
      </c>
      <c r="AK1075">
        <f t="shared" si="261"/>
        <v>0</v>
      </c>
      <c r="AL1075">
        <f t="shared" si="254"/>
        <v>0.51</v>
      </c>
      <c r="AN1075" t="s">
        <v>2667</v>
      </c>
      <c r="AO1075">
        <v>0.15</v>
      </c>
      <c r="AP1075">
        <v>74.790000000000006</v>
      </c>
      <c r="AR1075" t="str" cm="1">
        <f t="array" ref="AR1075:AS1075">_xlfn.TEXTSPLIT(AN1075," ")</f>
        <v>26.10.2023</v>
      </c>
      <c r="AS1075" t="str">
        <v>17:54:59</v>
      </c>
      <c r="AT1075">
        <f t="shared" si="267"/>
        <v>17.866666666666934</v>
      </c>
      <c r="AU1075">
        <f t="shared" si="262"/>
        <v>13.480000000000004</v>
      </c>
      <c r="AV1075">
        <f t="shared" si="263"/>
        <v>0.15</v>
      </c>
      <c r="AW1075">
        <f t="shared" si="255"/>
        <v>0.67</v>
      </c>
    </row>
    <row r="1076" spans="1:49" x14ac:dyDescent="0.25">
      <c r="A1076" t="s">
        <v>2668</v>
      </c>
      <c r="B1076">
        <v>0</v>
      </c>
      <c r="C1076">
        <v>25.58</v>
      </c>
      <c r="E1076" t="s">
        <v>2668</v>
      </c>
      <c r="F1076">
        <v>0.6</v>
      </c>
      <c r="G1076">
        <v>97.35</v>
      </c>
      <c r="I1076" t="str" cm="1">
        <f t="array" ref="I1076:J1076">_xlfn.TEXTSPLIT(A1076," ")</f>
        <v>27.10.2023</v>
      </c>
      <c r="J1076" t="str">
        <v>17:55:46</v>
      </c>
      <c r="K1076">
        <f t="shared" si="264"/>
        <v>17.883333333333599</v>
      </c>
      <c r="L1076">
        <f t="shared" si="257"/>
        <v>11.259999999999998</v>
      </c>
      <c r="M1076">
        <f t="shared" si="258"/>
        <v>0</v>
      </c>
      <c r="N1076">
        <f t="shared" si="252"/>
        <v>0.74000000000000021</v>
      </c>
      <c r="Q1076" t="str" cm="1">
        <f t="array" ref="Q1076:R1076">_xlfn.TEXTSPLIT(E1076," ")</f>
        <v>27.10.2023</v>
      </c>
      <c r="R1076" t="str">
        <v>17:55:46</v>
      </c>
      <c r="S1076">
        <f t="shared" si="265"/>
        <v>17.883333333333599</v>
      </c>
      <c r="T1076">
        <f t="shared" si="256"/>
        <v>18.75</v>
      </c>
      <c r="U1076">
        <f t="shared" si="259"/>
        <v>0.6</v>
      </c>
      <c r="V1076">
        <f t="shared" si="253"/>
        <v>1.2674999999999998</v>
      </c>
      <c r="AC1076" t="s">
        <v>2669</v>
      </c>
      <c r="AD1076">
        <v>0</v>
      </c>
      <c r="AE1076">
        <v>11.87</v>
      </c>
      <c r="AG1076" t="str" cm="1">
        <f t="array" ref="AG1076:AH1076">_xlfn.TEXTSPLIT(AC1077," ")</f>
        <v>26.10.2023</v>
      </c>
      <c r="AH1076" t="str">
        <v>17:56:59</v>
      </c>
      <c r="AI1076">
        <f t="shared" si="266"/>
        <v>17.883333333333599</v>
      </c>
      <c r="AJ1076">
        <f t="shared" si="260"/>
        <v>7.339999999999999</v>
      </c>
      <c r="AK1076">
        <f t="shared" si="261"/>
        <v>0</v>
      </c>
      <c r="AL1076">
        <f t="shared" si="254"/>
        <v>0.51</v>
      </c>
      <c r="AN1076" t="s">
        <v>2669</v>
      </c>
      <c r="AO1076">
        <v>0.15</v>
      </c>
      <c r="AP1076">
        <v>74.790000000000006</v>
      </c>
      <c r="AR1076" t="str" cm="1">
        <f t="array" ref="AR1076:AS1076">_xlfn.TEXTSPLIT(AN1076," ")</f>
        <v>26.10.2023</v>
      </c>
      <c r="AS1076" t="str">
        <v>17:55:59</v>
      </c>
      <c r="AT1076">
        <f t="shared" si="267"/>
        <v>17.883333333333599</v>
      </c>
      <c r="AU1076">
        <f t="shared" si="262"/>
        <v>13.480000000000004</v>
      </c>
      <c r="AV1076">
        <f t="shared" si="263"/>
        <v>0.15</v>
      </c>
      <c r="AW1076">
        <f t="shared" si="255"/>
        <v>0.67</v>
      </c>
    </row>
    <row r="1077" spans="1:49" x14ac:dyDescent="0.25">
      <c r="A1077" t="s">
        <v>2670</v>
      </c>
      <c r="B1077">
        <v>0</v>
      </c>
      <c r="C1077">
        <v>25.58</v>
      </c>
      <c r="E1077" t="s">
        <v>2670</v>
      </c>
      <c r="F1077">
        <v>0.3</v>
      </c>
      <c r="G1077">
        <v>97.36</v>
      </c>
      <c r="I1077" t="str" cm="1">
        <f t="array" ref="I1077:J1077">_xlfn.TEXTSPLIT(A1077," ")</f>
        <v>27.10.2023</v>
      </c>
      <c r="J1077" t="str">
        <v>17:56:46</v>
      </c>
      <c r="K1077">
        <f t="shared" si="264"/>
        <v>17.900000000000265</v>
      </c>
      <c r="L1077">
        <f t="shared" si="257"/>
        <v>11.259999999999998</v>
      </c>
      <c r="M1077">
        <f t="shared" si="258"/>
        <v>0</v>
      </c>
      <c r="N1077">
        <f t="shared" si="252"/>
        <v>0.74000000000000021</v>
      </c>
      <c r="Q1077" t="str" cm="1">
        <f t="array" ref="Q1077:R1077">_xlfn.TEXTSPLIT(E1077," ")</f>
        <v>27.10.2023</v>
      </c>
      <c r="R1077" t="str">
        <v>17:56:46</v>
      </c>
      <c r="S1077">
        <f t="shared" si="265"/>
        <v>17.900000000000265</v>
      </c>
      <c r="T1077">
        <f t="shared" si="256"/>
        <v>18.760000000000005</v>
      </c>
      <c r="U1077">
        <f t="shared" si="259"/>
        <v>0.3</v>
      </c>
      <c r="V1077">
        <f t="shared" si="253"/>
        <v>1.2525000000000002</v>
      </c>
      <c r="AC1077" t="s">
        <v>2671</v>
      </c>
      <c r="AD1077">
        <v>0</v>
      </c>
      <c r="AE1077">
        <v>11.87</v>
      </c>
      <c r="AG1077" t="str" cm="1">
        <f t="array" ref="AG1077:AH1077">_xlfn.TEXTSPLIT(AC1078," ")</f>
        <v>26.10.2023</v>
      </c>
      <c r="AH1077" t="str">
        <v>17:57:59</v>
      </c>
      <c r="AI1077">
        <f t="shared" si="266"/>
        <v>17.900000000000265</v>
      </c>
      <c r="AJ1077">
        <f t="shared" si="260"/>
        <v>7.339999999999999</v>
      </c>
      <c r="AK1077">
        <f t="shared" si="261"/>
        <v>0</v>
      </c>
      <c r="AL1077">
        <f t="shared" si="254"/>
        <v>0.51</v>
      </c>
      <c r="AN1077" t="s">
        <v>2671</v>
      </c>
      <c r="AO1077">
        <v>0</v>
      </c>
      <c r="AP1077">
        <v>74.8</v>
      </c>
      <c r="AR1077" t="str" cm="1">
        <f t="array" ref="AR1077:AS1077">_xlfn.TEXTSPLIT(AN1077," ")</f>
        <v>26.10.2023</v>
      </c>
      <c r="AS1077" t="str">
        <v>17:56:59</v>
      </c>
      <c r="AT1077">
        <f t="shared" si="267"/>
        <v>17.900000000000265</v>
      </c>
      <c r="AU1077">
        <f t="shared" si="262"/>
        <v>13.489999999999995</v>
      </c>
      <c r="AV1077">
        <f t="shared" si="263"/>
        <v>0</v>
      </c>
      <c r="AW1077">
        <f t="shared" si="255"/>
        <v>0.67</v>
      </c>
    </row>
    <row r="1078" spans="1:49" x14ac:dyDescent="0.25">
      <c r="A1078" t="s">
        <v>2672</v>
      </c>
      <c r="B1078">
        <v>0</v>
      </c>
      <c r="C1078">
        <v>25.58</v>
      </c>
      <c r="E1078" t="s">
        <v>2672</v>
      </c>
      <c r="F1078">
        <v>0.6</v>
      </c>
      <c r="G1078">
        <v>97.38</v>
      </c>
      <c r="I1078" t="str" cm="1">
        <f t="array" ref="I1078:J1078">_xlfn.TEXTSPLIT(A1078," ")</f>
        <v>27.10.2023</v>
      </c>
      <c r="J1078" t="str">
        <v>17:57:46</v>
      </c>
      <c r="K1078">
        <f t="shared" si="264"/>
        <v>17.916666666666931</v>
      </c>
      <c r="L1078">
        <f t="shared" si="257"/>
        <v>11.259999999999998</v>
      </c>
      <c r="M1078">
        <f t="shared" si="258"/>
        <v>0</v>
      </c>
      <c r="N1078">
        <f t="shared" si="252"/>
        <v>0.7300000000000002</v>
      </c>
      <c r="Q1078" t="str" cm="1">
        <f t="array" ref="Q1078:R1078">_xlfn.TEXTSPLIT(E1078," ")</f>
        <v>27.10.2023</v>
      </c>
      <c r="R1078" t="str">
        <v>17:57:46</v>
      </c>
      <c r="S1078">
        <f t="shared" si="265"/>
        <v>17.916666666666931</v>
      </c>
      <c r="T1078">
        <f t="shared" si="256"/>
        <v>18.78</v>
      </c>
      <c r="U1078">
        <f t="shared" si="259"/>
        <v>0.6</v>
      </c>
      <c r="V1078">
        <f t="shared" si="253"/>
        <v>1.2450000000000001</v>
      </c>
      <c r="AC1078" t="s">
        <v>2673</v>
      </c>
      <c r="AD1078">
        <v>0</v>
      </c>
      <c r="AE1078">
        <v>11.87</v>
      </c>
      <c r="AG1078" t="str" cm="1">
        <f t="array" ref="AG1078:AH1078">_xlfn.TEXTSPLIT(AC1079," ")</f>
        <v>26.10.2023</v>
      </c>
      <c r="AH1078" t="str">
        <v>17:58:59</v>
      </c>
      <c r="AI1078">
        <f t="shared" si="266"/>
        <v>17.916666666666931</v>
      </c>
      <c r="AJ1078">
        <f t="shared" si="260"/>
        <v>7.339999999999999</v>
      </c>
      <c r="AK1078">
        <f t="shared" si="261"/>
        <v>0</v>
      </c>
      <c r="AL1078">
        <f t="shared" si="254"/>
        <v>0.51</v>
      </c>
      <c r="AN1078" t="s">
        <v>2673</v>
      </c>
      <c r="AO1078">
        <v>0.15</v>
      </c>
      <c r="AP1078">
        <v>74.8</v>
      </c>
      <c r="AR1078" t="str" cm="1">
        <f t="array" ref="AR1078:AS1078">_xlfn.TEXTSPLIT(AN1078," ")</f>
        <v>26.10.2023</v>
      </c>
      <c r="AS1078" t="str">
        <v>17:57:59</v>
      </c>
      <c r="AT1078">
        <f t="shared" si="267"/>
        <v>17.916666666666931</v>
      </c>
      <c r="AU1078">
        <f t="shared" si="262"/>
        <v>13.489999999999995</v>
      </c>
      <c r="AV1078">
        <f t="shared" si="263"/>
        <v>0.15</v>
      </c>
      <c r="AW1078">
        <f t="shared" si="255"/>
        <v>0.66499999999999992</v>
      </c>
    </row>
    <row r="1079" spans="1:49" x14ac:dyDescent="0.25">
      <c r="A1079" t="s">
        <v>2674</v>
      </c>
      <c r="B1079">
        <v>0.15</v>
      </c>
      <c r="C1079">
        <v>25.59</v>
      </c>
      <c r="E1079" t="s">
        <v>2674</v>
      </c>
      <c r="F1079">
        <v>0.75</v>
      </c>
      <c r="G1079">
        <v>97.39</v>
      </c>
      <c r="I1079" t="str" cm="1">
        <f t="array" ref="I1079:J1079">_xlfn.TEXTSPLIT(A1079," ")</f>
        <v>27.10.2023</v>
      </c>
      <c r="J1079" t="str">
        <v>17:58:46</v>
      </c>
      <c r="K1079">
        <f t="shared" si="264"/>
        <v>17.933333333333596</v>
      </c>
      <c r="L1079">
        <f t="shared" si="257"/>
        <v>11.27</v>
      </c>
      <c r="M1079">
        <f t="shared" si="258"/>
        <v>0.15</v>
      </c>
      <c r="N1079">
        <f t="shared" si="252"/>
        <v>0.72250000000000014</v>
      </c>
      <c r="Q1079" t="str" cm="1">
        <f t="array" ref="Q1079:R1079">_xlfn.TEXTSPLIT(E1079," ")</f>
        <v>27.10.2023</v>
      </c>
      <c r="R1079" t="str">
        <v>17:58:46</v>
      </c>
      <c r="S1079">
        <f t="shared" si="265"/>
        <v>17.933333333333596</v>
      </c>
      <c r="T1079">
        <f t="shared" si="256"/>
        <v>18.790000000000006</v>
      </c>
      <c r="U1079">
        <f t="shared" si="259"/>
        <v>0.75</v>
      </c>
      <c r="V1079">
        <f t="shared" si="253"/>
        <v>1.2425000000000002</v>
      </c>
      <c r="AC1079" t="s">
        <v>2675</v>
      </c>
      <c r="AD1079">
        <v>0</v>
      </c>
      <c r="AE1079">
        <v>11.87</v>
      </c>
      <c r="AG1079" t="str" cm="1">
        <f t="array" ref="AG1079:AH1079">_xlfn.TEXTSPLIT(AC1080," ")</f>
        <v>26.10.2023</v>
      </c>
      <c r="AH1079" t="str">
        <v>17:59:59</v>
      </c>
      <c r="AI1079">
        <f t="shared" si="266"/>
        <v>17.933333333333596</v>
      </c>
      <c r="AJ1079">
        <f t="shared" si="260"/>
        <v>7.339999999999999</v>
      </c>
      <c r="AK1079">
        <f t="shared" si="261"/>
        <v>0</v>
      </c>
      <c r="AL1079">
        <f t="shared" si="254"/>
        <v>0.51</v>
      </c>
      <c r="AN1079" t="s">
        <v>2675</v>
      </c>
      <c r="AO1079">
        <v>0.3</v>
      </c>
      <c r="AP1079">
        <v>74.8</v>
      </c>
      <c r="AR1079" t="str" cm="1">
        <f t="array" ref="AR1079:AS1079">_xlfn.TEXTSPLIT(AN1079," ")</f>
        <v>26.10.2023</v>
      </c>
      <c r="AS1079" t="str">
        <v>17:58:59</v>
      </c>
      <c r="AT1079">
        <f t="shared" si="267"/>
        <v>17.933333333333596</v>
      </c>
      <c r="AU1079">
        <f t="shared" si="262"/>
        <v>13.489999999999995</v>
      </c>
      <c r="AV1079">
        <f t="shared" si="263"/>
        <v>0.3</v>
      </c>
      <c r="AW1079">
        <f t="shared" si="255"/>
        <v>0.66749999999999998</v>
      </c>
    </row>
    <row r="1080" spans="1:49" x14ac:dyDescent="0.25">
      <c r="A1080" t="s">
        <v>2676</v>
      </c>
      <c r="B1080">
        <v>0.15</v>
      </c>
      <c r="C1080">
        <v>25.6</v>
      </c>
      <c r="E1080" t="s">
        <v>2676</v>
      </c>
      <c r="F1080">
        <v>0.75</v>
      </c>
      <c r="G1080">
        <v>97.4</v>
      </c>
      <c r="I1080" t="str" cm="1">
        <f t="array" ref="I1080:J1080">_xlfn.TEXTSPLIT(A1080," ")</f>
        <v>27.10.2023</v>
      </c>
      <c r="J1080" t="str">
        <v>17:59:47</v>
      </c>
      <c r="K1080">
        <f t="shared" si="264"/>
        <v>17.950000000000262</v>
      </c>
      <c r="L1080">
        <f t="shared" si="257"/>
        <v>11.280000000000001</v>
      </c>
      <c r="M1080">
        <f t="shared" si="258"/>
        <v>0.15</v>
      </c>
      <c r="N1080">
        <f t="shared" si="252"/>
        <v>0.71750000000000014</v>
      </c>
      <c r="Q1080" t="str" cm="1">
        <f t="array" ref="Q1080:R1080">_xlfn.TEXTSPLIT(E1080," ")</f>
        <v>27.10.2023</v>
      </c>
      <c r="R1080" t="str">
        <v>17:59:47</v>
      </c>
      <c r="S1080">
        <f t="shared" si="265"/>
        <v>17.950000000000262</v>
      </c>
      <c r="T1080">
        <f t="shared" si="256"/>
        <v>18.800000000000011</v>
      </c>
      <c r="U1080">
        <f t="shared" si="259"/>
        <v>0.75</v>
      </c>
      <c r="V1080">
        <f t="shared" si="253"/>
        <v>1.24</v>
      </c>
      <c r="AC1080" t="s">
        <v>2677</v>
      </c>
      <c r="AD1080">
        <v>0</v>
      </c>
      <c r="AE1080">
        <v>11.87</v>
      </c>
      <c r="AG1080" t="str" cm="1">
        <f t="array" ref="AG1080:AH1080">_xlfn.TEXTSPLIT(AC1081," ")</f>
        <v>26.10.2023</v>
      </c>
      <c r="AH1080" t="str">
        <v>18:00:59</v>
      </c>
      <c r="AI1080">
        <f t="shared" si="266"/>
        <v>17.950000000000262</v>
      </c>
      <c r="AJ1080">
        <f t="shared" si="260"/>
        <v>7.339999999999999</v>
      </c>
      <c r="AK1080">
        <f t="shared" si="261"/>
        <v>0</v>
      </c>
      <c r="AL1080">
        <f t="shared" si="254"/>
        <v>0.51</v>
      </c>
      <c r="AN1080" t="s">
        <v>2677</v>
      </c>
      <c r="AO1080">
        <v>0</v>
      </c>
      <c r="AP1080">
        <v>74.81</v>
      </c>
      <c r="AR1080" t="str" cm="1">
        <f t="array" ref="AR1080:AS1080">_xlfn.TEXTSPLIT(AN1080," ")</f>
        <v>26.10.2023</v>
      </c>
      <c r="AS1080" t="str">
        <v>17:59:59</v>
      </c>
      <c r="AT1080">
        <f t="shared" si="267"/>
        <v>17.950000000000262</v>
      </c>
      <c r="AU1080">
        <f t="shared" si="262"/>
        <v>13.5</v>
      </c>
      <c r="AV1080">
        <f t="shared" si="263"/>
        <v>0</v>
      </c>
      <c r="AW1080">
        <f t="shared" si="255"/>
        <v>0.66499999999999992</v>
      </c>
    </row>
    <row r="1081" spans="1:49" x14ac:dyDescent="0.25">
      <c r="A1081" t="s">
        <v>2678</v>
      </c>
      <c r="B1081">
        <v>0.9</v>
      </c>
      <c r="C1081">
        <v>25.61</v>
      </c>
      <c r="E1081" t="s">
        <v>2678</v>
      </c>
      <c r="F1081">
        <v>1.05</v>
      </c>
      <c r="G1081">
        <v>97.43</v>
      </c>
      <c r="I1081" t="str" cm="1">
        <f t="array" ref="I1081:J1081">_xlfn.TEXTSPLIT(A1081," ")</f>
        <v>27.10.2023</v>
      </c>
      <c r="J1081" t="str">
        <v>18:00:47</v>
      </c>
      <c r="K1081">
        <f t="shared" si="264"/>
        <v>17.966666666666928</v>
      </c>
      <c r="L1081">
        <f t="shared" si="257"/>
        <v>11.29</v>
      </c>
      <c r="M1081">
        <f t="shared" si="258"/>
        <v>0.9</v>
      </c>
      <c r="N1081">
        <f t="shared" si="252"/>
        <v>0.72250000000000014</v>
      </c>
      <c r="Q1081" t="str" cm="1">
        <f t="array" ref="Q1081:R1081">_xlfn.TEXTSPLIT(E1081," ")</f>
        <v>27.10.2023</v>
      </c>
      <c r="R1081" t="str">
        <v>18:00:47</v>
      </c>
      <c r="S1081">
        <f t="shared" si="265"/>
        <v>17.966666666666928</v>
      </c>
      <c r="T1081">
        <f t="shared" si="256"/>
        <v>18.830000000000013</v>
      </c>
      <c r="U1081">
        <f t="shared" si="259"/>
        <v>1.05</v>
      </c>
      <c r="V1081">
        <f t="shared" si="253"/>
        <v>1.2424999999999999</v>
      </c>
      <c r="AC1081" t="s">
        <v>2679</v>
      </c>
      <c r="AD1081">
        <v>0</v>
      </c>
      <c r="AE1081">
        <v>11.87</v>
      </c>
      <c r="AG1081" t="str" cm="1">
        <f t="array" ref="AG1081:AH1081">_xlfn.TEXTSPLIT(AC1082," ")</f>
        <v>26.10.2023</v>
      </c>
      <c r="AH1081" t="str">
        <v>18:01:59</v>
      </c>
      <c r="AI1081">
        <f t="shared" si="266"/>
        <v>17.966666666666928</v>
      </c>
      <c r="AJ1081">
        <f t="shared" si="260"/>
        <v>7.339999999999999</v>
      </c>
      <c r="AK1081">
        <f t="shared" si="261"/>
        <v>0</v>
      </c>
      <c r="AL1081">
        <f t="shared" si="254"/>
        <v>0.51</v>
      </c>
      <c r="AN1081" t="s">
        <v>2679</v>
      </c>
      <c r="AO1081">
        <v>0.3</v>
      </c>
      <c r="AP1081">
        <v>74.81</v>
      </c>
      <c r="AR1081" t="str" cm="1">
        <f t="array" ref="AR1081:AS1081">_xlfn.TEXTSPLIT(AN1081," ")</f>
        <v>26.10.2023</v>
      </c>
      <c r="AS1081" t="str">
        <v>18:00:59</v>
      </c>
      <c r="AT1081">
        <f t="shared" si="267"/>
        <v>17.966666666666928</v>
      </c>
      <c r="AU1081">
        <f t="shared" si="262"/>
        <v>13.5</v>
      </c>
      <c r="AV1081">
        <f t="shared" si="263"/>
        <v>0.3</v>
      </c>
      <c r="AW1081">
        <f t="shared" si="255"/>
        <v>0.66499999999999992</v>
      </c>
    </row>
    <row r="1082" spans="1:49" x14ac:dyDescent="0.25">
      <c r="A1082" t="s">
        <v>2680</v>
      </c>
      <c r="B1082">
        <v>0.6</v>
      </c>
      <c r="C1082">
        <v>25.62</v>
      </c>
      <c r="E1082" t="s">
        <v>2680</v>
      </c>
      <c r="F1082">
        <v>1.65</v>
      </c>
      <c r="G1082">
        <v>97.46</v>
      </c>
      <c r="I1082" t="str" cm="1">
        <f t="array" ref="I1082:J1082">_xlfn.TEXTSPLIT(A1082," ")</f>
        <v>27.10.2023</v>
      </c>
      <c r="J1082" t="str">
        <v>18:01:47</v>
      </c>
      <c r="K1082">
        <f t="shared" si="264"/>
        <v>17.983333333333594</v>
      </c>
      <c r="L1082">
        <f t="shared" si="257"/>
        <v>11.3</v>
      </c>
      <c r="M1082">
        <f t="shared" si="258"/>
        <v>0.6</v>
      </c>
      <c r="N1082">
        <f t="shared" si="252"/>
        <v>0.72500000000000009</v>
      </c>
      <c r="Q1082" t="str" cm="1">
        <f t="array" ref="Q1082:R1082">_xlfn.TEXTSPLIT(E1082," ")</f>
        <v>27.10.2023</v>
      </c>
      <c r="R1082" t="str">
        <v>18:01:47</v>
      </c>
      <c r="S1082">
        <f t="shared" si="265"/>
        <v>17.983333333333594</v>
      </c>
      <c r="T1082">
        <f t="shared" si="256"/>
        <v>18.86</v>
      </c>
      <c r="U1082">
        <f t="shared" si="259"/>
        <v>1.65</v>
      </c>
      <c r="V1082">
        <f t="shared" si="253"/>
        <v>1.2524999999999999</v>
      </c>
      <c r="AC1082" t="s">
        <v>2681</v>
      </c>
      <c r="AD1082">
        <v>0</v>
      </c>
      <c r="AE1082">
        <v>11.87</v>
      </c>
      <c r="AG1082" t="str" cm="1">
        <f t="array" ref="AG1082:AH1082">_xlfn.TEXTSPLIT(AC1083," ")</f>
        <v>26.10.2023</v>
      </c>
      <c r="AH1082" t="str">
        <v>18:02:59</v>
      </c>
      <c r="AI1082">
        <f t="shared" si="266"/>
        <v>17.983333333333594</v>
      </c>
      <c r="AJ1082">
        <f t="shared" si="260"/>
        <v>7.339999999999999</v>
      </c>
      <c r="AK1082">
        <f t="shared" si="261"/>
        <v>0</v>
      </c>
      <c r="AL1082">
        <f t="shared" si="254"/>
        <v>0.51</v>
      </c>
      <c r="AN1082" t="s">
        <v>2681</v>
      </c>
      <c r="AO1082">
        <v>0.15</v>
      </c>
      <c r="AP1082">
        <v>74.81</v>
      </c>
      <c r="AR1082" t="str" cm="1">
        <f t="array" ref="AR1082:AS1082">_xlfn.TEXTSPLIT(AN1082," ")</f>
        <v>26.10.2023</v>
      </c>
      <c r="AS1082" t="str">
        <v>18:01:59</v>
      </c>
      <c r="AT1082">
        <f t="shared" si="267"/>
        <v>17.983333333333594</v>
      </c>
      <c r="AU1082">
        <f t="shared" si="262"/>
        <v>13.5</v>
      </c>
      <c r="AV1082">
        <f t="shared" si="263"/>
        <v>0.15</v>
      </c>
      <c r="AW1082">
        <f t="shared" si="255"/>
        <v>0.66249999999999987</v>
      </c>
    </row>
    <row r="1083" spans="1:49" x14ac:dyDescent="0.25">
      <c r="A1083" t="s">
        <v>2682</v>
      </c>
      <c r="B1083">
        <v>0.45</v>
      </c>
      <c r="C1083">
        <v>25.63</v>
      </c>
      <c r="E1083" t="s">
        <v>2682</v>
      </c>
      <c r="F1083">
        <v>1.2</v>
      </c>
      <c r="G1083">
        <v>97.47</v>
      </c>
      <c r="I1083" t="str" cm="1">
        <f t="array" ref="I1083:J1083">_xlfn.TEXTSPLIT(A1083," ")</f>
        <v>27.10.2023</v>
      </c>
      <c r="J1083" t="str">
        <v>18:02:47</v>
      </c>
      <c r="K1083">
        <f t="shared" si="264"/>
        <v>18.000000000000259</v>
      </c>
      <c r="L1083">
        <f t="shared" si="257"/>
        <v>11.309999999999999</v>
      </c>
      <c r="M1083">
        <f t="shared" si="258"/>
        <v>0.45</v>
      </c>
      <c r="N1083">
        <f t="shared" si="252"/>
        <v>0.7250000000000002</v>
      </c>
      <c r="Q1083" t="str" cm="1">
        <f t="array" ref="Q1083:R1083">_xlfn.TEXTSPLIT(E1083," ")</f>
        <v>27.10.2023</v>
      </c>
      <c r="R1083" t="str">
        <v>18:02:47</v>
      </c>
      <c r="S1083">
        <f t="shared" si="265"/>
        <v>18.000000000000259</v>
      </c>
      <c r="T1083">
        <f t="shared" si="256"/>
        <v>18.870000000000005</v>
      </c>
      <c r="U1083">
        <f t="shared" si="259"/>
        <v>1.2</v>
      </c>
      <c r="V1083">
        <f t="shared" si="253"/>
        <v>1.2524999999999997</v>
      </c>
      <c r="AC1083" t="s">
        <v>2683</v>
      </c>
      <c r="AD1083">
        <v>0</v>
      </c>
      <c r="AE1083">
        <v>11.87</v>
      </c>
      <c r="AG1083" t="str" cm="1">
        <f t="array" ref="AG1083:AH1083">_xlfn.TEXTSPLIT(AC1084," ")</f>
        <v>26.10.2023</v>
      </c>
      <c r="AH1083" t="str">
        <v>18:04:00</v>
      </c>
      <c r="AI1083">
        <f t="shared" si="266"/>
        <v>18.000000000000259</v>
      </c>
      <c r="AJ1083">
        <f t="shared" si="260"/>
        <v>7.339999999999999</v>
      </c>
      <c r="AK1083">
        <f t="shared" si="261"/>
        <v>0</v>
      </c>
      <c r="AL1083">
        <f t="shared" si="254"/>
        <v>0.51</v>
      </c>
      <c r="AN1083" t="s">
        <v>2683</v>
      </c>
      <c r="AO1083">
        <v>0.3</v>
      </c>
      <c r="AP1083">
        <v>74.819999999999993</v>
      </c>
      <c r="AR1083" t="str" cm="1">
        <f t="array" ref="AR1083:AS1083">_xlfn.TEXTSPLIT(AN1083," ")</f>
        <v>26.10.2023</v>
      </c>
      <c r="AS1083" t="str">
        <v>18:02:59</v>
      </c>
      <c r="AT1083">
        <f t="shared" si="267"/>
        <v>18.000000000000259</v>
      </c>
      <c r="AU1083">
        <f t="shared" si="262"/>
        <v>13.509999999999991</v>
      </c>
      <c r="AV1083">
        <f t="shared" si="263"/>
        <v>0.3</v>
      </c>
      <c r="AW1083">
        <f t="shared" si="255"/>
        <v>0.65999999999999992</v>
      </c>
    </row>
    <row r="1084" spans="1:49" x14ac:dyDescent="0.25">
      <c r="A1084" t="s">
        <v>2684</v>
      </c>
      <c r="B1084">
        <v>0.6</v>
      </c>
      <c r="C1084">
        <v>25.64</v>
      </c>
      <c r="E1084" t="s">
        <v>2684</v>
      </c>
      <c r="F1084">
        <v>0.9</v>
      </c>
      <c r="G1084">
        <v>97.49</v>
      </c>
      <c r="I1084" t="str" cm="1">
        <f t="array" ref="I1084:J1084">_xlfn.TEXTSPLIT(A1084," ")</f>
        <v>27.10.2023</v>
      </c>
      <c r="J1084" t="str">
        <v>18:03:47</v>
      </c>
      <c r="K1084">
        <f t="shared" si="264"/>
        <v>18.016666666666925</v>
      </c>
      <c r="L1084">
        <f t="shared" si="257"/>
        <v>11.32</v>
      </c>
      <c r="M1084">
        <f t="shared" si="258"/>
        <v>0.6</v>
      </c>
      <c r="N1084">
        <f t="shared" si="252"/>
        <v>0.7250000000000002</v>
      </c>
      <c r="Q1084" t="str" cm="1">
        <f t="array" ref="Q1084:R1084">_xlfn.TEXTSPLIT(E1084," ")</f>
        <v>27.10.2023</v>
      </c>
      <c r="R1084" t="str">
        <v>18:03:47</v>
      </c>
      <c r="S1084">
        <f t="shared" si="265"/>
        <v>18.016666666666925</v>
      </c>
      <c r="T1084">
        <f t="shared" si="256"/>
        <v>18.89</v>
      </c>
      <c r="U1084">
        <f t="shared" si="259"/>
        <v>0.9</v>
      </c>
      <c r="V1084">
        <f t="shared" si="253"/>
        <v>1.24</v>
      </c>
      <c r="AC1084" t="s">
        <v>2685</v>
      </c>
      <c r="AD1084">
        <v>0</v>
      </c>
      <c r="AE1084">
        <v>11.88</v>
      </c>
      <c r="AG1084" t="str" cm="1">
        <f t="array" ref="AG1084:AH1084">_xlfn.TEXTSPLIT(AC1085," ")</f>
        <v>26.10.2023</v>
      </c>
      <c r="AH1084" t="str">
        <v>18:05:00</v>
      </c>
      <c r="AI1084">
        <f t="shared" si="266"/>
        <v>18.016666666666925</v>
      </c>
      <c r="AJ1084">
        <f t="shared" si="260"/>
        <v>7.3500000000000005</v>
      </c>
      <c r="AK1084">
        <f t="shared" si="261"/>
        <v>0</v>
      </c>
      <c r="AL1084">
        <f t="shared" si="254"/>
        <v>0.51</v>
      </c>
      <c r="AN1084" t="s">
        <v>2685</v>
      </c>
      <c r="AO1084">
        <v>0.3</v>
      </c>
      <c r="AP1084">
        <v>74.83</v>
      </c>
      <c r="AR1084" t="str" cm="1">
        <f t="array" ref="AR1084:AS1084">_xlfn.TEXTSPLIT(AN1084," ")</f>
        <v>26.10.2023</v>
      </c>
      <c r="AS1084" t="str">
        <v>18:04:00</v>
      </c>
      <c r="AT1084">
        <f t="shared" si="267"/>
        <v>18.016666666666925</v>
      </c>
      <c r="AU1084">
        <f t="shared" si="262"/>
        <v>13.519999999999996</v>
      </c>
      <c r="AV1084">
        <f t="shared" si="263"/>
        <v>0.3</v>
      </c>
      <c r="AW1084">
        <f t="shared" si="255"/>
        <v>0.65749999999999964</v>
      </c>
    </row>
    <row r="1085" spans="1:49" x14ac:dyDescent="0.25">
      <c r="A1085" t="s">
        <v>2686</v>
      </c>
      <c r="B1085">
        <v>0.15</v>
      </c>
      <c r="C1085">
        <v>25.64</v>
      </c>
      <c r="E1085" t="s">
        <v>2686</v>
      </c>
      <c r="F1085">
        <v>0.75</v>
      </c>
      <c r="G1085">
        <v>97.5</v>
      </c>
      <c r="I1085" t="str" cm="1">
        <f t="array" ref="I1085:J1085">_xlfn.TEXTSPLIT(A1085," ")</f>
        <v>27.10.2023</v>
      </c>
      <c r="J1085" t="str">
        <v>18:04:47</v>
      </c>
      <c r="K1085">
        <f t="shared" si="264"/>
        <v>18.033333333333591</v>
      </c>
      <c r="L1085">
        <f t="shared" si="257"/>
        <v>11.32</v>
      </c>
      <c r="M1085">
        <f t="shared" si="258"/>
        <v>0.15</v>
      </c>
      <c r="N1085">
        <f t="shared" si="252"/>
        <v>0.71750000000000014</v>
      </c>
      <c r="Q1085" t="str" cm="1">
        <f t="array" ref="Q1085:R1085">_xlfn.TEXTSPLIT(E1085," ")</f>
        <v>27.10.2023</v>
      </c>
      <c r="R1085" t="str">
        <v>18:04:47</v>
      </c>
      <c r="S1085">
        <f t="shared" si="265"/>
        <v>18.033333333333591</v>
      </c>
      <c r="T1085">
        <f t="shared" si="256"/>
        <v>18.900000000000006</v>
      </c>
      <c r="U1085">
        <f t="shared" si="259"/>
        <v>0.75</v>
      </c>
      <c r="V1085">
        <f t="shared" si="253"/>
        <v>1.2274999999999998</v>
      </c>
      <c r="AC1085" t="s">
        <v>2687</v>
      </c>
      <c r="AD1085">
        <v>0.15</v>
      </c>
      <c r="AE1085">
        <v>11.88</v>
      </c>
      <c r="AG1085" t="str" cm="1">
        <f t="array" ref="AG1085:AH1085">_xlfn.TEXTSPLIT(AC1086," ")</f>
        <v>26.10.2023</v>
      </c>
      <c r="AH1085" t="str">
        <v>18:06:00</v>
      </c>
      <c r="AI1085">
        <f t="shared" si="266"/>
        <v>18.033333333333591</v>
      </c>
      <c r="AJ1085">
        <f t="shared" si="260"/>
        <v>7.3500000000000005</v>
      </c>
      <c r="AK1085">
        <f t="shared" si="261"/>
        <v>0.15</v>
      </c>
      <c r="AL1085">
        <f t="shared" si="254"/>
        <v>0.51</v>
      </c>
      <c r="AN1085" t="s">
        <v>2687</v>
      </c>
      <c r="AO1085">
        <v>0.45</v>
      </c>
      <c r="AP1085">
        <v>74.84</v>
      </c>
      <c r="AR1085" t="str" cm="1">
        <f t="array" ref="AR1085:AS1085">_xlfn.TEXTSPLIT(AN1085," ")</f>
        <v>26.10.2023</v>
      </c>
      <c r="AS1085" t="str">
        <v>18:05:00</v>
      </c>
      <c r="AT1085">
        <f t="shared" si="267"/>
        <v>18.033333333333591</v>
      </c>
      <c r="AU1085">
        <f t="shared" si="262"/>
        <v>13.530000000000001</v>
      </c>
      <c r="AV1085">
        <f t="shared" si="263"/>
        <v>0.45</v>
      </c>
      <c r="AW1085">
        <f t="shared" si="255"/>
        <v>0.65999999999999981</v>
      </c>
    </row>
    <row r="1086" spans="1:49" x14ac:dyDescent="0.25">
      <c r="A1086" t="s">
        <v>2688</v>
      </c>
      <c r="B1086">
        <v>0.3</v>
      </c>
      <c r="C1086">
        <v>25.65</v>
      </c>
      <c r="E1086" t="s">
        <v>2688</v>
      </c>
      <c r="F1086">
        <v>0.75</v>
      </c>
      <c r="G1086">
        <v>97.53</v>
      </c>
      <c r="I1086" t="str" cm="1">
        <f t="array" ref="I1086:J1086">_xlfn.TEXTSPLIT(A1086," ")</f>
        <v>27.10.2023</v>
      </c>
      <c r="J1086" t="str">
        <v>18:05:47</v>
      </c>
      <c r="K1086">
        <f t="shared" si="264"/>
        <v>18.050000000000257</v>
      </c>
      <c r="L1086">
        <f t="shared" si="257"/>
        <v>11.329999999999998</v>
      </c>
      <c r="M1086">
        <f t="shared" si="258"/>
        <v>0.3</v>
      </c>
      <c r="N1086">
        <f t="shared" si="252"/>
        <v>0.71250000000000013</v>
      </c>
      <c r="Q1086" t="str" cm="1">
        <f t="array" ref="Q1086:R1086">_xlfn.TEXTSPLIT(E1086," ")</f>
        <v>27.10.2023</v>
      </c>
      <c r="R1086" t="str">
        <v>18:05:47</v>
      </c>
      <c r="S1086">
        <f t="shared" si="265"/>
        <v>18.050000000000257</v>
      </c>
      <c r="T1086">
        <f t="shared" si="256"/>
        <v>18.930000000000007</v>
      </c>
      <c r="U1086">
        <f t="shared" si="259"/>
        <v>0.75</v>
      </c>
      <c r="V1086">
        <f t="shared" si="253"/>
        <v>1.2250000000000001</v>
      </c>
      <c r="AC1086" t="s">
        <v>2689</v>
      </c>
      <c r="AD1086">
        <v>0.3</v>
      </c>
      <c r="AE1086">
        <v>11.88</v>
      </c>
      <c r="AG1086" t="str" cm="1">
        <f t="array" ref="AG1086:AH1086">_xlfn.TEXTSPLIT(AC1087," ")</f>
        <v>26.10.2023</v>
      </c>
      <c r="AH1086" t="str">
        <v>18:07:00</v>
      </c>
      <c r="AI1086">
        <f t="shared" si="266"/>
        <v>18.050000000000257</v>
      </c>
      <c r="AJ1086">
        <f t="shared" si="260"/>
        <v>7.3500000000000005</v>
      </c>
      <c r="AK1086">
        <f t="shared" si="261"/>
        <v>0.3</v>
      </c>
      <c r="AL1086">
        <f t="shared" si="254"/>
        <v>0.51</v>
      </c>
      <c r="AN1086" t="s">
        <v>2689</v>
      </c>
      <c r="AO1086">
        <v>0.6</v>
      </c>
      <c r="AP1086">
        <v>74.849999999999994</v>
      </c>
      <c r="AR1086" t="str" cm="1">
        <f t="array" ref="AR1086:AS1086">_xlfn.TEXTSPLIT(AN1086," ")</f>
        <v>26.10.2023</v>
      </c>
      <c r="AS1086" t="str">
        <v>18:06:00</v>
      </c>
      <c r="AT1086">
        <f t="shared" si="267"/>
        <v>18.050000000000257</v>
      </c>
      <c r="AU1086">
        <f t="shared" si="262"/>
        <v>13.539999999999992</v>
      </c>
      <c r="AV1086">
        <f t="shared" si="263"/>
        <v>0.6</v>
      </c>
      <c r="AW1086">
        <f t="shared" si="255"/>
        <v>0.66499999999999981</v>
      </c>
    </row>
    <row r="1087" spans="1:49" x14ac:dyDescent="0.25">
      <c r="A1087" t="s">
        <v>2690</v>
      </c>
      <c r="B1087">
        <v>0.6</v>
      </c>
      <c r="C1087">
        <v>25.66</v>
      </c>
      <c r="E1087" t="s">
        <v>2690</v>
      </c>
      <c r="F1087">
        <v>1.8</v>
      </c>
      <c r="G1087">
        <v>97.58</v>
      </c>
      <c r="I1087" t="str" cm="1">
        <f t="array" ref="I1087:J1087">_xlfn.TEXTSPLIT(A1087," ")</f>
        <v>27.10.2023</v>
      </c>
      <c r="J1087" t="str">
        <v>18:06:47</v>
      </c>
      <c r="K1087">
        <f t="shared" si="264"/>
        <v>18.066666666666922</v>
      </c>
      <c r="L1087">
        <f t="shared" si="257"/>
        <v>11.34</v>
      </c>
      <c r="M1087">
        <f t="shared" si="258"/>
        <v>0.6</v>
      </c>
      <c r="N1087">
        <f t="shared" ref="N1087:N1150" si="268">AVERAGE(M1028:M1087)</f>
        <v>0.71000000000000019</v>
      </c>
      <c r="Q1087" t="str" cm="1">
        <f t="array" ref="Q1087:R1087">_xlfn.TEXTSPLIT(E1087," ")</f>
        <v>27.10.2023</v>
      </c>
      <c r="R1087" t="str">
        <v>18:06:47</v>
      </c>
      <c r="S1087">
        <f t="shared" si="265"/>
        <v>18.066666666666922</v>
      </c>
      <c r="T1087">
        <f t="shared" si="256"/>
        <v>18.980000000000004</v>
      </c>
      <c r="U1087">
        <f t="shared" si="259"/>
        <v>1.8</v>
      </c>
      <c r="V1087">
        <f t="shared" ref="V1087:V1150" si="269">AVERAGE(U1028:U1087)</f>
        <v>1.2275</v>
      </c>
      <c r="AC1087" t="s">
        <v>2691</v>
      </c>
      <c r="AD1087">
        <v>0.3</v>
      </c>
      <c r="AE1087">
        <v>11.89</v>
      </c>
      <c r="AG1087" t="str" cm="1">
        <f t="array" ref="AG1087:AH1087">_xlfn.TEXTSPLIT(AC1088," ")</f>
        <v>26.10.2023</v>
      </c>
      <c r="AH1087" t="str">
        <v>18:08:00</v>
      </c>
      <c r="AI1087">
        <f t="shared" si="266"/>
        <v>18.066666666666922</v>
      </c>
      <c r="AJ1087">
        <f t="shared" si="260"/>
        <v>7.36</v>
      </c>
      <c r="AK1087">
        <f t="shared" si="261"/>
        <v>0.3</v>
      </c>
      <c r="AL1087">
        <f t="shared" ref="AL1087:AL1150" si="270">AVERAGE(AK1028:AK1087)</f>
        <v>0.51249999999999996</v>
      </c>
      <c r="AN1087" t="s">
        <v>2691</v>
      </c>
      <c r="AO1087">
        <v>0.6</v>
      </c>
      <c r="AP1087">
        <v>74.88</v>
      </c>
      <c r="AR1087" t="str" cm="1">
        <f t="array" ref="AR1087:AS1087">_xlfn.TEXTSPLIT(AN1087," ")</f>
        <v>26.10.2023</v>
      </c>
      <c r="AS1087" t="str">
        <v>18:07:00</v>
      </c>
      <c r="AT1087">
        <f t="shared" si="267"/>
        <v>18.066666666666922</v>
      </c>
      <c r="AU1087">
        <f t="shared" si="262"/>
        <v>13.569999999999993</v>
      </c>
      <c r="AV1087">
        <f t="shared" si="263"/>
        <v>0.6</v>
      </c>
      <c r="AW1087">
        <f t="shared" ref="AW1087:AW1150" si="271">AVERAGE(AV1028:AV1087)</f>
        <v>0.66749999999999998</v>
      </c>
    </row>
    <row r="1088" spans="1:49" x14ac:dyDescent="0.25">
      <c r="A1088" t="s">
        <v>2692</v>
      </c>
      <c r="B1088">
        <v>0.75</v>
      </c>
      <c r="C1088">
        <v>25.69</v>
      </c>
      <c r="E1088" t="s">
        <v>2692</v>
      </c>
      <c r="F1088">
        <v>3.6</v>
      </c>
      <c r="G1088">
        <v>97.61</v>
      </c>
      <c r="I1088" t="str" cm="1">
        <f t="array" ref="I1088:J1088">_xlfn.TEXTSPLIT(A1088," ")</f>
        <v>27.10.2023</v>
      </c>
      <c r="J1088" t="str">
        <v>18:07:48</v>
      </c>
      <c r="K1088">
        <f t="shared" si="264"/>
        <v>18.083333333333588</v>
      </c>
      <c r="L1088">
        <f t="shared" si="257"/>
        <v>11.370000000000001</v>
      </c>
      <c r="M1088">
        <f t="shared" si="258"/>
        <v>0.75</v>
      </c>
      <c r="N1088">
        <f t="shared" si="268"/>
        <v>0.71000000000000019</v>
      </c>
      <c r="Q1088" t="str" cm="1">
        <f t="array" ref="Q1088:R1088">_xlfn.TEXTSPLIT(E1088," ")</f>
        <v>27.10.2023</v>
      </c>
      <c r="R1088" t="str">
        <v>18:07:48</v>
      </c>
      <c r="S1088">
        <f t="shared" si="265"/>
        <v>18.083333333333588</v>
      </c>
      <c r="T1088">
        <f t="shared" si="256"/>
        <v>19.010000000000005</v>
      </c>
      <c r="U1088">
        <f t="shared" si="259"/>
        <v>3.6</v>
      </c>
      <c r="V1088">
        <f t="shared" si="269"/>
        <v>1.2325000000000002</v>
      </c>
      <c r="AC1088" t="s">
        <v>2693</v>
      </c>
      <c r="AD1088">
        <v>0.3</v>
      </c>
      <c r="AE1088">
        <v>11.9</v>
      </c>
      <c r="AG1088" t="str" cm="1">
        <f t="array" ref="AG1088:AH1088">_xlfn.TEXTSPLIT(AC1089," ")</f>
        <v>26.10.2023</v>
      </c>
      <c r="AH1088" t="str">
        <v>18:09:00</v>
      </c>
      <c r="AI1088">
        <f t="shared" si="266"/>
        <v>18.083333333333588</v>
      </c>
      <c r="AJ1088">
        <f t="shared" si="260"/>
        <v>7.37</v>
      </c>
      <c r="AK1088">
        <f t="shared" si="261"/>
        <v>0.3</v>
      </c>
      <c r="AL1088">
        <f t="shared" si="270"/>
        <v>0.505</v>
      </c>
      <c r="AN1088" t="s">
        <v>2693</v>
      </c>
      <c r="AO1088">
        <v>2.1</v>
      </c>
      <c r="AP1088">
        <v>74.91</v>
      </c>
      <c r="AR1088" t="str" cm="1">
        <f t="array" ref="AR1088:AS1088">_xlfn.TEXTSPLIT(AN1088," ")</f>
        <v>26.10.2023</v>
      </c>
      <c r="AS1088" t="str">
        <v>18:08:00</v>
      </c>
      <c r="AT1088">
        <f t="shared" si="267"/>
        <v>18.083333333333588</v>
      </c>
      <c r="AU1088">
        <f t="shared" si="262"/>
        <v>13.599999999999994</v>
      </c>
      <c r="AV1088">
        <f t="shared" si="263"/>
        <v>2.1</v>
      </c>
      <c r="AW1088">
        <f t="shared" si="271"/>
        <v>0.68499999999999994</v>
      </c>
    </row>
    <row r="1089" spans="1:49" x14ac:dyDescent="0.25">
      <c r="A1089" t="s">
        <v>2694</v>
      </c>
      <c r="B1089">
        <v>2.5499999999999998</v>
      </c>
      <c r="C1089">
        <v>25.74</v>
      </c>
      <c r="E1089" t="s">
        <v>2694</v>
      </c>
      <c r="F1089">
        <v>1.95</v>
      </c>
      <c r="G1089">
        <v>97.64</v>
      </c>
      <c r="I1089" t="str" cm="1">
        <f t="array" ref="I1089:J1089">_xlfn.TEXTSPLIT(A1089," ")</f>
        <v>27.10.2023</v>
      </c>
      <c r="J1089" t="str">
        <v>18:08:48</v>
      </c>
      <c r="K1089">
        <f t="shared" si="264"/>
        <v>18.100000000000254</v>
      </c>
      <c r="L1089">
        <f t="shared" si="257"/>
        <v>11.419999999999998</v>
      </c>
      <c r="M1089">
        <f t="shared" si="258"/>
        <v>2.5499999999999998</v>
      </c>
      <c r="N1089">
        <f t="shared" si="268"/>
        <v>0.70500000000000007</v>
      </c>
      <c r="Q1089" t="str" cm="1">
        <f t="array" ref="Q1089:R1089">_xlfn.TEXTSPLIT(E1089," ")</f>
        <v>27.10.2023</v>
      </c>
      <c r="R1089" t="str">
        <v>18:08:48</v>
      </c>
      <c r="S1089">
        <f t="shared" si="265"/>
        <v>18.100000000000254</v>
      </c>
      <c r="T1089">
        <f t="shared" si="256"/>
        <v>19.040000000000006</v>
      </c>
      <c r="U1089">
        <f t="shared" si="259"/>
        <v>1.95</v>
      </c>
      <c r="V1089">
        <f t="shared" si="269"/>
        <v>1.2250000000000001</v>
      </c>
      <c r="AC1089" t="s">
        <v>2695</v>
      </c>
      <c r="AD1089">
        <v>1.95</v>
      </c>
      <c r="AE1089">
        <v>11.93</v>
      </c>
      <c r="AG1089" t="str" cm="1">
        <f t="array" ref="AG1089:AH1089">_xlfn.TEXTSPLIT(AC1090," ")</f>
        <v>26.10.2023</v>
      </c>
      <c r="AH1089" t="str">
        <v>18:10:00</v>
      </c>
      <c r="AI1089">
        <f t="shared" si="266"/>
        <v>18.100000000000254</v>
      </c>
      <c r="AJ1089">
        <f t="shared" si="260"/>
        <v>7.3999999999999995</v>
      </c>
      <c r="AK1089">
        <f t="shared" si="261"/>
        <v>1.95</v>
      </c>
      <c r="AL1089">
        <f t="shared" si="270"/>
        <v>0.52749999999999997</v>
      </c>
      <c r="AN1089" t="s">
        <v>2695</v>
      </c>
      <c r="AO1089">
        <v>1.8</v>
      </c>
      <c r="AP1089">
        <v>74.94</v>
      </c>
      <c r="AR1089" t="str" cm="1">
        <f t="array" ref="AR1089:AS1089">_xlfn.TEXTSPLIT(AN1089," ")</f>
        <v>26.10.2023</v>
      </c>
      <c r="AS1089" t="str">
        <v>18:09:00</v>
      </c>
      <c r="AT1089">
        <f t="shared" si="267"/>
        <v>18.100000000000254</v>
      </c>
      <c r="AU1089">
        <f t="shared" si="262"/>
        <v>13.629999999999995</v>
      </c>
      <c r="AV1089">
        <f t="shared" si="263"/>
        <v>1.8</v>
      </c>
      <c r="AW1089">
        <f t="shared" si="271"/>
        <v>0.68249999999999977</v>
      </c>
    </row>
    <row r="1090" spans="1:49" x14ac:dyDescent="0.25">
      <c r="A1090" t="s">
        <v>2696</v>
      </c>
      <c r="B1090">
        <v>2.4</v>
      </c>
      <c r="C1090">
        <v>25.77</v>
      </c>
      <c r="E1090" t="s">
        <v>2696</v>
      </c>
      <c r="F1090">
        <v>1.8</v>
      </c>
      <c r="G1090">
        <v>97.68</v>
      </c>
      <c r="I1090" t="str" cm="1">
        <f t="array" ref="I1090:J1090">_xlfn.TEXTSPLIT(A1090," ")</f>
        <v>27.10.2023</v>
      </c>
      <c r="J1090" t="str">
        <v>18:09:48</v>
      </c>
      <c r="K1090">
        <f t="shared" si="264"/>
        <v>18.116666666666919</v>
      </c>
      <c r="L1090">
        <f t="shared" si="257"/>
        <v>11.45</v>
      </c>
      <c r="M1090">
        <f t="shared" si="258"/>
        <v>2.4</v>
      </c>
      <c r="N1090">
        <f t="shared" si="268"/>
        <v>0.70500000000000007</v>
      </c>
      <c r="Q1090" t="str" cm="1">
        <f t="array" ref="Q1090:R1090">_xlfn.TEXTSPLIT(E1090," ")</f>
        <v>27.10.2023</v>
      </c>
      <c r="R1090" t="str">
        <v>18:09:48</v>
      </c>
      <c r="S1090">
        <f t="shared" si="265"/>
        <v>18.116666666666919</v>
      </c>
      <c r="T1090">
        <f t="shared" si="256"/>
        <v>19.080000000000013</v>
      </c>
      <c r="U1090">
        <f t="shared" si="259"/>
        <v>1.8</v>
      </c>
      <c r="V1090">
        <f t="shared" si="269"/>
        <v>1.2274999999999998</v>
      </c>
      <c r="AC1090" t="s">
        <v>2697</v>
      </c>
      <c r="AD1090">
        <v>1.95</v>
      </c>
      <c r="AE1090">
        <v>11.96</v>
      </c>
      <c r="AG1090" t="str" cm="1">
        <f t="array" ref="AG1090:AH1090">_xlfn.TEXTSPLIT(AC1091," ")</f>
        <v>26.10.2023</v>
      </c>
      <c r="AH1090" t="str">
        <v>18:11:00</v>
      </c>
      <c r="AI1090">
        <f t="shared" si="266"/>
        <v>18.116666666666919</v>
      </c>
      <c r="AJ1090">
        <f t="shared" si="260"/>
        <v>7.4300000000000006</v>
      </c>
      <c r="AK1090">
        <f t="shared" si="261"/>
        <v>1.95</v>
      </c>
      <c r="AL1090">
        <f t="shared" si="270"/>
        <v>0.52750000000000008</v>
      </c>
      <c r="AN1090" t="s">
        <v>2697</v>
      </c>
      <c r="AO1090">
        <v>1.95</v>
      </c>
      <c r="AP1090">
        <v>74.97</v>
      </c>
      <c r="AR1090" t="str" cm="1">
        <f t="array" ref="AR1090:AS1090">_xlfn.TEXTSPLIT(AN1090," ")</f>
        <v>26.10.2023</v>
      </c>
      <c r="AS1090" t="str">
        <v>18:10:00</v>
      </c>
      <c r="AT1090">
        <f t="shared" si="267"/>
        <v>18.116666666666919</v>
      </c>
      <c r="AU1090">
        <f t="shared" si="262"/>
        <v>13.659999999999997</v>
      </c>
      <c r="AV1090">
        <f t="shared" si="263"/>
        <v>1.95</v>
      </c>
      <c r="AW1090">
        <f t="shared" si="271"/>
        <v>0.67499999999999993</v>
      </c>
    </row>
    <row r="1091" spans="1:49" x14ac:dyDescent="0.25">
      <c r="A1091" t="s">
        <v>2698</v>
      </c>
      <c r="B1091">
        <v>1.65</v>
      </c>
      <c r="C1091">
        <v>25.79</v>
      </c>
      <c r="E1091" t="s">
        <v>2698</v>
      </c>
      <c r="F1091">
        <v>2.25</v>
      </c>
      <c r="G1091">
        <v>97.71</v>
      </c>
      <c r="I1091" t="str" cm="1">
        <f t="array" ref="I1091:J1091">_xlfn.TEXTSPLIT(A1091," ")</f>
        <v>27.10.2023</v>
      </c>
      <c r="J1091" t="str">
        <v>18:10:48</v>
      </c>
      <c r="K1091">
        <f t="shared" si="264"/>
        <v>18.133333333333585</v>
      </c>
      <c r="L1091">
        <f t="shared" si="257"/>
        <v>11.469999999999999</v>
      </c>
      <c r="M1091">
        <f t="shared" si="258"/>
        <v>1.65</v>
      </c>
      <c r="N1091">
        <f t="shared" si="268"/>
        <v>0.70500000000000007</v>
      </c>
      <c r="Q1091" t="str" cm="1">
        <f t="array" ref="Q1091:R1091">_xlfn.TEXTSPLIT(E1091," ")</f>
        <v>27.10.2023</v>
      </c>
      <c r="R1091" t="str">
        <v>18:10:48</v>
      </c>
      <c r="S1091">
        <f t="shared" si="265"/>
        <v>18.133333333333585</v>
      </c>
      <c r="T1091">
        <f t="shared" ref="T1091:T1154" si="272">G1091-78.6</f>
        <v>19.11</v>
      </c>
      <c r="U1091">
        <f t="shared" si="259"/>
        <v>2.25</v>
      </c>
      <c r="V1091">
        <f t="shared" si="269"/>
        <v>1.2349999999999999</v>
      </c>
      <c r="AC1091" t="s">
        <v>2699</v>
      </c>
      <c r="AD1091">
        <v>1.65</v>
      </c>
      <c r="AE1091">
        <v>11.99</v>
      </c>
      <c r="AG1091" t="str" cm="1">
        <f t="array" ref="AG1091:AH1091">_xlfn.TEXTSPLIT(AC1092," ")</f>
        <v>26.10.2023</v>
      </c>
      <c r="AH1091" t="str">
        <v>18:12:00</v>
      </c>
      <c r="AI1091">
        <f t="shared" si="266"/>
        <v>18.133333333333585</v>
      </c>
      <c r="AJ1091">
        <f t="shared" si="260"/>
        <v>7.46</v>
      </c>
      <c r="AK1091">
        <f t="shared" si="261"/>
        <v>1.65</v>
      </c>
      <c r="AL1091">
        <f t="shared" si="270"/>
        <v>0.53</v>
      </c>
      <c r="AN1091" t="s">
        <v>2699</v>
      </c>
      <c r="AO1091">
        <v>1.65</v>
      </c>
      <c r="AP1091">
        <v>75</v>
      </c>
      <c r="AR1091" t="str" cm="1">
        <f t="array" ref="AR1091:AS1091">_xlfn.TEXTSPLIT(AN1091," ")</f>
        <v>26.10.2023</v>
      </c>
      <c r="AS1091" t="str">
        <v>18:11:00</v>
      </c>
      <c r="AT1091">
        <f t="shared" si="267"/>
        <v>18.133333333333585</v>
      </c>
      <c r="AU1091">
        <f t="shared" si="262"/>
        <v>13.689999999999998</v>
      </c>
      <c r="AV1091">
        <f t="shared" si="263"/>
        <v>1.65</v>
      </c>
      <c r="AW1091">
        <f t="shared" si="271"/>
        <v>0.6825</v>
      </c>
    </row>
    <row r="1092" spans="1:49" x14ac:dyDescent="0.25">
      <c r="A1092" t="s">
        <v>2700</v>
      </c>
      <c r="B1092">
        <v>1.05</v>
      </c>
      <c r="C1092">
        <v>25.81</v>
      </c>
      <c r="E1092" t="s">
        <v>2700</v>
      </c>
      <c r="F1092">
        <v>1.5</v>
      </c>
      <c r="G1092">
        <v>97.72</v>
      </c>
      <c r="I1092" t="str" cm="1">
        <f t="array" ref="I1092:J1092">_xlfn.TEXTSPLIT(A1092," ")</f>
        <v>27.10.2023</v>
      </c>
      <c r="J1092" t="str">
        <v>18:11:48</v>
      </c>
      <c r="K1092">
        <f t="shared" si="264"/>
        <v>18.150000000000251</v>
      </c>
      <c r="L1092">
        <f t="shared" ref="L1092:L1155" si="273">C1092-14.32</f>
        <v>11.489999999999998</v>
      </c>
      <c r="M1092">
        <f t="shared" ref="M1092:M1155" si="274">B1092</f>
        <v>1.05</v>
      </c>
      <c r="N1092">
        <f t="shared" si="268"/>
        <v>0.69749999999999979</v>
      </c>
      <c r="Q1092" t="str" cm="1">
        <f t="array" ref="Q1092:R1092">_xlfn.TEXTSPLIT(E1092," ")</f>
        <v>27.10.2023</v>
      </c>
      <c r="R1092" t="str">
        <v>18:11:48</v>
      </c>
      <c r="S1092">
        <f t="shared" si="265"/>
        <v>18.150000000000251</v>
      </c>
      <c r="T1092">
        <f t="shared" si="272"/>
        <v>19.120000000000005</v>
      </c>
      <c r="U1092">
        <f t="shared" ref="U1092:U1155" si="275">F1092</f>
        <v>1.5</v>
      </c>
      <c r="V1092">
        <f t="shared" si="269"/>
        <v>1.2224999999999999</v>
      </c>
      <c r="AC1092" t="s">
        <v>2701</v>
      </c>
      <c r="AD1092">
        <v>0.75</v>
      </c>
      <c r="AE1092">
        <v>12</v>
      </c>
      <c r="AG1092" t="str" cm="1">
        <f t="array" ref="AG1092:AH1092">_xlfn.TEXTSPLIT(AC1093," ")</f>
        <v>26.10.2023</v>
      </c>
      <c r="AH1092" t="str">
        <v>18:13:01</v>
      </c>
      <c r="AI1092">
        <f t="shared" si="266"/>
        <v>18.150000000000251</v>
      </c>
      <c r="AJ1092">
        <f t="shared" ref="AJ1092:AJ1155" si="276">AE1092-4.53</f>
        <v>7.47</v>
      </c>
      <c r="AK1092">
        <f t="shared" ref="AK1092:AK1155" si="277">AD1092</f>
        <v>0.75</v>
      </c>
      <c r="AL1092">
        <f t="shared" si="270"/>
        <v>0.51500000000000001</v>
      </c>
      <c r="AN1092" t="s">
        <v>2701</v>
      </c>
      <c r="AO1092">
        <v>1.8</v>
      </c>
      <c r="AP1092">
        <v>75.02</v>
      </c>
      <c r="AR1092" t="str" cm="1">
        <f t="array" ref="AR1092:AS1092">_xlfn.TEXTSPLIT(AN1092," ")</f>
        <v>26.10.2023</v>
      </c>
      <c r="AS1092" t="str">
        <v>18:12:00</v>
      </c>
      <c r="AT1092">
        <f t="shared" si="267"/>
        <v>18.150000000000251</v>
      </c>
      <c r="AU1092">
        <f t="shared" ref="AU1092:AU1155" si="278">AP1092-61.31</f>
        <v>13.709999999999994</v>
      </c>
      <c r="AV1092">
        <f t="shared" ref="AV1092:AV1155" si="279">AO1092</f>
        <v>1.8</v>
      </c>
      <c r="AW1092">
        <f t="shared" si="271"/>
        <v>0.6974999999999999</v>
      </c>
    </row>
    <row r="1093" spans="1:49" x14ac:dyDescent="0.25">
      <c r="A1093" t="s">
        <v>2702</v>
      </c>
      <c r="B1093">
        <v>1.05</v>
      </c>
      <c r="C1093">
        <v>25.82</v>
      </c>
      <c r="E1093" t="s">
        <v>2702</v>
      </c>
      <c r="F1093">
        <v>1.05</v>
      </c>
      <c r="G1093">
        <v>97.74</v>
      </c>
      <c r="I1093" t="str" cm="1">
        <f t="array" ref="I1093:J1093">_xlfn.TEXTSPLIT(A1093," ")</f>
        <v>27.10.2023</v>
      </c>
      <c r="J1093" t="str">
        <v>18:12:48</v>
      </c>
      <c r="K1093">
        <f t="shared" ref="K1093:K1156" si="280">1/60+K1092</f>
        <v>18.166666666666917</v>
      </c>
      <c r="L1093">
        <f t="shared" si="273"/>
        <v>11.5</v>
      </c>
      <c r="M1093">
        <f t="shared" si="274"/>
        <v>1.05</v>
      </c>
      <c r="N1093">
        <f t="shared" si="268"/>
        <v>0.7074999999999998</v>
      </c>
      <c r="Q1093" t="str" cm="1">
        <f t="array" ref="Q1093:R1093">_xlfn.TEXTSPLIT(E1093," ")</f>
        <v>27.10.2023</v>
      </c>
      <c r="R1093" t="str">
        <v>18:12:48</v>
      </c>
      <c r="S1093">
        <f t="shared" ref="S1093:S1156" si="281">1/60+S1092</f>
        <v>18.166666666666917</v>
      </c>
      <c r="T1093">
        <f t="shared" si="272"/>
        <v>19.14</v>
      </c>
      <c r="U1093">
        <f t="shared" si="275"/>
        <v>1.05</v>
      </c>
      <c r="V1093">
        <f t="shared" si="269"/>
        <v>1.2199999999999998</v>
      </c>
      <c r="AC1093" t="s">
        <v>2703</v>
      </c>
      <c r="AD1093">
        <v>1.05</v>
      </c>
      <c r="AE1093">
        <v>12.02</v>
      </c>
      <c r="AG1093" t="str" cm="1">
        <f t="array" ref="AG1093:AH1093">_xlfn.TEXTSPLIT(AC1094," ")</f>
        <v>26.10.2023</v>
      </c>
      <c r="AH1093" t="str">
        <v>18:14:01</v>
      </c>
      <c r="AI1093">
        <f t="shared" ref="AI1093:AI1156" si="282">1/60+AI1092</f>
        <v>18.166666666666917</v>
      </c>
      <c r="AJ1093">
        <f t="shared" si="276"/>
        <v>7.4899999999999993</v>
      </c>
      <c r="AK1093">
        <f t="shared" si="277"/>
        <v>1.05</v>
      </c>
      <c r="AL1093">
        <f t="shared" si="270"/>
        <v>0.52250000000000008</v>
      </c>
      <c r="AN1093" t="s">
        <v>2703</v>
      </c>
      <c r="AO1093">
        <v>1.05</v>
      </c>
      <c r="AP1093">
        <v>75.03</v>
      </c>
      <c r="AR1093" t="str" cm="1">
        <f t="array" ref="AR1093:AS1093">_xlfn.TEXTSPLIT(AN1093," ")</f>
        <v>26.10.2023</v>
      </c>
      <c r="AS1093" t="str">
        <v>18:13:01</v>
      </c>
      <c r="AT1093">
        <f t="shared" ref="AT1093:AT1156" si="283">1/60+AT1092</f>
        <v>18.166666666666917</v>
      </c>
      <c r="AU1093">
        <f t="shared" si="278"/>
        <v>13.719999999999999</v>
      </c>
      <c r="AV1093">
        <f t="shared" si="279"/>
        <v>1.05</v>
      </c>
      <c r="AW1093">
        <f t="shared" si="271"/>
        <v>0.7024999999999999</v>
      </c>
    </row>
    <row r="1094" spans="1:49" x14ac:dyDescent="0.25">
      <c r="A1094" t="s">
        <v>2704</v>
      </c>
      <c r="B1094">
        <v>1.2</v>
      </c>
      <c r="C1094">
        <v>25.83</v>
      </c>
      <c r="E1094" t="s">
        <v>2704</v>
      </c>
      <c r="F1094">
        <v>1.05</v>
      </c>
      <c r="G1094">
        <v>97.76</v>
      </c>
      <c r="I1094" t="str" cm="1">
        <f t="array" ref="I1094:J1094">_xlfn.TEXTSPLIT(A1094," ")</f>
        <v>27.10.2023</v>
      </c>
      <c r="J1094" t="str">
        <v>18:13:48</v>
      </c>
      <c r="K1094">
        <f t="shared" si="280"/>
        <v>18.183333333333582</v>
      </c>
      <c r="L1094">
        <f t="shared" si="273"/>
        <v>11.509999999999998</v>
      </c>
      <c r="M1094">
        <f t="shared" si="274"/>
        <v>1.2</v>
      </c>
      <c r="N1094">
        <f t="shared" si="268"/>
        <v>0.70499999999999996</v>
      </c>
      <c r="Q1094" t="str" cm="1">
        <f t="array" ref="Q1094:R1094">_xlfn.TEXTSPLIT(E1094," ")</f>
        <v>27.10.2023</v>
      </c>
      <c r="R1094" t="str">
        <v>18:13:48</v>
      </c>
      <c r="S1094">
        <f t="shared" si="281"/>
        <v>18.183333333333582</v>
      </c>
      <c r="T1094">
        <f t="shared" si="272"/>
        <v>19.160000000000011</v>
      </c>
      <c r="U1094">
        <f t="shared" si="275"/>
        <v>1.05</v>
      </c>
      <c r="V1094">
        <f t="shared" si="269"/>
        <v>1.2174999999999998</v>
      </c>
      <c r="AC1094" t="s">
        <v>2705</v>
      </c>
      <c r="AD1094">
        <v>1.05</v>
      </c>
      <c r="AE1094">
        <v>12.03</v>
      </c>
      <c r="AG1094" t="str" cm="1">
        <f t="array" ref="AG1094:AH1094">_xlfn.TEXTSPLIT(AC1095," ")</f>
        <v>26.10.2023</v>
      </c>
      <c r="AH1094" t="str">
        <v>18:15:01</v>
      </c>
      <c r="AI1094">
        <f t="shared" si="282"/>
        <v>18.183333333333582</v>
      </c>
      <c r="AJ1094">
        <f t="shared" si="276"/>
        <v>7.4999999999999991</v>
      </c>
      <c r="AK1094">
        <f t="shared" si="277"/>
        <v>1.05</v>
      </c>
      <c r="AL1094">
        <f t="shared" si="270"/>
        <v>0.53999999999999992</v>
      </c>
      <c r="AN1094" t="s">
        <v>2705</v>
      </c>
      <c r="AO1094">
        <v>0.75</v>
      </c>
      <c r="AP1094">
        <v>75.040000000000006</v>
      </c>
      <c r="AR1094" t="str" cm="1">
        <f t="array" ref="AR1094:AS1094">_xlfn.TEXTSPLIT(AN1094," ")</f>
        <v>26.10.2023</v>
      </c>
      <c r="AS1094" t="str">
        <v>18:14:01</v>
      </c>
      <c r="AT1094">
        <f t="shared" si="283"/>
        <v>18.183333333333582</v>
      </c>
      <c r="AU1094">
        <f t="shared" si="278"/>
        <v>13.730000000000004</v>
      </c>
      <c r="AV1094">
        <f t="shared" si="279"/>
        <v>0.75</v>
      </c>
      <c r="AW1094">
        <f t="shared" si="271"/>
        <v>0.7024999999999999</v>
      </c>
    </row>
    <row r="1095" spans="1:49" x14ac:dyDescent="0.25">
      <c r="A1095" t="s">
        <v>2706</v>
      </c>
      <c r="B1095">
        <v>0.6</v>
      </c>
      <c r="C1095">
        <v>25.85</v>
      </c>
      <c r="E1095" t="s">
        <v>2706</v>
      </c>
      <c r="F1095">
        <v>1.35</v>
      </c>
      <c r="G1095">
        <v>97.78</v>
      </c>
      <c r="I1095" t="str" cm="1">
        <f t="array" ref="I1095:J1095">_xlfn.TEXTSPLIT(A1095," ")</f>
        <v>27.10.2023</v>
      </c>
      <c r="J1095" t="str">
        <v>18:14:48</v>
      </c>
      <c r="K1095">
        <f t="shared" si="280"/>
        <v>18.200000000000248</v>
      </c>
      <c r="L1095">
        <f t="shared" si="273"/>
        <v>11.530000000000001</v>
      </c>
      <c r="M1095">
        <f t="shared" si="274"/>
        <v>0.6</v>
      </c>
      <c r="N1095">
        <f t="shared" si="268"/>
        <v>0.7</v>
      </c>
      <c r="Q1095" t="str" cm="1">
        <f t="array" ref="Q1095:R1095">_xlfn.TEXTSPLIT(E1095," ")</f>
        <v>27.10.2023</v>
      </c>
      <c r="R1095" t="str">
        <v>18:14:48</v>
      </c>
      <c r="S1095">
        <f t="shared" si="281"/>
        <v>18.200000000000248</v>
      </c>
      <c r="T1095">
        <f t="shared" si="272"/>
        <v>19.180000000000007</v>
      </c>
      <c r="U1095">
        <f t="shared" si="275"/>
        <v>1.35</v>
      </c>
      <c r="V1095">
        <f t="shared" si="269"/>
        <v>1.2199999999999995</v>
      </c>
      <c r="AC1095" t="s">
        <v>2707</v>
      </c>
      <c r="AD1095">
        <v>0.75</v>
      </c>
      <c r="AE1095">
        <v>12.05</v>
      </c>
      <c r="AG1095" t="str" cm="1">
        <f t="array" ref="AG1095:AH1095">_xlfn.TEXTSPLIT(AC1096," ")</f>
        <v>26.10.2023</v>
      </c>
      <c r="AH1095" t="str">
        <v>18:16:01</v>
      </c>
      <c r="AI1095">
        <f t="shared" si="282"/>
        <v>18.200000000000248</v>
      </c>
      <c r="AJ1095">
        <f t="shared" si="276"/>
        <v>7.5200000000000005</v>
      </c>
      <c r="AK1095">
        <f t="shared" si="277"/>
        <v>0.75</v>
      </c>
      <c r="AL1095">
        <f t="shared" si="270"/>
        <v>0.53500000000000014</v>
      </c>
      <c r="AN1095" t="s">
        <v>2707</v>
      </c>
      <c r="AO1095">
        <v>0.75</v>
      </c>
      <c r="AP1095">
        <v>75.05</v>
      </c>
      <c r="AR1095" t="str" cm="1">
        <f t="array" ref="AR1095:AS1095">_xlfn.TEXTSPLIT(AN1095," ")</f>
        <v>26.10.2023</v>
      </c>
      <c r="AS1095" t="str">
        <v>18:15:01</v>
      </c>
      <c r="AT1095">
        <f t="shared" si="283"/>
        <v>18.200000000000248</v>
      </c>
      <c r="AU1095">
        <f t="shared" si="278"/>
        <v>13.739999999999995</v>
      </c>
      <c r="AV1095">
        <f t="shared" si="279"/>
        <v>0.75</v>
      </c>
      <c r="AW1095">
        <f t="shared" si="271"/>
        <v>0.69999999999999984</v>
      </c>
    </row>
    <row r="1096" spans="1:49" x14ac:dyDescent="0.25">
      <c r="A1096" t="s">
        <v>2708</v>
      </c>
      <c r="B1096">
        <v>1.05</v>
      </c>
      <c r="C1096">
        <v>25.86</v>
      </c>
      <c r="E1096" t="s">
        <v>2708</v>
      </c>
      <c r="F1096">
        <v>0.75</v>
      </c>
      <c r="G1096">
        <v>97.81</v>
      </c>
      <c r="I1096" t="str" cm="1">
        <f t="array" ref="I1096:J1096">_xlfn.TEXTSPLIT(A1096," ")</f>
        <v>27.10.2023</v>
      </c>
      <c r="J1096" t="str">
        <v>18:15:48</v>
      </c>
      <c r="K1096">
        <f t="shared" si="280"/>
        <v>18.216666666666914</v>
      </c>
      <c r="L1096">
        <f t="shared" si="273"/>
        <v>11.54</v>
      </c>
      <c r="M1096">
        <f t="shared" si="274"/>
        <v>1.05</v>
      </c>
      <c r="N1096">
        <f t="shared" si="268"/>
        <v>0.70499999999999996</v>
      </c>
      <c r="Q1096" t="str" cm="1">
        <f t="array" ref="Q1096:R1096">_xlfn.TEXTSPLIT(E1096," ")</f>
        <v>27.10.2023</v>
      </c>
      <c r="R1096" t="str">
        <v>18:15:48</v>
      </c>
      <c r="S1096">
        <f t="shared" si="281"/>
        <v>18.216666666666914</v>
      </c>
      <c r="T1096">
        <f t="shared" si="272"/>
        <v>19.210000000000008</v>
      </c>
      <c r="U1096">
        <f t="shared" si="275"/>
        <v>0.75</v>
      </c>
      <c r="V1096">
        <f t="shared" si="269"/>
        <v>1.2074999999999998</v>
      </c>
      <c r="AC1096" t="s">
        <v>2709</v>
      </c>
      <c r="AD1096">
        <v>0.6</v>
      </c>
      <c r="AE1096">
        <v>12.05</v>
      </c>
      <c r="AG1096" t="str" cm="1">
        <f t="array" ref="AG1096:AH1096">_xlfn.TEXTSPLIT(AC1097," ")</f>
        <v>26.10.2023</v>
      </c>
      <c r="AH1096" t="str">
        <v>18:17:01</v>
      </c>
      <c r="AI1096">
        <f t="shared" si="282"/>
        <v>18.216666666666914</v>
      </c>
      <c r="AJ1096">
        <f t="shared" si="276"/>
        <v>7.5200000000000005</v>
      </c>
      <c r="AK1096">
        <f t="shared" si="277"/>
        <v>0.6</v>
      </c>
      <c r="AL1096">
        <f t="shared" si="270"/>
        <v>0.53</v>
      </c>
      <c r="AN1096" t="s">
        <v>2709</v>
      </c>
      <c r="AO1096">
        <v>0.6</v>
      </c>
      <c r="AP1096">
        <v>75.06</v>
      </c>
      <c r="AR1096" t="str" cm="1">
        <f t="array" ref="AR1096:AS1096">_xlfn.TEXTSPLIT(AN1096," ")</f>
        <v>26.10.2023</v>
      </c>
      <c r="AS1096" t="str">
        <v>18:16:01</v>
      </c>
      <c r="AT1096">
        <f t="shared" si="283"/>
        <v>18.216666666666914</v>
      </c>
      <c r="AU1096">
        <f t="shared" si="278"/>
        <v>13.75</v>
      </c>
      <c r="AV1096">
        <f t="shared" si="279"/>
        <v>0.6</v>
      </c>
      <c r="AW1096">
        <f t="shared" si="271"/>
        <v>0.6925</v>
      </c>
    </row>
    <row r="1097" spans="1:49" x14ac:dyDescent="0.25">
      <c r="A1097" t="s">
        <v>2710</v>
      </c>
      <c r="B1097">
        <v>0.6</v>
      </c>
      <c r="C1097">
        <v>25.87</v>
      </c>
      <c r="E1097" t="s">
        <v>2710</v>
      </c>
      <c r="F1097">
        <v>1.5</v>
      </c>
      <c r="G1097">
        <v>97.82</v>
      </c>
      <c r="I1097" t="str" cm="1">
        <f t="array" ref="I1097:J1097">_xlfn.TEXTSPLIT(A1097," ")</f>
        <v>27.10.2023</v>
      </c>
      <c r="J1097" t="str">
        <v>18:16:48</v>
      </c>
      <c r="K1097">
        <f t="shared" si="280"/>
        <v>18.233333333333579</v>
      </c>
      <c r="L1097">
        <f t="shared" si="273"/>
        <v>11.55</v>
      </c>
      <c r="M1097">
        <f t="shared" si="274"/>
        <v>0.6</v>
      </c>
      <c r="N1097">
        <f t="shared" si="268"/>
        <v>0.70499999999999985</v>
      </c>
      <c r="Q1097" t="str" cm="1">
        <f t="array" ref="Q1097:R1097">_xlfn.TEXTSPLIT(E1097," ")</f>
        <v>27.10.2023</v>
      </c>
      <c r="R1097" t="str">
        <v>18:16:48</v>
      </c>
      <c r="S1097">
        <f t="shared" si="281"/>
        <v>18.233333333333579</v>
      </c>
      <c r="T1097">
        <f t="shared" si="272"/>
        <v>19.22</v>
      </c>
      <c r="U1097">
        <f t="shared" si="275"/>
        <v>1.5</v>
      </c>
      <c r="V1097">
        <f t="shared" si="269"/>
        <v>1.2049999999999996</v>
      </c>
      <c r="AC1097" t="s">
        <v>2711</v>
      </c>
      <c r="AD1097">
        <v>0.6</v>
      </c>
      <c r="AE1097">
        <v>12.07</v>
      </c>
      <c r="AG1097" t="str" cm="1">
        <f t="array" ref="AG1097:AH1097">_xlfn.TEXTSPLIT(AC1098," ")</f>
        <v>26.10.2023</v>
      </c>
      <c r="AH1097" t="str">
        <v>18:18:01</v>
      </c>
      <c r="AI1097">
        <f t="shared" si="282"/>
        <v>18.233333333333579</v>
      </c>
      <c r="AJ1097">
        <f t="shared" si="276"/>
        <v>7.54</v>
      </c>
      <c r="AK1097">
        <f t="shared" si="277"/>
        <v>0.6</v>
      </c>
      <c r="AL1097">
        <f t="shared" si="270"/>
        <v>0.53</v>
      </c>
      <c r="AN1097" t="s">
        <v>2711</v>
      </c>
      <c r="AO1097">
        <v>0.75</v>
      </c>
      <c r="AP1097">
        <v>75.069999999999993</v>
      </c>
      <c r="AR1097" t="str" cm="1">
        <f t="array" ref="AR1097:AS1097">_xlfn.TEXTSPLIT(AN1097," ")</f>
        <v>26.10.2023</v>
      </c>
      <c r="AS1097" t="str">
        <v>18:17:01</v>
      </c>
      <c r="AT1097">
        <f t="shared" si="283"/>
        <v>18.233333333333579</v>
      </c>
      <c r="AU1097">
        <f t="shared" si="278"/>
        <v>13.759999999999991</v>
      </c>
      <c r="AV1097">
        <f t="shared" si="279"/>
        <v>0.75</v>
      </c>
      <c r="AW1097">
        <f t="shared" si="271"/>
        <v>0.68749999999999989</v>
      </c>
    </row>
    <row r="1098" spans="1:49" x14ac:dyDescent="0.25">
      <c r="A1098" t="s">
        <v>2712</v>
      </c>
      <c r="B1098">
        <v>0.45</v>
      </c>
      <c r="C1098">
        <v>25.88</v>
      </c>
      <c r="E1098" t="s">
        <v>2712</v>
      </c>
      <c r="F1098">
        <v>1.2</v>
      </c>
      <c r="G1098">
        <v>97.84</v>
      </c>
      <c r="I1098" t="str" cm="1">
        <f t="array" ref="I1098:J1098">_xlfn.TEXTSPLIT(A1098," ")</f>
        <v>27.10.2023</v>
      </c>
      <c r="J1098" t="str">
        <v>18:17:48</v>
      </c>
      <c r="K1098">
        <f t="shared" si="280"/>
        <v>18.250000000000245</v>
      </c>
      <c r="L1098">
        <f t="shared" si="273"/>
        <v>11.559999999999999</v>
      </c>
      <c r="M1098">
        <f t="shared" si="274"/>
        <v>0.45</v>
      </c>
      <c r="N1098">
        <f t="shared" si="268"/>
        <v>0.70250000000000001</v>
      </c>
      <c r="Q1098" t="str" cm="1">
        <f t="array" ref="Q1098:R1098">_xlfn.TEXTSPLIT(E1098," ")</f>
        <v>27.10.2023</v>
      </c>
      <c r="R1098" t="str">
        <v>18:17:48</v>
      </c>
      <c r="S1098">
        <f t="shared" si="281"/>
        <v>18.250000000000245</v>
      </c>
      <c r="T1098">
        <f t="shared" si="272"/>
        <v>19.240000000000009</v>
      </c>
      <c r="U1098">
        <f t="shared" si="275"/>
        <v>1.2</v>
      </c>
      <c r="V1098">
        <f t="shared" si="269"/>
        <v>1.2024999999999999</v>
      </c>
      <c r="AC1098" t="s">
        <v>2713</v>
      </c>
      <c r="AD1098">
        <v>0.15</v>
      </c>
      <c r="AE1098">
        <v>12.07</v>
      </c>
      <c r="AG1098" t="str" cm="1">
        <f t="array" ref="AG1098:AH1098">_xlfn.TEXTSPLIT(AC1099," ")</f>
        <v>26.10.2023</v>
      </c>
      <c r="AH1098" t="str">
        <v>18:19:01</v>
      </c>
      <c r="AI1098">
        <f t="shared" si="282"/>
        <v>18.250000000000245</v>
      </c>
      <c r="AJ1098">
        <f t="shared" si="276"/>
        <v>7.54</v>
      </c>
      <c r="AK1098">
        <f t="shared" si="277"/>
        <v>0.15</v>
      </c>
      <c r="AL1098">
        <f t="shared" si="270"/>
        <v>0.52500000000000002</v>
      </c>
      <c r="AN1098" t="s">
        <v>2713</v>
      </c>
      <c r="AO1098">
        <v>0.45</v>
      </c>
      <c r="AP1098">
        <v>75.09</v>
      </c>
      <c r="AR1098" t="str" cm="1">
        <f t="array" ref="AR1098:AS1098">_xlfn.TEXTSPLIT(AN1098," ")</f>
        <v>26.10.2023</v>
      </c>
      <c r="AS1098" t="str">
        <v>18:18:01</v>
      </c>
      <c r="AT1098">
        <f t="shared" si="283"/>
        <v>18.250000000000245</v>
      </c>
      <c r="AU1098">
        <f t="shared" si="278"/>
        <v>13.780000000000001</v>
      </c>
      <c r="AV1098">
        <f t="shared" si="279"/>
        <v>0.45</v>
      </c>
      <c r="AW1098">
        <f t="shared" si="271"/>
        <v>0.67999999999999994</v>
      </c>
    </row>
    <row r="1099" spans="1:49" x14ac:dyDescent="0.25">
      <c r="A1099" t="s">
        <v>2714</v>
      </c>
      <c r="B1099">
        <v>0.75</v>
      </c>
      <c r="C1099">
        <v>25.89</v>
      </c>
      <c r="E1099" t="s">
        <v>2714</v>
      </c>
      <c r="F1099">
        <v>0.9</v>
      </c>
      <c r="G1099">
        <v>97.85</v>
      </c>
      <c r="I1099" t="str" cm="1">
        <f t="array" ref="I1099:J1099">_xlfn.TEXTSPLIT(A1099," ")</f>
        <v>27.10.2023</v>
      </c>
      <c r="J1099" t="str">
        <v>18:18:48</v>
      </c>
      <c r="K1099">
        <f t="shared" si="280"/>
        <v>18.266666666666911</v>
      </c>
      <c r="L1099">
        <f t="shared" si="273"/>
        <v>11.57</v>
      </c>
      <c r="M1099">
        <f t="shared" si="274"/>
        <v>0.75</v>
      </c>
      <c r="N1099">
        <f t="shared" si="268"/>
        <v>0.70499999999999996</v>
      </c>
      <c r="Q1099" t="str" cm="1">
        <f t="array" ref="Q1099:R1099">_xlfn.TEXTSPLIT(E1099," ")</f>
        <v>27.10.2023</v>
      </c>
      <c r="R1099" t="str">
        <v>18:18:48</v>
      </c>
      <c r="S1099">
        <f t="shared" si="281"/>
        <v>18.266666666666911</v>
      </c>
      <c r="T1099">
        <f t="shared" si="272"/>
        <v>19.25</v>
      </c>
      <c r="U1099">
        <f t="shared" si="275"/>
        <v>0.9</v>
      </c>
      <c r="V1099">
        <f t="shared" si="269"/>
        <v>1.2</v>
      </c>
      <c r="AC1099" t="s">
        <v>2715</v>
      </c>
      <c r="AD1099">
        <v>0.45</v>
      </c>
      <c r="AE1099">
        <v>12.08</v>
      </c>
      <c r="AG1099" t="str" cm="1">
        <f t="array" ref="AG1099:AH1099">_xlfn.TEXTSPLIT(AC1100," ")</f>
        <v>26.10.2023</v>
      </c>
      <c r="AH1099" t="str">
        <v>18:20:01</v>
      </c>
      <c r="AI1099">
        <f t="shared" si="282"/>
        <v>18.266666666666911</v>
      </c>
      <c r="AJ1099">
        <f t="shared" si="276"/>
        <v>7.55</v>
      </c>
      <c r="AK1099">
        <f t="shared" si="277"/>
        <v>0.45</v>
      </c>
      <c r="AL1099">
        <f t="shared" si="270"/>
        <v>0.52250000000000008</v>
      </c>
      <c r="AN1099" t="s">
        <v>2715</v>
      </c>
      <c r="AO1099">
        <v>0.9</v>
      </c>
      <c r="AP1099">
        <v>75.099999999999994</v>
      </c>
      <c r="AR1099" t="str" cm="1">
        <f t="array" ref="AR1099:AS1099">_xlfn.TEXTSPLIT(AN1099," ")</f>
        <v>26.10.2023</v>
      </c>
      <c r="AS1099" t="str">
        <v>18:19:01</v>
      </c>
      <c r="AT1099">
        <f t="shared" si="283"/>
        <v>18.266666666666911</v>
      </c>
      <c r="AU1099">
        <f t="shared" si="278"/>
        <v>13.789999999999992</v>
      </c>
      <c r="AV1099">
        <f t="shared" si="279"/>
        <v>0.9</v>
      </c>
      <c r="AW1099">
        <f t="shared" si="271"/>
        <v>0.68499999999999994</v>
      </c>
    </row>
    <row r="1100" spans="1:49" x14ac:dyDescent="0.25">
      <c r="A1100" t="s">
        <v>2716</v>
      </c>
      <c r="B1100">
        <v>0.6</v>
      </c>
      <c r="C1100">
        <v>25.9</v>
      </c>
      <c r="E1100" t="s">
        <v>2716</v>
      </c>
      <c r="F1100">
        <v>1.05</v>
      </c>
      <c r="G1100">
        <v>97.87</v>
      </c>
      <c r="I1100" t="str" cm="1">
        <f t="array" ref="I1100:J1100">_xlfn.TEXTSPLIT(A1100," ")</f>
        <v>27.10.2023</v>
      </c>
      <c r="J1100" t="str">
        <v>18:19:48</v>
      </c>
      <c r="K1100">
        <f t="shared" si="280"/>
        <v>18.283333333333577</v>
      </c>
      <c r="L1100">
        <f t="shared" si="273"/>
        <v>11.579999999999998</v>
      </c>
      <c r="M1100">
        <f t="shared" si="274"/>
        <v>0.6</v>
      </c>
      <c r="N1100">
        <f t="shared" si="268"/>
        <v>0.70250000000000001</v>
      </c>
      <c r="Q1100" t="str" cm="1">
        <f t="array" ref="Q1100:R1100">_xlfn.TEXTSPLIT(E1100," ")</f>
        <v>27.10.2023</v>
      </c>
      <c r="R1100" t="str">
        <v>18:19:48</v>
      </c>
      <c r="S1100">
        <f t="shared" si="281"/>
        <v>18.283333333333577</v>
      </c>
      <c r="T1100">
        <f t="shared" si="272"/>
        <v>19.27000000000001</v>
      </c>
      <c r="U1100">
        <f t="shared" si="275"/>
        <v>1.05</v>
      </c>
      <c r="V1100">
        <f t="shared" si="269"/>
        <v>1.2</v>
      </c>
      <c r="AC1100" t="s">
        <v>2717</v>
      </c>
      <c r="AD1100">
        <v>0.15</v>
      </c>
      <c r="AE1100">
        <v>12.08</v>
      </c>
      <c r="AG1100" t="str" cm="1">
        <f t="array" ref="AG1100:AH1100">_xlfn.TEXTSPLIT(AC1101," ")</f>
        <v>26.10.2023</v>
      </c>
      <c r="AH1100" t="str">
        <v>18:21:01</v>
      </c>
      <c r="AI1100">
        <f t="shared" si="282"/>
        <v>18.283333333333577</v>
      </c>
      <c r="AJ1100">
        <f t="shared" si="276"/>
        <v>7.55</v>
      </c>
      <c r="AK1100">
        <f t="shared" si="277"/>
        <v>0.15</v>
      </c>
      <c r="AL1100">
        <f t="shared" si="270"/>
        <v>0.51749999999999996</v>
      </c>
      <c r="AN1100" t="s">
        <v>2717</v>
      </c>
      <c r="AO1100">
        <v>1.05</v>
      </c>
      <c r="AP1100">
        <v>75.12</v>
      </c>
      <c r="AR1100" t="str" cm="1">
        <f t="array" ref="AR1100:AS1100">_xlfn.TEXTSPLIT(AN1100," ")</f>
        <v>26.10.2023</v>
      </c>
      <c r="AS1100" t="str">
        <v>18:20:01</v>
      </c>
      <c r="AT1100">
        <f t="shared" si="283"/>
        <v>18.283333333333577</v>
      </c>
      <c r="AU1100">
        <f t="shared" si="278"/>
        <v>13.810000000000002</v>
      </c>
      <c r="AV1100">
        <f t="shared" si="279"/>
        <v>1.05</v>
      </c>
      <c r="AW1100">
        <f t="shared" si="271"/>
        <v>0.69499999999999995</v>
      </c>
    </row>
    <row r="1101" spans="1:49" x14ac:dyDescent="0.25">
      <c r="A1101" t="s">
        <v>2718</v>
      </c>
      <c r="B1101">
        <v>0.6</v>
      </c>
      <c r="C1101">
        <v>25.91</v>
      </c>
      <c r="E1101" t="s">
        <v>2718</v>
      </c>
      <c r="F1101">
        <v>0.9</v>
      </c>
      <c r="G1101">
        <v>97.89</v>
      </c>
      <c r="I1101" t="str" cm="1">
        <f t="array" ref="I1101:J1101">_xlfn.TEXTSPLIT(A1101," ")</f>
        <v>27.10.2023</v>
      </c>
      <c r="J1101" t="str">
        <v>18:20:48</v>
      </c>
      <c r="K1101">
        <f t="shared" si="280"/>
        <v>18.300000000000242</v>
      </c>
      <c r="L1101">
        <f t="shared" si="273"/>
        <v>11.59</v>
      </c>
      <c r="M1101">
        <f t="shared" si="274"/>
        <v>0.6</v>
      </c>
      <c r="N1101">
        <f t="shared" si="268"/>
        <v>0.70250000000000001</v>
      </c>
      <c r="Q1101" t="str" cm="1">
        <f t="array" ref="Q1101:R1101">_xlfn.TEXTSPLIT(E1101," ")</f>
        <v>27.10.2023</v>
      </c>
      <c r="R1101" t="str">
        <v>18:20:48</v>
      </c>
      <c r="S1101">
        <f t="shared" si="281"/>
        <v>18.300000000000242</v>
      </c>
      <c r="T1101">
        <f t="shared" si="272"/>
        <v>19.290000000000006</v>
      </c>
      <c r="U1101">
        <f t="shared" si="275"/>
        <v>0.9</v>
      </c>
      <c r="V1101">
        <f t="shared" si="269"/>
        <v>1.1950000000000001</v>
      </c>
      <c r="AC1101" t="s">
        <v>2719</v>
      </c>
      <c r="AD1101">
        <v>0.6</v>
      </c>
      <c r="AE1101">
        <v>12.09</v>
      </c>
      <c r="AG1101" t="str" cm="1">
        <f t="array" ref="AG1101:AH1101">_xlfn.TEXTSPLIT(AC1102," ")</f>
        <v>26.10.2023</v>
      </c>
      <c r="AH1101" t="str">
        <v>18:22:01</v>
      </c>
      <c r="AI1101">
        <f t="shared" si="282"/>
        <v>18.300000000000242</v>
      </c>
      <c r="AJ1101">
        <f t="shared" si="276"/>
        <v>7.56</v>
      </c>
      <c r="AK1101">
        <f t="shared" si="277"/>
        <v>0.6</v>
      </c>
      <c r="AL1101">
        <f t="shared" si="270"/>
        <v>0.52</v>
      </c>
      <c r="AN1101" t="s">
        <v>2719</v>
      </c>
      <c r="AO1101">
        <v>0.9</v>
      </c>
      <c r="AP1101">
        <v>75.13</v>
      </c>
      <c r="AR1101" t="str" cm="1">
        <f t="array" ref="AR1101:AS1101">_xlfn.TEXTSPLIT(AN1101," ")</f>
        <v>26.10.2023</v>
      </c>
      <c r="AS1101" t="str">
        <v>18:21:01</v>
      </c>
      <c r="AT1101">
        <f t="shared" si="283"/>
        <v>18.300000000000242</v>
      </c>
      <c r="AU1101">
        <f t="shared" si="278"/>
        <v>13.819999999999993</v>
      </c>
      <c r="AV1101">
        <f t="shared" si="279"/>
        <v>0.9</v>
      </c>
      <c r="AW1101">
        <f t="shared" si="271"/>
        <v>0.69999999999999984</v>
      </c>
    </row>
    <row r="1102" spans="1:49" x14ac:dyDescent="0.25">
      <c r="A1102" t="s">
        <v>2720</v>
      </c>
      <c r="B1102">
        <v>0.6</v>
      </c>
      <c r="C1102">
        <v>25.92</v>
      </c>
      <c r="E1102" t="s">
        <v>2720</v>
      </c>
      <c r="F1102">
        <v>0.75</v>
      </c>
      <c r="G1102">
        <v>97.89</v>
      </c>
      <c r="I1102" t="str" cm="1">
        <f t="array" ref="I1102:J1102">_xlfn.TEXTSPLIT(A1102," ")</f>
        <v>27.10.2023</v>
      </c>
      <c r="J1102" t="str">
        <v>18:21:49</v>
      </c>
      <c r="K1102">
        <f t="shared" si="280"/>
        <v>18.316666666666908</v>
      </c>
      <c r="L1102">
        <f t="shared" si="273"/>
        <v>11.600000000000001</v>
      </c>
      <c r="M1102">
        <f t="shared" si="274"/>
        <v>0.6</v>
      </c>
      <c r="N1102">
        <f t="shared" si="268"/>
        <v>0.69750000000000001</v>
      </c>
      <c r="Q1102" t="str" cm="1">
        <f t="array" ref="Q1102:R1102">_xlfn.TEXTSPLIT(E1102," ")</f>
        <v>27.10.2023</v>
      </c>
      <c r="R1102" t="str">
        <v>18:21:49</v>
      </c>
      <c r="S1102">
        <f t="shared" si="281"/>
        <v>18.316666666666908</v>
      </c>
      <c r="T1102">
        <f t="shared" si="272"/>
        <v>19.290000000000006</v>
      </c>
      <c r="U1102">
        <f t="shared" si="275"/>
        <v>0.75</v>
      </c>
      <c r="V1102">
        <f t="shared" si="269"/>
        <v>1.1875000000000002</v>
      </c>
      <c r="AC1102" t="s">
        <v>2721</v>
      </c>
      <c r="AD1102">
        <v>0.3</v>
      </c>
      <c r="AE1102">
        <v>12.1</v>
      </c>
      <c r="AG1102" t="str" cm="1">
        <f t="array" ref="AG1102:AH1102">_xlfn.TEXTSPLIT(AC1103," ")</f>
        <v>26.10.2023</v>
      </c>
      <c r="AH1102" t="str">
        <v>18:23:01</v>
      </c>
      <c r="AI1102">
        <f t="shared" si="282"/>
        <v>18.316666666666908</v>
      </c>
      <c r="AJ1102">
        <f t="shared" si="276"/>
        <v>7.5699999999999994</v>
      </c>
      <c r="AK1102">
        <f t="shared" si="277"/>
        <v>0.3</v>
      </c>
      <c r="AL1102">
        <f t="shared" si="270"/>
        <v>0.51750000000000007</v>
      </c>
      <c r="AN1102" t="s">
        <v>2721</v>
      </c>
      <c r="AO1102">
        <v>0</v>
      </c>
      <c r="AP1102">
        <v>75.13</v>
      </c>
      <c r="AR1102" t="str" cm="1">
        <f t="array" ref="AR1102:AS1102">_xlfn.TEXTSPLIT(AN1102," ")</f>
        <v>26.10.2023</v>
      </c>
      <c r="AS1102" t="str">
        <v>18:22:01</v>
      </c>
      <c r="AT1102">
        <f t="shared" si="283"/>
        <v>18.316666666666908</v>
      </c>
      <c r="AU1102">
        <f t="shared" si="278"/>
        <v>13.819999999999993</v>
      </c>
      <c r="AV1102">
        <f t="shared" si="279"/>
        <v>0</v>
      </c>
      <c r="AW1102">
        <f t="shared" si="271"/>
        <v>0.69499999999999995</v>
      </c>
    </row>
    <row r="1103" spans="1:49" x14ac:dyDescent="0.25">
      <c r="A1103" t="s">
        <v>2722</v>
      </c>
      <c r="B1103">
        <v>0.75</v>
      </c>
      <c r="C1103">
        <v>25.92</v>
      </c>
      <c r="E1103" t="s">
        <v>2722</v>
      </c>
      <c r="F1103">
        <v>0.45</v>
      </c>
      <c r="G1103">
        <v>97.9</v>
      </c>
      <c r="I1103" t="str" cm="1">
        <f t="array" ref="I1103:J1103">_xlfn.TEXTSPLIT(A1103," ")</f>
        <v>27.10.2023</v>
      </c>
      <c r="J1103" t="str">
        <v>18:22:49</v>
      </c>
      <c r="K1103">
        <f t="shared" si="280"/>
        <v>18.333333333333574</v>
      </c>
      <c r="L1103">
        <f t="shared" si="273"/>
        <v>11.600000000000001</v>
      </c>
      <c r="M1103">
        <f t="shared" si="274"/>
        <v>0.75</v>
      </c>
      <c r="N1103">
        <f t="shared" si="268"/>
        <v>0.69500000000000006</v>
      </c>
      <c r="Q1103" t="str" cm="1">
        <f t="array" ref="Q1103:R1103">_xlfn.TEXTSPLIT(E1103," ")</f>
        <v>27.10.2023</v>
      </c>
      <c r="R1103" t="str">
        <v>18:22:49</v>
      </c>
      <c r="S1103">
        <f t="shared" si="281"/>
        <v>18.333333333333574</v>
      </c>
      <c r="T1103">
        <f t="shared" si="272"/>
        <v>19.300000000000011</v>
      </c>
      <c r="U1103">
        <f t="shared" si="275"/>
        <v>0.45</v>
      </c>
      <c r="V1103">
        <f t="shared" si="269"/>
        <v>1.1825000000000001</v>
      </c>
      <c r="AC1103" t="s">
        <v>2723</v>
      </c>
      <c r="AD1103">
        <v>0.3</v>
      </c>
      <c r="AE1103">
        <v>12.1</v>
      </c>
      <c r="AG1103" t="str" cm="1">
        <f t="array" ref="AG1103:AH1103">_xlfn.TEXTSPLIT(AC1104," ")</f>
        <v>26.10.2023</v>
      </c>
      <c r="AH1103" t="str">
        <v>18:24:01</v>
      </c>
      <c r="AI1103">
        <f t="shared" si="282"/>
        <v>18.333333333333574</v>
      </c>
      <c r="AJ1103">
        <f t="shared" si="276"/>
        <v>7.5699999999999994</v>
      </c>
      <c r="AK1103">
        <f t="shared" si="277"/>
        <v>0.3</v>
      </c>
      <c r="AL1103">
        <f t="shared" si="270"/>
        <v>0.51250000000000007</v>
      </c>
      <c r="AN1103" t="s">
        <v>2723</v>
      </c>
      <c r="AO1103">
        <v>0</v>
      </c>
      <c r="AP1103">
        <v>75.13</v>
      </c>
      <c r="AR1103" t="str" cm="1">
        <f t="array" ref="AR1103:AS1103">_xlfn.TEXTSPLIT(AN1103," ")</f>
        <v>26.10.2023</v>
      </c>
      <c r="AS1103" t="str">
        <v>18:23:01</v>
      </c>
      <c r="AT1103">
        <f t="shared" si="283"/>
        <v>18.333333333333574</v>
      </c>
      <c r="AU1103">
        <f t="shared" si="278"/>
        <v>13.819999999999993</v>
      </c>
      <c r="AV1103">
        <f t="shared" si="279"/>
        <v>0</v>
      </c>
      <c r="AW1103">
        <f t="shared" si="271"/>
        <v>0.69</v>
      </c>
    </row>
    <row r="1104" spans="1:49" x14ac:dyDescent="0.25">
      <c r="A1104" t="s">
        <v>2724</v>
      </c>
      <c r="B1104">
        <v>0</v>
      </c>
      <c r="C1104">
        <v>25.92</v>
      </c>
      <c r="E1104" t="s">
        <v>2724</v>
      </c>
      <c r="F1104">
        <v>0.6</v>
      </c>
      <c r="G1104">
        <v>97.92</v>
      </c>
      <c r="I1104" t="str" cm="1">
        <f t="array" ref="I1104:J1104">_xlfn.TEXTSPLIT(A1104," ")</f>
        <v>27.10.2023</v>
      </c>
      <c r="J1104" t="str">
        <v>18:23:49</v>
      </c>
      <c r="K1104">
        <f t="shared" si="280"/>
        <v>18.350000000000239</v>
      </c>
      <c r="L1104">
        <f t="shared" si="273"/>
        <v>11.600000000000001</v>
      </c>
      <c r="M1104">
        <f t="shared" si="274"/>
        <v>0</v>
      </c>
      <c r="N1104">
        <f t="shared" si="268"/>
        <v>0.69500000000000006</v>
      </c>
      <c r="Q1104" t="str" cm="1">
        <f t="array" ref="Q1104:R1104">_xlfn.TEXTSPLIT(E1104," ")</f>
        <v>27.10.2023</v>
      </c>
      <c r="R1104" t="str">
        <v>18:23:49</v>
      </c>
      <c r="S1104">
        <f t="shared" si="281"/>
        <v>18.350000000000239</v>
      </c>
      <c r="T1104">
        <f t="shared" si="272"/>
        <v>19.320000000000007</v>
      </c>
      <c r="U1104">
        <f t="shared" si="275"/>
        <v>0.6</v>
      </c>
      <c r="V1104">
        <f t="shared" si="269"/>
        <v>1.1825000000000001</v>
      </c>
      <c r="AC1104" t="s">
        <v>2725</v>
      </c>
      <c r="AD1104">
        <v>0.3</v>
      </c>
      <c r="AE1104">
        <v>12.1</v>
      </c>
      <c r="AG1104" t="str" cm="1">
        <f t="array" ref="AG1104:AH1104">_xlfn.TEXTSPLIT(AC1105," ")</f>
        <v>26.10.2023</v>
      </c>
      <c r="AH1104" t="str">
        <v>18:25:01</v>
      </c>
      <c r="AI1104">
        <f t="shared" si="282"/>
        <v>18.350000000000239</v>
      </c>
      <c r="AJ1104">
        <f t="shared" si="276"/>
        <v>7.5699999999999994</v>
      </c>
      <c r="AK1104">
        <f t="shared" si="277"/>
        <v>0.3</v>
      </c>
      <c r="AL1104">
        <f t="shared" si="270"/>
        <v>0.51250000000000007</v>
      </c>
      <c r="AN1104" t="s">
        <v>2725</v>
      </c>
      <c r="AO1104">
        <v>0.15</v>
      </c>
      <c r="AP1104">
        <v>75.13</v>
      </c>
      <c r="AR1104" t="str" cm="1">
        <f t="array" ref="AR1104:AS1104">_xlfn.TEXTSPLIT(AN1104," ")</f>
        <v>26.10.2023</v>
      </c>
      <c r="AS1104" t="str">
        <v>18:24:01</v>
      </c>
      <c r="AT1104">
        <f t="shared" si="283"/>
        <v>18.350000000000239</v>
      </c>
      <c r="AU1104">
        <f t="shared" si="278"/>
        <v>13.819999999999993</v>
      </c>
      <c r="AV1104">
        <f t="shared" si="279"/>
        <v>0.15</v>
      </c>
      <c r="AW1104">
        <f t="shared" si="271"/>
        <v>0.6925</v>
      </c>
    </row>
    <row r="1105" spans="1:49" x14ac:dyDescent="0.25">
      <c r="A1105" t="s">
        <v>2726</v>
      </c>
      <c r="B1105">
        <v>0</v>
      </c>
      <c r="C1105">
        <v>25.92</v>
      </c>
      <c r="E1105" t="s">
        <v>2726</v>
      </c>
      <c r="F1105">
        <v>0.9</v>
      </c>
      <c r="G1105">
        <v>97.93</v>
      </c>
      <c r="I1105" t="str" cm="1">
        <f t="array" ref="I1105:J1105">_xlfn.TEXTSPLIT(A1105," ")</f>
        <v>27.10.2023</v>
      </c>
      <c r="J1105" t="str">
        <v>18:24:49</v>
      </c>
      <c r="K1105">
        <f t="shared" si="280"/>
        <v>18.366666666666905</v>
      </c>
      <c r="L1105">
        <f t="shared" si="273"/>
        <v>11.600000000000001</v>
      </c>
      <c r="M1105">
        <f t="shared" si="274"/>
        <v>0</v>
      </c>
      <c r="N1105">
        <f t="shared" si="268"/>
        <v>0.69500000000000006</v>
      </c>
      <c r="Q1105" t="str" cm="1">
        <f t="array" ref="Q1105:R1105">_xlfn.TEXTSPLIT(E1105," ")</f>
        <v>27.10.2023</v>
      </c>
      <c r="R1105" t="str">
        <v>18:24:49</v>
      </c>
      <c r="S1105">
        <f t="shared" si="281"/>
        <v>18.366666666666905</v>
      </c>
      <c r="T1105">
        <f t="shared" si="272"/>
        <v>19.330000000000013</v>
      </c>
      <c r="U1105">
        <f t="shared" si="275"/>
        <v>0.9</v>
      </c>
      <c r="V1105">
        <f t="shared" si="269"/>
        <v>1.1850000000000001</v>
      </c>
      <c r="AC1105" t="s">
        <v>2727</v>
      </c>
      <c r="AD1105">
        <v>0</v>
      </c>
      <c r="AE1105">
        <v>12.1</v>
      </c>
      <c r="AG1105" t="str" cm="1">
        <f t="array" ref="AG1105:AH1105">_xlfn.TEXTSPLIT(AC1106," ")</f>
        <v>26.10.2023</v>
      </c>
      <c r="AH1105" t="str">
        <v>18:26:01</v>
      </c>
      <c r="AI1105">
        <f t="shared" si="282"/>
        <v>18.366666666666905</v>
      </c>
      <c r="AJ1105">
        <f t="shared" si="276"/>
        <v>7.5699999999999994</v>
      </c>
      <c r="AK1105">
        <f t="shared" si="277"/>
        <v>0</v>
      </c>
      <c r="AL1105">
        <f t="shared" si="270"/>
        <v>0.51250000000000007</v>
      </c>
      <c r="AN1105" t="s">
        <v>2727</v>
      </c>
      <c r="AO1105">
        <v>0.15</v>
      </c>
      <c r="AP1105">
        <v>75.13</v>
      </c>
      <c r="AR1105" t="str" cm="1">
        <f t="array" ref="AR1105:AS1105">_xlfn.TEXTSPLIT(AN1105," ")</f>
        <v>26.10.2023</v>
      </c>
      <c r="AS1105" t="str">
        <v>18:25:01</v>
      </c>
      <c r="AT1105">
        <f t="shared" si="283"/>
        <v>18.366666666666905</v>
      </c>
      <c r="AU1105">
        <f t="shared" si="278"/>
        <v>13.819999999999993</v>
      </c>
      <c r="AV1105">
        <f t="shared" si="279"/>
        <v>0.15</v>
      </c>
      <c r="AW1105">
        <f t="shared" si="271"/>
        <v>0.69499999999999995</v>
      </c>
    </row>
    <row r="1106" spans="1:49" x14ac:dyDescent="0.25">
      <c r="A1106" t="s">
        <v>2728</v>
      </c>
      <c r="B1106">
        <v>0</v>
      </c>
      <c r="C1106">
        <v>25.92</v>
      </c>
      <c r="E1106" t="s">
        <v>2728</v>
      </c>
      <c r="F1106">
        <v>1.2</v>
      </c>
      <c r="G1106">
        <v>97.94</v>
      </c>
      <c r="I1106" t="str" cm="1">
        <f t="array" ref="I1106:J1106">_xlfn.TEXTSPLIT(A1106," ")</f>
        <v>27.10.2023</v>
      </c>
      <c r="J1106" t="str">
        <v>18:25:49</v>
      </c>
      <c r="K1106">
        <f t="shared" si="280"/>
        <v>18.383333333333571</v>
      </c>
      <c r="L1106">
        <f t="shared" si="273"/>
        <v>11.600000000000001</v>
      </c>
      <c r="M1106">
        <f t="shared" si="274"/>
        <v>0</v>
      </c>
      <c r="N1106">
        <f t="shared" si="268"/>
        <v>0.69500000000000006</v>
      </c>
      <c r="Q1106" t="str" cm="1">
        <f t="array" ref="Q1106:R1106">_xlfn.TEXTSPLIT(E1106," ")</f>
        <v>27.10.2023</v>
      </c>
      <c r="R1106" t="str">
        <v>18:25:49</v>
      </c>
      <c r="S1106">
        <f t="shared" si="281"/>
        <v>18.383333333333571</v>
      </c>
      <c r="T1106">
        <f t="shared" si="272"/>
        <v>19.340000000000003</v>
      </c>
      <c r="U1106">
        <f t="shared" si="275"/>
        <v>1.2</v>
      </c>
      <c r="V1106">
        <f t="shared" si="269"/>
        <v>1.1950000000000001</v>
      </c>
      <c r="AC1106" t="s">
        <v>2729</v>
      </c>
      <c r="AD1106">
        <v>0</v>
      </c>
      <c r="AE1106">
        <v>12.1</v>
      </c>
      <c r="AG1106" t="str" cm="1">
        <f t="array" ref="AG1106:AH1106">_xlfn.TEXTSPLIT(AC1107," ")</f>
        <v>26.10.2023</v>
      </c>
      <c r="AH1106" t="str">
        <v>18:27:02</v>
      </c>
      <c r="AI1106">
        <f t="shared" si="282"/>
        <v>18.383333333333571</v>
      </c>
      <c r="AJ1106">
        <f t="shared" si="276"/>
        <v>7.5699999999999994</v>
      </c>
      <c r="AK1106">
        <f t="shared" si="277"/>
        <v>0</v>
      </c>
      <c r="AL1106">
        <f t="shared" si="270"/>
        <v>0.51250000000000007</v>
      </c>
      <c r="AN1106" t="s">
        <v>2729</v>
      </c>
      <c r="AO1106">
        <v>0.15</v>
      </c>
      <c r="AP1106">
        <v>75.14</v>
      </c>
      <c r="AR1106" t="str" cm="1">
        <f t="array" ref="AR1106:AS1106">_xlfn.TEXTSPLIT(AN1106," ")</f>
        <v>26.10.2023</v>
      </c>
      <c r="AS1106" t="str">
        <v>18:26:01</v>
      </c>
      <c r="AT1106">
        <f t="shared" si="283"/>
        <v>18.383333333333571</v>
      </c>
      <c r="AU1106">
        <f t="shared" si="278"/>
        <v>13.829999999999998</v>
      </c>
      <c r="AV1106">
        <f t="shared" si="279"/>
        <v>0.15</v>
      </c>
      <c r="AW1106">
        <f t="shared" si="271"/>
        <v>0.6974999999999999</v>
      </c>
    </row>
    <row r="1107" spans="1:49" x14ac:dyDescent="0.25">
      <c r="A1107" t="s">
        <v>2730</v>
      </c>
      <c r="B1107">
        <v>0</v>
      </c>
      <c r="C1107">
        <v>25.93</v>
      </c>
      <c r="E1107" t="s">
        <v>2730</v>
      </c>
      <c r="F1107">
        <v>0.6</v>
      </c>
      <c r="G1107">
        <v>97.95</v>
      </c>
      <c r="I1107" t="str" cm="1">
        <f t="array" ref="I1107:J1107">_xlfn.TEXTSPLIT(A1107," ")</f>
        <v>27.10.2023</v>
      </c>
      <c r="J1107" t="str">
        <v>18:26:49</v>
      </c>
      <c r="K1107">
        <f t="shared" si="280"/>
        <v>18.400000000000237</v>
      </c>
      <c r="L1107">
        <f t="shared" si="273"/>
        <v>11.61</v>
      </c>
      <c r="M1107">
        <f t="shared" si="274"/>
        <v>0</v>
      </c>
      <c r="N1107">
        <f t="shared" si="268"/>
        <v>0.69250000000000012</v>
      </c>
      <c r="Q1107" t="str" cm="1">
        <f t="array" ref="Q1107:R1107">_xlfn.TEXTSPLIT(E1107," ")</f>
        <v>27.10.2023</v>
      </c>
      <c r="R1107" t="str">
        <v>18:26:49</v>
      </c>
      <c r="S1107">
        <f t="shared" si="281"/>
        <v>18.400000000000237</v>
      </c>
      <c r="T1107">
        <f t="shared" si="272"/>
        <v>19.350000000000009</v>
      </c>
      <c r="U1107">
        <f t="shared" si="275"/>
        <v>0.6</v>
      </c>
      <c r="V1107">
        <f t="shared" si="269"/>
        <v>1.1950000000000001</v>
      </c>
      <c r="AC1107" t="s">
        <v>2731</v>
      </c>
      <c r="AD1107">
        <v>0</v>
      </c>
      <c r="AE1107">
        <v>12.1</v>
      </c>
      <c r="AG1107" t="str" cm="1">
        <f t="array" ref="AG1107:AH1107">_xlfn.TEXTSPLIT(AC1108," ")</f>
        <v>26.10.2023</v>
      </c>
      <c r="AH1107" t="str">
        <v>18:28:02</v>
      </c>
      <c r="AI1107">
        <f t="shared" si="282"/>
        <v>18.400000000000237</v>
      </c>
      <c r="AJ1107">
        <f t="shared" si="276"/>
        <v>7.5699999999999994</v>
      </c>
      <c r="AK1107">
        <f t="shared" si="277"/>
        <v>0</v>
      </c>
      <c r="AL1107">
        <f t="shared" si="270"/>
        <v>0.51250000000000007</v>
      </c>
      <c r="AN1107" t="s">
        <v>2731</v>
      </c>
      <c r="AO1107">
        <v>0.15</v>
      </c>
      <c r="AP1107">
        <v>75.14</v>
      </c>
      <c r="AR1107" t="str" cm="1">
        <f t="array" ref="AR1107:AS1107">_xlfn.TEXTSPLIT(AN1107," ")</f>
        <v>26.10.2023</v>
      </c>
      <c r="AS1107" t="str">
        <v>18:27:02</v>
      </c>
      <c r="AT1107">
        <f t="shared" si="283"/>
        <v>18.400000000000237</v>
      </c>
      <c r="AU1107">
        <f t="shared" si="278"/>
        <v>13.829999999999998</v>
      </c>
      <c r="AV1107">
        <f t="shared" si="279"/>
        <v>0.15</v>
      </c>
      <c r="AW1107">
        <f t="shared" si="271"/>
        <v>0.6974999999999999</v>
      </c>
    </row>
    <row r="1108" spans="1:49" x14ac:dyDescent="0.25">
      <c r="A1108" t="s">
        <v>2732</v>
      </c>
      <c r="B1108">
        <v>0.15</v>
      </c>
      <c r="C1108">
        <v>25.93</v>
      </c>
      <c r="E1108" t="s">
        <v>2732</v>
      </c>
      <c r="F1108">
        <v>0.6</v>
      </c>
      <c r="G1108">
        <v>97.97</v>
      </c>
      <c r="I1108" t="str" cm="1">
        <f t="array" ref="I1108:J1108">_xlfn.TEXTSPLIT(A1108," ")</f>
        <v>27.10.2023</v>
      </c>
      <c r="J1108" t="str">
        <v>18:27:49</v>
      </c>
      <c r="K1108">
        <f t="shared" si="280"/>
        <v>18.416666666666902</v>
      </c>
      <c r="L1108">
        <f t="shared" si="273"/>
        <v>11.61</v>
      </c>
      <c r="M1108">
        <f t="shared" si="274"/>
        <v>0.15</v>
      </c>
      <c r="N1108">
        <f t="shared" si="268"/>
        <v>0.69000000000000006</v>
      </c>
      <c r="Q1108" t="str" cm="1">
        <f t="array" ref="Q1108:R1108">_xlfn.TEXTSPLIT(E1108," ")</f>
        <v>27.10.2023</v>
      </c>
      <c r="R1108" t="str">
        <v>18:27:49</v>
      </c>
      <c r="S1108">
        <f t="shared" si="281"/>
        <v>18.416666666666902</v>
      </c>
      <c r="T1108">
        <f t="shared" si="272"/>
        <v>19.370000000000005</v>
      </c>
      <c r="U1108">
        <f t="shared" si="275"/>
        <v>0.6</v>
      </c>
      <c r="V1108">
        <f t="shared" si="269"/>
        <v>1.1924999999999999</v>
      </c>
      <c r="AC1108" t="s">
        <v>2733</v>
      </c>
      <c r="AD1108">
        <v>0</v>
      </c>
      <c r="AE1108">
        <v>12.1</v>
      </c>
      <c r="AG1108" t="str" cm="1">
        <f t="array" ref="AG1108:AH1108">_xlfn.TEXTSPLIT(AC1109," ")</f>
        <v>26.10.2023</v>
      </c>
      <c r="AH1108" t="str">
        <v>18:29:02</v>
      </c>
      <c r="AI1108">
        <f t="shared" si="282"/>
        <v>18.416666666666902</v>
      </c>
      <c r="AJ1108">
        <f t="shared" si="276"/>
        <v>7.5699999999999994</v>
      </c>
      <c r="AK1108">
        <f t="shared" si="277"/>
        <v>0</v>
      </c>
      <c r="AL1108">
        <f t="shared" si="270"/>
        <v>0.51250000000000007</v>
      </c>
      <c r="AN1108" t="s">
        <v>2733</v>
      </c>
      <c r="AO1108">
        <v>0.15</v>
      </c>
      <c r="AP1108">
        <v>75.14</v>
      </c>
      <c r="AR1108" t="str" cm="1">
        <f t="array" ref="AR1108:AS1108">_xlfn.TEXTSPLIT(AN1108," ")</f>
        <v>26.10.2023</v>
      </c>
      <c r="AS1108" t="str">
        <v>18:28:02</v>
      </c>
      <c r="AT1108">
        <f t="shared" si="283"/>
        <v>18.416666666666902</v>
      </c>
      <c r="AU1108">
        <f t="shared" si="278"/>
        <v>13.829999999999998</v>
      </c>
      <c r="AV1108">
        <f t="shared" si="279"/>
        <v>0.15</v>
      </c>
      <c r="AW1108">
        <f t="shared" si="271"/>
        <v>0.69999999999999984</v>
      </c>
    </row>
    <row r="1109" spans="1:49" x14ac:dyDescent="0.25">
      <c r="A1109" t="s">
        <v>2734</v>
      </c>
      <c r="B1109">
        <v>0.3</v>
      </c>
      <c r="C1109">
        <v>25.93</v>
      </c>
      <c r="E1109" t="s">
        <v>2734</v>
      </c>
      <c r="F1109">
        <v>0.75</v>
      </c>
      <c r="G1109">
        <v>97.98</v>
      </c>
      <c r="I1109" t="str" cm="1">
        <f t="array" ref="I1109:J1109">_xlfn.TEXTSPLIT(A1109," ")</f>
        <v>27.10.2023</v>
      </c>
      <c r="J1109" t="str">
        <v>18:28:49</v>
      </c>
      <c r="K1109">
        <f t="shared" si="280"/>
        <v>18.433333333333568</v>
      </c>
      <c r="L1109">
        <f t="shared" si="273"/>
        <v>11.61</v>
      </c>
      <c r="M1109">
        <f t="shared" si="274"/>
        <v>0.3</v>
      </c>
      <c r="N1109">
        <f t="shared" si="268"/>
        <v>0.69000000000000006</v>
      </c>
      <c r="Q1109" t="str" cm="1">
        <f t="array" ref="Q1109:R1109">_xlfn.TEXTSPLIT(E1109," ")</f>
        <v>27.10.2023</v>
      </c>
      <c r="R1109" t="str">
        <v>18:28:49</v>
      </c>
      <c r="S1109">
        <f t="shared" si="281"/>
        <v>18.433333333333568</v>
      </c>
      <c r="T1109">
        <f t="shared" si="272"/>
        <v>19.38000000000001</v>
      </c>
      <c r="U1109">
        <f t="shared" si="275"/>
        <v>0.75</v>
      </c>
      <c r="V1109">
        <f t="shared" si="269"/>
        <v>1.19</v>
      </c>
      <c r="AC1109" t="s">
        <v>2735</v>
      </c>
      <c r="AD1109">
        <v>0</v>
      </c>
      <c r="AE1109">
        <v>12.1</v>
      </c>
      <c r="AG1109" t="str" cm="1">
        <f t="array" ref="AG1109:AH1109">_xlfn.TEXTSPLIT(AC1110," ")</f>
        <v>26.10.2023</v>
      </c>
      <c r="AH1109" t="str">
        <v>18:30:02</v>
      </c>
      <c r="AI1109">
        <f t="shared" si="282"/>
        <v>18.433333333333568</v>
      </c>
      <c r="AJ1109">
        <f t="shared" si="276"/>
        <v>7.5699999999999994</v>
      </c>
      <c r="AK1109">
        <f t="shared" si="277"/>
        <v>0</v>
      </c>
      <c r="AL1109">
        <f t="shared" si="270"/>
        <v>0.51250000000000007</v>
      </c>
      <c r="AN1109" t="s">
        <v>2735</v>
      </c>
      <c r="AO1109">
        <v>0.15</v>
      </c>
      <c r="AP1109">
        <v>75.14</v>
      </c>
      <c r="AR1109" t="str" cm="1">
        <f t="array" ref="AR1109:AS1109">_xlfn.TEXTSPLIT(AN1109," ")</f>
        <v>26.10.2023</v>
      </c>
      <c r="AS1109" t="str">
        <v>18:29:02</v>
      </c>
      <c r="AT1109">
        <f t="shared" si="283"/>
        <v>18.433333333333568</v>
      </c>
      <c r="AU1109">
        <f t="shared" si="278"/>
        <v>13.829999999999998</v>
      </c>
      <c r="AV1109">
        <f t="shared" si="279"/>
        <v>0.15</v>
      </c>
      <c r="AW1109">
        <f t="shared" si="271"/>
        <v>0.69999999999999973</v>
      </c>
    </row>
    <row r="1110" spans="1:49" x14ac:dyDescent="0.25">
      <c r="A1110" t="s">
        <v>2736</v>
      </c>
      <c r="B1110">
        <v>0.3</v>
      </c>
      <c r="C1110">
        <v>25.94</v>
      </c>
      <c r="E1110" t="s">
        <v>2736</v>
      </c>
      <c r="F1110">
        <v>0.75</v>
      </c>
      <c r="G1110">
        <v>97.99</v>
      </c>
      <c r="I1110" t="str" cm="1">
        <f t="array" ref="I1110:J1110">_xlfn.TEXTSPLIT(A1110," ")</f>
        <v>27.10.2023</v>
      </c>
      <c r="J1110" t="str">
        <v>18:29:49</v>
      </c>
      <c r="K1110">
        <f t="shared" si="280"/>
        <v>18.450000000000234</v>
      </c>
      <c r="L1110">
        <f t="shared" si="273"/>
        <v>11.620000000000001</v>
      </c>
      <c r="M1110">
        <f t="shared" si="274"/>
        <v>0.3</v>
      </c>
      <c r="N1110">
        <f t="shared" si="268"/>
        <v>0.6875</v>
      </c>
      <c r="Q1110" t="str" cm="1">
        <f t="array" ref="Q1110:R1110">_xlfn.TEXTSPLIT(E1110," ")</f>
        <v>27.10.2023</v>
      </c>
      <c r="R1110" t="str">
        <v>18:29:49</v>
      </c>
      <c r="S1110">
        <f t="shared" si="281"/>
        <v>18.450000000000234</v>
      </c>
      <c r="T1110">
        <f t="shared" si="272"/>
        <v>19.39</v>
      </c>
      <c r="U1110">
        <f t="shared" si="275"/>
        <v>0.75</v>
      </c>
      <c r="V1110">
        <f t="shared" si="269"/>
        <v>1.1824999999999999</v>
      </c>
      <c r="AC1110" t="s">
        <v>2737</v>
      </c>
      <c r="AD1110">
        <v>0</v>
      </c>
      <c r="AE1110">
        <v>12.1</v>
      </c>
      <c r="AG1110" t="str" cm="1">
        <f t="array" ref="AG1110:AH1110">_xlfn.TEXTSPLIT(AC1111," ")</f>
        <v>26.10.2023</v>
      </c>
      <c r="AH1110" t="str">
        <v>18:31:02</v>
      </c>
      <c r="AI1110">
        <f t="shared" si="282"/>
        <v>18.450000000000234</v>
      </c>
      <c r="AJ1110">
        <f t="shared" si="276"/>
        <v>7.5699999999999994</v>
      </c>
      <c r="AK1110">
        <f t="shared" si="277"/>
        <v>0</v>
      </c>
      <c r="AL1110">
        <f t="shared" si="270"/>
        <v>0.51250000000000007</v>
      </c>
      <c r="AN1110" t="s">
        <v>2737</v>
      </c>
      <c r="AO1110">
        <v>0.15</v>
      </c>
      <c r="AP1110">
        <v>75.150000000000006</v>
      </c>
      <c r="AR1110" t="str" cm="1">
        <f t="array" ref="AR1110:AS1110">_xlfn.TEXTSPLIT(AN1110," ")</f>
        <v>26.10.2023</v>
      </c>
      <c r="AS1110" t="str">
        <v>18:30:02</v>
      </c>
      <c r="AT1110">
        <f t="shared" si="283"/>
        <v>18.450000000000234</v>
      </c>
      <c r="AU1110">
        <f t="shared" si="278"/>
        <v>13.840000000000003</v>
      </c>
      <c r="AV1110">
        <f t="shared" si="279"/>
        <v>0.15</v>
      </c>
      <c r="AW1110">
        <f t="shared" si="271"/>
        <v>0.69999999999999973</v>
      </c>
    </row>
    <row r="1111" spans="1:49" x14ac:dyDescent="0.25">
      <c r="A1111" t="s">
        <v>2738</v>
      </c>
      <c r="B1111">
        <v>0.3</v>
      </c>
      <c r="C1111">
        <v>25.95</v>
      </c>
      <c r="E1111" t="s">
        <v>2738</v>
      </c>
      <c r="F1111">
        <v>0.6</v>
      </c>
      <c r="G1111">
        <v>98.01</v>
      </c>
      <c r="I1111" t="str" cm="1">
        <f t="array" ref="I1111:J1111">_xlfn.TEXTSPLIT(A1111," ")</f>
        <v>27.10.2023</v>
      </c>
      <c r="J1111" t="str">
        <v>18:30:50</v>
      </c>
      <c r="K1111">
        <f t="shared" si="280"/>
        <v>18.466666666666899</v>
      </c>
      <c r="L1111">
        <f t="shared" si="273"/>
        <v>11.629999999999999</v>
      </c>
      <c r="M1111">
        <f t="shared" si="274"/>
        <v>0.3</v>
      </c>
      <c r="N1111">
        <f t="shared" si="268"/>
        <v>0.69</v>
      </c>
      <c r="Q1111" t="str" cm="1">
        <f t="array" ref="Q1111:R1111">_xlfn.TEXTSPLIT(E1111," ")</f>
        <v>27.10.2023</v>
      </c>
      <c r="R1111" t="str">
        <v>18:30:50</v>
      </c>
      <c r="S1111">
        <f t="shared" si="281"/>
        <v>18.466666666666899</v>
      </c>
      <c r="T1111">
        <f t="shared" si="272"/>
        <v>19.410000000000011</v>
      </c>
      <c r="U1111">
        <f t="shared" si="275"/>
        <v>0.6</v>
      </c>
      <c r="V1111">
        <f t="shared" si="269"/>
        <v>1.1774999999999995</v>
      </c>
      <c r="AC1111" t="s">
        <v>2739</v>
      </c>
      <c r="AD1111">
        <v>0</v>
      </c>
      <c r="AE1111">
        <v>12.1</v>
      </c>
      <c r="AG1111" t="str" cm="1">
        <f t="array" ref="AG1111:AH1111">_xlfn.TEXTSPLIT(AC1112," ")</f>
        <v>26.10.2023</v>
      </c>
      <c r="AH1111" t="str">
        <v>18:32:02</v>
      </c>
      <c r="AI1111">
        <f t="shared" si="282"/>
        <v>18.466666666666899</v>
      </c>
      <c r="AJ1111">
        <f t="shared" si="276"/>
        <v>7.5699999999999994</v>
      </c>
      <c r="AK1111">
        <f t="shared" si="277"/>
        <v>0</v>
      </c>
      <c r="AL1111">
        <f t="shared" si="270"/>
        <v>0.51250000000000007</v>
      </c>
      <c r="AN1111" t="s">
        <v>2739</v>
      </c>
      <c r="AO1111">
        <v>0.3</v>
      </c>
      <c r="AP1111">
        <v>75.150000000000006</v>
      </c>
      <c r="AR1111" t="str" cm="1">
        <f t="array" ref="AR1111:AS1111">_xlfn.TEXTSPLIT(AN1111," ")</f>
        <v>26.10.2023</v>
      </c>
      <c r="AS1111" t="str">
        <v>18:31:02</v>
      </c>
      <c r="AT1111">
        <f t="shared" si="283"/>
        <v>18.466666666666899</v>
      </c>
      <c r="AU1111">
        <f t="shared" si="278"/>
        <v>13.840000000000003</v>
      </c>
      <c r="AV1111">
        <f t="shared" si="279"/>
        <v>0.3</v>
      </c>
      <c r="AW1111">
        <f t="shared" si="271"/>
        <v>0.70249999999999979</v>
      </c>
    </row>
    <row r="1112" spans="1:49" x14ac:dyDescent="0.25">
      <c r="A1112" t="s">
        <v>2740</v>
      </c>
      <c r="B1112">
        <v>0.6</v>
      </c>
      <c r="C1112">
        <v>25.96</v>
      </c>
      <c r="E1112" t="s">
        <v>2740</v>
      </c>
      <c r="F1112">
        <v>0.9</v>
      </c>
      <c r="G1112">
        <v>98.03</v>
      </c>
      <c r="I1112" t="str" cm="1">
        <f t="array" ref="I1112:J1112">_xlfn.TEXTSPLIT(A1112," ")</f>
        <v>27.10.2023</v>
      </c>
      <c r="J1112" t="str">
        <v>18:31:50</v>
      </c>
      <c r="K1112">
        <f t="shared" si="280"/>
        <v>18.483333333333565</v>
      </c>
      <c r="L1112">
        <f t="shared" si="273"/>
        <v>11.64</v>
      </c>
      <c r="M1112">
        <f t="shared" si="274"/>
        <v>0.6</v>
      </c>
      <c r="N1112">
        <f t="shared" si="268"/>
        <v>0.6925</v>
      </c>
      <c r="Q1112" t="str" cm="1">
        <f t="array" ref="Q1112:R1112">_xlfn.TEXTSPLIT(E1112," ")</f>
        <v>27.10.2023</v>
      </c>
      <c r="R1112" t="str">
        <v>18:31:50</v>
      </c>
      <c r="S1112">
        <f t="shared" si="281"/>
        <v>18.483333333333565</v>
      </c>
      <c r="T1112">
        <f t="shared" si="272"/>
        <v>19.430000000000007</v>
      </c>
      <c r="U1112">
        <f t="shared" si="275"/>
        <v>0.9</v>
      </c>
      <c r="V1112">
        <f t="shared" si="269"/>
        <v>1.1699999999999997</v>
      </c>
      <c r="AC1112" t="s">
        <v>2741</v>
      </c>
      <c r="AD1112">
        <v>0</v>
      </c>
      <c r="AE1112">
        <v>12.1</v>
      </c>
      <c r="AG1112" t="str" cm="1">
        <f t="array" ref="AG1112:AH1112">_xlfn.TEXTSPLIT(AC1113," ")</f>
        <v>26.10.2023</v>
      </c>
      <c r="AH1112" t="str">
        <v>18:33:02</v>
      </c>
      <c r="AI1112">
        <f t="shared" si="282"/>
        <v>18.483333333333565</v>
      </c>
      <c r="AJ1112">
        <f t="shared" si="276"/>
        <v>7.5699999999999994</v>
      </c>
      <c r="AK1112">
        <f t="shared" si="277"/>
        <v>0</v>
      </c>
      <c r="AL1112">
        <f t="shared" si="270"/>
        <v>0.51250000000000007</v>
      </c>
      <c r="AN1112" t="s">
        <v>2741</v>
      </c>
      <c r="AO1112">
        <v>0.3</v>
      </c>
      <c r="AP1112">
        <v>75.150000000000006</v>
      </c>
      <c r="AR1112" t="str" cm="1">
        <f t="array" ref="AR1112:AS1112">_xlfn.TEXTSPLIT(AN1112," ")</f>
        <v>26.10.2023</v>
      </c>
      <c r="AS1112" t="str">
        <v>18:32:02</v>
      </c>
      <c r="AT1112">
        <f t="shared" si="283"/>
        <v>18.483333333333565</v>
      </c>
      <c r="AU1112">
        <f t="shared" si="278"/>
        <v>13.840000000000003</v>
      </c>
      <c r="AV1112">
        <f t="shared" si="279"/>
        <v>0.3</v>
      </c>
      <c r="AW1112">
        <f t="shared" si="271"/>
        <v>0.70249999999999957</v>
      </c>
    </row>
    <row r="1113" spans="1:49" x14ac:dyDescent="0.25">
      <c r="A1113" t="s">
        <v>2742</v>
      </c>
      <c r="B1113">
        <v>0.45</v>
      </c>
      <c r="C1113">
        <v>25.97</v>
      </c>
      <c r="E1113" t="s">
        <v>2742</v>
      </c>
      <c r="F1113">
        <v>1.2</v>
      </c>
      <c r="G1113">
        <v>98.06</v>
      </c>
      <c r="I1113" t="str" cm="1">
        <f t="array" ref="I1113:J1113">_xlfn.TEXTSPLIT(A1113," ")</f>
        <v>27.10.2023</v>
      </c>
      <c r="J1113" t="str">
        <v>18:32:50</v>
      </c>
      <c r="K1113">
        <f t="shared" si="280"/>
        <v>18.500000000000231</v>
      </c>
      <c r="L1113">
        <f t="shared" si="273"/>
        <v>11.649999999999999</v>
      </c>
      <c r="M1113">
        <f t="shared" si="274"/>
        <v>0.45</v>
      </c>
      <c r="N1113">
        <f t="shared" si="268"/>
        <v>0.69500000000000006</v>
      </c>
      <c r="Q1113" t="str" cm="1">
        <f t="array" ref="Q1113:R1113">_xlfn.TEXTSPLIT(E1113," ")</f>
        <v>27.10.2023</v>
      </c>
      <c r="R1113" t="str">
        <v>18:32:50</v>
      </c>
      <c r="S1113">
        <f t="shared" si="281"/>
        <v>18.500000000000231</v>
      </c>
      <c r="T1113">
        <f t="shared" si="272"/>
        <v>19.460000000000008</v>
      </c>
      <c r="U1113">
        <f t="shared" si="275"/>
        <v>1.2</v>
      </c>
      <c r="V1113">
        <f t="shared" si="269"/>
        <v>1.1699999999999997</v>
      </c>
      <c r="AC1113" t="s">
        <v>2743</v>
      </c>
      <c r="AD1113">
        <v>0</v>
      </c>
      <c r="AE1113">
        <v>12.1</v>
      </c>
      <c r="AG1113" t="str" cm="1">
        <f t="array" ref="AG1113:AH1113">_xlfn.TEXTSPLIT(AC1114," ")</f>
        <v>26.10.2023</v>
      </c>
      <c r="AH1113" t="str">
        <v>18:34:02</v>
      </c>
      <c r="AI1113">
        <f t="shared" si="282"/>
        <v>18.500000000000231</v>
      </c>
      <c r="AJ1113">
        <f t="shared" si="276"/>
        <v>7.5699999999999994</v>
      </c>
      <c r="AK1113">
        <f t="shared" si="277"/>
        <v>0</v>
      </c>
      <c r="AL1113">
        <f t="shared" si="270"/>
        <v>0.51250000000000007</v>
      </c>
      <c r="AN1113" t="s">
        <v>2743</v>
      </c>
      <c r="AO1113">
        <v>0.45</v>
      </c>
      <c r="AP1113">
        <v>75.16</v>
      </c>
      <c r="AR1113" t="str" cm="1">
        <f t="array" ref="AR1113:AS1113">_xlfn.TEXTSPLIT(AN1113," ")</f>
        <v>26.10.2023</v>
      </c>
      <c r="AS1113" t="str">
        <v>18:33:02</v>
      </c>
      <c r="AT1113">
        <f t="shared" si="283"/>
        <v>18.500000000000231</v>
      </c>
      <c r="AU1113">
        <f t="shared" si="278"/>
        <v>13.849999999999994</v>
      </c>
      <c r="AV1113">
        <f t="shared" si="279"/>
        <v>0.45</v>
      </c>
      <c r="AW1113">
        <f t="shared" si="271"/>
        <v>0.70499999999999974</v>
      </c>
    </row>
    <row r="1114" spans="1:49" x14ac:dyDescent="0.25">
      <c r="A1114" t="s">
        <v>2744</v>
      </c>
      <c r="B1114">
        <v>0.45</v>
      </c>
      <c r="C1114">
        <v>25.98</v>
      </c>
      <c r="E1114" t="s">
        <v>2744</v>
      </c>
      <c r="F1114">
        <v>1.5</v>
      </c>
      <c r="G1114">
        <v>98.07</v>
      </c>
      <c r="I1114" t="str" cm="1">
        <f t="array" ref="I1114:J1114">_xlfn.TEXTSPLIT(A1114," ")</f>
        <v>27.10.2023</v>
      </c>
      <c r="J1114" t="str">
        <v>18:33:50</v>
      </c>
      <c r="K1114">
        <f t="shared" si="280"/>
        <v>18.516666666666897</v>
      </c>
      <c r="L1114">
        <f t="shared" si="273"/>
        <v>11.66</v>
      </c>
      <c r="M1114">
        <f t="shared" si="274"/>
        <v>0.45</v>
      </c>
      <c r="N1114">
        <f t="shared" si="268"/>
        <v>0.69500000000000006</v>
      </c>
      <c r="Q1114" t="str" cm="1">
        <f t="array" ref="Q1114:R1114">_xlfn.TEXTSPLIT(E1114," ")</f>
        <v>27.10.2023</v>
      </c>
      <c r="R1114" t="str">
        <v>18:33:50</v>
      </c>
      <c r="S1114">
        <f t="shared" si="281"/>
        <v>18.516666666666897</v>
      </c>
      <c r="T1114">
        <f t="shared" si="272"/>
        <v>19.47</v>
      </c>
      <c r="U1114">
        <f t="shared" si="275"/>
        <v>1.5</v>
      </c>
      <c r="V1114">
        <f t="shared" si="269"/>
        <v>1.1824999999999999</v>
      </c>
      <c r="AC1114" t="s">
        <v>2745</v>
      </c>
      <c r="AD1114">
        <v>0</v>
      </c>
      <c r="AE1114">
        <v>12.1</v>
      </c>
      <c r="AG1114" t="str" cm="1">
        <f t="array" ref="AG1114:AH1114">_xlfn.TEXTSPLIT(AC1115," ")</f>
        <v>26.10.2023</v>
      </c>
      <c r="AH1114" t="str">
        <v>18:35:02</v>
      </c>
      <c r="AI1114">
        <f t="shared" si="282"/>
        <v>18.516666666666897</v>
      </c>
      <c r="AJ1114">
        <f t="shared" si="276"/>
        <v>7.5699999999999994</v>
      </c>
      <c r="AK1114">
        <f t="shared" si="277"/>
        <v>0</v>
      </c>
      <c r="AL1114">
        <f t="shared" si="270"/>
        <v>0.51250000000000007</v>
      </c>
      <c r="AN1114" t="s">
        <v>2745</v>
      </c>
      <c r="AO1114">
        <v>0.3</v>
      </c>
      <c r="AP1114">
        <v>75.17</v>
      </c>
      <c r="AR1114" t="str" cm="1">
        <f t="array" ref="AR1114:AS1114">_xlfn.TEXTSPLIT(AN1114," ")</f>
        <v>26.10.2023</v>
      </c>
      <c r="AS1114" t="str">
        <v>18:34:02</v>
      </c>
      <c r="AT1114">
        <f t="shared" si="283"/>
        <v>18.516666666666897</v>
      </c>
      <c r="AU1114">
        <f t="shared" si="278"/>
        <v>13.86</v>
      </c>
      <c r="AV1114">
        <f t="shared" si="279"/>
        <v>0.3</v>
      </c>
      <c r="AW1114">
        <f t="shared" si="271"/>
        <v>0.70499999999999974</v>
      </c>
    </row>
    <row r="1115" spans="1:49" x14ac:dyDescent="0.25">
      <c r="A1115" t="s">
        <v>2746</v>
      </c>
      <c r="B1115">
        <v>0.75</v>
      </c>
      <c r="C1115">
        <v>25.99</v>
      </c>
      <c r="E1115" t="s">
        <v>2746</v>
      </c>
      <c r="F1115">
        <v>1.05</v>
      </c>
      <c r="G1115">
        <v>98.09</v>
      </c>
      <c r="I1115" t="str" cm="1">
        <f t="array" ref="I1115:J1115">_xlfn.TEXTSPLIT(A1115," ")</f>
        <v>27.10.2023</v>
      </c>
      <c r="J1115" t="str">
        <v>18:34:50</v>
      </c>
      <c r="K1115">
        <f t="shared" si="280"/>
        <v>18.533333333333562</v>
      </c>
      <c r="L1115">
        <f t="shared" si="273"/>
        <v>11.669999999999998</v>
      </c>
      <c r="M1115">
        <f t="shared" si="274"/>
        <v>0.75</v>
      </c>
      <c r="N1115">
        <f t="shared" si="268"/>
        <v>0.69750000000000001</v>
      </c>
      <c r="Q1115" t="str" cm="1">
        <f t="array" ref="Q1115:R1115">_xlfn.TEXTSPLIT(E1115," ")</f>
        <v>27.10.2023</v>
      </c>
      <c r="R1115" t="str">
        <v>18:34:50</v>
      </c>
      <c r="S1115">
        <f t="shared" si="281"/>
        <v>18.533333333333562</v>
      </c>
      <c r="T1115">
        <f t="shared" si="272"/>
        <v>19.490000000000009</v>
      </c>
      <c r="U1115">
        <f t="shared" si="275"/>
        <v>1.05</v>
      </c>
      <c r="V1115">
        <f t="shared" si="269"/>
        <v>1.1825000000000001</v>
      </c>
      <c r="AC1115" t="s">
        <v>2747</v>
      </c>
      <c r="AD1115">
        <v>0.75</v>
      </c>
      <c r="AE1115">
        <v>12.11</v>
      </c>
      <c r="AG1115" t="str" cm="1">
        <f t="array" ref="AG1115:AH1115">_xlfn.TEXTSPLIT(AC1116," ")</f>
        <v>26.10.2023</v>
      </c>
      <c r="AH1115" t="str">
        <v>18:36:02</v>
      </c>
      <c r="AI1115">
        <f t="shared" si="282"/>
        <v>18.533333333333562</v>
      </c>
      <c r="AJ1115">
        <f t="shared" si="276"/>
        <v>7.5799999999999992</v>
      </c>
      <c r="AK1115">
        <f t="shared" si="277"/>
        <v>0.75</v>
      </c>
      <c r="AL1115">
        <f t="shared" si="270"/>
        <v>0.52250000000000008</v>
      </c>
      <c r="AN1115" t="s">
        <v>2747</v>
      </c>
      <c r="AO1115">
        <v>0.45</v>
      </c>
      <c r="AP1115">
        <v>75.17</v>
      </c>
      <c r="AR1115" t="str" cm="1">
        <f t="array" ref="AR1115:AS1115">_xlfn.TEXTSPLIT(AN1115," ")</f>
        <v>26.10.2023</v>
      </c>
      <c r="AS1115" t="str">
        <v>18:35:02</v>
      </c>
      <c r="AT1115">
        <f t="shared" si="283"/>
        <v>18.533333333333562</v>
      </c>
      <c r="AU1115">
        <f t="shared" si="278"/>
        <v>13.86</v>
      </c>
      <c r="AV1115">
        <f t="shared" si="279"/>
        <v>0.45</v>
      </c>
      <c r="AW1115">
        <f t="shared" si="271"/>
        <v>0.70249999999999979</v>
      </c>
    </row>
    <row r="1116" spans="1:49" x14ac:dyDescent="0.25">
      <c r="A1116" t="s">
        <v>2748</v>
      </c>
      <c r="B1116">
        <v>0.3</v>
      </c>
      <c r="C1116">
        <v>25.99</v>
      </c>
      <c r="E1116" t="s">
        <v>2748</v>
      </c>
      <c r="F1116">
        <v>0.75</v>
      </c>
      <c r="G1116">
        <v>98.11</v>
      </c>
      <c r="I1116" t="str" cm="1">
        <f t="array" ref="I1116:J1116">_xlfn.TEXTSPLIT(A1116," ")</f>
        <v>27.10.2023</v>
      </c>
      <c r="J1116" t="str">
        <v>18:35:50</v>
      </c>
      <c r="K1116">
        <f t="shared" si="280"/>
        <v>18.550000000000228</v>
      </c>
      <c r="L1116">
        <f t="shared" si="273"/>
        <v>11.669999999999998</v>
      </c>
      <c r="M1116">
        <f t="shared" si="274"/>
        <v>0.3</v>
      </c>
      <c r="N1116">
        <f t="shared" si="268"/>
        <v>0.69750000000000001</v>
      </c>
      <c r="Q1116" t="str" cm="1">
        <f t="array" ref="Q1116:R1116">_xlfn.TEXTSPLIT(E1116," ")</f>
        <v>27.10.2023</v>
      </c>
      <c r="R1116" t="str">
        <v>18:35:50</v>
      </c>
      <c r="S1116">
        <f t="shared" si="281"/>
        <v>18.550000000000228</v>
      </c>
      <c r="T1116">
        <f t="shared" si="272"/>
        <v>19.510000000000005</v>
      </c>
      <c r="U1116">
        <f t="shared" si="275"/>
        <v>0.75</v>
      </c>
      <c r="V1116">
        <f t="shared" si="269"/>
        <v>1.1800000000000002</v>
      </c>
      <c r="AC1116" t="s">
        <v>2749</v>
      </c>
      <c r="AD1116">
        <v>0.3</v>
      </c>
      <c r="AE1116">
        <v>12.12</v>
      </c>
      <c r="AG1116" t="str" cm="1">
        <f t="array" ref="AG1116:AH1116">_xlfn.TEXTSPLIT(AC1117," ")</f>
        <v>26.10.2023</v>
      </c>
      <c r="AH1116" t="str">
        <v>18:37:02</v>
      </c>
      <c r="AI1116">
        <f t="shared" si="282"/>
        <v>18.550000000000228</v>
      </c>
      <c r="AJ1116">
        <f t="shared" si="276"/>
        <v>7.589999999999999</v>
      </c>
      <c r="AK1116">
        <f t="shared" si="277"/>
        <v>0.3</v>
      </c>
      <c r="AL1116">
        <f t="shared" si="270"/>
        <v>0.52</v>
      </c>
      <c r="AN1116" t="s">
        <v>2749</v>
      </c>
      <c r="AO1116">
        <v>0.45</v>
      </c>
      <c r="AP1116">
        <v>75.180000000000007</v>
      </c>
      <c r="AR1116" t="str" cm="1">
        <f t="array" ref="AR1116:AS1116">_xlfn.TEXTSPLIT(AN1116," ")</f>
        <v>26.10.2023</v>
      </c>
      <c r="AS1116" t="str">
        <v>18:36:02</v>
      </c>
      <c r="AT1116">
        <f t="shared" si="283"/>
        <v>18.550000000000228</v>
      </c>
      <c r="AU1116">
        <f t="shared" si="278"/>
        <v>13.870000000000005</v>
      </c>
      <c r="AV1116">
        <f t="shared" si="279"/>
        <v>0.45</v>
      </c>
      <c r="AW1116">
        <f t="shared" si="271"/>
        <v>0.70249999999999979</v>
      </c>
    </row>
    <row r="1117" spans="1:49" x14ac:dyDescent="0.25">
      <c r="A1117" t="s">
        <v>2750</v>
      </c>
      <c r="B1117">
        <v>0.75</v>
      </c>
      <c r="C1117">
        <v>26</v>
      </c>
      <c r="E1117" t="s">
        <v>2750</v>
      </c>
      <c r="F1117">
        <v>1.5</v>
      </c>
      <c r="G1117">
        <v>98.16</v>
      </c>
      <c r="I1117" t="str" cm="1">
        <f t="array" ref="I1117:J1117">_xlfn.TEXTSPLIT(A1117," ")</f>
        <v>27.10.2023</v>
      </c>
      <c r="J1117" t="str">
        <v>18:36:50</v>
      </c>
      <c r="K1117">
        <f t="shared" si="280"/>
        <v>18.566666666666894</v>
      </c>
      <c r="L1117">
        <f t="shared" si="273"/>
        <v>11.68</v>
      </c>
      <c r="M1117">
        <f t="shared" si="274"/>
        <v>0.75</v>
      </c>
      <c r="N1117">
        <f t="shared" si="268"/>
        <v>0.7</v>
      </c>
      <c r="Q1117" t="str" cm="1">
        <f t="array" ref="Q1117:R1117">_xlfn.TEXTSPLIT(E1117," ")</f>
        <v>27.10.2023</v>
      </c>
      <c r="R1117" t="str">
        <v>18:36:50</v>
      </c>
      <c r="S1117">
        <f t="shared" si="281"/>
        <v>18.566666666666894</v>
      </c>
      <c r="T1117">
        <f t="shared" si="272"/>
        <v>19.560000000000002</v>
      </c>
      <c r="U1117">
        <f t="shared" si="275"/>
        <v>1.5</v>
      </c>
      <c r="V1117">
        <f t="shared" si="269"/>
        <v>1.1775</v>
      </c>
      <c r="AC1117" t="s">
        <v>2751</v>
      </c>
      <c r="AD1117">
        <v>0.45</v>
      </c>
      <c r="AE1117">
        <v>12.13</v>
      </c>
      <c r="AG1117" t="str" cm="1">
        <f t="array" ref="AG1117:AH1117">_xlfn.TEXTSPLIT(AC1118," ")</f>
        <v>26.10.2023</v>
      </c>
      <c r="AH1117" t="str">
        <v>18:38:03</v>
      </c>
      <c r="AI1117">
        <f t="shared" si="282"/>
        <v>18.566666666666894</v>
      </c>
      <c r="AJ1117">
        <f t="shared" si="276"/>
        <v>7.6000000000000005</v>
      </c>
      <c r="AK1117">
        <f t="shared" si="277"/>
        <v>0.45</v>
      </c>
      <c r="AL1117">
        <f t="shared" si="270"/>
        <v>0.52500000000000002</v>
      </c>
      <c r="AN1117" t="s">
        <v>2751</v>
      </c>
      <c r="AO1117">
        <v>1.2</v>
      </c>
      <c r="AP1117">
        <v>75.2</v>
      </c>
      <c r="AR1117" t="str" cm="1">
        <f t="array" ref="AR1117:AS1117">_xlfn.TEXTSPLIT(AN1117," ")</f>
        <v>26.10.2023</v>
      </c>
      <c r="AS1117" t="str">
        <v>18:37:02</v>
      </c>
      <c r="AT1117">
        <f t="shared" si="283"/>
        <v>18.566666666666894</v>
      </c>
      <c r="AU1117">
        <f t="shared" si="278"/>
        <v>13.89</v>
      </c>
      <c r="AV1117">
        <f t="shared" si="279"/>
        <v>1.2</v>
      </c>
      <c r="AW1117">
        <f t="shared" si="271"/>
        <v>0.71499999999999986</v>
      </c>
    </row>
    <row r="1118" spans="1:49" x14ac:dyDescent="0.25">
      <c r="A1118" t="s">
        <v>2752</v>
      </c>
      <c r="B1118">
        <v>0.45</v>
      </c>
      <c r="C1118">
        <v>26.04</v>
      </c>
      <c r="E1118" t="s">
        <v>2752</v>
      </c>
      <c r="F1118">
        <v>3.6</v>
      </c>
      <c r="G1118">
        <v>98.21</v>
      </c>
      <c r="I1118" t="str" cm="1">
        <f t="array" ref="I1118:J1118">_xlfn.TEXTSPLIT(A1118," ")</f>
        <v>27.10.2023</v>
      </c>
      <c r="J1118" t="str">
        <v>18:37:50</v>
      </c>
      <c r="K1118">
        <f t="shared" si="280"/>
        <v>18.58333333333356</v>
      </c>
      <c r="L1118">
        <f t="shared" si="273"/>
        <v>11.719999999999999</v>
      </c>
      <c r="M1118">
        <f t="shared" si="274"/>
        <v>0.45</v>
      </c>
      <c r="N1118">
        <f t="shared" si="268"/>
        <v>0.69750000000000001</v>
      </c>
      <c r="Q1118" t="str" cm="1">
        <f t="array" ref="Q1118:R1118">_xlfn.TEXTSPLIT(E1118," ")</f>
        <v>27.10.2023</v>
      </c>
      <c r="R1118" t="str">
        <v>18:37:50</v>
      </c>
      <c r="S1118">
        <f t="shared" si="281"/>
        <v>18.58333333333356</v>
      </c>
      <c r="T1118">
        <f t="shared" si="272"/>
        <v>19.61</v>
      </c>
      <c r="U1118">
        <f t="shared" si="275"/>
        <v>3.6</v>
      </c>
      <c r="V1118">
        <f t="shared" si="269"/>
        <v>1.1775</v>
      </c>
      <c r="AC1118" t="s">
        <v>2753</v>
      </c>
      <c r="AD1118">
        <v>0.9</v>
      </c>
      <c r="AE1118">
        <v>12.14</v>
      </c>
      <c r="AG1118" t="str" cm="1">
        <f t="array" ref="AG1118:AH1118">_xlfn.TEXTSPLIT(AC1119," ")</f>
        <v>26.10.2023</v>
      </c>
      <c r="AH1118" t="str">
        <v>18:39:03</v>
      </c>
      <c r="AI1118">
        <f t="shared" si="282"/>
        <v>18.58333333333356</v>
      </c>
      <c r="AJ1118">
        <f t="shared" si="276"/>
        <v>7.61</v>
      </c>
      <c r="AK1118">
        <f t="shared" si="277"/>
        <v>0.9</v>
      </c>
      <c r="AL1118">
        <f t="shared" si="270"/>
        <v>0.53500000000000003</v>
      </c>
      <c r="AN1118" t="s">
        <v>2753</v>
      </c>
      <c r="AO1118">
        <v>2.4</v>
      </c>
      <c r="AP1118">
        <v>75.25</v>
      </c>
      <c r="AR1118" t="str" cm="1">
        <f t="array" ref="AR1118:AS1118">_xlfn.TEXTSPLIT(AN1118," ")</f>
        <v>26.10.2023</v>
      </c>
      <c r="AS1118" t="str">
        <v>18:38:03</v>
      </c>
      <c r="AT1118">
        <f t="shared" si="283"/>
        <v>18.58333333333356</v>
      </c>
      <c r="AU1118">
        <f t="shared" si="278"/>
        <v>13.939999999999998</v>
      </c>
      <c r="AV1118">
        <f t="shared" si="279"/>
        <v>2.4</v>
      </c>
      <c r="AW1118">
        <f t="shared" si="271"/>
        <v>0.71999999999999986</v>
      </c>
    </row>
    <row r="1119" spans="1:49" x14ac:dyDescent="0.25">
      <c r="A1119" t="s">
        <v>2754</v>
      </c>
      <c r="B1119">
        <v>2.5499999999999998</v>
      </c>
      <c r="C1119">
        <v>26.08</v>
      </c>
      <c r="E1119" t="s">
        <v>2754</v>
      </c>
      <c r="F1119">
        <v>2.7</v>
      </c>
      <c r="G1119">
        <v>98.24</v>
      </c>
      <c r="I1119" t="str" cm="1">
        <f t="array" ref="I1119:J1119">_xlfn.TEXTSPLIT(A1119," ")</f>
        <v>27.10.2023</v>
      </c>
      <c r="J1119" t="str">
        <v>18:38:51</v>
      </c>
      <c r="K1119">
        <f t="shared" si="280"/>
        <v>18.600000000000225</v>
      </c>
      <c r="L1119">
        <f t="shared" si="273"/>
        <v>11.759999999999998</v>
      </c>
      <c r="M1119">
        <f t="shared" si="274"/>
        <v>2.5499999999999998</v>
      </c>
      <c r="N1119">
        <f t="shared" si="268"/>
        <v>0.6925</v>
      </c>
      <c r="Q1119" t="str" cm="1">
        <f t="array" ref="Q1119:R1119">_xlfn.TEXTSPLIT(E1119," ")</f>
        <v>27.10.2023</v>
      </c>
      <c r="R1119" t="str">
        <v>18:38:51</v>
      </c>
      <c r="S1119">
        <f t="shared" si="281"/>
        <v>18.600000000000225</v>
      </c>
      <c r="T1119">
        <f t="shared" si="272"/>
        <v>19.64</v>
      </c>
      <c r="U1119">
        <f t="shared" si="275"/>
        <v>2.7</v>
      </c>
      <c r="V1119">
        <f t="shared" si="269"/>
        <v>1.1900000000000002</v>
      </c>
      <c r="AC1119" t="s">
        <v>2755</v>
      </c>
      <c r="AD1119">
        <v>1.8</v>
      </c>
      <c r="AE1119">
        <v>12.18</v>
      </c>
      <c r="AG1119" t="str" cm="1">
        <f t="array" ref="AG1119:AH1119">_xlfn.TEXTSPLIT(AC1120," ")</f>
        <v>26.10.2023</v>
      </c>
      <c r="AH1119" t="str">
        <v>18:40:03</v>
      </c>
      <c r="AI1119">
        <f t="shared" si="282"/>
        <v>18.600000000000225</v>
      </c>
      <c r="AJ1119">
        <f t="shared" si="276"/>
        <v>7.6499999999999995</v>
      </c>
      <c r="AK1119">
        <f t="shared" si="277"/>
        <v>1.8</v>
      </c>
      <c r="AL1119">
        <f t="shared" si="270"/>
        <v>0.54749999999999999</v>
      </c>
      <c r="AN1119" t="s">
        <v>2755</v>
      </c>
      <c r="AO1119">
        <v>1.35</v>
      </c>
      <c r="AP1119">
        <v>75.27</v>
      </c>
      <c r="AR1119" t="str" cm="1">
        <f t="array" ref="AR1119:AS1119">_xlfn.TEXTSPLIT(AN1119," ")</f>
        <v>26.10.2023</v>
      </c>
      <c r="AS1119" t="str">
        <v>18:39:03</v>
      </c>
      <c r="AT1119">
        <f t="shared" si="283"/>
        <v>18.600000000000225</v>
      </c>
      <c r="AU1119">
        <f t="shared" si="278"/>
        <v>13.959999999999994</v>
      </c>
      <c r="AV1119">
        <f t="shared" si="279"/>
        <v>1.35</v>
      </c>
      <c r="AW1119">
        <f t="shared" si="271"/>
        <v>0.71499999999999986</v>
      </c>
    </row>
    <row r="1120" spans="1:49" x14ac:dyDescent="0.25">
      <c r="A1120" t="s">
        <v>2756</v>
      </c>
      <c r="B1120">
        <v>2.25</v>
      </c>
      <c r="C1120">
        <v>26.11</v>
      </c>
      <c r="E1120" t="s">
        <v>2756</v>
      </c>
      <c r="F1120">
        <v>2.1</v>
      </c>
      <c r="G1120">
        <v>98.28</v>
      </c>
      <c r="I1120" t="str" cm="1">
        <f t="array" ref="I1120:J1120">_xlfn.TEXTSPLIT(A1120," ")</f>
        <v>27.10.2023</v>
      </c>
      <c r="J1120" t="str">
        <v>18:39:51</v>
      </c>
      <c r="K1120">
        <f t="shared" si="280"/>
        <v>18.616666666666891</v>
      </c>
      <c r="L1120">
        <f t="shared" si="273"/>
        <v>11.79</v>
      </c>
      <c r="M1120">
        <f t="shared" si="274"/>
        <v>2.25</v>
      </c>
      <c r="N1120">
        <f t="shared" si="268"/>
        <v>0.6875</v>
      </c>
      <c r="Q1120" t="str" cm="1">
        <f t="array" ref="Q1120:R1120">_xlfn.TEXTSPLIT(E1120," ")</f>
        <v>27.10.2023</v>
      </c>
      <c r="R1120" t="str">
        <v>18:39:51</v>
      </c>
      <c r="S1120">
        <f t="shared" si="281"/>
        <v>18.616666666666891</v>
      </c>
      <c r="T1120">
        <f t="shared" si="272"/>
        <v>19.680000000000007</v>
      </c>
      <c r="U1120">
        <f t="shared" si="275"/>
        <v>2.1</v>
      </c>
      <c r="V1120">
        <f t="shared" si="269"/>
        <v>1.1900000000000002</v>
      </c>
      <c r="AC1120" t="s">
        <v>2757</v>
      </c>
      <c r="AD1120">
        <v>1.35</v>
      </c>
      <c r="AE1120">
        <v>12.2</v>
      </c>
      <c r="AG1120" t="str" cm="1">
        <f t="array" ref="AG1120:AH1120">_xlfn.TEXTSPLIT(AC1121," ")</f>
        <v>26.10.2023</v>
      </c>
      <c r="AH1120" t="str">
        <v>18:41:03</v>
      </c>
      <c r="AI1120">
        <f t="shared" si="282"/>
        <v>18.616666666666891</v>
      </c>
      <c r="AJ1120">
        <f t="shared" si="276"/>
        <v>7.669999999999999</v>
      </c>
      <c r="AK1120">
        <f t="shared" si="277"/>
        <v>1.35</v>
      </c>
      <c r="AL1120">
        <f t="shared" si="270"/>
        <v>0.53</v>
      </c>
      <c r="AN1120" t="s">
        <v>2757</v>
      </c>
      <c r="AO1120">
        <v>1.2</v>
      </c>
      <c r="AP1120">
        <v>75.290000000000006</v>
      </c>
      <c r="AR1120" t="str" cm="1">
        <f t="array" ref="AR1120:AS1120">_xlfn.TEXTSPLIT(AN1120," ")</f>
        <v>26.10.2023</v>
      </c>
      <c r="AS1120" t="str">
        <v>18:40:03</v>
      </c>
      <c r="AT1120">
        <f t="shared" si="283"/>
        <v>18.616666666666891</v>
      </c>
      <c r="AU1120">
        <f t="shared" si="278"/>
        <v>13.980000000000004</v>
      </c>
      <c r="AV1120">
        <f t="shared" si="279"/>
        <v>1.2</v>
      </c>
      <c r="AW1120">
        <f t="shared" si="271"/>
        <v>0.70749999999999991</v>
      </c>
    </row>
    <row r="1121" spans="1:49" x14ac:dyDescent="0.25">
      <c r="A1121" t="s">
        <v>2758</v>
      </c>
      <c r="B1121">
        <v>1.65</v>
      </c>
      <c r="C1121">
        <v>26.13</v>
      </c>
      <c r="E1121" t="s">
        <v>2758</v>
      </c>
      <c r="F1121">
        <v>2.25</v>
      </c>
      <c r="G1121">
        <v>98.31</v>
      </c>
      <c r="I1121" t="str" cm="1">
        <f t="array" ref="I1121:J1121">_xlfn.TEXTSPLIT(A1121," ")</f>
        <v>27.10.2023</v>
      </c>
      <c r="J1121" t="str">
        <v>18:40:51</v>
      </c>
      <c r="K1121">
        <f t="shared" si="280"/>
        <v>18.633333333333557</v>
      </c>
      <c r="L1121">
        <f t="shared" si="273"/>
        <v>11.809999999999999</v>
      </c>
      <c r="M1121">
        <f t="shared" si="274"/>
        <v>1.65</v>
      </c>
      <c r="N1121">
        <f t="shared" si="268"/>
        <v>0.69250000000000012</v>
      </c>
      <c r="Q1121" t="str" cm="1">
        <f t="array" ref="Q1121:R1121">_xlfn.TEXTSPLIT(E1121," ")</f>
        <v>27.10.2023</v>
      </c>
      <c r="R1121" t="str">
        <v>18:40:51</v>
      </c>
      <c r="S1121">
        <f t="shared" si="281"/>
        <v>18.633333333333557</v>
      </c>
      <c r="T1121">
        <f t="shared" si="272"/>
        <v>19.710000000000008</v>
      </c>
      <c r="U1121">
        <f t="shared" si="275"/>
        <v>2.25</v>
      </c>
      <c r="V1121">
        <f t="shared" si="269"/>
        <v>1.1949999999999998</v>
      </c>
      <c r="AC1121" t="s">
        <v>2759</v>
      </c>
      <c r="AD1121">
        <v>1.5</v>
      </c>
      <c r="AE1121">
        <v>12.22</v>
      </c>
      <c r="AG1121" t="str" cm="1">
        <f t="array" ref="AG1121:AH1121">_xlfn.TEXTSPLIT(AC1122," ")</f>
        <v>26.10.2023</v>
      </c>
      <c r="AH1121" t="str">
        <v>18:42:03</v>
      </c>
      <c r="AI1121">
        <f t="shared" si="282"/>
        <v>18.633333333333557</v>
      </c>
      <c r="AJ1121">
        <f t="shared" si="276"/>
        <v>7.69</v>
      </c>
      <c r="AK1121">
        <f t="shared" si="277"/>
        <v>1.5</v>
      </c>
      <c r="AL1121">
        <f t="shared" si="270"/>
        <v>0.52500000000000002</v>
      </c>
      <c r="AN1121" t="s">
        <v>2759</v>
      </c>
      <c r="AO1121">
        <v>1.05</v>
      </c>
      <c r="AP1121">
        <v>75.31</v>
      </c>
      <c r="AR1121" t="str" cm="1">
        <f t="array" ref="AR1121:AS1121">_xlfn.TEXTSPLIT(AN1121," ")</f>
        <v>26.10.2023</v>
      </c>
      <c r="AS1121" t="str">
        <v>18:41:03</v>
      </c>
      <c r="AT1121">
        <f t="shared" si="283"/>
        <v>18.633333333333557</v>
      </c>
      <c r="AU1121">
        <f t="shared" si="278"/>
        <v>14</v>
      </c>
      <c r="AV1121">
        <f t="shared" si="279"/>
        <v>1.05</v>
      </c>
      <c r="AW1121">
        <f t="shared" si="271"/>
        <v>0.69</v>
      </c>
    </row>
    <row r="1122" spans="1:49" x14ac:dyDescent="0.25">
      <c r="A1122" t="s">
        <v>2760</v>
      </c>
      <c r="B1122">
        <v>0.9</v>
      </c>
      <c r="C1122">
        <v>26.15</v>
      </c>
      <c r="E1122" t="s">
        <v>2760</v>
      </c>
      <c r="F1122">
        <v>1.95</v>
      </c>
      <c r="G1122">
        <v>98.34</v>
      </c>
      <c r="I1122" t="str" cm="1">
        <f t="array" ref="I1122:J1122">_xlfn.TEXTSPLIT(A1122," ")</f>
        <v>27.10.2023</v>
      </c>
      <c r="J1122" t="str">
        <v>18:41:51</v>
      </c>
      <c r="K1122">
        <f t="shared" si="280"/>
        <v>18.650000000000222</v>
      </c>
      <c r="L1122">
        <f t="shared" si="273"/>
        <v>11.829999999999998</v>
      </c>
      <c r="M1122">
        <f t="shared" si="274"/>
        <v>0.9</v>
      </c>
      <c r="N1122">
        <f t="shared" si="268"/>
        <v>0.68499999999999994</v>
      </c>
      <c r="Q1122" t="str" cm="1">
        <f t="array" ref="Q1122:R1122">_xlfn.TEXTSPLIT(E1122," ")</f>
        <v>27.10.2023</v>
      </c>
      <c r="R1122" t="str">
        <v>18:41:51</v>
      </c>
      <c r="S1122">
        <f t="shared" si="281"/>
        <v>18.650000000000222</v>
      </c>
      <c r="T1122">
        <f t="shared" si="272"/>
        <v>19.740000000000009</v>
      </c>
      <c r="U1122">
        <f t="shared" si="275"/>
        <v>1.95</v>
      </c>
      <c r="V1122">
        <f t="shared" si="269"/>
        <v>1.2049999999999998</v>
      </c>
      <c r="AC1122" t="s">
        <v>2761</v>
      </c>
      <c r="AD1122">
        <v>0.9</v>
      </c>
      <c r="AE1122">
        <v>12.24</v>
      </c>
      <c r="AG1122" t="str" cm="1">
        <f t="array" ref="AG1122:AH1122">_xlfn.TEXTSPLIT(AC1123," ")</f>
        <v>26.10.2023</v>
      </c>
      <c r="AH1122" t="str">
        <v>18:43:03</v>
      </c>
      <c r="AI1122">
        <f t="shared" si="282"/>
        <v>18.650000000000222</v>
      </c>
      <c r="AJ1122">
        <f t="shared" si="276"/>
        <v>7.71</v>
      </c>
      <c r="AK1122">
        <f t="shared" si="277"/>
        <v>0.9</v>
      </c>
      <c r="AL1122">
        <f t="shared" si="270"/>
        <v>0.51500000000000001</v>
      </c>
      <c r="AN1122" t="s">
        <v>2761</v>
      </c>
      <c r="AO1122">
        <v>1.05</v>
      </c>
      <c r="AP1122">
        <v>75.33</v>
      </c>
      <c r="AR1122" t="str" cm="1">
        <f t="array" ref="AR1122:AS1122">_xlfn.TEXTSPLIT(AN1122," ")</f>
        <v>26.10.2023</v>
      </c>
      <c r="AS1122" t="str">
        <v>18:42:03</v>
      </c>
      <c r="AT1122">
        <f t="shared" si="283"/>
        <v>18.650000000000222</v>
      </c>
      <c r="AU1122">
        <f t="shared" si="278"/>
        <v>14.019999999999996</v>
      </c>
      <c r="AV1122">
        <f t="shared" si="279"/>
        <v>1.05</v>
      </c>
      <c r="AW1122">
        <f t="shared" si="271"/>
        <v>0.67499999999999993</v>
      </c>
    </row>
    <row r="1123" spans="1:49" x14ac:dyDescent="0.25">
      <c r="A1123" t="s">
        <v>2762</v>
      </c>
      <c r="B1123">
        <v>1.05</v>
      </c>
      <c r="C1123">
        <v>26.16</v>
      </c>
      <c r="E1123" t="s">
        <v>2762</v>
      </c>
      <c r="F1123">
        <v>1.5</v>
      </c>
      <c r="G1123">
        <v>98.36</v>
      </c>
      <c r="I1123" t="str" cm="1">
        <f t="array" ref="I1123:J1123">_xlfn.TEXTSPLIT(A1123," ")</f>
        <v>27.10.2023</v>
      </c>
      <c r="J1123" t="str">
        <v>18:42:51</v>
      </c>
      <c r="K1123">
        <f t="shared" si="280"/>
        <v>18.666666666666888</v>
      </c>
      <c r="L1123">
        <f t="shared" si="273"/>
        <v>11.84</v>
      </c>
      <c r="M1123">
        <f t="shared" si="274"/>
        <v>1.05</v>
      </c>
      <c r="N1123">
        <f t="shared" si="268"/>
        <v>0.68500000000000005</v>
      </c>
      <c r="Q1123" t="str" cm="1">
        <f t="array" ref="Q1123:R1123">_xlfn.TEXTSPLIT(E1123," ")</f>
        <v>27.10.2023</v>
      </c>
      <c r="R1123" t="str">
        <v>18:42:51</v>
      </c>
      <c r="S1123">
        <f t="shared" si="281"/>
        <v>18.666666666666888</v>
      </c>
      <c r="T1123">
        <f t="shared" si="272"/>
        <v>19.760000000000005</v>
      </c>
      <c r="U1123">
        <f t="shared" si="275"/>
        <v>1.5</v>
      </c>
      <c r="V1123">
        <f t="shared" si="269"/>
        <v>1.2150000000000001</v>
      </c>
      <c r="AC1123" t="s">
        <v>2763</v>
      </c>
      <c r="AD1123">
        <v>0.3</v>
      </c>
      <c r="AE1123">
        <v>12.24</v>
      </c>
      <c r="AG1123" t="str" cm="1">
        <f t="array" ref="AG1123:AH1123">_xlfn.TEXTSPLIT(AC1124," ")</f>
        <v>26.10.2023</v>
      </c>
      <c r="AH1123" t="str">
        <v>18:44:03</v>
      </c>
      <c r="AI1123">
        <f t="shared" si="282"/>
        <v>18.666666666666888</v>
      </c>
      <c r="AJ1123">
        <f t="shared" si="276"/>
        <v>7.71</v>
      </c>
      <c r="AK1123">
        <f t="shared" si="277"/>
        <v>0.3</v>
      </c>
      <c r="AL1123">
        <f t="shared" si="270"/>
        <v>0.49750000000000011</v>
      </c>
      <c r="AN1123" t="s">
        <v>2763</v>
      </c>
      <c r="AO1123">
        <v>1.05</v>
      </c>
      <c r="AP1123">
        <v>75.349999999999994</v>
      </c>
      <c r="AR1123" t="str" cm="1">
        <f t="array" ref="AR1123:AS1123">_xlfn.TEXTSPLIT(AN1123," ")</f>
        <v>26.10.2023</v>
      </c>
      <c r="AS1123" t="str">
        <v>18:43:03</v>
      </c>
      <c r="AT1123">
        <f t="shared" si="283"/>
        <v>18.666666666666888</v>
      </c>
      <c r="AU1123">
        <f t="shared" si="278"/>
        <v>14.039999999999992</v>
      </c>
      <c r="AV1123">
        <f t="shared" si="279"/>
        <v>1.05</v>
      </c>
      <c r="AW1123">
        <f t="shared" si="271"/>
        <v>0.67249999999999976</v>
      </c>
    </row>
    <row r="1124" spans="1:49" x14ac:dyDescent="0.25">
      <c r="A1124" t="s">
        <v>2764</v>
      </c>
      <c r="B1124">
        <v>0.75</v>
      </c>
      <c r="C1124">
        <v>26.17</v>
      </c>
      <c r="E1124" t="s">
        <v>2764</v>
      </c>
      <c r="F1124">
        <v>1.05</v>
      </c>
      <c r="G1124">
        <v>98.38</v>
      </c>
      <c r="I1124" t="str" cm="1">
        <f t="array" ref="I1124:J1124">_xlfn.TEXTSPLIT(A1124," ")</f>
        <v>27.10.2023</v>
      </c>
      <c r="J1124" t="str">
        <v>18:43:51</v>
      </c>
      <c r="K1124">
        <f t="shared" si="280"/>
        <v>18.683333333333554</v>
      </c>
      <c r="L1124">
        <f t="shared" si="273"/>
        <v>11.850000000000001</v>
      </c>
      <c r="M1124">
        <f t="shared" si="274"/>
        <v>0.75</v>
      </c>
      <c r="N1124">
        <f t="shared" si="268"/>
        <v>0.6775000000000001</v>
      </c>
      <c r="Q1124" t="str" cm="1">
        <f t="array" ref="Q1124:R1124">_xlfn.TEXTSPLIT(E1124," ")</f>
        <v>27.10.2023</v>
      </c>
      <c r="R1124" t="str">
        <v>18:43:51</v>
      </c>
      <c r="S1124">
        <f t="shared" si="281"/>
        <v>18.683333333333554</v>
      </c>
      <c r="T1124">
        <f t="shared" si="272"/>
        <v>19.78</v>
      </c>
      <c r="U1124">
        <f t="shared" si="275"/>
        <v>1.05</v>
      </c>
      <c r="V1124">
        <f t="shared" si="269"/>
        <v>1.2150000000000001</v>
      </c>
      <c r="AC1124" t="s">
        <v>2765</v>
      </c>
      <c r="AD1124">
        <v>1.35</v>
      </c>
      <c r="AE1124">
        <v>12.27</v>
      </c>
      <c r="AG1124" t="str" cm="1">
        <f t="array" ref="AG1124:AH1124">_xlfn.TEXTSPLIT(AC1125," ")</f>
        <v>26.10.2023</v>
      </c>
      <c r="AH1124" t="str">
        <v>18:45:03</v>
      </c>
      <c r="AI1124">
        <f t="shared" si="282"/>
        <v>18.683333333333554</v>
      </c>
      <c r="AJ1124">
        <f t="shared" si="276"/>
        <v>7.7399999999999993</v>
      </c>
      <c r="AK1124">
        <f t="shared" si="277"/>
        <v>1.35</v>
      </c>
      <c r="AL1124">
        <f t="shared" si="270"/>
        <v>0.51750000000000007</v>
      </c>
      <c r="AN1124" t="s">
        <v>2765</v>
      </c>
      <c r="AO1124">
        <v>1.05</v>
      </c>
      <c r="AP1124">
        <v>75.36</v>
      </c>
      <c r="AR1124" t="str" cm="1">
        <f t="array" ref="AR1124:AS1124">_xlfn.TEXTSPLIT(AN1124," ")</f>
        <v>26.10.2023</v>
      </c>
      <c r="AS1124" t="str">
        <v>18:44:03</v>
      </c>
      <c r="AT1124">
        <f t="shared" si="283"/>
        <v>18.683333333333554</v>
      </c>
      <c r="AU1124">
        <f t="shared" si="278"/>
        <v>14.049999999999997</v>
      </c>
      <c r="AV1124">
        <f t="shared" si="279"/>
        <v>1.05</v>
      </c>
      <c r="AW1124">
        <f t="shared" si="271"/>
        <v>0.67249999999999965</v>
      </c>
    </row>
    <row r="1125" spans="1:49" x14ac:dyDescent="0.25">
      <c r="A1125" t="s">
        <v>2766</v>
      </c>
      <c r="B1125">
        <v>0.6</v>
      </c>
      <c r="C1125">
        <v>26.18</v>
      </c>
      <c r="E1125" t="s">
        <v>2766</v>
      </c>
      <c r="F1125">
        <v>1.5</v>
      </c>
      <c r="G1125">
        <v>98.42</v>
      </c>
      <c r="I1125" t="str" cm="1">
        <f t="array" ref="I1125:J1125">_xlfn.TEXTSPLIT(A1125," ")</f>
        <v>27.10.2023</v>
      </c>
      <c r="J1125" t="str">
        <v>18:44:51</v>
      </c>
      <c r="K1125">
        <f t="shared" si="280"/>
        <v>18.70000000000022</v>
      </c>
      <c r="L1125">
        <f t="shared" si="273"/>
        <v>11.86</v>
      </c>
      <c r="M1125">
        <f t="shared" si="274"/>
        <v>0.6</v>
      </c>
      <c r="N1125">
        <f t="shared" si="268"/>
        <v>0.67500000000000016</v>
      </c>
      <c r="Q1125" t="str" cm="1">
        <f t="array" ref="Q1125:R1125">_xlfn.TEXTSPLIT(E1125," ")</f>
        <v>27.10.2023</v>
      </c>
      <c r="R1125" t="str">
        <v>18:44:51</v>
      </c>
      <c r="S1125">
        <f t="shared" si="281"/>
        <v>18.70000000000022</v>
      </c>
      <c r="T1125">
        <f t="shared" si="272"/>
        <v>19.820000000000007</v>
      </c>
      <c r="U1125">
        <f t="shared" si="275"/>
        <v>1.5</v>
      </c>
      <c r="V1125">
        <f t="shared" si="269"/>
        <v>1.2175</v>
      </c>
      <c r="AC1125" t="s">
        <v>2767</v>
      </c>
      <c r="AD1125">
        <v>0.45</v>
      </c>
      <c r="AE1125">
        <v>12.27</v>
      </c>
      <c r="AG1125" t="str" cm="1">
        <f t="array" ref="AG1125:AH1125">_xlfn.TEXTSPLIT(AC1126," ")</f>
        <v>26.10.2023</v>
      </c>
      <c r="AH1125" t="str">
        <v>18:46:03</v>
      </c>
      <c r="AI1125">
        <f t="shared" si="282"/>
        <v>18.70000000000022</v>
      </c>
      <c r="AJ1125">
        <f t="shared" si="276"/>
        <v>7.7399999999999993</v>
      </c>
      <c r="AK1125">
        <f t="shared" si="277"/>
        <v>0.45</v>
      </c>
      <c r="AL1125">
        <f t="shared" si="270"/>
        <v>0.49750000000000011</v>
      </c>
      <c r="AN1125" t="s">
        <v>2767</v>
      </c>
      <c r="AO1125">
        <v>1.05</v>
      </c>
      <c r="AP1125">
        <v>75.38</v>
      </c>
      <c r="AR1125" t="str" cm="1">
        <f t="array" ref="AR1125:AS1125">_xlfn.TEXTSPLIT(AN1125," ")</f>
        <v>26.10.2023</v>
      </c>
      <c r="AS1125" t="str">
        <v>18:45:03</v>
      </c>
      <c r="AT1125">
        <f t="shared" si="283"/>
        <v>18.70000000000022</v>
      </c>
      <c r="AU1125">
        <f t="shared" si="278"/>
        <v>14.069999999999993</v>
      </c>
      <c r="AV1125">
        <f t="shared" si="279"/>
        <v>1.05</v>
      </c>
      <c r="AW1125">
        <f t="shared" si="271"/>
        <v>0.6749999999999996</v>
      </c>
    </row>
    <row r="1126" spans="1:49" x14ac:dyDescent="0.25">
      <c r="A1126" t="s">
        <v>2768</v>
      </c>
      <c r="B1126">
        <v>0.75</v>
      </c>
      <c r="C1126">
        <v>26.2</v>
      </c>
      <c r="E1126" t="s">
        <v>2768</v>
      </c>
      <c r="F1126">
        <v>2.25</v>
      </c>
      <c r="G1126">
        <v>98.44</v>
      </c>
      <c r="I1126" t="str" cm="1">
        <f t="array" ref="I1126:J1126">_xlfn.TEXTSPLIT(A1126," ")</f>
        <v>27.10.2023</v>
      </c>
      <c r="J1126" t="str">
        <v>18:45:51</v>
      </c>
      <c r="K1126">
        <f t="shared" si="280"/>
        <v>18.716666666666885</v>
      </c>
      <c r="L1126">
        <f t="shared" si="273"/>
        <v>11.879999999999999</v>
      </c>
      <c r="M1126">
        <f t="shared" si="274"/>
        <v>0.75</v>
      </c>
      <c r="N1126">
        <f t="shared" si="268"/>
        <v>0.67249999999999999</v>
      </c>
      <c r="Q1126" t="str" cm="1">
        <f t="array" ref="Q1126:R1126">_xlfn.TEXTSPLIT(E1126," ")</f>
        <v>27.10.2023</v>
      </c>
      <c r="R1126" t="str">
        <v>18:45:51</v>
      </c>
      <c r="S1126">
        <f t="shared" si="281"/>
        <v>18.716666666666885</v>
      </c>
      <c r="T1126">
        <f t="shared" si="272"/>
        <v>19.840000000000003</v>
      </c>
      <c r="U1126">
        <f t="shared" si="275"/>
        <v>2.25</v>
      </c>
      <c r="V1126">
        <f t="shared" si="269"/>
        <v>1.2275</v>
      </c>
      <c r="AC1126" t="s">
        <v>2769</v>
      </c>
      <c r="AD1126">
        <v>0.6</v>
      </c>
      <c r="AE1126">
        <v>12.28</v>
      </c>
      <c r="AG1126" t="str" cm="1">
        <f t="array" ref="AG1126:AH1126">_xlfn.TEXTSPLIT(AC1127," ")</f>
        <v>26.10.2023</v>
      </c>
      <c r="AH1126" t="str">
        <v>18:47:03</v>
      </c>
      <c r="AI1126">
        <f t="shared" si="282"/>
        <v>18.716666666666885</v>
      </c>
      <c r="AJ1126">
        <f t="shared" si="276"/>
        <v>7.7499999999999991</v>
      </c>
      <c r="AK1126">
        <f t="shared" si="277"/>
        <v>0.6</v>
      </c>
      <c r="AL1126">
        <f t="shared" si="270"/>
        <v>0.49250000000000005</v>
      </c>
      <c r="AN1126" t="s">
        <v>2769</v>
      </c>
      <c r="AO1126">
        <v>0.6</v>
      </c>
      <c r="AP1126">
        <v>75.39</v>
      </c>
      <c r="AR1126" t="str" cm="1">
        <f t="array" ref="AR1126:AS1126">_xlfn.TEXTSPLIT(AN1126," ")</f>
        <v>26.10.2023</v>
      </c>
      <c r="AS1126" t="str">
        <v>18:46:03</v>
      </c>
      <c r="AT1126">
        <f t="shared" si="283"/>
        <v>18.716666666666885</v>
      </c>
      <c r="AU1126">
        <f t="shared" si="278"/>
        <v>14.079999999999998</v>
      </c>
      <c r="AV1126">
        <f t="shared" si="279"/>
        <v>0.6</v>
      </c>
      <c r="AW1126">
        <f t="shared" si="271"/>
        <v>0.66499999999999959</v>
      </c>
    </row>
    <row r="1127" spans="1:49" x14ac:dyDescent="0.25">
      <c r="A1127" t="s">
        <v>2770</v>
      </c>
      <c r="B1127">
        <v>1.05</v>
      </c>
      <c r="C1127">
        <v>26.22</v>
      </c>
      <c r="E1127" t="s">
        <v>2770</v>
      </c>
      <c r="F1127">
        <v>1.35</v>
      </c>
      <c r="G1127">
        <v>98.45</v>
      </c>
      <c r="I1127" t="str" cm="1">
        <f t="array" ref="I1127:J1127">_xlfn.TEXTSPLIT(A1127," ")</f>
        <v>27.10.2023</v>
      </c>
      <c r="J1127" t="str">
        <v>18:46:51</v>
      </c>
      <c r="K1127">
        <f t="shared" si="280"/>
        <v>18.733333333333551</v>
      </c>
      <c r="L1127">
        <f t="shared" si="273"/>
        <v>11.899999999999999</v>
      </c>
      <c r="M1127">
        <f t="shared" si="274"/>
        <v>1.05</v>
      </c>
      <c r="N1127">
        <f t="shared" si="268"/>
        <v>0.6825</v>
      </c>
      <c r="Q1127" t="str" cm="1">
        <f t="array" ref="Q1127:R1127">_xlfn.TEXTSPLIT(E1127," ")</f>
        <v>27.10.2023</v>
      </c>
      <c r="R1127" t="str">
        <v>18:46:51</v>
      </c>
      <c r="S1127">
        <f t="shared" si="281"/>
        <v>18.733333333333551</v>
      </c>
      <c r="T1127">
        <f t="shared" si="272"/>
        <v>19.850000000000009</v>
      </c>
      <c r="U1127">
        <f t="shared" si="275"/>
        <v>1.35</v>
      </c>
      <c r="V1127">
        <f t="shared" si="269"/>
        <v>1.2250000000000001</v>
      </c>
      <c r="AC1127" t="s">
        <v>2771</v>
      </c>
      <c r="AD1127">
        <v>0.45</v>
      </c>
      <c r="AE1127">
        <v>12.29</v>
      </c>
      <c r="AG1127" t="str" cm="1">
        <f t="array" ref="AG1127:AH1127">_xlfn.TEXTSPLIT(AC1128," ")</f>
        <v>26.10.2023</v>
      </c>
      <c r="AH1127" t="str">
        <v>18:48:03</v>
      </c>
      <c r="AI1127">
        <f t="shared" si="282"/>
        <v>18.733333333333551</v>
      </c>
      <c r="AJ1127">
        <f t="shared" si="276"/>
        <v>7.7599999999999989</v>
      </c>
      <c r="AK1127">
        <f t="shared" si="277"/>
        <v>0.45</v>
      </c>
      <c r="AL1127">
        <f t="shared" si="270"/>
        <v>0.48750000000000004</v>
      </c>
      <c r="AN1127" t="s">
        <v>2771</v>
      </c>
      <c r="AO1127">
        <v>0.45</v>
      </c>
      <c r="AP1127">
        <v>75.400000000000006</v>
      </c>
      <c r="AR1127" t="str" cm="1">
        <f t="array" ref="AR1127:AS1127">_xlfn.TEXTSPLIT(AN1127," ")</f>
        <v>26.10.2023</v>
      </c>
      <c r="AS1127" t="str">
        <v>18:47:03</v>
      </c>
      <c r="AT1127">
        <f t="shared" si="283"/>
        <v>18.733333333333551</v>
      </c>
      <c r="AU1127">
        <f t="shared" si="278"/>
        <v>14.090000000000003</v>
      </c>
      <c r="AV1127">
        <f t="shared" si="279"/>
        <v>0.45</v>
      </c>
      <c r="AW1127">
        <f t="shared" si="271"/>
        <v>0.65249999999999964</v>
      </c>
    </row>
    <row r="1128" spans="1:49" x14ac:dyDescent="0.25">
      <c r="A1128" t="s">
        <v>2772</v>
      </c>
      <c r="B1128">
        <v>1.05</v>
      </c>
      <c r="C1128">
        <v>26.23</v>
      </c>
      <c r="E1128" t="s">
        <v>2772</v>
      </c>
      <c r="F1128">
        <v>1.05</v>
      </c>
      <c r="G1128">
        <v>98.47</v>
      </c>
      <c r="I1128" t="str" cm="1">
        <f t="array" ref="I1128:J1128">_xlfn.TEXTSPLIT(A1128," ")</f>
        <v>27.10.2023</v>
      </c>
      <c r="J1128" t="str">
        <v>18:47:51</v>
      </c>
      <c r="K1128">
        <f t="shared" si="280"/>
        <v>18.750000000000217</v>
      </c>
      <c r="L1128">
        <f t="shared" si="273"/>
        <v>11.91</v>
      </c>
      <c r="M1128">
        <f t="shared" si="274"/>
        <v>1.05</v>
      </c>
      <c r="N1128">
        <f t="shared" si="268"/>
        <v>0.6875</v>
      </c>
      <c r="Q1128" t="str" cm="1">
        <f t="array" ref="Q1128:R1128">_xlfn.TEXTSPLIT(E1128," ")</f>
        <v>27.10.2023</v>
      </c>
      <c r="R1128" t="str">
        <v>18:47:51</v>
      </c>
      <c r="S1128">
        <f t="shared" si="281"/>
        <v>18.750000000000217</v>
      </c>
      <c r="T1128">
        <f t="shared" si="272"/>
        <v>19.870000000000005</v>
      </c>
      <c r="U1128">
        <f t="shared" si="275"/>
        <v>1.05</v>
      </c>
      <c r="V1128">
        <f t="shared" si="269"/>
        <v>1.2275</v>
      </c>
      <c r="AC1128" t="s">
        <v>2773</v>
      </c>
      <c r="AD1128">
        <v>0.45</v>
      </c>
      <c r="AE1128">
        <v>12.3</v>
      </c>
      <c r="AG1128" t="str" cm="1">
        <f t="array" ref="AG1128:AH1128">_xlfn.TEXTSPLIT(AC1129," ")</f>
        <v>26.10.2023</v>
      </c>
      <c r="AH1128" t="str">
        <v>18:49:03</v>
      </c>
      <c r="AI1128">
        <f t="shared" si="282"/>
        <v>18.750000000000217</v>
      </c>
      <c r="AJ1128">
        <f t="shared" si="276"/>
        <v>7.7700000000000005</v>
      </c>
      <c r="AK1128">
        <f t="shared" si="277"/>
        <v>0.45</v>
      </c>
      <c r="AL1128">
        <f t="shared" si="270"/>
        <v>0.47750000000000009</v>
      </c>
      <c r="AN1128" t="s">
        <v>2773</v>
      </c>
      <c r="AO1128">
        <v>0.6</v>
      </c>
      <c r="AP1128">
        <v>75.41</v>
      </c>
      <c r="AR1128" t="str" cm="1">
        <f t="array" ref="AR1128:AS1128">_xlfn.TEXTSPLIT(AN1128," ")</f>
        <v>26.10.2023</v>
      </c>
      <c r="AS1128" t="str">
        <v>18:48:03</v>
      </c>
      <c r="AT1128">
        <f t="shared" si="283"/>
        <v>18.750000000000217</v>
      </c>
      <c r="AU1128">
        <f t="shared" si="278"/>
        <v>14.099999999999994</v>
      </c>
      <c r="AV1128">
        <f t="shared" si="279"/>
        <v>0.6</v>
      </c>
      <c r="AW1128">
        <f t="shared" si="271"/>
        <v>0.64499999999999968</v>
      </c>
    </row>
    <row r="1129" spans="1:49" x14ac:dyDescent="0.25">
      <c r="A1129" t="s">
        <v>2774</v>
      </c>
      <c r="B1129">
        <v>0.75</v>
      </c>
      <c r="C1129">
        <v>26.24</v>
      </c>
      <c r="E1129" t="s">
        <v>2774</v>
      </c>
      <c r="F1129">
        <v>1.05</v>
      </c>
      <c r="G1129">
        <v>98.49</v>
      </c>
      <c r="I1129" t="str" cm="1">
        <f t="array" ref="I1129:J1129">_xlfn.TEXTSPLIT(A1129," ")</f>
        <v>27.10.2023</v>
      </c>
      <c r="J1129" t="str">
        <v>18:48:51</v>
      </c>
      <c r="K1129">
        <f t="shared" si="280"/>
        <v>18.766666666666882</v>
      </c>
      <c r="L1129">
        <f t="shared" si="273"/>
        <v>11.919999999999998</v>
      </c>
      <c r="M1129">
        <f t="shared" si="274"/>
        <v>0.75</v>
      </c>
      <c r="N1129">
        <f t="shared" si="268"/>
        <v>0.69</v>
      </c>
      <c r="Q1129" t="str" cm="1">
        <f t="array" ref="Q1129:R1129">_xlfn.TEXTSPLIT(E1129," ")</f>
        <v>27.10.2023</v>
      </c>
      <c r="R1129" t="str">
        <v>18:48:51</v>
      </c>
      <c r="S1129">
        <f t="shared" si="281"/>
        <v>18.766666666666882</v>
      </c>
      <c r="T1129">
        <f t="shared" si="272"/>
        <v>19.89</v>
      </c>
      <c r="U1129">
        <f t="shared" si="275"/>
        <v>1.05</v>
      </c>
      <c r="V1129">
        <f t="shared" si="269"/>
        <v>1.23</v>
      </c>
      <c r="AC1129" t="s">
        <v>2775</v>
      </c>
      <c r="AD1129">
        <v>0.3</v>
      </c>
      <c r="AE1129">
        <v>12.3</v>
      </c>
      <c r="AG1129" t="str" cm="1">
        <f t="array" ref="AG1129:AH1129">_xlfn.TEXTSPLIT(AC1130," ")</f>
        <v>26.10.2023</v>
      </c>
      <c r="AH1129" t="str">
        <v>18:50:04</v>
      </c>
      <c r="AI1129">
        <f t="shared" si="282"/>
        <v>18.766666666666882</v>
      </c>
      <c r="AJ1129">
        <f t="shared" si="276"/>
        <v>7.7700000000000005</v>
      </c>
      <c r="AK1129">
        <f t="shared" si="277"/>
        <v>0.3</v>
      </c>
      <c r="AL1129">
        <f t="shared" si="270"/>
        <v>0.47250000000000003</v>
      </c>
      <c r="AN1129" t="s">
        <v>2775</v>
      </c>
      <c r="AO1129">
        <v>0.6</v>
      </c>
      <c r="AP1129">
        <v>75.42</v>
      </c>
      <c r="AR1129" t="str" cm="1">
        <f t="array" ref="AR1129:AS1129">_xlfn.TEXTSPLIT(AN1129," ")</f>
        <v>26.10.2023</v>
      </c>
      <c r="AS1129" t="str">
        <v>18:49:03</v>
      </c>
      <c r="AT1129">
        <f t="shared" si="283"/>
        <v>18.766666666666882</v>
      </c>
      <c r="AU1129">
        <f t="shared" si="278"/>
        <v>14.11</v>
      </c>
      <c r="AV1129">
        <f t="shared" si="279"/>
        <v>0.6</v>
      </c>
      <c r="AW1129">
        <f t="shared" si="271"/>
        <v>0.64499999999999968</v>
      </c>
    </row>
    <row r="1130" spans="1:49" x14ac:dyDescent="0.25">
      <c r="A1130" t="s">
        <v>2776</v>
      </c>
      <c r="B1130">
        <v>0.6</v>
      </c>
      <c r="C1130">
        <v>26.25</v>
      </c>
      <c r="E1130" t="s">
        <v>2776</v>
      </c>
      <c r="F1130">
        <v>1.2</v>
      </c>
      <c r="G1130">
        <v>98.51</v>
      </c>
      <c r="I1130" t="str" cm="1">
        <f t="array" ref="I1130:J1130">_xlfn.TEXTSPLIT(A1130," ")</f>
        <v>27.10.2023</v>
      </c>
      <c r="J1130" t="str">
        <v>18:49:51</v>
      </c>
      <c r="K1130">
        <f t="shared" si="280"/>
        <v>18.783333333333548</v>
      </c>
      <c r="L1130">
        <f t="shared" si="273"/>
        <v>11.93</v>
      </c>
      <c r="M1130">
        <f t="shared" si="274"/>
        <v>0.6</v>
      </c>
      <c r="N1130">
        <f t="shared" si="268"/>
        <v>0.6875</v>
      </c>
      <c r="Q1130" t="str" cm="1">
        <f t="array" ref="Q1130:R1130">_xlfn.TEXTSPLIT(E1130," ")</f>
        <v>27.10.2023</v>
      </c>
      <c r="R1130" t="str">
        <v>18:49:51</v>
      </c>
      <c r="S1130">
        <f t="shared" si="281"/>
        <v>18.783333333333548</v>
      </c>
      <c r="T1130">
        <f t="shared" si="272"/>
        <v>19.910000000000011</v>
      </c>
      <c r="U1130">
        <f t="shared" si="275"/>
        <v>1.2</v>
      </c>
      <c r="V1130">
        <f t="shared" si="269"/>
        <v>1.2300000000000002</v>
      </c>
      <c r="AC1130" t="s">
        <v>2777</v>
      </c>
      <c r="AD1130">
        <v>0.75</v>
      </c>
      <c r="AE1130">
        <v>12.32</v>
      </c>
      <c r="AG1130" t="str" cm="1">
        <f t="array" ref="AG1130:AH1130">_xlfn.TEXTSPLIT(AC1131," ")</f>
        <v>26.10.2023</v>
      </c>
      <c r="AH1130" t="str">
        <v>18:51:04</v>
      </c>
      <c r="AI1130">
        <f t="shared" si="282"/>
        <v>18.783333333333548</v>
      </c>
      <c r="AJ1130">
        <f t="shared" si="276"/>
        <v>7.79</v>
      </c>
      <c r="AK1130">
        <f t="shared" si="277"/>
        <v>0.75</v>
      </c>
      <c r="AL1130">
        <f t="shared" si="270"/>
        <v>0.47750000000000004</v>
      </c>
      <c r="AN1130" t="s">
        <v>2777</v>
      </c>
      <c r="AO1130">
        <v>0.45</v>
      </c>
      <c r="AP1130">
        <v>75.42</v>
      </c>
      <c r="AR1130" t="str" cm="1">
        <f t="array" ref="AR1130:AS1130">_xlfn.TEXTSPLIT(AN1130," ")</f>
        <v>26.10.2023</v>
      </c>
      <c r="AS1130" t="str">
        <v>18:50:04</v>
      </c>
      <c r="AT1130">
        <f t="shared" si="283"/>
        <v>18.783333333333548</v>
      </c>
      <c r="AU1130">
        <f t="shared" si="278"/>
        <v>14.11</v>
      </c>
      <c r="AV1130">
        <f t="shared" si="279"/>
        <v>0.45</v>
      </c>
      <c r="AW1130">
        <f t="shared" si="271"/>
        <v>0.64249999999999985</v>
      </c>
    </row>
    <row r="1131" spans="1:49" x14ac:dyDescent="0.25">
      <c r="A1131" t="s">
        <v>2778</v>
      </c>
      <c r="B1131">
        <v>0.45</v>
      </c>
      <c r="C1131">
        <v>26.26</v>
      </c>
      <c r="E1131" t="s">
        <v>2778</v>
      </c>
      <c r="F1131">
        <v>1.35</v>
      </c>
      <c r="G1131">
        <v>98.53</v>
      </c>
      <c r="I1131" t="str" cm="1">
        <f t="array" ref="I1131:J1131">_xlfn.TEXTSPLIT(A1131," ")</f>
        <v>27.10.2023</v>
      </c>
      <c r="J1131" t="str">
        <v>18:50:51</v>
      </c>
      <c r="K1131">
        <f t="shared" si="280"/>
        <v>18.800000000000214</v>
      </c>
      <c r="L1131">
        <f t="shared" si="273"/>
        <v>11.940000000000001</v>
      </c>
      <c r="M1131">
        <f t="shared" si="274"/>
        <v>0.45</v>
      </c>
      <c r="N1131">
        <f t="shared" si="268"/>
        <v>0.68500000000000016</v>
      </c>
      <c r="Q1131" t="str" cm="1">
        <f t="array" ref="Q1131:R1131">_xlfn.TEXTSPLIT(E1131," ")</f>
        <v>27.10.2023</v>
      </c>
      <c r="R1131" t="str">
        <v>18:50:51</v>
      </c>
      <c r="S1131">
        <f t="shared" si="281"/>
        <v>18.800000000000214</v>
      </c>
      <c r="T1131">
        <f t="shared" si="272"/>
        <v>19.930000000000007</v>
      </c>
      <c r="U1131">
        <f t="shared" si="275"/>
        <v>1.35</v>
      </c>
      <c r="V1131">
        <f t="shared" si="269"/>
        <v>1.23</v>
      </c>
      <c r="AC1131" t="s">
        <v>2779</v>
      </c>
      <c r="AD1131">
        <v>0.3</v>
      </c>
      <c r="AE1131">
        <v>12.32</v>
      </c>
      <c r="AG1131" t="str" cm="1">
        <f t="array" ref="AG1131:AH1131">_xlfn.TEXTSPLIT(AC1132," ")</f>
        <v>26.10.2023</v>
      </c>
      <c r="AH1131" t="str">
        <v>18:52:04</v>
      </c>
      <c r="AI1131">
        <f t="shared" si="282"/>
        <v>18.800000000000214</v>
      </c>
      <c r="AJ1131">
        <f t="shared" si="276"/>
        <v>7.79</v>
      </c>
      <c r="AK1131">
        <f t="shared" si="277"/>
        <v>0.3</v>
      </c>
      <c r="AL1131">
        <f t="shared" si="270"/>
        <v>0.47000000000000008</v>
      </c>
      <c r="AN1131" t="s">
        <v>2779</v>
      </c>
      <c r="AO1131">
        <v>0.6</v>
      </c>
      <c r="AP1131">
        <v>75.430000000000007</v>
      </c>
      <c r="AR1131" t="str" cm="1">
        <f t="array" ref="AR1131:AS1131">_xlfn.TEXTSPLIT(AN1131," ")</f>
        <v>26.10.2023</v>
      </c>
      <c r="AS1131" t="str">
        <v>18:51:04</v>
      </c>
      <c r="AT1131">
        <f t="shared" si="283"/>
        <v>18.800000000000214</v>
      </c>
      <c r="AU1131">
        <f t="shared" si="278"/>
        <v>14.120000000000005</v>
      </c>
      <c r="AV1131">
        <f t="shared" si="279"/>
        <v>0.6</v>
      </c>
      <c r="AW1131">
        <f t="shared" si="271"/>
        <v>0.64249999999999985</v>
      </c>
    </row>
    <row r="1132" spans="1:49" x14ac:dyDescent="0.25">
      <c r="A1132" t="s">
        <v>2780</v>
      </c>
      <c r="B1132">
        <v>0.45</v>
      </c>
      <c r="C1132">
        <v>26.26</v>
      </c>
      <c r="E1132" t="s">
        <v>2780</v>
      </c>
      <c r="F1132">
        <v>0.9</v>
      </c>
      <c r="G1132">
        <v>98.54</v>
      </c>
      <c r="I1132" t="str" cm="1">
        <f t="array" ref="I1132:J1132">_xlfn.TEXTSPLIT(A1132," ")</f>
        <v>27.10.2023</v>
      </c>
      <c r="J1132" t="str">
        <v>18:51:52</v>
      </c>
      <c r="K1132">
        <f t="shared" si="280"/>
        <v>18.81666666666688</v>
      </c>
      <c r="L1132">
        <f t="shared" si="273"/>
        <v>11.940000000000001</v>
      </c>
      <c r="M1132">
        <f t="shared" si="274"/>
        <v>0.45</v>
      </c>
      <c r="N1132">
        <f t="shared" si="268"/>
        <v>0.68</v>
      </c>
      <c r="Q1132" t="str" cm="1">
        <f t="array" ref="Q1132:R1132">_xlfn.TEXTSPLIT(E1132," ")</f>
        <v>27.10.2023</v>
      </c>
      <c r="R1132" t="str">
        <v>18:51:52</v>
      </c>
      <c r="S1132">
        <f t="shared" si="281"/>
        <v>18.81666666666688</v>
      </c>
      <c r="T1132">
        <f t="shared" si="272"/>
        <v>19.940000000000012</v>
      </c>
      <c r="U1132">
        <f t="shared" si="275"/>
        <v>0.9</v>
      </c>
      <c r="V1132">
        <f t="shared" si="269"/>
        <v>1.23</v>
      </c>
      <c r="AC1132" t="s">
        <v>2781</v>
      </c>
      <c r="AD1132">
        <v>0.3</v>
      </c>
      <c r="AE1132">
        <v>12.33</v>
      </c>
      <c r="AG1132" t="str" cm="1">
        <f t="array" ref="AG1132:AH1132">_xlfn.TEXTSPLIT(AC1133," ")</f>
        <v>26.10.2023</v>
      </c>
      <c r="AH1132" t="str">
        <v>18:53:04</v>
      </c>
      <c r="AI1132">
        <f t="shared" si="282"/>
        <v>18.81666666666688</v>
      </c>
      <c r="AJ1132">
        <f t="shared" si="276"/>
        <v>7.8</v>
      </c>
      <c r="AK1132">
        <f t="shared" si="277"/>
        <v>0.3</v>
      </c>
      <c r="AL1132">
        <f t="shared" si="270"/>
        <v>0.46750000000000014</v>
      </c>
      <c r="AN1132" t="s">
        <v>2781</v>
      </c>
      <c r="AO1132">
        <v>0.15</v>
      </c>
      <c r="AP1132">
        <v>75.44</v>
      </c>
      <c r="AR1132" t="str" cm="1">
        <f t="array" ref="AR1132:AS1132">_xlfn.TEXTSPLIT(AN1132," ")</f>
        <v>26.10.2023</v>
      </c>
      <c r="AS1132" t="str">
        <v>18:52:04</v>
      </c>
      <c r="AT1132">
        <f t="shared" si="283"/>
        <v>18.81666666666688</v>
      </c>
      <c r="AU1132">
        <f t="shared" si="278"/>
        <v>14.129999999999995</v>
      </c>
      <c r="AV1132">
        <f t="shared" si="279"/>
        <v>0.15</v>
      </c>
      <c r="AW1132">
        <f t="shared" si="271"/>
        <v>0.63749999999999984</v>
      </c>
    </row>
    <row r="1133" spans="1:49" x14ac:dyDescent="0.25">
      <c r="A1133" t="s">
        <v>2782</v>
      </c>
      <c r="B1133">
        <v>0.45</v>
      </c>
      <c r="C1133">
        <v>26.26</v>
      </c>
      <c r="E1133" t="s">
        <v>2782</v>
      </c>
      <c r="F1133">
        <v>0.9</v>
      </c>
      <c r="G1133">
        <v>98.55</v>
      </c>
      <c r="I1133" t="str" cm="1">
        <f t="array" ref="I1133:J1133">_xlfn.TEXTSPLIT(A1133," ")</f>
        <v>27.10.2023</v>
      </c>
      <c r="J1133" t="str">
        <v>18:52:52</v>
      </c>
      <c r="K1133">
        <f t="shared" si="280"/>
        <v>18.833333333333545</v>
      </c>
      <c r="L1133">
        <f t="shared" si="273"/>
        <v>11.940000000000001</v>
      </c>
      <c r="M1133">
        <f t="shared" si="274"/>
        <v>0.45</v>
      </c>
      <c r="N1133">
        <f t="shared" si="268"/>
        <v>0.6775000000000001</v>
      </c>
      <c r="Q1133" t="str" cm="1">
        <f t="array" ref="Q1133:R1133">_xlfn.TEXTSPLIT(E1133," ")</f>
        <v>27.10.2023</v>
      </c>
      <c r="R1133" t="str">
        <v>18:52:52</v>
      </c>
      <c r="S1133">
        <f t="shared" si="281"/>
        <v>18.833333333333545</v>
      </c>
      <c r="T1133">
        <f t="shared" si="272"/>
        <v>19.950000000000003</v>
      </c>
      <c r="U1133">
        <f t="shared" si="275"/>
        <v>0.9</v>
      </c>
      <c r="V1133">
        <f t="shared" si="269"/>
        <v>1.2325000000000002</v>
      </c>
      <c r="AC1133" t="s">
        <v>2783</v>
      </c>
      <c r="AD1133">
        <v>0.45</v>
      </c>
      <c r="AE1133">
        <v>12.34</v>
      </c>
      <c r="AG1133" t="str" cm="1">
        <f t="array" ref="AG1133:AH1133">_xlfn.TEXTSPLIT(AC1134," ")</f>
        <v>26.10.2023</v>
      </c>
      <c r="AH1133" t="str">
        <v>18:54:04</v>
      </c>
      <c r="AI1133">
        <f t="shared" si="282"/>
        <v>18.833333333333545</v>
      </c>
      <c r="AJ1133">
        <f t="shared" si="276"/>
        <v>7.81</v>
      </c>
      <c r="AK1133">
        <f t="shared" si="277"/>
        <v>0.45</v>
      </c>
      <c r="AL1133">
        <f t="shared" si="270"/>
        <v>0.46500000000000008</v>
      </c>
      <c r="AN1133" t="s">
        <v>2783</v>
      </c>
      <c r="AO1133">
        <v>0</v>
      </c>
      <c r="AP1133">
        <v>75.44</v>
      </c>
      <c r="AR1133" t="str" cm="1">
        <f t="array" ref="AR1133:AS1133">_xlfn.TEXTSPLIT(AN1133," ")</f>
        <v>26.10.2023</v>
      </c>
      <c r="AS1133" t="str">
        <v>18:53:04</v>
      </c>
      <c r="AT1133">
        <f t="shared" si="283"/>
        <v>18.833333333333545</v>
      </c>
      <c r="AU1133">
        <f t="shared" si="278"/>
        <v>14.129999999999995</v>
      </c>
      <c r="AV1133">
        <f t="shared" si="279"/>
        <v>0</v>
      </c>
      <c r="AW1133">
        <f t="shared" si="271"/>
        <v>0.6349999999999999</v>
      </c>
    </row>
    <row r="1134" spans="1:49" x14ac:dyDescent="0.25">
      <c r="A1134" t="s">
        <v>2784</v>
      </c>
      <c r="B1134">
        <v>0</v>
      </c>
      <c r="C1134">
        <v>26.26</v>
      </c>
      <c r="E1134" t="s">
        <v>2784</v>
      </c>
      <c r="F1134">
        <v>0.45</v>
      </c>
      <c r="G1134">
        <v>98.56</v>
      </c>
      <c r="I1134" t="str" cm="1">
        <f t="array" ref="I1134:J1134">_xlfn.TEXTSPLIT(A1134," ")</f>
        <v>27.10.2023</v>
      </c>
      <c r="J1134" t="str">
        <v>18:53:52</v>
      </c>
      <c r="K1134">
        <f t="shared" si="280"/>
        <v>18.850000000000211</v>
      </c>
      <c r="L1134">
        <f t="shared" si="273"/>
        <v>11.940000000000001</v>
      </c>
      <c r="M1134">
        <f t="shared" si="274"/>
        <v>0</v>
      </c>
      <c r="N1134">
        <f t="shared" si="268"/>
        <v>0.6775000000000001</v>
      </c>
      <c r="Q1134" t="str" cm="1">
        <f t="array" ref="Q1134:R1134">_xlfn.TEXTSPLIT(E1134," ")</f>
        <v>27.10.2023</v>
      </c>
      <c r="R1134" t="str">
        <v>18:53:52</v>
      </c>
      <c r="S1134">
        <f t="shared" si="281"/>
        <v>18.850000000000211</v>
      </c>
      <c r="T1134">
        <f t="shared" si="272"/>
        <v>19.960000000000008</v>
      </c>
      <c r="U1134">
        <f t="shared" si="275"/>
        <v>0.45</v>
      </c>
      <c r="V1134">
        <f t="shared" si="269"/>
        <v>1.2300000000000002</v>
      </c>
      <c r="AC1134" t="s">
        <v>2785</v>
      </c>
      <c r="AD1134">
        <v>0</v>
      </c>
      <c r="AE1134">
        <v>12.34</v>
      </c>
      <c r="AG1134" t="str" cm="1">
        <f t="array" ref="AG1134:AH1134">_xlfn.TEXTSPLIT(AC1135," ")</f>
        <v>26.10.2023</v>
      </c>
      <c r="AH1134" t="str">
        <v>18:55:04</v>
      </c>
      <c r="AI1134">
        <f t="shared" si="282"/>
        <v>18.850000000000211</v>
      </c>
      <c r="AJ1134">
        <f t="shared" si="276"/>
        <v>7.81</v>
      </c>
      <c r="AK1134">
        <f t="shared" si="277"/>
        <v>0</v>
      </c>
      <c r="AL1134">
        <f t="shared" si="270"/>
        <v>0.45500000000000007</v>
      </c>
      <c r="AN1134" t="s">
        <v>2785</v>
      </c>
      <c r="AO1134">
        <v>0</v>
      </c>
      <c r="AP1134">
        <v>75.44</v>
      </c>
      <c r="AR1134" t="str" cm="1">
        <f t="array" ref="AR1134:AS1134">_xlfn.TEXTSPLIT(AN1134," ")</f>
        <v>26.10.2023</v>
      </c>
      <c r="AS1134" t="str">
        <v>18:54:04</v>
      </c>
      <c r="AT1134">
        <f t="shared" si="283"/>
        <v>18.850000000000211</v>
      </c>
      <c r="AU1134">
        <f t="shared" si="278"/>
        <v>14.129999999999995</v>
      </c>
      <c r="AV1134">
        <f t="shared" si="279"/>
        <v>0</v>
      </c>
      <c r="AW1134">
        <f t="shared" si="271"/>
        <v>0.6349999999999999</v>
      </c>
    </row>
    <row r="1135" spans="1:49" x14ac:dyDescent="0.25">
      <c r="A1135" t="s">
        <v>2786</v>
      </c>
      <c r="B1135">
        <v>0</v>
      </c>
      <c r="C1135">
        <v>26.26</v>
      </c>
      <c r="E1135" t="s">
        <v>2786</v>
      </c>
      <c r="F1135">
        <v>0.45</v>
      </c>
      <c r="G1135">
        <v>98.56</v>
      </c>
      <c r="I1135" t="str" cm="1">
        <f t="array" ref="I1135:J1135">_xlfn.TEXTSPLIT(A1135," ")</f>
        <v>27.10.2023</v>
      </c>
      <c r="J1135" t="str">
        <v>18:54:52</v>
      </c>
      <c r="K1135">
        <f t="shared" si="280"/>
        <v>18.866666666666877</v>
      </c>
      <c r="L1135">
        <f t="shared" si="273"/>
        <v>11.940000000000001</v>
      </c>
      <c r="M1135">
        <f t="shared" si="274"/>
        <v>0</v>
      </c>
      <c r="N1135">
        <f t="shared" si="268"/>
        <v>0.6775000000000001</v>
      </c>
      <c r="Q1135" t="str" cm="1">
        <f t="array" ref="Q1135:R1135">_xlfn.TEXTSPLIT(E1135," ")</f>
        <v>27.10.2023</v>
      </c>
      <c r="R1135" t="str">
        <v>18:54:52</v>
      </c>
      <c r="S1135">
        <f t="shared" si="281"/>
        <v>18.866666666666877</v>
      </c>
      <c r="T1135">
        <f t="shared" si="272"/>
        <v>19.960000000000008</v>
      </c>
      <c r="U1135">
        <f t="shared" si="275"/>
        <v>0.45</v>
      </c>
      <c r="V1135">
        <f t="shared" si="269"/>
        <v>1.2275000000000003</v>
      </c>
      <c r="AC1135" t="s">
        <v>2787</v>
      </c>
      <c r="AD1135">
        <v>0</v>
      </c>
      <c r="AE1135">
        <v>12.34</v>
      </c>
      <c r="AG1135" t="str" cm="1">
        <f t="array" ref="AG1135:AH1135">_xlfn.TEXTSPLIT(AC1136," ")</f>
        <v>26.10.2023</v>
      </c>
      <c r="AH1135" t="str">
        <v>18:56:04</v>
      </c>
      <c r="AI1135">
        <f t="shared" si="282"/>
        <v>18.866666666666877</v>
      </c>
      <c r="AJ1135">
        <f t="shared" si="276"/>
        <v>7.81</v>
      </c>
      <c r="AK1135">
        <f t="shared" si="277"/>
        <v>0</v>
      </c>
      <c r="AL1135">
        <f t="shared" si="270"/>
        <v>0.45500000000000007</v>
      </c>
      <c r="AN1135" t="s">
        <v>2787</v>
      </c>
      <c r="AO1135">
        <v>0.15</v>
      </c>
      <c r="AP1135">
        <v>75.44</v>
      </c>
      <c r="AR1135" t="str" cm="1">
        <f t="array" ref="AR1135:AS1135">_xlfn.TEXTSPLIT(AN1135," ")</f>
        <v>26.10.2023</v>
      </c>
      <c r="AS1135" t="str">
        <v>18:55:04</v>
      </c>
      <c r="AT1135">
        <f t="shared" si="283"/>
        <v>18.866666666666877</v>
      </c>
      <c r="AU1135">
        <f t="shared" si="278"/>
        <v>14.129999999999995</v>
      </c>
      <c r="AV1135">
        <f t="shared" si="279"/>
        <v>0.15</v>
      </c>
      <c r="AW1135">
        <f t="shared" si="271"/>
        <v>0.63499999999999979</v>
      </c>
    </row>
    <row r="1136" spans="1:49" x14ac:dyDescent="0.25">
      <c r="A1136" t="s">
        <v>2788</v>
      </c>
      <c r="B1136">
        <v>0</v>
      </c>
      <c r="C1136">
        <v>26.26</v>
      </c>
      <c r="E1136" t="s">
        <v>2788</v>
      </c>
      <c r="F1136">
        <v>0.45</v>
      </c>
      <c r="G1136">
        <v>98.57</v>
      </c>
      <c r="I1136" t="str" cm="1">
        <f t="array" ref="I1136:J1136">_xlfn.TEXTSPLIT(A1136," ")</f>
        <v>27.10.2023</v>
      </c>
      <c r="J1136" t="str">
        <v>18:55:52</v>
      </c>
      <c r="K1136">
        <f t="shared" si="280"/>
        <v>18.883333333333542</v>
      </c>
      <c r="L1136">
        <f t="shared" si="273"/>
        <v>11.940000000000001</v>
      </c>
      <c r="M1136">
        <f t="shared" si="274"/>
        <v>0</v>
      </c>
      <c r="N1136">
        <f t="shared" si="268"/>
        <v>0.6775000000000001</v>
      </c>
      <c r="Q1136" t="str" cm="1">
        <f t="array" ref="Q1136:R1136">_xlfn.TEXTSPLIT(E1136," ")</f>
        <v>27.10.2023</v>
      </c>
      <c r="R1136" t="str">
        <v>18:55:52</v>
      </c>
      <c r="S1136">
        <f t="shared" si="281"/>
        <v>18.883333333333542</v>
      </c>
      <c r="T1136">
        <f t="shared" si="272"/>
        <v>19.97</v>
      </c>
      <c r="U1136">
        <f t="shared" si="275"/>
        <v>0.45</v>
      </c>
      <c r="V1136">
        <f t="shared" si="269"/>
        <v>1.2250000000000005</v>
      </c>
      <c r="AC1136" t="s">
        <v>2789</v>
      </c>
      <c r="AD1136">
        <v>0</v>
      </c>
      <c r="AE1136">
        <v>12.34</v>
      </c>
      <c r="AG1136" t="str" cm="1">
        <f t="array" ref="AG1136:AH1136">_xlfn.TEXTSPLIT(AC1137," ")</f>
        <v>26.10.2023</v>
      </c>
      <c r="AH1136" t="str">
        <v>18:57:04</v>
      </c>
      <c r="AI1136">
        <f t="shared" si="282"/>
        <v>18.883333333333542</v>
      </c>
      <c r="AJ1136">
        <f t="shared" si="276"/>
        <v>7.81</v>
      </c>
      <c r="AK1136">
        <f t="shared" si="277"/>
        <v>0</v>
      </c>
      <c r="AL1136">
        <f t="shared" si="270"/>
        <v>0.45500000000000007</v>
      </c>
      <c r="AN1136" t="s">
        <v>2789</v>
      </c>
      <c r="AO1136">
        <v>0.15</v>
      </c>
      <c r="AP1136">
        <v>75.44</v>
      </c>
      <c r="AR1136" t="str" cm="1">
        <f t="array" ref="AR1136:AS1136">_xlfn.TEXTSPLIT(AN1136," ")</f>
        <v>26.10.2023</v>
      </c>
      <c r="AS1136" t="str">
        <v>18:56:04</v>
      </c>
      <c r="AT1136">
        <f t="shared" si="283"/>
        <v>18.883333333333542</v>
      </c>
      <c r="AU1136">
        <f t="shared" si="278"/>
        <v>14.129999999999995</v>
      </c>
      <c r="AV1136">
        <f t="shared" si="279"/>
        <v>0.15</v>
      </c>
      <c r="AW1136">
        <f t="shared" si="271"/>
        <v>0.63499999999999979</v>
      </c>
    </row>
    <row r="1137" spans="1:49" x14ac:dyDescent="0.25">
      <c r="A1137" t="s">
        <v>2790</v>
      </c>
      <c r="B1137">
        <v>0</v>
      </c>
      <c r="C1137">
        <v>26.26</v>
      </c>
      <c r="E1137" t="s">
        <v>2790</v>
      </c>
      <c r="F1137">
        <v>0.45</v>
      </c>
      <c r="G1137">
        <v>98.58</v>
      </c>
      <c r="I1137" t="str" cm="1">
        <f t="array" ref="I1137:J1137">_xlfn.TEXTSPLIT(A1137," ")</f>
        <v>27.10.2023</v>
      </c>
      <c r="J1137" t="str">
        <v>18:56:52</v>
      </c>
      <c r="K1137">
        <f t="shared" si="280"/>
        <v>18.900000000000208</v>
      </c>
      <c r="L1137">
        <f t="shared" si="273"/>
        <v>11.940000000000001</v>
      </c>
      <c r="M1137">
        <f t="shared" si="274"/>
        <v>0</v>
      </c>
      <c r="N1137">
        <f t="shared" si="268"/>
        <v>0.6775000000000001</v>
      </c>
      <c r="Q1137" t="str" cm="1">
        <f t="array" ref="Q1137:R1137">_xlfn.TEXTSPLIT(E1137," ")</f>
        <v>27.10.2023</v>
      </c>
      <c r="R1137" t="str">
        <v>18:56:52</v>
      </c>
      <c r="S1137">
        <f t="shared" si="281"/>
        <v>18.900000000000208</v>
      </c>
      <c r="T1137">
        <f t="shared" si="272"/>
        <v>19.980000000000004</v>
      </c>
      <c r="U1137">
        <f t="shared" si="275"/>
        <v>0.45</v>
      </c>
      <c r="V1137">
        <f t="shared" si="269"/>
        <v>1.2275000000000003</v>
      </c>
      <c r="AC1137" t="s">
        <v>2791</v>
      </c>
      <c r="AD1137">
        <v>0</v>
      </c>
      <c r="AE1137">
        <v>12.34</v>
      </c>
      <c r="AG1137" t="str" cm="1">
        <f t="array" ref="AG1137:AH1137">_xlfn.TEXTSPLIT(AC1138," ")</f>
        <v>26.10.2023</v>
      </c>
      <c r="AH1137" t="str">
        <v>18:58:04</v>
      </c>
      <c r="AI1137">
        <f t="shared" si="282"/>
        <v>18.900000000000208</v>
      </c>
      <c r="AJ1137">
        <f t="shared" si="276"/>
        <v>7.81</v>
      </c>
      <c r="AK1137">
        <f t="shared" si="277"/>
        <v>0</v>
      </c>
      <c r="AL1137">
        <f t="shared" si="270"/>
        <v>0.45500000000000007</v>
      </c>
      <c r="AN1137" t="s">
        <v>2791</v>
      </c>
      <c r="AO1137">
        <v>0.15</v>
      </c>
      <c r="AP1137">
        <v>75.44</v>
      </c>
      <c r="AR1137" t="str" cm="1">
        <f t="array" ref="AR1137:AS1137">_xlfn.TEXTSPLIT(AN1137," ")</f>
        <v>26.10.2023</v>
      </c>
      <c r="AS1137" t="str">
        <v>18:57:04</v>
      </c>
      <c r="AT1137">
        <f t="shared" si="283"/>
        <v>18.900000000000208</v>
      </c>
      <c r="AU1137">
        <f t="shared" si="278"/>
        <v>14.129999999999995</v>
      </c>
      <c r="AV1137">
        <f t="shared" si="279"/>
        <v>0.15</v>
      </c>
      <c r="AW1137">
        <f t="shared" si="271"/>
        <v>0.63749999999999973</v>
      </c>
    </row>
    <row r="1138" spans="1:49" x14ac:dyDescent="0.25">
      <c r="A1138" t="s">
        <v>2792</v>
      </c>
      <c r="B1138">
        <v>0</v>
      </c>
      <c r="C1138">
        <v>26.27</v>
      </c>
      <c r="E1138" t="s">
        <v>2792</v>
      </c>
      <c r="F1138">
        <v>0.6</v>
      </c>
      <c r="G1138">
        <v>98.59</v>
      </c>
      <c r="I1138" t="str" cm="1">
        <f t="array" ref="I1138:J1138">_xlfn.TEXTSPLIT(A1138," ")</f>
        <v>27.10.2023</v>
      </c>
      <c r="J1138" t="str">
        <v>18:57:52</v>
      </c>
      <c r="K1138">
        <f t="shared" si="280"/>
        <v>18.916666666666874</v>
      </c>
      <c r="L1138">
        <f t="shared" si="273"/>
        <v>11.95</v>
      </c>
      <c r="M1138">
        <f t="shared" si="274"/>
        <v>0</v>
      </c>
      <c r="N1138">
        <f t="shared" si="268"/>
        <v>0.6775000000000001</v>
      </c>
      <c r="Q1138" t="str" cm="1">
        <f t="array" ref="Q1138:R1138">_xlfn.TEXTSPLIT(E1138," ")</f>
        <v>27.10.2023</v>
      </c>
      <c r="R1138" t="str">
        <v>18:57:52</v>
      </c>
      <c r="S1138">
        <f t="shared" si="281"/>
        <v>18.916666666666874</v>
      </c>
      <c r="T1138">
        <f t="shared" si="272"/>
        <v>19.990000000000009</v>
      </c>
      <c r="U1138">
        <f t="shared" si="275"/>
        <v>0.6</v>
      </c>
      <c r="V1138">
        <f t="shared" si="269"/>
        <v>1.2275000000000003</v>
      </c>
      <c r="AC1138" t="s">
        <v>2793</v>
      </c>
      <c r="AD1138">
        <v>0</v>
      </c>
      <c r="AE1138">
        <v>12.34</v>
      </c>
      <c r="AG1138" t="str" cm="1">
        <f t="array" ref="AG1138:AH1138">_xlfn.TEXTSPLIT(AC1139," ")</f>
        <v>26.10.2023</v>
      </c>
      <c r="AH1138" t="str">
        <v>18:59:05</v>
      </c>
      <c r="AI1138">
        <f t="shared" si="282"/>
        <v>18.916666666666874</v>
      </c>
      <c r="AJ1138">
        <f t="shared" si="276"/>
        <v>7.81</v>
      </c>
      <c r="AK1138">
        <f t="shared" si="277"/>
        <v>0</v>
      </c>
      <c r="AL1138">
        <f t="shared" si="270"/>
        <v>0.45500000000000007</v>
      </c>
      <c r="AN1138" t="s">
        <v>2793</v>
      </c>
      <c r="AO1138">
        <v>0.15</v>
      </c>
      <c r="AP1138">
        <v>75.45</v>
      </c>
      <c r="AR1138" t="str" cm="1">
        <f t="array" ref="AR1138:AS1138">_xlfn.TEXTSPLIT(AN1138," ")</f>
        <v>26.10.2023</v>
      </c>
      <c r="AS1138" t="str">
        <v>18:58:04</v>
      </c>
      <c r="AT1138">
        <f t="shared" si="283"/>
        <v>18.916666666666874</v>
      </c>
      <c r="AU1138">
        <f t="shared" si="278"/>
        <v>14.14</v>
      </c>
      <c r="AV1138">
        <f t="shared" si="279"/>
        <v>0.15</v>
      </c>
      <c r="AW1138">
        <f t="shared" si="271"/>
        <v>0.63749999999999973</v>
      </c>
    </row>
    <row r="1139" spans="1:49" x14ac:dyDescent="0.25">
      <c r="A1139" t="s">
        <v>2794</v>
      </c>
      <c r="B1139">
        <v>0.15</v>
      </c>
      <c r="C1139">
        <v>26.27</v>
      </c>
      <c r="E1139" t="s">
        <v>2794</v>
      </c>
      <c r="F1139">
        <v>0.6</v>
      </c>
      <c r="G1139">
        <v>98.6</v>
      </c>
      <c r="I1139" t="str" cm="1">
        <f t="array" ref="I1139:J1139">_xlfn.TEXTSPLIT(A1139," ")</f>
        <v>27.10.2023</v>
      </c>
      <c r="J1139" t="str">
        <v>18:58:52</v>
      </c>
      <c r="K1139">
        <f t="shared" si="280"/>
        <v>18.93333333333354</v>
      </c>
      <c r="L1139">
        <f t="shared" si="273"/>
        <v>11.95</v>
      </c>
      <c r="M1139">
        <f t="shared" si="274"/>
        <v>0.15</v>
      </c>
      <c r="N1139">
        <f t="shared" si="268"/>
        <v>0.6775000000000001</v>
      </c>
      <c r="Q1139" t="str" cm="1">
        <f t="array" ref="Q1139:R1139">_xlfn.TEXTSPLIT(E1139," ")</f>
        <v>27.10.2023</v>
      </c>
      <c r="R1139" t="str">
        <v>18:58:52</v>
      </c>
      <c r="S1139">
        <f t="shared" si="281"/>
        <v>18.93333333333354</v>
      </c>
      <c r="T1139">
        <f t="shared" si="272"/>
        <v>20</v>
      </c>
      <c r="U1139">
        <f t="shared" si="275"/>
        <v>0.6</v>
      </c>
      <c r="V1139">
        <f t="shared" si="269"/>
        <v>1.2250000000000003</v>
      </c>
      <c r="AC1139" t="s">
        <v>2795</v>
      </c>
      <c r="AD1139">
        <v>0</v>
      </c>
      <c r="AE1139">
        <v>12.34</v>
      </c>
      <c r="AG1139" t="str" cm="1">
        <f t="array" ref="AG1139:AH1139">_xlfn.TEXTSPLIT(AC1140," ")</f>
        <v>26.10.2023</v>
      </c>
      <c r="AH1139" t="str">
        <v>19:00:05</v>
      </c>
      <c r="AI1139">
        <f t="shared" si="282"/>
        <v>18.93333333333354</v>
      </c>
      <c r="AJ1139">
        <f t="shared" si="276"/>
        <v>7.81</v>
      </c>
      <c r="AK1139">
        <f t="shared" si="277"/>
        <v>0</v>
      </c>
      <c r="AL1139">
        <f t="shared" si="270"/>
        <v>0.45500000000000007</v>
      </c>
      <c r="AN1139" t="s">
        <v>2795</v>
      </c>
      <c r="AO1139">
        <v>0.3</v>
      </c>
      <c r="AP1139">
        <v>75.45</v>
      </c>
      <c r="AR1139" t="str" cm="1">
        <f t="array" ref="AR1139:AS1139">_xlfn.TEXTSPLIT(AN1139," ")</f>
        <v>26.10.2023</v>
      </c>
      <c r="AS1139" t="str">
        <v>18:59:05</v>
      </c>
      <c r="AT1139">
        <f t="shared" si="283"/>
        <v>18.93333333333354</v>
      </c>
      <c r="AU1139">
        <f t="shared" si="278"/>
        <v>14.14</v>
      </c>
      <c r="AV1139">
        <f t="shared" si="279"/>
        <v>0.3</v>
      </c>
      <c r="AW1139">
        <f t="shared" si="271"/>
        <v>0.63749999999999973</v>
      </c>
    </row>
    <row r="1140" spans="1:49" x14ac:dyDescent="0.25">
      <c r="A1140" t="s">
        <v>2796</v>
      </c>
      <c r="B1140">
        <v>0.15</v>
      </c>
      <c r="C1140">
        <v>26.27</v>
      </c>
      <c r="E1140" t="s">
        <v>2796</v>
      </c>
      <c r="F1140">
        <v>0.75</v>
      </c>
      <c r="G1140">
        <v>98.62</v>
      </c>
      <c r="I1140" t="str" cm="1">
        <f t="array" ref="I1140:J1140">_xlfn.TEXTSPLIT(A1140," ")</f>
        <v>27.10.2023</v>
      </c>
      <c r="J1140" t="str">
        <v>18:59:52</v>
      </c>
      <c r="K1140">
        <f t="shared" si="280"/>
        <v>18.950000000000205</v>
      </c>
      <c r="L1140">
        <f t="shared" si="273"/>
        <v>11.95</v>
      </c>
      <c r="M1140">
        <f t="shared" si="274"/>
        <v>0.15</v>
      </c>
      <c r="N1140">
        <f t="shared" si="268"/>
        <v>0.6775000000000001</v>
      </c>
      <c r="Q1140" t="str" cm="1">
        <f t="array" ref="Q1140:R1140">_xlfn.TEXTSPLIT(E1140," ")</f>
        <v>27.10.2023</v>
      </c>
      <c r="R1140" t="str">
        <v>18:59:52</v>
      </c>
      <c r="S1140">
        <f t="shared" si="281"/>
        <v>18.950000000000205</v>
      </c>
      <c r="T1140">
        <f t="shared" si="272"/>
        <v>20.02000000000001</v>
      </c>
      <c r="U1140">
        <f t="shared" si="275"/>
        <v>0.75</v>
      </c>
      <c r="V1140">
        <f t="shared" si="269"/>
        <v>1.2250000000000003</v>
      </c>
      <c r="AC1140" t="s">
        <v>2797</v>
      </c>
      <c r="AD1140">
        <v>0</v>
      </c>
      <c r="AE1140">
        <v>12.34</v>
      </c>
      <c r="AG1140" t="str" cm="1">
        <f t="array" ref="AG1140:AH1140">_xlfn.TEXTSPLIT(AC1141," ")</f>
        <v>26.10.2023</v>
      </c>
      <c r="AH1140" t="str">
        <v>19:01:05</v>
      </c>
      <c r="AI1140">
        <f t="shared" si="282"/>
        <v>18.950000000000205</v>
      </c>
      <c r="AJ1140">
        <f t="shared" si="276"/>
        <v>7.81</v>
      </c>
      <c r="AK1140">
        <f t="shared" si="277"/>
        <v>0</v>
      </c>
      <c r="AL1140">
        <f t="shared" si="270"/>
        <v>0.45500000000000007</v>
      </c>
      <c r="AN1140" t="s">
        <v>2797</v>
      </c>
      <c r="AO1140">
        <v>0.3</v>
      </c>
      <c r="AP1140">
        <v>75.459999999999994</v>
      </c>
      <c r="AR1140" t="str" cm="1">
        <f t="array" ref="AR1140:AS1140">_xlfn.TEXTSPLIT(AN1140," ")</f>
        <v>26.10.2023</v>
      </c>
      <c r="AS1140" t="str">
        <v>19:00:05</v>
      </c>
      <c r="AT1140">
        <f t="shared" si="283"/>
        <v>18.950000000000205</v>
      </c>
      <c r="AU1140">
        <f t="shared" si="278"/>
        <v>14.149999999999991</v>
      </c>
      <c r="AV1140">
        <f t="shared" si="279"/>
        <v>0.3</v>
      </c>
      <c r="AW1140">
        <f t="shared" si="271"/>
        <v>0.64249999999999974</v>
      </c>
    </row>
    <row r="1141" spans="1:49" x14ac:dyDescent="0.25">
      <c r="A1141" t="s">
        <v>2798</v>
      </c>
      <c r="B1141">
        <v>0.3</v>
      </c>
      <c r="C1141">
        <v>26.28</v>
      </c>
      <c r="E1141" t="s">
        <v>2798</v>
      </c>
      <c r="F1141">
        <v>1.05</v>
      </c>
      <c r="G1141">
        <v>98.64</v>
      </c>
      <c r="I1141" t="str" cm="1">
        <f t="array" ref="I1141:J1141">_xlfn.TEXTSPLIT(A1141," ")</f>
        <v>27.10.2023</v>
      </c>
      <c r="J1141" t="str">
        <v>19:00:53</v>
      </c>
      <c r="K1141">
        <f t="shared" si="280"/>
        <v>18.966666666666871</v>
      </c>
      <c r="L1141">
        <f t="shared" si="273"/>
        <v>11.96</v>
      </c>
      <c r="M1141">
        <f t="shared" si="274"/>
        <v>0.3</v>
      </c>
      <c r="N1141">
        <f t="shared" si="268"/>
        <v>0.66750000000000009</v>
      </c>
      <c r="Q1141" t="str" cm="1">
        <f t="array" ref="Q1141:R1141">_xlfn.TEXTSPLIT(E1141," ")</f>
        <v>27.10.2023</v>
      </c>
      <c r="R1141" t="str">
        <v>19:00:53</v>
      </c>
      <c r="S1141">
        <f t="shared" si="281"/>
        <v>18.966666666666871</v>
      </c>
      <c r="T1141">
        <f t="shared" si="272"/>
        <v>20.040000000000006</v>
      </c>
      <c r="U1141">
        <f t="shared" si="275"/>
        <v>1.05</v>
      </c>
      <c r="V1141">
        <f t="shared" si="269"/>
        <v>1.2250000000000003</v>
      </c>
      <c r="AC1141" t="s">
        <v>2799</v>
      </c>
      <c r="AD1141">
        <v>0</v>
      </c>
      <c r="AE1141">
        <v>12.34</v>
      </c>
      <c r="AG1141" t="str" cm="1">
        <f t="array" ref="AG1141:AH1141">_xlfn.TEXTSPLIT(AC1142," ")</f>
        <v>26.10.2023</v>
      </c>
      <c r="AH1141" t="str">
        <v>19:02:05</v>
      </c>
      <c r="AI1141">
        <f t="shared" si="282"/>
        <v>18.966666666666871</v>
      </c>
      <c r="AJ1141">
        <f t="shared" si="276"/>
        <v>7.81</v>
      </c>
      <c r="AK1141">
        <f t="shared" si="277"/>
        <v>0</v>
      </c>
      <c r="AL1141">
        <f t="shared" si="270"/>
        <v>0.45500000000000007</v>
      </c>
      <c r="AN1141" t="s">
        <v>2799</v>
      </c>
      <c r="AO1141">
        <v>0.3</v>
      </c>
      <c r="AP1141">
        <v>75.459999999999994</v>
      </c>
      <c r="AR1141" t="str" cm="1">
        <f t="array" ref="AR1141:AS1141">_xlfn.TEXTSPLIT(AN1141," ")</f>
        <v>26.10.2023</v>
      </c>
      <c r="AS1141" t="str">
        <v>19:01:05</v>
      </c>
      <c r="AT1141">
        <f t="shared" si="283"/>
        <v>18.966666666666871</v>
      </c>
      <c r="AU1141">
        <f t="shared" si="278"/>
        <v>14.149999999999991</v>
      </c>
      <c r="AV1141">
        <f t="shared" si="279"/>
        <v>0.3</v>
      </c>
      <c r="AW1141">
        <f t="shared" si="271"/>
        <v>0.64249999999999974</v>
      </c>
    </row>
    <row r="1142" spans="1:49" x14ac:dyDescent="0.25">
      <c r="A1142" t="s">
        <v>2800</v>
      </c>
      <c r="B1142">
        <v>0.15</v>
      </c>
      <c r="C1142">
        <v>26.28</v>
      </c>
      <c r="E1142" t="s">
        <v>2800</v>
      </c>
      <c r="F1142">
        <v>1.35</v>
      </c>
      <c r="G1142">
        <v>98.66</v>
      </c>
      <c r="I1142" t="str" cm="1">
        <f t="array" ref="I1142:J1142">_xlfn.TEXTSPLIT(A1142," ")</f>
        <v>27.10.2023</v>
      </c>
      <c r="J1142" t="str">
        <v>19:01:53</v>
      </c>
      <c r="K1142">
        <f t="shared" si="280"/>
        <v>18.983333333333537</v>
      </c>
      <c r="L1142">
        <f t="shared" si="273"/>
        <v>11.96</v>
      </c>
      <c r="M1142">
        <f t="shared" si="274"/>
        <v>0.15</v>
      </c>
      <c r="N1142">
        <f t="shared" si="268"/>
        <v>0.66</v>
      </c>
      <c r="Q1142" t="str" cm="1">
        <f t="array" ref="Q1142:R1142">_xlfn.TEXTSPLIT(E1142," ")</f>
        <v>27.10.2023</v>
      </c>
      <c r="R1142" t="str">
        <v>19:01:53</v>
      </c>
      <c r="S1142">
        <f t="shared" si="281"/>
        <v>18.983333333333537</v>
      </c>
      <c r="T1142">
        <f t="shared" si="272"/>
        <v>20.060000000000002</v>
      </c>
      <c r="U1142">
        <f t="shared" si="275"/>
        <v>1.35</v>
      </c>
      <c r="V1142">
        <f t="shared" si="269"/>
        <v>1.22</v>
      </c>
      <c r="AC1142" t="s">
        <v>2801</v>
      </c>
      <c r="AD1142">
        <v>0</v>
      </c>
      <c r="AE1142">
        <v>12.34</v>
      </c>
      <c r="AG1142" t="str" cm="1">
        <f t="array" ref="AG1142:AH1142">_xlfn.TEXTSPLIT(AC1143," ")</f>
        <v>26.10.2023</v>
      </c>
      <c r="AH1142" t="str">
        <v>19:03:05</v>
      </c>
      <c r="AI1142">
        <f t="shared" si="282"/>
        <v>18.983333333333537</v>
      </c>
      <c r="AJ1142">
        <f t="shared" si="276"/>
        <v>7.81</v>
      </c>
      <c r="AK1142">
        <f t="shared" si="277"/>
        <v>0</v>
      </c>
      <c r="AL1142">
        <f t="shared" si="270"/>
        <v>0.45500000000000007</v>
      </c>
      <c r="AN1142" t="s">
        <v>2801</v>
      </c>
      <c r="AO1142">
        <v>0.6</v>
      </c>
      <c r="AP1142">
        <v>75.47</v>
      </c>
      <c r="AR1142" t="str" cm="1">
        <f t="array" ref="AR1142:AS1142">_xlfn.TEXTSPLIT(AN1142," ")</f>
        <v>26.10.2023</v>
      </c>
      <c r="AS1142" t="str">
        <v>19:02:05</v>
      </c>
      <c r="AT1142">
        <f t="shared" si="283"/>
        <v>18.983333333333537</v>
      </c>
      <c r="AU1142">
        <f t="shared" si="278"/>
        <v>14.159999999999997</v>
      </c>
      <c r="AV1142">
        <f t="shared" si="279"/>
        <v>0.6</v>
      </c>
      <c r="AW1142">
        <f t="shared" si="271"/>
        <v>0.6499999999999998</v>
      </c>
    </row>
    <row r="1143" spans="1:49" x14ac:dyDescent="0.25">
      <c r="A1143" t="s">
        <v>2802</v>
      </c>
      <c r="B1143">
        <v>0.3</v>
      </c>
      <c r="C1143">
        <v>26.3</v>
      </c>
      <c r="E1143" t="s">
        <v>2802</v>
      </c>
      <c r="F1143">
        <v>1.35</v>
      </c>
      <c r="G1143">
        <v>98.68</v>
      </c>
      <c r="I1143" t="str" cm="1">
        <f t="array" ref="I1143:J1143">_xlfn.TEXTSPLIT(A1143," ")</f>
        <v>27.10.2023</v>
      </c>
      <c r="J1143" t="str">
        <v>19:02:53</v>
      </c>
      <c r="K1143">
        <f t="shared" si="280"/>
        <v>19.000000000000203</v>
      </c>
      <c r="L1143">
        <f t="shared" si="273"/>
        <v>11.98</v>
      </c>
      <c r="M1143">
        <f t="shared" si="274"/>
        <v>0.3</v>
      </c>
      <c r="N1143">
        <f t="shared" si="268"/>
        <v>0.65749999999999997</v>
      </c>
      <c r="Q1143" t="str" cm="1">
        <f t="array" ref="Q1143:R1143">_xlfn.TEXTSPLIT(E1143," ")</f>
        <v>27.10.2023</v>
      </c>
      <c r="R1143" t="str">
        <v>19:02:53</v>
      </c>
      <c r="S1143">
        <f t="shared" si="281"/>
        <v>19.000000000000203</v>
      </c>
      <c r="T1143">
        <f t="shared" si="272"/>
        <v>20.080000000000013</v>
      </c>
      <c r="U1143">
        <f t="shared" si="275"/>
        <v>1.35</v>
      </c>
      <c r="V1143">
        <f t="shared" si="269"/>
        <v>1.2224999999999999</v>
      </c>
      <c r="AC1143" t="s">
        <v>2803</v>
      </c>
      <c r="AD1143">
        <v>0</v>
      </c>
      <c r="AE1143">
        <v>12.34</v>
      </c>
      <c r="AG1143" t="str" cm="1">
        <f t="array" ref="AG1143:AH1143">_xlfn.TEXTSPLIT(AC1144," ")</f>
        <v>26.10.2023</v>
      </c>
      <c r="AH1143" t="str">
        <v>19:04:05</v>
      </c>
      <c r="AI1143">
        <f t="shared" si="282"/>
        <v>19.000000000000203</v>
      </c>
      <c r="AJ1143">
        <f t="shared" si="276"/>
        <v>7.81</v>
      </c>
      <c r="AK1143">
        <f t="shared" si="277"/>
        <v>0</v>
      </c>
      <c r="AL1143">
        <f t="shared" si="270"/>
        <v>0.45500000000000007</v>
      </c>
      <c r="AN1143" t="s">
        <v>2803</v>
      </c>
      <c r="AO1143">
        <v>0.6</v>
      </c>
      <c r="AP1143">
        <v>75.48</v>
      </c>
      <c r="AR1143" t="str" cm="1">
        <f t="array" ref="AR1143:AS1143">_xlfn.TEXTSPLIT(AN1143," ")</f>
        <v>26.10.2023</v>
      </c>
      <c r="AS1143" t="str">
        <v>19:03:05</v>
      </c>
      <c r="AT1143">
        <f t="shared" si="283"/>
        <v>19.000000000000203</v>
      </c>
      <c r="AU1143">
        <f t="shared" si="278"/>
        <v>14.170000000000002</v>
      </c>
      <c r="AV1143">
        <f t="shared" si="279"/>
        <v>0.6</v>
      </c>
      <c r="AW1143">
        <f t="shared" si="271"/>
        <v>0.65499999999999969</v>
      </c>
    </row>
    <row r="1144" spans="1:49" x14ac:dyDescent="0.25">
      <c r="A1144" t="s">
        <v>2804</v>
      </c>
      <c r="B1144">
        <v>0.6</v>
      </c>
      <c r="C1144">
        <v>26.3</v>
      </c>
      <c r="E1144" t="s">
        <v>2804</v>
      </c>
      <c r="F1144">
        <v>1.2</v>
      </c>
      <c r="G1144">
        <v>98.7</v>
      </c>
      <c r="I1144" t="str" cm="1">
        <f t="array" ref="I1144:J1144">_xlfn.TEXTSPLIT(A1144," ")</f>
        <v>27.10.2023</v>
      </c>
      <c r="J1144" t="str">
        <v>19:03:53</v>
      </c>
      <c r="K1144">
        <f t="shared" si="280"/>
        <v>19.016666666666868</v>
      </c>
      <c r="L1144">
        <f t="shared" si="273"/>
        <v>11.98</v>
      </c>
      <c r="M1144">
        <f t="shared" si="274"/>
        <v>0.6</v>
      </c>
      <c r="N1144">
        <f t="shared" si="268"/>
        <v>0.65749999999999997</v>
      </c>
      <c r="Q1144" t="str" cm="1">
        <f t="array" ref="Q1144:R1144">_xlfn.TEXTSPLIT(E1144," ")</f>
        <v>27.10.2023</v>
      </c>
      <c r="R1144" t="str">
        <v>19:03:53</v>
      </c>
      <c r="S1144">
        <f t="shared" si="281"/>
        <v>19.016666666666868</v>
      </c>
      <c r="T1144">
        <f t="shared" si="272"/>
        <v>20.100000000000009</v>
      </c>
      <c r="U1144">
        <f t="shared" si="275"/>
        <v>1.2</v>
      </c>
      <c r="V1144">
        <f t="shared" si="269"/>
        <v>1.2275</v>
      </c>
      <c r="AC1144" t="s">
        <v>2805</v>
      </c>
      <c r="AD1144">
        <v>0</v>
      </c>
      <c r="AE1144">
        <v>12.34</v>
      </c>
      <c r="AG1144" t="str" cm="1">
        <f t="array" ref="AG1144:AH1144">_xlfn.TEXTSPLIT(AC1145," ")</f>
        <v>26.10.2023</v>
      </c>
      <c r="AH1144" t="str">
        <v>19:05:05</v>
      </c>
      <c r="AI1144">
        <f t="shared" si="282"/>
        <v>19.016666666666868</v>
      </c>
      <c r="AJ1144">
        <f t="shared" si="276"/>
        <v>7.81</v>
      </c>
      <c r="AK1144">
        <f t="shared" si="277"/>
        <v>0</v>
      </c>
      <c r="AL1144">
        <f t="shared" si="270"/>
        <v>0.45500000000000007</v>
      </c>
      <c r="AN1144" t="s">
        <v>2805</v>
      </c>
      <c r="AO1144">
        <v>0.6</v>
      </c>
      <c r="AP1144">
        <v>75.489999999999995</v>
      </c>
      <c r="AR1144" t="str" cm="1">
        <f t="array" ref="AR1144:AS1144">_xlfn.TEXTSPLIT(AN1144," ")</f>
        <v>26.10.2023</v>
      </c>
      <c r="AS1144" t="str">
        <v>19:04:05</v>
      </c>
      <c r="AT1144">
        <f t="shared" si="283"/>
        <v>19.016666666666868</v>
      </c>
      <c r="AU1144">
        <f t="shared" si="278"/>
        <v>14.179999999999993</v>
      </c>
      <c r="AV1144">
        <f t="shared" si="279"/>
        <v>0.6</v>
      </c>
      <c r="AW1144">
        <f t="shared" si="271"/>
        <v>0.65999999999999981</v>
      </c>
    </row>
    <row r="1145" spans="1:49" x14ac:dyDescent="0.25">
      <c r="A1145" t="s">
        <v>2806</v>
      </c>
      <c r="B1145">
        <v>0.6</v>
      </c>
      <c r="C1145">
        <v>26.31</v>
      </c>
      <c r="E1145" t="s">
        <v>2806</v>
      </c>
      <c r="F1145">
        <v>0.9</v>
      </c>
      <c r="G1145">
        <v>98.71</v>
      </c>
      <c r="I1145" t="str" cm="1">
        <f t="array" ref="I1145:J1145">_xlfn.TEXTSPLIT(A1145," ")</f>
        <v>27.10.2023</v>
      </c>
      <c r="J1145" t="str">
        <v>19:04:53</v>
      </c>
      <c r="K1145">
        <f t="shared" si="280"/>
        <v>19.033333333333534</v>
      </c>
      <c r="L1145">
        <f t="shared" si="273"/>
        <v>11.989999999999998</v>
      </c>
      <c r="M1145">
        <f t="shared" si="274"/>
        <v>0.6</v>
      </c>
      <c r="N1145">
        <f t="shared" si="268"/>
        <v>0.66499999999999992</v>
      </c>
      <c r="Q1145" t="str" cm="1">
        <f t="array" ref="Q1145:R1145">_xlfn.TEXTSPLIT(E1145," ")</f>
        <v>27.10.2023</v>
      </c>
      <c r="R1145" t="str">
        <v>19:04:53</v>
      </c>
      <c r="S1145">
        <f t="shared" si="281"/>
        <v>19.033333333333534</v>
      </c>
      <c r="T1145">
        <f t="shared" si="272"/>
        <v>20.11</v>
      </c>
      <c r="U1145">
        <f t="shared" si="275"/>
        <v>0.9</v>
      </c>
      <c r="V1145">
        <f t="shared" si="269"/>
        <v>1.23</v>
      </c>
      <c r="AC1145" t="s">
        <v>2807</v>
      </c>
      <c r="AD1145">
        <v>0</v>
      </c>
      <c r="AE1145">
        <v>12.34</v>
      </c>
      <c r="AG1145" t="str" cm="1">
        <f t="array" ref="AG1145:AH1145">_xlfn.TEXTSPLIT(AC1146," ")</f>
        <v>26.10.2023</v>
      </c>
      <c r="AH1145" t="str">
        <v>19:06:05</v>
      </c>
      <c r="AI1145">
        <f t="shared" si="282"/>
        <v>19.033333333333534</v>
      </c>
      <c r="AJ1145">
        <f t="shared" si="276"/>
        <v>7.81</v>
      </c>
      <c r="AK1145">
        <f t="shared" si="277"/>
        <v>0</v>
      </c>
      <c r="AL1145">
        <f t="shared" si="270"/>
        <v>0.45250000000000007</v>
      </c>
      <c r="AN1145" t="s">
        <v>2807</v>
      </c>
      <c r="AO1145">
        <v>0.45</v>
      </c>
      <c r="AP1145">
        <v>75.5</v>
      </c>
      <c r="AR1145" t="str" cm="1">
        <f t="array" ref="AR1145:AS1145">_xlfn.TEXTSPLIT(AN1145," ")</f>
        <v>26.10.2023</v>
      </c>
      <c r="AS1145" t="str">
        <v>19:05:05</v>
      </c>
      <c r="AT1145">
        <f t="shared" si="283"/>
        <v>19.033333333333534</v>
      </c>
      <c r="AU1145">
        <f t="shared" si="278"/>
        <v>14.189999999999998</v>
      </c>
      <c r="AV1145">
        <f t="shared" si="279"/>
        <v>0.45</v>
      </c>
      <c r="AW1145">
        <f t="shared" si="271"/>
        <v>0.65999999999999992</v>
      </c>
    </row>
    <row r="1146" spans="1:49" x14ac:dyDescent="0.25">
      <c r="A1146" t="s">
        <v>2808</v>
      </c>
      <c r="B1146">
        <v>0.45</v>
      </c>
      <c r="C1146">
        <v>26.32</v>
      </c>
      <c r="E1146" t="s">
        <v>2808</v>
      </c>
      <c r="F1146">
        <v>0.9</v>
      </c>
      <c r="G1146">
        <v>98.74</v>
      </c>
      <c r="I1146" t="str" cm="1">
        <f t="array" ref="I1146:J1146">_xlfn.TEXTSPLIT(A1146," ")</f>
        <v>27.10.2023</v>
      </c>
      <c r="J1146" t="str">
        <v>19:05:53</v>
      </c>
      <c r="K1146">
        <f t="shared" si="280"/>
        <v>19.0500000000002</v>
      </c>
      <c r="L1146">
        <f t="shared" si="273"/>
        <v>12</v>
      </c>
      <c r="M1146">
        <f t="shared" si="274"/>
        <v>0.45</v>
      </c>
      <c r="N1146">
        <f t="shared" si="268"/>
        <v>0.66749999999999998</v>
      </c>
      <c r="Q1146" t="str" cm="1">
        <f t="array" ref="Q1146:R1146">_xlfn.TEXTSPLIT(E1146," ")</f>
        <v>27.10.2023</v>
      </c>
      <c r="R1146" t="str">
        <v>19:05:53</v>
      </c>
      <c r="S1146">
        <f t="shared" si="281"/>
        <v>19.0500000000002</v>
      </c>
      <c r="T1146">
        <f t="shared" si="272"/>
        <v>20.14</v>
      </c>
      <c r="U1146">
        <f t="shared" si="275"/>
        <v>0.9</v>
      </c>
      <c r="V1146">
        <f t="shared" si="269"/>
        <v>1.2325000000000002</v>
      </c>
      <c r="AC1146" t="s">
        <v>2809</v>
      </c>
      <c r="AD1146">
        <v>0.15</v>
      </c>
      <c r="AE1146">
        <v>12.34</v>
      </c>
      <c r="AG1146" t="str" cm="1">
        <f t="array" ref="AG1146:AH1146">_xlfn.TEXTSPLIT(AC1147," ")</f>
        <v>26.10.2023</v>
      </c>
      <c r="AH1146" t="str">
        <v>19:07:05</v>
      </c>
      <c r="AI1146">
        <f t="shared" si="282"/>
        <v>19.0500000000002</v>
      </c>
      <c r="AJ1146">
        <f t="shared" si="276"/>
        <v>7.81</v>
      </c>
      <c r="AK1146">
        <f t="shared" si="277"/>
        <v>0.15</v>
      </c>
      <c r="AL1146">
        <f t="shared" si="270"/>
        <v>0.45000000000000007</v>
      </c>
      <c r="AN1146" t="s">
        <v>2809</v>
      </c>
      <c r="AO1146">
        <v>0.45</v>
      </c>
      <c r="AP1146">
        <v>75.510000000000005</v>
      </c>
      <c r="AR1146" t="str" cm="1">
        <f t="array" ref="AR1146:AS1146">_xlfn.TEXTSPLIT(AN1146," ")</f>
        <v>26.10.2023</v>
      </c>
      <c r="AS1146" t="str">
        <v>19:06:05</v>
      </c>
      <c r="AT1146">
        <f t="shared" si="283"/>
        <v>19.0500000000002</v>
      </c>
      <c r="AU1146">
        <f t="shared" si="278"/>
        <v>14.200000000000003</v>
      </c>
      <c r="AV1146">
        <f t="shared" si="279"/>
        <v>0.45</v>
      </c>
      <c r="AW1146">
        <f t="shared" si="271"/>
        <v>0.65749999999999997</v>
      </c>
    </row>
    <row r="1147" spans="1:49" x14ac:dyDescent="0.25">
      <c r="A1147" t="s">
        <v>2810</v>
      </c>
      <c r="B1147">
        <v>0.6</v>
      </c>
      <c r="C1147">
        <v>26.33</v>
      </c>
      <c r="E1147" t="s">
        <v>2810</v>
      </c>
      <c r="F1147">
        <v>2.4</v>
      </c>
      <c r="G1147">
        <v>98.79</v>
      </c>
      <c r="I1147" t="str" cm="1">
        <f t="array" ref="I1147:J1147">_xlfn.TEXTSPLIT(A1147," ")</f>
        <v>27.10.2023</v>
      </c>
      <c r="J1147" t="str">
        <v>19:06:53</v>
      </c>
      <c r="K1147">
        <f t="shared" si="280"/>
        <v>19.066666666666865</v>
      </c>
      <c r="L1147">
        <f t="shared" si="273"/>
        <v>12.009999999999998</v>
      </c>
      <c r="M1147">
        <f t="shared" si="274"/>
        <v>0.6</v>
      </c>
      <c r="N1147">
        <f t="shared" si="268"/>
        <v>0.66750000000000009</v>
      </c>
      <c r="Q1147" t="str" cm="1">
        <f t="array" ref="Q1147:R1147">_xlfn.TEXTSPLIT(E1147," ")</f>
        <v>27.10.2023</v>
      </c>
      <c r="R1147" t="str">
        <v>19:06:53</v>
      </c>
      <c r="S1147">
        <f t="shared" si="281"/>
        <v>19.066666666666865</v>
      </c>
      <c r="T1147">
        <f t="shared" si="272"/>
        <v>20.190000000000012</v>
      </c>
      <c r="U1147">
        <f t="shared" si="275"/>
        <v>2.4</v>
      </c>
      <c r="V1147">
        <f t="shared" si="269"/>
        <v>1.2425000000000002</v>
      </c>
      <c r="AC1147" t="s">
        <v>2811</v>
      </c>
      <c r="AD1147">
        <v>0.15</v>
      </c>
      <c r="AE1147">
        <v>12.34</v>
      </c>
      <c r="AG1147" t="str" cm="1">
        <f t="array" ref="AG1147:AH1147">_xlfn.TEXTSPLIT(AC1148," ")</f>
        <v>26.10.2023</v>
      </c>
      <c r="AH1147" t="str">
        <v>19:08:06</v>
      </c>
      <c r="AI1147">
        <f t="shared" si="282"/>
        <v>19.066666666666865</v>
      </c>
      <c r="AJ1147">
        <f t="shared" si="276"/>
        <v>7.81</v>
      </c>
      <c r="AK1147">
        <f t="shared" si="277"/>
        <v>0.15</v>
      </c>
      <c r="AL1147">
        <f t="shared" si="270"/>
        <v>0.44750000000000001</v>
      </c>
      <c r="AN1147" t="s">
        <v>2811</v>
      </c>
      <c r="AO1147">
        <v>1.05</v>
      </c>
      <c r="AP1147">
        <v>75.53</v>
      </c>
      <c r="AR1147" t="str" cm="1">
        <f t="array" ref="AR1147:AS1147">_xlfn.TEXTSPLIT(AN1147," ")</f>
        <v>26.10.2023</v>
      </c>
      <c r="AS1147" t="str">
        <v>19:07:05</v>
      </c>
      <c r="AT1147">
        <f t="shared" si="283"/>
        <v>19.066666666666865</v>
      </c>
      <c r="AU1147">
        <f t="shared" si="278"/>
        <v>14.219999999999999</v>
      </c>
      <c r="AV1147">
        <f t="shared" si="279"/>
        <v>1.05</v>
      </c>
      <c r="AW1147">
        <f t="shared" si="271"/>
        <v>0.66499999999999981</v>
      </c>
    </row>
    <row r="1148" spans="1:49" x14ac:dyDescent="0.25">
      <c r="A1148" t="s">
        <v>2812</v>
      </c>
      <c r="B1148">
        <v>0.6</v>
      </c>
      <c r="C1148">
        <v>26.38</v>
      </c>
      <c r="E1148" t="s">
        <v>2812</v>
      </c>
      <c r="F1148">
        <v>3</v>
      </c>
      <c r="G1148">
        <v>98.83</v>
      </c>
      <c r="I1148" t="str" cm="1">
        <f t="array" ref="I1148:J1148">_xlfn.TEXTSPLIT(A1148," ")</f>
        <v>27.10.2023</v>
      </c>
      <c r="J1148" t="str">
        <v>19:07:53</v>
      </c>
      <c r="K1148">
        <f t="shared" si="280"/>
        <v>19.083333333333531</v>
      </c>
      <c r="L1148">
        <f t="shared" si="273"/>
        <v>12.059999999999999</v>
      </c>
      <c r="M1148">
        <f t="shared" si="274"/>
        <v>0.6</v>
      </c>
      <c r="N1148">
        <f t="shared" si="268"/>
        <v>0.66500000000000015</v>
      </c>
      <c r="Q1148" t="str" cm="1">
        <f t="array" ref="Q1148:R1148">_xlfn.TEXTSPLIT(E1148," ")</f>
        <v>27.10.2023</v>
      </c>
      <c r="R1148" t="str">
        <v>19:07:53</v>
      </c>
      <c r="S1148">
        <f t="shared" si="281"/>
        <v>19.083333333333531</v>
      </c>
      <c r="T1148">
        <f t="shared" si="272"/>
        <v>20.230000000000004</v>
      </c>
      <c r="U1148">
        <f t="shared" si="275"/>
        <v>3</v>
      </c>
      <c r="V1148">
        <f t="shared" si="269"/>
        <v>1.2325000000000006</v>
      </c>
      <c r="AC1148" t="s">
        <v>2813</v>
      </c>
      <c r="AD1148">
        <v>0.9</v>
      </c>
      <c r="AE1148">
        <v>12.36</v>
      </c>
      <c r="AG1148" t="str" cm="1">
        <f t="array" ref="AG1148:AH1148">_xlfn.TEXTSPLIT(AC1149," ")</f>
        <v>26.10.2023</v>
      </c>
      <c r="AH1148" t="str">
        <v>19:09:06</v>
      </c>
      <c r="AI1148">
        <f t="shared" si="282"/>
        <v>19.083333333333531</v>
      </c>
      <c r="AJ1148">
        <f t="shared" si="276"/>
        <v>7.8299999999999992</v>
      </c>
      <c r="AK1148">
        <f t="shared" si="277"/>
        <v>0.9</v>
      </c>
      <c r="AL1148">
        <f t="shared" si="270"/>
        <v>0.45749999999999996</v>
      </c>
      <c r="AN1148" t="s">
        <v>2813</v>
      </c>
      <c r="AO1148">
        <v>1.95</v>
      </c>
      <c r="AP1148">
        <v>75.56</v>
      </c>
      <c r="AR1148" t="str" cm="1">
        <f t="array" ref="AR1148:AS1148">_xlfn.TEXTSPLIT(AN1148," ")</f>
        <v>26.10.2023</v>
      </c>
      <c r="AS1148" t="str">
        <v>19:08:06</v>
      </c>
      <c r="AT1148">
        <f t="shared" si="283"/>
        <v>19.083333333333531</v>
      </c>
      <c r="AU1148">
        <f t="shared" si="278"/>
        <v>14.25</v>
      </c>
      <c r="AV1148">
        <f t="shared" si="279"/>
        <v>1.95</v>
      </c>
      <c r="AW1148">
        <f t="shared" si="271"/>
        <v>0.66249999999999998</v>
      </c>
    </row>
    <row r="1149" spans="1:49" x14ac:dyDescent="0.25">
      <c r="A1149" t="s">
        <v>2814</v>
      </c>
      <c r="B1149">
        <v>2.7</v>
      </c>
      <c r="C1149">
        <v>26.41</v>
      </c>
      <c r="E1149" t="s">
        <v>2814</v>
      </c>
      <c r="F1149">
        <v>1.65</v>
      </c>
      <c r="G1149">
        <v>98.85</v>
      </c>
      <c r="I1149" t="str" cm="1">
        <f t="array" ref="I1149:J1149">_xlfn.TEXTSPLIT(A1149," ")</f>
        <v>27.10.2023</v>
      </c>
      <c r="J1149" t="str">
        <v>19:08:53</v>
      </c>
      <c r="K1149">
        <f t="shared" si="280"/>
        <v>19.100000000000197</v>
      </c>
      <c r="L1149">
        <f t="shared" si="273"/>
        <v>12.09</v>
      </c>
      <c r="M1149">
        <f t="shared" si="274"/>
        <v>2.7</v>
      </c>
      <c r="N1149">
        <f t="shared" si="268"/>
        <v>0.6675000000000002</v>
      </c>
      <c r="Q1149" t="str" cm="1">
        <f t="array" ref="Q1149:R1149">_xlfn.TEXTSPLIT(E1149," ")</f>
        <v>27.10.2023</v>
      </c>
      <c r="R1149" t="str">
        <v>19:08:53</v>
      </c>
      <c r="S1149">
        <f t="shared" si="281"/>
        <v>19.100000000000197</v>
      </c>
      <c r="T1149">
        <f t="shared" si="272"/>
        <v>20.25</v>
      </c>
      <c r="U1149">
        <f t="shared" si="275"/>
        <v>1.65</v>
      </c>
      <c r="V1149">
        <f t="shared" si="269"/>
        <v>1.2275000000000005</v>
      </c>
      <c r="AC1149" t="s">
        <v>2815</v>
      </c>
      <c r="AD1149">
        <v>2.1</v>
      </c>
      <c r="AE1149">
        <v>12.39</v>
      </c>
      <c r="AG1149" t="str" cm="1">
        <f t="array" ref="AG1149:AH1149">_xlfn.TEXTSPLIT(AC1150," ")</f>
        <v>26.10.2023</v>
      </c>
      <c r="AH1149" t="str">
        <v>19:10:06</v>
      </c>
      <c r="AI1149">
        <f t="shared" si="282"/>
        <v>19.100000000000197</v>
      </c>
      <c r="AJ1149">
        <f t="shared" si="276"/>
        <v>7.86</v>
      </c>
      <c r="AK1149">
        <f t="shared" si="277"/>
        <v>2.1</v>
      </c>
      <c r="AL1149">
        <f t="shared" si="270"/>
        <v>0.46</v>
      </c>
      <c r="AN1149" t="s">
        <v>2815</v>
      </c>
      <c r="AO1149">
        <v>2.1</v>
      </c>
      <c r="AP1149">
        <v>75.599999999999994</v>
      </c>
      <c r="AR1149" t="str" cm="1">
        <f t="array" ref="AR1149:AS1149">_xlfn.TEXTSPLIT(AN1149," ")</f>
        <v>26.10.2023</v>
      </c>
      <c r="AS1149" t="str">
        <v>19:09:06</v>
      </c>
      <c r="AT1149">
        <f t="shared" si="283"/>
        <v>19.100000000000197</v>
      </c>
      <c r="AU1149">
        <f t="shared" si="278"/>
        <v>14.289999999999992</v>
      </c>
      <c r="AV1149">
        <f t="shared" si="279"/>
        <v>2.1</v>
      </c>
      <c r="AW1149">
        <f t="shared" si="271"/>
        <v>0.6675000000000002</v>
      </c>
    </row>
    <row r="1150" spans="1:49" x14ac:dyDescent="0.25">
      <c r="A1150" t="s">
        <v>2816</v>
      </c>
      <c r="B1150">
        <v>1.95</v>
      </c>
      <c r="C1150">
        <v>26.44</v>
      </c>
      <c r="E1150" t="s">
        <v>2816</v>
      </c>
      <c r="F1150">
        <v>1.5</v>
      </c>
      <c r="G1150">
        <v>98.88</v>
      </c>
      <c r="I1150" t="str" cm="1">
        <f t="array" ref="I1150:J1150">_xlfn.TEXTSPLIT(A1150," ")</f>
        <v>27.10.2023</v>
      </c>
      <c r="J1150" t="str">
        <v>19:09:53</v>
      </c>
      <c r="K1150">
        <f t="shared" si="280"/>
        <v>19.116666666666863</v>
      </c>
      <c r="L1150">
        <f t="shared" si="273"/>
        <v>12.120000000000001</v>
      </c>
      <c r="M1150">
        <f t="shared" si="274"/>
        <v>1.95</v>
      </c>
      <c r="N1150">
        <f t="shared" si="268"/>
        <v>0.66000000000000014</v>
      </c>
      <c r="Q1150" t="str" cm="1">
        <f t="array" ref="Q1150:R1150">_xlfn.TEXTSPLIT(E1150," ")</f>
        <v>27.10.2023</v>
      </c>
      <c r="R1150" t="str">
        <v>19:09:53</v>
      </c>
      <c r="S1150">
        <f t="shared" si="281"/>
        <v>19.116666666666863</v>
      </c>
      <c r="T1150">
        <f t="shared" si="272"/>
        <v>20.28</v>
      </c>
      <c r="U1150">
        <f t="shared" si="275"/>
        <v>1.5</v>
      </c>
      <c r="V1150">
        <f t="shared" si="269"/>
        <v>1.2225000000000006</v>
      </c>
      <c r="AC1150" t="s">
        <v>2817</v>
      </c>
      <c r="AD1150">
        <v>1.5</v>
      </c>
      <c r="AE1150">
        <v>12.42</v>
      </c>
      <c r="AG1150" t="str" cm="1">
        <f t="array" ref="AG1150:AH1150">_xlfn.TEXTSPLIT(AC1151," ")</f>
        <v>26.10.2023</v>
      </c>
      <c r="AH1150" t="str">
        <v>19:11:06</v>
      </c>
      <c r="AI1150">
        <f t="shared" si="282"/>
        <v>19.116666666666863</v>
      </c>
      <c r="AJ1150">
        <f t="shared" si="276"/>
        <v>7.89</v>
      </c>
      <c r="AK1150">
        <f t="shared" si="277"/>
        <v>1.5</v>
      </c>
      <c r="AL1150">
        <f t="shared" si="270"/>
        <v>0.45250000000000001</v>
      </c>
      <c r="AN1150" t="s">
        <v>2817</v>
      </c>
      <c r="AO1150">
        <v>1.65</v>
      </c>
      <c r="AP1150">
        <v>75.62</v>
      </c>
      <c r="AR1150" t="str" cm="1">
        <f t="array" ref="AR1150:AS1150">_xlfn.TEXTSPLIT(AN1150," ")</f>
        <v>26.10.2023</v>
      </c>
      <c r="AS1150" t="str">
        <v>19:10:06</v>
      </c>
      <c r="AT1150">
        <f t="shared" si="283"/>
        <v>19.116666666666863</v>
      </c>
      <c r="AU1150">
        <f t="shared" si="278"/>
        <v>14.310000000000002</v>
      </c>
      <c r="AV1150">
        <f t="shared" si="279"/>
        <v>1.65</v>
      </c>
      <c r="AW1150">
        <f t="shared" si="271"/>
        <v>0.6625000000000002</v>
      </c>
    </row>
    <row r="1151" spans="1:49" x14ac:dyDescent="0.25">
      <c r="A1151" t="s">
        <v>2818</v>
      </c>
      <c r="B1151">
        <v>1.5</v>
      </c>
      <c r="C1151">
        <v>26.46</v>
      </c>
      <c r="E1151" t="s">
        <v>2818</v>
      </c>
      <c r="F1151">
        <v>1.95</v>
      </c>
      <c r="G1151">
        <v>98.92</v>
      </c>
      <c r="I1151" t="str" cm="1">
        <f t="array" ref="I1151:J1151">_xlfn.TEXTSPLIT(A1151," ")</f>
        <v>27.10.2023</v>
      </c>
      <c r="J1151" t="str">
        <v>19:10:53</v>
      </c>
      <c r="K1151">
        <f t="shared" si="280"/>
        <v>19.133333333333528</v>
      </c>
      <c r="L1151">
        <f t="shared" si="273"/>
        <v>12.14</v>
      </c>
      <c r="M1151">
        <f t="shared" si="274"/>
        <v>1.5</v>
      </c>
      <c r="N1151">
        <f t="shared" ref="N1151:N1214" si="284">AVERAGE(M1092:M1151)</f>
        <v>0.6575000000000002</v>
      </c>
      <c r="Q1151" t="str" cm="1">
        <f t="array" ref="Q1151:R1151">_xlfn.TEXTSPLIT(E1151," ")</f>
        <v>27.10.2023</v>
      </c>
      <c r="R1151" t="str">
        <v>19:10:53</v>
      </c>
      <c r="S1151">
        <f t="shared" si="281"/>
        <v>19.133333333333528</v>
      </c>
      <c r="T1151">
        <f t="shared" si="272"/>
        <v>20.320000000000007</v>
      </c>
      <c r="U1151">
        <f t="shared" si="275"/>
        <v>1.95</v>
      </c>
      <c r="V1151">
        <f t="shared" ref="V1151:V1214" si="285">AVERAGE(U1092:U1151)</f>
        <v>1.2175000000000005</v>
      </c>
      <c r="AC1151" t="s">
        <v>2819</v>
      </c>
      <c r="AD1151">
        <v>1.2</v>
      </c>
      <c r="AE1151">
        <v>12.43</v>
      </c>
      <c r="AG1151" t="str" cm="1">
        <f t="array" ref="AG1151:AH1151">_xlfn.TEXTSPLIT(AC1152," ")</f>
        <v>26.10.2023</v>
      </c>
      <c r="AH1151" t="str">
        <v>19:12:06</v>
      </c>
      <c r="AI1151">
        <f t="shared" si="282"/>
        <v>19.133333333333528</v>
      </c>
      <c r="AJ1151">
        <f t="shared" si="276"/>
        <v>7.8999999999999995</v>
      </c>
      <c r="AK1151">
        <f t="shared" si="277"/>
        <v>1.2</v>
      </c>
      <c r="AL1151">
        <f t="shared" ref="AL1151:AL1214" si="286">AVERAGE(AK1092:AK1151)</f>
        <v>0.44500000000000001</v>
      </c>
      <c r="AN1151" t="s">
        <v>2819</v>
      </c>
      <c r="AO1151">
        <v>1.05</v>
      </c>
      <c r="AP1151">
        <v>75.64</v>
      </c>
      <c r="AR1151" t="str" cm="1">
        <f t="array" ref="AR1151:AS1151">_xlfn.TEXTSPLIT(AN1151," ")</f>
        <v>26.10.2023</v>
      </c>
      <c r="AS1151" t="str">
        <v>19:11:06</v>
      </c>
      <c r="AT1151">
        <f t="shared" si="283"/>
        <v>19.133333333333528</v>
      </c>
      <c r="AU1151">
        <f t="shared" si="278"/>
        <v>14.329999999999998</v>
      </c>
      <c r="AV1151">
        <f t="shared" si="279"/>
        <v>1.05</v>
      </c>
      <c r="AW1151">
        <f t="shared" ref="AW1151:AW1214" si="287">AVERAGE(AV1092:AV1151)</f>
        <v>0.65250000000000008</v>
      </c>
    </row>
    <row r="1152" spans="1:49" x14ac:dyDescent="0.25">
      <c r="A1152" t="s">
        <v>2820</v>
      </c>
      <c r="B1152">
        <v>1.2</v>
      </c>
      <c r="C1152">
        <v>26.48</v>
      </c>
      <c r="E1152" t="s">
        <v>2820</v>
      </c>
      <c r="F1152">
        <v>1.8</v>
      </c>
      <c r="G1152">
        <v>98.93</v>
      </c>
      <c r="I1152" t="str" cm="1">
        <f t="array" ref="I1152:J1152">_xlfn.TEXTSPLIT(A1152," ")</f>
        <v>27.10.2023</v>
      </c>
      <c r="J1152" t="str">
        <v>19:11:54</v>
      </c>
      <c r="K1152">
        <f t="shared" si="280"/>
        <v>19.150000000000194</v>
      </c>
      <c r="L1152">
        <f t="shared" si="273"/>
        <v>12.16</v>
      </c>
      <c r="M1152">
        <f t="shared" si="274"/>
        <v>1.2</v>
      </c>
      <c r="N1152">
        <f t="shared" si="284"/>
        <v>0.66000000000000014</v>
      </c>
      <c r="Q1152" t="str" cm="1">
        <f t="array" ref="Q1152:R1152">_xlfn.TEXTSPLIT(E1152," ")</f>
        <v>27.10.2023</v>
      </c>
      <c r="R1152" t="str">
        <v>19:11:54</v>
      </c>
      <c r="S1152">
        <f t="shared" si="281"/>
        <v>19.150000000000194</v>
      </c>
      <c r="T1152">
        <f t="shared" si="272"/>
        <v>20.330000000000013</v>
      </c>
      <c r="U1152">
        <f t="shared" si="275"/>
        <v>1.8</v>
      </c>
      <c r="V1152">
        <f t="shared" si="285"/>
        <v>1.2225000000000004</v>
      </c>
      <c r="AC1152" t="s">
        <v>2821</v>
      </c>
      <c r="AD1152">
        <v>0.6</v>
      </c>
      <c r="AE1152">
        <v>12.44</v>
      </c>
      <c r="AG1152" t="str" cm="1">
        <f t="array" ref="AG1152:AH1152">_xlfn.TEXTSPLIT(AC1153," ")</f>
        <v>26.10.2023</v>
      </c>
      <c r="AH1152" t="str">
        <v>19:13:06</v>
      </c>
      <c r="AI1152">
        <f t="shared" si="282"/>
        <v>19.150000000000194</v>
      </c>
      <c r="AJ1152">
        <f t="shared" si="276"/>
        <v>7.9099999999999993</v>
      </c>
      <c r="AK1152">
        <f t="shared" si="277"/>
        <v>0.6</v>
      </c>
      <c r="AL1152">
        <f t="shared" si="286"/>
        <v>0.4425</v>
      </c>
      <c r="AN1152" t="s">
        <v>2821</v>
      </c>
      <c r="AO1152">
        <v>0.9</v>
      </c>
      <c r="AP1152">
        <v>75.650000000000006</v>
      </c>
      <c r="AR1152" t="str" cm="1">
        <f t="array" ref="AR1152:AS1152">_xlfn.TEXTSPLIT(AN1152," ")</f>
        <v>26.10.2023</v>
      </c>
      <c r="AS1152" t="str">
        <v>19:12:06</v>
      </c>
      <c r="AT1152">
        <f t="shared" si="283"/>
        <v>19.150000000000194</v>
      </c>
      <c r="AU1152">
        <f t="shared" si="278"/>
        <v>14.340000000000003</v>
      </c>
      <c r="AV1152">
        <f t="shared" si="279"/>
        <v>0.9</v>
      </c>
      <c r="AW1152">
        <f t="shared" si="287"/>
        <v>0.63750000000000007</v>
      </c>
    </row>
    <row r="1153" spans="1:49" x14ac:dyDescent="0.25">
      <c r="A1153" t="s">
        <v>2822</v>
      </c>
      <c r="B1153">
        <v>1.2</v>
      </c>
      <c r="C1153">
        <v>26.49</v>
      </c>
      <c r="E1153" t="s">
        <v>2822</v>
      </c>
      <c r="F1153">
        <v>0.9</v>
      </c>
      <c r="G1153">
        <v>98.95</v>
      </c>
      <c r="I1153" t="str" cm="1">
        <f t="array" ref="I1153:J1153">_xlfn.TEXTSPLIT(A1153," ")</f>
        <v>27.10.2023</v>
      </c>
      <c r="J1153" t="str">
        <v>19:12:54</v>
      </c>
      <c r="K1153">
        <f t="shared" si="280"/>
        <v>19.16666666666686</v>
      </c>
      <c r="L1153">
        <f t="shared" si="273"/>
        <v>12.169999999999998</v>
      </c>
      <c r="M1153">
        <f t="shared" si="274"/>
        <v>1.2</v>
      </c>
      <c r="N1153">
        <f t="shared" si="284"/>
        <v>0.66250000000000009</v>
      </c>
      <c r="Q1153" t="str" cm="1">
        <f t="array" ref="Q1153:R1153">_xlfn.TEXTSPLIT(E1153," ")</f>
        <v>27.10.2023</v>
      </c>
      <c r="R1153" t="str">
        <v>19:12:54</v>
      </c>
      <c r="S1153">
        <f t="shared" si="281"/>
        <v>19.16666666666686</v>
      </c>
      <c r="T1153">
        <f t="shared" si="272"/>
        <v>20.350000000000009</v>
      </c>
      <c r="U1153">
        <f t="shared" si="275"/>
        <v>0.9</v>
      </c>
      <c r="V1153">
        <f t="shared" si="285"/>
        <v>1.2200000000000002</v>
      </c>
      <c r="AC1153" t="s">
        <v>2823</v>
      </c>
      <c r="AD1153">
        <v>0.75</v>
      </c>
      <c r="AE1153">
        <v>12.46</v>
      </c>
      <c r="AG1153" t="str" cm="1">
        <f t="array" ref="AG1153:AH1153">_xlfn.TEXTSPLIT(AC1154," ")</f>
        <v>26.10.2023</v>
      </c>
      <c r="AH1153" t="str">
        <v>19:14:06</v>
      </c>
      <c r="AI1153">
        <f t="shared" si="282"/>
        <v>19.16666666666686</v>
      </c>
      <c r="AJ1153">
        <f t="shared" si="276"/>
        <v>7.9300000000000006</v>
      </c>
      <c r="AK1153">
        <f t="shared" si="277"/>
        <v>0.75</v>
      </c>
      <c r="AL1153">
        <f t="shared" si="286"/>
        <v>0.43749999999999994</v>
      </c>
      <c r="AN1153" t="s">
        <v>2823</v>
      </c>
      <c r="AO1153">
        <v>0.6</v>
      </c>
      <c r="AP1153">
        <v>75.67</v>
      </c>
      <c r="AR1153" t="str" cm="1">
        <f t="array" ref="AR1153:AS1153">_xlfn.TEXTSPLIT(AN1153," ")</f>
        <v>26.10.2023</v>
      </c>
      <c r="AS1153" t="str">
        <v>19:13:06</v>
      </c>
      <c r="AT1153">
        <f t="shared" si="283"/>
        <v>19.16666666666686</v>
      </c>
      <c r="AU1153">
        <f t="shared" si="278"/>
        <v>14.36</v>
      </c>
      <c r="AV1153">
        <f t="shared" si="279"/>
        <v>0.6</v>
      </c>
      <c r="AW1153">
        <f t="shared" si="287"/>
        <v>0.63</v>
      </c>
    </row>
    <row r="1154" spans="1:49" x14ac:dyDescent="0.25">
      <c r="A1154" t="s">
        <v>2824</v>
      </c>
      <c r="B1154">
        <v>0.75</v>
      </c>
      <c r="C1154">
        <v>26.5</v>
      </c>
      <c r="E1154" t="s">
        <v>2824</v>
      </c>
      <c r="F1154">
        <v>1.05</v>
      </c>
      <c r="G1154">
        <v>98.96</v>
      </c>
      <c r="I1154" t="str" cm="1">
        <f t="array" ref="I1154:J1154">_xlfn.TEXTSPLIT(A1154," ")</f>
        <v>27.10.2023</v>
      </c>
      <c r="J1154" t="str">
        <v>19:13:54</v>
      </c>
      <c r="K1154">
        <f t="shared" si="280"/>
        <v>19.183333333333525</v>
      </c>
      <c r="L1154">
        <f t="shared" si="273"/>
        <v>12.18</v>
      </c>
      <c r="M1154">
        <f t="shared" si="274"/>
        <v>0.75</v>
      </c>
      <c r="N1154">
        <f t="shared" si="284"/>
        <v>0.65500000000000014</v>
      </c>
      <c r="Q1154" t="str" cm="1">
        <f t="array" ref="Q1154:R1154">_xlfn.TEXTSPLIT(E1154," ")</f>
        <v>27.10.2023</v>
      </c>
      <c r="R1154" t="str">
        <v>19:13:54</v>
      </c>
      <c r="S1154">
        <f t="shared" si="281"/>
        <v>19.183333333333525</v>
      </c>
      <c r="T1154">
        <f t="shared" si="272"/>
        <v>20.36</v>
      </c>
      <c r="U1154">
        <f t="shared" si="275"/>
        <v>1.05</v>
      </c>
      <c r="V1154">
        <f t="shared" si="285"/>
        <v>1.2200000000000004</v>
      </c>
      <c r="AC1154" t="s">
        <v>2825</v>
      </c>
      <c r="AD1154">
        <v>0.45</v>
      </c>
      <c r="AE1154">
        <v>12.47</v>
      </c>
      <c r="AG1154" t="str" cm="1">
        <f t="array" ref="AG1154:AH1154">_xlfn.TEXTSPLIT(AC1155," ")</f>
        <v>26.10.2023</v>
      </c>
      <c r="AH1154" t="str">
        <v>19:15:06</v>
      </c>
      <c r="AI1154">
        <f t="shared" si="282"/>
        <v>19.183333333333525</v>
      </c>
      <c r="AJ1154">
        <f t="shared" si="276"/>
        <v>7.94</v>
      </c>
      <c r="AK1154">
        <f t="shared" si="277"/>
        <v>0.45</v>
      </c>
      <c r="AL1154">
        <f t="shared" si="286"/>
        <v>0.42749999999999994</v>
      </c>
      <c r="AN1154" t="s">
        <v>2825</v>
      </c>
      <c r="AO1154">
        <v>0.6</v>
      </c>
      <c r="AP1154">
        <v>75.67</v>
      </c>
      <c r="AR1154" t="str" cm="1">
        <f t="array" ref="AR1154:AS1154">_xlfn.TEXTSPLIT(AN1154," ")</f>
        <v>26.10.2023</v>
      </c>
      <c r="AS1154" t="str">
        <v>19:14:06</v>
      </c>
      <c r="AT1154">
        <f t="shared" si="283"/>
        <v>19.183333333333525</v>
      </c>
      <c r="AU1154">
        <f t="shared" si="278"/>
        <v>14.36</v>
      </c>
      <c r="AV1154">
        <f t="shared" si="279"/>
        <v>0.6</v>
      </c>
      <c r="AW1154">
        <f t="shared" si="287"/>
        <v>0.62749999999999995</v>
      </c>
    </row>
    <row r="1155" spans="1:49" x14ac:dyDescent="0.25">
      <c r="A1155" t="s">
        <v>2826</v>
      </c>
      <c r="B1155">
        <v>0.6</v>
      </c>
      <c r="C1155">
        <v>26.51</v>
      </c>
      <c r="E1155" t="s">
        <v>2826</v>
      </c>
      <c r="F1155">
        <v>0.9</v>
      </c>
      <c r="G1155">
        <v>98.98</v>
      </c>
      <c r="I1155" t="str" cm="1">
        <f t="array" ref="I1155:J1155">_xlfn.TEXTSPLIT(A1155," ")</f>
        <v>27.10.2023</v>
      </c>
      <c r="J1155" t="str">
        <v>19:14:54</v>
      </c>
      <c r="K1155">
        <f t="shared" si="280"/>
        <v>19.200000000000191</v>
      </c>
      <c r="L1155">
        <f t="shared" si="273"/>
        <v>12.190000000000001</v>
      </c>
      <c r="M1155">
        <f t="shared" si="274"/>
        <v>0.6</v>
      </c>
      <c r="N1155">
        <f t="shared" si="284"/>
        <v>0.65500000000000014</v>
      </c>
      <c r="Q1155" t="str" cm="1">
        <f t="array" ref="Q1155:R1155">_xlfn.TEXTSPLIT(E1155," ")</f>
        <v>27.10.2023</v>
      </c>
      <c r="R1155" t="str">
        <v>19:14:54</v>
      </c>
      <c r="S1155">
        <f t="shared" si="281"/>
        <v>19.200000000000191</v>
      </c>
      <c r="T1155">
        <f t="shared" ref="T1155:T1218" si="288">G1155-78.6</f>
        <v>20.38000000000001</v>
      </c>
      <c r="U1155">
        <f t="shared" si="275"/>
        <v>0.9</v>
      </c>
      <c r="V1155">
        <f t="shared" si="285"/>
        <v>1.2125000000000006</v>
      </c>
      <c r="AC1155" t="s">
        <v>2827</v>
      </c>
      <c r="AD1155">
        <v>0.9</v>
      </c>
      <c r="AE1155">
        <v>12.48</v>
      </c>
      <c r="AG1155" t="str" cm="1">
        <f t="array" ref="AG1155:AH1155">_xlfn.TEXTSPLIT(AC1156," ")</f>
        <v>26.10.2023</v>
      </c>
      <c r="AH1155" t="str">
        <v>19:16:06</v>
      </c>
      <c r="AI1155">
        <f t="shared" si="282"/>
        <v>19.200000000000191</v>
      </c>
      <c r="AJ1155">
        <f t="shared" si="276"/>
        <v>7.95</v>
      </c>
      <c r="AK1155">
        <f t="shared" si="277"/>
        <v>0.9</v>
      </c>
      <c r="AL1155">
        <f t="shared" si="286"/>
        <v>0.42999999999999988</v>
      </c>
      <c r="AN1155" t="s">
        <v>2827</v>
      </c>
      <c r="AO1155">
        <v>0.75</v>
      </c>
      <c r="AP1155">
        <v>75.69</v>
      </c>
      <c r="AR1155" t="str" cm="1">
        <f t="array" ref="AR1155:AS1155">_xlfn.TEXTSPLIT(AN1155," ")</f>
        <v>26.10.2023</v>
      </c>
      <c r="AS1155" t="str">
        <v>19:15:06</v>
      </c>
      <c r="AT1155">
        <f t="shared" si="283"/>
        <v>19.200000000000191</v>
      </c>
      <c r="AU1155">
        <f t="shared" si="278"/>
        <v>14.379999999999995</v>
      </c>
      <c r="AV1155">
        <f t="shared" si="279"/>
        <v>0.75</v>
      </c>
      <c r="AW1155">
        <f t="shared" si="287"/>
        <v>0.62750000000000006</v>
      </c>
    </row>
    <row r="1156" spans="1:49" x14ac:dyDescent="0.25">
      <c r="A1156" t="s">
        <v>2828</v>
      </c>
      <c r="B1156">
        <v>0.45</v>
      </c>
      <c r="C1156">
        <v>26.52</v>
      </c>
      <c r="E1156" t="s">
        <v>2828</v>
      </c>
      <c r="F1156">
        <v>0.9</v>
      </c>
      <c r="G1156">
        <v>99</v>
      </c>
      <c r="I1156" t="str" cm="1">
        <f t="array" ref="I1156:J1156">_xlfn.TEXTSPLIT(A1156," ")</f>
        <v>27.10.2023</v>
      </c>
      <c r="J1156" t="str">
        <v>19:15:54</v>
      </c>
      <c r="K1156">
        <f t="shared" si="280"/>
        <v>19.216666666666857</v>
      </c>
      <c r="L1156">
        <f t="shared" ref="L1156:L1219" si="289">C1156-14.32</f>
        <v>12.2</v>
      </c>
      <c r="M1156">
        <f t="shared" ref="M1156:M1219" si="290">B1156</f>
        <v>0.45</v>
      </c>
      <c r="N1156">
        <f t="shared" si="284"/>
        <v>0.64500000000000024</v>
      </c>
      <c r="Q1156" t="str" cm="1">
        <f t="array" ref="Q1156:R1156">_xlfn.TEXTSPLIT(E1156," ")</f>
        <v>27.10.2023</v>
      </c>
      <c r="R1156" t="str">
        <v>19:15:54</v>
      </c>
      <c r="S1156">
        <f t="shared" si="281"/>
        <v>19.216666666666857</v>
      </c>
      <c r="T1156">
        <f t="shared" si="288"/>
        <v>20.400000000000006</v>
      </c>
      <c r="U1156">
        <f t="shared" ref="U1156:U1219" si="291">F1156</f>
        <v>0.9</v>
      </c>
      <c r="V1156">
        <f t="shared" si="285"/>
        <v>1.2150000000000003</v>
      </c>
      <c r="AC1156" t="s">
        <v>2829</v>
      </c>
      <c r="AD1156">
        <v>0.3</v>
      </c>
      <c r="AE1156">
        <v>12.49</v>
      </c>
      <c r="AG1156" t="str" cm="1">
        <f t="array" ref="AG1156:AH1156">_xlfn.TEXTSPLIT(AC1157," ")</f>
        <v>26.10.2023</v>
      </c>
      <c r="AH1156" t="str">
        <v>19:17:06</v>
      </c>
      <c r="AI1156">
        <f t="shared" si="282"/>
        <v>19.216666666666857</v>
      </c>
      <c r="AJ1156">
        <f t="shared" ref="AJ1156:AJ1219" si="292">AE1156-4.53</f>
        <v>7.96</v>
      </c>
      <c r="AK1156">
        <f t="shared" ref="AK1156:AK1219" si="293">AD1156</f>
        <v>0.3</v>
      </c>
      <c r="AL1156">
        <f t="shared" si="286"/>
        <v>0.42499999999999988</v>
      </c>
      <c r="AN1156" t="s">
        <v>2829</v>
      </c>
      <c r="AO1156">
        <v>0.75</v>
      </c>
      <c r="AP1156">
        <v>75.7</v>
      </c>
      <c r="AR1156" t="str" cm="1">
        <f t="array" ref="AR1156:AS1156">_xlfn.TEXTSPLIT(AN1156," ")</f>
        <v>26.10.2023</v>
      </c>
      <c r="AS1156" t="str">
        <v>19:16:06</v>
      </c>
      <c r="AT1156">
        <f t="shared" si="283"/>
        <v>19.216666666666857</v>
      </c>
      <c r="AU1156">
        <f t="shared" ref="AU1156:AU1219" si="294">AP1156-61.31</f>
        <v>14.39</v>
      </c>
      <c r="AV1156">
        <f t="shared" ref="AV1156:AV1219" si="295">AO1156</f>
        <v>0.75</v>
      </c>
      <c r="AW1156">
        <f t="shared" si="287"/>
        <v>0.63000000000000012</v>
      </c>
    </row>
    <row r="1157" spans="1:49" x14ac:dyDescent="0.25">
      <c r="A1157" t="s">
        <v>2830</v>
      </c>
      <c r="B1157">
        <v>0.6</v>
      </c>
      <c r="C1157">
        <v>26.53</v>
      </c>
      <c r="E1157" t="s">
        <v>2830</v>
      </c>
      <c r="F1157">
        <v>1.35</v>
      </c>
      <c r="G1157">
        <v>99.03</v>
      </c>
      <c r="I1157" t="str" cm="1">
        <f t="array" ref="I1157:J1157">_xlfn.TEXTSPLIT(A1157," ")</f>
        <v>27.10.2023</v>
      </c>
      <c r="J1157" t="str">
        <v>19:16:54</v>
      </c>
      <c r="K1157">
        <f t="shared" ref="K1157:K1220" si="296">1/60+K1156</f>
        <v>19.233333333333523</v>
      </c>
      <c r="L1157">
        <f t="shared" si="289"/>
        <v>12.21</v>
      </c>
      <c r="M1157">
        <f t="shared" si="290"/>
        <v>0.6</v>
      </c>
      <c r="N1157">
        <f t="shared" si="284"/>
        <v>0.64500000000000024</v>
      </c>
      <c r="Q1157" t="str" cm="1">
        <f t="array" ref="Q1157:R1157">_xlfn.TEXTSPLIT(E1157," ")</f>
        <v>27.10.2023</v>
      </c>
      <c r="R1157" t="str">
        <v>19:16:54</v>
      </c>
      <c r="S1157">
        <f t="shared" ref="S1157:S1220" si="297">1/60+S1156</f>
        <v>19.233333333333523</v>
      </c>
      <c r="T1157">
        <f t="shared" si="288"/>
        <v>20.430000000000007</v>
      </c>
      <c r="U1157">
        <f t="shared" si="291"/>
        <v>1.35</v>
      </c>
      <c r="V1157">
        <f t="shared" si="285"/>
        <v>1.2125000000000001</v>
      </c>
      <c r="AC1157" t="s">
        <v>2831</v>
      </c>
      <c r="AD1157">
        <v>0.45</v>
      </c>
      <c r="AE1157">
        <v>12.49</v>
      </c>
      <c r="AG1157" t="str" cm="1">
        <f t="array" ref="AG1157:AH1157">_xlfn.TEXTSPLIT(AC1158," ")</f>
        <v>26.10.2023</v>
      </c>
      <c r="AH1157" t="str">
        <v>19:18:06</v>
      </c>
      <c r="AI1157">
        <f t="shared" ref="AI1157:AI1220" si="298">1/60+AI1156</f>
        <v>19.233333333333523</v>
      </c>
      <c r="AJ1157">
        <f t="shared" si="292"/>
        <v>7.96</v>
      </c>
      <c r="AK1157">
        <f t="shared" si="293"/>
        <v>0.45</v>
      </c>
      <c r="AL1157">
        <f t="shared" si="286"/>
        <v>0.42249999999999999</v>
      </c>
      <c r="AN1157" t="s">
        <v>2831</v>
      </c>
      <c r="AO1157">
        <v>0.75</v>
      </c>
      <c r="AP1157">
        <v>75.709999999999994</v>
      </c>
      <c r="AR1157" t="str" cm="1">
        <f t="array" ref="AR1157:AS1157">_xlfn.TEXTSPLIT(AN1157," ")</f>
        <v>26.10.2023</v>
      </c>
      <c r="AS1157" t="str">
        <v>19:17:06</v>
      </c>
      <c r="AT1157">
        <f t="shared" ref="AT1157:AT1220" si="299">1/60+AT1156</f>
        <v>19.233333333333523</v>
      </c>
      <c r="AU1157">
        <f t="shared" si="294"/>
        <v>14.399999999999991</v>
      </c>
      <c r="AV1157">
        <f t="shared" si="295"/>
        <v>0.75</v>
      </c>
      <c r="AW1157">
        <f t="shared" si="287"/>
        <v>0.63000000000000012</v>
      </c>
    </row>
    <row r="1158" spans="1:49" x14ac:dyDescent="0.25">
      <c r="A1158" t="s">
        <v>2832</v>
      </c>
      <c r="B1158">
        <v>0.6</v>
      </c>
      <c r="C1158">
        <v>26.54</v>
      </c>
      <c r="E1158" t="s">
        <v>2832</v>
      </c>
      <c r="F1158">
        <v>1.5</v>
      </c>
      <c r="G1158">
        <v>99.05</v>
      </c>
      <c r="I1158" t="str" cm="1">
        <f t="array" ref="I1158:J1158">_xlfn.TEXTSPLIT(A1158," ")</f>
        <v>27.10.2023</v>
      </c>
      <c r="J1158" t="str">
        <v>19:17:54</v>
      </c>
      <c r="K1158">
        <f t="shared" si="296"/>
        <v>19.250000000000188</v>
      </c>
      <c r="L1158">
        <f t="shared" si="289"/>
        <v>12.219999999999999</v>
      </c>
      <c r="M1158">
        <f t="shared" si="290"/>
        <v>0.6</v>
      </c>
      <c r="N1158">
        <f t="shared" si="284"/>
        <v>0.6475000000000003</v>
      </c>
      <c r="Q1158" t="str" cm="1">
        <f t="array" ref="Q1158:R1158">_xlfn.TEXTSPLIT(E1158," ")</f>
        <v>27.10.2023</v>
      </c>
      <c r="R1158" t="str">
        <v>19:17:54</v>
      </c>
      <c r="S1158">
        <f t="shared" si="297"/>
        <v>19.250000000000188</v>
      </c>
      <c r="T1158">
        <f t="shared" si="288"/>
        <v>20.450000000000003</v>
      </c>
      <c r="U1158">
        <f t="shared" si="291"/>
        <v>1.5</v>
      </c>
      <c r="V1158">
        <f t="shared" si="285"/>
        <v>1.2175000000000002</v>
      </c>
      <c r="AC1158" t="s">
        <v>2833</v>
      </c>
      <c r="AD1158">
        <v>0.9</v>
      </c>
      <c r="AE1158">
        <v>12.51</v>
      </c>
      <c r="AG1158" t="str" cm="1">
        <f t="array" ref="AG1158:AH1158">_xlfn.TEXTSPLIT(AC1159," ")</f>
        <v>26.10.2023</v>
      </c>
      <c r="AH1158" t="str">
        <v>19:19:07</v>
      </c>
      <c r="AI1158">
        <f t="shared" si="298"/>
        <v>19.250000000000188</v>
      </c>
      <c r="AJ1158">
        <f t="shared" si="292"/>
        <v>7.9799999999999995</v>
      </c>
      <c r="AK1158">
        <f t="shared" si="293"/>
        <v>0.9</v>
      </c>
      <c r="AL1158">
        <f t="shared" si="286"/>
        <v>0.43499999999999994</v>
      </c>
      <c r="AN1158" t="s">
        <v>2833</v>
      </c>
      <c r="AO1158">
        <v>0.6</v>
      </c>
      <c r="AP1158">
        <v>75.73</v>
      </c>
      <c r="AR1158" t="str" cm="1">
        <f t="array" ref="AR1158:AS1158">_xlfn.TEXTSPLIT(AN1158," ")</f>
        <v>26.10.2023</v>
      </c>
      <c r="AS1158" t="str">
        <v>19:18:06</v>
      </c>
      <c r="AT1158">
        <f t="shared" si="299"/>
        <v>19.250000000000188</v>
      </c>
      <c r="AU1158">
        <f t="shared" si="294"/>
        <v>14.420000000000002</v>
      </c>
      <c r="AV1158">
        <f t="shared" si="295"/>
        <v>0.6</v>
      </c>
      <c r="AW1158">
        <f t="shared" si="287"/>
        <v>0.63250000000000006</v>
      </c>
    </row>
    <row r="1159" spans="1:49" x14ac:dyDescent="0.25">
      <c r="A1159" t="s">
        <v>2834</v>
      </c>
      <c r="B1159">
        <v>0.6</v>
      </c>
      <c r="C1159">
        <v>26.55</v>
      </c>
      <c r="E1159" t="s">
        <v>2834</v>
      </c>
      <c r="F1159">
        <v>1.05</v>
      </c>
      <c r="G1159">
        <v>99.06</v>
      </c>
      <c r="I1159" t="str" cm="1">
        <f t="array" ref="I1159:J1159">_xlfn.TEXTSPLIT(A1159," ")</f>
        <v>27.10.2023</v>
      </c>
      <c r="J1159" t="str">
        <v>19:18:55</v>
      </c>
      <c r="K1159">
        <f t="shared" si="296"/>
        <v>19.266666666666854</v>
      </c>
      <c r="L1159">
        <f t="shared" si="289"/>
        <v>12.23</v>
      </c>
      <c r="M1159">
        <f t="shared" si="290"/>
        <v>0.6</v>
      </c>
      <c r="N1159">
        <f t="shared" si="284"/>
        <v>0.64500000000000024</v>
      </c>
      <c r="Q1159" t="str" cm="1">
        <f t="array" ref="Q1159:R1159">_xlfn.TEXTSPLIT(E1159," ")</f>
        <v>27.10.2023</v>
      </c>
      <c r="R1159" t="str">
        <v>19:18:55</v>
      </c>
      <c r="S1159">
        <f t="shared" si="297"/>
        <v>19.266666666666854</v>
      </c>
      <c r="T1159">
        <f t="shared" si="288"/>
        <v>20.460000000000008</v>
      </c>
      <c r="U1159">
        <f t="shared" si="291"/>
        <v>1.05</v>
      </c>
      <c r="V1159">
        <f t="shared" si="285"/>
        <v>1.2200000000000002</v>
      </c>
      <c r="AC1159" t="s">
        <v>2835</v>
      </c>
      <c r="AD1159">
        <v>0.6</v>
      </c>
      <c r="AE1159">
        <v>12.52</v>
      </c>
      <c r="AG1159" t="str" cm="1">
        <f t="array" ref="AG1159:AH1159">_xlfn.TEXTSPLIT(AC1160," ")</f>
        <v>26.10.2023</v>
      </c>
      <c r="AH1159" t="str">
        <v>19:20:07</v>
      </c>
      <c r="AI1159">
        <f t="shared" si="298"/>
        <v>19.266666666666854</v>
      </c>
      <c r="AJ1159">
        <f t="shared" si="292"/>
        <v>7.9899999999999993</v>
      </c>
      <c r="AK1159">
        <f t="shared" si="293"/>
        <v>0.6</v>
      </c>
      <c r="AL1159">
        <f t="shared" si="286"/>
        <v>0.4375</v>
      </c>
      <c r="AN1159" t="s">
        <v>2835</v>
      </c>
      <c r="AO1159">
        <v>0.75</v>
      </c>
      <c r="AP1159">
        <v>75.739999999999995</v>
      </c>
      <c r="AR1159" t="str" cm="1">
        <f t="array" ref="AR1159:AS1159">_xlfn.TEXTSPLIT(AN1159," ")</f>
        <v>26.10.2023</v>
      </c>
      <c r="AS1159" t="str">
        <v>19:19:07</v>
      </c>
      <c r="AT1159">
        <f t="shared" si="299"/>
        <v>19.266666666666854</v>
      </c>
      <c r="AU1159">
        <f t="shared" si="294"/>
        <v>14.429999999999993</v>
      </c>
      <c r="AV1159">
        <f t="shared" si="295"/>
        <v>0.75</v>
      </c>
      <c r="AW1159">
        <f t="shared" si="287"/>
        <v>0.63000000000000012</v>
      </c>
    </row>
    <row r="1160" spans="1:49" x14ac:dyDescent="0.25">
      <c r="A1160" t="s">
        <v>2836</v>
      </c>
      <c r="B1160">
        <v>0.75</v>
      </c>
      <c r="C1160">
        <v>26.56</v>
      </c>
      <c r="E1160" t="s">
        <v>2836</v>
      </c>
      <c r="F1160">
        <v>0.9</v>
      </c>
      <c r="G1160">
        <v>99.08</v>
      </c>
      <c r="I1160" t="str" cm="1">
        <f t="array" ref="I1160:J1160">_xlfn.TEXTSPLIT(A1160," ")</f>
        <v>27.10.2023</v>
      </c>
      <c r="J1160" t="str">
        <v>19:19:55</v>
      </c>
      <c r="K1160">
        <f t="shared" si="296"/>
        <v>19.28333333333352</v>
      </c>
      <c r="L1160">
        <f t="shared" si="289"/>
        <v>12.239999999999998</v>
      </c>
      <c r="M1160">
        <f t="shared" si="290"/>
        <v>0.75</v>
      </c>
      <c r="N1160">
        <f t="shared" si="284"/>
        <v>0.64750000000000041</v>
      </c>
      <c r="Q1160" t="str" cm="1">
        <f t="array" ref="Q1160:R1160">_xlfn.TEXTSPLIT(E1160," ")</f>
        <v>27.10.2023</v>
      </c>
      <c r="R1160" t="str">
        <v>19:19:55</v>
      </c>
      <c r="S1160">
        <f t="shared" si="297"/>
        <v>19.28333333333352</v>
      </c>
      <c r="T1160">
        <f t="shared" si="288"/>
        <v>20.480000000000004</v>
      </c>
      <c r="U1160">
        <f t="shared" si="291"/>
        <v>0.9</v>
      </c>
      <c r="V1160">
        <f t="shared" si="285"/>
        <v>1.2175000000000005</v>
      </c>
      <c r="AC1160" t="s">
        <v>2837</v>
      </c>
      <c r="AD1160">
        <v>0.45</v>
      </c>
      <c r="AE1160">
        <v>12.53</v>
      </c>
      <c r="AG1160" t="str" cm="1">
        <f t="array" ref="AG1160:AH1160">_xlfn.TEXTSPLIT(AC1161," ")</f>
        <v>26.10.2023</v>
      </c>
      <c r="AH1160" t="str">
        <v>19:21:07</v>
      </c>
      <c r="AI1160">
        <f t="shared" si="298"/>
        <v>19.28333333333352</v>
      </c>
      <c r="AJ1160">
        <f t="shared" si="292"/>
        <v>7.9999999999999991</v>
      </c>
      <c r="AK1160">
        <f t="shared" si="293"/>
        <v>0.45</v>
      </c>
      <c r="AL1160">
        <f t="shared" si="286"/>
        <v>0.4425</v>
      </c>
      <c r="AN1160" t="s">
        <v>2837</v>
      </c>
      <c r="AO1160">
        <v>0.75</v>
      </c>
      <c r="AP1160">
        <v>75.75</v>
      </c>
      <c r="AR1160" t="str" cm="1">
        <f t="array" ref="AR1160:AS1160">_xlfn.TEXTSPLIT(AN1160," ")</f>
        <v>26.10.2023</v>
      </c>
      <c r="AS1160" t="str">
        <v>19:20:07</v>
      </c>
      <c r="AT1160">
        <f t="shared" si="299"/>
        <v>19.28333333333352</v>
      </c>
      <c r="AU1160">
        <f t="shared" si="294"/>
        <v>14.439999999999998</v>
      </c>
      <c r="AV1160">
        <f t="shared" si="295"/>
        <v>0.75</v>
      </c>
      <c r="AW1160">
        <f t="shared" si="287"/>
        <v>0.62500000000000011</v>
      </c>
    </row>
    <row r="1161" spans="1:49" x14ac:dyDescent="0.25">
      <c r="A1161" t="s">
        <v>2838</v>
      </c>
      <c r="B1161">
        <v>0.6</v>
      </c>
      <c r="C1161">
        <v>26.57</v>
      </c>
      <c r="E1161" t="s">
        <v>2838</v>
      </c>
      <c r="F1161">
        <v>0.75</v>
      </c>
      <c r="G1161">
        <v>99.09</v>
      </c>
      <c r="I1161" t="str" cm="1">
        <f t="array" ref="I1161:J1161">_xlfn.TEXTSPLIT(A1161," ")</f>
        <v>27.10.2023</v>
      </c>
      <c r="J1161" t="str">
        <v>19:20:55</v>
      </c>
      <c r="K1161">
        <f t="shared" si="296"/>
        <v>19.300000000000185</v>
      </c>
      <c r="L1161">
        <f t="shared" si="289"/>
        <v>12.25</v>
      </c>
      <c r="M1161">
        <f t="shared" si="290"/>
        <v>0.6</v>
      </c>
      <c r="N1161">
        <f t="shared" si="284"/>
        <v>0.6475000000000003</v>
      </c>
      <c r="Q1161" t="str" cm="1">
        <f t="array" ref="Q1161:R1161">_xlfn.TEXTSPLIT(E1161," ")</f>
        <v>27.10.2023</v>
      </c>
      <c r="R1161" t="str">
        <v>19:20:55</v>
      </c>
      <c r="S1161">
        <f t="shared" si="297"/>
        <v>19.300000000000185</v>
      </c>
      <c r="T1161">
        <f t="shared" si="288"/>
        <v>20.490000000000009</v>
      </c>
      <c r="U1161">
        <f t="shared" si="291"/>
        <v>0.75</v>
      </c>
      <c r="V1161">
        <f t="shared" si="285"/>
        <v>1.2150000000000003</v>
      </c>
      <c r="AC1161" t="s">
        <v>2839</v>
      </c>
      <c r="AD1161">
        <v>0.45</v>
      </c>
      <c r="AE1161">
        <v>12.54</v>
      </c>
      <c r="AG1161" t="str" cm="1">
        <f t="array" ref="AG1161:AH1161">_xlfn.TEXTSPLIT(AC1162," ")</f>
        <v>26.10.2023</v>
      </c>
      <c r="AH1161" t="str">
        <v>19:22:07</v>
      </c>
      <c r="AI1161">
        <f t="shared" si="298"/>
        <v>19.300000000000185</v>
      </c>
      <c r="AJ1161">
        <f t="shared" si="292"/>
        <v>8.009999999999998</v>
      </c>
      <c r="AK1161">
        <f t="shared" si="293"/>
        <v>0.45</v>
      </c>
      <c r="AL1161">
        <f t="shared" si="286"/>
        <v>0.44</v>
      </c>
      <c r="AN1161" t="s">
        <v>2839</v>
      </c>
      <c r="AO1161">
        <v>0.45</v>
      </c>
      <c r="AP1161">
        <v>75.760000000000005</v>
      </c>
      <c r="AR1161" t="str" cm="1">
        <f t="array" ref="AR1161:AS1161">_xlfn.TEXTSPLIT(AN1161," ")</f>
        <v>26.10.2023</v>
      </c>
      <c r="AS1161" t="str">
        <v>19:21:07</v>
      </c>
      <c r="AT1161">
        <f t="shared" si="299"/>
        <v>19.300000000000185</v>
      </c>
      <c r="AU1161">
        <f t="shared" si="294"/>
        <v>14.450000000000003</v>
      </c>
      <c r="AV1161">
        <f t="shared" si="295"/>
        <v>0.45</v>
      </c>
      <c r="AW1161">
        <f t="shared" si="287"/>
        <v>0.61750000000000005</v>
      </c>
    </row>
    <row r="1162" spans="1:49" x14ac:dyDescent="0.25">
      <c r="A1162" t="s">
        <v>2840</v>
      </c>
      <c r="B1162">
        <v>0.6</v>
      </c>
      <c r="C1162">
        <v>26.57</v>
      </c>
      <c r="E1162" t="s">
        <v>2840</v>
      </c>
      <c r="F1162">
        <v>0.45</v>
      </c>
      <c r="G1162">
        <v>99.1</v>
      </c>
      <c r="I1162" t="str" cm="1">
        <f t="array" ref="I1162:J1162">_xlfn.TEXTSPLIT(A1162," ")</f>
        <v>27.10.2023</v>
      </c>
      <c r="J1162" t="str">
        <v>19:21:55</v>
      </c>
      <c r="K1162">
        <f t="shared" si="296"/>
        <v>19.316666666666851</v>
      </c>
      <c r="L1162">
        <f t="shared" si="289"/>
        <v>12.25</v>
      </c>
      <c r="M1162">
        <f t="shared" si="290"/>
        <v>0.6</v>
      </c>
      <c r="N1162">
        <f t="shared" si="284"/>
        <v>0.64750000000000041</v>
      </c>
      <c r="Q1162" t="str" cm="1">
        <f t="array" ref="Q1162:R1162">_xlfn.TEXTSPLIT(E1162," ")</f>
        <v>27.10.2023</v>
      </c>
      <c r="R1162" t="str">
        <v>19:21:55</v>
      </c>
      <c r="S1162">
        <f t="shared" si="297"/>
        <v>19.316666666666851</v>
      </c>
      <c r="T1162">
        <f t="shared" si="288"/>
        <v>20.5</v>
      </c>
      <c r="U1162">
        <f t="shared" si="291"/>
        <v>0.45</v>
      </c>
      <c r="V1162">
        <f t="shared" si="285"/>
        <v>1.2100000000000004</v>
      </c>
      <c r="AC1162" t="s">
        <v>2841</v>
      </c>
      <c r="AD1162">
        <v>0.45</v>
      </c>
      <c r="AE1162">
        <v>12.54</v>
      </c>
      <c r="AG1162" t="str" cm="1">
        <f t="array" ref="AG1162:AH1162">_xlfn.TEXTSPLIT(AC1163," ")</f>
        <v>26.10.2023</v>
      </c>
      <c r="AH1162" t="str">
        <v>19:23:07</v>
      </c>
      <c r="AI1162">
        <f t="shared" si="298"/>
        <v>19.316666666666851</v>
      </c>
      <c r="AJ1162">
        <f t="shared" si="292"/>
        <v>8.009999999999998</v>
      </c>
      <c r="AK1162">
        <f t="shared" si="293"/>
        <v>0.45</v>
      </c>
      <c r="AL1162">
        <f t="shared" si="286"/>
        <v>0.44249999999999995</v>
      </c>
      <c r="AN1162" t="s">
        <v>2841</v>
      </c>
      <c r="AO1162">
        <v>0.15</v>
      </c>
      <c r="AP1162">
        <v>75.760000000000005</v>
      </c>
      <c r="AR1162" t="str" cm="1">
        <f t="array" ref="AR1162:AS1162">_xlfn.TEXTSPLIT(AN1162," ")</f>
        <v>26.10.2023</v>
      </c>
      <c r="AS1162" t="str">
        <v>19:22:07</v>
      </c>
      <c r="AT1162">
        <f t="shared" si="299"/>
        <v>19.316666666666851</v>
      </c>
      <c r="AU1162">
        <f t="shared" si="294"/>
        <v>14.450000000000003</v>
      </c>
      <c r="AV1162">
        <f t="shared" si="295"/>
        <v>0.15</v>
      </c>
      <c r="AW1162">
        <f t="shared" si="287"/>
        <v>0.62</v>
      </c>
    </row>
    <row r="1163" spans="1:49" x14ac:dyDescent="0.25">
      <c r="A1163" t="s">
        <v>2842</v>
      </c>
      <c r="B1163">
        <v>0.15</v>
      </c>
      <c r="C1163">
        <v>26.57</v>
      </c>
      <c r="E1163" t="s">
        <v>2842</v>
      </c>
      <c r="F1163">
        <v>0.3</v>
      </c>
      <c r="G1163">
        <v>99.1</v>
      </c>
      <c r="I1163" t="str" cm="1">
        <f t="array" ref="I1163:J1163">_xlfn.TEXTSPLIT(A1163," ")</f>
        <v>27.10.2023</v>
      </c>
      <c r="J1163" t="str">
        <v>19:22:55</v>
      </c>
      <c r="K1163">
        <f t="shared" si="296"/>
        <v>19.333333333333517</v>
      </c>
      <c r="L1163">
        <f t="shared" si="289"/>
        <v>12.25</v>
      </c>
      <c r="M1163">
        <f t="shared" si="290"/>
        <v>0.15</v>
      </c>
      <c r="N1163">
        <f t="shared" si="284"/>
        <v>0.63750000000000029</v>
      </c>
      <c r="Q1163" t="str" cm="1">
        <f t="array" ref="Q1163:R1163">_xlfn.TEXTSPLIT(E1163," ")</f>
        <v>27.10.2023</v>
      </c>
      <c r="R1163" t="str">
        <v>19:22:55</v>
      </c>
      <c r="S1163">
        <f t="shared" si="297"/>
        <v>19.333333333333517</v>
      </c>
      <c r="T1163">
        <f t="shared" si="288"/>
        <v>20.5</v>
      </c>
      <c r="U1163">
        <f t="shared" si="291"/>
        <v>0.3</v>
      </c>
      <c r="V1163">
        <f t="shared" si="285"/>
        <v>1.2075000000000002</v>
      </c>
      <c r="AC1163" t="s">
        <v>2843</v>
      </c>
      <c r="AD1163">
        <v>0.3</v>
      </c>
      <c r="AE1163">
        <v>12.55</v>
      </c>
      <c r="AG1163" t="str" cm="1">
        <f t="array" ref="AG1163:AH1163">_xlfn.TEXTSPLIT(AC1164," ")</f>
        <v>26.10.2023</v>
      </c>
      <c r="AH1163" t="str">
        <v>19:24:07</v>
      </c>
      <c r="AI1163">
        <f t="shared" si="298"/>
        <v>19.333333333333517</v>
      </c>
      <c r="AJ1163">
        <f t="shared" si="292"/>
        <v>8.02</v>
      </c>
      <c r="AK1163">
        <f t="shared" si="293"/>
        <v>0.3</v>
      </c>
      <c r="AL1163">
        <f t="shared" si="286"/>
        <v>0.44249999999999995</v>
      </c>
      <c r="AN1163" t="s">
        <v>2843</v>
      </c>
      <c r="AO1163">
        <v>0</v>
      </c>
      <c r="AP1163">
        <v>75.760000000000005</v>
      </c>
      <c r="AR1163" t="str" cm="1">
        <f t="array" ref="AR1163:AS1163">_xlfn.TEXTSPLIT(AN1163," ")</f>
        <v>26.10.2023</v>
      </c>
      <c r="AS1163" t="str">
        <v>19:23:07</v>
      </c>
      <c r="AT1163">
        <f t="shared" si="299"/>
        <v>19.333333333333517</v>
      </c>
      <c r="AU1163">
        <f t="shared" si="294"/>
        <v>14.450000000000003</v>
      </c>
      <c r="AV1163">
        <f t="shared" si="295"/>
        <v>0</v>
      </c>
      <c r="AW1163">
        <f t="shared" si="287"/>
        <v>0.62</v>
      </c>
    </row>
    <row r="1164" spans="1:49" x14ac:dyDescent="0.25">
      <c r="A1164" t="s">
        <v>2844</v>
      </c>
      <c r="B1164">
        <v>0</v>
      </c>
      <c r="C1164">
        <v>26.57</v>
      </c>
      <c r="E1164" t="s">
        <v>2844</v>
      </c>
      <c r="F1164">
        <v>0.45</v>
      </c>
      <c r="G1164">
        <v>99.11</v>
      </c>
      <c r="I1164" t="str" cm="1">
        <f t="array" ref="I1164:J1164">_xlfn.TEXTSPLIT(A1164," ")</f>
        <v>27.10.2023</v>
      </c>
      <c r="J1164" t="str">
        <v>19:23:55</v>
      </c>
      <c r="K1164">
        <f t="shared" si="296"/>
        <v>19.350000000000183</v>
      </c>
      <c r="L1164">
        <f t="shared" si="289"/>
        <v>12.25</v>
      </c>
      <c r="M1164">
        <f t="shared" si="290"/>
        <v>0</v>
      </c>
      <c r="N1164">
        <f t="shared" si="284"/>
        <v>0.63750000000000029</v>
      </c>
      <c r="Q1164" t="str" cm="1">
        <f t="array" ref="Q1164:R1164">_xlfn.TEXTSPLIT(E1164," ")</f>
        <v>27.10.2023</v>
      </c>
      <c r="R1164" t="str">
        <v>19:23:55</v>
      </c>
      <c r="S1164">
        <f t="shared" si="297"/>
        <v>19.350000000000183</v>
      </c>
      <c r="T1164">
        <f t="shared" si="288"/>
        <v>20.510000000000005</v>
      </c>
      <c r="U1164">
        <f t="shared" si="291"/>
        <v>0.45</v>
      </c>
      <c r="V1164">
        <f t="shared" si="285"/>
        <v>1.2050000000000003</v>
      </c>
      <c r="AC1164" t="s">
        <v>2845</v>
      </c>
      <c r="AD1164">
        <v>0</v>
      </c>
      <c r="AE1164">
        <v>12.55</v>
      </c>
      <c r="AG1164" t="str" cm="1">
        <f t="array" ref="AG1164:AH1164">_xlfn.TEXTSPLIT(AC1165," ")</f>
        <v>26.10.2023</v>
      </c>
      <c r="AH1164" t="str">
        <v>19:25:07</v>
      </c>
      <c r="AI1164">
        <f t="shared" si="298"/>
        <v>19.350000000000183</v>
      </c>
      <c r="AJ1164">
        <f t="shared" si="292"/>
        <v>8.02</v>
      </c>
      <c r="AK1164">
        <f t="shared" si="293"/>
        <v>0</v>
      </c>
      <c r="AL1164">
        <f t="shared" si="286"/>
        <v>0.4375</v>
      </c>
      <c r="AN1164" t="s">
        <v>2845</v>
      </c>
      <c r="AO1164">
        <v>0</v>
      </c>
      <c r="AP1164">
        <v>75.760000000000005</v>
      </c>
      <c r="AR1164" t="str" cm="1">
        <f t="array" ref="AR1164:AS1164">_xlfn.TEXTSPLIT(AN1164," ")</f>
        <v>26.10.2023</v>
      </c>
      <c r="AS1164" t="str">
        <v>19:24:07</v>
      </c>
      <c r="AT1164">
        <f t="shared" si="299"/>
        <v>19.350000000000183</v>
      </c>
      <c r="AU1164">
        <f t="shared" si="294"/>
        <v>14.450000000000003</v>
      </c>
      <c r="AV1164">
        <f t="shared" si="295"/>
        <v>0</v>
      </c>
      <c r="AW1164">
        <f t="shared" si="287"/>
        <v>0.61750000000000005</v>
      </c>
    </row>
    <row r="1165" spans="1:49" x14ac:dyDescent="0.25">
      <c r="A1165" t="s">
        <v>2846</v>
      </c>
      <c r="B1165">
        <v>0</v>
      </c>
      <c r="C1165">
        <v>26.57</v>
      </c>
      <c r="E1165" t="s">
        <v>2846</v>
      </c>
      <c r="F1165">
        <v>0.45</v>
      </c>
      <c r="G1165">
        <v>99.12</v>
      </c>
      <c r="I1165" t="str" cm="1">
        <f t="array" ref="I1165:J1165">_xlfn.TEXTSPLIT(A1165," ")</f>
        <v>27.10.2023</v>
      </c>
      <c r="J1165" t="str">
        <v>19:24:55</v>
      </c>
      <c r="K1165">
        <f t="shared" si="296"/>
        <v>19.366666666666848</v>
      </c>
      <c r="L1165">
        <f t="shared" si="289"/>
        <v>12.25</v>
      </c>
      <c r="M1165">
        <f t="shared" si="290"/>
        <v>0</v>
      </c>
      <c r="N1165">
        <f t="shared" si="284"/>
        <v>0.63750000000000029</v>
      </c>
      <c r="Q1165" t="str" cm="1">
        <f t="array" ref="Q1165:R1165">_xlfn.TEXTSPLIT(E1165," ")</f>
        <v>27.10.2023</v>
      </c>
      <c r="R1165" t="str">
        <v>19:24:55</v>
      </c>
      <c r="S1165">
        <f t="shared" si="297"/>
        <v>19.366666666666848</v>
      </c>
      <c r="T1165">
        <f t="shared" si="288"/>
        <v>20.52000000000001</v>
      </c>
      <c r="U1165">
        <f t="shared" si="291"/>
        <v>0.45</v>
      </c>
      <c r="V1165">
        <f t="shared" si="285"/>
        <v>1.1975000000000002</v>
      </c>
      <c r="AC1165" t="s">
        <v>2847</v>
      </c>
      <c r="AD1165">
        <v>0</v>
      </c>
      <c r="AE1165">
        <v>12.55</v>
      </c>
      <c r="AG1165" t="str" cm="1">
        <f t="array" ref="AG1165:AH1165">_xlfn.TEXTSPLIT(AC1166," ")</f>
        <v>26.10.2023</v>
      </c>
      <c r="AH1165" t="str">
        <v>19:26:07</v>
      </c>
      <c r="AI1165">
        <f t="shared" si="298"/>
        <v>19.366666666666848</v>
      </c>
      <c r="AJ1165">
        <f t="shared" si="292"/>
        <v>8.02</v>
      </c>
      <c r="AK1165">
        <f t="shared" si="293"/>
        <v>0</v>
      </c>
      <c r="AL1165">
        <f t="shared" si="286"/>
        <v>0.4375</v>
      </c>
      <c r="AN1165" t="s">
        <v>2847</v>
      </c>
      <c r="AO1165">
        <v>0.15</v>
      </c>
      <c r="AP1165">
        <v>75.760000000000005</v>
      </c>
      <c r="AR1165" t="str" cm="1">
        <f t="array" ref="AR1165:AS1165">_xlfn.TEXTSPLIT(AN1165," ")</f>
        <v>26.10.2023</v>
      </c>
      <c r="AS1165" t="str">
        <v>19:25:07</v>
      </c>
      <c r="AT1165">
        <f t="shared" si="299"/>
        <v>19.366666666666848</v>
      </c>
      <c r="AU1165">
        <f t="shared" si="294"/>
        <v>14.450000000000003</v>
      </c>
      <c r="AV1165">
        <f t="shared" si="295"/>
        <v>0.15</v>
      </c>
      <c r="AW1165">
        <f t="shared" si="287"/>
        <v>0.61750000000000005</v>
      </c>
    </row>
    <row r="1166" spans="1:49" x14ac:dyDescent="0.25">
      <c r="A1166" t="s">
        <v>2848</v>
      </c>
      <c r="B1166">
        <v>0</v>
      </c>
      <c r="C1166">
        <v>26.57</v>
      </c>
      <c r="E1166" t="s">
        <v>2848</v>
      </c>
      <c r="F1166">
        <v>0.75</v>
      </c>
      <c r="G1166">
        <v>99.13</v>
      </c>
      <c r="I1166" t="str" cm="1">
        <f t="array" ref="I1166:J1166">_xlfn.TEXTSPLIT(A1166," ")</f>
        <v>27.10.2023</v>
      </c>
      <c r="J1166" t="str">
        <v>19:25:55</v>
      </c>
      <c r="K1166">
        <f t="shared" si="296"/>
        <v>19.383333333333514</v>
      </c>
      <c r="L1166">
        <f t="shared" si="289"/>
        <v>12.25</v>
      </c>
      <c r="M1166">
        <f t="shared" si="290"/>
        <v>0</v>
      </c>
      <c r="N1166">
        <f t="shared" si="284"/>
        <v>0.63750000000000029</v>
      </c>
      <c r="Q1166" t="str" cm="1">
        <f t="array" ref="Q1166:R1166">_xlfn.TEXTSPLIT(E1166," ")</f>
        <v>27.10.2023</v>
      </c>
      <c r="R1166" t="str">
        <v>19:25:55</v>
      </c>
      <c r="S1166">
        <f t="shared" si="297"/>
        <v>19.383333333333514</v>
      </c>
      <c r="T1166">
        <f t="shared" si="288"/>
        <v>20.53</v>
      </c>
      <c r="U1166">
        <f t="shared" si="291"/>
        <v>0.75</v>
      </c>
      <c r="V1166">
        <f t="shared" si="285"/>
        <v>1.1900000000000004</v>
      </c>
      <c r="AC1166" t="s">
        <v>2849</v>
      </c>
      <c r="AD1166">
        <v>0</v>
      </c>
      <c r="AE1166">
        <v>12.55</v>
      </c>
      <c r="AG1166" t="str" cm="1">
        <f t="array" ref="AG1166:AH1166">_xlfn.TEXTSPLIT(AC1167," ")</f>
        <v>26.10.2023</v>
      </c>
      <c r="AH1166" t="str">
        <v>19:27:07</v>
      </c>
      <c r="AI1166">
        <f t="shared" si="298"/>
        <v>19.383333333333514</v>
      </c>
      <c r="AJ1166">
        <f t="shared" si="292"/>
        <v>8.02</v>
      </c>
      <c r="AK1166">
        <f t="shared" si="293"/>
        <v>0</v>
      </c>
      <c r="AL1166">
        <f t="shared" si="286"/>
        <v>0.4375</v>
      </c>
      <c r="AN1166" t="s">
        <v>2849</v>
      </c>
      <c r="AO1166">
        <v>0</v>
      </c>
      <c r="AP1166">
        <v>75.760000000000005</v>
      </c>
      <c r="AR1166" t="str" cm="1">
        <f t="array" ref="AR1166:AS1166">_xlfn.TEXTSPLIT(AN1166," ")</f>
        <v>26.10.2023</v>
      </c>
      <c r="AS1166" t="str">
        <v>19:26:07</v>
      </c>
      <c r="AT1166">
        <f t="shared" si="299"/>
        <v>19.383333333333514</v>
      </c>
      <c r="AU1166">
        <f t="shared" si="294"/>
        <v>14.450000000000003</v>
      </c>
      <c r="AV1166">
        <f t="shared" si="295"/>
        <v>0</v>
      </c>
      <c r="AW1166">
        <f t="shared" si="287"/>
        <v>0.61499999999999999</v>
      </c>
    </row>
    <row r="1167" spans="1:49" x14ac:dyDescent="0.25">
      <c r="A1167" t="s">
        <v>2850</v>
      </c>
      <c r="B1167">
        <v>0</v>
      </c>
      <c r="C1167">
        <v>26.57</v>
      </c>
      <c r="E1167" t="s">
        <v>2850</v>
      </c>
      <c r="F1167">
        <v>0.9</v>
      </c>
      <c r="G1167">
        <v>99.15</v>
      </c>
      <c r="I1167" t="str" cm="1">
        <f t="array" ref="I1167:J1167">_xlfn.TEXTSPLIT(A1167," ")</f>
        <v>27.10.2023</v>
      </c>
      <c r="J1167" t="str">
        <v>19:26:55</v>
      </c>
      <c r="K1167">
        <f t="shared" si="296"/>
        <v>19.40000000000018</v>
      </c>
      <c r="L1167">
        <f t="shared" si="289"/>
        <v>12.25</v>
      </c>
      <c r="M1167">
        <f t="shared" si="290"/>
        <v>0</v>
      </c>
      <c r="N1167">
        <f t="shared" si="284"/>
        <v>0.63750000000000029</v>
      </c>
      <c r="Q1167" t="str" cm="1">
        <f t="array" ref="Q1167:R1167">_xlfn.TEXTSPLIT(E1167," ")</f>
        <v>27.10.2023</v>
      </c>
      <c r="R1167" t="str">
        <v>19:26:55</v>
      </c>
      <c r="S1167">
        <f t="shared" si="297"/>
        <v>19.40000000000018</v>
      </c>
      <c r="T1167">
        <f t="shared" si="288"/>
        <v>20.550000000000011</v>
      </c>
      <c r="U1167">
        <f t="shared" si="291"/>
        <v>0.9</v>
      </c>
      <c r="V1167">
        <f t="shared" si="285"/>
        <v>1.1950000000000003</v>
      </c>
      <c r="AC1167" t="s">
        <v>2851</v>
      </c>
      <c r="AD1167">
        <v>0</v>
      </c>
      <c r="AE1167">
        <v>12.55</v>
      </c>
      <c r="AG1167" t="str" cm="1">
        <f t="array" ref="AG1167:AH1167">_xlfn.TEXTSPLIT(AC1168," ")</f>
        <v>26.10.2023</v>
      </c>
      <c r="AH1167" t="str">
        <v>19:28:07</v>
      </c>
      <c r="AI1167">
        <f t="shared" si="298"/>
        <v>19.40000000000018</v>
      </c>
      <c r="AJ1167">
        <f t="shared" si="292"/>
        <v>8.02</v>
      </c>
      <c r="AK1167">
        <f t="shared" si="293"/>
        <v>0</v>
      </c>
      <c r="AL1167">
        <f t="shared" si="286"/>
        <v>0.4375</v>
      </c>
      <c r="AN1167" t="s">
        <v>2851</v>
      </c>
      <c r="AO1167">
        <v>0.15</v>
      </c>
      <c r="AP1167">
        <v>75.760000000000005</v>
      </c>
      <c r="AR1167" t="str" cm="1">
        <f t="array" ref="AR1167:AS1167">_xlfn.TEXTSPLIT(AN1167," ")</f>
        <v>26.10.2023</v>
      </c>
      <c r="AS1167" t="str">
        <v>19:27:07</v>
      </c>
      <c r="AT1167">
        <f t="shared" si="299"/>
        <v>19.40000000000018</v>
      </c>
      <c r="AU1167">
        <f t="shared" si="294"/>
        <v>14.450000000000003</v>
      </c>
      <c r="AV1167">
        <f t="shared" si="295"/>
        <v>0.15</v>
      </c>
      <c r="AW1167">
        <f t="shared" si="287"/>
        <v>0.6150000000000001</v>
      </c>
    </row>
    <row r="1168" spans="1:49" x14ac:dyDescent="0.25">
      <c r="A1168" t="s">
        <v>2852</v>
      </c>
      <c r="B1168">
        <v>0</v>
      </c>
      <c r="C1168">
        <v>26.58</v>
      </c>
      <c r="E1168" t="s">
        <v>2852</v>
      </c>
      <c r="F1168">
        <v>0.9</v>
      </c>
      <c r="G1168">
        <v>99.17</v>
      </c>
      <c r="I1168" t="str" cm="1">
        <f t="array" ref="I1168:J1168">_xlfn.TEXTSPLIT(A1168," ")</f>
        <v>27.10.2023</v>
      </c>
      <c r="J1168" t="str">
        <v>19:27:55</v>
      </c>
      <c r="K1168">
        <f t="shared" si="296"/>
        <v>19.416666666666845</v>
      </c>
      <c r="L1168">
        <f t="shared" si="289"/>
        <v>12.259999999999998</v>
      </c>
      <c r="M1168">
        <f t="shared" si="290"/>
        <v>0</v>
      </c>
      <c r="N1168">
        <f t="shared" si="284"/>
        <v>0.63500000000000012</v>
      </c>
      <c r="Q1168" t="str" cm="1">
        <f t="array" ref="Q1168:R1168">_xlfn.TEXTSPLIT(E1168," ")</f>
        <v>27.10.2023</v>
      </c>
      <c r="R1168" t="str">
        <v>19:27:55</v>
      </c>
      <c r="S1168">
        <f t="shared" si="297"/>
        <v>19.416666666666845</v>
      </c>
      <c r="T1168">
        <f t="shared" si="288"/>
        <v>20.570000000000007</v>
      </c>
      <c r="U1168">
        <f t="shared" si="291"/>
        <v>0.9</v>
      </c>
      <c r="V1168">
        <f t="shared" si="285"/>
        <v>1.2000000000000004</v>
      </c>
      <c r="AC1168" t="s">
        <v>2853</v>
      </c>
      <c r="AD1168">
        <v>0</v>
      </c>
      <c r="AE1168">
        <v>12.55</v>
      </c>
      <c r="AG1168" t="str" cm="1">
        <f t="array" ref="AG1168:AH1168">_xlfn.TEXTSPLIT(AC1169," ")</f>
        <v>26.10.2023</v>
      </c>
      <c r="AH1168" t="str">
        <v>19:29:08</v>
      </c>
      <c r="AI1168">
        <f t="shared" si="298"/>
        <v>19.416666666666845</v>
      </c>
      <c r="AJ1168">
        <f t="shared" si="292"/>
        <v>8.02</v>
      </c>
      <c r="AK1168">
        <f t="shared" si="293"/>
        <v>0</v>
      </c>
      <c r="AL1168">
        <f t="shared" si="286"/>
        <v>0.4375</v>
      </c>
      <c r="AN1168" t="s">
        <v>2853</v>
      </c>
      <c r="AO1168">
        <v>0.15</v>
      </c>
      <c r="AP1168">
        <v>75.77</v>
      </c>
      <c r="AR1168" t="str" cm="1">
        <f t="array" ref="AR1168:AS1168">_xlfn.TEXTSPLIT(AN1168," ")</f>
        <v>26.10.2023</v>
      </c>
      <c r="AS1168" t="str">
        <v>19:28:07</v>
      </c>
      <c r="AT1168">
        <f t="shared" si="299"/>
        <v>19.416666666666845</v>
      </c>
      <c r="AU1168">
        <f t="shared" si="294"/>
        <v>14.459999999999994</v>
      </c>
      <c r="AV1168">
        <f t="shared" si="295"/>
        <v>0.15</v>
      </c>
      <c r="AW1168">
        <f t="shared" si="287"/>
        <v>0.61499999999999999</v>
      </c>
    </row>
    <row r="1169" spans="1:49" x14ac:dyDescent="0.25">
      <c r="A1169" t="s">
        <v>2854</v>
      </c>
      <c r="B1169">
        <v>0.45</v>
      </c>
      <c r="C1169">
        <v>26.59</v>
      </c>
      <c r="E1169" t="s">
        <v>2854</v>
      </c>
      <c r="F1169">
        <v>1.05</v>
      </c>
      <c r="G1169">
        <v>99.18</v>
      </c>
      <c r="I1169" t="str" cm="1">
        <f t="array" ref="I1169:J1169">_xlfn.TEXTSPLIT(A1169," ")</f>
        <v>27.10.2023</v>
      </c>
      <c r="J1169" t="str">
        <v>19:28:56</v>
      </c>
      <c r="K1169">
        <f t="shared" si="296"/>
        <v>19.433333333333511</v>
      </c>
      <c r="L1169">
        <f t="shared" si="289"/>
        <v>12.27</v>
      </c>
      <c r="M1169">
        <f t="shared" si="290"/>
        <v>0.45</v>
      </c>
      <c r="N1169">
        <f t="shared" si="284"/>
        <v>0.63750000000000029</v>
      </c>
      <c r="Q1169" t="str" cm="1">
        <f t="array" ref="Q1169:R1169">_xlfn.TEXTSPLIT(E1169," ")</f>
        <v>27.10.2023</v>
      </c>
      <c r="R1169" t="str">
        <v>19:28:56</v>
      </c>
      <c r="S1169">
        <f t="shared" si="297"/>
        <v>19.433333333333511</v>
      </c>
      <c r="T1169">
        <f t="shared" si="288"/>
        <v>20.580000000000013</v>
      </c>
      <c r="U1169">
        <f t="shared" si="291"/>
        <v>1.05</v>
      </c>
      <c r="V1169">
        <f t="shared" si="285"/>
        <v>1.2050000000000005</v>
      </c>
      <c r="AC1169" t="s">
        <v>2855</v>
      </c>
      <c r="AD1169">
        <v>0</v>
      </c>
      <c r="AE1169">
        <v>12.55</v>
      </c>
      <c r="AG1169" t="str" cm="1">
        <f t="array" ref="AG1169:AH1169">_xlfn.TEXTSPLIT(AC1170," ")</f>
        <v>26.10.2023</v>
      </c>
      <c r="AH1169" t="str">
        <v>19:30:08</v>
      </c>
      <c r="AI1169">
        <f t="shared" si="298"/>
        <v>19.433333333333511</v>
      </c>
      <c r="AJ1169">
        <f t="shared" si="292"/>
        <v>8.02</v>
      </c>
      <c r="AK1169">
        <f t="shared" si="293"/>
        <v>0</v>
      </c>
      <c r="AL1169">
        <f t="shared" si="286"/>
        <v>0.4375</v>
      </c>
      <c r="AN1169" t="s">
        <v>2855</v>
      </c>
      <c r="AO1169">
        <v>0.15</v>
      </c>
      <c r="AP1169">
        <v>75.77</v>
      </c>
      <c r="AR1169" t="str" cm="1">
        <f t="array" ref="AR1169:AS1169">_xlfn.TEXTSPLIT(AN1169," ")</f>
        <v>26.10.2023</v>
      </c>
      <c r="AS1169" t="str">
        <v>19:29:08</v>
      </c>
      <c r="AT1169">
        <f t="shared" si="299"/>
        <v>19.433333333333511</v>
      </c>
      <c r="AU1169">
        <f t="shared" si="294"/>
        <v>14.459999999999994</v>
      </c>
      <c r="AV1169">
        <f t="shared" si="295"/>
        <v>0.15</v>
      </c>
      <c r="AW1169">
        <f t="shared" si="287"/>
        <v>0.61499999999999999</v>
      </c>
    </row>
    <row r="1170" spans="1:49" x14ac:dyDescent="0.25">
      <c r="A1170" t="s">
        <v>2856</v>
      </c>
      <c r="B1170">
        <v>0.3</v>
      </c>
      <c r="C1170">
        <v>26.59</v>
      </c>
      <c r="E1170" t="s">
        <v>2856</v>
      </c>
      <c r="F1170">
        <v>0.75</v>
      </c>
      <c r="G1170">
        <v>99.19</v>
      </c>
      <c r="I1170" t="str" cm="1">
        <f t="array" ref="I1170:J1170">_xlfn.TEXTSPLIT(A1170," ")</f>
        <v>27.10.2023</v>
      </c>
      <c r="J1170" t="str">
        <v>19:29:56</v>
      </c>
      <c r="K1170">
        <f t="shared" si="296"/>
        <v>19.450000000000177</v>
      </c>
      <c r="L1170">
        <f t="shared" si="289"/>
        <v>12.27</v>
      </c>
      <c r="M1170">
        <f t="shared" si="290"/>
        <v>0.3</v>
      </c>
      <c r="N1170">
        <f t="shared" si="284"/>
        <v>0.63750000000000007</v>
      </c>
      <c r="Q1170" t="str" cm="1">
        <f t="array" ref="Q1170:R1170">_xlfn.TEXTSPLIT(E1170," ")</f>
        <v>27.10.2023</v>
      </c>
      <c r="R1170" t="str">
        <v>19:29:56</v>
      </c>
      <c r="S1170">
        <f t="shared" si="297"/>
        <v>19.450000000000177</v>
      </c>
      <c r="T1170">
        <f t="shared" si="288"/>
        <v>20.590000000000003</v>
      </c>
      <c r="U1170">
        <f t="shared" si="291"/>
        <v>0.75</v>
      </c>
      <c r="V1170">
        <f t="shared" si="285"/>
        <v>1.2050000000000005</v>
      </c>
      <c r="AC1170" t="s">
        <v>2857</v>
      </c>
      <c r="AD1170">
        <v>0</v>
      </c>
      <c r="AE1170">
        <v>12.55</v>
      </c>
      <c r="AG1170" t="str" cm="1">
        <f t="array" ref="AG1170:AH1170">_xlfn.TEXTSPLIT(AC1171," ")</f>
        <v>26.10.2023</v>
      </c>
      <c r="AH1170" t="str">
        <v>19:31:08</v>
      </c>
      <c r="AI1170">
        <f t="shared" si="298"/>
        <v>19.450000000000177</v>
      </c>
      <c r="AJ1170">
        <f t="shared" si="292"/>
        <v>8.02</v>
      </c>
      <c r="AK1170">
        <f t="shared" si="293"/>
        <v>0</v>
      </c>
      <c r="AL1170">
        <f t="shared" si="286"/>
        <v>0.4375</v>
      </c>
      <c r="AN1170" t="s">
        <v>2857</v>
      </c>
      <c r="AO1170">
        <v>0.15</v>
      </c>
      <c r="AP1170">
        <v>75.77</v>
      </c>
      <c r="AR1170" t="str" cm="1">
        <f t="array" ref="AR1170:AS1170">_xlfn.TEXTSPLIT(AN1170," ")</f>
        <v>26.10.2023</v>
      </c>
      <c r="AS1170" t="str">
        <v>19:30:08</v>
      </c>
      <c r="AT1170">
        <f t="shared" si="299"/>
        <v>19.450000000000177</v>
      </c>
      <c r="AU1170">
        <f t="shared" si="294"/>
        <v>14.459999999999994</v>
      </c>
      <c r="AV1170">
        <f t="shared" si="295"/>
        <v>0.15</v>
      </c>
      <c r="AW1170">
        <f t="shared" si="287"/>
        <v>0.61499999999999999</v>
      </c>
    </row>
    <row r="1171" spans="1:49" x14ac:dyDescent="0.25">
      <c r="A1171" t="s">
        <v>2858</v>
      </c>
      <c r="B1171">
        <v>0.45</v>
      </c>
      <c r="C1171">
        <v>26.6</v>
      </c>
      <c r="E1171" t="s">
        <v>2858</v>
      </c>
      <c r="F1171">
        <v>0.9</v>
      </c>
      <c r="G1171">
        <v>99.21</v>
      </c>
      <c r="I1171" t="str" cm="1">
        <f t="array" ref="I1171:J1171">_xlfn.TEXTSPLIT(A1171," ")</f>
        <v>27.10.2023</v>
      </c>
      <c r="J1171" t="str">
        <v>19:30:56</v>
      </c>
      <c r="K1171">
        <f t="shared" si="296"/>
        <v>19.466666666666843</v>
      </c>
      <c r="L1171">
        <f t="shared" si="289"/>
        <v>12.280000000000001</v>
      </c>
      <c r="M1171">
        <f t="shared" si="290"/>
        <v>0.45</v>
      </c>
      <c r="N1171">
        <f t="shared" si="284"/>
        <v>0.64000000000000024</v>
      </c>
      <c r="Q1171" t="str" cm="1">
        <f t="array" ref="Q1171:R1171">_xlfn.TEXTSPLIT(E1171," ")</f>
        <v>27.10.2023</v>
      </c>
      <c r="R1171" t="str">
        <v>19:30:56</v>
      </c>
      <c r="S1171">
        <f t="shared" si="297"/>
        <v>19.466666666666843</v>
      </c>
      <c r="T1171">
        <f t="shared" si="288"/>
        <v>20.61</v>
      </c>
      <c r="U1171">
        <f t="shared" si="291"/>
        <v>0.9</v>
      </c>
      <c r="V1171">
        <f t="shared" si="285"/>
        <v>1.2100000000000006</v>
      </c>
      <c r="AC1171" t="s">
        <v>2859</v>
      </c>
      <c r="AD1171">
        <v>0</v>
      </c>
      <c r="AE1171">
        <v>12.55</v>
      </c>
      <c r="AG1171" t="str" cm="1">
        <f t="array" ref="AG1171:AH1171">_xlfn.TEXTSPLIT(AC1172," ")</f>
        <v>26.10.2023</v>
      </c>
      <c r="AH1171" t="str">
        <v>19:32:08</v>
      </c>
      <c r="AI1171">
        <f t="shared" si="298"/>
        <v>19.466666666666843</v>
      </c>
      <c r="AJ1171">
        <f t="shared" si="292"/>
        <v>8.02</v>
      </c>
      <c r="AK1171">
        <f t="shared" si="293"/>
        <v>0</v>
      </c>
      <c r="AL1171">
        <f t="shared" si="286"/>
        <v>0.4375</v>
      </c>
      <c r="AN1171" t="s">
        <v>2859</v>
      </c>
      <c r="AO1171">
        <v>0.3</v>
      </c>
      <c r="AP1171">
        <v>75.78</v>
      </c>
      <c r="AR1171" t="str" cm="1">
        <f t="array" ref="AR1171:AS1171">_xlfn.TEXTSPLIT(AN1171," ")</f>
        <v>26.10.2023</v>
      </c>
      <c r="AS1171" t="str">
        <v>19:31:08</v>
      </c>
      <c r="AT1171">
        <f t="shared" si="299"/>
        <v>19.466666666666843</v>
      </c>
      <c r="AU1171">
        <f t="shared" si="294"/>
        <v>14.469999999999999</v>
      </c>
      <c r="AV1171">
        <f t="shared" si="295"/>
        <v>0.3</v>
      </c>
      <c r="AW1171">
        <f t="shared" si="287"/>
        <v>0.61499999999999999</v>
      </c>
    </row>
    <row r="1172" spans="1:49" x14ac:dyDescent="0.25">
      <c r="A1172" t="s">
        <v>2860</v>
      </c>
      <c r="B1172">
        <v>0.45</v>
      </c>
      <c r="C1172">
        <v>26.61</v>
      </c>
      <c r="E1172" t="s">
        <v>2860</v>
      </c>
      <c r="F1172">
        <v>0.75</v>
      </c>
      <c r="G1172">
        <v>99.22</v>
      </c>
      <c r="I1172" t="str" cm="1">
        <f t="array" ref="I1172:J1172">_xlfn.TEXTSPLIT(A1172," ")</f>
        <v>27.10.2023</v>
      </c>
      <c r="J1172" t="str">
        <v>19:31:56</v>
      </c>
      <c r="K1172">
        <f t="shared" si="296"/>
        <v>19.483333333333508</v>
      </c>
      <c r="L1172">
        <f t="shared" si="289"/>
        <v>12.29</v>
      </c>
      <c r="M1172">
        <f t="shared" si="290"/>
        <v>0.45</v>
      </c>
      <c r="N1172">
        <f t="shared" si="284"/>
        <v>0.63750000000000029</v>
      </c>
      <c r="Q1172" t="str" cm="1">
        <f t="array" ref="Q1172:R1172">_xlfn.TEXTSPLIT(E1172," ")</f>
        <v>27.10.2023</v>
      </c>
      <c r="R1172" t="str">
        <v>19:31:56</v>
      </c>
      <c r="S1172">
        <f t="shared" si="297"/>
        <v>19.483333333333508</v>
      </c>
      <c r="T1172">
        <f t="shared" si="288"/>
        <v>20.620000000000005</v>
      </c>
      <c r="U1172">
        <f t="shared" si="291"/>
        <v>0.75</v>
      </c>
      <c r="V1172">
        <f t="shared" si="285"/>
        <v>1.2075000000000005</v>
      </c>
      <c r="AC1172" t="s">
        <v>2861</v>
      </c>
      <c r="AD1172">
        <v>0</v>
      </c>
      <c r="AE1172">
        <v>12.55</v>
      </c>
      <c r="AG1172" t="str" cm="1">
        <f t="array" ref="AG1172:AH1172">_xlfn.TEXTSPLIT(AC1173," ")</f>
        <v>26.10.2023</v>
      </c>
      <c r="AH1172" t="str">
        <v>19:33:08</v>
      </c>
      <c r="AI1172">
        <f t="shared" si="298"/>
        <v>19.483333333333508</v>
      </c>
      <c r="AJ1172">
        <f t="shared" si="292"/>
        <v>8.02</v>
      </c>
      <c r="AK1172">
        <f t="shared" si="293"/>
        <v>0</v>
      </c>
      <c r="AL1172">
        <f t="shared" si="286"/>
        <v>0.4375</v>
      </c>
      <c r="AN1172" t="s">
        <v>2861</v>
      </c>
      <c r="AO1172">
        <v>0.3</v>
      </c>
      <c r="AP1172">
        <v>75.78</v>
      </c>
      <c r="AR1172" t="str" cm="1">
        <f t="array" ref="AR1172:AS1172">_xlfn.TEXTSPLIT(AN1172," ")</f>
        <v>26.10.2023</v>
      </c>
      <c r="AS1172" t="str">
        <v>19:32:08</v>
      </c>
      <c r="AT1172">
        <f t="shared" si="299"/>
        <v>19.483333333333508</v>
      </c>
      <c r="AU1172">
        <f t="shared" si="294"/>
        <v>14.469999999999999</v>
      </c>
      <c r="AV1172">
        <f t="shared" si="295"/>
        <v>0.3</v>
      </c>
      <c r="AW1172">
        <f t="shared" si="287"/>
        <v>0.61499999999999988</v>
      </c>
    </row>
    <row r="1173" spans="1:49" x14ac:dyDescent="0.25">
      <c r="A1173" t="s">
        <v>2862</v>
      </c>
      <c r="B1173">
        <v>0.75</v>
      </c>
      <c r="C1173">
        <v>26.62</v>
      </c>
      <c r="E1173" t="s">
        <v>2862</v>
      </c>
      <c r="F1173">
        <v>1.05</v>
      </c>
      <c r="G1173">
        <v>99.24</v>
      </c>
      <c r="I1173" t="str" cm="1">
        <f t="array" ref="I1173:J1173">_xlfn.TEXTSPLIT(A1173," ")</f>
        <v>27.10.2023</v>
      </c>
      <c r="J1173" t="str">
        <v>19:32:56</v>
      </c>
      <c r="K1173">
        <f t="shared" si="296"/>
        <v>19.500000000000174</v>
      </c>
      <c r="L1173">
        <f t="shared" si="289"/>
        <v>12.3</v>
      </c>
      <c r="M1173">
        <f t="shared" si="290"/>
        <v>0.75</v>
      </c>
      <c r="N1173">
        <f t="shared" si="284"/>
        <v>0.64250000000000029</v>
      </c>
      <c r="Q1173" t="str" cm="1">
        <f t="array" ref="Q1173:R1173">_xlfn.TEXTSPLIT(E1173," ")</f>
        <v>27.10.2023</v>
      </c>
      <c r="R1173" t="str">
        <v>19:32:56</v>
      </c>
      <c r="S1173">
        <f t="shared" si="297"/>
        <v>19.500000000000174</v>
      </c>
      <c r="T1173">
        <f t="shared" si="288"/>
        <v>20.64</v>
      </c>
      <c r="U1173">
        <f t="shared" si="291"/>
        <v>1.05</v>
      </c>
      <c r="V1173">
        <f t="shared" si="285"/>
        <v>1.2050000000000003</v>
      </c>
      <c r="AC1173" t="s">
        <v>2863</v>
      </c>
      <c r="AD1173">
        <v>0</v>
      </c>
      <c r="AE1173">
        <v>12.55</v>
      </c>
      <c r="AG1173" t="str" cm="1">
        <f t="array" ref="AG1173:AH1173">_xlfn.TEXTSPLIT(AC1174," ")</f>
        <v>26.10.2023</v>
      </c>
      <c r="AH1173" t="str">
        <v>19:34:08</v>
      </c>
      <c r="AI1173">
        <f t="shared" si="298"/>
        <v>19.500000000000174</v>
      </c>
      <c r="AJ1173">
        <f t="shared" si="292"/>
        <v>8.02</v>
      </c>
      <c r="AK1173">
        <f t="shared" si="293"/>
        <v>0</v>
      </c>
      <c r="AL1173">
        <f t="shared" si="286"/>
        <v>0.4375</v>
      </c>
      <c r="AN1173" t="s">
        <v>2863</v>
      </c>
      <c r="AO1173">
        <v>0.3</v>
      </c>
      <c r="AP1173">
        <v>75.790000000000006</v>
      </c>
      <c r="AR1173" t="str" cm="1">
        <f t="array" ref="AR1173:AS1173">_xlfn.TEXTSPLIT(AN1173," ")</f>
        <v>26.10.2023</v>
      </c>
      <c r="AS1173" t="str">
        <v>19:33:08</v>
      </c>
      <c r="AT1173">
        <f t="shared" si="299"/>
        <v>19.500000000000174</v>
      </c>
      <c r="AU1173">
        <f t="shared" si="294"/>
        <v>14.480000000000004</v>
      </c>
      <c r="AV1173">
        <f t="shared" si="295"/>
        <v>0.3</v>
      </c>
      <c r="AW1173">
        <f t="shared" si="287"/>
        <v>0.61249999999999993</v>
      </c>
    </row>
    <row r="1174" spans="1:49" x14ac:dyDescent="0.25">
      <c r="A1174" t="s">
        <v>2864</v>
      </c>
      <c r="B1174">
        <v>0.45</v>
      </c>
      <c r="C1174">
        <v>26.63</v>
      </c>
      <c r="E1174" t="s">
        <v>2864</v>
      </c>
      <c r="F1174">
        <v>1.05</v>
      </c>
      <c r="G1174">
        <v>99.26</v>
      </c>
      <c r="I1174" t="str" cm="1">
        <f t="array" ref="I1174:J1174">_xlfn.TEXTSPLIT(A1174," ")</f>
        <v>27.10.2023</v>
      </c>
      <c r="J1174" t="str">
        <v>19:33:56</v>
      </c>
      <c r="K1174">
        <f t="shared" si="296"/>
        <v>19.51666666666684</v>
      </c>
      <c r="L1174">
        <f t="shared" si="289"/>
        <v>12.309999999999999</v>
      </c>
      <c r="M1174">
        <f t="shared" si="290"/>
        <v>0.45</v>
      </c>
      <c r="N1174">
        <f t="shared" si="284"/>
        <v>0.64250000000000018</v>
      </c>
      <c r="Q1174" t="str" cm="1">
        <f t="array" ref="Q1174:R1174">_xlfn.TEXTSPLIT(E1174," ")</f>
        <v>27.10.2023</v>
      </c>
      <c r="R1174" t="str">
        <v>19:33:56</v>
      </c>
      <c r="S1174">
        <f t="shared" si="297"/>
        <v>19.51666666666684</v>
      </c>
      <c r="T1174">
        <f t="shared" si="288"/>
        <v>20.660000000000011</v>
      </c>
      <c r="U1174">
        <f t="shared" si="291"/>
        <v>1.05</v>
      </c>
      <c r="V1174">
        <f t="shared" si="285"/>
        <v>1.1975000000000002</v>
      </c>
      <c r="AC1174" t="s">
        <v>2865</v>
      </c>
      <c r="AD1174">
        <v>0</v>
      </c>
      <c r="AE1174">
        <v>12.55</v>
      </c>
      <c r="AG1174" t="str" cm="1">
        <f t="array" ref="AG1174:AH1174">_xlfn.TEXTSPLIT(AC1175," ")</f>
        <v>26.10.2023</v>
      </c>
      <c r="AH1174" t="str">
        <v>19:35:08</v>
      </c>
      <c r="AI1174">
        <f t="shared" si="298"/>
        <v>19.51666666666684</v>
      </c>
      <c r="AJ1174">
        <f t="shared" si="292"/>
        <v>8.02</v>
      </c>
      <c r="AK1174">
        <f t="shared" si="293"/>
        <v>0</v>
      </c>
      <c r="AL1174">
        <f t="shared" si="286"/>
        <v>0.4375</v>
      </c>
      <c r="AN1174" t="s">
        <v>2865</v>
      </c>
      <c r="AO1174">
        <v>0.3</v>
      </c>
      <c r="AP1174">
        <v>75.790000000000006</v>
      </c>
      <c r="AR1174" t="str" cm="1">
        <f t="array" ref="AR1174:AS1174">_xlfn.TEXTSPLIT(AN1174," ")</f>
        <v>26.10.2023</v>
      </c>
      <c r="AS1174" t="str">
        <v>19:34:08</v>
      </c>
      <c r="AT1174">
        <f t="shared" si="299"/>
        <v>19.51666666666684</v>
      </c>
      <c r="AU1174">
        <f t="shared" si="294"/>
        <v>14.480000000000004</v>
      </c>
      <c r="AV1174">
        <f t="shared" si="295"/>
        <v>0.3</v>
      </c>
      <c r="AW1174">
        <f t="shared" si="287"/>
        <v>0.61249999999999993</v>
      </c>
    </row>
    <row r="1175" spans="1:49" x14ac:dyDescent="0.25">
      <c r="A1175" t="s">
        <v>2866</v>
      </c>
      <c r="B1175">
        <v>0.3</v>
      </c>
      <c r="C1175">
        <v>26.64</v>
      </c>
      <c r="E1175" t="s">
        <v>2866</v>
      </c>
      <c r="F1175">
        <v>1.05</v>
      </c>
      <c r="G1175">
        <v>99.28</v>
      </c>
      <c r="I1175" t="str" cm="1">
        <f t="array" ref="I1175:J1175">_xlfn.TEXTSPLIT(A1175," ")</f>
        <v>27.10.2023</v>
      </c>
      <c r="J1175" t="str">
        <v>19:34:56</v>
      </c>
      <c r="K1175">
        <f t="shared" si="296"/>
        <v>19.533333333333506</v>
      </c>
      <c r="L1175">
        <f t="shared" si="289"/>
        <v>12.32</v>
      </c>
      <c r="M1175">
        <f t="shared" si="290"/>
        <v>0.3</v>
      </c>
      <c r="N1175">
        <f t="shared" si="284"/>
        <v>0.63500000000000012</v>
      </c>
      <c r="Q1175" t="str" cm="1">
        <f t="array" ref="Q1175:R1175">_xlfn.TEXTSPLIT(E1175," ")</f>
        <v>27.10.2023</v>
      </c>
      <c r="R1175" t="str">
        <v>19:34:56</v>
      </c>
      <c r="S1175">
        <f t="shared" si="297"/>
        <v>19.533333333333506</v>
      </c>
      <c r="T1175">
        <f t="shared" si="288"/>
        <v>20.680000000000007</v>
      </c>
      <c r="U1175">
        <f t="shared" si="291"/>
        <v>1.05</v>
      </c>
      <c r="V1175">
        <f t="shared" si="285"/>
        <v>1.1975</v>
      </c>
      <c r="AC1175" t="s">
        <v>2867</v>
      </c>
      <c r="AD1175">
        <v>0.15</v>
      </c>
      <c r="AE1175">
        <v>12.55</v>
      </c>
      <c r="AG1175" t="str" cm="1">
        <f t="array" ref="AG1175:AH1175">_xlfn.TEXTSPLIT(AC1176," ")</f>
        <v>26.10.2023</v>
      </c>
      <c r="AH1175" t="str">
        <v>19:36:08</v>
      </c>
      <c r="AI1175">
        <f t="shared" si="298"/>
        <v>19.533333333333506</v>
      </c>
      <c r="AJ1175">
        <f t="shared" si="292"/>
        <v>8.02</v>
      </c>
      <c r="AK1175">
        <f t="shared" si="293"/>
        <v>0.15</v>
      </c>
      <c r="AL1175">
        <f t="shared" si="286"/>
        <v>0.42749999999999999</v>
      </c>
      <c r="AN1175" t="s">
        <v>2867</v>
      </c>
      <c r="AO1175">
        <v>0.45</v>
      </c>
      <c r="AP1175">
        <v>75.8</v>
      </c>
      <c r="AR1175" t="str" cm="1">
        <f t="array" ref="AR1175:AS1175">_xlfn.TEXTSPLIT(AN1175," ")</f>
        <v>26.10.2023</v>
      </c>
      <c r="AS1175" t="str">
        <v>19:35:08</v>
      </c>
      <c r="AT1175">
        <f t="shared" si="299"/>
        <v>19.533333333333506</v>
      </c>
      <c r="AU1175">
        <f t="shared" si="294"/>
        <v>14.489999999999995</v>
      </c>
      <c r="AV1175">
        <f t="shared" si="295"/>
        <v>0.45</v>
      </c>
      <c r="AW1175">
        <f t="shared" si="287"/>
        <v>0.61249999999999993</v>
      </c>
    </row>
    <row r="1176" spans="1:49" x14ac:dyDescent="0.25">
      <c r="A1176" t="s">
        <v>2868</v>
      </c>
      <c r="B1176">
        <v>0.45</v>
      </c>
      <c r="C1176">
        <v>26.64</v>
      </c>
      <c r="E1176" t="s">
        <v>2868</v>
      </c>
      <c r="F1176">
        <v>1.35</v>
      </c>
      <c r="G1176">
        <v>99.31</v>
      </c>
      <c r="I1176" t="str" cm="1">
        <f t="array" ref="I1176:J1176">_xlfn.TEXTSPLIT(A1176," ")</f>
        <v>27.10.2023</v>
      </c>
      <c r="J1176" t="str">
        <v>19:35:56</v>
      </c>
      <c r="K1176">
        <f t="shared" si="296"/>
        <v>19.550000000000171</v>
      </c>
      <c r="L1176">
        <f t="shared" si="289"/>
        <v>12.32</v>
      </c>
      <c r="M1176">
        <f t="shared" si="290"/>
        <v>0.45</v>
      </c>
      <c r="N1176">
        <f t="shared" si="284"/>
        <v>0.63750000000000029</v>
      </c>
      <c r="Q1176" t="str" cm="1">
        <f t="array" ref="Q1176:R1176">_xlfn.TEXTSPLIT(E1176," ")</f>
        <v>27.10.2023</v>
      </c>
      <c r="R1176" t="str">
        <v>19:35:56</v>
      </c>
      <c r="S1176">
        <f t="shared" si="297"/>
        <v>19.550000000000171</v>
      </c>
      <c r="T1176">
        <f t="shared" si="288"/>
        <v>20.710000000000008</v>
      </c>
      <c r="U1176">
        <f t="shared" si="291"/>
        <v>1.35</v>
      </c>
      <c r="V1176">
        <f t="shared" si="285"/>
        <v>1.2074999999999998</v>
      </c>
      <c r="AC1176" t="s">
        <v>2869</v>
      </c>
      <c r="AD1176">
        <v>0.15</v>
      </c>
      <c r="AE1176">
        <v>12.55</v>
      </c>
      <c r="AG1176" t="str" cm="1">
        <f t="array" ref="AG1176:AH1176">_xlfn.TEXTSPLIT(AC1177," ")</f>
        <v>26.10.2023</v>
      </c>
      <c r="AH1176" t="str">
        <v>19:37:08</v>
      </c>
      <c r="AI1176">
        <f t="shared" si="298"/>
        <v>19.550000000000171</v>
      </c>
      <c r="AJ1176">
        <f t="shared" si="292"/>
        <v>8.02</v>
      </c>
      <c r="AK1176">
        <f t="shared" si="293"/>
        <v>0.15</v>
      </c>
      <c r="AL1176">
        <f t="shared" si="286"/>
        <v>0.42499999999999988</v>
      </c>
      <c r="AN1176" t="s">
        <v>2869</v>
      </c>
      <c r="AO1176">
        <v>0.45</v>
      </c>
      <c r="AP1176">
        <v>75.81</v>
      </c>
      <c r="AR1176" t="str" cm="1">
        <f t="array" ref="AR1176:AS1176">_xlfn.TEXTSPLIT(AN1176," ")</f>
        <v>26.10.2023</v>
      </c>
      <c r="AS1176" t="str">
        <v>19:36:08</v>
      </c>
      <c r="AT1176">
        <f t="shared" si="299"/>
        <v>19.550000000000171</v>
      </c>
      <c r="AU1176">
        <f t="shared" si="294"/>
        <v>14.5</v>
      </c>
      <c r="AV1176">
        <f t="shared" si="295"/>
        <v>0.45</v>
      </c>
      <c r="AW1176">
        <f t="shared" si="287"/>
        <v>0.61250000000000004</v>
      </c>
    </row>
    <row r="1177" spans="1:49" x14ac:dyDescent="0.25">
      <c r="A1177" t="s">
        <v>2870</v>
      </c>
      <c r="B1177">
        <v>0.45</v>
      </c>
      <c r="C1177">
        <v>26.65</v>
      </c>
      <c r="E1177" t="s">
        <v>2870</v>
      </c>
      <c r="F1177">
        <v>1.65</v>
      </c>
      <c r="G1177">
        <v>99.35</v>
      </c>
      <c r="I1177" t="str" cm="1">
        <f t="array" ref="I1177:J1177">_xlfn.TEXTSPLIT(A1177," ")</f>
        <v>27.10.2023</v>
      </c>
      <c r="J1177" t="str">
        <v>19:36:56</v>
      </c>
      <c r="K1177">
        <f t="shared" si="296"/>
        <v>19.566666666666837</v>
      </c>
      <c r="L1177">
        <f t="shared" si="289"/>
        <v>12.329999999999998</v>
      </c>
      <c r="M1177">
        <f t="shared" si="290"/>
        <v>0.45</v>
      </c>
      <c r="N1177">
        <f t="shared" si="284"/>
        <v>0.6325000000000004</v>
      </c>
      <c r="Q1177" t="str" cm="1">
        <f t="array" ref="Q1177:R1177">_xlfn.TEXTSPLIT(E1177," ")</f>
        <v>27.10.2023</v>
      </c>
      <c r="R1177" t="str">
        <v>19:36:56</v>
      </c>
      <c r="S1177">
        <f t="shared" si="297"/>
        <v>19.566666666666837</v>
      </c>
      <c r="T1177">
        <f t="shared" si="288"/>
        <v>20.75</v>
      </c>
      <c r="U1177">
        <f t="shared" si="291"/>
        <v>1.65</v>
      </c>
      <c r="V1177">
        <f t="shared" si="285"/>
        <v>1.21</v>
      </c>
      <c r="AC1177" t="s">
        <v>2871</v>
      </c>
      <c r="AD1177">
        <v>0.15</v>
      </c>
      <c r="AE1177">
        <v>12.55</v>
      </c>
      <c r="AG1177" t="str" cm="1">
        <f t="array" ref="AG1177:AH1177">_xlfn.TEXTSPLIT(AC1178," ")</f>
        <v>26.10.2023</v>
      </c>
      <c r="AH1177" t="str">
        <v>19:38:08</v>
      </c>
      <c r="AI1177">
        <f t="shared" si="298"/>
        <v>19.566666666666837</v>
      </c>
      <c r="AJ1177">
        <f t="shared" si="292"/>
        <v>8.02</v>
      </c>
      <c r="AK1177">
        <f t="shared" si="293"/>
        <v>0.15</v>
      </c>
      <c r="AL1177">
        <f t="shared" si="286"/>
        <v>0.41999999999999993</v>
      </c>
      <c r="AN1177" t="s">
        <v>2871</v>
      </c>
      <c r="AO1177">
        <v>1.2</v>
      </c>
      <c r="AP1177">
        <v>75.83</v>
      </c>
      <c r="AR1177" t="str" cm="1">
        <f t="array" ref="AR1177:AS1177">_xlfn.TEXTSPLIT(AN1177," ")</f>
        <v>26.10.2023</v>
      </c>
      <c r="AS1177" t="str">
        <v>19:37:08</v>
      </c>
      <c r="AT1177">
        <f t="shared" si="299"/>
        <v>19.566666666666837</v>
      </c>
      <c r="AU1177">
        <f t="shared" si="294"/>
        <v>14.519999999999996</v>
      </c>
      <c r="AV1177">
        <f t="shared" si="295"/>
        <v>1.2</v>
      </c>
      <c r="AW1177">
        <f t="shared" si="287"/>
        <v>0.61250000000000004</v>
      </c>
    </row>
    <row r="1178" spans="1:49" x14ac:dyDescent="0.25">
      <c r="A1178" t="s">
        <v>2872</v>
      </c>
      <c r="B1178">
        <v>0.6</v>
      </c>
      <c r="C1178">
        <v>26.69</v>
      </c>
      <c r="E1178" t="s">
        <v>2872</v>
      </c>
      <c r="F1178">
        <v>2.7</v>
      </c>
      <c r="G1178">
        <v>99.4</v>
      </c>
      <c r="I1178" t="str" cm="1">
        <f t="array" ref="I1178:J1178">_xlfn.TEXTSPLIT(A1178," ")</f>
        <v>27.10.2023</v>
      </c>
      <c r="J1178" t="str">
        <v>19:37:56</v>
      </c>
      <c r="K1178">
        <f t="shared" si="296"/>
        <v>19.583333333333503</v>
      </c>
      <c r="L1178">
        <f t="shared" si="289"/>
        <v>12.370000000000001</v>
      </c>
      <c r="M1178">
        <f t="shared" si="290"/>
        <v>0.6</v>
      </c>
      <c r="N1178">
        <f t="shared" si="284"/>
        <v>0.63500000000000034</v>
      </c>
      <c r="Q1178" t="str" cm="1">
        <f t="array" ref="Q1178:R1178">_xlfn.TEXTSPLIT(E1178," ")</f>
        <v>27.10.2023</v>
      </c>
      <c r="R1178" t="str">
        <v>19:37:56</v>
      </c>
      <c r="S1178">
        <f t="shared" si="297"/>
        <v>19.583333333333503</v>
      </c>
      <c r="T1178">
        <f t="shared" si="288"/>
        <v>20.800000000000011</v>
      </c>
      <c r="U1178">
        <f t="shared" si="291"/>
        <v>2.7</v>
      </c>
      <c r="V1178">
        <f t="shared" si="285"/>
        <v>1.1949999999999998</v>
      </c>
      <c r="AC1178" t="s">
        <v>2873</v>
      </c>
      <c r="AD1178">
        <v>0.9</v>
      </c>
      <c r="AE1178">
        <v>12.57</v>
      </c>
      <c r="AG1178" t="str" cm="1">
        <f t="array" ref="AG1178:AH1178">_xlfn.TEXTSPLIT(AC1179," ")</f>
        <v>26.10.2023</v>
      </c>
      <c r="AH1178" t="str">
        <v>19:39:09</v>
      </c>
      <c r="AI1178">
        <f t="shared" si="298"/>
        <v>19.583333333333503</v>
      </c>
      <c r="AJ1178">
        <f t="shared" si="292"/>
        <v>8.0399999999999991</v>
      </c>
      <c r="AK1178">
        <f t="shared" si="293"/>
        <v>0.9</v>
      </c>
      <c r="AL1178">
        <f t="shared" si="286"/>
        <v>0.41999999999999993</v>
      </c>
      <c r="AN1178" t="s">
        <v>2873</v>
      </c>
      <c r="AO1178">
        <v>2.85</v>
      </c>
      <c r="AP1178">
        <v>75.88</v>
      </c>
      <c r="AR1178" t="str" cm="1">
        <f t="array" ref="AR1178:AS1178">_xlfn.TEXTSPLIT(AN1178," ")</f>
        <v>26.10.2023</v>
      </c>
      <c r="AS1178" t="str">
        <v>19:38:08</v>
      </c>
      <c r="AT1178">
        <f t="shared" si="299"/>
        <v>19.583333333333503</v>
      </c>
      <c r="AU1178">
        <f t="shared" si="294"/>
        <v>14.569999999999993</v>
      </c>
      <c r="AV1178">
        <f t="shared" si="295"/>
        <v>2.85</v>
      </c>
      <c r="AW1178">
        <f t="shared" si="287"/>
        <v>0.62</v>
      </c>
    </row>
    <row r="1179" spans="1:49" x14ac:dyDescent="0.25">
      <c r="A1179" t="s">
        <v>2874</v>
      </c>
      <c r="B1179">
        <v>2.85</v>
      </c>
      <c r="C1179">
        <v>26.73</v>
      </c>
      <c r="E1179" t="s">
        <v>2874</v>
      </c>
      <c r="F1179">
        <v>3</v>
      </c>
      <c r="G1179">
        <v>99.43</v>
      </c>
      <c r="I1179" t="str" cm="1">
        <f t="array" ref="I1179:J1179">_xlfn.TEXTSPLIT(A1179," ")</f>
        <v>27.10.2023</v>
      </c>
      <c r="J1179" t="str">
        <v>19:38:57</v>
      </c>
      <c r="K1179">
        <f t="shared" si="296"/>
        <v>19.600000000000168</v>
      </c>
      <c r="L1179">
        <f t="shared" si="289"/>
        <v>12.41</v>
      </c>
      <c r="M1179">
        <f t="shared" si="290"/>
        <v>2.85</v>
      </c>
      <c r="N1179">
        <f t="shared" si="284"/>
        <v>0.64000000000000035</v>
      </c>
      <c r="Q1179" t="str" cm="1">
        <f t="array" ref="Q1179:R1179">_xlfn.TEXTSPLIT(E1179," ")</f>
        <v>27.10.2023</v>
      </c>
      <c r="R1179" t="str">
        <v>19:38:57</v>
      </c>
      <c r="S1179">
        <f t="shared" si="297"/>
        <v>19.600000000000168</v>
      </c>
      <c r="T1179">
        <f t="shared" si="288"/>
        <v>20.830000000000013</v>
      </c>
      <c r="U1179">
        <f t="shared" si="291"/>
        <v>3</v>
      </c>
      <c r="V1179">
        <f t="shared" si="285"/>
        <v>1.1999999999999997</v>
      </c>
      <c r="AC1179" t="s">
        <v>2875</v>
      </c>
      <c r="AD1179">
        <v>2.1</v>
      </c>
      <c r="AE1179">
        <v>12.61</v>
      </c>
      <c r="AG1179" t="str" cm="1">
        <f t="array" ref="AG1179:AH1179">_xlfn.TEXTSPLIT(AC1180," ")</f>
        <v>26.10.2023</v>
      </c>
      <c r="AH1179" t="str">
        <v>19:40:09</v>
      </c>
      <c r="AI1179">
        <f t="shared" si="298"/>
        <v>19.600000000000168</v>
      </c>
      <c r="AJ1179">
        <f t="shared" si="292"/>
        <v>8.0799999999999983</v>
      </c>
      <c r="AK1179">
        <f t="shared" si="293"/>
        <v>2.1</v>
      </c>
      <c r="AL1179">
        <f t="shared" si="286"/>
        <v>0.42499999999999988</v>
      </c>
      <c r="AN1179" t="s">
        <v>2875</v>
      </c>
      <c r="AO1179">
        <v>1.5</v>
      </c>
      <c r="AP1179">
        <v>75.900000000000006</v>
      </c>
      <c r="AR1179" t="str" cm="1">
        <f t="array" ref="AR1179:AS1179">_xlfn.TEXTSPLIT(AN1179," ")</f>
        <v>26.10.2023</v>
      </c>
      <c r="AS1179" t="str">
        <v>19:39:09</v>
      </c>
      <c r="AT1179">
        <f t="shared" si="299"/>
        <v>19.600000000000168</v>
      </c>
      <c r="AU1179">
        <f t="shared" si="294"/>
        <v>14.590000000000003</v>
      </c>
      <c r="AV1179">
        <f t="shared" si="295"/>
        <v>1.5</v>
      </c>
      <c r="AW1179">
        <f t="shared" si="287"/>
        <v>0.62250000000000005</v>
      </c>
    </row>
    <row r="1180" spans="1:49" x14ac:dyDescent="0.25">
      <c r="A1180" t="s">
        <v>2876</v>
      </c>
      <c r="B1180">
        <v>2.25</v>
      </c>
      <c r="C1180">
        <v>26.75</v>
      </c>
      <c r="E1180" t="s">
        <v>2876</v>
      </c>
      <c r="F1180">
        <v>1.65</v>
      </c>
      <c r="G1180">
        <v>99.45</v>
      </c>
      <c r="I1180" t="str" cm="1">
        <f t="array" ref="I1180:J1180">_xlfn.TEXTSPLIT(A1180," ")</f>
        <v>27.10.2023</v>
      </c>
      <c r="J1180" t="str">
        <v>19:39:57</v>
      </c>
      <c r="K1180">
        <f t="shared" si="296"/>
        <v>19.616666666666834</v>
      </c>
      <c r="L1180">
        <f t="shared" si="289"/>
        <v>12.43</v>
      </c>
      <c r="M1180">
        <f t="shared" si="290"/>
        <v>2.25</v>
      </c>
      <c r="N1180">
        <f t="shared" si="284"/>
        <v>0.64000000000000012</v>
      </c>
      <c r="Q1180" t="str" cm="1">
        <f t="array" ref="Q1180:R1180">_xlfn.TEXTSPLIT(E1180," ")</f>
        <v>27.10.2023</v>
      </c>
      <c r="R1180" t="str">
        <v>19:39:57</v>
      </c>
      <c r="S1180">
        <f t="shared" si="297"/>
        <v>19.616666666666834</v>
      </c>
      <c r="T1180">
        <f t="shared" si="288"/>
        <v>20.850000000000009</v>
      </c>
      <c r="U1180">
        <f t="shared" si="291"/>
        <v>1.65</v>
      </c>
      <c r="V1180">
        <f t="shared" si="285"/>
        <v>1.1924999999999997</v>
      </c>
      <c r="AC1180" t="s">
        <v>2877</v>
      </c>
      <c r="AD1180">
        <v>2.4</v>
      </c>
      <c r="AE1180">
        <v>12.65</v>
      </c>
      <c r="AG1180" t="str" cm="1">
        <f t="array" ref="AG1180:AH1180">_xlfn.TEXTSPLIT(AC1181," ")</f>
        <v>26.10.2023</v>
      </c>
      <c r="AH1180" t="str">
        <v>19:41:09</v>
      </c>
      <c r="AI1180">
        <f t="shared" si="298"/>
        <v>19.616666666666834</v>
      </c>
      <c r="AJ1180">
        <f t="shared" si="292"/>
        <v>8.120000000000001</v>
      </c>
      <c r="AK1180">
        <f t="shared" si="293"/>
        <v>2.4</v>
      </c>
      <c r="AL1180">
        <f t="shared" si="286"/>
        <v>0.44249999999999984</v>
      </c>
      <c r="AN1180" t="s">
        <v>2877</v>
      </c>
      <c r="AO1180">
        <v>1.2</v>
      </c>
      <c r="AP1180">
        <v>75.92</v>
      </c>
      <c r="AR1180" t="str" cm="1">
        <f t="array" ref="AR1180:AS1180">_xlfn.TEXTSPLIT(AN1180," ")</f>
        <v>26.10.2023</v>
      </c>
      <c r="AS1180" t="str">
        <v>19:40:09</v>
      </c>
      <c r="AT1180">
        <f t="shared" si="299"/>
        <v>19.616666666666834</v>
      </c>
      <c r="AU1180">
        <f t="shared" si="294"/>
        <v>14.61</v>
      </c>
      <c r="AV1180">
        <f t="shared" si="295"/>
        <v>1.2</v>
      </c>
      <c r="AW1180">
        <f t="shared" si="287"/>
        <v>0.62249999999999994</v>
      </c>
    </row>
    <row r="1181" spans="1:49" x14ac:dyDescent="0.25">
      <c r="A1181" t="s">
        <v>2878</v>
      </c>
      <c r="B1181">
        <v>1.2</v>
      </c>
      <c r="C1181">
        <v>26.77</v>
      </c>
      <c r="E1181" t="s">
        <v>2878</v>
      </c>
      <c r="F1181">
        <v>1.05</v>
      </c>
      <c r="G1181">
        <v>99.47</v>
      </c>
      <c r="I1181" t="str" cm="1">
        <f t="array" ref="I1181:J1181">_xlfn.TEXTSPLIT(A1181," ")</f>
        <v>27.10.2023</v>
      </c>
      <c r="J1181" t="str">
        <v>19:40:57</v>
      </c>
      <c r="K1181">
        <f t="shared" si="296"/>
        <v>19.6333333333335</v>
      </c>
      <c r="L1181">
        <f t="shared" si="289"/>
        <v>12.45</v>
      </c>
      <c r="M1181">
        <f t="shared" si="290"/>
        <v>1.2</v>
      </c>
      <c r="N1181">
        <f t="shared" si="284"/>
        <v>0.63250000000000006</v>
      </c>
      <c r="Q1181" t="str" cm="1">
        <f t="array" ref="Q1181:R1181">_xlfn.TEXTSPLIT(E1181," ")</f>
        <v>27.10.2023</v>
      </c>
      <c r="R1181" t="str">
        <v>19:40:57</v>
      </c>
      <c r="S1181">
        <f t="shared" si="297"/>
        <v>19.6333333333335</v>
      </c>
      <c r="T1181">
        <f t="shared" si="288"/>
        <v>20.870000000000005</v>
      </c>
      <c r="U1181">
        <f t="shared" si="291"/>
        <v>1.05</v>
      </c>
      <c r="V1181">
        <f t="shared" si="285"/>
        <v>1.1724999999999997</v>
      </c>
      <c r="AC1181" t="s">
        <v>2879</v>
      </c>
      <c r="AD1181">
        <v>1.2</v>
      </c>
      <c r="AE1181">
        <v>12.66</v>
      </c>
      <c r="AG1181" t="str" cm="1">
        <f t="array" ref="AG1181:AH1181">_xlfn.TEXTSPLIT(AC1182," ")</f>
        <v>26.10.2023</v>
      </c>
      <c r="AH1181" t="str">
        <v>19:42:09</v>
      </c>
      <c r="AI1181">
        <f t="shared" si="298"/>
        <v>19.6333333333335</v>
      </c>
      <c r="AJ1181">
        <f t="shared" si="292"/>
        <v>8.129999999999999</v>
      </c>
      <c r="AK1181">
        <f t="shared" si="293"/>
        <v>1.2</v>
      </c>
      <c r="AL1181">
        <f t="shared" si="286"/>
        <v>0.43749999999999989</v>
      </c>
      <c r="AN1181" t="s">
        <v>2879</v>
      </c>
      <c r="AO1181">
        <v>1.2</v>
      </c>
      <c r="AP1181">
        <v>75.94</v>
      </c>
      <c r="AR1181" t="str" cm="1">
        <f t="array" ref="AR1181:AS1181">_xlfn.TEXTSPLIT(AN1181," ")</f>
        <v>26.10.2023</v>
      </c>
      <c r="AS1181" t="str">
        <v>19:41:09</v>
      </c>
      <c r="AT1181">
        <f t="shared" si="299"/>
        <v>19.6333333333335</v>
      </c>
      <c r="AU1181">
        <f t="shared" si="294"/>
        <v>14.629999999999995</v>
      </c>
      <c r="AV1181">
        <f t="shared" si="295"/>
        <v>1.2</v>
      </c>
      <c r="AW1181">
        <f t="shared" si="287"/>
        <v>0.625</v>
      </c>
    </row>
    <row r="1182" spans="1:49" x14ac:dyDescent="0.25">
      <c r="A1182" t="s">
        <v>2880</v>
      </c>
      <c r="B1182">
        <v>1.2</v>
      </c>
      <c r="C1182">
        <v>26.79</v>
      </c>
      <c r="E1182" t="s">
        <v>2880</v>
      </c>
      <c r="F1182">
        <v>1.05</v>
      </c>
      <c r="G1182">
        <v>99.49</v>
      </c>
      <c r="I1182" t="str" cm="1">
        <f t="array" ref="I1182:J1182">_xlfn.TEXTSPLIT(A1182," ")</f>
        <v>27.10.2023</v>
      </c>
      <c r="J1182" t="str">
        <v>19:41:57</v>
      </c>
      <c r="K1182">
        <f t="shared" si="296"/>
        <v>19.650000000000166</v>
      </c>
      <c r="L1182">
        <f t="shared" si="289"/>
        <v>12.469999999999999</v>
      </c>
      <c r="M1182">
        <f t="shared" si="290"/>
        <v>1.2</v>
      </c>
      <c r="N1182">
        <f t="shared" si="284"/>
        <v>0.63750000000000007</v>
      </c>
      <c r="Q1182" t="str" cm="1">
        <f t="array" ref="Q1182:R1182">_xlfn.TEXTSPLIT(E1182," ")</f>
        <v>27.10.2023</v>
      </c>
      <c r="R1182" t="str">
        <v>19:41:57</v>
      </c>
      <c r="S1182">
        <f t="shared" si="297"/>
        <v>19.650000000000166</v>
      </c>
      <c r="T1182">
        <f t="shared" si="288"/>
        <v>20.89</v>
      </c>
      <c r="U1182">
        <f t="shared" si="291"/>
        <v>1.05</v>
      </c>
      <c r="V1182">
        <f t="shared" si="285"/>
        <v>1.1574999999999998</v>
      </c>
      <c r="AC1182" t="s">
        <v>2881</v>
      </c>
      <c r="AD1182">
        <v>0.6</v>
      </c>
      <c r="AE1182">
        <v>12.67</v>
      </c>
      <c r="AG1182" t="str" cm="1">
        <f t="array" ref="AG1182:AH1182">_xlfn.TEXTSPLIT(AC1183," ")</f>
        <v>26.10.2023</v>
      </c>
      <c r="AH1182" t="str">
        <v>19:43:09</v>
      </c>
      <c r="AI1182">
        <f t="shared" si="298"/>
        <v>19.650000000000166</v>
      </c>
      <c r="AJ1182">
        <f t="shared" si="292"/>
        <v>8.14</v>
      </c>
      <c r="AK1182">
        <f t="shared" si="293"/>
        <v>0.6</v>
      </c>
      <c r="AL1182">
        <f t="shared" si="286"/>
        <v>0.43249999999999994</v>
      </c>
      <c r="AN1182" t="s">
        <v>2881</v>
      </c>
      <c r="AO1182">
        <v>1.2</v>
      </c>
      <c r="AP1182">
        <v>75.97</v>
      </c>
      <c r="AR1182" t="str" cm="1">
        <f t="array" ref="AR1182:AS1182">_xlfn.TEXTSPLIT(AN1182," ")</f>
        <v>26.10.2023</v>
      </c>
      <c r="AS1182" t="str">
        <v>19:42:09</v>
      </c>
      <c r="AT1182">
        <f t="shared" si="299"/>
        <v>19.650000000000166</v>
      </c>
      <c r="AU1182">
        <f t="shared" si="294"/>
        <v>14.659999999999997</v>
      </c>
      <c r="AV1182">
        <f t="shared" si="295"/>
        <v>1.2</v>
      </c>
      <c r="AW1182">
        <f t="shared" si="287"/>
        <v>0.62749999999999995</v>
      </c>
    </row>
    <row r="1183" spans="1:49" x14ac:dyDescent="0.25">
      <c r="A1183" t="s">
        <v>2882</v>
      </c>
      <c r="B1183">
        <v>0.9</v>
      </c>
      <c r="C1183">
        <v>26.81</v>
      </c>
      <c r="E1183" t="s">
        <v>2882</v>
      </c>
      <c r="F1183">
        <v>1.35</v>
      </c>
      <c r="G1183">
        <v>99.51</v>
      </c>
      <c r="I1183" t="str" cm="1">
        <f t="array" ref="I1183:J1183">_xlfn.TEXTSPLIT(A1183," ")</f>
        <v>27.10.2023</v>
      </c>
      <c r="J1183" t="str">
        <v>19:42:57</v>
      </c>
      <c r="K1183">
        <f t="shared" si="296"/>
        <v>19.666666666666831</v>
      </c>
      <c r="L1183">
        <f t="shared" si="289"/>
        <v>12.489999999999998</v>
      </c>
      <c r="M1183">
        <f t="shared" si="290"/>
        <v>0.9</v>
      </c>
      <c r="N1183">
        <f t="shared" si="284"/>
        <v>0.63500000000000012</v>
      </c>
      <c r="Q1183" t="str" cm="1">
        <f t="array" ref="Q1183:R1183">_xlfn.TEXTSPLIT(E1183," ")</f>
        <v>27.10.2023</v>
      </c>
      <c r="R1183" t="str">
        <v>19:42:57</v>
      </c>
      <c r="S1183">
        <f t="shared" si="297"/>
        <v>19.666666666666831</v>
      </c>
      <c r="T1183">
        <f t="shared" si="288"/>
        <v>20.910000000000011</v>
      </c>
      <c r="U1183">
        <f t="shared" si="291"/>
        <v>1.35</v>
      </c>
      <c r="V1183">
        <f t="shared" si="285"/>
        <v>1.1549999999999996</v>
      </c>
      <c r="AC1183" t="s">
        <v>2883</v>
      </c>
      <c r="AD1183">
        <v>0.6</v>
      </c>
      <c r="AE1183">
        <v>12.68</v>
      </c>
      <c r="AG1183" t="str" cm="1">
        <f t="array" ref="AG1183:AH1183">_xlfn.TEXTSPLIT(AC1184," ")</f>
        <v>26.10.2023</v>
      </c>
      <c r="AH1183" t="str">
        <v>19:44:09</v>
      </c>
      <c r="AI1183">
        <f t="shared" si="298"/>
        <v>19.666666666666831</v>
      </c>
      <c r="AJ1183">
        <f t="shared" si="292"/>
        <v>8.1499999999999986</v>
      </c>
      <c r="AK1183">
        <f t="shared" si="293"/>
        <v>0.6</v>
      </c>
      <c r="AL1183">
        <f t="shared" si="286"/>
        <v>0.43749999999999994</v>
      </c>
      <c r="AN1183" t="s">
        <v>2883</v>
      </c>
      <c r="AO1183">
        <v>1.2</v>
      </c>
      <c r="AP1183">
        <v>75.989999999999995</v>
      </c>
      <c r="AR1183" t="str" cm="1">
        <f t="array" ref="AR1183:AS1183">_xlfn.TEXTSPLIT(AN1183," ")</f>
        <v>26.10.2023</v>
      </c>
      <c r="AS1183" t="str">
        <v>19:43:09</v>
      </c>
      <c r="AT1183">
        <f t="shared" si="299"/>
        <v>19.666666666666831</v>
      </c>
      <c r="AU1183">
        <f t="shared" si="294"/>
        <v>14.679999999999993</v>
      </c>
      <c r="AV1183">
        <f t="shared" si="295"/>
        <v>1.2</v>
      </c>
      <c r="AW1183">
        <f t="shared" si="287"/>
        <v>0.63000000000000023</v>
      </c>
    </row>
    <row r="1184" spans="1:49" x14ac:dyDescent="0.25">
      <c r="A1184" t="s">
        <v>2884</v>
      </c>
      <c r="B1184">
        <v>0.9</v>
      </c>
      <c r="C1184">
        <v>26.82</v>
      </c>
      <c r="E1184" t="s">
        <v>2884</v>
      </c>
      <c r="F1184">
        <v>1.65</v>
      </c>
      <c r="G1184">
        <v>99.54</v>
      </c>
      <c r="I1184" t="str" cm="1">
        <f t="array" ref="I1184:J1184">_xlfn.TEXTSPLIT(A1184," ")</f>
        <v>27.10.2023</v>
      </c>
      <c r="J1184" t="str">
        <v>19:43:57</v>
      </c>
      <c r="K1184">
        <f t="shared" si="296"/>
        <v>19.683333333333497</v>
      </c>
      <c r="L1184">
        <f t="shared" si="289"/>
        <v>12.5</v>
      </c>
      <c r="M1184">
        <f t="shared" si="290"/>
        <v>0.9</v>
      </c>
      <c r="N1184">
        <f t="shared" si="284"/>
        <v>0.63750000000000007</v>
      </c>
      <c r="Q1184" t="str" cm="1">
        <f t="array" ref="Q1184:R1184">_xlfn.TEXTSPLIT(E1184," ")</f>
        <v>27.10.2023</v>
      </c>
      <c r="R1184" t="str">
        <v>19:43:57</v>
      </c>
      <c r="S1184">
        <f t="shared" si="297"/>
        <v>19.683333333333497</v>
      </c>
      <c r="T1184">
        <f t="shared" si="288"/>
        <v>20.940000000000012</v>
      </c>
      <c r="U1184">
        <f t="shared" si="291"/>
        <v>1.65</v>
      </c>
      <c r="V1184">
        <f t="shared" si="285"/>
        <v>1.1649999999999994</v>
      </c>
      <c r="AC1184" t="s">
        <v>2885</v>
      </c>
      <c r="AD1184">
        <v>0.75</v>
      </c>
      <c r="AE1184">
        <v>12.69</v>
      </c>
      <c r="AG1184" t="str" cm="1">
        <f t="array" ref="AG1184:AH1184">_xlfn.TEXTSPLIT(AC1185," ")</f>
        <v>26.10.2023</v>
      </c>
      <c r="AH1184" t="str">
        <v>19:45:09</v>
      </c>
      <c r="AI1184">
        <f t="shared" si="298"/>
        <v>19.683333333333497</v>
      </c>
      <c r="AJ1184">
        <f t="shared" si="292"/>
        <v>8.16</v>
      </c>
      <c r="AK1184">
        <f t="shared" si="293"/>
        <v>0.75</v>
      </c>
      <c r="AL1184">
        <f t="shared" si="286"/>
        <v>0.42749999999999994</v>
      </c>
      <c r="AN1184" t="s">
        <v>2885</v>
      </c>
      <c r="AO1184">
        <v>0.75</v>
      </c>
      <c r="AP1184">
        <v>76</v>
      </c>
      <c r="AR1184" t="str" cm="1">
        <f t="array" ref="AR1184:AS1184">_xlfn.TEXTSPLIT(AN1184," ")</f>
        <v>26.10.2023</v>
      </c>
      <c r="AS1184" t="str">
        <v>19:44:09</v>
      </c>
      <c r="AT1184">
        <f t="shared" si="299"/>
        <v>19.683333333333497</v>
      </c>
      <c r="AU1184">
        <f t="shared" si="294"/>
        <v>14.689999999999998</v>
      </c>
      <c r="AV1184">
        <f t="shared" si="295"/>
        <v>0.75</v>
      </c>
      <c r="AW1184">
        <f t="shared" si="287"/>
        <v>0.62500000000000011</v>
      </c>
    </row>
    <row r="1185" spans="1:49" x14ac:dyDescent="0.25">
      <c r="A1185" t="s">
        <v>2886</v>
      </c>
      <c r="B1185">
        <v>0.75</v>
      </c>
      <c r="C1185">
        <v>26.83</v>
      </c>
      <c r="E1185" t="s">
        <v>2886</v>
      </c>
      <c r="F1185">
        <v>1.2</v>
      </c>
      <c r="G1185">
        <v>99.55</v>
      </c>
      <c r="I1185" t="str" cm="1">
        <f t="array" ref="I1185:J1185">_xlfn.TEXTSPLIT(A1185," ")</f>
        <v>27.10.2023</v>
      </c>
      <c r="J1185" t="str">
        <v>19:44:57</v>
      </c>
      <c r="K1185">
        <f t="shared" si="296"/>
        <v>19.700000000000163</v>
      </c>
      <c r="L1185">
        <f t="shared" si="289"/>
        <v>12.509999999999998</v>
      </c>
      <c r="M1185">
        <f t="shared" si="290"/>
        <v>0.75</v>
      </c>
      <c r="N1185">
        <f t="shared" si="284"/>
        <v>0.64000000000000012</v>
      </c>
      <c r="Q1185" t="str" cm="1">
        <f t="array" ref="Q1185:R1185">_xlfn.TEXTSPLIT(E1185," ")</f>
        <v>27.10.2023</v>
      </c>
      <c r="R1185" t="str">
        <v>19:44:57</v>
      </c>
      <c r="S1185">
        <f t="shared" si="297"/>
        <v>19.700000000000163</v>
      </c>
      <c r="T1185">
        <f t="shared" si="288"/>
        <v>20.950000000000003</v>
      </c>
      <c r="U1185">
        <f t="shared" si="291"/>
        <v>1.2</v>
      </c>
      <c r="V1185">
        <f t="shared" si="285"/>
        <v>1.1599999999999997</v>
      </c>
      <c r="AC1185" t="s">
        <v>2887</v>
      </c>
      <c r="AD1185">
        <v>0.15</v>
      </c>
      <c r="AE1185">
        <v>12.69</v>
      </c>
      <c r="AG1185" t="str" cm="1">
        <f t="array" ref="AG1185:AH1185">_xlfn.TEXTSPLIT(AC1186," ")</f>
        <v>26.10.2023</v>
      </c>
      <c r="AH1185" t="str">
        <v>19:46:09</v>
      </c>
      <c r="AI1185">
        <f t="shared" si="298"/>
        <v>19.700000000000163</v>
      </c>
      <c r="AJ1185">
        <f t="shared" si="292"/>
        <v>8.16</v>
      </c>
      <c r="AK1185">
        <f t="shared" si="293"/>
        <v>0.15</v>
      </c>
      <c r="AL1185">
        <f t="shared" si="286"/>
        <v>0.42249999999999982</v>
      </c>
      <c r="AN1185" t="s">
        <v>2887</v>
      </c>
      <c r="AO1185">
        <v>0.6</v>
      </c>
      <c r="AP1185">
        <v>76</v>
      </c>
      <c r="AR1185" t="str" cm="1">
        <f t="array" ref="AR1185:AS1185">_xlfn.TEXTSPLIT(AN1185," ")</f>
        <v>26.10.2023</v>
      </c>
      <c r="AS1185" t="str">
        <v>19:45:09</v>
      </c>
      <c r="AT1185">
        <f t="shared" si="299"/>
        <v>19.700000000000163</v>
      </c>
      <c r="AU1185">
        <f t="shared" si="294"/>
        <v>14.689999999999998</v>
      </c>
      <c r="AV1185">
        <f t="shared" si="295"/>
        <v>0.6</v>
      </c>
      <c r="AW1185">
        <f t="shared" si="287"/>
        <v>0.61750000000000005</v>
      </c>
    </row>
    <row r="1186" spans="1:49" x14ac:dyDescent="0.25">
      <c r="A1186" t="s">
        <v>2888</v>
      </c>
      <c r="B1186">
        <v>0.6</v>
      </c>
      <c r="C1186">
        <v>26.84</v>
      </c>
      <c r="E1186" t="s">
        <v>2888</v>
      </c>
      <c r="F1186">
        <v>0.9</v>
      </c>
      <c r="G1186">
        <v>99.57</v>
      </c>
      <c r="I1186" t="str" cm="1">
        <f t="array" ref="I1186:J1186">_xlfn.TEXTSPLIT(A1186," ")</f>
        <v>27.10.2023</v>
      </c>
      <c r="J1186" t="str">
        <v>19:45:57</v>
      </c>
      <c r="K1186">
        <f t="shared" si="296"/>
        <v>19.716666666666828</v>
      </c>
      <c r="L1186">
        <f t="shared" si="289"/>
        <v>12.52</v>
      </c>
      <c r="M1186">
        <f t="shared" si="290"/>
        <v>0.6</v>
      </c>
      <c r="N1186">
        <f t="shared" si="284"/>
        <v>0.63750000000000007</v>
      </c>
      <c r="Q1186" t="str" cm="1">
        <f t="array" ref="Q1186:R1186">_xlfn.TEXTSPLIT(E1186," ")</f>
        <v>27.10.2023</v>
      </c>
      <c r="R1186" t="str">
        <v>19:45:57</v>
      </c>
      <c r="S1186">
        <f t="shared" si="297"/>
        <v>19.716666666666828</v>
      </c>
      <c r="T1186">
        <f t="shared" si="288"/>
        <v>20.97</v>
      </c>
      <c r="U1186">
        <f t="shared" si="291"/>
        <v>0.9</v>
      </c>
      <c r="V1186">
        <f t="shared" si="285"/>
        <v>1.1374999999999997</v>
      </c>
      <c r="AC1186" t="s">
        <v>2889</v>
      </c>
      <c r="AD1186">
        <v>0.6</v>
      </c>
      <c r="AE1186">
        <v>12.7</v>
      </c>
      <c r="AG1186" t="str" cm="1">
        <f t="array" ref="AG1186:AH1186">_xlfn.TEXTSPLIT(AC1187," ")</f>
        <v>26.10.2023</v>
      </c>
      <c r="AH1186" t="str">
        <v>19:47:09</v>
      </c>
      <c r="AI1186">
        <f t="shared" si="298"/>
        <v>19.716666666666828</v>
      </c>
      <c r="AJ1186">
        <f t="shared" si="292"/>
        <v>8.1699999999999982</v>
      </c>
      <c r="AK1186">
        <f t="shared" si="293"/>
        <v>0.6</v>
      </c>
      <c r="AL1186">
        <f t="shared" si="286"/>
        <v>0.42249999999999999</v>
      </c>
      <c r="AN1186" t="s">
        <v>2889</v>
      </c>
      <c r="AO1186">
        <v>0.15</v>
      </c>
      <c r="AP1186">
        <v>76.010000000000005</v>
      </c>
      <c r="AR1186" t="str" cm="1">
        <f t="array" ref="AR1186:AS1186">_xlfn.TEXTSPLIT(AN1186," ")</f>
        <v>26.10.2023</v>
      </c>
      <c r="AS1186" t="str">
        <v>19:46:09</v>
      </c>
      <c r="AT1186">
        <f t="shared" si="299"/>
        <v>19.716666666666828</v>
      </c>
      <c r="AU1186">
        <f t="shared" si="294"/>
        <v>14.700000000000003</v>
      </c>
      <c r="AV1186">
        <f t="shared" si="295"/>
        <v>0.15</v>
      </c>
      <c r="AW1186">
        <f t="shared" si="287"/>
        <v>0.61</v>
      </c>
    </row>
    <row r="1187" spans="1:49" x14ac:dyDescent="0.25">
      <c r="A1187" t="s">
        <v>2890</v>
      </c>
      <c r="B1187">
        <v>1.05</v>
      </c>
      <c r="C1187">
        <v>26.85</v>
      </c>
      <c r="E1187" t="s">
        <v>2890</v>
      </c>
      <c r="F1187">
        <v>0.75</v>
      </c>
      <c r="G1187">
        <v>99.58</v>
      </c>
      <c r="I1187" t="str" cm="1">
        <f t="array" ref="I1187:J1187">_xlfn.TEXTSPLIT(A1187," ")</f>
        <v>27.10.2023</v>
      </c>
      <c r="J1187" t="str">
        <v>19:46:57</v>
      </c>
      <c r="K1187">
        <f t="shared" si="296"/>
        <v>19.733333333333494</v>
      </c>
      <c r="L1187">
        <f t="shared" si="289"/>
        <v>12.530000000000001</v>
      </c>
      <c r="M1187">
        <f t="shared" si="290"/>
        <v>1.05</v>
      </c>
      <c r="N1187">
        <f t="shared" si="284"/>
        <v>0.63750000000000007</v>
      </c>
      <c r="Q1187" t="str" cm="1">
        <f t="array" ref="Q1187:R1187">_xlfn.TEXTSPLIT(E1187," ")</f>
        <v>27.10.2023</v>
      </c>
      <c r="R1187" t="str">
        <v>19:46:57</v>
      </c>
      <c r="S1187">
        <f t="shared" si="297"/>
        <v>19.733333333333494</v>
      </c>
      <c r="T1187">
        <f t="shared" si="288"/>
        <v>20.980000000000004</v>
      </c>
      <c r="U1187">
        <f t="shared" si="291"/>
        <v>0.75</v>
      </c>
      <c r="V1187">
        <f t="shared" si="285"/>
        <v>1.1274999999999999</v>
      </c>
      <c r="AC1187" t="s">
        <v>2891</v>
      </c>
      <c r="AD1187">
        <v>0.3</v>
      </c>
      <c r="AE1187">
        <v>12.71</v>
      </c>
      <c r="AG1187" t="str" cm="1">
        <f t="array" ref="AG1187:AH1187">_xlfn.TEXTSPLIT(AC1188," ")</f>
        <v>26.10.2023</v>
      </c>
      <c r="AH1187" t="str">
        <v>19:48:09</v>
      </c>
      <c r="AI1187">
        <f t="shared" si="298"/>
        <v>19.733333333333494</v>
      </c>
      <c r="AJ1187">
        <f t="shared" si="292"/>
        <v>8.18</v>
      </c>
      <c r="AK1187">
        <f t="shared" si="293"/>
        <v>0.3</v>
      </c>
      <c r="AL1187">
        <f t="shared" si="286"/>
        <v>0.42</v>
      </c>
      <c r="AN1187" t="s">
        <v>2891</v>
      </c>
      <c r="AO1187">
        <v>0.45</v>
      </c>
      <c r="AP1187">
        <v>76.02</v>
      </c>
      <c r="AR1187" t="str" cm="1">
        <f t="array" ref="AR1187:AS1187">_xlfn.TEXTSPLIT(AN1187," ")</f>
        <v>26.10.2023</v>
      </c>
      <c r="AS1187" t="str">
        <v>19:47:09</v>
      </c>
      <c r="AT1187">
        <f t="shared" si="299"/>
        <v>19.733333333333494</v>
      </c>
      <c r="AU1187">
        <f t="shared" si="294"/>
        <v>14.709999999999994</v>
      </c>
      <c r="AV1187">
        <f t="shared" si="295"/>
        <v>0.45</v>
      </c>
      <c r="AW1187">
        <f t="shared" si="287"/>
        <v>0.61</v>
      </c>
    </row>
    <row r="1188" spans="1:49" x14ac:dyDescent="0.25">
      <c r="A1188" t="s">
        <v>2892</v>
      </c>
      <c r="B1188">
        <v>0.75</v>
      </c>
      <c r="C1188">
        <v>26.86</v>
      </c>
      <c r="E1188" t="s">
        <v>2892</v>
      </c>
      <c r="F1188">
        <v>0.9</v>
      </c>
      <c r="G1188">
        <v>99.6</v>
      </c>
      <c r="I1188" t="str" cm="1">
        <f t="array" ref="I1188:J1188">_xlfn.TEXTSPLIT(A1188," ")</f>
        <v>27.10.2023</v>
      </c>
      <c r="J1188" t="str">
        <v>19:47:57</v>
      </c>
      <c r="K1188">
        <f t="shared" si="296"/>
        <v>19.75000000000016</v>
      </c>
      <c r="L1188">
        <f t="shared" si="289"/>
        <v>12.54</v>
      </c>
      <c r="M1188">
        <f t="shared" si="290"/>
        <v>0.75</v>
      </c>
      <c r="N1188">
        <f t="shared" si="284"/>
        <v>0.63249999999999995</v>
      </c>
      <c r="Q1188" t="str" cm="1">
        <f t="array" ref="Q1188:R1188">_xlfn.TEXTSPLIT(E1188," ")</f>
        <v>27.10.2023</v>
      </c>
      <c r="R1188" t="str">
        <v>19:47:57</v>
      </c>
      <c r="S1188">
        <f t="shared" si="297"/>
        <v>19.75000000000016</v>
      </c>
      <c r="T1188">
        <f t="shared" si="288"/>
        <v>21</v>
      </c>
      <c r="U1188">
        <f t="shared" si="291"/>
        <v>0.9</v>
      </c>
      <c r="V1188">
        <f t="shared" si="285"/>
        <v>1.1249999999999998</v>
      </c>
      <c r="AC1188" t="s">
        <v>2893</v>
      </c>
      <c r="AD1188">
        <v>0.45</v>
      </c>
      <c r="AE1188">
        <v>12.72</v>
      </c>
      <c r="AG1188" t="str" cm="1">
        <f t="array" ref="AG1188:AH1188">_xlfn.TEXTSPLIT(AC1189," ")</f>
        <v>26.10.2023</v>
      </c>
      <c r="AH1188" t="str">
        <v>19:49:10</v>
      </c>
      <c r="AI1188">
        <f t="shared" si="298"/>
        <v>19.75000000000016</v>
      </c>
      <c r="AJ1188">
        <f t="shared" si="292"/>
        <v>8.1900000000000013</v>
      </c>
      <c r="AK1188">
        <f t="shared" si="293"/>
        <v>0.45</v>
      </c>
      <c r="AL1188">
        <f t="shared" si="286"/>
        <v>0.42</v>
      </c>
      <c r="AN1188" t="s">
        <v>2893</v>
      </c>
      <c r="AO1188">
        <v>0.45</v>
      </c>
      <c r="AP1188">
        <v>76.03</v>
      </c>
      <c r="AR1188" t="str" cm="1">
        <f t="array" ref="AR1188:AS1188">_xlfn.TEXTSPLIT(AN1188," ")</f>
        <v>26.10.2023</v>
      </c>
      <c r="AS1188" t="str">
        <v>19:48:09</v>
      </c>
      <c r="AT1188">
        <f t="shared" si="299"/>
        <v>19.75000000000016</v>
      </c>
      <c r="AU1188">
        <f t="shared" si="294"/>
        <v>14.719999999999999</v>
      </c>
      <c r="AV1188">
        <f t="shared" si="295"/>
        <v>0.45</v>
      </c>
      <c r="AW1188">
        <f t="shared" si="287"/>
        <v>0.60750000000000004</v>
      </c>
    </row>
    <row r="1189" spans="1:49" x14ac:dyDescent="0.25">
      <c r="A1189" t="s">
        <v>2894</v>
      </c>
      <c r="B1189">
        <v>0.45</v>
      </c>
      <c r="C1189">
        <v>26.87</v>
      </c>
      <c r="E1189" t="s">
        <v>2894</v>
      </c>
      <c r="F1189">
        <v>0.9</v>
      </c>
      <c r="G1189">
        <v>99.62</v>
      </c>
      <c r="I1189" t="str" cm="1">
        <f t="array" ref="I1189:J1189">_xlfn.TEXTSPLIT(A1189," ")</f>
        <v>27.10.2023</v>
      </c>
      <c r="J1189" t="str">
        <v>19:48:57</v>
      </c>
      <c r="K1189">
        <f t="shared" si="296"/>
        <v>19.766666666666826</v>
      </c>
      <c r="L1189">
        <f t="shared" si="289"/>
        <v>12.55</v>
      </c>
      <c r="M1189">
        <f t="shared" si="290"/>
        <v>0.45</v>
      </c>
      <c r="N1189">
        <f t="shared" si="284"/>
        <v>0.62749999999999995</v>
      </c>
      <c r="Q1189" t="str" cm="1">
        <f t="array" ref="Q1189:R1189">_xlfn.TEXTSPLIT(E1189," ")</f>
        <v>27.10.2023</v>
      </c>
      <c r="R1189" t="str">
        <v>19:48:57</v>
      </c>
      <c r="S1189">
        <f t="shared" si="297"/>
        <v>19.766666666666826</v>
      </c>
      <c r="T1189">
        <f t="shared" si="288"/>
        <v>21.02000000000001</v>
      </c>
      <c r="U1189">
        <f t="shared" si="291"/>
        <v>0.9</v>
      </c>
      <c r="V1189">
        <f t="shared" si="285"/>
        <v>1.1224999999999998</v>
      </c>
      <c r="AC1189" t="s">
        <v>2895</v>
      </c>
      <c r="AD1189">
        <v>0.6</v>
      </c>
      <c r="AE1189">
        <v>12.73</v>
      </c>
      <c r="AG1189" t="str" cm="1">
        <f t="array" ref="AG1189:AH1189">_xlfn.TEXTSPLIT(AC1190," ")</f>
        <v>26.10.2023</v>
      </c>
      <c r="AH1189" t="str">
        <v>19:50:10</v>
      </c>
      <c r="AI1189">
        <f t="shared" si="298"/>
        <v>19.766666666666826</v>
      </c>
      <c r="AJ1189">
        <f t="shared" si="292"/>
        <v>8.1999999999999993</v>
      </c>
      <c r="AK1189">
        <f t="shared" si="293"/>
        <v>0.6</v>
      </c>
      <c r="AL1189">
        <f t="shared" si="286"/>
        <v>0.42500000000000004</v>
      </c>
      <c r="AN1189" t="s">
        <v>2895</v>
      </c>
      <c r="AO1189">
        <v>0.45</v>
      </c>
      <c r="AP1189">
        <v>76.03</v>
      </c>
      <c r="AR1189" t="str" cm="1">
        <f t="array" ref="AR1189:AS1189">_xlfn.TEXTSPLIT(AN1189," ")</f>
        <v>26.10.2023</v>
      </c>
      <c r="AS1189" t="str">
        <v>19:49:10</v>
      </c>
      <c r="AT1189">
        <f t="shared" si="299"/>
        <v>19.766666666666826</v>
      </c>
      <c r="AU1189">
        <f t="shared" si="294"/>
        <v>14.719999999999999</v>
      </c>
      <c r="AV1189">
        <f t="shared" si="295"/>
        <v>0.45</v>
      </c>
      <c r="AW1189">
        <f t="shared" si="287"/>
        <v>0.60500000000000009</v>
      </c>
    </row>
    <row r="1190" spans="1:49" x14ac:dyDescent="0.25">
      <c r="A1190" t="s">
        <v>2896</v>
      </c>
      <c r="B1190">
        <v>0.6</v>
      </c>
      <c r="C1190">
        <v>26.88</v>
      </c>
      <c r="E1190" t="s">
        <v>2896</v>
      </c>
      <c r="F1190">
        <v>1.35</v>
      </c>
      <c r="G1190">
        <v>99.64</v>
      </c>
      <c r="I1190" t="str" cm="1">
        <f t="array" ref="I1190:J1190">_xlfn.TEXTSPLIT(A1190," ")</f>
        <v>27.10.2023</v>
      </c>
      <c r="J1190" t="str">
        <v>19:49:57</v>
      </c>
      <c r="K1190">
        <f t="shared" si="296"/>
        <v>19.783333333333491</v>
      </c>
      <c r="L1190">
        <f t="shared" si="289"/>
        <v>12.559999999999999</v>
      </c>
      <c r="M1190">
        <f t="shared" si="290"/>
        <v>0.6</v>
      </c>
      <c r="N1190">
        <f t="shared" si="284"/>
        <v>0.62749999999999995</v>
      </c>
      <c r="Q1190" t="str" cm="1">
        <f t="array" ref="Q1190:R1190">_xlfn.TEXTSPLIT(E1190," ")</f>
        <v>27.10.2023</v>
      </c>
      <c r="R1190" t="str">
        <v>19:49:57</v>
      </c>
      <c r="S1190">
        <f t="shared" si="297"/>
        <v>19.783333333333491</v>
      </c>
      <c r="T1190">
        <f t="shared" si="288"/>
        <v>21.040000000000006</v>
      </c>
      <c r="U1190">
        <f t="shared" si="291"/>
        <v>1.35</v>
      </c>
      <c r="V1190">
        <f t="shared" si="285"/>
        <v>1.1249999999999998</v>
      </c>
      <c r="AC1190" t="s">
        <v>2897</v>
      </c>
      <c r="AD1190">
        <v>0.15</v>
      </c>
      <c r="AE1190">
        <v>12.73</v>
      </c>
      <c r="AG1190" t="str" cm="1">
        <f t="array" ref="AG1190:AH1190">_xlfn.TEXTSPLIT(AC1191," ")</f>
        <v>26.10.2023</v>
      </c>
      <c r="AH1190" t="str">
        <v>19:51:10</v>
      </c>
      <c r="AI1190">
        <f t="shared" si="298"/>
        <v>19.783333333333491</v>
      </c>
      <c r="AJ1190">
        <f t="shared" si="292"/>
        <v>8.1999999999999993</v>
      </c>
      <c r="AK1190">
        <f t="shared" si="293"/>
        <v>0.15</v>
      </c>
      <c r="AL1190">
        <f t="shared" si="286"/>
        <v>0.41499999999999998</v>
      </c>
      <c r="AN1190" t="s">
        <v>2897</v>
      </c>
      <c r="AO1190">
        <v>0.6</v>
      </c>
      <c r="AP1190">
        <v>76.040000000000006</v>
      </c>
      <c r="AR1190" t="str" cm="1">
        <f t="array" ref="AR1190:AS1190">_xlfn.TEXTSPLIT(AN1190," ")</f>
        <v>26.10.2023</v>
      </c>
      <c r="AS1190" t="str">
        <v>19:50:10</v>
      </c>
      <c r="AT1190">
        <f t="shared" si="299"/>
        <v>19.783333333333491</v>
      </c>
      <c r="AU1190">
        <f t="shared" si="294"/>
        <v>14.730000000000004</v>
      </c>
      <c r="AV1190">
        <f t="shared" si="295"/>
        <v>0.6</v>
      </c>
      <c r="AW1190">
        <f t="shared" si="287"/>
        <v>0.60750000000000004</v>
      </c>
    </row>
    <row r="1191" spans="1:49" x14ac:dyDescent="0.25">
      <c r="A1191" t="s">
        <v>2898</v>
      </c>
      <c r="B1191">
        <v>0.6</v>
      </c>
      <c r="C1191">
        <v>26.89</v>
      </c>
      <c r="E1191" t="s">
        <v>2898</v>
      </c>
      <c r="F1191">
        <v>1.35</v>
      </c>
      <c r="G1191">
        <v>99.65</v>
      </c>
      <c r="I1191" t="str" cm="1">
        <f t="array" ref="I1191:J1191">_xlfn.TEXTSPLIT(A1191," ")</f>
        <v>27.10.2023</v>
      </c>
      <c r="J1191" t="str">
        <v>19:50:58</v>
      </c>
      <c r="K1191">
        <f t="shared" si="296"/>
        <v>19.800000000000157</v>
      </c>
      <c r="L1191">
        <f t="shared" si="289"/>
        <v>12.57</v>
      </c>
      <c r="M1191">
        <f t="shared" si="290"/>
        <v>0.6</v>
      </c>
      <c r="N1191">
        <f t="shared" si="284"/>
        <v>0.63000000000000012</v>
      </c>
      <c r="Q1191" t="str" cm="1">
        <f t="array" ref="Q1191:R1191">_xlfn.TEXTSPLIT(E1191," ")</f>
        <v>27.10.2023</v>
      </c>
      <c r="R1191" t="str">
        <v>19:50:58</v>
      </c>
      <c r="S1191">
        <f t="shared" si="297"/>
        <v>19.800000000000157</v>
      </c>
      <c r="T1191">
        <f t="shared" si="288"/>
        <v>21.050000000000011</v>
      </c>
      <c r="U1191">
        <f t="shared" si="291"/>
        <v>1.35</v>
      </c>
      <c r="V1191">
        <f t="shared" si="285"/>
        <v>1.1249999999999996</v>
      </c>
      <c r="AC1191" t="s">
        <v>2899</v>
      </c>
      <c r="AD1191">
        <v>0</v>
      </c>
      <c r="AE1191">
        <v>12.73</v>
      </c>
      <c r="AG1191" t="str" cm="1">
        <f t="array" ref="AG1191:AH1191">_xlfn.TEXTSPLIT(AC1192," ")</f>
        <v>26.10.2023</v>
      </c>
      <c r="AH1191" t="str">
        <v>19:52:10</v>
      </c>
      <c r="AI1191">
        <f t="shared" si="298"/>
        <v>19.800000000000157</v>
      </c>
      <c r="AJ1191">
        <f t="shared" si="292"/>
        <v>8.1999999999999993</v>
      </c>
      <c r="AK1191">
        <f t="shared" si="293"/>
        <v>0</v>
      </c>
      <c r="AL1191">
        <f t="shared" si="286"/>
        <v>0.41000000000000003</v>
      </c>
      <c r="AN1191" t="s">
        <v>2899</v>
      </c>
      <c r="AO1191">
        <v>0.45</v>
      </c>
      <c r="AP1191">
        <v>76.05</v>
      </c>
      <c r="AR1191" t="str" cm="1">
        <f t="array" ref="AR1191:AS1191">_xlfn.TEXTSPLIT(AN1191," ")</f>
        <v>26.10.2023</v>
      </c>
      <c r="AS1191" t="str">
        <v>19:51:10</v>
      </c>
      <c r="AT1191">
        <f t="shared" si="299"/>
        <v>19.800000000000157</v>
      </c>
      <c r="AU1191">
        <f t="shared" si="294"/>
        <v>14.739999999999995</v>
      </c>
      <c r="AV1191">
        <f t="shared" si="295"/>
        <v>0.45</v>
      </c>
      <c r="AW1191">
        <f t="shared" si="287"/>
        <v>0.60500000000000009</v>
      </c>
    </row>
    <row r="1192" spans="1:49" x14ac:dyDescent="0.25">
      <c r="A1192" t="s">
        <v>2900</v>
      </c>
      <c r="B1192">
        <v>0.6</v>
      </c>
      <c r="C1192">
        <v>26.9</v>
      </c>
      <c r="E1192" t="s">
        <v>2900</v>
      </c>
      <c r="F1192">
        <v>0.6</v>
      </c>
      <c r="G1192">
        <v>99.66</v>
      </c>
      <c r="I1192" t="str" cm="1">
        <f t="array" ref="I1192:J1192">_xlfn.TEXTSPLIT(A1192," ")</f>
        <v>27.10.2023</v>
      </c>
      <c r="J1192" t="str">
        <v>19:51:58</v>
      </c>
      <c r="K1192">
        <f t="shared" si="296"/>
        <v>19.816666666666823</v>
      </c>
      <c r="L1192">
        <f t="shared" si="289"/>
        <v>12.579999999999998</v>
      </c>
      <c r="M1192">
        <f t="shared" si="290"/>
        <v>0.6</v>
      </c>
      <c r="N1192">
        <f t="shared" si="284"/>
        <v>0.63250000000000006</v>
      </c>
      <c r="Q1192" t="str" cm="1">
        <f t="array" ref="Q1192:R1192">_xlfn.TEXTSPLIT(E1192," ")</f>
        <v>27.10.2023</v>
      </c>
      <c r="R1192" t="str">
        <v>19:51:58</v>
      </c>
      <c r="S1192">
        <f t="shared" si="297"/>
        <v>19.816666666666823</v>
      </c>
      <c r="T1192">
        <f t="shared" si="288"/>
        <v>21.060000000000002</v>
      </c>
      <c r="U1192">
        <f t="shared" si="291"/>
        <v>0.6</v>
      </c>
      <c r="V1192">
        <f t="shared" si="285"/>
        <v>1.1199999999999997</v>
      </c>
      <c r="AC1192" t="s">
        <v>2901</v>
      </c>
      <c r="AD1192">
        <v>0</v>
      </c>
      <c r="AE1192">
        <v>12.73</v>
      </c>
      <c r="AG1192" t="str" cm="1">
        <f t="array" ref="AG1192:AH1192">_xlfn.TEXTSPLIT(AC1193," ")</f>
        <v>26.10.2023</v>
      </c>
      <c r="AH1192" t="str">
        <v>19:53:10</v>
      </c>
      <c r="AI1192">
        <f t="shared" si="298"/>
        <v>19.816666666666823</v>
      </c>
      <c r="AJ1192">
        <f t="shared" si="292"/>
        <v>8.1999999999999993</v>
      </c>
      <c r="AK1192">
        <f t="shared" si="293"/>
        <v>0</v>
      </c>
      <c r="AL1192">
        <f t="shared" si="286"/>
        <v>0.40500000000000003</v>
      </c>
      <c r="AN1192" t="s">
        <v>2901</v>
      </c>
      <c r="AO1192">
        <v>0.3</v>
      </c>
      <c r="AP1192">
        <v>76.06</v>
      </c>
      <c r="AR1192" t="str" cm="1">
        <f t="array" ref="AR1192:AS1192">_xlfn.TEXTSPLIT(AN1192," ")</f>
        <v>26.10.2023</v>
      </c>
      <c r="AS1192" t="str">
        <v>19:52:10</v>
      </c>
      <c r="AT1192">
        <f t="shared" si="299"/>
        <v>19.816666666666823</v>
      </c>
      <c r="AU1192">
        <f t="shared" si="294"/>
        <v>14.75</v>
      </c>
      <c r="AV1192">
        <f t="shared" si="295"/>
        <v>0.3</v>
      </c>
      <c r="AW1192">
        <f t="shared" si="287"/>
        <v>0.60750000000000004</v>
      </c>
    </row>
    <row r="1193" spans="1:49" x14ac:dyDescent="0.25">
      <c r="A1193" t="s">
        <v>2902</v>
      </c>
      <c r="B1193">
        <v>0.45</v>
      </c>
      <c r="C1193">
        <v>26.9</v>
      </c>
      <c r="E1193" t="s">
        <v>2902</v>
      </c>
      <c r="F1193">
        <v>0.45</v>
      </c>
      <c r="G1193">
        <v>99.67</v>
      </c>
      <c r="I1193" t="str" cm="1">
        <f t="array" ref="I1193:J1193">_xlfn.TEXTSPLIT(A1193," ")</f>
        <v>27.10.2023</v>
      </c>
      <c r="J1193" t="str">
        <v>19:52:58</v>
      </c>
      <c r="K1193">
        <f t="shared" si="296"/>
        <v>19.833333333333488</v>
      </c>
      <c r="L1193">
        <f t="shared" si="289"/>
        <v>12.579999999999998</v>
      </c>
      <c r="M1193">
        <f t="shared" si="290"/>
        <v>0.45</v>
      </c>
      <c r="N1193">
        <f t="shared" si="284"/>
        <v>0.63250000000000006</v>
      </c>
      <c r="Q1193" t="str" cm="1">
        <f t="array" ref="Q1193:R1193">_xlfn.TEXTSPLIT(E1193," ")</f>
        <v>27.10.2023</v>
      </c>
      <c r="R1193" t="str">
        <v>19:52:58</v>
      </c>
      <c r="S1193">
        <f t="shared" si="297"/>
        <v>19.833333333333488</v>
      </c>
      <c r="T1193">
        <f t="shared" si="288"/>
        <v>21.070000000000007</v>
      </c>
      <c r="U1193">
        <f t="shared" si="291"/>
        <v>0.45</v>
      </c>
      <c r="V1193">
        <f t="shared" si="285"/>
        <v>1.1124999999999996</v>
      </c>
      <c r="AC1193" t="s">
        <v>2903</v>
      </c>
      <c r="AD1193">
        <v>0</v>
      </c>
      <c r="AE1193">
        <v>12.73</v>
      </c>
      <c r="AG1193" t="str" cm="1">
        <f t="array" ref="AG1193:AH1193">_xlfn.TEXTSPLIT(AC1194," ")</f>
        <v>26.10.2023</v>
      </c>
      <c r="AH1193" t="str">
        <v>19:54:10</v>
      </c>
      <c r="AI1193">
        <f t="shared" si="298"/>
        <v>19.833333333333488</v>
      </c>
      <c r="AJ1193">
        <f t="shared" si="292"/>
        <v>8.1999999999999993</v>
      </c>
      <c r="AK1193">
        <f t="shared" si="293"/>
        <v>0</v>
      </c>
      <c r="AL1193">
        <f t="shared" si="286"/>
        <v>0.39750000000000002</v>
      </c>
      <c r="AN1193" t="s">
        <v>2903</v>
      </c>
      <c r="AO1193">
        <v>0</v>
      </c>
      <c r="AP1193">
        <v>76.06</v>
      </c>
      <c r="AR1193" t="str" cm="1">
        <f t="array" ref="AR1193:AS1193">_xlfn.TEXTSPLIT(AN1193," ")</f>
        <v>26.10.2023</v>
      </c>
      <c r="AS1193" t="str">
        <v>19:53:10</v>
      </c>
      <c r="AT1193">
        <f t="shared" si="299"/>
        <v>19.833333333333488</v>
      </c>
      <c r="AU1193">
        <f t="shared" si="294"/>
        <v>14.75</v>
      </c>
      <c r="AV1193">
        <f t="shared" si="295"/>
        <v>0</v>
      </c>
      <c r="AW1193">
        <f t="shared" si="287"/>
        <v>0.60750000000000004</v>
      </c>
    </row>
    <row r="1194" spans="1:49" x14ac:dyDescent="0.25">
      <c r="A1194" t="s">
        <v>2904</v>
      </c>
      <c r="B1194">
        <v>0</v>
      </c>
      <c r="C1194">
        <v>26.9</v>
      </c>
      <c r="E1194" t="s">
        <v>2904</v>
      </c>
      <c r="F1194">
        <v>0.45</v>
      </c>
      <c r="G1194">
        <v>99.67</v>
      </c>
      <c r="I1194" t="str" cm="1">
        <f t="array" ref="I1194:J1194">_xlfn.TEXTSPLIT(A1194," ")</f>
        <v>27.10.2023</v>
      </c>
      <c r="J1194" t="str">
        <v>19:53:58</v>
      </c>
      <c r="K1194">
        <f t="shared" si="296"/>
        <v>19.850000000000154</v>
      </c>
      <c r="L1194">
        <f t="shared" si="289"/>
        <v>12.579999999999998</v>
      </c>
      <c r="M1194">
        <f t="shared" si="290"/>
        <v>0</v>
      </c>
      <c r="N1194">
        <f t="shared" si="284"/>
        <v>0.63250000000000006</v>
      </c>
      <c r="Q1194" t="str" cm="1">
        <f t="array" ref="Q1194:R1194">_xlfn.TEXTSPLIT(E1194," ")</f>
        <v>27.10.2023</v>
      </c>
      <c r="R1194" t="str">
        <v>19:53:58</v>
      </c>
      <c r="S1194">
        <f t="shared" si="297"/>
        <v>19.850000000000154</v>
      </c>
      <c r="T1194">
        <f t="shared" si="288"/>
        <v>21.070000000000007</v>
      </c>
      <c r="U1194">
        <f t="shared" si="291"/>
        <v>0.45</v>
      </c>
      <c r="V1194">
        <f t="shared" si="285"/>
        <v>1.1124999999999998</v>
      </c>
      <c r="AC1194" t="s">
        <v>2905</v>
      </c>
      <c r="AD1194">
        <v>0</v>
      </c>
      <c r="AE1194">
        <v>12.73</v>
      </c>
      <c r="AG1194" t="str" cm="1">
        <f t="array" ref="AG1194:AH1194">_xlfn.TEXTSPLIT(AC1195," ")</f>
        <v>26.10.2023</v>
      </c>
      <c r="AH1194" t="str">
        <v>19:55:10</v>
      </c>
      <c r="AI1194">
        <f t="shared" si="298"/>
        <v>19.850000000000154</v>
      </c>
      <c r="AJ1194">
        <f t="shared" si="292"/>
        <v>8.1999999999999993</v>
      </c>
      <c r="AK1194">
        <f t="shared" si="293"/>
        <v>0</v>
      </c>
      <c r="AL1194">
        <f t="shared" si="286"/>
        <v>0.39750000000000002</v>
      </c>
      <c r="AN1194" t="s">
        <v>2905</v>
      </c>
      <c r="AO1194">
        <v>0.15</v>
      </c>
      <c r="AP1194">
        <v>76.06</v>
      </c>
      <c r="AR1194" t="str" cm="1">
        <f t="array" ref="AR1194:AS1194">_xlfn.TEXTSPLIT(AN1194," ")</f>
        <v>26.10.2023</v>
      </c>
      <c r="AS1194" t="str">
        <v>19:54:10</v>
      </c>
      <c r="AT1194">
        <f t="shared" si="299"/>
        <v>19.850000000000154</v>
      </c>
      <c r="AU1194">
        <f t="shared" si="294"/>
        <v>14.75</v>
      </c>
      <c r="AV1194">
        <f t="shared" si="295"/>
        <v>0.15</v>
      </c>
      <c r="AW1194">
        <f t="shared" si="287"/>
        <v>0.61</v>
      </c>
    </row>
    <row r="1195" spans="1:49" x14ac:dyDescent="0.25">
      <c r="A1195" t="s">
        <v>2906</v>
      </c>
      <c r="B1195">
        <v>0</v>
      </c>
      <c r="C1195">
        <v>26.9</v>
      </c>
      <c r="E1195" t="s">
        <v>2906</v>
      </c>
      <c r="F1195">
        <v>0.3</v>
      </c>
      <c r="G1195">
        <v>99.68</v>
      </c>
      <c r="I1195" t="str" cm="1">
        <f t="array" ref="I1195:J1195">_xlfn.TEXTSPLIT(A1195," ")</f>
        <v>27.10.2023</v>
      </c>
      <c r="J1195" t="str">
        <v>19:54:58</v>
      </c>
      <c r="K1195">
        <f t="shared" si="296"/>
        <v>19.86666666666682</v>
      </c>
      <c r="L1195">
        <f t="shared" si="289"/>
        <v>12.579999999999998</v>
      </c>
      <c r="M1195">
        <f t="shared" si="290"/>
        <v>0</v>
      </c>
      <c r="N1195">
        <f t="shared" si="284"/>
        <v>0.63250000000000006</v>
      </c>
      <c r="Q1195" t="str" cm="1">
        <f t="array" ref="Q1195:R1195">_xlfn.TEXTSPLIT(E1195," ")</f>
        <v>27.10.2023</v>
      </c>
      <c r="R1195" t="str">
        <v>19:54:58</v>
      </c>
      <c r="S1195">
        <f t="shared" si="297"/>
        <v>19.86666666666682</v>
      </c>
      <c r="T1195">
        <f t="shared" si="288"/>
        <v>21.080000000000013</v>
      </c>
      <c r="U1195">
        <f t="shared" si="291"/>
        <v>0.3</v>
      </c>
      <c r="V1195">
        <f t="shared" si="285"/>
        <v>1.1099999999999997</v>
      </c>
      <c r="AC1195" t="s">
        <v>2907</v>
      </c>
      <c r="AD1195">
        <v>0</v>
      </c>
      <c r="AE1195">
        <v>12.73</v>
      </c>
      <c r="AG1195" t="str" cm="1">
        <f t="array" ref="AG1195:AH1195">_xlfn.TEXTSPLIT(AC1196," ")</f>
        <v>26.10.2023</v>
      </c>
      <c r="AH1195" t="str">
        <v>19:56:10</v>
      </c>
      <c r="AI1195">
        <f t="shared" si="298"/>
        <v>19.86666666666682</v>
      </c>
      <c r="AJ1195">
        <f t="shared" si="292"/>
        <v>8.1999999999999993</v>
      </c>
      <c r="AK1195">
        <f t="shared" si="293"/>
        <v>0</v>
      </c>
      <c r="AL1195">
        <f t="shared" si="286"/>
        <v>0.39750000000000002</v>
      </c>
      <c r="AN1195" t="s">
        <v>2907</v>
      </c>
      <c r="AO1195">
        <v>0.15</v>
      </c>
      <c r="AP1195">
        <v>76.06</v>
      </c>
      <c r="AR1195" t="str" cm="1">
        <f t="array" ref="AR1195:AS1195">_xlfn.TEXTSPLIT(AN1195," ")</f>
        <v>26.10.2023</v>
      </c>
      <c r="AS1195" t="str">
        <v>19:55:10</v>
      </c>
      <c r="AT1195">
        <f t="shared" si="299"/>
        <v>19.86666666666682</v>
      </c>
      <c r="AU1195">
        <f t="shared" si="294"/>
        <v>14.75</v>
      </c>
      <c r="AV1195">
        <f t="shared" si="295"/>
        <v>0.15</v>
      </c>
      <c r="AW1195">
        <f t="shared" si="287"/>
        <v>0.61</v>
      </c>
    </row>
    <row r="1196" spans="1:49" x14ac:dyDescent="0.25">
      <c r="A1196" t="s">
        <v>2908</v>
      </c>
      <c r="B1196">
        <v>0.15</v>
      </c>
      <c r="C1196">
        <v>26.9</v>
      </c>
      <c r="E1196" t="s">
        <v>2908</v>
      </c>
      <c r="F1196">
        <v>0.45</v>
      </c>
      <c r="G1196">
        <v>99.69</v>
      </c>
      <c r="I1196" t="str" cm="1">
        <f t="array" ref="I1196:J1196">_xlfn.TEXTSPLIT(A1196," ")</f>
        <v>27.10.2023</v>
      </c>
      <c r="J1196" t="str">
        <v>19:55:58</v>
      </c>
      <c r="K1196">
        <f t="shared" si="296"/>
        <v>19.883333333333486</v>
      </c>
      <c r="L1196">
        <f t="shared" si="289"/>
        <v>12.579999999999998</v>
      </c>
      <c r="M1196">
        <f t="shared" si="290"/>
        <v>0.15</v>
      </c>
      <c r="N1196">
        <f t="shared" si="284"/>
        <v>0.63500000000000001</v>
      </c>
      <c r="Q1196" t="str" cm="1">
        <f t="array" ref="Q1196:R1196">_xlfn.TEXTSPLIT(E1196," ")</f>
        <v>27.10.2023</v>
      </c>
      <c r="R1196" t="str">
        <v>19:55:58</v>
      </c>
      <c r="S1196">
        <f t="shared" si="297"/>
        <v>19.883333333333486</v>
      </c>
      <c r="T1196">
        <f t="shared" si="288"/>
        <v>21.090000000000003</v>
      </c>
      <c r="U1196">
        <f t="shared" si="291"/>
        <v>0.45</v>
      </c>
      <c r="V1196">
        <f t="shared" si="285"/>
        <v>1.1099999999999997</v>
      </c>
      <c r="AC1196" t="s">
        <v>2909</v>
      </c>
      <c r="AD1196">
        <v>0</v>
      </c>
      <c r="AE1196">
        <v>12.73</v>
      </c>
      <c r="AG1196" t="str" cm="1">
        <f t="array" ref="AG1196:AH1196">_xlfn.TEXTSPLIT(AC1197," ")</f>
        <v>26.10.2023</v>
      </c>
      <c r="AH1196" t="str">
        <v>19:57:10</v>
      </c>
      <c r="AI1196">
        <f t="shared" si="298"/>
        <v>19.883333333333486</v>
      </c>
      <c r="AJ1196">
        <f t="shared" si="292"/>
        <v>8.1999999999999993</v>
      </c>
      <c r="AK1196">
        <f t="shared" si="293"/>
        <v>0</v>
      </c>
      <c r="AL1196">
        <f t="shared" si="286"/>
        <v>0.39750000000000002</v>
      </c>
      <c r="AN1196" t="s">
        <v>2909</v>
      </c>
      <c r="AO1196">
        <v>0</v>
      </c>
      <c r="AP1196">
        <v>76.06</v>
      </c>
      <c r="AR1196" t="str" cm="1">
        <f t="array" ref="AR1196:AS1196">_xlfn.TEXTSPLIT(AN1196," ")</f>
        <v>26.10.2023</v>
      </c>
      <c r="AS1196" t="str">
        <v>19:56:10</v>
      </c>
      <c r="AT1196">
        <f t="shared" si="299"/>
        <v>19.883333333333486</v>
      </c>
      <c r="AU1196">
        <f t="shared" si="294"/>
        <v>14.75</v>
      </c>
      <c r="AV1196">
        <f t="shared" si="295"/>
        <v>0</v>
      </c>
      <c r="AW1196">
        <f t="shared" si="287"/>
        <v>0.60749999999999993</v>
      </c>
    </row>
    <row r="1197" spans="1:49" x14ac:dyDescent="0.25">
      <c r="A1197" t="s">
        <v>2910</v>
      </c>
      <c r="B1197">
        <v>0</v>
      </c>
      <c r="C1197">
        <v>26.9</v>
      </c>
      <c r="E1197" t="s">
        <v>2910</v>
      </c>
      <c r="F1197">
        <v>0.6</v>
      </c>
      <c r="G1197">
        <v>99.7</v>
      </c>
      <c r="I1197" t="str" cm="1">
        <f t="array" ref="I1197:J1197">_xlfn.TEXTSPLIT(A1197," ")</f>
        <v>27.10.2023</v>
      </c>
      <c r="J1197" t="str">
        <v>19:56:58</v>
      </c>
      <c r="K1197">
        <f t="shared" si="296"/>
        <v>19.900000000000151</v>
      </c>
      <c r="L1197">
        <f t="shared" si="289"/>
        <v>12.579999999999998</v>
      </c>
      <c r="M1197">
        <f t="shared" si="290"/>
        <v>0</v>
      </c>
      <c r="N1197">
        <f t="shared" si="284"/>
        <v>0.63500000000000001</v>
      </c>
      <c r="Q1197" t="str" cm="1">
        <f t="array" ref="Q1197:R1197">_xlfn.TEXTSPLIT(E1197," ")</f>
        <v>27.10.2023</v>
      </c>
      <c r="R1197" t="str">
        <v>19:56:58</v>
      </c>
      <c r="S1197">
        <f t="shared" si="297"/>
        <v>19.900000000000151</v>
      </c>
      <c r="T1197">
        <f t="shared" si="288"/>
        <v>21.100000000000009</v>
      </c>
      <c r="U1197">
        <f t="shared" si="291"/>
        <v>0.6</v>
      </c>
      <c r="V1197">
        <f t="shared" si="285"/>
        <v>1.1124999999999996</v>
      </c>
      <c r="AC1197" t="s">
        <v>2911</v>
      </c>
      <c r="AD1197">
        <v>0</v>
      </c>
      <c r="AE1197">
        <v>12.73</v>
      </c>
      <c r="AG1197" t="str" cm="1">
        <f t="array" ref="AG1197:AH1197">_xlfn.TEXTSPLIT(AC1198," ")</f>
        <v>26.10.2023</v>
      </c>
      <c r="AH1197" t="str">
        <v>19:58:10</v>
      </c>
      <c r="AI1197">
        <f t="shared" si="298"/>
        <v>19.900000000000151</v>
      </c>
      <c r="AJ1197">
        <f t="shared" si="292"/>
        <v>8.1999999999999993</v>
      </c>
      <c r="AK1197">
        <f t="shared" si="293"/>
        <v>0</v>
      </c>
      <c r="AL1197">
        <f t="shared" si="286"/>
        <v>0.39750000000000002</v>
      </c>
      <c r="AN1197" t="s">
        <v>2911</v>
      </c>
      <c r="AO1197">
        <v>0.15</v>
      </c>
      <c r="AP1197">
        <v>76.06</v>
      </c>
      <c r="AR1197" t="str" cm="1">
        <f t="array" ref="AR1197:AS1197">_xlfn.TEXTSPLIT(AN1197," ")</f>
        <v>26.10.2023</v>
      </c>
      <c r="AS1197" t="str">
        <v>19:57:10</v>
      </c>
      <c r="AT1197">
        <f t="shared" si="299"/>
        <v>19.900000000000151</v>
      </c>
      <c r="AU1197">
        <f t="shared" si="294"/>
        <v>14.75</v>
      </c>
      <c r="AV1197">
        <f t="shared" si="295"/>
        <v>0.15</v>
      </c>
      <c r="AW1197">
        <f t="shared" si="287"/>
        <v>0.60750000000000004</v>
      </c>
    </row>
    <row r="1198" spans="1:49" x14ac:dyDescent="0.25">
      <c r="A1198" t="s">
        <v>2912</v>
      </c>
      <c r="B1198">
        <v>0</v>
      </c>
      <c r="C1198">
        <v>26.9</v>
      </c>
      <c r="E1198" t="s">
        <v>2912</v>
      </c>
      <c r="F1198">
        <v>0.6</v>
      </c>
      <c r="G1198">
        <v>99.71</v>
      </c>
      <c r="I1198" t="str" cm="1">
        <f t="array" ref="I1198:J1198">_xlfn.TEXTSPLIT(A1198," ")</f>
        <v>27.10.2023</v>
      </c>
      <c r="J1198" t="str">
        <v>19:57:58</v>
      </c>
      <c r="K1198">
        <f t="shared" si="296"/>
        <v>19.916666666666817</v>
      </c>
      <c r="L1198">
        <f t="shared" si="289"/>
        <v>12.579999999999998</v>
      </c>
      <c r="M1198">
        <f t="shared" si="290"/>
        <v>0</v>
      </c>
      <c r="N1198">
        <f t="shared" si="284"/>
        <v>0.63500000000000001</v>
      </c>
      <c r="Q1198" t="str" cm="1">
        <f t="array" ref="Q1198:R1198">_xlfn.TEXTSPLIT(E1198," ")</f>
        <v>27.10.2023</v>
      </c>
      <c r="R1198" t="str">
        <v>19:57:58</v>
      </c>
      <c r="S1198">
        <f t="shared" si="297"/>
        <v>19.916666666666817</v>
      </c>
      <c r="T1198">
        <f t="shared" si="288"/>
        <v>21.11</v>
      </c>
      <c r="U1198">
        <f t="shared" si="291"/>
        <v>0.6</v>
      </c>
      <c r="V1198">
        <f t="shared" si="285"/>
        <v>1.1124999999999996</v>
      </c>
      <c r="AC1198" t="s">
        <v>2913</v>
      </c>
      <c r="AD1198">
        <v>0</v>
      </c>
      <c r="AE1198">
        <v>12.73</v>
      </c>
      <c r="AG1198" t="str" cm="1">
        <f t="array" ref="AG1198:AH1198">_xlfn.TEXTSPLIT(AC1199," ")</f>
        <v>26.10.2023</v>
      </c>
      <c r="AH1198" t="str">
        <v>19:59:10</v>
      </c>
      <c r="AI1198">
        <f t="shared" si="298"/>
        <v>19.916666666666817</v>
      </c>
      <c r="AJ1198">
        <f t="shared" si="292"/>
        <v>8.1999999999999993</v>
      </c>
      <c r="AK1198">
        <f t="shared" si="293"/>
        <v>0</v>
      </c>
      <c r="AL1198">
        <f t="shared" si="286"/>
        <v>0.39750000000000002</v>
      </c>
      <c r="AN1198" t="s">
        <v>2913</v>
      </c>
      <c r="AO1198">
        <v>0.45</v>
      </c>
      <c r="AP1198">
        <v>76.069999999999993</v>
      </c>
      <c r="AR1198" t="str" cm="1">
        <f t="array" ref="AR1198:AS1198">_xlfn.TEXTSPLIT(AN1198," ")</f>
        <v>26.10.2023</v>
      </c>
      <c r="AS1198" t="str">
        <v>19:58:10</v>
      </c>
      <c r="AT1198">
        <f t="shared" si="299"/>
        <v>19.916666666666817</v>
      </c>
      <c r="AU1198">
        <f t="shared" si="294"/>
        <v>14.759999999999991</v>
      </c>
      <c r="AV1198">
        <f t="shared" si="295"/>
        <v>0.45</v>
      </c>
      <c r="AW1198">
        <f t="shared" si="287"/>
        <v>0.61250000000000004</v>
      </c>
    </row>
    <row r="1199" spans="1:49" x14ac:dyDescent="0.25">
      <c r="A1199" t="s">
        <v>2914</v>
      </c>
      <c r="B1199">
        <v>0</v>
      </c>
      <c r="C1199">
        <v>26.91</v>
      </c>
      <c r="E1199" t="s">
        <v>2914</v>
      </c>
      <c r="F1199">
        <v>0.75</v>
      </c>
      <c r="G1199">
        <v>99.73</v>
      </c>
      <c r="I1199" t="str" cm="1">
        <f t="array" ref="I1199:J1199">_xlfn.TEXTSPLIT(A1199," ")</f>
        <v>27.10.2023</v>
      </c>
      <c r="J1199" t="str">
        <v>19:58:58</v>
      </c>
      <c r="K1199">
        <f t="shared" si="296"/>
        <v>19.933333333333483</v>
      </c>
      <c r="L1199">
        <f t="shared" si="289"/>
        <v>12.59</v>
      </c>
      <c r="M1199">
        <f t="shared" si="290"/>
        <v>0</v>
      </c>
      <c r="N1199">
        <f t="shared" si="284"/>
        <v>0.63250000000000006</v>
      </c>
      <c r="Q1199" t="str" cm="1">
        <f t="array" ref="Q1199:R1199">_xlfn.TEXTSPLIT(E1199," ")</f>
        <v>27.10.2023</v>
      </c>
      <c r="R1199" t="str">
        <v>19:58:58</v>
      </c>
      <c r="S1199">
        <f t="shared" si="297"/>
        <v>19.933333333333483</v>
      </c>
      <c r="T1199">
        <f t="shared" si="288"/>
        <v>21.13000000000001</v>
      </c>
      <c r="U1199">
        <f t="shared" si="291"/>
        <v>0.75</v>
      </c>
      <c r="V1199">
        <f t="shared" si="285"/>
        <v>1.1149999999999995</v>
      </c>
      <c r="AC1199" t="s">
        <v>2915</v>
      </c>
      <c r="AD1199">
        <v>0</v>
      </c>
      <c r="AE1199">
        <v>12.73</v>
      </c>
      <c r="AG1199" t="str" cm="1">
        <f t="array" ref="AG1199:AH1199">_xlfn.TEXTSPLIT(AC1200," ")</f>
        <v>26.10.2023</v>
      </c>
      <c r="AH1199" t="str">
        <v>20:00:10</v>
      </c>
      <c r="AI1199">
        <f t="shared" si="298"/>
        <v>19.933333333333483</v>
      </c>
      <c r="AJ1199">
        <f t="shared" si="292"/>
        <v>8.1999999999999993</v>
      </c>
      <c r="AK1199">
        <f t="shared" si="293"/>
        <v>0</v>
      </c>
      <c r="AL1199">
        <f t="shared" si="286"/>
        <v>0.39750000000000002</v>
      </c>
      <c r="AN1199" t="s">
        <v>2915</v>
      </c>
      <c r="AO1199">
        <v>0.15</v>
      </c>
      <c r="AP1199">
        <v>76.069999999999993</v>
      </c>
      <c r="AR1199" t="str" cm="1">
        <f t="array" ref="AR1199:AS1199">_xlfn.TEXTSPLIT(AN1199," ")</f>
        <v>26.10.2023</v>
      </c>
      <c r="AS1199" t="str">
        <v>19:59:10</v>
      </c>
      <c r="AT1199">
        <f t="shared" si="299"/>
        <v>19.933333333333483</v>
      </c>
      <c r="AU1199">
        <f t="shared" si="294"/>
        <v>14.759999999999991</v>
      </c>
      <c r="AV1199">
        <f t="shared" si="295"/>
        <v>0.15</v>
      </c>
      <c r="AW1199">
        <f t="shared" si="287"/>
        <v>0.61</v>
      </c>
    </row>
    <row r="1200" spans="1:49" x14ac:dyDescent="0.25">
      <c r="A1200" t="s">
        <v>2916</v>
      </c>
      <c r="B1200">
        <v>0.3</v>
      </c>
      <c r="C1200">
        <v>26.91</v>
      </c>
      <c r="E1200" t="s">
        <v>2916</v>
      </c>
      <c r="F1200">
        <v>1.05</v>
      </c>
      <c r="G1200">
        <v>99.74</v>
      </c>
      <c r="I1200" t="str" cm="1">
        <f t="array" ref="I1200:J1200">_xlfn.TEXTSPLIT(A1200," ")</f>
        <v>27.10.2023</v>
      </c>
      <c r="J1200" t="str">
        <v>19:59:59</v>
      </c>
      <c r="K1200">
        <f t="shared" si="296"/>
        <v>19.950000000000149</v>
      </c>
      <c r="L1200">
        <f t="shared" si="289"/>
        <v>12.59</v>
      </c>
      <c r="M1200">
        <f t="shared" si="290"/>
        <v>0.3</v>
      </c>
      <c r="N1200">
        <f t="shared" si="284"/>
        <v>0.63500000000000001</v>
      </c>
      <c r="Q1200" t="str" cm="1">
        <f t="array" ref="Q1200:R1200">_xlfn.TEXTSPLIT(E1200," ")</f>
        <v>27.10.2023</v>
      </c>
      <c r="R1200" t="str">
        <v>19:59:59</v>
      </c>
      <c r="S1200">
        <f t="shared" si="297"/>
        <v>19.950000000000149</v>
      </c>
      <c r="T1200">
        <f t="shared" si="288"/>
        <v>21.14</v>
      </c>
      <c r="U1200">
        <f t="shared" si="291"/>
        <v>1.05</v>
      </c>
      <c r="V1200">
        <f t="shared" si="285"/>
        <v>1.1199999999999997</v>
      </c>
      <c r="AC1200" t="s">
        <v>2917</v>
      </c>
      <c r="AD1200">
        <v>0</v>
      </c>
      <c r="AE1200">
        <v>12.73</v>
      </c>
      <c r="AG1200" t="str" cm="1">
        <f t="array" ref="AG1200:AH1200">_xlfn.TEXTSPLIT(AC1201," ")</f>
        <v>26.10.2023</v>
      </c>
      <c r="AH1200" t="str">
        <v>20:01:11</v>
      </c>
      <c r="AI1200">
        <f t="shared" si="298"/>
        <v>19.950000000000149</v>
      </c>
      <c r="AJ1200">
        <f t="shared" si="292"/>
        <v>8.1999999999999993</v>
      </c>
      <c r="AK1200">
        <f t="shared" si="293"/>
        <v>0</v>
      </c>
      <c r="AL1200">
        <f t="shared" si="286"/>
        <v>0.39750000000000002</v>
      </c>
      <c r="AN1200" t="s">
        <v>2917</v>
      </c>
      <c r="AO1200">
        <v>0.3</v>
      </c>
      <c r="AP1200">
        <v>76.08</v>
      </c>
      <c r="AR1200" t="str" cm="1">
        <f t="array" ref="AR1200:AS1200">_xlfn.TEXTSPLIT(AN1200," ")</f>
        <v>26.10.2023</v>
      </c>
      <c r="AS1200" t="str">
        <v>20:00:10</v>
      </c>
      <c r="AT1200">
        <f t="shared" si="299"/>
        <v>19.950000000000149</v>
      </c>
      <c r="AU1200">
        <f t="shared" si="294"/>
        <v>14.769999999999996</v>
      </c>
      <c r="AV1200">
        <f t="shared" si="295"/>
        <v>0.3</v>
      </c>
      <c r="AW1200">
        <f t="shared" si="287"/>
        <v>0.60999999999999988</v>
      </c>
    </row>
    <row r="1201" spans="1:49" x14ac:dyDescent="0.25">
      <c r="A1201" t="s">
        <v>2918</v>
      </c>
      <c r="B1201">
        <v>0.45</v>
      </c>
      <c r="C1201">
        <v>26.92</v>
      </c>
      <c r="E1201" t="s">
        <v>2918</v>
      </c>
      <c r="F1201">
        <v>0.9</v>
      </c>
      <c r="G1201">
        <v>99.76</v>
      </c>
      <c r="I1201" t="str" cm="1">
        <f t="array" ref="I1201:J1201">_xlfn.TEXTSPLIT(A1201," ")</f>
        <v>27.10.2023</v>
      </c>
      <c r="J1201" t="str">
        <v>20:00:59</v>
      </c>
      <c r="K1201">
        <f t="shared" si="296"/>
        <v>19.966666666666814</v>
      </c>
      <c r="L1201">
        <f t="shared" si="289"/>
        <v>12.600000000000001</v>
      </c>
      <c r="M1201">
        <f t="shared" si="290"/>
        <v>0.45</v>
      </c>
      <c r="N1201">
        <f t="shared" si="284"/>
        <v>0.63749999999999996</v>
      </c>
      <c r="Q1201" t="str" cm="1">
        <f t="array" ref="Q1201:R1201">_xlfn.TEXTSPLIT(E1201," ")</f>
        <v>27.10.2023</v>
      </c>
      <c r="R1201" t="str">
        <v>20:00:59</v>
      </c>
      <c r="S1201">
        <f t="shared" si="297"/>
        <v>19.966666666666814</v>
      </c>
      <c r="T1201">
        <f t="shared" si="288"/>
        <v>21.160000000000011</v>
      </c>
      <c r="U1201">
        <f t="shared" si="291"/>
        <v>0.9</v>
      </c>
      <c r="V1201">
        <f t="shared" si="285"/>
        <v>1.1174999999999999</v>
      </c>
      <c r="AC1201" t="s">
        <v>2919</v>
      </c>
      <c r="AD1201">
        <v>0</v>
      </c>
      <c r="AE1201">
        <v>12.73</v>
      </c>
      <c r="AG1201" t="str" cm="1">
        <f t="array" ref="AG1201:AH1201">_xlfn.TEXTSPLIT(AC1202," ")</f>
        <v>26.10.2023</v>
      </c>
      <c r="AH1201" t="str">
        <v>20:02:11</v>
      </c>
      <c r="AI1201">
        <f t="shared" si="298"/>
        <v>19.966666666666814</v>
      </c>
      <c r="AJ1201">
        <f t="shared" si="292"/>
        <v>8.1999999999999993</v>
      </c>
      <c r="AK1201">
        <f t="shared" si="293"/>
        <v>0</v>
      </c>
      <c r="AL1201">
        <f t="shared" si="286"/>
        <v>0.39750000000000002</v>
      </c>
      <c r="AN1201" t="s">
        <v>2919</v>
      </c>
      <c r="AO1201">
        <v>0.15</v>
      </c>
      <c r="AP1201">
        <v>76.08</v>
      </c>
      <c r="AR1201" t="str" cm="1">
        <f t="array" ref="AR1201:AS1201">_xlfn.TEXTSPLIT(AN1201," ")</f>
        <v>26.10.2023</v>
      </c>
      <c r="AS1201" t="str">
        <v>20:01:11</v>
      </c>
      <c r="AT1201">
        <f t="shared" si="299"/>
        <v>19.966666666666814</v>
      </c>
      <c r="AU1201">
        <f t="shared" si="294"/>
        <v>14.769999999999996</v>
      </c>
      <c r="AV1201">
        <f t="shared" si="295"/>
        <v>0.15</v>
      </c>
      <c r="AW1201">
        <f t="shared" si="287"/>
        <v>0.60749999999999993</v>
      </c>
    </row>
    <row r="1202" spans="1:49" x14ac:dyDescent="0.25">
      <c r="A1202" t="s">
        <v>2920</v>
      </c>
      <c r="B1202">
        <v>0.45</v>
      </c>
      <c r="C1202">
        <v>26.93</v>
      </c>
      <c r="E1202" t="s">
        <v>2920</v>
      </c>
      <c r="F1202">
        <v>1.05</v>
      </c>
      <c r="G1202">
        <v>99.78</v>
      </c>
      <c r="I1202" t="str" cm="1">
        <f t="array" ref="I1202:J1202">_xlfn.TEXTSPLIT(A1202," ")</f>
        <v>27.10.2023</v>
      </c>
      <c r="J1202" t="str">
        <v>20:01:59</v>
      </c>
      <c r="K1202">
        <f t="shared" si="296"/>
        <v>19.98333333333348</v>
      </c>
      <c r="L1202">
        <f t="shared" si="289"/>
        <v>12.61</v>
      </c>
      <c r="M1202">
        <f t="shared" si="290"/>
        <v>0.45</v>
      </c>
      <c r="N1202">
        <f t="shared" si="284"/>
        <v>0.64250000000000007</v>
      </c>
      <c r="Q1202" t="str" cm="1">
        <f t="array" ref="Q1202:R1202">_xlfn.TEXTSPLIT(E1202," ")</f>
        <v>27.10.2023</v>
      </c>
      <c r="R1202" t="str">
        <v>20:01:59</v>
      </c>
      <c r="S1202">
        <f t="shared" si="297"/>
        <v>19.98333333333348</v>
      </c>
      <c r="T1202">
        <f t="shared" si="288"/>
        <v>21.180000000000007</v>
      </c>
      <c r="U1202">
        <f t="shared" si="291"/>
        <v>1.05</v>
      </c>
      <c r="V1202">
        <f t="shared" si="285"/>
        <v>1.1125</v>
      </c>
      <c r="AC1202" t="s">
        <v>2921</v>
      </c>
      <c r="AD1202">
        <v>0</v>
      </c>
      <c r="AE1202">
        <v>12.73</v>
      </c>
      <c r="AG1202" t="str" cm="1">
        <f t="array" ref="AG1202:AH1202">_xlfn.TEXTSPLIT(AC1203," ")</f>
        <v>26.10.2023</v>
      </c>
      <c r="AH1202" t="str">
        <v>20:03:11</v>
      </c>
      <c r="AI1202">
        <f t="shared" si="298"/>
        <v>19.98333333333348</v>
      </c>
      <c r="AJ1202">
        <f t="shared" si="292"/>
        <v>8.1999999999999993</v>
      </c>
      <c r="AK1202">
        <f t="shared" si="293"/>
        <v>0</v>
      </c>
      <c r="AL1202">
        <f t="shared" si="286"/>
        <v>0.39750000000000002</v>
      </c>
      <c r="AN1202" t="s">
        <v>2921</v>
      </c>
      <c r="AO1202">
        <v>0.45</v>
      </c>
      <c r="AP1202">
        <v>76.09</v>
      </c>
      <c r="AR1202" t="str" cm="1">
        <f t="array" ref="AR1202:AS1202">_xlfn.TEXTSPLIT(AN1202," ")</f>
        <v>26.10.2023</v>
      </c>
      <c r="AS1202" t="str">
        <v>20:02:11</v>
      </c>
      <c r="AT1202">
        <f t="shared" si="299"/>
        <v>19.98333333333348</v>
      </c>
      <c r="AU1202">
        <f t="shared" si="294"/>
        <v>14.780000000000001</v>
      </c>
      <c r="AV1202">
        <f t="shared" si="295"/>
        <v>0.45</v>
      </c>
      <c r="AW1202">
        <f t="shared" si="287"/>
        <v>0.60499999999999998</v>
      </c>
    </row>
    <row r="1203" spans="1:49" x14ac:dyDescent="0.25">
      <c r="A1203" t="s">
        <v>2922</v>
      </c>
      <c r="B1203">
        <v>0.45</v>
      </c>
      <c r="C1203">
        <v>26.94</v>
      </c>
      <c r="E1203" t="s">
        <v>2922</v>
      </c>
      <c r="F1203">
        <v>1.05</v>
      </c>
      <c r="G1203">
        <v>99.79</v>
      </c>
      <c r="I1203" t="str" cm="1">
        <f t="array" ref="I1203:J1203">_xlfn.TEXTSPLIT(A1203," ")</f>
        <v>27.10.2023</v>
      </c>
      <c r="J1203" t="str">
        <v>20:02:59</v>
      </c>
      <c r="K1203">
        <f t="shared" si="296"/>
        <v>20.000000000000146</v>
      </c>
      <c r="L1203">
        <f t="shared" si="289"/>
        <v>12.620000000000001</v>
      </c>
      <c r="M1203">
        <f t="shared" si="290"/>
        <v>0.45</v>
      </c>
      <c r="N1203">
        <f t="shared" si="284"/>
        <v>0.64500000000000002</v>
      </c>
      <c r="Q1203" t="str" cm="1">
        <f t="array" ref="Q1203:R1203">_xlfn.TEXTSPLIT(E1203," ")</f>
        <v>27.10.2023</v>
      </c>
      <c r="R1203" t="str">
        <v>20:02:59</v>
      </c>
      <c r="S1203">
        <f t="shared" si="297"/>
        <v>20.000000000000146</v>
      </c>
      <c r="T1203">
        <f t="shared" si="288"/>
        <v>21.190000000000012</v>
      </c>
      <c r="U1203">
        <f t="shared" si="291"/>
        <v>1.05</v>
      </c>
      <c r="V1203">
        <f t="shared" si="285"/>
        <v>1.1074999999999997</v>
      </c>
      <c r="AC1203" t="s">
        <v>2923</v>
      </c>
      <c r="AD1203">
        <v>0</v>
      </c>
      <c r="AE1203">
        <v>12.73</v>
      </c>
      <c r="AG1203" t="str" cm="1">
        <f t="array" ref="AG1203:AH1203">_xlfn.TEXTSPLIT(AC1204," ")</f>
        <v>26.10.2023</v>
      </c>
      <c r="AH1203" t="str">
        <v>20:04:11</v>
      </c>
      <c r="AI1203">
        <f t="shared" si="298"/>
        <v>20.000000000000146</v>
      </c>
      <c r="AJ1203">
        <f t="shared" si="292"/>
        <v>8.1999999999999993</v>
      </c>
      <c r="AK1203">
        <f t="shared" si="293"/>
        <v>0</v>
      </c>
      <c r="AL1203">
        <f t="shared" si="286"/>
        <v>0.39750000000000002</v>
      </c>
      <c r="AN1203" t="s">
        <v>2923</v>
      </c>
      <c r="AO1203">
        <v>0.45</v>
      </c>
      <c r="AP1203">
        <v>76.099999999999994</v>
      </c>
      <c r="AR1203" t="str" cm="1">
        <f t="array" ref="AR1203:AS1203">_xlfn.TEXTSPLIT(AN1203," ")</f>
        <v>26.10.2023</v>
      </c>
      <c r="AS1203" t="str">
        <v>20:03:11</v>
      </c>
      <c r="AT1203">
        <f t="shared" si="299"/>
        <v>20.000000000000146</v>
      </c>
      <c r="AU1203">
        <f t="shared" si="294"/>
        <v>14.789999999999992</v>
      </c>
      <c r="AV1203">
        <f t="shared" si="295"/>
        <v>0.45</v>
      </c>
      <c r="AW1203">
        <f t="shared" si="287"/>
        <v>0.60249999999999981</v>
      </c>
    </row>
    <row r="1204" spans="1:49" x14ac:dyDescent="0.25">
      <c r="A1204" t="s">
        <v>2924</v>
      </c>
      <c r="B1204">
        <v>0.6</v>
      </c>
      <c r="C1204">
        <v>26.94</v>
      </c>
      <c r="E1204" t="s">
        <v>2924</v>
      </c>
      <c r="F1204">
        <v>0.75</v>
      </c>
      <c r="G1204">
        <v>99.8</v>
      </c>
      <c r="I1204" t="str" cm="1">
        <f t="array" ref="I1204:J1204">_xlfn.TEXTSPLIT(A1204," ")</f>
        <v>27.10.2023</v>
      </c>
      <c r="J1204" t="str">
        <v>20:03:59</v>
      </c>
      <c r="K1204">
        <f t="shared" si="296"/>
        <v>20.016666666666811</v>
      </c>
      <c r="L1204">
        <f t="shared" si="289"/>
        <v>12.620000000000001</v>
      </c>
      <c r="M1204">
        <f t="shared" si="290"/>
        <v>0.6</v>
      </c>
      <c r="N1204">
        <f t="shared" si="284"/>
        <v>0.64500000000000013</v>
      </c>
      <c r="Q1204" t="str" cm="1">
        <f t="array" ref="Q1204:R1204">_xlfn.TEXTSPLIT(E1204," ")</f>
        <v>27.10.2023</v>
      </c>
      <c r="R1204" t="str">
        <v>20:03:59</v>
      </c>
      <c r="S1204">
        <f t="shared" si="297"/>
        <v>20.016666666666811</v>
      </c>
      <c r="T1204">
        <f t="shared" si="288"/>
        <v>21.200000000000003</v>
      </c>
      <c r="U1204">
        <f t="shared" si="291"/>
        <v>0.75</v>
      </c>
      <c r="V1204">
        <f t="shared" si="285"/>
        <v>1.0999999999999999</v>
      </c>
      <c r="AC1204" t="s">
        <v>2925</v>
      </c>
      <c r="AD1204">
        <v>0</v>
      </c>
      <c r="AE1204">
        <v>12.73</v>
      </c>
      <c r="AG1204" t="str" cm="1">
        <f t="array" ref="AG1204:AH1204">_xlfn.TEXTSPLIT(AC1205," ")</f>
        <v>26.10.2023</v>
      </c>
      <c r="AH1204" t="str">
        <v>20:05:11</v>
      </c>
      <c r="AI1204">
        <f t="shared" si="298"/>
        <v>20.016666666666811</v>
      </c>
      <c r="AJ1204">
        <f t="shared" si="292"/>
        <v>8.1999999999999993</v>
      </c>
      <c r="AK1204">
        <f t="shared" si="293"/>
        <v>0</v>
      </c>
      <c r="AL1204">
        <f t="shared" si="286"/>
        <v>0.39750000000000002</v>
      </c>
      <c r="AN1204" t="s">
        <v>2925</v>
      </c>
      <c r="AO1204">
        <v>0.6</v>
      </c>
      <c r="AP1204">
        <v>76.099999999999994</v>
      </c>
      <c r="AR1204" t="str" cm="1">
        <f t="array" ref="AR1204:AS1204">_xlfn.TEXTSPLIT(AN1204," ")</f>
        <v>26.10.2023</v>
      </c>
      <c r="AS1204" t="str">
        <v>20:04:11</v>
      </c>
      <c r="AT1204">
        <f t="shared" si="299"/>
        <v>20.016666666666811</v>
      </c>
      <c r="AU1204">
        <f t="shared" si="294"/>
        <v>14.789999999999992</v>
      </c>
      <c r="AV1204">
        <f t="shared" si="295"/>
        <v>0.6</v>
      </c>
      <c r="AW1204">
        <f t="shared" si="287"/>
        <v>0.60249999999999981</v>
      </c>
    </row>
    <row r="1205" spans="1:49" x14ac:dyDescent="0.25">
      <c r="A1205" t="s">
        <v>2926</v>
      </c>
      <c r="B1205">
        <v>0.45</v>
      </c>
      <c r="C1205">
        <v>26.95</v>
      </c>
      <c r="E1205" t="s">
        <v>2926</v>
      </c>
      <c r="F1205">
        <v>0.75</v>
      </c>
      <c r="G1205">
        <v>99.81</v>
      </c>
      <c r="I1205" t="str" cm="1">
        <f t="array" ref="I1205:J1205">_xlfn.TEXTSPLIT(A1205," ")</f>
        <v>27.10.2023</v>
      </c>
      <c r="J1205" t="str">
        <v>20:04:59</v>
      </c>
      <c r="K1205">
        <f t="shared" si="296"/>
        <v>20.033333333333477</v>
      </c>
      <c r="L1205">
        <f t="shared" si="289"/>
        <v>12.629999999999999</v>
      </c>
      <c r="M1205">
        <f t="shared" si="290"/>
        <v>0.45</v>
      </c>
      <c r="N1205">
        <f t="shared" si="284"/>
        <v>0.64250000000000018</v>
      </c>
      <c r="Q1205" t="str" cm="1">
        <f t="array" ref="Q1205:R1205">_xlfn.TEXTSPLIT(E1205," ")</f>
        <v>27.10.2023</v>
      </c>
      <c r="R1205" t="str">
        <v>20:04:59</v>
      </c>
      <c r="S1205">
        <f t="shared" si="297"/>
        <v>20.033333333333477</v>
      </c>
      <c r="T1205">
        <f t="shared" si="288"/>
        <v>21.210000000000008</v>
      </c>
      <c r="U1205">
        <f t="shared" si="291"/>
        <v>0.75</v>
      </c>
      <c r="V1205">
        <f t="shared" si="285"/>
        <v>1.0974999999999999</v>
      </c>
      <c r="AC1205" t="s">
        <v>2927</v>
      </c>
      <c r="AD1205">
        <v>0</v>
      </c>
      <c r="AE1205">
        <v>12.73</v>
      </c>
      <c r="AG1205" t="str" cm="1">
        <f t="array" ref="AG1205:AH1205">_xlfn.TEXTSPLIT(AC1206," ")</f>
        <v>26.10.2023</v>
      </c>
      <c r="AH1205" t="str">
        <v>20:06:11</v>
      </c>
      <c r="AI1205">
        <f t="shared" si="298"/>
        <v>20.033333333333477</v>
      </c>
      <c r="AJ1205">
        <f t="shared" si="292"/>
        <v>8.1999999999999993</v>
      </c>
      <c r="AK1205">
        <f t="shared" si="293"/>
        <v>0</v>
      </c>
      <c r="AL1205">
        <f t="shared" si="286"/>
        <v>0.39750000000000002</v>
      </c>
      <c r="AN1205" t="s">
        <v>2927</v>
      </c>
      <c r="AO1205">
        <v>0.45</v>
      </c>
      <c r="AP1205">
        <v>76.11</v>
      </c>
      <c r="AR1205" t="str" cm="1">
        <f t="array" ref="AR1205:AS1205">_xlfn.TEXTSPLIT(AN1205," ")</f>
        <v>26.10.2023</v>
      </c>
      <c r="AS1205" t="str">
        <v>20:05:11</v>
      </c>
      <c r="AT1205">
        <f t="shared" si="299"/>
        <v>20.033333333333477</v>
      </c>
      <c r="AU1205">
        <f t="shared" si="294"/>
        <v>14.799999999999997</v>
      </c>
      <c r="AV1205">
        <f t="shared" si="295"/>
        <v>0.45</v>
      </c>
      <c r="AW1205">
        <f t="shared" si="287"/>
        <v>0.60249999999999992</v>
      </c>
    </row>
    <row r="1206" spans="1:49" x14ac:dyDescent="0.25">
      <c r="A1206" t="s">
        <v>2928</v>
      </c>
      <c r="B1206">
        <v>0.45</v>
      </c>
      <c r="C1206">
        <v>26.96</v>
      </c>
      <c r="E1206" t="s">
        <v>2928</v>
      </c>
      <c r="F1206">
        <v>0.9</v>
      </c>
      <c r="G1206">
        <v>99.85</v>
      </c>
      <c r="I1206" t="str" cm="1">
        <f t="array" ref="I1206:J1206">_xlfn.TEXTSPLIT(A1206," ")</f>
        <v>27.10.2023</v>
      </c>
      <c r="J1206" t="str">
        <v>20:05:59</v>
      </c>
      <c r="K1206">
        <f t="shared" si="296"/>
        <v>20.050000000000143</v>
      </c>
      <c r="L1206">
        <f t="shared" si="289"/>
        <v>12.64</v>
      </c>
      <c r="M1206">
        <f t="shared" si="290"/>
        <v>0.45</v>
      </c>
      <c r="N1206">
        <f t="shared" si="284"/>
        <v>0.64250000000000029</v>
      </c>
      <c r="Q1206" t="str" cm="1">
        <f t="array" ref="Q1206:R1206">_xlfn.TEXTSPLIT(E1206," ")</f>
        <v>27.10.2023</v>
      </c>
      <c r="R1206" t="str">
        <v>20:05:59</v>
      </c>
      <c r="S1206">
        <f t="shared" si="297"/>
        <v>20.050000000000143</v>
      </c>
      <c r="T1206">
        <f t="shared" si="288"/>
        <v>21.25</v>
      </c>
      <c r="U1206">
        <f t="shared" si="291"/>
        <v>0.9</v>
      </c>
      <c r="V1206">
        <f t="shared" si="285"/>
        <v>1.0974999999999999</v>
      </c>
      <c r="AC1206" t="s">
        <v>2929</v>
      </c>
      <c r="AD1206">
        <v>0</v>
      </c>
      <c r="AE1206">
        <v>12.73</v>
      </c>
      <c r="AG1206" t="str" cm="1">
        <f t="array" ref="AG1206:AH1206">_xlfn.TEXTSPLIT(AC1207," ")</f>
        <v>26.10.2023</v>
      </c>
      <c r="AH1206" t="str">
        <v>20:07:11</v>
      </c>
      <c r="AI1206">
        <f t="shared" si="298"/>
        <v>20.050000000000143</v>
      </c>
      <c r="AJ1206">
        <f t="shared" si="292"/>
        <v>8.1999999999999993</v>
      </c>
      <c r="AK1206">
        <f t="shared" si="293"/>
        <v>0</v>
      </c>
      <c r="AL1206">
        <f t="shared" si="286"/>
        <v>0.39500000000000007</v>
      </c>
      <c r="AN1206" t="s">
        <v>2929</v>
      </c>
      <c r="AO1206">
        <v>0.45</v>
      </c>
      <c r="AP1206">
        <v>76.12</v>
      </c>
      <c r="AR1206" t="str" cm="1">
        <f t="array" ref="AR1206:AS1206">_xlfn.TEXTSPLIT(AN1206," ")</f>
        <v>26.10.2023</v>
      </c>
      <c r="AS1206" t="str">
        <v>20:06:11</v>
      </c>
      <c r="AT1206">
        <f t="shared" si="299"/>
        <v>20.050000000000143</v>
      </c>
      <c r="AU1206">
        <f t="shared" si="294"/>
        <v>14.810000000000002</v>
      </c>
      <c r="AV1206">
        <f t="shared" si="295"/>
        <v>0.45</v>
      </c>
      <c r="AW1206">
        <f t="shared" si="287"/>
        <v>0.60249999999999992</v>
      </c>
    </row>
    <row r="1207" spans="1:49" x14ac:dyDescent="0.25">
      <c r="A1207" t="s">
        <v>2930</v>
      </c>
      <c r="B1207">
        <v>0.6</v>
      </c>
      <c r="C1207">
        <v>26.97</v>
      </c>
      <c r="E1207" t="s">
        <v>2930</v>
      </c>
      <c r="F1207">
        <v>1.8</v>
      </c>
      <c r="G1207">
        <v>99.91</v>
      </c>
      <c r="I1207" t="str" cm="1">
        <f t="array" ref="I1207:J1207">_xlfn.TEXTSPLIT(A1207," ")</f>
        <v>27.10.2023</v>
      </c>
      <c r="J1207" t="str">
        <v>20:06:59</v>
      </c>
      <c r="K1207">
        <f t="shared" si="296"/>
        <v>20.066666666666809</v>
      </c>
      <c r="L1207">
        <f t="shared" si="289"/>
        <v>12.649999999999999</v>
      </c>
      <c r="M1207">
        <f t="shared" si="290"/>
        <v>0.6</v>
      </c>
      <c r="N1207">
        <f t="shared" si="284"/>
        <v>0.64250000000000029</v>
      </c>
      <c r="Q1207" t="str" cm="1">
        <f t="array" ref="Q1207:R1207">_xlfn.TEXTSPLIT(E1207," ")</f>
        <v>27.10.2023</v>
      </c>
      <c r="R1207" t="str">
        <v>20:06:59</v>
      </c>
      <c r="S1207">
        <f t="shared" si="297"/>
        <v>20.066666666666809</v>
      </c>
      <c r="T1207">
        <f t="shared" si="288"/>
        <v>21.310000000000002</v>
      </c>
      <c r="U1207">
        <f t="shared" si="291"/>
        <v>1.8</v>
      </c>
      <c r="V1207">
        <f t="shared" si="285"/>
        <v>1.0874999999999999</v>
      </c>
      <c r="AC1207" t="s">
        <v>2931</v>
      </c>
      <c r="AD1207">
        <v>0</v>
      </c>
      <c r="AE1207">
        <v>12.73</v>
      </c>
      <c r="AG1207" t="str" cm="1">
        <f t="array" ref="AG1207:AH1207">_xlfn.TEXTSPLIT(AC1208," ")</f>
        <v>26.10.2023</v>
      </c>
      <c r="AH1207" t="str">
        <v>20:08:11</v>
      </c>
      <c r="AI1207">
        <f t="shared" si="298"/>
        <v>20.066666666666809</v>
      </c>
      <c r="AJ1207">
        <f t="shared" si="292"/>
        <v>8.1999999999999993</v>
      </c>
      <c r="AK1207">
        <f t="shared" si="293"/>
        <v>0</v>
      </c>
      <c r="AL1207">
        <f t="shared" si="286"/>
        <v>0.39250000000000002</v>
      </c>
      <c r="AN1207" t="s">
        <v>2931</v>
      </c>
      <c r="AO1207">
        <v>1.05</v>
      </c>
      <c r="AP1207">
        <v>76.150000000000006</v>
      </c>
      <c r="AR1207" t="str" cm="1">
        <f t="array" ref="AR1207:AS1207">_xlfn.TEXTSPLIT(AN1207," ")</f>
        <v>26.10.2023</v>
      </c>
      <c r="AS1207" t="str">
        <v>20:07:11</v>
      </c>
      <c r="AT1207">
        <f t="shared" si="299"/>
        <v>20.066666666666809</v>
      </c>
      <c r="AU1207">
        <f t="shared" si="294"/>
        <v>14.840000000000003</v>
      </c>
      <c r="AV1207">
        <f t="shared" si="295"/>
        <v>1.05</v>
      </c>
      <c r="AW1207">
        <f t="shared" si="287"/>
        <v>0.60249999999999992</v>
      </c>
    </row>
    <row r="1208" spans="1:49" x14ac:dyDescent="0.25">
      <c r="A1208" t="s">
        <v>2932</v>
      </c>
      <c r="B1208">
        <v>0.75</v>
      </c>
      <c r="C1208">
        <v>27.01</v>
      </c>
      <c r="E1208" t="s">
        <v>2932</v>
      </c>
      <c r="F1208">
        <v>3.6</v>
      </c>
      <c r="G1208">
        <v>99.94</v>
      </c>
      <c r="I1208" t="str" cm="1">
        <f t="array" ref="I1208:J1208">_xlfn.TEXTSPLIT(A1208," ")</f>
        <v>27.10.2023</v>
      </c>
      <c r="J1208" t="str">
        <v>20:07:59</v>
      </c>
      <c r="K1208">
        <f t="shared" si="296"/>
        <v>20.083333333333474</v>
      </c>
      <c r="L1208">
        <f t="shared" si="289"/>
        <v>12.690000000000001</v>
      </c>
      <c r="M1208">
        <f t="shared" si="290"/>
        <v>0.75</v>
      </c>
      <c r="N1208">
        <f t="shared" si="284"/>
        <v>0.64500000000000024</v>
      </c>
      <c r="Q1208" t="str" cm="1">
        <f t="array" ref="Q1208:R1208">_xlfn.TEXTSPLIT(E1208," ")</f>
        <v>27.10.2023</v>
      </c>
      <c r="R1208" t="str">
        <v>20:07:59</v>
      </c>
      <c r="S1208">
        <f t="shared" si="297"/>
        <v>20.083333333333474</v>
      </c>
      <c r="T1208">
        <f t="shared" si="288"/>
        <v>21.340000000000003</v>
      </c>
      <c r="U1208">
        <f t="shared" si="291"/>
        <v>3.6</v>
      </c>
      <c r="V1208">
        <f t="shared" si="285"/>
        <v>1.0974999999999999</v>
      </c>
      <c r="AC1208" t="s">
        <v>2933</v>
      </c>
      <c r="AD1208">
        <v>1.05</v>
      </c>
      <c r="AE1208">
        <v>12.75</v>
      </c>
      <c r="AG1208" t="str" cm="1">
        <f t="array" ref="AG1208:AH1208">_xlfn.TEXTSPLIT(AC1209," ")</f>
        <v>26.10.2023</v>
      </c>
      <c r="AH1208" t="str">
        <v>20:09:11</v>
      </c>
      <c r="AI1208">
        <f t="shared" si="298"/>
        <v>20.083333333333474</v>
      </c>
      <c r="AJ1208">
        <f t="shared" si="292"/>
        <v>8.2199999999999989</v>
      </c>
      <c r="AK1208">
        <f t="shared" si="293"/>
        <v>1.05</v>
      </c>
      <c r="AL1208">
        <f t="shared" si="286"/>
        <v>0.39500000000000007</v>
      </c>
      <c r="AN1208" t="s">
        <v>2933</v>
      </c>
      <c r="AO1208">
        <v>1.8</v>
      </c>
      <c r="AP1208">
        <v>76.180000000000007</v>
      </c>
      <c r="AR1208" t="str" cm="1">
        <f t="array" ref="AR1208:AS1208">_xlfn.TEXTSPLIT(AN1208," ")</f>
        <v>26.10.2023</v>
      </c>
      <c r="AS1208" t="str">
        <v>20:08:11</v>
      </c>
      <c r="AT1208">
        <f t="shared" si="299"/>
        <v>20.083333333333474</v>
      </c>
      <c r="AU1208">
        <f t="shared" si="294"/>
        <v>14.870000000000005</v>
      </c>
      <c r="AV1208">
        <f t="shared" si="295"/>
        <v>1.8</v>
      </c>
      <c r="AW1208">
        <f t="shared" si="287"/>
        <v>0.59999999999999976</v>
      </c>
    </row>
    <row r="1209" spans="1:49" x14ac:dyDescent="0.25">
      <c r="A1209" t="s">
        <v>2934</v>
      </c>
      <c r="B1209">
        <v>2.25</v>
      </c>
      <c r="C1209">
        <v>27.05</v>
      </c>
      <c r="E1209" t="s">
        <v>2934</v>
      </c>
      <c r="F1209">
        <v>1.8</v>
      </c>
      <c r="G1209">
        <v>99.96</v>
      </c>
      <c r="I1209" t="str" cm="1">
        <f t="array" ref="I1209:J1209">_xlfn.TEXTSPLIT(A1209," ")</f>
        <v>27.10.2023</v>
      </c>
      <c r="J1209" t="str">
        <v>20:08:59</v>
      </c>
      <c r="K1209">
        <f t="shared" si="296"/>
        <v>20.10000000000014</v>
      </c>
      <c r="L1209">
        <f t="shared" si="289"/>
        <v>12.73</v>
      </c>
      <c r="M1209">
        <f t="shared" si="290"/>
        <v>2.25</v>
      </c>
      <c r="N1209">
        <f t="shared" si="284"/>
        <v>0.63750000000000029</v>
      </c>
      <c r="Q1209" t="str" cm="1">
        <f t="array" ref="Q1209:R1209">_xlfn.TEXTSPLIT(E1209," ")</f>
        <v>27.10.2023</v>
      </c>
      <c r="R1209" t="str">
        <v>20:08:59</v>
      </c>
      <c r="S1209">
        <f t="shared" si="297"/>
        <v>20.10000000000014</v>
      </c>
      <c r="T1209">
        <f t="shared" si="288"/>
        <v>21.36</v>
      </c>
      <c r="U1209">
        <f t="shared" si="291"/>
        <v>1.8</v>
      </c>
      <c r="V1209">
        <f t="shared" si="285"/>
        <v>1.0999999999999999</v>
      </c>
      <c r="AC1209" t="s">
        <v>2935</v>
      </c>
      <c r="AD1209">
        <v>1.95</v>
      </c>
      <c r="AE1209">
        <v>12.78</v>
      </c>
      <c r="AG1209" t="str" cm="1">
        <f t="array" ref="AG1209:AH1209">_xlfn.TEXTSPLIT(AC1210," ")</f>
        <v>26.10.2023</v>
      </c>
      <c r="AH1209" t="str">
        <v>20:10:11</v>
      </c>
      <c r="AI1209">
        <f t="shared" si="298"/>
        <v>20.10000000000014</v>
      </c>
      <c r="AJ1209">
        <f t="shared" si="292"/>
        <v>8.25</v>
      </c>
      <c r="AK1209">
        <f t="shared" si="293"/>
        <v>1.95</v>
      </c>
      <c r="AL1209">
        <f t="shared" si="286"/>
        <v>0.39250000000000007</v>
      </c>
      <c r="AN1209" t="s">
        <v>2935</v>
      </c>
      <c r="AO1209">
        <v>2.5499999999999998</v>
      </c>
      <c r="AP1209">
        <v>76.22</v>
      </c>
      <c r="AR1209" t="str" cm="1">
        <f t="array" ref="AR1209:AS1209">_xlfn.TEXTSPLIT(AN1209," ")</f>
        <v>26.10.2023</v>
      </c>
      <c r="AS1209" t="str">
        <v>20:09:11</v>
      </c>
      <c r="AT1209">
        <f t="shared" si="299"/>
        <v>20.10000000000014</v>
      </c>
      <c r="AU1209">
        <f t="shared" si="294"/>
        <v>14.909999999999997</v>
      </c>
      <c r="AV1209">
        <f t="shared" si="295"/>
        <v>2.5499999999999998</v>
      </c>
      <c r="AW1209">
        <f t="shared" si="287"/>
        <v>0.60749999999999971</v>
      </c>
    </row>
    <row r="1210" spans="1:49" x14ac:dyDescent="0.25">
      <c r="A1210" t="s">
        <v>2936</v>
      </c>
      <c r="B1210">
        <v>2.25</v>
      </c>
      <c r="C1210">
        <v>27.06</v>
      </c>
      <c r="E1210" t="s">
        <v>2936</v>
      </c>
      <c r="F1210">
        <v>1.2</v>
      </c>
      <c r="G1210">
        <v>99.99</v>
      </c>
      <c r="I1210" t="str" cm="1">
        <f t="array" ref="I1210:J1210">_xlfn.TEXTSPLIT(A1210," ")</f>
        <v>27.10.2023</v>
      </c>
      <c r="J1210" t="str">
        <v>20:09:59</v>
      </c>
      <c r="K1210">
        <f t="shared" si="296"/>
        <v>20.116666666666806</v>
      </c>
      <c r="L1210">
        <f t="shared" si="289"/>
        <v>12.739999999999998</v>
      </c>
      <c r="M1210">
        <f t="shared" si="290"/>
        <v>2.25</v>
      </c>
      <c r="N1210">
        <f t="shared" si="284"/>
        <v>0.64250000000000007</v>
      </c>
      <c r="Q1210" t="str" cm="1">
        <f t="array" ref="Q1210:R1210">_xlfn.TEXTSPLIT(E1210," ")</f>
        <v>27.10.2023</v>
      </c>
      <c r="R1210" t="str">
        <v>20:09:59</v>
      </c>
      <c r="S1210">
        <f t="shared" si="297"/>
        <v>20.116666666666806</v>
      </c>
      <c r="T1210">
        <f t="shared" si="288"/>
        <v>21.39</v>
      </c>
      <c r="U1210">
        <f t="shared" si="291"/>
        <v>1.2</v>
      </c>
      <c r="V1210">
        <f t="shared" si="285"/>
        <v>1.0949999999999998</v>
      </c>
      <c r="AC1210" t="s">
        <v>2937</v>
      </c>
      <c r="AD1210">
        <v>1.95</v>
      </c>
      <c r="AE1210">
        <v>12.81</v>
      </c>
      <c r="AG1210" t="str" cm="1">
        <f t="array" ref="AG1210:AH1210">_xlfn.TEXTSPLIT(AC1211," ")</f>
        <v>26.10.2023</v>
      </c>
      <c r="AH1210" t="str">
        <v>20:11:11</v>
      </c>
      <c r="AI1210">
        <f t="shared" si="298"/>
        <v>20.116666666666806</v>
      </c>
      <c r="AJ1210">
        <f t="shared" si="292"/>
        <v>8.2800000000000011</v>
      </c>
      <c r="AK1210">
        <f t="shared" si="293"/>
        <v>1.95</v>
      </c>
      <c r="AL1210">
        <f t="shared" si="286"/>
        <v>0.4</v>
      </c>
      <c r="AN1210" t="s">
        <v>2937</v>
      </c>
      <c r="AO1210">
        <v>1.65</v>
      </c>
      <c r="AP1210">
        <v>76.25</v>
      </c>
      <c r="AR1210" t="str" cm="1">
        <f t="array" ref="AR1210:AS1210">_xlfn.TEXTSPLIT(AN1210," ")</f>
        <v>26.10.2023</v>
      </c>
      <c r="AS1210" t="str">
        <v>20:10:11</v>
      </c>
      <c r="AT1210">
        <f t="shared" si="299"/>
        <v>20.116666666666806</v>
      </c>
      <c r="AU1210">
        <f t="shared" si="294"/>
        <v>14.939999999999998</v>
      </c>
      <c r="AV1210">
        <f t="shared" si="295"/>
        <v>1.65</v>
      </c>
      <c r="AW1210">
        <f t="shared" si="287"/>
        <v>0.60749999999999971</v>
      </c>
    </row>
    <row r="1211" spans="1:49" x14ac:dyDescent="0.25">
      <c r="A1211" t="s">
        <v>2938</v>
      </c>
      <c r="B1211">
        <v>1.2</v>
      </c>
      <c r="C1211">
        <v>27.09</v>
      </c>
      <c r="E1211" t="s">
        <v>2938</v>
      </c>
      <c r="F1211">
        <v>1.65</v>
      </c>
      <c r="G1211">
        <v>100.01</v>
      </c>
      <c r="I1211" t="str" cm="1">
        <f t="array" ref="I1211:J1211">_xlfn.TEXTSPLIT(A1211," ")</f>
        <v>27.10.2023</v>
      </c>
      <c r="J1211" t="str">
        <v>20:10:59</v>
      </c>
      <c r="K1211">
        <f t="shared" si="296"/>
        <v>20.133333333333471</v>
      </c>
      <c r="L1211">
        <f t="shared" si="289"/>
        <v>12.77</v>
      </c>
      <c r="M1211">
        <f t="shared" si="290"/>
        <v>1.2</v>
      </c>
      <c r="N1211">
        <f t="shared" si="284"/>
        <v>0.63749999999999996</v>
      </c>
      <c r="Q1211" t="str" cm="1">
        <f t="array" ref="Q1211:R1211">_xlfn.TEXTSPLIT(E1211," ")</f>
        <v>27.10.2023</v>
      </c>
      <c r="R1211" t="str">
        <v>20:10:59</v>
      </c>
      <c r="S1211">
        <f t="shared" si="297"/>
        <v>20.133333333333471</v>
      </c>
      <c r="T1211">
        <f t="shared" si="288"/>
        <v>21.410000000000011</v>
      </c>
      <c r="U1211">
        <f t="shared" si="291"/>
        <v>1.65</v>
      </c>
      <c r="V1211">
        <f t="shared" si="285"/>
        <v>1.0899999999999999</v>
      </c>
      <c r="AC1211" t="s">
        <v>2939</v>
      </c>
      <c r="AD1211">
        <v>1.2</v>
      </c>
      <c r="AE1211">
        <v>12.83</v>
      </c>
      <c r="AG1211" t="str" cm="1">
        <f t="array" ref="AG1211:AH1211">_xlfn.TEXTSPLIT(AC1212," ")</f>
        <v>26.10.2023</v>
      </c>
      <c r="AH1211" t="str">
        <v>20:12:11</v>
      </c>
      <c r="AI1211">
        <f t="shared" si="298"/>
        <v>20.133333333333471</v>
      </c>
      <c r="AJ1211">
        <f t="shared" si="292"/>
        <v>8.3000000000000007</v>
      </c>
      <c r="AK1211">
        <f t="shared" si="293"/>
        <v>1.2</v>
      </c>
      <c r="AL1211">
        <f t="shared" si="286"/>
        <v>0.4</v>
      </c>
      <c r="AN1211" t="s">
        <v>2939</v>
      </c>
      <c r="AO1211">
        <v>1.2</v>
      </c>
      <c r="AP1211">
        <v>76.27</v>
      </c>
      <c r="AR1211" t="str" cm="1">
        <f t="array" ref="AR1211:AS1211">_xlfn.TEXTSPLIT(AN1211," ")</f>
        <v>26.10.2023</v>
      </c>
      <c r="AS1211" t="str">
        <v>20:11:11</v>
      </c>
      <c r="AT1211">
        <f t="shared" si="299"/>
        <v>20.133333333333471</v>
      </c>
      <c r="AU1211">
        <f t="shared" si="294"/>
        <v>14.959999999999994</v>
      </c>
      <c r="AV1211">
        <f t="shared" si="295"/>
        <v>1.2</v>
      </c>
      <c r="AW1211">
        <f t="shared" si="287"/>
        <v>0.60999999999999988</v>
      </c>
    </row>
    <row r="1212" spans="1:49" x14ac:dyDescent="0.25">
      <c r="A1212" t="s">
        <v>2940</v>
      </c>
      <c r="B1212">
        <v>1.35</v>
      </c>
      <c r="C1212">
        <v>27.1</v>
      </c>
      <c r="E1212" t="s">
        <v>2940</v>
      </c>
      <c r="F1212">
        <v>1.65</v>
      </c>
      <c r="G1212">
        <v>100.03</v>
      </c>
      <c r="I1212" t="str" cm="1">
        <f t="array" ref="I1212:J1212">_xlfn.TEXTSPLIT(A1212," ")</f>
        <v>27.10.2023</v>
      </c>
      <c r="J1212" t="str">
        <v>20:12:00</v>
      </c>
      <c r="K1212">
        <f t="shared" si="296"/>
        <v>20.150000000000137</v>
      </c>
      <c r="L1212">
        <f t="shared" si="289"/>
        <v>12.780000000000001</v>
      </c>
      <c r="M1212">
        <f t="shared" si="290"/>
        <v>1.35</v>
      </c>
      <c r="N1212">
        <f t="shared" si="284"/>
        <v>0.64</v>
      </c>
      <c r="Q1212" t="str" cm="1">
        <f t="array" ref="Q1212:R1212">_xlfn.TEXTSPLIT(E1212," ")</f>
        <v>27.10.2023</v>
      </c>
      <c r="R1212" t="str">
        <v>20:12:00</v>
      </c>
      <c r="S1212">
        <f t="shared" si="297"/>
        <v>20.150000000000137</v>
      </c>
      <c r="T1212">
        <f t="shared" si="288"/>
        <v>21.430000000000007</v>
      </c>
      <c r="U1212">
        <f t="shared" si="291"/>
        <v>1.65</v>
      </c>
      <c r="V1212">
        <f t="shared" si="285"/>
        <v>1.0874999999999999</v>
      </c>
      <c r="AC1212" t="s">
        <v>2941</v>
      </c>
      <c r="AD1212">
        <v>1.35</v>
      </c>
      <c r="AE1212">
        <v>12.85</v>
      </c>
      <c r="AG1212" t="str" cm="1">
        <f t="array" ref="AG1212:AH1212">_xlfn.TEXTSPLIT(AC1213," ")</f>
        <v>26.10.2023</v>
      </c>
      <c r="AH1212" t="str">
        <v>20:13:11</v>
      </c>
      <c r="AI1212">
        <f t="shared" si="298"/>
        <v>20.150000000000137</v>
      </c>
      <c r="AJ1212">
        <f t="shared" si="292"/>
        <v>8.32</v>
      </c>
      <c r="AK1212">
        <f t="shared" si="293"/>
        <v>1.35</v>
      </c>
      <c r="AL1212">
        <f t="shared" si="286"/>
        <v>0.41249999999999998</v>
      </c>
      <c r="AN1212" t="s">
        <v>2941</v>
      </c>
      <c r="AO1212">
        <v>1.05</v>
      </c>
      <c r="AP1212">
        <v>76.28</v>
      </c>
      <c r="AR1212" t="str" cm="1">
        <f t="array" ref="AR1212:AS1212">_xlfn.TEXTSPLIT(AN1212," ")</f>
        <v>26.10.2023</v>
      </c>
      <c r="AS1212" t="str">
        <v>20:12:11</v>
      </c>
      <c r="AT1212">
        <f t="shared" si="299"/>
        <v>20.150000000000137</v>
      </c>
      <c r="AU1212">
        <f t="shared" si="294"/>
        <v>14.969999999999999</v>
      </c>
      <c r="AV1212">
        <f t="shared" si="295"/>
        <v>1.05</v>
      </c>
      <c r="AW1212">
        <f t="shared" si="287"/>
        <v>0.61249999999999971</v>
      </c>
    </row>
    <row r="1213" spans="1:49" x14ac:dyDescent="0.25">
      <c r="A1213" t="s">
        <v>2942</v>
      </c>
      <c r="B1213">
        <v>0.9</v>
      </c>
      <c r="C1213">
        <v>27.11</v>
      </c>
      <c r="E1213" t="s">
        <v>2942</v>
      </c>
      <c r="F1213">
        <v>1.05</v>
      </c>
      <c r="G1213">
        <v>100.04</v>
      </c>
      <c r="I1213" t="str" cm="1">
        <f t="array" ref="I1213:J1213">_xlfn.TEXTSPLIT(A1213," ")</f>
        <v>27.10.2023</v>
      </c>
      <c r="J1213" t="str">
        <v>20:13:00</v>
      </c>
      <c r="K1213">
        <f t="shared" si="296"/>
        <v>20.166666666666803</v>
      </c>
      <c r="L1213">
        <f t="shared" si="289"/>
        <v>12.79</v>
      </c>
      <c r="M1213">
        <f t="shared" si="290"/>
        <v>0.9</v>
      </c>
      <c r="N1213">
        <f t="shared" si="284"/>
        <v>0.63500000000000001</v>
      </c>
      <c r="Q1213" t="str" cm="1">
        <f t="array" ref="Q1213:R1213">_xlfn.TEXTSPLIT(E1213," ")</f>
        <v>27.10.2023</v>
      </c>
      <c r="R1213" t="str">
        <v>20:13:00</v>
      </c>
      <c r="S1213">
        <f t="shared" si="297"/>
        <v>20.166666666666803</v>
      </c>
      <c r="T1213">
        <f t="shared" si="288"/>
        <v>21.440000000000012</v>
      </c>
      <c r="U1213">
        <f t="shared" si="291"/>
        <v>1.05</v>
      </c>
      <c r="V1213">
        <f t="shared" si="285"/>
        <v>1.0899999999999999</v>
      </c>
      <c r="AC1213" t="s">
        <v>2943</v>
      </c>
      <c r="AD1213">
        <v>1.35</v>
      </c>
      <c r="AE1213">
        <v>12.87</v>
      </c>
      <c r="AG1213" t="str" cm="1">
        <f t="array" ref="AG1213:AH1213">_xlfn.TEXTSPLIT(AC1214," ")</f>
        <v>26.10.2023</v>
      </c>
      <c r="AH1213" t="str">
        <v>20:14:12</v>
      </c>
      <c r="AI1213">
        <f t="shared" si="298"/>
        <v>20.166666666666803</v>
      </c>
      <c r="AJ1213">
        <f t="shared" si="292"/>
        <v>8.34</v>
      </c>
      <c r="AK1213">
        <f t="shared" si="293"/>
        <v>1.35</v>
      </c>
      <c r="AL1213">
        <f t="shared" si="286"/>
        <v>0.42250000000000004</v>
      </c>
      <c r="AN1213" t="s">
        <v>2943</v>
      </c>
      <c r="AO1213">
        <v>1.2</v>
      </c>
      <c r="AP1213">
        <v>76.31</v>
      </c>
      <c r="AR1213" t="str" cm="1">
        <f t="array" ref="AR1213:AS1213">_xlfn.TEXTSPLIT(AN1213," ")</f>
        <v>26.10.2023</v>
      </c>
      <c r="AS1213" t="str">
        <v>20:13:11</v>
      </c>
      <c r="AT1213">
        <f t="shared" si="299"/>
        <v>20.166666666666803</v>
      </c>
      <c r="AU1213">
        <f t="shared" si="294"/>
        <v>15</v>
      </c>
      <c r="AV1213">
        <f t="shared" si="295"/>
        <v>1.2</v>
      </c>
      <c r="AW1213">
        <f t="shared" si="287"/>
        <v>0.62249999999999994</v>
      </c>
    </row>
    <row r="1214" spans="1:49" x14ac:dyDescent="0.25">
      <c r="A1214" t="s">
        <v>2944</v>
      </c>
      <c r="B1214">
        <v>0.45</v>
      </c>
      <c r="C1214">
        <v>27.12</v>
      </c>
      <c r="E1214" t="s">
        <v>2944</v>
      </c>
      <c r="F1214">
        <v>0.75</v>
      </c>
      <c r="G1214">
        <v>100.06</v>
      </c>
      <c r="I1214" t="str" cm="1">
        <f t="array" ref="I1214:J1214">_xlfn.TEXTSPLIT(A1214," ")</f>
        <v>27.10.2023</v>
      </c>
      <c r="J1214" t="str">
        <v>20:14:00</v>
      </c>
      <c r="K1214">
        <f t="shared" si="296"/>
        <v>20.183333333333469</v>
      </c>
      <c r="L1214">
        <f t="shared" si="289"/>
        <v>12.8</v>
      </c>
      <c r="M1214">
        <f t="shared" si="290"/>
        <v>0.45</v>
      </c>
      <c r="N1214">
        <f t="shared" si="284"/>
        <v>0.63000000000000012</v>
      </c>
      <c r="Q1214" t="str" cm="1">
        <f t="array" ref="Q1214:R1214">_xlfn.TEXTSPLIT(E1214," ")</f>
        <v>27.10.2023</v>
      </c>
      <c r="R1214" t="str">
        <v>20:14:00</v>
      </c>
      <c r="S1214">
        <f t="shared" si="297"/>
        <v>20.183333333333469</v>
      </c>
      <c r="T1214">
        <f t="shared" si="288"/>
        <v>21.460000000000008</v>
      </c>
      <c r="U1214">
        <f t="shared" si="291"/>
        <v>0.75</v>
      </c>
      <c r="V1214">
        <f t="shared" si="285"/>
        <v>1.085</v>
      </c>
      <c r="AC1214" t="s">
        <v>2945</v>
      </c>
      <c r="AD1214">
        <v>1.05</v>
      </c>
      <c r="AE1214">
        <v>12.89</v>
      </c>
      <c r="AG1214" t="str" cm="1">
        <f t="array" ref="AG1214:AH1214">_xlfn.TEXTSPLIT(AC1215," ")</f>
        <v>26.10.2023</v>
      </c>
      <c r="AH1214" t="str">
        <v>20:15:12</v>
      </c>
      <c r="AI1214">
        <f t="shared" si="298"/>
        <v>20.183333333333469</v>
      </c>
      <c r="AJ1214">
        <f t="shared" si="292"/>
        <v>8.36</v>
      </c>
      <c r="AK1214">
        <f t="shared" si="293"/>
        <v>1.05</v>
      </c>
      <c r="AL1214">
        <f t="shared" si="286"/>
        <v>0.43250000000000005</v>
      </c>
      <c r="AN1214" t="s">
        <v>2945</v>
      </c>
      <c r="AO1214">
        <v>1.5</v>
      </c>
      <c r="AP1214">
        <v>76.33</v>
      </c>
      <c r="AR1214" t="str" cm="1">
        <f t="array" ref="AR1214:AS1214">_xlfn.TEXTSPLIT(AN1214," ")</f>
        <v>26.10.2023</v>
      </c>
      <c r="AS1214" t="str">
        <v>20:14:12</v>
      </c>
      <c r="AT1214">
        <f t="shared" si="299"/>
        <v>20.183333333333469</v>
      </c>
      <c r="AU1214">
        <f t="shared" si="294"/>
        <v>15.019999999999996</v>
      </c>
      <c r="AV1214">
        <f t="shared" si="295"/>
        <v>1.5</v>
      </c>
      <c r="AW1214">
        <f t="shared" si="287"/>
        <v>0.63749999999999984</v>
      </c>
    </row>
    <row r="1215" spans="1:49" x14ac:dyDescent="0.25">
      <c r="A1215" t="s">
        <v>2946</v>
      </c>
      <c r="B1215">
        <v>0.75</v>
      </c>
      <c r="C1215">
        <v>27.13</v>
      </c>
      <c r="E1215" t="s">
        <v>2946</v>
      </c>
      <c r="F1215">
        <v>0.9</v>
      </c>
      <c r="G1215">
        <v>100.07</v>
      </c>
      <c r="I1215" t="str" cm="1">
        <f t="array" ref="I1215:J1215">_xlfn.TEXTSPLIT(A1215," ")</f>
        <v>27.10.2023</v>
      </c>
      <c r="J1215" t="str">
        <v>20:15:00</v>
      </c>
      <c r="K1215">
        <f t="shared" si="296"/>
        <v>20.200000000000134</v>
      </c>
      <c r="L1215">
        <f t="shared" si="289"/>
        <v>12.809999999999999</v>
      </c>
      <c r="M1215">
        <f t="shared" si="290"/>
        <v>0.75</v>
      </c>
      <c r="N1215">
        <f t="shared" ref="N1215:N1278" si="300">AVERAGE(M1156:M1215)</f>
        <v>0.63250000000000006</v>
      </c>
      <c r="Q1215" t="str" cm="1">
        <f t="array" ref="Q1215:R1215">_xlfn.TEXTSPLIT(E1215," ")</f>
        <v>27.10.2023</v>
      </c>
      <c r="R1215" t="str">
        <v>20:15:00</v>
      </c>
      <c r="S1215">
        <f t="shared" si="297"/>
        <v>20.200000000000134</v>
      </c>
      <c r="T1215">
        <f t="shared" si="288"/>
        <v>21.47</v>
      </c>
      <c r="U1215">
        <f t="shared" si="291"/>
        <v>0.9</v>
      </c>
      <c r="V1215">
        <f t="shared" ref="V1215:V1278" si="301">AVERAGE(U1156:U1215)</f>
        <v>1.085</v>
      </c>
      <c r="AC1215" t="s">
        <v>2947</v>
      </c>
      <c r="AD1215">
        <v>1.05</v>
      </c>
      <c r="AE1215">
        <v>12.91</v>
      </c>
      <c r="AG1215" t="str" cm="1">
        <f t="array" ref="AG1215:AH1215">_xlfn.TEXTSPLIT(AC1216," ")</f>
        <v>26.10.2023</v>
      </c>
      <c r="AH1215" t="str">
        <v>20:16:12</v>
      </c>
      <c r="AI1215">
        <f t="shared" si="298"/>
        <v>20.200000000000134</v>
      </c>
      <c r="AJ1215">
        <f t="shared" si="292"/>
        <v>8.379999999999999</v>
      </c>
      <c r="AK1215">
        <f t="shared" si="293"/>
        <v>1.05</v>
      </c>
      <c r="AL1215">
        <f t="shared" ref="AL1215:AL1278" si="302">AVERAGE(AK1156:AK1215)</f>
        <v>0.435</v>
      </c>
      <c r="AN1215" t="s">
        <v>2947</v>
      </c>
      <c r="AO1215">
        <v>1.2</v>
      </c>
      <c r="AP1215">
        <v>76.349999999999994</v>
      </c>
      <c r="AR1215" t="str" cm="1">
        <f t="array" ref="AR1215:AS1215">_xlfn.TEXTSPLIT(AN1215," ")</f>
        <v>26.10.2023</v>
      </c>
      <c r="AS1215" t="str">
        <v>20:15:12</v>
      </c>
      <c r="AT1215">
        <f t="shared" si="299"/>
        <v>20.200000000000134</v>
      </c>
      <c r="AU1215">
        <f t="shared" si="294"/>
        <v>15.039999999999992</v>
      </c>
      <c r="AV1215">
        <f t="shared" si="295"/>
        <v>1.2</v>
      </c>
      <c r="AW1215">
        <f t="shared" ref="AW1215:AW1278" si="303">AVERAGE(AV1156:AV1215)</f>
        <v>0.64499999999999991</v>
      </c>
    </row>
    <row r="1216" spans="1:49" x14ac:dyDescent="0.25">
      <c r="A1216" t="s">
        <v>2948</v>
      </c>
      <c r="B1216">
        <v>0.45</v>
      </c>
      <c r="C1216">
        <v>27.14</v>
      </c>
      <c r="E1216" t="s">
        <v>2948</v>
      </c>
      <c r="F1216">
        <v>0.75</v>
      </c>
      <c r="G1216">
        <v>100.1</v>
      </c>
      <c r="I1216" t="str" cm="1">
        <f t="array" ref="I1216:J1216">_xlfn.TEXTSPLIT(A1216," ")</f>
        <v>27.10.2023</v>
      </c>
      <c r="J1216" t="str">
        <v>20:16:00</v>
      </c>
      <c r="K1216">
        <f t="shared" si="296"/>
        <v>20.2166666666668</v>
      </c>
      <c r="L1216">
        <f t="shared" si="289"/>
        <v>12.82</v>
      </c>
      <c r="M1216">
        <f t="shared" si="290"/>
        <v>0.45</v>
      </c>
      <c r="N1216">
        <f t="shared" si="300"/>
        <v>0.63250000000000017</v>
      </c>
      <c r="Q1216" t="str" cm="1">
        <f t="array" ref="Q1216:R1216">_xlfn.TEXTSPLIT(E1216," ")</f>
        <v>27.10.2023</v>
      </c>
      <c r="R1216" t="str">
        <v>20:16:00</v>
      </c>
      <c r="S1216">
        <f t="shared" si="297"/>
        <v>20.2166666666668</v>
      </c>
      <c r="T1216">
        <f t="shared" si="288"/>
        <v>21.5</v>
      </c>
      <c r="U1216">
        <f t="shared" si="291"/>
        <v>0.75</v>
      </c>
      <c r="V1216">
        <f t="shared" si="301"/>
        <v>1.0825</v>
      </c>
      <c r="AC1216" t="s">
        <v>2949</v>
      </c>
      <c r="AD1216">
        <v>0.45</v>
      </c>
      <c r="AE1216">
        <v>12.92</v>
      </c>
      <c r="AG1216" t="str" cm="1">
        <f t="array" ref="AG1216:AH1216">_xlfn.TEXTSPLIT(AC1217," ")</f>
        <v>26.10.2023</v>
      </c>
      <c r="AH1216" t="str">
        <v>20:17:12</v>
      </c>
      <c r="AI1216">
        <f t="shared" si="298"/>
        <v>20.2166666666668</v>
      </c>
      <c r="AJ1216">
        <f t="shared" si="292"/>
        <v>8.39</v>
      </c>
      <c r="AK1216">
        <f t="shared" si="293"/>
        <v>0.45</v>
      </c>
      <c r="AL1216">
        <f t="shared" si="302"/>
        <v>0.43750000000000006</v>
      </c>
      <c r="AN1216" t="s">
        <v>2949</v>
      </c>
      <c r="AO1216">
        <v>1.05</v>
      </c>
      <c r="AP1216">
        <v>76.36</v>
      </c>
      <c r="AR1216" t="str" cm="1">
        <f t="array" ref="AR1216:AS1216">_xlfn.TEXTSPLIT(AN1216," ")</f>
        <v>26.10.2023</v>
      </c>
      <c r="AS1216" t="str">
        <v>20:16:12</v>
      </c>
      <c r="AT1216">
        <f t="shared" si="299"/>
        <v>20.2166666666668</v>
      </c>
      <c r="AU1216">
        <f t="shared" si="294"/>
        <v>15.049999999999997</v>
      </c>
      <c r="AV1216">
        <f t="shared" si="295"/>
        <v>1.05</v>
      </c>
      <c r="AW1216">
        <f t="shared" si="303"/>
        <v>0.64999999999999991</v>
      </c>
    </row>
    <row r="1217" spans="1:49" x14ac:dyDescent="0.25">
      <c r="A1217" t="s">
        <v>2950</v>
      </c>
      <c r="B1217">
        <v>0.6</v>
      </c>
      <c r="C1217">
        <v>27.14</v>
      </c>
      <c r="E1217" t="s">
        <v>2950</v>
      </c>
      <c r="F1217">
        <v>1.05</v>
      </c>
      <c r="G1217">
        <v>100.12</v>
      </c>
      <c r="I1217" t="str" cm="1">
        <f t="array" ref="I1217:J1217">_xlfn.TEXTSPLIT(A1217," ")</f>
        <v>27.10.2023</v>
      </c>
      <c r="J1217" t="str">
        <v>20:17:00</v>
      </c>
      <c r="K1217">
        <f t="shared" si="296"/>
        <v>20.233333333333466</v>
      </c>
      <c r="L1217">
        <f t="shared" si="289"/>
        <v>12.82</v>
      </c>
      <c r="M1217">
        <f t="shared" si="290"/>
        <v>0.6</v>
      </c>
      <c r="N1217">
        <f t="shared" si="300"/>
        <v>0.63250000000000017</v>
      </c>
      <c r="Q1217" t="str" cm="1">
        <f t="array" ref="Q1217:R1217">_xlfn.TEXTSPLIT(E1217," ")</f>
        <v>27.10.2023</v>
      </c>
      <c r="R1217" t="str">
        <v>20:17:00</v>
      </c>
      <c r="S1217">
        <f t="shared" si="297"/>
        <v>20.233333333333466</v>
      </c>
      <c r="T1217">
        <f t="shared" si="288"/>
        <v>21.52000000000001</v>
      </c>
      <c r="U1217">
        <f t="shared" si="291"/>
        <v>1.05</v>
      </c>
      <c r="V1217">
        <f t="shared" si="301"/>
        <v>1.0774999999999999</v>
      </c>
      <c r="AC1217" t="s">
        <v>2951</v>
      </c>
      <c r="AD1217">
        <v>0.75</v>
      </c>
      <c r="AE1217">
        <v>12.93</v>
      </c>
      <c r="AG1217" t="str" cm="1">
        <f t="array" ref="AG1217:AH1217">_xlfn.TEXTSPLIT(AC1218," ")</f>
        <v>26.10.2023</v>
      </c>
      <c r="AH1217" t="str">
        <v>20:18:12</v>
      </c>
      <c r="AI1217">
        <f t="shared" si="298"/>
        <v>20.233333333333466</v>
      </c>
      <c r="AJ1217">
        <f t="shared" si="292"/>
        <v>8.3999999999999986</v>
      </c>
      <c r="AK1217">
        <f t="shared" si="293"/>
        <v>0.75</v>
      </c>
      <c r="AL1217">
        <f t="shared" si="302"/>
        <v>0.4425</v>
      </c>
      <c r="AN1217" t="s">
        <v>2951</v>
      </c>
      <c r="AO1217">
        <v>0.75</v>
      </c>
      <c r="AP1217">
        <v>76.38</v>
      </c>
      <c r="AR1217" t="str" cm="1">
        <f t="array" ref="AR1217:AS1217">_xlfn.TEXTSPLIT(AN1217," ")</f>
        <v>26.10.2023</v>
      </c>
      <c r="AS1217" t="str">
        <v>20:17:12</v>
      </c>
      <c r="AT1217">
        <f t="shared" si="299"/>
        <v>20.233333333333466</v>
      </c>
      <c r="AU1217">
        <f t="shared" si="294"/>
        <v>15.069999999999993</v>
      </c>
      <c r="AV1217">
        <f t="shared" si="295"/>
        <v>0.75</v>
      </c>
      <c r="AW1217">
        <f t="shared" si="303"/>
        <v>0.64999999999999991</v>
      </c>
    </row>
    <row r="1218" spans="1:49" x14ac:dyDescent="0.25">
      <c r="A1218" t="s">
        <v>2952</v>
      </c>
      <c r="B1218">
        <v>0.6</v>
      </c>
      <c r="C1218">
        <v>27.16</v>
      </c>
      <c r="E1218" t="s">
        <v>2952</v>
      </c>
      <c r="F1218">
        <v>1.35</v>
      </c>
      <c r="G1218">
        <v>100.14</v>
      </c>
      <c r="I1218" t="str" cm="1">
        <f t="array" ref="I1218:J1218">_xlfn.TEXTSPLIT(A1218," ")</f>
        <v>27.10.2023</v>
      </c>
      <c r="J1218" t="str">
        <v>20:18:00</v>
      </c>
      <c r="K1218">
        <f t="shared" si="296"/>
        <v>20.250000000000131</v>
      </c>
      <c r="L1218">
        <f t="shared" si="289"/>
        <v>12.84</v>
      </c>
      <c r="M1218">
        <f t="shared" si="290"/>
        <v>0.6</v>
      </c>
      <c r="N1218">
        <f t="shared" si="300"/>
        <v>0.63250000000000017</v>
      </c>
      <c r="Q1218" t="str" cm="1">
        <f t="array" ref="Q1218:R1218">_xlfn.TEXTSPLIT(E1218," ")</f>
        <v>27.10.2023</v>
      </c>
      <c r="R1218" t="str">
        <v>20:18:00</v>
      </c>
      <c r="S1218">
        <f t="shared" si="297"/>
        <v>20.250000000000131</v>
      </c>
      <c r="T1218">
        <f t="shared" si="288"/>
        <v>21.540000000000006</v>
      </c>
      <c r="U1218">
        <f t="shared" si="291"/>
        <v>1.35</v>
      </c>
      <c r="V1218">
        <f t="shared" si="301"/>
        <v>1.0749999999999997</v>
      </c>
      <c r="AC1218" t="s">
        <v>2953</v>
      </c>
      <c r="AD1218">
        <v>0.45</v>
      </c>
      <c r="AE1218">
        <v>12.94</v>
      </c>
      <c r="AG1218" t="str" cm="1">
        <f t="array" ref="AG1218:AH1218">_xlfn.TEXTSPLIT(AC1219," ")</f>
        <v>26.10.2023</v>
      </c>
      <c r="AH1218" t="str">
        <v>20:19:12</v>
      </c>
      <c r="AI1218">
        <f t="shared" si="298"/>
        <v>20.250000000000131</v>
      </c>
      <c r="AJ1218">
        <f t="shared" si="292"/>
        <v>8.41</v>
      </c>
      <c r="AK1218">
        <f t="shared" si="293"/>
        <v>0.45</v>
      </c>
      <c r="AL1218">
        <f t="shared" si="302"/>
        <v>0.435</v>
      </c>
      <c r="AN1218" t="s">
        <v>2953</v>
      </c>
      <c r="AO1218">
        <v>0.6</v>
      </c>
      <c r="AP1218">
        <v>76.39</v>
      </c>
      <c r="AR1218" t="str" cm="1">
        <f t="array" ref="AR1218:AS1218">_xlfn.TEXTSPLIT(AN1218," ")</f>
        <v>26.10.2023</v>
      </c>
      <c r="AS1218" t="str">
        <v>20:18:12</v>
      </c>
      <c r="AT1218">
        <f t="shared" si="299"/>
        <v>20.250000000000131</v>
      </c>
      <c r="AU1218">
        <f t="shared" si="294"/>
        <v>15.079999999999998</v>
      </c>
      <c r="AV1218">
        <f t="shared" si="295"/>
        <v>0.6</v>
      </c>
      <c r="AW1218">
        <f t="shared" si="303"/>
        <v>0.64999999999999991</v>
      </c>
    </row>
    <row r="1219" spans="1:49" x14ac:dyDescent="0.25">
      <c r="A1219" t="s">
        <v>2954</v>
      </c>
      <c r="B1219">
        <v>0.45</v>
      </c>
      <c r="C1219">
        <v>27.16</v>
      </c>
      <c r="E1219" t="s">
        <v>2954</v>
      </c>
      <c r="F1219">
        <v>1.5</v>
      </c>
      <c r="G1219">
        <v>100.16</v>
      </c>
      <c r="I1219" t="str" cm="1">
        <f t="array" ref="I1219:J1219">_xlfn.TEXTSPLIT(A1219," ")</f>
        <v>27.10.2023</v>
      </c>
      <c r="J1219" t="str">
        <v>20:19:00</v>
      </c>
      <c r="K1219">
        <f t="shared" si="296"/>
        <v>20.266666666666797</v>
      </c>
      <c r="L1219">
        <f t="shared" si="289"/>
        <v>12.84</v>
      </c>
      <c r="M1219">
        <f t="shared" si="290"/>
        <v>0.45</v>
      </c>
      <c r="N1219">
        <f t="shared" si="300"/>
        <v>0.63000000000000023</v>
      </c>
      <c r="Q1219" t="str" cm="1">
        <f t="array" ref="Q1219:R1219">_xlfn.TEXTSPLIT(E1219," ")</f>
        <v>27.10.2023</v>
      </c>
      <c r="R1219" t="str">
        <v>20:19:00</v>
      </c>
      <c r="S1219">
        <f t="shared" si="297"/>
        <v>20.266666666666797</v>
      </c>
      <c r="T1219">
        <f t="shared" ref="T1219:T1282" si="304">G1219-78.6</f>
        <v>21.560000000000002</v>
      </c>
      <c r="U1219">
        <f t="shared" si="291"/>
        <v>1.5</v>
      </c>
      <c r="V1219">
        <f t="shared" si="301"/>
        <v>1.0824999999999998</v>
      </c>
      <c r="AC1219" t="s">
        <v>2955</v>
      </c>
      <c r="AD1219">
        <v>0.9</v>
      </c>
      <c r="AE1219">
        <v>12.95</v>
      </c>
      <c r="AG1219" t="str" cm="1">
        <f t="array" ref="AG1219:AH1219">_xlfn.TEXTSPLIT(AC1220," ")</f>
        <v>26.10.2023</v>
      </c>
      <c r="AH1219" t="str">
        <v>20:20:12</v>
      </c>
      <c r="AI1219">
        <f t="shared" si="298"/>
        <v>20.266666666666797</v>
      </c>
      <c r="AJ1219">
        <f t="shared" si="292"/>
        <v>8.4199999999999982</v>
      </c>
      <c r="AK1219">
        <f t="shared" si="293"/>
        <v>0.9</v>
      </c>
      <c r="AL1219">
        <f t="shared" si="302"/>
        <v>0.44</v>
      </c>
      <c r="AN1219" t="s">
        <v>2955</v>
      </c>
      <c r="AO1219">
        <v>0.6</v>
      </c>
      <c r="AP1219">
        <v>76.400000000000006</v>
      </c>
      <c r="AR1219" t="str" cm="1">
        <f t="array" ref="AR1219:AS1219">_xlfn.TEXTSPLIT(AN1219," ")</f>
        <v>26.10.2023</v>
      </c>
      <c r="AS1219" t="str">
        <v>20:19:12</v>
      </c>
      <c r="AT1219">
        <f t="shared" si="299"/>
        <v>20.266666666666797</v>
      </c>
      <c r="AU1219">
        <f t="shared" si="294"/>
        <v>15.090000000000003</v>
      </c>
      <c r="AV1219">
        <f t="shared" si="295"/>
        <v>0.6</v>
      </c>
      <c r="AW1219">
        <f t="shared" si="303"/>
        <v>0.64749999999999985</v>
      </c>
    </row>
    <row r="1220" spans="1:49" x14ac:dyDescent="0.25">
      <c r="A1220" t="s">
        <v>2956</v>
      </c>
      <c r="B1220">
        <v>0.75</v>
      </c>
      <c r="C1220">
        <v>27.18</v>
      </c>
      <c r="E1220" t="s">
        <v>2956</v>
      </c>
      <c r="F1220">
        <v>0.75</v>
      </c>
      <c r="G1220">
        <v>100.17</v>
      </c>
      <c r="I1220" t="str" cm="1">
        <f t="array" ref="I1220:J1220">_xlfn.TEXTSPLIT(A1220," ")</f>
        <v>27.10.2023</v>
      </c>
      <c r="J1220" t="str">
        <v>20:20:00</v>
      </c>
      <c r="K1220">
        <f t="shared" si="296"/>
        <v>20.283333333333463</v>
      </c>
      <c r="L1220">
        <f t="shared" ref="L1220:L1283" si="305">C1220-14.32</f>
        <v>12.86</v>
      </c>
      <c r="M1220">
        <f t="shared" ref="M1220:M1283" si="306">B1220</f>
        <v>0.75</v>
      </c>
      <c r="N1220">
        <f t="shared" si="300"/>
        <v>0.63000000000000023</v>
      </c>
      <c r="Q1220" t="str" cm="1">
        <f t="array" ref="Q1220:R1220">_xlfn.TEXTSPLIT(E1220," ")</f>
        <v>27.10.2023</v>
      </c>
      <c r="R1220" t="str">
        <v>20:20:00</v>
      </c>
      <c r="S1220">
        <f t="shared" si="297"/>
        <v>20.283333333333463</v>
      </c>
      <c r="T1220">
        <f t="shared" si="304"/>
        <v>21.570000000000007</v>
      </c>
      <c r="U1220">
        <f t="shared" ref="U1220:U1283" si="307">F1220</f>
        <v>0.75</v>
      </c>
      <c r="V1220">
        <f t="shared" si="301"/>
        <v>1.0799999999999996</v>
      </c>
      <c r="AC1220" t="s">
        <v>2957</v>
      </c>
      <c r="AD1220">
        <v>0.45</v>
      </c>
      <c r="AE1220">
        <v>12.96</v>
      </c>
      <c r="AG1220" t="str" cm="1">
        <f t="array" ref="AG1220:AH1220">_xlfn.TEXTSPLIT(AC1221," ")</f>
        <v>26.10.2023</v>
      </c>
      <c r="AH1220" t="str">
        <v>20:21:12</v>
      </c>
      <c r="AI1220">
        <f t="shared" si="298"/>
        <v>20.283333333333463</v>
      </c>
      <c r="AJ1220">
        <f t="shared" ref="AJ1220:AJ1283" si="308">AE1220-4.53</f>
        <v>8.43</v>
      </c>
      <c r="AK1220">
        <f t="shared" ref="AK1220:AK1283" si="309">AD1220</f>
        <v>0.45</v>
      </c>
      <c r="AL1220">
        <f t="shared" si="302"/>
        <v>0.44</v>
      </c>
      <c r="AN1220" t="s">
        <v>2957</v>
      </c>
      <c r="AO1220">
        <v>0.45</v>
      </c>
      <c r="AP1220">
        <v>76.400000000000006</v>
      </c>
      <c r="AR1220" t="str" cm="1">
        <f t="array" ref="AR1220:AS1220">_xlfn.TEXTSPLIT(AN1220," ")</f>
        <v>26.10.2023</v>
      </c>
      <c r="AS1220" t="str">
        <v>20:20:12</v>
      </c>
      <c r="AT1220">
        <f t="shared" si="299"/>
        <v>20.283333333333463</v>
      </c>
      <c r="AU1220">
        <f t="shared" ref="AU1220:AU1283" si="310">AP1220-61.31</f>
        <v>15.090000000000003</v>
      </c>
      <c r="AV1220">
        <f t="shared" ref="AV1220:AV1283" si="311">AO1220</f>
        <v>0.45</v>
      </c>
      <c r="AW1220">
        <f t="shared" si="303"/>
        <v>0.64249999999999996</v>
      </c>
    </row>
    <row r="1221" spans="1:49" x14ac:dyDescent="0.25">
      <c r="A1221" t="s">
        <v>2958</v>
      </c>
      <c r="B1221">
        <v>0.75</v>
      </c>
      <c r="C1221">
        <v>27.18</v>
      </c>
      <c r="E1221" t="s">
        <v>2958</v>
      </c>
      <c r="F1221">
        <v>1.05</v>
      </c>
      <c r="G1221">
        <v>100.18</v>
      </c>
      <c r="I1221" t="str" cm="1">
        <f t="array" ref="I1221:J1221">_xlfn.TEXTSPLIT(A1221," ")</f>
        <v>27.10.2023</v>
      </c>
      <c r="J1221" t="str">
        <v>20:21:00</v>
      </c>
      <c r="K1221">
        <f t="shared" ref="K1221:K1284" si="312">1/60+K1220</f>
        <v>20.300000000000129</v>
      </c>
      <c r="L1221">
        <f t="shared" si="305"/>
        <v>12.86</v>
      </c>
      <c r="M1221">
        <f t="shared" si="306"/>
        <v>0.75</v>
      </c>
      <c r="N1221">
        <f t="shared" si="300"/>
        <v>0.63250000000000017</v>
      </c>
      <c r="Q1221" t="str" cm="1">
        <f t="array" ref="Q1221:R1221">_xlfn.TEXTSPLIT(E1221," ")</f>
        <v>27.10.2023</v>
      </c>
      <c r="R1221" t="str">
        <v>20:21:00</v>
      </c>
      <c r="S1221">
        <f t="shared" ref="S1221:S1284" si="313">1/60+S1220</f>
        <v>20.300000000000129</v>
      </c>
      <c r="T1221">
        <f t="shared" si="304"/>
        <v>21.580000000000013</v>
      </c>
      <c r="U1221">
        <f t="shared" si="307"/>
        <v>1.05</v>
      </c>
      <c r="V1221">
        <f t="shared" si="301"/>
        <v>1.0849999999999997</v>
      </c>
      <c r="AC1221" t="s">
        <v>2959</v>
      </c>
      <c r="AD1221">
        <v>0.6</v>
      </c>
      <c r="AE1221">
        <v>12.97</v>
      </c>
      <c r="AG1221" t="str" cm="1">
        <f t="array" ref="AG1221:AH1221">_xlfn.TEXTSPLIT(AC1222," ")</f>
        <v>26.10.2023</v>
      </c>
      <c r="AH1221" t="str">
        <v>20:22:12</v>
      </c>
      <c r="AI1221">
        <f t="shared" ref="AI1221:AI1284" si="314">1/60+AI1220</f>
        <v>20.300000000000129</v>
      </c>
      <c r="AJ1221">
        <f t="shared" si="308"/>
        <v>8.4400000000000013</v>
      </c>
      <c r="AK1221">
        <f t="shared" si="309"/>
        <v>0.6</v>
      </c>
      <c r="AL1221">
        <f t="shared" si="302"/>
        <v>0.4425</v>
      </c>
      <c r="AN1221" t="s">
        <v>2959</v>
      </c>
      <c r="AO1221">
        <v>0.6</v>
      </c>
      <c r="AP1221">
        <v>76.41</v>
      </c>
      <c r="AR1221" t="str" cm="1">
        <f t="array" ref="AR1221:AS1221">_xlfn.TEXTSPLIT(AN1221," ")</f>
        <v>26.10.2023</v>
      </c>
      <c r="AS1221" t="str">
        <v>20:21:12</v>
      </c>
      <c r="AT1221">
        <f t="shared" ref="AT1221:AT1284" si="315">1/60+AT1220</f>
        <v>20.300000000000129</v>
      </c>
      <c r="AU1221">
        <f t="shared" si="310"/>
        <v>15.099999999999994</v>
      </c>
      <c r="AV1221">
        <f t="shared" si="311"/>
        <v>0.6</v>
      </c>
      <c r="AW1221">
        <f t="shared" si="303"/>
        <v>0.64499999999999991</v>
      </c>
    </row>
    <row r="1222" spans="1:49" x14ac:dyDescent="0.25">
      <c r="A1222" t="s">
        <v>2960</v>
      </c>
      <c r="B1222">
        <v>0.45</v>
      </c>
      <c r="C1222">
        <v>27.2</v>
      </c>
      <c r="E1222" t="s">
        <v>2960</v>
      </c>
      <c r="F1222">
        <v>0.45</v>
      </c>
      <c r="G1222">
        <v>100.18</v>
      </c>
      <c r="I1222" t="str" cm="1">
        <f t="array" ref="I1222:J1222">_xlfn.TEXTSPLIT(A1222," ")</f>
        <v>27.10.2023</v>
      </c>
      <c r="J1222" t="str">
        <v>20:22:01</v>
      </c>
      <c r="K1222">
        <f t="shared" si="312"/>
        <v>20.316666666666794</v>
      </c>
      <c r="L1222">
        <f t="shared" si="305"/>
        <v>12.879999999999999</v>
      </c>
      <c r="M1222">
        <f t="shared" si="306"/>
        <v>0.45</v>
      </c>
      <c r="N1222">
        <f t="shared" si="300"/>
        <v>0.63000000000000034</v>
      </c>
      <c r="Q1222" t="str" cm="1">
        <f t="array" ref="Q1222:R1222">_xlfn.TEXTSPLIT(E1222," ")</f>
        <v>27.10.2023</v>
      </c>
      <c r="R1222" t="str">
        <v>20:22:01</v>
      </c>
      <c r="S1222">
        <f t="shared" si="313"/>
        <v>20.316666666666794</v>
      </c>
      <c r="T1222">
        <f t="shared" si="304"/>
        <v>21.580000000000013</v>
      </c>
      <c r="U1222">
        <f t="shared" si="307"/>
        <v>0.45</v>
      </c>
      <c r="V1222">
        <f t="shared" si="301"/>
        <v>1.085</v>
      </c>
      <c r="AC1222" t="s">
        <v>2961</v>
      </c>
      <c r="AD1222">
        <v>0.15</v>
      </c>
      <c r="AE1222">
        <v>12.97</v>
      </c>
      <c r="AG1222" t="str" cm="1">
        <f t="array" ref="AG1222:AH1222">_xlfn.TEXTSPLIT(AC1223," ")</f>
        <v>26.10.2023</v>
      </c>
      <c r="AH1222" t="str">
        <v>20:23:13</v>
      </c>
      <c r="AI1222">
        <f t="shared" si="314"/>
        <v>20.316666666666794</v>
      </c>
      <c r="AJ1222">
        <f t="shared" si="308"/>
        <v>8.4400000000000013</v>
      </c>
      <c r="AK1222">
        <f t="shared" si="309"/>
        <v>0.15</v>
      </c>
      <c r="AL1222">
        <f t="shared" si="302"/>
        <v>0.4375</v>
      </c>
      <c r="AN1222" t="s">
        <v>2961</v>
      </c>
      <c r="AO1222">
        <v>0.15</v>
      </c>
      <c r="AP1222">
        <v>76.41</v>
      </c>
      <c r="AR1222" t="str" cm="1">
        <f t="array" ref="AR1222:AS1222">_xlfn.TEXTSPLIT(AN1222," ")</f>
        <v>26.10.2023</v>
      </c>
      <c r="AS1222" t="str">
        <v>20:22:12</v>
      </c>
      <c r="AT1222">
        <f t="shared" si="315"/>
        <v>20.316666666666794</v>
      </c>
      <c r="AU1222">
        <f t="shared" si="310"/>
        <v>15.099999999999994</v>
      </c>
      <c r="AV1222">
        <f t="shared" si="311"/>
        <v>0.15</v>
      </c>
      <c r="AW1222">
        <f t="shared" si="303"/>
        <v>0.64499999999999991</v>
      </c>
    </row>
    <row r="1223" spans="1:49" x14ac:dyDescent="0.25">
      <c r="A1223" t="s">
        <v>2962</v>
      </c>
      <c r="B1223">
        <v>0.9</v>
      </c>
      <c r="C1223">
        <v>27.2</v>
      </c>
      <c r="E1223" t="s">
        <v>2962</v>
      </c>
      <c r="F1223">
        <v>0.3</v>
      </c>
      <c r="G1223">
        <v>100.19</v>
      </c>
      <c r="I1223" t="str" cm="1">
        <f t="array" ref="I1223:J1223">_xlfn.TEXTSPLIT(A1223," ")</f>
        <v>27.10.2023</v>
      </c>
      <c r="J1223" t="str">
        <v>20:23:01</v>
      </c>
      <c r="K1223">
        <f t="shared" si="312"/>
        <v>20.33333333333346</v>
      </c>
      <c r="L1223">
        <f t="shared" si="305"/>
        <v>12.879999999999999</v>
      </c>
      <c r="M1223">
        <f t="shared" si="306"/>
        <v>0.9</v>
      </c>
      <c r="N1223">
        <f t="shared" si="300"/>
        <v>0.64250000000000018</v>
      </c>
      <c r="Q1223" t="str" cm="1">
        <f t="array" ref="Q1223:R1223">_xlfn.TEXTSPLIT(E1223," ")</f>
        <v>27.10.2023</v>
      </c>
      <c r="R1223" t="str">
        <v>20:23:01</v>
      </c>
      <c r="S1223">
        <f t="shared" si="313"/>
        <v>20.33333333333346</v>
      </c>
      <c r="T1223">
        <f t="shared" si="304"/>
        <v>21.590000000000003</v>
      </c>
      <c r="U1223">
        <f t="shared" si="307"/>
        <v>0.3</v>
      </c>
      <c r="V1223">
        <f t="shared" si="301"/>
        <v>1.0849999999999997</v>
      </c>
      <c r="AC1223" t="s">
        <v>2963</v>
      </c>
      <c r="AD1223">
        <v>0</v>
      </c>
      <c r="AE1223">
        <v>12.97</v>
      </c>
      <c r="AG1223" t="str" cm="1">
        <f t="array" ref="AG1223:AH1223">_xlfn.TEXTSPLIT(AC1224," ")</f>
        <v>26.10.2023</v>
      </c>
      <c r="AH1223" t="str">
        <v>20:24:13</v>
      </c>
      <c r="AI1223">
        <f t="shared" si="314"/>
        <v>20.33333333333346</v>
      </c>
      <c r="AJ1223">
        <f t="shared" si="308"/>
        <v>8.4400000000000013</v>
      </c>
      <c r="AK1223">
        <f t="shared" si="309"/>
        <v>0</v>
      </c>
      <c r="AL1223">
        <f t="shared" si="302"/>
        <v>0.4325</v>
      </c>
      <c r="AN1223" t="s">
        <v>2963</v>
      </c>
      <c r="AO1223">
        <v>0</v>
      </c>
      <c r="AP1223">
        <v>76.41</v>
      </c>
      <c r="AR1223" t="str" cm="1">
        <f t="array" ref="AR1223:AS1223">_xlfn.TEXTSPLIT(AN1223," ")</f>
        <v>26.10.2023</v>
      </c>
      <c r="AS1223" t="str">
        <v>20:23:13</v>
      </c>
      <c r="AT1223">
        <f t="shared" si="315"/>
        <v>20.33333333333346</v>
      </c>
      <c r="AU1223">
        <f t="shared" si="310"/>
        <v>15.099999999999994</v>
      </c>
      <c r="AV1223">
        <f t="shared" si="311"/>
        <v>0</v>
      </c>
      <c r="AW1223">
        <f t="shared" si="303"/>
        <v>0.64499999999999991</v>
      </c>
    </row>
    <row r="1224" spans="1:49" x14ac:dyDescent="0.25">
      <c r="A1224" t="s">
        <v>2964</v>
      </c>
      <c r="B1224">
        <v>0</v>
      </c>
      <c r="C1224">
        <v>27.2</v>
      </c>
      <c r="E1224" t="s">
        <v>2964</v>
      </c>
      <c r="F1224">
        <v>0.3</v>
      </c>
      <c r="G1224">
        <v>100.19</v>
      </c>
      <c r="I1224" t="str" cm="1">
        <f t="array" ref="I1224:J1224">_xlfn.TEXTSPLIT(A1224," ")</f>
        <v>27.10.2023</v>
      </c>
      <c r="J1224" t="str">
        <v>20:24:01</v>
      </c>
      <c r="K1224">
        <f t="shared" si="312"/>
        <v>20.350000000000126</v>
      </c>
      <c r="L1224">
        <f t="shared" si="305"/>
        <v>12.879999999999999</v>
      </c>
      <c r="M1224">
        <f t="shared" si="306"/>
        <v>0</v>
      </c>
      <c r="N1224">
        <f t="shared" si="300"/>
        <v>0.64250000000000018</v>
      </c>
      <c r="Q1224" t="str" cm="1">
        <f t="array" ref="Q1224:R1224">_xlfn.TEXTSPLIT(E1224," ")</f>
        <v>27.10.2023</v>
      </c>
      <c r="R1224" t="str">
        <v>20:24:01</v>
      </c>
      <c r="S1224">
        <f t="shared" si="313"/>
        <v>20.350000000000126</v>
      </c>
      <c r="T1224">
        <f t="shared" si="304"/>
        <v>21.590000000000003</v>
      </c>
      <c r="U1224">
        <f t="shared" si="307"/>
        <v>0.3</v>
      </c>
      <c r="V1224">
        <f t="shared" si="301"/>
        <v>1.0824999999999996</v>
      </c>
      <c r="AC1224" t="s">
        <v>2965</v>
      </c>
      <c r="AD1224">
        <v>0</v>
      </c>
      <c r="AE1224">
        <v>12.97</v>
      </c>
      <c r="AG1224" t="str" cm="1">
        <f t="array" ref="AG1224:AH1224">_xlfn.TEXTSPLIT(AC1225," ")</f>
        <v>26.10.2023</v>
      </c>
      <c r="AH1224" t="str">
        <v>20:25:13</v>
      </c>
      <c r="AI1224">
        <f t="shared" si="314"/>
        <v>20.350000000000126</v>
      </c>
      <c r="AJ1224">
        <f t="shared" si="308"/>
        <v>8.4400000000000013</v>
      </c>
      <c r="AK1224">
        <f t="shared" si="309"/>
        <v>0</v>
      </c>
      <c r="AL1224">
        <f t="shared" si="302"/>
        <v>0.4325</v>
      </c>
      <c r="AN1224" t="s">
        <v>2965</v>
      </c>
      <c r="AO1224">
        <v>0</v>
      </c>
      <c r="AP1224">
        <v>76.41</v>
      </c>
      <c r="AR1224" t="str" cm="1">
        <f t="array" ref="AR1224:AS1224">_xlfn.TEXTSPLIT(AN1224," ")</f>
        <v>26.10.2023</v>
      </c>
      <c r="AS1224" t="str">
        <v>20:24:13</v>
      </c>
      <c r="AT1224">
        <f t="shared" si="315"/>
        <v>20.350000000000126</v>
      </c>
      <c r="AU1224">
        <f t="shared" si="310"/>
        <v>15.099999999999994</v>
      </c>
      <c r="AV1224">
        <f t="shared" si="311"/>
        <v>0</v>
      </c>
      <c r="AW1224">
        <f t="shared" si="303"/>
        <v>0.64499999999999991</v>
      </c>
    </row>
    <row r="1225" spans="1:49" x14ac:dyDescent="0.25">
      <c r="A1225" t="s">
        <v>2966</v>
      </c>
      <c r="B1225">
        <v>0</v>
      </c>
      <c r="C1225">
        <v>27.2</v>
      </c>
      <c r="E1225" t="s">
        <v>2966</v>
      </c>
      <c r="F1225">
        <v>0.6</v>
      </c>
      <c r="G1225">
        <v>100.21</v>
      </c>
      <c r="I1225" t="str" cm="1">
        <f t="array" ref="I1225:J1225">_xlfn.TEXTSPLIT(A1225," ")</f>
        <v>27.10.2023</v>
      </c>
      <c r="J1225" t="str">
        <v>20:25:01</v>
      </c>
      <c r="K1225">
        <f t="shared" si="312"/>
        <v>20.366666666666791</v>
      </c>
      <c r="L1225">
        <f t="shared" si="305"/>
        <v>12.879999999999999</v>
      </c>
      <c r="M1225">
        <f t="shared" si="306"/>
        <v>0</v>
      </c>
      <c r="N1225">
        <f t="shared" si="300"/>
        <v>0.64250000000000018</v>
      </c>
      <c r="Q1225" t="str" cm="1">
        <f t="array" ref="Q1225:R1225">_xlfn.TEXTSPLIT(E1225," ")</f>
        <v>27.10.2023</v>
      </c>
      <c r="R1225" t="str">
        <v>20:25:01</v>
      </c>
      <c r="S1225">
        <f t="shared" si="313"/>
        <v>20.366666666666791</v>
      </c>
      <c r="T1225">
        <f t="shared" si="304"/>
        <v>21.61</v>
      </c>
      <c r="U1225">
        <f t="shared" si="307"/>
        <v>0.6</v>
      </c>
      <c r="V1225">
        <f t="shared" si="301"/>
        <v>1.0849999999999997</v>
      </c>
      <c r="AC1225" t="s">
        <v>2967</v>
      </c>
      <c r="AD1225">
        <v>0</v>
      </c>
      <c r="AE1225">
        <v>12.97</v>
      </c>
      <c r="AG1225" t="str" cm="1">
        <f t="array" ref="AG1225:AH1225">_xlfn.TEXTSPLIT(AC1226," ")</f>
        <v>26.10.2023</v>
      </c>
      <c r="AH1225" t="str">
        <v>20:26:13</v>
      </c>
      <c r="AI1225">
        <f t="shared" si="314"/>
        <v>20.366666666666791</v>
      </c>
      <c r="AJ1225">
        <f t="shared" si="308"/>
        <v>8.4400000000000013</v>
      </c>
      <c r="AK1225">
        <f t="shared" si="309"/>
        <v>0</v>
      </c>
      <c r="AL1225">
        <f t="shared" si="302"/>
        <v>0.4325</v>
      </c>
      <c r="AN1225" t="s">
        <v>2967</v>
      </c>
      <c r="AO1225">
        <v>0.15</v>
      </c>
      <c r="AP1225">
        <v>76.42</v>
      </c>
      <c r="AR1225" t="str" cm="1">
        <f t="array" ref="AR1225:AS1225">_xlfn.TEXTSPLIT(AN1225," ")</f>
        <v>26.10.2023</v>
      </c>
      <c r="AS1225" t="str">
        <v>20:25:13</v>
      </c>
      <c r="AT1225">
        <f t="shared" si="315"/>
        <v>20.366666666666791</v>
      </c>
      <c r="AU1225">
        <f t="shared" si="310"/>
        <v>15.11</v>
      </c>
      <c r="AV1225">
        <f t="shared" si="311"/>
        <v>0.15</v>
      </c>
      <c r="AW1225">
        <f t="shared" si="303"/>
        <v>0.64499999999999991</v>
      </c>
    </row>
    <row r="1226" spans="1:49" x14ac:dyDescent="0.25">
      <c r="A1226" t="s">
        <v>2968</v>
      </c>
      <c r="B1226">
        <v>0</v>
      </c>
      <c r="C1226">
        <v>27.2</v>
      </c>
      <c r="E1226" t="s">
        <v>2968</v>
      </c>
      <c r="F1226">
        <v>0.6</v>
      </c>
      <c r="G1226">
        <v>100.22</v>
      </c>
      <c r="I1226" t="str" cm="1">
        <f t="array" ref="I1226:J1226">_xlfn.TEXTSPLIT(A1226," ")</f>
        <v>27.10.2023</v>
      </c>
      <c r="J1226" t="str">
        <v>20:26:01</v>
      </c>
      <c r="K1226">
        <f t="shared" si="312"/>
        <v>20.383333333333457</v>
      </c>
      <c r="L1226">
        <f t="shared" si="305"/>
        <v>12.879999999999999</v>
      </c>
      <c r="M1226">
        <f t="shared" si="306"/>
        <v>0</v>
      </c>
      <c r="N1226">
        <f t="shared" si="300"/>
        <v>0.64250000000000018</v>
      </c>
      <c r="Q1226" t="str" cm="1">
        <f t="array" ref="Q1226:R1226">_xlfn.TEXTSPLIT(E1226," ")</f>
        <v>27.10.2023</v>
      </c>
      <c r="R1226" t="str">
        <v>20:26:01</v>
      </c>
      <c r="S1226">
        <f t="shared" si="313"/>
        <v>20.383333333333457</v>
      </c>
      <c r="T1226">
        <f t="shared" si="304"/>
        <v>21.620000000000005</v>
      </c>
      <c r="U1226">
        <f t="shared" si="307"/>
        <v>0.6</v>
      </c>
      <c r="V1226">
        <f t="shared" si="301"/>
        <v>1.0824999999999996</v>
      </c>
      <c r="AC1226" t="s">
        <v>2969</v>
      </c>
      <c r="AD1226">
        <v>0</v>
      </c>
      <c r="AE1226">
        <v>12.97</v>
      </c>
      <c r="AG1226" t="str" cm="1">
        <f t="array" ref="AG1226:AH1226">_xlfn.TEXTSPLIT(AC1227," ")</f>
        <v>26.10.2023</v>
      </c>
      <c r="AH1226" t="str">
        <v>20:27:13</v>
      </c>
      <c r="AI1226">
        <f t="shared" si="314"/>
        <v>20.383333333333457</v>
      </c>
      <c r="AJ1226">
        <f t="shared" si="308"/>
        <v>8.4400000000000013</v>
      </c>
      <c r="AK1226">
        <f t="shared" si="309"/>
        <v>0</v>
      </c>
      <c r="AL1226">
        <f t="shared" si="302"/>
        <v>0.4325</v>
      </c>
      <c r="AN1226" t="s">
        <v>2969</v>
      </c>
      <c r="AO1226">
        <v>0.15</v>
      </c>
      <c r="AP1226">
        <v>76.42</v>
      </c>
      <c r="AR1226" t="str" cm="1">
        <f t="array" ref="AR1226:AS1226">_xlfn.TEXTSPLIT(AN1226," ")</f>
        <v>26.10.2023</v>
      </c>
      <c r="AS1226" t="str">
        <v>20:26:13</v>
      </c>
      <c r="AT1226">
        <f t="shared" si="315"/>
        <v>20.383333333333457</v>
      </c>
      <c r="AU1226">
        <f t="shared" si="310"/>
        <v>15.11</v>
      </c>
      <c r="AV1226">
        <f t="shared" si="311"/>
        <v>0.15</v>
      </c>
      <c r="AW1226">
        <f t="shared" si="303"/>
        <v>0.64749999999999985</v>
      </c>
    </row>
    <row r="1227" spans="1:49" x14ac:dyDescent="0.25">
      <c r="A1227" t="s">
        <v>2970</v>
      </c>
      <c r="B1227">
        <v>0</v>
      </c>
      <c r="C1227">
        <v>27.2</v>
      </c>
      <c r="E1227" t="s">
        <v>2970</v>
      </c>
      <c r="F1227">
        <v>0.9</v>
      </c>
      <c r="G1227">
        <v>100.23</v>
      </c>
      <c r="I1227" t="str" cm="1">
        <f t="array" ref="I1227:J1227">_xlfn.TEXTSPLIT(A1227," ")</f>
        <v>27.10.2023</v>
      </c>
      <c r="J1227" t="str">
        <v>20:27:01</v>
      </c>
      <c r="K1227">
        <f t="shared" si="312"/>
        <v>20.400000000000123</v>
      </c>
      <c r="L1227">
        <f t="shared" si="305"/>
        <v>12.879999999999999</v>
      </c>
      <c r="M1227">
        <f t="shared" si="306"/>
        <v>0</v>
      </c>
      <c r="N1227">
        <f t="shared" si="300"/>
        <v>0.64250000000000018</v>
      </c>
      <c r="Q1227" t="str" cm="1">
        <f t="array" ref="Q1227:R1227">_xlfn.TEXTSPLIT(E1227," ")</f>
        <v>27.10.2023</v>
      </c>
      <c r="R1227" t="str">
        <v>20:27:01</v>
      </c>
      <c r="S1227">
        <f t="shared" si="313"/>
        <v>20.400000000000123</v>
      </c>
      <c r="T1227">
        <f t="shared" si="304"/>
        <v>21.63000000000001</v>
      </c>
      <c r="U1227">
        <f t="shared" si="307"/>
        <v>0.9</v>
      </c>
      <c r="V1227">
        <f t="shared" si="301"/>
        <v>1.0824999999999996</v>
      </c>
      <c r="AC1227" t="s">
        <v>2971</v>
      </c>
      <c r="AD1227">
        <v>0</v>
      </c>
      <c r="AE1227">
        <v>12.97</v>
      </c>
      <c r="AG1227" t="str" cm="1">
        <f t="array" ref="AG1227:AH1227">_xlfn.TEXTSPLIT(AC1228," ")</f>
        <v>26.10.2023</v>
      </c>
      <c r="AH1227" t="str">
        <v>20:28:13</v>
      </c>
      <c r="AI1227">
        <f t="shared" si="314"/>
        <v>20.400000000000123</v>
      </c>
      <c r="AJ1227">
        <f t="shared" si="308"/>
        <v>8.4400000000000013</v>
      </c>
      <c r="AK1227">
        <f t="shared" si="309"/>
        <v>0</v>
      </c>
      <c r="AL1227">
        <f t="shared" si="302"/>
        <v>0.4325</v>
      </c>
      <c r="AN1227" t="s">
        <v>2971</v>
      </c>
      <c r="AO1227">
        <v>0.15</v>
      </c>
      <c r="AP1227">
        <v>76.42</v>
      </c>
      <c r="AR1227" t="str" cm="1">
        <f t="array" ref="AR1227:AS1227">_xlfn.TEXTSPLIT(AN1227," ")</f>
        <v>26.10.2023</v>
      </c>
      <c r="AS1227" t="str">
        <v>20:27:13</v>
      </c>
      <c r="AT1227">
        <f t="shared" si="315"/>
        <v>20.400000000000123</v>
      </c>
      <c r="AU1227">
        <f t="shared" si="310"/>
        <v>15.11</v>
      </c>
      <c r="AV1227">
        <f t="shared" si="311"/>
        <v>0.15</v>
      </c>
      <c r="AW1227">
        <f t="shared" si="303"/>
        <v>0.64749999999999974</v>
      </c>
    </row>
    <row r="1228" spans="1:49" x14ac:dyDescent="0.25">
      <c r="A1228" t="s">
        <v>2972</v>
      </c>
      <c r="B1228">
        <v>0</v>
      </c>
      <c r="C1228">
        <v>27.2</v>
      </c>
      <c r="E1228" t="s">
        <v>2972</v>
      </c>
      <c r="F1228">
        <v>0.75</v>
      </c>
      <c r="G1228">
        <v>100.24</v>
      </c>
      <c r="I1228" t="str" cm="1">
        <f t="array" ref="I1228:J1228">_xlfn.TEXTSPLIT(A1228," ")</f>
        <v>27.10.2023</v>
      </c>
      <c r="J1228" t="str">
        <v>20:28:01</v>
      </c>
      <c r="K1228">
        <f t="shared" si="312"/>
        <v>20.416666666666789</v>
      </c>
      <c r="L1228">
        <f t="shared" si="305"/>
        <v>12.879999999999999</v>
      </c>
      <c r="M1228">
        <f t="shared" si="306"/>
        <v>0</v>
      </c>
      <c r="N1228">
        <f t="shared" si="300"/>
        <v>0.64250000000000018</v>
      </c>
      <c r="Q1228" t="str" cm="1">
        <f t="array" ref="Q1228:R1228">_xlfn.TEXTSPLIT(E1228," ")</f>
        <v>27.10.2023</v>
      </c>
      <c r="R1228" t="str">
        <v>20:28:01</v>
      </c>
      <c r="S1228">
        <f t="shared" si="313"/>
        <v>20.416666666666789</v>
      </c>
      <c r="T1228">
        <f t="shared" si="304"/>
        <v>21.64</v>
      </c>
      <c r="U1228">
        <f t="shared" si="307"/>
        <v>0.75</v>
      </c>
      <c r="V1228">
        <f t="shared" si="301"/>
        <v>1.0799999999999996</v>
      </c>
      <c r="AC1228" t="s">
        <v>2973</v>
      </c>
      <c r="AD1228">
        <v>0</v>
      </c>
      <c r="AE1228">
        <v>12.97</v>
      </c>
      <c r="AG1228" t="str" cm="1">
        <f t="array" ref="AG1228:AH1228">_xlfn.TEXTSPLIT(AC1229," ")</f>
        <v>26.10.2023</v>
      </c>
      <c r="AH1228" t="str">
        <v>20:29:13</v>
      </c>
      <c r="AI1228">
        <f t="shared" si="314"/>
        <v>20.416666666666789</v>
      </c>
      <c r="AJ1228">
        <f t="shared" si="308"/>
        <v>8.4400000000000013</v>
      </c>
      <c r="AK1228">
        <f t="shared" si="309"/>
        <v>0</v>
      </c>
      <c r="AL1228">
        <f t="shared" si="302"/>
        <v>0.4325</v>
      </c>
      <c r="AN1228" t="s">
        <v>2973</v>
      </c>
      <c r="AO1228">
        <v>0.3</v>
      </c>
      <c r="AP1228">
        <v>76.42</v>
      </c>
      <c r="AR1228" t="str" cm="1">
        <f t="array" ref="AR1228:AS1228">_xlfn.TEXTSPLIT(AN1228," ")</f>
        <v>26.10.2023</v>
      </c>
      <c r="AS1228" t="str">
        <v>20:28:13</v>
      </c>
      <c r="AT1228">
        <f t="shared" si="315"/>
        <v>20.416666666666789</v>
      </c>
      <c r="AU1228">
        <f t="shared" si="310"/>
        <v>15.11</v>
      </c>
      <c r="AV1228">
        <f t="shared" si="311"/>
        <v>0.3</v>
      </c>
      <c r="AW1228">
        <f t="shared" si="303"/>
        <v>0.6499999999999998</v>
      </c>
    </row>
    <row r="1229" spans="1:49" x14ac:dyDescent="0.25">
      <c r="A1229" t="s">
        <v>2974</v>
      </c>
      <c r="B1229">
        <v>0.3</v>
      </c>
      <c r="C1229">
        <v>27.21</v>
      </c>
      <c r="E1229" t="s">
        <v>2974</v>
      </c>
      <c r="F1229">
        <v>0.9</v>
      </c>
      <c r="G1229">
        <v>100.26</v>
      </c>
      <c r="I1229" t="str" cm="1">
        <f t="array" ref="I1229:J1229">_xlfn.TEXTSPLIT(A1229," ")</f>
        <v>27.10.2023</v>
      </c>
      <c r="J1229" t="str">
        <v>20:29:01</v>
      </c>
      <c r="K1229">
        <f t="shared" si="312"/>
        <v>20.433333333333454</v>
      </c>
      <c r="L1229">
        <f t="shared" si="305"/>
        <v>12.89</v>
      </c>
      <c r="M1229">
        <f t="shared" si="306"/>
        <v>0.3</v>
      </c>
      <c r="N1229">
        <f t="shared" si="300"/>
        <v>0.64000000000000012</v>
      </c>
      <c r="Q1229" t="str" cm="1">
        <f t="array" ref="Q1229:R1229">_xlfn.TEXTSPLIT(E1229," ")</f>
        <v>27.10.2023</v>
      </c>
      <c r="R1229" t="str">
        <v>20:29:01</v>
      </c>
      <c r="S1229">
        <f t="shared" si="313"/>
        <v>20.433333333333454</v>
      </c>
      <c r="T1229">
        <f t="shared" si="304"/>
        <v>21.660000000000011</v>
      </c>
      <c r="U1229">
        <f t="shared" si="307"/>
        <v>0.9</v>
      </c>
      <c r="V1229">
        <f t="shared" si="301"/>
        <v>1.0774999999999997</v>
      </c>
      <c r="AC1229" t="s">
        <v>2975</v>
      </c>
      <c r="AD1229">
        <v>0</v>
      </c>
      <c r="AE1229">
        <v>12.97</v>
      </c>
      <c r="AG1229" t="str" cm="1">
        <f t="array" ref="AG1229:AH1229">_xlfn.TEXTSPLIT(AC1230," ")</f>
        <v>26.10.2023</v>
      </c>
      <c r="AH1229" t="str">
        <v>20:30:13</v>
      </c>
      <c r="AI1229">
        <f t="shared" si="314"/>
        <v>20.433333333333454</v>
      </c>
      <c r="AJ1229">
        <f t="shared" si="308"/>
        <v>8.4400000000000013</v>
      </c>
      <c r="AK1229">
        <f t="shared" si="309"/>
        <v>0</v>
      </c>
      <c r="AL1229">
        <f t="shared" si="302"/>
        <v>0.4325</v>
      </c>
      <c r="AN1229" t="s">
        <v>2975</v>
      </c>
      <c r="AO1229">
        <v>0.3</v>
      </c>
      <c r="AP1229">
        <v>76.430000000000007</v>
      </c>
      <c r="AR1229" t="str" cm="1">
        <f t="array" ref="AR1229:AS1229">_xlfn.TEXTSPLIT(AN1229," ")</f>
        <v>26.10.2023</v>
      </c>
      <c r="AS1229" t="str">
        <v>20:29:13</v>
      </c>
      <c r="AT1229">
        <f t="shared" si="315"/>
        <v>20.433333333333454</v>
      </c>
      <c r="AU1229">
        <f t="shared" si="310"/>
        <v>15.120000000000005</v>
      </c>
      <c r="AV1229">
        <f t="shared" si="311"/>
        <v>0.3</v>
      </c>
      <c r="AW1229">
        <f t="shared" si="303"/>
        <v>0.65249999999999975</v>
      </c>
    </row>
    <row r="1230" spans="1:49" x14ac:dyDescent="0.25">
      <c r="A1230" t="s">
        <v>2976</v>
      </c>
      <c r="B1230">
        <v>0.3</v>
      </c>
      <c r="C1230">
        <v>27.21</v>
      </c>
      <c r="E1230" t="s">
        <v>2976</v>
      </c>
      <c r="F1230">
        <v>0.9</v>
      </c>
      <c r="G1230">
        <v>100.28</v>
      </c>
      <c r="I1230" t="str" cm="1">
        <f t="array" ref="I1230:J1230">_xlfn.TEXTSPLIT(A1230," ")</f>
        <v>27.10.2023</v>
      </c>
      <c r="J1230" t="str">
        <v>20:30:01</v>
      </c>
      <c r="K1230">
        <f t="shared" si="312"/>
        <v>20.45000000000012</v>
      </c>
      <c r="L1230">
        <f t="shared" si="305"/>
        <v>12.89</v>
      </c>
      <c r="M1230">
        <f t="shared" si="306"/>
        <v>0.3</v>
      </c>
      <c r="N1230">
        <f t="shared" si="300"/>
        <v>0.64000000000000012</v>
      </c>
      <c r="Q1230" t="str" cm="1">
        <f t="array" ref="Q1230:R1230">_xlfn.TEXTSPLIT(E1230," ")</f>
        <v>27.10.2023</v>
      </c>
      <c r="R1230" t="str">
        <v>20:30:01</v>
      </c>
      <c r="S1230">
        <f t="shared" si="313"/>
        <v>20.45000000000012</v>
      </c>
      <c r="T1230">
        <f t="shared" si="304"/>
        <v>21.680000000000007</v>
      </c>
      <c r="U1230">
        <f t="shared" si="307"/>
        <v>0.9</v>
      </c>
      <c r="V1230">
        <f t="shared" si="301"/>
        <v>1.0799999999999996</v>
      </c>
      <c r="AC1230" t="s">
        <v>2977</v>
      </c>
      <c r="AD1230">
        <v>0</v>
      </c>
      <c r="AE1230">
        <v>12.97</v>
      </c>
      <c r="AG1230" t="str" cm="1">
        <f t="array" ref="AG1230:AH1230">_xlfn.TEXTSPLIT(AC1231," ")</f>
        <v>26.10.2023</v>
      </c>
      <c r="AH1230" t="str">
        <v>20:31:13</v>
      </c>
      <c r="AI1230">
        <f t="shared" si="314"/>
        <v>20.45000000000012</v>
      </c>
      <c r="AJ1230">
        <f t="shared" si="308"/>
        <v>8.4400000000000013</v>
      </c>
      <c r="AK1230">
        <f t="shared" si="309"/>
        <v>0</v>
      </c>
      <c r="AL1230">
        <f t="shared" si="302"/>
        <v>0.4325</v>
      </c>
      <c r="AN1230" t="s">
        <v>2977</v>
      </c>
      <c r="AO1230">
        <v>0.3</v>
      </c>
      <c r="AP1230">
        <v>76.430000000000007</v>
      </c>
      <c r="AR1230" t="str" cm="1">
        <f t="array" ref="AR1230:AS1230">_xlfn.TEXTSPLIT(AN1230," ")</f>
        <v>26.10.2023</v>
      </c>
      <c r="AS1230" t="str">
        <v>20:30:13</v>
      </c>
      <c r="AT1230">
        <f t="shared" si="315"/>
        <v>20.45000000000012</v>
      </c>
      <c r="AU1230">
        <f t="shared" si="310"/>
        <v>15.120000000000005</v>
      </c>
      <c r="AV1230">
        <f t="shared" si="311"/>
        <v>0.3</v>
      </c>
      <c r="AW1230">
        <f t="shared" si="303"/>
        <v>0.65499999999999958</v>
      </c>
    </row>
    <row r="1231" spans="1:49" x14ac:dyDescent="0.25">
      <c r="A1231" t="s">
        <v>2978</v>
      </c>
      <c r="B1231">
        <v>0.45</v>
      </c>
      <c r="C1231">
        <v>27.22</v>
      </c>
      <c r="E1231" t="s">
        <v>2978</v>
      </c>
      <c r="F1231">
        <v>0.9</v>
      </c>
      <c r="G1231">
        <v>100.29</v>
      </c>
      <c r="I1231" t="str" cm="1">
        <f t="array" ref="I1231:J1231">_xlfn.TEXTSPLIT(A1231," ")</f>
        <v>27.10.2023</v>
      </c>
      <c r="J1231" t="str">
        <v>20:31:01</v>
      </c>
      <c r="K1231">
        <f t="shared" si="312"/>
        <v>20.466666666666786</v>
      </c>
      <c r="L1231">
        <f t="shared" si="305"/>
        <v>12.899999999999999</v>
      </c>
      <c r="M1231">
        <f t="shared" si="306"/>
        <v>0.45</v>
      </c>
      <c r="N1231">
        <f t="shared" si="300"/>
        <v>0.64000000000000024</v>
      </c>
      <c r="Q1231" t="str" cm="1">
        <f t="array" ref="Q1231:R1231">_xlfn.TEXTSPLIT(E1231," ")</f>
        <v>27.10.2023</v>
      </c>
      <c r="R1231" t="str">
        <v>20:31:01</v>
      </c>
      <c r="S1231">
        <f t="shared" si="313"/>
        <v>20.466666666666786</v>
      </c>
      <c r="T1231">
        <f t="shared" si="304"/>
        <v>21.690000000000012</v>
      </c>
      <c r="U1231">
        <f t="shared" si="307"/>
        <v>0.9</v>
      </c>
      <c r="V1231">
        <f t="shared" si="301"/>
        <v>1.0799999999999996</v>
      </c>
      <c r="AC1231" t="s">
        <v>2979</v>
      </c>
      <c r="AD1231">
        <v>0</v>
      </c>
      <c r="AE1231">
        <v>12.97</v>
      </c>
      <c r="AG1231" t="str" cm="1">
        <f t="array" ref="AG1231:AH1231">_xlfn.TEXTSPLIT(AC1232," ")</f>
        <v>26.10.2023</v>
      </c>
      <c r="AH1231" t="str">
        <v>20:32:13</v>
      </c>
      <c r="AI1231">
        <f t="shared" si="314"/>
        <v>20.466666666666786</v>
      </c>
      <c r="AJ1231">
        <f t="shared" si="308"/>
        <v>8.4400000000000013</v>
      </c>
      <c r="AK1231">
        <f t="shared" si="309"/>
        <v>0</v>
      </c>
      <c r="AL1231">
        <f t="shared" si="302"/>
        <v>0.4325</v>
      </c>
      <c r="AN1231" t="s">
        <v>2979</v>
      </c>
      <c r="AO1231">
        <v>0.3</v>
      </c>
      <c r="AP1231">
        <v>76.44</v>
      </c>
      <c r="AR1231" t="str" cm="1">
        <f t="array" ref="AR1231:AS1231">_xlfn.TEXTSPLIT(AN1231," ")</f>
        <v>26.10.2023</v>
      </c>
      <c r="AS1231" t="str">
        <v>20:31:13</v>
      </c>
      <c r="AT1231">
        <f t="shared" si="315"/>
        <v>20.466666666666786</v>
      </c>
      <c r="AU1231">
        <f t="shared" si="310"/>
        <v>15.129999999999995</v>
      </c>
      <c r="AV1231">
        <f t="shared" si="311"/>
        <v>0.3</v>
      </c>
      <c r="AW1231">
        <f t="shared" si="303"/>
        <v>0.65499999999999958</v>
      </c>
    </row>
    <row r="1232" spans="1:49" x14ac:dyDescent="0.25">
      <c r="A1232" t="s">
        <v>2980</v>
      </c>
      <c r="B1232">
        <v>0.3</v>
      </c>
      <c r="C1232">
        <v>27.22</v>
      </c>
      <c r="E1232" t="s">
        <v>2980</v>
      </c>
      <c r="F1232">
        <v>0.75</v>
      </c>
      <c r="G1232">
        <v>100.3</v>
      </c>
      <c r="I1232" t="str" cm="1">
        <f t="array" ref="I1232:J1232">_xlfn.TEXTSPLIT(A1232," ")</f>
        <v>27.10.2023</v>
      </c>
      <c r="J1232" t="str">
        <v>20:32:02</v>
      </c>
      <c r="K1232">
        <f t="shared" si="312"/>
        <v>20.483333333333452</v>
      </c>
      <c r="L1232">
        <f t="shared" si="305"/>
        <v>12.899999999999999</v>
      </c>
      <c r="M1232">
        <f t="shared" si="306"/>
        <v>0.3</v>
      </c>
      <c r="N1232">
        <f t="shared" si="300"/>
        <v>0.63749999999999996</v>
      </c>
      <c r="Q1232" t="str" cm="1">
        <f t="array" ref="Q1232:R1232">_xlfn.TEXTSPLIT(E1232," ")</f>
        <v>27.10.2023</v>
      </c>
      <c r="R1232" t="str">
        <v>20:32:02</v>
      </c>
      <c r="S1232">
        <f t="shared" si="313"/>
        <v>20.483333333333452</v>
      </c>
      <c r="T1232">
        <f t="shared" si="304"/>
        <v>21.700000000000003</v>
      </c>
      <c r="U1232">
        <f t="shared" si="307"/>
        <v>0.75</v>
      </c>
      <c r="V1232">
        <f t="shared" si="301"/>
        <v>1.0799999999999996</v>
      </c>
      <c r="AC1232" t="s">
        <v>2981</v>
      </c>
      <c r="AD1232">
        <v>0</v>
      </c>
      <c r="AE1232">
        <v>12.97</v>
      </c>
      <c r="AG1232" t="str" cm="1">
        <f t="array" ref="AG1232:AH1232">_xlfn.TEXTSPLIT(AC1233," ")</f>
        <v>26.10.2023</v>
      </c>
      <c r="AH1232" t="str">
        <v>20:33:13</v>
      </c>
      <c r="AI1232">
        <f t="shared" si="314"/>
        <v>20.483333333333452</v>
      </c>
      <c r="AJ1232">
        <f t="shared" si="308"/>
        <v>8.4400000000000013</v>
      </c>
      <c r="AK1232">
        <f t="shared" si="309"/>
        <v>0</v>
      </c>
      <c r="AL1232">
        <f t="shared" si="302"/>
        <v>0.4325</v>
      </c>
      <c r="AN1232" t="s">
        <v>2981</v>
      </c>
      <c r="AO1232">
        <v>0.6</v>
      </c>
      <c r="AP1232">
        <v>76.45</v>
      </c>
      <c r="AR1232" t="str" cm="1">
        <f t="array" ref="AR1232:AS1232">_xlfn.TEXTSPLIT(AN1232," ")</f>
        <v>26.10.2023</v>
      </c>
      <c r="AS1232" t="str">
        <v>20:32:13</v>
      </c>
      <c r="AT1232">
        <f t="shared" si="315"/>
        <v>20.483333333333452</v>
      </c>
      <c r="AU1232">
        <f t="shared" si="310"/>
        <v>15.14</v>
      </c>
      <c r="AV1232">
        <f t="shared" si="311"/>
        <v>0.6</v>
      </c>
      <c r="AW1232">
        <f t="shared" si="303"/>
        <v>0.65999999999999959</v>
      </c>
    </row>
    <row r="1233" spans="1:49" x14ac:dyDescent="0.25">
      <c r="A1233" t="s">
        <v>2982</v>
      </c>
      <c r="B1233">
        <v>0.45</v>
      </c>
      <c r="C1233">
        <v>27.23</v>
      </c>
      <c r="E1233" t="s">
        <v>2982</v>
      </c>
      <c r="F1233">
        <v>0.6</v>
      </c>
      <c r="G1233">
        <v>100.31</v>
      </c>
      <c r="I1233" t="str" cm="1">
        <f t="array" ref="I1233:J1233">_xlfn.TEXTSPLIT(A1233," ")</f>
        <v>27.10.2023</v>
      </c>
      <c r="J1233" t="str">
        <v>20:33:02</v>
      </c>
      <c r="K1233">
        <f t="shared" si="312"/>
        <v>20.500000000000117</v>
      </c>
      <c r="L1233">
        <f t="shared" si="305"/>
        <v>12.91</v>
      </c>
      <c r="M1233">
        <f t="shared" si="306"/>
        <v>0.45</v>
      </c>
      <c r="N1233">
        <f t="shared" si="300"/>
        <v>0.63249999999999995</v>
      </c>
      <c r="Q1233" t="str" cm="1">
        <f t="array" ref="Q1233:R1233">_xlfn.TEXTSPLIT(E1233," ")</f>
        <v>27.10.2023</v>
      </c>
      <c r="R1233" t="str">
        <v>20:33:02</v>
      </c>
      <c r="S1233">
        <f t="shared" si="313"/>
        <v>20.500000000000117</v>
      </c>
      <c r="T1233">
        <f t="shared" si="304"/>
        <v>21.710000000000008</v>
      </c>
      <c r="U1233">
        <f t="shared" si="307"/>
        <v>0.6</v>
      </c>
      <c r="V1233">
        <f t="shared" si="301"/>
        <v>1.0724999999999996</v>
      </c>
      <c r="AC1233" t="s">
        <v>2983</v>
      </c>
      <c r="AD1233">
        <v>0</v>
      </c>
      <c r="AE1233">
        <v>12.97</v>
      </c>
      <c r="AG1233" t="str" cm="1">
        <f t="array" ref="AG1233:AH1233">_xlfn.TEXTSPLIT(AC1234," ")</f>
        <v>26.10.2023</v>
      </c>
      <c r="AH1233" t="str">
        <v>20:34:13</v>
      </c>
      <c r="AI1233">
        <f t="shared" si="314"/>
        <v>20.500000000000117</v>
      </c>
      <c r="AJ1233">
        <f t="shared" si="308"/>
        <v>8.4400000000000013</v>
      </c>
      <c r="AK1233">
        <f t="shared" si="309"/>
        <v>0</v>
      </c>
      <c r="AL1233">
        <f t="shared" si="302"/>
        <v>0.4325</v>
      </c>
      <c r="AN1233" t="s">
        <v>2983</v>
      </c>
      <c r="AO1233">
        <v>0.6</v>
      </c>
      <c r="AP1233">
        <v>76.459999999999994</v>
      </c>
      <c r="AR1233" t="str" cm="1">
        <f t="array" ref="AR1233:AS1233">_xlfn.TEXTSPLIT(AN1233," ")</f>
        <v>26.10.2023</v>
      </c>
      <c r="AS1233" t="str">
        <v>20:33:13</v>
      </c>
      <c r="AT1233">
        <f t="shared" si="315"/>
        <v>20.500000000000117</v>
      </c>
      <c r="AU1233">
        <f t="shared" si="310"/>
        <v>15.149999999999991</v>
      </c>
      <c r="AV1233">
        <f t="shared" si="311"/>
        <v>0.6</v>
      </c>
      <c r="AW1233">
        <f t="shared" si="303"/>
        <v>0.6649999999999997</v>
      </c>
    </row>
    <row r="1234" spans="1:49" x14ac:dyDescent="0.25">
      <c r="A1234" t="s">
        <v>2984</v>
      </c>
      <c r="B1234">
        <v>0.45</v>
      </c>
      <c r="C1234">
        <v>27.24</v>
      </c>
      <c r="E1234" t="s">
        <v>2984</v>
      </c>
      <c r="F1234">
        <v>0.9</v>
      </c>
      <c r="G1234">
        <v>100.32</v>
      </c>
      <c r="I1234" t="str" cm="1">
        <f t="array" ref="I1234:J1234">_xlfn.TEXTSPLIT(A1234," ")</f>
        <v>27.10.2023</v>
      </c>
      <c r="J1234" t="str">
        <v>20:34:02</v>
      </c>
      <c r="K1234">
        <f t="shared" si="312"/>
        <v>20.516666666666783</v>
      </c>
      <c r="L1234">
        <f t="shared" si="305"/>
        <v>12.919999999999998</v>
      </c>
      <c r="M1234">
        <f t="shared" si="306"/>
        <v>0.45</v>
      </c>
      <c r="N1234">
        <f t="shared" si="300"/>
        <v>0.63250000000000006</v>
      </c>
      <c r="Q1234" t="str" cm="1">
        <f t="array" ref="Q1234:R1234">_xlfn.TEXTSPLIT(E1234," ")</f>
        <v>27.10.2023</v>
      </c>
      <c r="R1234" t="str">
        <v>20:34:02</v>
      </c>
      <c r="S1234">
        <f t="shared" si="313"/>
        <v>20.516666666666783</v>
      </c>
      <c r="T1234">
        <f t="shared" si="304"/>
        <v>21.72</v>
      </c>
      <c r="U1234">
        <f t="shared" si="307"/>
        <v>0.9</v>
      </c>
      <c r="V1234">
        <f t="shared" si="301"/>
        <v>1.0699999999999998</v>
      </c>
      <c r="AC1234" t="s">
        <v>2985</v>
      </c>
      <c r="AD1234">
        <v>0</v>
      </c>
      <c r="AE1234">
        <v>12.97</v>
      </c>
      <c r="AG1234" t="str" cm="1">
        <f t="array" ref="AG1234:AH1234">_xlfn.TEXTSPLIT(AC1235," ")</f>
        <v>26.10.2023</v>
      </c>
      <c r="AH1234" t="str">
        <v>20:35:13</v>
      </c>
      <c r="AI1234">
        <f t="shared" si="314"/>
        <v>20.516666666666783</v>
      </c>
      <c r="AJ1234">
        <f t="shared" si="308"/>
        <v>8.4400000000000013</v>
      </c>
      <c r="AK1234">
        <f t="shared" si="309"/>
        <v>0</v>
      </c>
      <c r="AL1234">
        <f t="shared" si="302"/>
        <v>0.4325</v>
      </c>
      <c r="AN1234" t="s">
        <v>2985</v>
      </c>
      <c r="AO1234">
        <v>0.6</v>
      </c>
      <c r="AP1234">
        <v>76.47</v>
      </c>
      <c r="AR1234" t="str" cm="1">
        <f t="array" ref="AR1234:AS1234">_xlfn.TEXTSPLIT(AN1234," ")</f>
        <v>26.10.2023</v>
      </c>
      <c r="AS1234" t="str">
        <v>20:34:13</v>
      </c>
      <c r="AT1234">
        <f t="shared" si="315"/>
        <v>20.516666666666783</v>
      </c>
      <c r="AU1234">
        <f t="shared" si="310"/>
        <v>15.159999999999997</v>
      </c>
      <c r="AV1234">
        <f t="shared" si="311"/>
        <v>0.6</v>
      </c>
      <c r="AW1234">
        <f t="shared" si="303"/>
        <v>0.66999999999999982</v>
      </c>
    </row>
    <row r="1235" spans="1:49" x14ac:dyDescent="0.25">
      <c r="A1235" t="s">
        <v>2986</v>
      </c>
      <c r="B1235">
        <v>0.3</v>
      </c>
      <c r="C1235">
        <v>27.24</v>
      </c>
      <c r="E1235" t="s">
        <v>2986</v>
      </c>
      <c r="F1235">
        <v>1.2</v>
      </c>
      <c r="G1235">
        <v>100.34</v>
      </c>
      <c r="I1235" t="str" cm="1">
        <f t="array" ref="I1235:J1235">_xlfn.TEXTSPLIT(A1235," ")</f>
        <v>27.10.2023</v>
      </c>
      <c r="J1235" t="str">
        <v>20:35:02</v>
      </c>
      <c r="K1235">
        <f t="shared" si="312"/>
        <v>20.533333333333449</v>
      </c>
      <c r="L1235">
        <f t="shared" si="305"/>
        <v>12.919999999999998</v>
      </c>
      <c r="M1235">
        <f t="shared" si="306"/>
        <v>0.3</v>
      </c>
      <c r="N1235">
        <f t="shared" si="300"/>
        <v>0.63249999999999995</v>
      </c>
      <c r="Q1235" t="str" cm="1">
        <f t="array" ref="Q1235:R1235">_xlfn.TEXTSPLIT(E1235," ")</f>
        <v>27.10.2023</v>
      </c>
      <c r="R1235" t="str">
        <v>20:35:02</v>
      </c>
      <c r="S1235">
        <f t="shared" si="313"/>
        <v>20.533333333333449</v>
      </c>
      <c r="T1235">
        <f t="shared" si="304"/>
        <v>21.740000000000009</v>
      </c>
      <c r="U1235">
        <f t="shared" si="307"/>
        <v>1.2</v>
      </c>
      <c r="V1235">
        <f t="shared" si="301"/>
        <v>1.0724999999999996</v>
      </c>
      <c r="AC1235" t="s">
        <v>2987</v>
      </c>
      <c r="AD1235">
        <v>0</v>
      </c>
      <c r="AE1235">
        <v>12.97</v>
      </c>
      <c r="AG1235" t="str" cm="1">
        <f t="array" ref="AG1235:AH1235">_xlfn.TEXTSPLIT(AC1236," ")</f>
        <v>26.10.2023</v>
      </c>
      <c r="AH1235" t="str">
        <v>20:36:13</v>
      </c>
      <c r="AI1235">
        <f t="shared" si="314"/>
        <v>20.533333333333449</v>
      </c>
      <c r="AJ1235">
        <f t="shared" si="308"/>
        <v>8.4400000000000013</v>
      </c>
      <c r="AK1235">
        <f t="shared" si="309"/>
        <v>0</v>
      </c>
      <c r="AL1235">
        <f t="shared" si="302"/>
        <v>0.43</v>
      </c>
      <c r="AN1235" t="s">
        <v>2987</v>
      </c>
      <c r="AO1235">
        <v>0.45</v>
      </c>
      <c r="AP1235">
        <v>76.48</v>
      </c>
      <c r="AR1235" t="str" cm="1">
        <f t="array" ref="AR1235:AS1235">_xlfn.TEXTSPLIT(AN1235," ")</f>
        <v>26.10.2023</v>
      </c>
      <c r="AS1235" t="str">
        <v>20:35:13</v>
      </c>
      <c r="AT1235">
        <f t="shared" si="315"/>
        <v>20.533333333333449</v>
      </c>
      <c r="AU1235">
        <f t="shared" si="310"/>
        <v>15.170000000000002</v>
      </c>
      <c r="AV1235">
        <f t="shared" si="311"/>
        <v>0.45</v>
      </c>
      <c r="AW1235">
        <f t="shared" si="303"/>
        <v>0.66999999999999982</v>
      </c>
    </row>
    <row r="1236" spans="1:49" x14ac:dyDescent="0.25">
      <c r="A1236" t="s">
        <v>2988</v>
      </c>
      <c r="B1236">
        <v>0.15</v>
      </c>
      <c r="C1236">
        <v>27.25</v>
      </c>
      <c r="E1236" t="s">
        <v>2988</v>
      </c>
      <c r="F1236">
        <v>2.7</v>
      </c>
      <c r="G1236">
        <v>100.39</v>
      </c>
      <c r="I1236" t="str" cm="1">
        <f t="array" ref="I1236:J1236">_xlfn.TEXTSPLIT(A1236," ")</f>
        <v>27.10.2023</v>
      </c>
      <c r="J1236" t="str">
        <v>20:36:02</v>
      </c>
      <c r="K1236">
        <f t="shared" si="312"/>
        <v>20.550000000000114</v>
      </c>
      <c r="L1236">
        <f t="shared" si="305"/>
        <v>12.93</v>
      </c>
      <c r="M1236">
        <f t="shared" si="306"/>
        <v>0.15</v>
      </c>
      <c r="N1236">
        <f t="shared" si="300"/>
        <v>0.62749999999999995</v>
      </c>
      <c r="Q1236" t="str" cm="1">
        <f t="array" ref="Q1236:R1236">_xlfn.TEXTSPLIT(E1236," ")</f>
        <v>27.10.2023</v>
      </c>
      <c r="R1236" t="str">
        <v>20:36:02</v>
      </c>
      <c r="S1236">
        <f t="shared" si="313"/>
        <v>20.550000000000114</v>
      </c>
      <c r="T1236">
        <f t="shared" si="304"/>
        <v>21.790000000000006</v>
      </c>
      <c r="U1236">
        <f t="shared" si="307"/>
        <v>2.7</v>
      </c>
      <c r="V1236">
        <f t="shared" si="301"/>
        <v>1.0949999999999998</v>
      </c>
      <c r="AC1236" t="s">
        <v>2989</v>
      </c>
      <c r="AD1236">
        <v>0.15</v>
      </c>
      <c r="AE1236">
        <v>12.98</v>
      </c>
      <c r="AG1236" t="str" cm="1">
        <f t="array" ref="AG1236:AH1236">_xlfn.TEXTSPLIT(AC1237," ")</f>
        <v>26.10.2023</v>
      </c>
      <c r="AH1236" t="str">
        <v>20:37:14</v>
      </c>
      <c r="AI1236">
        <f t="shared" si="314"/>
        <v>20.550000000000114</v>
      </c>
      <c r="AJ1236">
        <f t="shared" si="308"/>
        <v>8.4499999999999993</v>
      </c>
      <c r="AK1236">
        <f t="shared" si="309"/>
        <v>0.15</v>
      </c>
      <c r="AL1236">
        <f t="shared" si="302"/>
        <v>0.42999999999999994</v>
      </c>
      <c r="AN1236" t="s">
        <v>2989</v>
      </c>
      <c r="AO1236">
        <v>0.45</v>
      </c>
      <c r="AP1236">
        <v>76.489999999999995</v>
      </c>
      <c r="AR1236" t="str" cm="1">
        <f t="array" ref="AR1236:AS1236">_xlfn.TEXTSPLIT(AN1236," ")</f>
        <v>26.10.2023</v>
      </c>
      <c r="AS1236" t="str">
        <v>20:36:13</v>
      </c>
      <c r="AT1236">
        <f t="shared" si="315"/>
        <v>20.550000000000114</v>
      </c>
      <c r="AU1236">
        <f t="shared" si="310"/>
        <v>15.179999999999993</v>
      </c>
      <c r="AV1236">
        <f t="shared" si="311"/>
        <v>0.45</v>
      </c>
      <c r="AW1236">
        <f t="shared" si="303"/>
        <v>0.66999999999999993</v>
      </c>
    </row>
    <row r="1237" spans="1:49" x14ac:dyDescent="0.25">
      <c r="A1237" t="s">
        <v>2990</v>
      </c>
      <c r="B1237">
        <v>0.6</v>
      </c>
      <c r="C1237">
        <v>27.26</v>
      </c>
      <c r="E1237" t="s">
        <v>2990</v>
      </c>
      <c r="F1237">
        <v>2.5499999999999998</v>
      </c>
      <c r="G1237">
        <v>100.43</v>
      </c>
      <c r="I1237" t="str" cm="1">
        <f t="array" ref="I1237:J1237">_xlfn.TEXTSPLIT(A1237," ")</f>
        <v>27.10.2023</v>
      </c>
      <c r="J1237" t="str">
        <v>20:37:02</v>
      </c>
      <c r="K1237">
        <f t="shared" si="312"/>
        <v>20.56666666666678</v>
      </c>
      <c r="L1237">
        <f t="shared" si="305"/>
        <v>12.940000000000001</v>
      </c>
      <c r="M1237">
        <f t="shared" si="306"/>
        <v>0.6</v>
      </c>
      <c r="N1237">
        <f t="shared" si="300"/>
        <v>0.63</v>
      </c>
      <c r="Q1237" t="str" cm="1">
        <f t="array" ref="Q1237:R1237">_xlfn.TEXTSPLIT(E1237," ")</f>
        <v>27.10.2023</v>
      </c>
      <c r="R1237" t="str">
        <v>20:37:02</v>
      </c>
      <c r="S1237">
        <f t="shared" si="313"/>
        <v>20.56666666666678</v>
      </c>
      <c r="T1237">
        <f t="shared" si="304"/>
        <v>21.830000000000013</v>
      </c>
      <c r="U1237">
        <f t="shared" si="307"/>
        <v>2.5499999999999998</v>
      </c>
      <c r="V1237">
        <f t="shared" si="301"/>
        <v>1.1099999999999997</v>
      </c>
      <c r="AC1237" t="s">
        <v>2991</v>
      </c>
      <c r="AD1237">
        <v>0.3</v>
      </c>
      <c r="AE1237">
        <v>12.98</v>
      </c>
      <c r="AG1237" t="str" cm="1">
        <f t="array" ref="AG1237:AH1237">_xlfn.TEXTSPLIT(AC1238," ")</f>
        <v>26.10.2023</v>
      </c>
      <c r="AH1237" t="str">
        <v>20:38:14</v>
      </c>
      <c r="AI1237">
        <f t="shared" si="314"/>
        <v>20.56666666666678</v>
      </c>
      <c r="AJ1237">
        <f t="shared" si="308"/>
        <v>8.4499999999999993</v>
      </c>
      <c r="AK1237">
        <f t="shared" si="309"/>
        <v>0.3</v>
      </c>
      <c r="AL1237">
        <f t="shared" si="302"/>
        <v>0.4325</v>
      </c>
      <c r="AN1237" t="s">
        <v>2991</v>
      </c>
      <c r="AO1237">
        <v>1.2</v>
      </c>
      <c r="AP1237">
        <v>76.510000000000005</v>
      </c>
      <c r="AR1237" t="str" cm="1">
        <f t="array" ref="AR1237:AS1237">_xlfn.TEXTSPLIT(AN1237," ")</f>
        <v>26.10.2023</v>
      </c>
      <c r="AS1237" t="str">
        <v>20:37:14</v>
      </c>
      <c r="AT1237">
        <f t="shared" si="315"/>
        <v>20.56666666666678</v>
      </c>
      <c r="AU1237">
        <f t="shared" si="310"/>
        <v>15.200000000000003</v>
      </c>
      <c r="AV1237">
        <f t="shared" si="311"/>
        <v>1.2</v>
      </c>
      <c r="AW1237">
        <f t="shared" si="303"/>
        <v>0.67</v>
      </c>
    </row>
    <row r="1238" spans="1:49" x14ac:dyDescent="0.25">
      <c r="A1238" t="s">
        <v>2992</v>
      </c>
      <c r="B1238">
        <v>2.5499999999999998</v>
      </c>
      <c r="C1238">
        <v>27.31</v>
      </c>
      <c r="E1238" t="s">
        <v>2992</v>
      </c>
      <c r="F1238">
        <v>2.25</v>
      </c>
      <c r="G1238">
        <v>100.47</v>
      </c>
      <c r="I1238" t="str" cm="1">
        <f t="array" ref="I1238:J1238">_xlfn.TEXTSPLIT(A1238," ")</f>
        <v>27.10.2023</v>
      </c>
      <c r="J1238" t="str">
        <v>20:38:02</v>
      </c>
      <c r="K1238">
        <f t="shared" si="312"/>
        <v>20.583333333333446</v>
      </c>
      <c r="L1238">
        <f t="shared" si="305"/>
        <v>12.989999999999998</v>
      </c>
      <c r="M1238">
        <f t="shared" si="306"/>
        <v>2.5499999999999998</v>
      </c>
      <c r="N1238">
        <f t="shared" si="300"/>
        <v>0.66249999999999987</v>
      </c>
      <c r="Q1238" t="str" cm="1">
        <f t="array" ref="Q1238:R1238">_xlfn.TEXTSPLIT(E1238," ")</f>
        <v>27.10.2023</v>
      </c>
      <c r="R1238" t="str">
        <v>20:38:02</v>
      </c>
      <c r="S1238">
        <f t="shared" si="313"/>
        <v>20.583333333333446</v>
      </c>
      <c r="T1238">
        <f t="shared" si="304"/>
        <v>21.870000000000005</v>
      </c>
      <c r="U1238">
        <f t="shared" si="307"/>
        <v>2.25</v>
      </c>
      <c r="V1238">
        <f t="shared" si="301"/>
        <v>1.1024999999999998</v>
      </c>
      <c r="AC1238" t="s">
        <v>2993</v>
      </c>
      <c r="AD1238">
        <v>1.35</v>
      </c>
      <c r="AE1238">
        <v>13.01</v>
      </c>
      <c r="AG1238" t="str" cm="1">
        <f t="array" ref="AG1238:AH1238">_xlfn.TEXTSPLIT(AC1239," ")</f>
        <v>26.10.2023</v>
      </c>
      <c r="AH1238" t="str">
        <v>20:39:14</v>
      </c>
      <c r="AI1238">
        <f t="shared" si="314"/>
        <v>20.583333333333446</v>
      </c>
      <c r="AJ1238">
        <f t="shared" si="308"/>
        <v>8.48</v>
      </c>
      <c r="AK1238">
        <f t="shared" si="309"/>
        <v>1.35</v>
      </c>
      <c r="AL1238">
        <f t="shared" si="302"/>
        <v>0.44000000000000006</v>
      </c>
      <c r="AN1238" t="s">
        <v>2993</v>
      </c>
      <c r="AO1238">
        <v>1.95</v>
      </c>
      <c r="AP1238">
        <v>76.540000000000006</v>
      </c>
      <c r="AR1238" t="str" cm="1">
        <f t="array" ref="AR1238:AS1238">_xlfn.TEXTSPLIT(AN1238," ")</f>
        <v>26.10.2023</v>
      </c>
      <c r="AS1238" t="str">
        <v>20:38:14</v>
      </c>
      <c r="AT1238">
        <f t="shared" si="315"/>
        <v>20.583333333333446</v>
      </c>
      <c r="AU1238">
        <f t="shared" si="310"/>
        <v>15.230000000000004</v>
      </c>
      <c r="AV1238">
        <f t="shared" si="311"/>
        <v>1.95</v>
      </c>
      <c r="AW1238">
        <f t="shared" si="303"/>
        <v>0.65499999999999992</v>
      </c>
    </row>
    <row r="1239" spans="1:49" x14ac:dyDescent="0.25">
      <c r="A1239" t="s">
        <v>2994</v>
      </c>
      <c r="B1239">
        <v>2.4</v>
      </c>
      <c r="C1239">
        <v>27.34</v>
      </c>
      <c r="E1239" t="s">
        <v>2994</v>
      </c>
      <c r="F1239">
        <v>2.25</v>
      </c>
      <c r="G1239">
        <v>100.5</v>
      </c>
      <c r="I1239" t="str" cm="1">
        <f t="array" ref="I1239:J1239">_xlfn.TEXTSPLIT(A1239," ")</f>
        <v>27.10.2023</v>
      </c>
      <c r="J1239" t="str">
        <v>20:39:02</v>
      </c>
      <c r="K1239">
        <f t="shared" si="312"/>
        <v>20.600000000000112</v>
      </c>
      <c r="L1239">
        <f t="shared" si="305"/>
        <v>13.02</v>
      </c>
      <c r="M1239">
        <f t="shared" si="306"/>
        <v>2.4</v>
      </c>
      <c r="N1239">
        <f t="shared" si="300"/>
        <v>0.6549999999999998</v>
      </c>
      <c r="Q1239" t="str" cm="1">
        <f t="array" ref="Q1239:R1239">_xlfn.TEXTSPLIT(E1239," ")</f>
        <v>27.10.2023</v>
      </c>
      <c r="R1239" t="str">
        <v>20:39:02</v>
      </c>
      <c r="S1239">
        <f t="shared" si="313"/>
        <v>20.600000000000112</v>
      </c>
      <c r="T1239">
        <f t="shared" si="304"/>
        <v>21.900000000000006</v>
      </c>
      <c r="U1239">
        <f t="shared" si="307"/>
        <v>2.25</v>
      </c>
      <c r="V1239">
        <f t="shared" si="301"/>
        <v>1.0899999999999999</v>
      </c>
      <c r="AC1239" t="s">
        <v>2995</v>
      </c>
      <c r="AD1239">
        <v>1.65</v>
      </c>
      <c r="AE1239">
        <v>13.04</v>
      </c>
      <c r="AG1239" t="str" cm="1">
        <f t="array" ref="AG1239:AH1239">_xlfn.TEXTSPLIT(AC1240," ")</f>
        <v>26.10.2023</v>
      </c>
      <c r="AH1239" t="str">
        <v>20:40:14</v>
      </c>
      <c r="AI1239">
        <f t="shared" si="314"/>
        <v>20.600000000000112</v>
      </c>
      <c r="AJ1239">
        <f t="shared" si="308"/>
        <v>8.509999999999998</v>
      </c>
      <c r="AK1239">
        <f t="shared" si="309"/>
        <v>1.65</v>
      </c>
      <c r="AL1239">
        <f t="shared" si="302"/>
        <v>0.43249999999999994</v>
      </c>
      <c r="AN1239" t="s">
        <v>2995</v>
      </c>
      <c r="AO1239">
        <v>2.25</v>
      </c>
      <c r="AP1239">
        <v>76.58</v>
      </c>
      <c r="AR1239" t="str" cm="1">
        <f t="array" ref="AR1239:AS1239">_xlfn.TEXTSPLIT(AN1239," ")</f>
        <v>26.10.2023</v>
      </c>
      <c r="AS1239" t="str">
        <v>20:39:14</v>
      </c>
      <c r="AT1239">
        <f t="shared" si="315"/>
        <v>20.600000000000112</v>
      </c>
      <c r="AU1239">
        <f t="shared" si="310"/>
        <v>15.269999999999996</v>
      </c>
      <c r="AV1239">
        <f t="shared" si="311"/>
        <v>2.25</v>
      </c>
      <c r="AW1239">
        <f t="shared" si="303"/>
        <v>0.6675000000000002</v>
      </c>
    </row>
    <row r="1240" spans="1:49" x14ac:dyDescent="0.25">
      <c r="A1240" t="s">
        <v>2996</v>
      </c>
      <c r="B1240">
        <v>1.05</v>
      </c>
      <c r="C1240">
        <v>27.36</v>
      </c>
      <c r="E1240" t="s">
        <v>2996</v>
      </c>
      <c r="F1240">
        <v>1.2</v>
      </c>
      <c r="G1240">
        <v>100.52</v>
      </c>
      <c r="I1240" t="str" cm="1">
        <f t="array" ref="I1240:J1240">_xlfn.TEXTSPLIT(A1240," ")</f>
        <v>27.10.2023</v>
      </c>
      <c r="J1240" t="str">
        <v>20:40:02</v>
      </c>
      <c r="K1240">
        <f t="shared" si="312"/>
        <v>20.616666666666777</v>
      </c>
      <c r="L1240">
        <f t="shared" si="305"/>
        <v>13.04</v>
      </c>
      <c r="M1240">
        <f t="shared" si="306"/>
        <v>1.05</v>
      </c>
      <c r="N1240">
        <f t="shared" si="300"/>
        <v>0.63499999999999979</v>
      </c>
      <c r="Q1240" t="str" cm="1">
        <f t="array" ref="Q1240:R1240">_xlfn.TEXTSPLIT(E1240," ")</f>
        <v>27.10.2023</v>
      </c>
      <c r="R1240" t="str">
        <v>20:40:02</v>
      </c>
      <c r="S1240">
        <f t="shared" si="313"/>
        <v>20.616666666666777</v>
      </c>
      <c r="T1240">
        <f t="shared" si="304"/>
        <v>21.92</v>
      </c>
      <c r="U1240">
        <f t="shared" si="307"/>
        <v>1.2</v>
      </c>
      <c r="V1240">
        <f t="shared" si="301"/>
        <v>1.0824999999999998</v>
      </c>
      <c r="AC1240" t="s">
        <v>2997</v>
      </c>
      <c r="AD1240">
        <v>1.35</v>
      </c>
      <c r="AE1240">
        <v>13.06</v>
      </c>
      <c r="AG1240" t="str" cm="1">
        <f t="array" ref="AG1240:AH1240">_xlfn.TEXTSPLIT(AC1241," ")</f>
        <v>26.10.2023</v>
      </c>
      <c r="AH1240" t="str">
        <v>20:41:14</v>
      </c>
      <c r="AI1240">
        <f t="shared" si="314"/>
        <v>20.616666666666777</v>
      </c>
      <c r="AJ1240">
        <f t="shared" si="308"/>
        <v>8.5300000000000011</v>
      </c>
      <c r="AK1240">
        <f t="shared" si="309"/>
        <v>1.35</v>
      </c>
      <c r="AL1240">
        <f t="shared" si="302"/>
        <v>0.41499999999999992</v>
      </c>
      <c r="AN1240" t="s">
        <v>2997</v>
      </c>
      <c r="AO1240">
        <v>1.8</v>
      </c>
      <c r="AP1240">
        <v>76.61</v>
      </c>
      <c r="AR1240" t="str" cm="1">
        <f t="array" ref="AR1240:AS1240">_xlfn.TEXTSPLIT(AN1240," ")</f>
        <v>26.10.2023</v>
      </c>
      <c r="AS1240" t="str">
        <v>20:40:14</v>
      </c>
      <c r="AT1240">
        <f t="shared" si="315"/>
        <v>20.616666666666777</v>
      </c>
      <c r="AU1240">
        <f t="shared" si="310"/>
        <v>15.299999999999997</v>
      </c>
      <c r="AV1240">
        <f t="shared" si="311"/>
        <v>1.8</v>
      </c>
      <c r="AW1240">
        <f t="shared" si="303"/>
        <v>0.6775000000000001</v>
      </c>
    </row>
    <row r="1241" spans="1:49" x14ac:dyDescent="0.25">
      <c r="A1241" t="s">
        <v>2998</v>
      </c>
      <c r="B1241">
        <v>0.9</v>
      </c>
      <c r="C1241">
        <v>27.38</v>
      </c>
      <c r="E1241" t="s">
        <v>2998</v>
      </c>
      <c r="F1241">
        <v>0.9</v>
      </c>
      <c r="G1241">
        <v>100.54</v>
      </c>
      <c r="I1241" t="str" cm="1">
        <f t="array" ref="I1241:J1241">_xlfn.TEXTSPLIT(A1241," ")</f>
        <v>27.10.2023</v>
      </c>
      <c r="J1241" t="str">
        <v>20:41:02</v>
      </c>
      <c r="K1241">
        <f t="shared" si="312"/>
        <v>20.633333333333443</v>
      </c>
      <c r="L1241">
        <f t="shared" si="305"/>
        <v>13.059999999999999</v>
      </c>
      <c r="M1241">
        <f t="shared" si="306"/>
        <v>0.9</v>
      </c>
      <c r="N1241">
        <f t="shared" si="300"/>
        <v>0.62999999999999967</v>
      </c>
      <c r="Q1241" t="str" cm="1">
        <f t="array" ref="Q1241:R1241">_xlfn.TEXTSPLIT(E1241," ")</f>
        <v>27.10.2023</v>
      </c>
      <c r="R1241" t="str">
        <v>20:41:02</v>
      </c>
      <c r="S1241">
        <f t="shared" si="313"/>
        <v>20.633333333333443</v>
      </c>
      <c r="T1241">
        <f t="shared" si="304"/>
        <v>21.940000000000012</v>
      </c>
      <c r="U1241">
        <f t="shared" si="307"/>
        <v>0.9</v>
      </c>
      <c r="V1241">
        <f t="shared" si="301"/>
        <v>1.0799999999999998</v>
      </c>
      <c r="AC1241" t="s">
        <v>2999</v>
      </c>
      <c r="AD1241">
        <v>1.5</v>
      </c>
      <c r="AE1241">
        <v>13.08</v>
      </c>
      <c r="AG1241" t="str" cm="1">
        <f t="array" ref="AG1241:AH1241">_xlfn.TEXTSPLIT(AC1242," ")</f>
        <v>26.10.2023</v>
      </c>
      <c r="AH1241" t="str">
        <v>20:42:14</v>
      </c>
      <c r="AI1241">
        <f t="shared" si="314"/>
        <v>20.633333333333443</v>
      </c>
      <c r="AJ1241">
        <f t="shared" si="308"/>
        <v>8.5500000000000007</v>
      </c>
      <c r="AK1241">
        <f t="shared" si="309"/>
        <v>1.5</v>
      </c>
      <c r="AL1241">
        <f t="shared" si="302"/>
        <v>0.42</v>
      </c>
      <c r="AN1241" t="s">
        <v>2999</v>
      </c>
      <c r="AO1241">
        <v>0.9</v>
      </c>
      <c r="AP1241">
        <v>76.62</v>
      </c>
      <c r="AR1241" t="str" cm="1">
        <f t="array" ref="AR1241:AS1241">_xlfn.TEXTSPLIT(AN1241," ")</f>
        <v>26.10.2023</v>
      </c>
      <c r="AS1241" t="str">
        <v>20:41:14</v>
      </c>
      <c r="AT1241">
        <f t="shared" si="315"/>
        <v>20.633333333333443</v>
      </c>
      <c r="AU1241">
        <f t="shared" si="310"/>
        <v>15.310000000000002</v>
      </c>
      <c r="AV1241">
        <f t="shared" si="311"/>
        <v>0.9</v>
      </c>
      <c r="AW1241">
        <f t="shared" si="303"/>
        <v>0.67249999999999999</v>
      </c>
    </row>
    <row r="1242" spans="1:49" x14ac:dyDescent="0.25">
      <c r="A1242" t="s">
        <v>3000</v>
      </c>
      <c r="B1242">
        <v>0.9</v>
      </c>
      <c r="C1242">
        <v>27.39</v>
      </c>
      <c r="E1242" t="s">
        <v>3000</v>
      </c>
      <c r="F1242">
        <v>0.9</v>
      </c>
      <c r="G1242">
        <v>100.55</v>
      </c>
      <c r="I1242" t="str" cm="1">
        <f t="array" ref="I1242:J1242">_xlfn.TEXTSPLIT(A1242," ")</f>
        <v>27.10.2023</v>
      </c>
      <c r="J1242" t="str">
        <v>20:42:02</v>
      </c>
      <c r="K1242">
        <f t="shared" si="312"/>
        <v>20.650000000000109</v>
      </c>
      <c r="L1242">
        <f t="shared" si="305"/>
        <v>13.07</v>
      </c>
      <c r="M1242">
        <f t="shared" si="306"/>
        <v>0.9</v>
      </c>
      <c r="N1242">
        <f t="shared" si="300"/>
        <v>0.62499999999999978</v>
      </c>
      <c r="Q1242" t="str" cm="1">
        <f t="array" ref="Q1242:R1242">_xlfn.TEXTSPLIT(E1242," ")</f>
        <v>27.10.2023</v>
      </c>
      <c r="R1242" t="str">
        <v>20:42:02</v>
      </c>
      <c r="S1242">
        <f t="shared" si="313"/>
        <v>20.650000000000109</v>
      </c>
      <c r="T1242">
        <f t="shared" si="304"/>
        <v>21.950000000000003</v>
      </c>
      <c r="U1242">
        <f t="shared" si="307"/>
        <v>0.9</v>
      </c>
      <c r="V1242">
        <f t="shared" si="301"/>
        <v>1.0774999999999999</v>
      </c>
      <c r="AC1242" t="s">
        <v>3001</v>
      </c>
      <c r="AD1242">
        <v>1.05</v>
      </c>
      <c r="AE1242">
        <v>13.1</v>
      </c>
      <c r="AG1242" t="str" cm="1">
        <f t="array" ref="AG1242:AH1242">_xlfn.TEXTSPLIT(AC1243," ")</f>
        <v>26.10.2023</v>
      </c>
      <c r="AH1242" t="str">
        <v>20:43:14</v>
      </c>
      <c r="AI1242">
        <f t="shared" si="314"/>
        <v>20.650000000000109</v>
      </c>
      <c r="AJ1242">
        <f t="shared" si="308"/>
        <v>8.57</v>
      </c>
      <c r="AK1242">
        <f t="shared" si="309"/>
        <v>1.05</v>
      </c>
      <c r="AL1242">
        <f t="shared" si="302"/>
        <v>0.42749999999999999</v>
      </c>
      <c r="AN1242" t="s">
        <v>3001</v>
      </c>
      <c r="AO1242">
        <v>0.9</v>
      </c>
      <c r="AP1242">
        <v>76.64</v>
      </c>
      <c r="AR1242" t="str" cm="1">
        <f t="array" ref="AR1242:AS1242">_xlfn.TEXTSPLIT(AN1242," ")</f>
        <v>26.10.2023</v>
      </c>
      <c r="AS1242" t="str">
        <v>20:42:14</v>
      </c>
      <c r="AT1242">
        <f t="shared" si="315"/>
        <v>20.650000000000109</v>
      </c>
      <c r="AU1242">
        <f t="shared" si="310"/>
        <v>15.329999999999998</v>
      </c>
      <c r="AV1242">
        <f t="shared" si="311"/>
        <v>0.9</v>
      </c>
      <c r="AW1242">
        <f t="shared" si="303"/>
        <v>0.66750000000000009</v>
      </c>
    </row>
    <row r="1243" spans="1:49" x14ac:dyDescent="0.25">
      <c r="A1243" t="s">
        <v>3002</v>
      </c>
      <c r="B1243">
        <v>0.9</v>
      </c>
      <c r="C1243">
        <v>27.41</v>
      </c>
      <c r="E1243" t="s">
        <v>3002</v>
      </c>
      <c r="F1243">
        <v>0.75</v>
      </c>
      <c r="G1243">
        <v>100.56</v>
      </c>
      <c r="I1243" t="str" cm="1">
        <f t="array" ref="I1243:J1243">_xlfn.TEXTSPLIT(A1243," ")</f>
        <v>27.10.2023</v>
      </c>
      <c r="J1243" t="str">
        <v>20:43:02</v>
      </c>
      <c r="K1243">
        <f t="shared" si="312"/>
        <v>20.666666666666774</v>
      </c>
      <c r="L1243">
        <f t="shared" si="305"/>
        <v>13.09</v>
      </c>
      <c r="M1243">
        <f t="shared" si="306"/>
        <v>0.9</v>
      </c>
      <c r="N1243">
        <f t="shared" si="300"/>
        <v>0.62499999999999989</v>
      </c>
      <c r="Q1243" t="str" cm="1">
        <f t="array" ref="Q1243:R1243">_xlfn.TEXTSPLIT(E1243," ")</f>
        <v>27.10.2023</v>
      </c>
      <c r="R1243" t="str">
        <v>20:43:02</v>
      </c>
      <c r="S1243">
        <f t="shared" si="313"/>
        <v>20.666666666666774</v>
      </c>
      <c r="T1243">
        <f t="shared" si="304"/>
        <v>21.960000000000008</v>
      </c>
      <c r="U1243">
        <f t="shared" si="307"/>
        <v>0.75</v>
      </c>
      <c r="V1243">
        <f t="shared" si="301"/>
        <v>1.0674999999999997</v>
      </c>
      <c r="AC1243" t="s">
        <v>3003</v>
      </c>
      <c r="AD1243">
        <v>1.2</v>
      </c>
      <c r="AE1243">
        <v>13.12</v>
      </c>
      <c r="AG1243" t="str" cm="1">
        <f t="array" ref="AG1243:AH1243">_xlfn.TEXTSPLIT(AC1244," ")</f>
        <v>26.10.2023</v>
      </c>
      <c r="AH1243" t="str">
        <v>20:44:14</v>
      </c>
      <c r="AI1243">
        <f t="shared" si="314"/>
        <v>20.666666666666774</v>
      </c>
      <c r="AJ1243">
        <f t="shared" si="308"/>
        <v>8.59</v>
      </c>
      <c r="AK1243">
        <f t="shared" si="309"/>
        <v>1.2</v>
      </c>
      <c r="AL1243">
        <f t="shared" si="302"/>
        <v>0.4375</v>
      </c>
      <c r="AN1243" t="s">
        <v>3003</v>
      </c>
      <c r="AO1243">
        <v>0.6</v>
      </c>
      <c r="AP1243">
        <v>76.64</v>
      </c>
      <c r="AR1243" t="str" cm="1">
        <f t="array" ref="AR1243:AS1243">_xlfn.TEXTSPLIT(AN1243," ")</f>
        <v>26.10.2023</v>
      </c>
      <c r="AS1243" t="str">
        <v>20:43:14</v>
      </c>
      <c r="AT1243">
        <f t="shared" si="315"/>
        <v>20.666666666666774</v>
      </c>
      <c r="AU1243">
        <f t="shared" si="310"/>
        <v>15.329999999999998</v>
      </c>
      <c r="AV1243">
        <f t="shared" si="311"/>
        <v>0.6</v>
      </c>
      <c r="AW1243">
        <f t="shared" si="303"/>
        <v>0.65750000000000008</v>
      </c>
    </row>
    <row r="1244" spans="1:49" x14ac:dyDescent="0.25">
      <c r="A1244" t="s">
        <v>3004</v>
      </c>
      <c r="B1244">
        <v>0.75</v>
      </c>
      <c r="C1244">
        <v>27.42</v>
      </c>
      <c r="E1244" t="s">
        <v>3004</v>
      </c>
      <c r="F1244">
        <v>0.9</v>
      </c>
      <c r="G1244">
        <v>100.58</v>
      </c>
      <c r="I1244" t="str" cm="1">
        <f t="array" ref="I1244:J1244">_xlfn.TEXTSPLIT(A1244," ")</f>
        <v>27.10.2023</v>
      </c>
      <c r="J1244" t="str">
        <v>20:44:03</v>
      </c>
      <c r="K1244">
        <f t="shared" si="312"/>
        <v>20.68333333333344</v>
      </c>
      <c r="L1244">
        <f t="shared" si="305"/>
        <v>13.100000000000001</v>
      </c>
      <c r="M1244">
        <f t="shared" si="306"/>
        <v>0.75</v>
      </c>
      <c r="N1244">
        <f t="shared" si="300"/>
        <v>0.62249999999999994</v>
      </c>
      <c r="Q1244" t="str" cm="1">
        <f t="array" ref="Q1244:R1244">_xlfn.TEXTSPLIT(E1244," ")</f>
        <v>27.10.2023</v>
      </c>
      <c r="R1244" t="str">
        <v>20:44:03</v>
      </c>
      <c r="S1244">
        <f t="shared" si="313"/>
        <v>20.68333333333344</v>
      </c>
      <c r="T1244">
        <f t="shared" si="304"/>
        <v>21.980000000000004</v>
      </c>
      <c r="U1244">
        <f t="shared" si="307"/>
        <v>0.9</v>
      </c>
      <c r="V1244">
        <f t="shared" si="301"/>
        <v>1.0549999999999999</v>
      </c>
      <c r="AC1244" t="s">
        <v>3005</v>
      </c>
      <c r="AD1244">
        <v>0.9</v>
      </c>
      <c r="AE1244">
        <v>13.13</v>
      </c>
      <c r="AG1244" t="str" cm="1">
        <f t="array" ref="AG1244:AH1244">_xlfn.TEXTSPLIT(AC1245," ")</f>
        <v>26.10.2023</v>
      </c>
      <c r="AH1244" t="str">
        <v>20:45:14</v>
      </c>
      <c r="AI1244">
        <f t="shared" si="314"/>
        <v>20.68333333333344</v>
      </c>
      <c r="AJ1244">
        <f t="shared" si="308"/>
        <v>8.6000000000000014</v>
      </c>
      <c r="AK1244">
        <f t="shared" si="309"/>
        <v>0.9</v>
      </c>
      <c r="AL1244">
        <f t="shared" si="302"/>
        <v>0.44</v>
      </c>
      <c r="AN1244" t="s">
        <v>3005</v>
      </c>
      <c r="AO1244">
        <v>0.75</v>
      </c>
      <c r="AP1244">
        <v>76.66</v>
      </c>
      <c r="AR1244" t="str" cm="1">
        <f t="array" ref="AR1244:AS1244">_xlfn.TEXTSPLIT(AN1244," ")</f>
        <v>26.10.2023</v>
      </c>
      <c r="AS1244" t="str">
        <v>20:44:14</v>
      </c>
      <c r="AT1244">
        <f t="shared" si="315"/>
        <v>20.68333333333344</v>
      </c>
      <c r="AU1244">
        <f t="shared" si="310"/>
        <v>15.349999999999994</v>
      </c>
      <c r="AV1244">
        <f t="shared" si="311"/>
        <v>0.75</v>
      </c>
      <c r="AW1244">
        <f t="shared" si="303"/>
        <v>0.65749999999999997</v>
      </c>
    </row>
    <row r="1245" spans="1:49" x14ac:dyDescent="0.25">
      <c r="A1245" t="s">
        <v>3006</v>
      </c>
      <c r="B1245">
        <v>0.75</v>
      </c>
      <c r="C1245">
        <v>27.43</v>
      </c>
      <c r="E1245" t="s">
        <v>3006</v>
      </c>
      <c r="F1245">
        <v>1.2</v>
      </c>
      <c r="G1245">
        <v>100.6</v>
      </c>
      <c r="I1245" t="str" cm="1">
        <f t="array" ref="I1245:J1245">_xlfn.TEXTSPLIT(A1245," ")</f>
        <v>27.10.2023</v>
      </c>
      <c r="J1245" t="str">
        <v>20:45:03</v>
      </c>
      <c r="K1245">
        <f t="shared" si="312"/>
        <v>20.700000000000106</v>
      </c>
      <c r="L1245">
        <f t="shared" si="305"/>
        <v>13.11</v>
      </c>
      <c r="M1245">
        <f t="shared" si="306"/>
        <v>0.75</v>
      </c>
      <c r="N1245">
        <f t="shared" si="300"/>
        <v>0.62249999999999994</v>
      </c>
      <c r="Q1245" t="str" cm="1">
        <f t="array" ref="Q1245:R1245">_xlfn.TEXTSPLIT(E1245," ")</f>
        <v>27.10.2023</v>
      </c>
      <c r="R1245" t="str">
        <v>20:45:03</v>
      </c>
      <c r="S1245">
        <f t="shared" si="313"/>
        <v>20.700000000000106</v>
      </c>
      <c r="T1245">
        <f t="shared" si="304"/>
        <v>22</v>
      </c>
      <c r="U1245">
        <f t="shared" si="307"/>
        <v>1.2</v>
      </c>
      <c r="V1245">
        <f t="shared" si="301"/>
        <v>1.0549999999999999</v>
      </c>
      <c r="AC1245" t="s">
        <v>3007</v>
      </c>
      <c r="AD1245">
        <v>0.45</v>
      </c>
      <c r="AE1245">
        <v>13.14</v>
      </c>
      <c r="AG1245" t="str" cm="1">
        <f t="array" ref="AG1245:AH1245">_xlfn.TEXTSPLIT(AC1246," ")</f>
        <v>26.10.2023</v>
      </c>
      <c r="AH1245" t="str">
        <v>20:46:15</v>
      </c>
      <c r="AI1245">
        <f t="shared" si="314"/>
        <v>20.700000000000106</v>
      </c>
      <c r="AJ1245">
        <f t="shared" si="308"/>
        <v>8.61</v>
      </c>
      <c r="AK1245">
        <f t="shared" si="309"/>
        <v>0.45</v>
      </c>
      <c r="AL1245">
        <f t="shared" si="302"/>
        <v>0.44500000000000001</v>
      </c>
      <c r="AN1245" t="s">
        <v>3007</v>
      </c>
      <c r="AO1245">
        <v>0.9</v>
      </c>
      <c r="AP1245">
        <v>76.67</v>
      </c>
      <c r="AR1245" t="str" cm="1">
        <f t="array" ref="AR1245:AS1245">_xlfn.TEXTSPLIT(AN1245," ")</f>
        <v>26.10.2023</v>
      </c>
      <c r="AS1245" t="str">
        <v>20:45:14</v>
      </c>
      <c r="AT1245">
        <f t="shared" si="315"/>
        <v>20.700000000000106</v>
      </c>
      <c r="AU1245">
        <f t="shared" si="310"/>
        <v>15.36</v>
      </c>
      <c r="AV1245">
        <f t="shared" si="311"/>
        <v>0.9</v>
      </c>
      <c r="AW1245">
        <f t="shared" si="303"/>
        <v>0.66249999999999998</v>
      </c>
    </row>
    <row r="1246" spans="1:49" x14ac:dyDescent="0.25">
      <c r="A1246" t="s">
        <v>3008</v>
      </c>
      <c r="B1246">
        <v>0.6</v>
      </c>
      <c r="C1246">
        <v>27.44</v>
      </c>
      <c r="E1246" t="s">
        <v>3008</v>
      </c>
      <c r="F1246">
        <v>1.2</v>
      </c>
      <c r="G1246">
        <v>100.62</v>
      </c>
      <c r="I1246" t="str" cm="1">
        <f t="array" ref="I1246:J1246">_xlfn.TEXTSPLIT(A1246," ")</f>
        <v>27.10.2023</v>
      </c>
      <c r="J1246" t="str">
        <v>20:46:03</v>
      </c>
      <c r="K1246">
        <f t="shared" si="312"/>
        <v>20.716666666666772</v>
      </c>
      <c r="L1246">
        <f t="shared" si="305"/>
        <v>13.120000000000001</v>
      </c>
      <c r="M1246">
        <f t="shared" si="306"/>
        <v>0.6</v>
      </c>
      <c r="N1246">
        <f t="shared" si="300"/>
        <v>0.62249999999999994</v>
      </c>
      <c r="Q1246" t="str" cm="1">
        <f t="array" ref="Q1246:R1246">_xlfn.TEXTSPLIT(E1246," ")</f>
        <v>27.10.2023</v>
      </c>
      <c r="R1246" t="str">
        <v>20:46:03</v>
      </c>
      <c r="S1246">
        <f t="shared" si="313"/>
        <v>20.716666666666772</v>
      </c>
      <c r="T1246">
        <f t="shared" si="304"/>
        <v>22.02000000000001</v>
      </c>
      <c r="U1246">
        <f t="shared" si="307"/>
        <v>1.2</v>
      </c>
      <c r="V1246">
        <f t="shared" si="301"/>
        <v>1.06</v>
      </c>
      <c r="AC1246" t="s">
        <v>3009</v>
      </c>
      <c r="AD1246">
        <v>0.6</v>
      </c>
      <c r="AE1246">
        <v>13.15</v>
      </c>
      <c r="AG1246" t="str" cm="1">
        <f t="array" ref="AG1246:AH1246">_xlfn.TEXTSPLIT(AC1247," ")</f>
        <v>26.10.2023</v>
      </c>
      <c r="AH1246" t="str">
        <v>20:47:15</v>
      </c>
      <c r="AI1246">
        <f t="shared" si="314"/>
        <v>20.716666666666772</v>
      </c>
      <c r="AJ1246">
        <f t="shared" si="308"/>
        <v>8.620000000000001</v>
      </c>
      <c r="AK1246">
        <f t="shared" si="309"/>
        <v>0.6</v>
      </c>
      <c r="AL1246">
        <f t="shared" si="302"/>
        <v>0.44500000000000001</v>
      </c>
      <c r="AN1246" t="s">
        <v>3009</v>
      </c>
      <c r="AO1246">
        <v>0.6</v>
      </c>
      <c r="AP1246">
        <v>76.680000000000007</v>
      </c>
      <c r="AR1246" t="str" cm="1">
        <f t="array" ref="AR1246:AS1246">_xlfn.TEXTSPLIT(AN1246," ")</f>
        <v>26.10.2023</v>
      </c>
      <c r="AS1246" t="str">
        <v>20:46:15</v>
      </c>
      <c r="AT1246">
        <f t="shared" si="315"/>
        <v>20.716666666666772</v>
      </c>
      <c r="AU1246">
        <f t="shared" si="310"/>
        <v>15.370000000000005</v>
      </c>
      <c r="AV1246">
        <f t="shared" si="311"/>
        <v>0.6</v>
      </c>
      <c r="AW1246">
        <f t="shared" si="303"/>
        <v>0.66999999999999993</v>
      </c>
    </row>
    <row r="1247" spans="1:49" x14ac:dyDescent="0.25">
      <c r="A1247" t="s">
        <v>3010</v>
      </c>
      <c r="B1247">
        <v>0.6</v>
      </c>
      <c r="C1247">
        <v>27.45</v>
      </c>
      <c r="E1247" t="s">
        <v>3010</v>
      </c>
      <c r="F1247">
        <v>1.2</v>
      </c>
      <c r="G1247">
        <v>100.64</v>
      </c>
      <c r="I1247" t="str" cm="1">
        <f t="array" ref="I1247:J1247">_xlfn.TEXTSPLIT(A1247," ")</f>
        <v>27.10.2023</v>
      </c>
      <c r="J1247" t="str">
        <v>20:47:03</v>
      </c>
      <c r="K1247">
        <f t="shared" si="312"/>
        <v>20.733333333333437</v>
      </c>
      <c r="L1247">
        <f t="shared" si="305"/>
        <v>13.129999999999999</v>
      </c>
      <c r="M1247">
        <f t="shared" si="306"/>
        <v>0.6</v>
      </c>
      <c r="N1247">
        <f t="shared" si="300"/>
        <v>0.61499999999999999</v>
      </c>
      <c r="Q1247" t="str" cm="1">
        <f t="array" ref="Q1247:R1247">_xlfn.TEXTSPLIT(E1247," ")</f>
        <v>27.10.2023</v>
      </c>
      <c r="R1247" t="str">
        <v>20:47:03</v>
      </c>
      <c r="S1247">
        <f t="shared" si="313"/>
        <v>20.733333333333437</v>
      </c>
      <c r="T1247">
        <f t="shared" si="304"/>
        <v>22.040000000000006</v>
      </c>
      <c r="U1247">
        <f t="shared" si="307"/>
        <v>1.2</v>
      </c>
      <c r="V1247">
        <f t="shared" si="301"/>
        <v>1.0674999999999999</v>
      </c>
      <c r="AC1247" t="s">
        <v>3011</v>
      </c>
      <c r="AD1247">
        <v>0.15</v>
      </c>
      <c r="AE1247">
        <v>13.16</v>
      </c>
      <c r="AG1247" t="str" cm="1">
        <f t="array" ref="AG1247:AH1247">_xlfn.TEXTSPLIT(AC1248," ")</f>
        <v>26.10.2023</v>
      </c>
      <c r="AH1247" t="str">
        <v>20:48:15</v>
      </c>
      <c r="AI1247">
        <f t="shared" si="314"/>
        <v>20.733333333333437</v>
      </c>
      <c r="AJ1247">
        <f t="shared" si="308"/>
        <v>8.629999999999999</v>
      </c>
      <c r="AK1247">
        <f t="shared" si="309"/>
        <v>0.15</v>
      </c>
      <c r="AL1247">
        <f t="shared" si="302"/>
        <v>0.4425</v>
      </c>
      <c r="AN1247" t="s">
        <v>3011</v>
      </c>
      <c r="AO1247">
        <v>0.75</v>
      </c>
      <c r="AP1247">
        <v>76.69</v>
      </c>
      <c r="AR1247" t="str" cm="1">
        <f t="array" ref="AR1247:AS1247">_xlfn.TEXTSPLIT(AN1247," ")</f>
        <v>26.10.2023</v>
      </c>
      <c r="AS1247" t="str">
        <v>20:47:15</v>
      </c>
      <c r="AT1247">
        <f t="shared" si="315"/>
        <v>20.733333333333437</v>
      </c>
      <c r="AU1247">
        <f t="shared" si="310"/>
        <v>15.379999999999995</v>
      </c>
      <c r="AV1247">
        <f t="shared" si="311"/>
        <v>0.75</v>
      </c>
      <c r="AW1247">
        <f t="shared" si="303"/>
        <v>0.67500000000000004</v>
      </c>
    </row>
    <row r="1248" spans="1:49" x14ac:dyDescent="0.25">
      <c r="A1248" t="s">
        <v>3012</v>
      </c>
      <c r="B1248">
        <v>0.45</v>
      </c>
      <c r="C1248">
        <v>27.46</v>
      </c>
      <c r="E1248" t="s">
        <v>3012</v>
      </c>
      <c r="F1248">
        <v>0.75</v>
      </c>
      <c r="G1248">
        <v>100.65</v>
      </c>
      <c r="I1248" t="str" cm="1">
        <f t="array" ref="I1248:J1248">_xlfn.TEXTSPLIT(A1248," ")</f>
        <v>27.10.2023</v>
      </c>
      <c r="J1248" t="str">
        <v>20:48:03</v>
      </c>
      <c r="K1248">
        <f t="shared" si="312"/>
        <v>20.750000000000103</v>
      </c>
      <c r="L1248">
        <f t="shared" si="305"/>
        <v>13.14</v>
      </c>
      <c r="M1248">
        <f t="shared" si="306"/>
        <v>0.45</v>
      </c>
      <c r="N1248">
        <f t="shared" si="300"/>
        <v>0.61</v>
      </c>
      <c r="Q1248" t="str" cm="1">
        <f t="array" ref="Q1248:R1248">_xlfn.TEXTSPLIT(E1248," ")</f>
        <v>27.10.2023</v>
      </c>
      <c r="R1248" t="str">
        <v>20:48:03</v>
      </c>
      <c r="S1248">
        <f t="shared" si="313"/>
        <v>20.750000000000103</v>
      </c>
      <c r="T1248">
        <f t="shared" si="304"/>
        <v>22.050000000000011</v>
      </c>
      <c r="U1248">
        <f t="shared" si="307"/>
        <v>0.75</v>
      </c>
      <c r="V1248">
        <f t="shared" si="301"/>
        <v>1.0649999999999999</v>
      </c>
      <c r="AC1248" t="s">
        <v>3013</v>
      </c>
      <c r="AD1248">
        <v>0.75</v>
      </c>
      <c r="AE1248">
        <v>13.17</v>
      </c>
      <c r="AG1248" t="str" cm="1">
        <f t="array" ref="AG1248:AH1248">_xlfn.TEXTSPLIT(AC1249," ")</f>
        <v>26.10.2023</v>
      </c>
      <c r="AH1248" t="str">
        <v>20:49:15</v>
      </c>
      <c r="AI1248">
        <f t="shared" si="314"/>
        <v>20.750000000000103</v>
      </c>
      <c r="AJ1248">
        <f t="shared" si="308"/>
        <v>8.64</v>
      </c>
      <c r="AK1248">
        <f t="shared" si="309"/>
        <v>0.75</v>
      </c>
      <c r="AL1248">
        <f t="shared" si="302"/>
        <v>0.44749999999999995</v>
      </c>
      <c r="AN1248" t="s">
        <v>3013</v>
      </c>
      <c r="AO1248">
        <v>0.75</v>
      </c>
      <c r="AP1248">
        <v>76.709999999999994</v>
      </c>
      <c r="AR1248" t="str" cm="1">
        <f t="array" ref="AR1248:AS1248">_xlfn.TEXTSPLIT(AN1248," ")</f>
        <v>26.10.2023</v>
      </c>
      <c r="AS1248" t="str">
        <v>20:48:15</v>
      </c>
      <c r="AT1248">
        <f t="shared" si="315"/>
        <v>20.750000000000103</v>
      </c>
      <c r="AU1248">
        <f t="shared" si="310"/>
        <v>15.399999999999991</v>
      </c>
      <c r="AV1248">
        <f t="shared" si="311"/>
        <v>0.75</v>
      </c>
      <c r="AW1248">
        <f t="shared" si="303"/>
        <v>0.68</v>
      </c>
    </row>
    <row r="1249" spans="1:49" x14ac:dyDescent="0.25">
      <c r="A1249" t="s">
        <v>3014</v>
      </c>
      <c r="B1249">
        <v>0.6</v>
      </c>
      <c r="C1249">
        <v>27.47</v>
      </c>
      <c r="E1249" t="s">
        <v>3014</v>
      </c>
      <c r="F1249">
        <v>0.9</v>
      </c>
      <c r="G1249">
        <v>100.67</v>
      </c>
      <c r="I1249" t="str" cm="1">
        <f t="array" ref="I1249:J1249">_xlfn.TEXTSPLIT(A1249," ")</f>
        <v>27.10.2023</v>
      </c>
      <c r="J1249" t="str">
        <v>20:49:03</v>
      </c>
      <c r="K1249">
        <f t="shared" si="312"/>
        <v>20.766666666666769</v>
      </c>
      <c r="L1249">
        <f t="shared" si="305"/>
        <v>13.149999999999999</v>
      </c>
      <c r="M1249">
        <f t="shared" si="306"/>
        <v>0.6</v>
      </c>
      <c r="N1249">
        <f t="shared" si="300"/>
        <v>0.61250000000000004</v>
      </c>
      <c r="Q1249" t="str" cm="1">
        <f t="array" ref="Q1249:R1249">_xlfn.TEXTSPLIT(E1249," ")</f>
        <v>27.10.2023</v>
      </c>
      <c r="R1249" t="str">
        <v>20:49:03</v>
      </c>
      <c r="S1249">
        <f t="shared" si="313"/>
        <v>20.766666666666769</v>
      </c>
      <c r="T1249">
        <f t="shared" si="304"/>
        <v>22.070000000000007</v>
      </c>
      <c r="U1249">
        <f t="shared" si="307"/>
        <v>0.9</v>
      </c>
      <c r="V1249">
        <f t="shared" si="301"/>
        <v>1.0650000000000002</v>
      </c>
      <c r="AC1249" t="s">
        <v>3015</v>
      </c>
      <c r="AD1249">
        <v>0.3</v>
      </c>
      <c r="AE1249">
        <v>13.17</v>
      </c>
      <c r="AG1249" t="str" cm="1">
        <f t="array" ref="AG1249:AH1249">_xlfn.TEXTSPLIT(AC1250," ")</f>
        <v>26.10.2023</v>
      </c>
      <c r="AH1249" t="str">
        <v>20:50:15</v>
      </c>
      <c r="AI1249">
        <f t="shared" si="314"/>
        <v>20.766666666666769</v>
      </c>
      <c r="AJ1249">
        <f t="shared" si="308"/>
        <v>8.64</v>
      </c>
      <c r="AK1249">
        <f t="shared" si="309"/>
        <v>0.3</v>
      </c>
      <c r="AL1249">
        <f t="shared" si="302"/>
        <v>0.4425</v>
      </c>
      <c r="AN1249" t="s">
        <v>3015</v>
      </c>
      <c r="AO1249">
        <v>0.9</v>
      </c>
      <c r="AP1249">
        <v>76.72</v>
      </c>
      <c r="AR1249" t="str" cm="1">
        <f t="array" ref="AR1249:AS1249">_xlfn.TEXTSPLIT(AN1249," ")</f>
        <v>26.10.2023</v>
      </c>
      <c r="AS1249" t="str">
        <v>20:49:15</v>
      </c>
      <c r="AT1249">
        <f t="shared" si="315"/>
        <v>20.766666666666769</v>
      </c>
      <c r="AU1249">
        <f t="shared" si="310"/>
        <v>15.409999999999997</v>
      </c>
      <c r="AV1249">
        <f t="shared" si="311"/>
        <v>0.9</v>
      </c>
      <c r="AW1249">
        <f t="shared" si="303"/>
        <v>0.6875</v>
      </c>
    </row>
    <row r="1250" spans="1:49" x14ac:dyDescent="0.25">
      <c r="A1250" t="s">
        <v>3016</v>
      </c>
      <c r="B1250">
        <v>0.3</v>
      </c>
      <c r="C1250">
        <v>27.47</v>
      </c>
      <c r="E1250" t="s">
        <v>3016</v>
      </c>
      <c r="F1250">
        <v>0.9</v>
      </c>
      <c r="G1250">
        <v>100.69</v>
      </c>
      <c r="I1250" t="str" cm="1">
        <f t="array" ref="I1250:J1250">_xlfn.TEXTSPLIT(A1250," ")</f>
        <v>27.10.2023</v>
      </c>
      <c r="J1250" t="str">
        <v>20:50:03</v>
      </c>
      <c r="K1250">
        <f t="shared" si="312"/>
        <v>20.783333333333434</v>
      </c>
      <c r="L1250">
        <f t="shared" si="305"/>
        <v>13.149999999999999</v>
      </c>
      <c r="M1250">
        <f t="shared" si="306"/>
        <v>0.3</v>
      </c>
      <c r="N1250">
        <f t="shared" si="300"/>
        <v>0.60750000000000004</v>
      </c>
      <c r="Q1250" t="str" cm="1">
        <f t="array" ref="Q1250:R1250">_xlfn.TEXTSPLIT(E1250," ")</f>
        <v>27.10.2023</v>
      </c>
      <c r="R1250" t="str">
        <v>20:50:03</v>
      </c>
      <c r="S1250">
        <f t="shared" si="313"/>
        <v>20.783333333333434</v>
      </c>
      <c r="T1250">
        <f t="shared" si="304"/>
        <v>22.090000000000003</v>
      </c>
      <c r="U1250">
        <f t="shared" si="307"/>
        <v>0.9</v>
      </c>
      <c r="V1250">
        <f t="shared" si="301"/>
        <v>1.0575000000000001</v>
      </c>
      <c r="AC1250" t="s">
        <v>3017</v>
      </c>
      <c r="AD1250">
        <v>0.15</v>
      </c>
      <c r="AE1250">
        <v>13.18</v>
      </c>
      <c r="AG1250" t="str" cm="1">
        <f t="array" ref="AG1250:AH1250">_xlfn.TEXTSPLIT(AC1251," ")</f>
        <v>26.10.2023</v>
      </c>
      <c r="AH1250" t="str">
        <v>20:51:15</v>
      </c>
      <c r="AI1250">
        <f t="shared" si="314"/>
        <v>20.783333333333434</v>
      </c>
      <c r="AJ1250">
        <f t="shared" si="308"/>
        <v>8.6499999999999986</v>
      </c>
      <c r="AK1250">
        <f t="shared" si="309"/>
        <v>0.15</v>
      </c>
      <c r="AL1250">
        <f t="shared" si="302"/>
        <v>0.44249999999999995</v>
      </c>
      <c r="AN1250" t="s">
        <v>3017</v>
      </c>
      <c r="AO1250">
        <v>0.45</v>
      </c>
      <c r="AP1250">
        <v>76.73</v>
      </c>
      <c r="AR1250" t="str" cm="1">
        <f t="array" ref="AR1250:AS1250">_xlfn.TEXTSPLIT(AN1250," ")</f>
        <v>26.10.2023</v>
      </c>
      <c r="AS1250" t="str">
        <v>20:50:15</v>
      </c>
      <c r="AT1250">
        <f t="shared" si="315"/>
        <v>20.783333333333434</v>
      </c>
      <c r="AU1250">
        <f t="shared" si="310"/>
        <v>15.420000000000002</v>
      </c>
      <c r="AV1250">
        <f t="shared" si="311"/>
        <v>0.45</v>
      </c>
      <c r="AW1250">
        <f t="shared" si="303"/>
        <v>0.68500000000000005</v>
      </c>
    </row>
    <row r="1251" spans="1:49" x14ac:dyDescent="0.25">
      <c r="A1251" t="s">
        <v>3018</v>
      </c>
      <c r="B1251">
        <v>0.6</v>
      </c>
      <c r="C1251">
        <v>27.48</v>
      </c>
      <c r="E1251" t="s">
        <v>3018</v>
      </c>
      <c r="F1251">
        <v>0.3</v>
      </c>
      <c r="G1251">
        <v>100.69</v>
      </c>
      <c r="I1251" t="str" cm="1">
        <f t="array" ref="I1251:J1251">_xlfn.TEXTSPLIT(A1251," ")</f>
        <v>27.10.2023</v>
      </c>
      <c r="J1251" t="str">
        <v>20:51:03</v>
      </c>
      <c r="K1251">
        <f t="shared" si="312"/>
        <v>20.8000000000001</v>
      </c>
      <c r="L1251">
        <f t="shared" si="305"/>
        <v>13.16</v>
      </c>
      <c r="M1251">
        <f t="shared" si="306"/>
        <v>0.6</v>
      </c>
      <c r="N1251">
        <f t="shared" si="300"/>
        <v>0.60749999999999993</v>
      </c>
      <c r="Q1251" t="str" cm="1">
        <f t="array" ref="Q1251:R1251">_xlfn.TEXTSPLIT(E1251," ")</f>
        <v>27.10.2023</v>
      </c>
      <c r="R1251" t="str">
        <v>20:51:03</v>
      </c>
      <c r="S1251">
        <f t="shared" si="313"/>
        <v>20.8000000000001</v>
      </c>
      <c r="T1251">
        <f t="shared" si="304"/>
        <v>22.090000000000003</v>
      </c>
      <c r="U1251">
        <f t="shared" si="307"/>
        <v>0.3</v>
      </c>
      <c r="V1251">
        <f t="shared" si="301"/>
        <v>1.04</v>
      </c>
      <c r="AC1251" t="s">
        <v>3019</v>
      </c>
      <c r="AD1251">
        <v>0.3</v>
      </c>
      <c r="AE1251">
        <v>13.18</v>
      </c>
      <c r="AG1251" t="str" cm="1">
        <f t="array" ref="AG1251:AH1251">_xlfn.TEXTSPLIT(AC1252," ")</f>
        <v>26.10.2023</v>
      </c>
      <c r="AH1251" t="str">
        <v>20:52:15</v>
      </c>
      <c r="AI1251">
        <f t="shared" si="314"/>
        <v>20.8000000000001</v>
      </c>
      <c r="AJ1251">
        <f t="shared" si="308"/>
        <v>8.6499999999999986</v>
      </c>
      <c r="AK1251">
        <f t="shared" si="309"/>
        <v>0.3</v>
      </c>
      <c r="AL1251">
        <f t="shared" si="302"/>
        <v>0.44749999999999995</v>
      </c>
      <c r="AN1251" t="s">
        <v>3019</v>
      </c>
      <c r="AO1251">
        <v>0.6</v>
      </c>
      <c r="AP1251">
        <v>76.739999999999995</v>
      </c>
      <c r="AR1251" t="str" cm="1">
        <f t="array" ref="AR1251:AS1251">_xlfn.TEXTSPLIT(AN1251," ")</f>
        <v>26.10.2023</v>
      </c>
      <c r="AS1251" t="str">
        <v>20:51:15</v>
      </c>
      <c r="AT1251">
        <f t="shared" si="315"/>
        <v>20.8000000000001</v>
      </c>
      <c r="AU1251">
        <f t="shared" si="310"/>
        <v>15.429999999999993</v>
      </c>
      <c r="AV1251">
        <f t="shared" si="311"/>
        <v>0.6</v>
      </c>
      <c r="AW1251">
        <f t="shared" si="303"/>
        <v>0.6875</v>
      </c>
    </row>
    <row r="1252" spans="1:49" x14ac:dyDescent="0.25">
      <c r="A1252" t="s">
        <v>3020</v>
      </c>
      <c r="B1252">
        <v>0.45</v>
      </c>
      <c r="C1252">
        <v>27.49</v>
      </c>
      <c r="E1252" t="s">
        <v>3020</v>
      </c>
      <c r="F1252">
        <v>0.45</v>
      </c>
      <c r="G1252">
        <v>100.7</v>
      </c>
      <c r="I1252" t="str" cm="1">
        <f t="array" ref="I1252:J1252">_xlfn.TEXTSPLIT(A1252," ")</f>
        <v>27.10.2023</v>
      </c>
      <c r="J1252" t="str">
        <v>20:52:03</v>
      </c>
      <c r="K1252">
        <f t="shared" si="312"/>
        <v>20.816666666666766</v>
      </c>
      <c r="L1252">
        <f t="shared" si="305"/>
        <v>13.169999999999998</v>
      </c>
      <c r="M1252">
        <f t="shared" si="306"/>
        <v>0.45</v>
      </c>
      <c r="N1252">
        <f t="shared" si="300"/>
        <v>0.60499999999999998</v>
      </c>
      <c r="Q1252" t="str" cm="1">
        <f t="array" ref="Q1252:R1252">_xlfn.TEXTSPLIT(E1252," ")</f>
        <v>27.10.2023</v>
      </c>
      <c r="R1252" t="str">
        <v>20:52:03</v>
      </c>
      <c r="S1252">
        <f t="shared" si="313"/>
        <v>20.816666666666766</v>
      </c>
      <c r="T1252">
        <f t="shared" si="304"/>
        <v>22.100000000000009</v>
      </c>
      <c r="U1252">
        <f t="shared" si="307"/>
        <v>0.45</v>
      </c>
      <c r="V1252">
        <f t="shared" si="301"/>
        <v>1.0375000000000001</v>
      </c>
      <c r="AC1252" t="s">
        <v>3021</v>
      </c>
      <c r="AD1252">
        <v>0</v>
      </c>
      <c r="AE1252">
        <v>13.18</v>
      </c>
      <c r="AG1252" t="str" cm="1">
        <f t="array" ref="AG1252:AH1252">_xlfn.TEXTSPLIT(AC1253," ")</f>
        <v>26.10.2023</v>
      </c>
      <c r="AH1252" t="str">
        <v>20:53:15</v>
      </c>
      <c r="AI1252">
        <f t="shared" si="314"/>
        <v>20.816666666666766</v>
      </c>
      <c r="AJ1252">
        <f t="shared" si="308"/>
        <v>8.6499999999999986</v>
      </c>
      <c r="AK1252">
        <f t="shared" si="309"/>
        <v>0</v>
      </c>
      <c r="AL1252">
        <f t="shared" si="302"/>
        <v>0.44749999999999995</v>
      </c>
      <c r="AN1252" t="s">
        <v>3021</v>
      </c>
      <c r="AO1252">
        <v>0</v>
      </c>
      <c r="AP1252">
        <v>76.739999999999995</v>
      </c>
      <c r="AR1252" t="str" cm="1">
        <f t="array" ref="AR1252:AS1252">_xlfn.TEXTSPLIT(AN1252," ")</f>
        <v>26.10.2023</v>
      </c>
      <c r="AS1252" t="str">
        <v>20:52:15</v>
      </c>
      <c r="AT1252">
        <f t="shared" si="315"/>
        <v>20.816666666666766</v>
      </c>
      <c r="AU1252">
        <f t="shared" si="310"/>
        <v>15.429999999999993</v>
      </c>
      <c r="AV1252">
        <f t="shared" si="311"/>
        <v>0</v>
      </c>
      <c r="AW1252">
        <f t="shared" si="303"/>
        <v>0.6825</v>
      </c>
    </row>
    <row r="1253" spans="1:49" x14ac:dyDescent="0.25">
      <c r="A1253" t="s">
        <v>3022</v>
      </c>
      <c r="B1253">
        <v>0</v>
      </c>
      <c r="C1253">
        <v>27.49</v>
      </c>
      <c r="E1253" t="s">
        <v>3022</v>
      </c>
      <c r="F1253">
        <v>0.3</v>
      </c>
      <c r="G1253">
        <v>100.7</v>
      </c>
      <c r="I1253" t="str" cm="1">
        <f t="array" ref="I1253:J1253">_xlfn.TEXTSPLIT(A1253," ")</f>
        <v>27.10.2023</v>
      </c>
      <c r="J1253" t="str">
        <v>20:53:04</v>
      </c>
      <c r="K1253">
        <f t="shared" si="312"/>
        <v>20.833333333333432</v>
      </c>
      <c r="L1253">
        <f t="shared" si="305"/>
        <v>13.169999999999998</v>
      </c>
      <c r="M1253">
        <f t="shared" si="306"/>
        <v>0</v>
      </c>
      <c r="N1253">
        <f t="shared" si="300"/>
        <v>0.59750000000000003</v>
      </c>
      <c r="Q1253" t="str" cm="1">
        <f t="array" ref="Q1253:R1253">_xlfn.TEXTSPLIT(E1253," ")</f>
        <v>27.10.2023</v>
      </c>
      <c r="R1253" t="str">
        <v>20:53:04</v>
      </c>
      <c r="S1253">
        <f t="shared" si="313"/>
        <v>20.833333333333432</v>
      </c>
      <c r="T1253">
        <f t="shared" si="304"/>
        <v>22.100000000000009</v>
      </c>
      <c r="U1253">
        <f t="shared" si="307"/>
        <v>0.3</v>
      </c>
      <c r="V1253">
        <f t="shared" si="301"/>
        <v>1.0349999999999999</v>
      </c>
      <c r="AC1253" t="s">
        <v>3023</v>
      </c>
      <c r="AD1253">
        <v>0.15</v>
      </c>
      <c r="AE1253">
        <v>13.18</v>
      </c>
      <c r="AG1253" t="str" cm="1">
        <f t="array" ref="AG1253:AH1253">_xlfn.TEXTSPLIT(AC1254," ")</f>
        <v>26.10.2023</v>
      </c>
      <c r="AH1253" t="str">
        <v>20:54:15</v>
      </c>
      <c r="AI1253">
        <f t="shared" si="314"/>
        <v>20.833333333333432</v>
      </c>
      <c r="AJ1253">
        <f t="shared" si="308"/>
        <v>8.6499999999999986</v>
      </c>
      <c r="AK1253">
        <f t="shared" si="309"/>
        <v>0.15</v>
      </c>
      <c r="AL1253">
        <f t="shared" si="302"/>
        <v>0.44999999999999996</v>
      </c>
      <c r="AN1253" t="s">
        <v>3023</v>
      </c>
      <c r="AO1253">
        <v>0</v>
      </c>
      <c r="AP1253">
        <v>76.739999999999995</v>
      </c>
      <c r="AR1253" t="str" cm="1">
        <f t="array" ref="AR1253:AS1253">_xlfn.TEXTSPLIT(AN1253," ")</f>
        <v>26.10.2023</v>
      </c>
      <c r="AS1253" t="str">
        <v>20:53:15</v>
      </c>
      <c r="AT1253">
        <f t="shared" si="315"/>
        <v>20.833333333333432</v>
      </c>
      <c r="AU1253">
        <f t="shared" si="310"/>
        <v>15.429999999999993</v>
      </c>
      <c r="AV1253">
        <f t="shared" si="311"/>
        <v>0</v>
      </c>
      <c r="AW1253">
        <f t="shared" si="303"/>
        <v>0.6825</v>
      </c>
    </row>
    <row r="1254" spans="1:49" x14ac:dyDescent="0.25">
      <c r="A1254" t="s">
        <v>3024</v>
      </c>
      <c r="B1254">
        <v>0</v>
      </c>
      <c r="C1254">
        <v>27.49</v>
      </c>
      <c r="E1254" t="s">
        <v>3024</v>
      </c>
      <c r="F1254">
        <v>0.45</v>
      </c>
      <c r="G1254">
        <v>100.71</v>
      </c>
      <c r="I1254" t="str" cm="1">
        <f t="array" ref="I1254:J1254">_xlfn.TEXTSPLIT(A1254," ")</f>
        <v>27.10.2023</v>
      </c>
      <c r="J1254" t="str">
        <v>20:54:04</v>
      </c>
      <c r="K1254">
        <f t="shared" si="312"/>
        <v>20.850000000000097</v>
      </c>
      <c r="L1254">
        <f t="shared" si="305"/>
        <v>13.169999999999998</v>
      </c>
      <c r="M1254">
        <f t="shared" si="306"/>
        <v>0</v>
      </c>
      <c r="N1254">
        <f t="shared" si="300"/>
        <v>0.59750000000000003</v>
      </c>
      <c r="Q1254" t="str" cm="1">
        <f t="array" ref="Q1254:R1254">_xlfn.TEXTSPLIT(E1254," ")</f>
        <v>27.10.2023</v>
      </c>
      <c r="R1254" t="str">
        <v>20:54:04</v>
      </c>
      <c r="S1254">
        <f t="shared" si="313"/>
        <v>20.850000000000097</v>
      </c>
      <c r="T1254">
        <f t="shared" si="304"/>
        <v>22.11</v>
      </c>
      <c r="U1254">
        <f t="shared" si="307"/>
        <v>0.45</v>
      </c>
      <c r="V1254">
        <f t="shared" si="301"/>
        <v>1.0349999999999999</v>
      </c>
      <c r="AC1254" t="s">
        <v>3025</v>
      </c>
      <c r="AD1254">
        <v>0</v>
      </c>
      <c r="AE1254">
        <v>13.18</v>
      </c>
      <c r="AG1254" t="str" cm="1">
        <f t="array" ref="AG1254:AH1254">_xlfn.TEXTSPLIT(AC1255," ")</f>
        <v>26.10.2023</v>
      </c>
      <c r="AH1254" t="str">
        <v>20:55:15</v>
      </c>
      <c r="AI1254">
        <f t="shared" si="314"/>
        <v>20.850000000000097</v>
      </c>
      <c r="AJ1254">
        <f t="shared" si="308"/>
        <v>8.6499999999999986</v>
      </c>
      <c r="AK1254">
        <f t="shared" si="309"/>
        <v>0</v>
      </c>
      <c r="AL1254">
        <f t="shared" si="302"/>
        <v>0.44999999999999996</v>
      </c>
      <c r="AN1254" t="s">
        <v>3025</v>
      </c>
      <c r="AO1254">
        <v>0</v>
      </c>
      <c r="AP1254">
        <v>76.739999999999995</v>
      </c>
      <c r="AR1254" t="str" cm="1">
        <f t="array" ref="AR1254:AS1254">_xlfn.TEXTSPLIT(AN1254," ")</f>
        <v>26.10.2023</v>
      </c>
      <c r="AS1254" t="str">
        <v>20:54:15</v>
      </c>
      <c r="AT1254">
        <f t="shared" si="315"/>
        <v>20.850000000000097</v>
      </c>
      <c r="AU1254">
        <f t="shared" si="310"/>
        <v>15.429999999999993</v>
      </c>
      <c r="AV1254">
        <f t="shared" si="311"/>
        <v>0</v>
      </c>
      <c r="AW1254">
        <f t="shared" si="303"/>
        <v>0.68</v>
      </c>
    </row>
    <row r="1255" spans="1:49" x14ac:dyDescent="0.25">
      <c r="A1255" t="s">
        <v>3026</v>
      </c>
      <c r="B1255">
        <v>0</v>
      </c>
      <c r="C1255">
        <v>27.49</v>
      </c>
      <c r="E1255" t="s">
        <v>3026</v>
      </c>
      <c r="F1255">
        <v>0.75</v>
      </c>
      <c r="G1255">
        <v>100.72</v>
      </c>
      <c r="I1255" t="str" cm="1">
        <f t="array" ref="I1255:J1255">_xlfn.TEXTSPLIT(A1255," ")</f>
        <v>27.10.2023</v>
      </c>
      <c r="J1255" t="str">
        <v>20:55:04</v>
      </c>
      <c r="K1255">
        <f t="shared" si="312"/>
        <v>20.866666666666763</v>
      </c>
      <c r="L1255">
        <f t="shared" si="305"/>
        <v>13.169999999999998</v>
      </c>
      <c r="M1255">
        <f t="shared" si="306"/>
        <v>0</v>
      </c>
      <c r="N1255">
        <f t="shared" si="300"/>
        <v>0.59750000000000003</v>
      </c>
      <c r="Q1255" t="str" cm="1">
        <f t="array" ref="Q1255:R1255">_xlfn.TEXTSPLIT(E1255," ")</f>
        <v>27.10.2023</v>
      </c>
      <c r="R1255" t="str">
        <v>20:55:04</v>
      </c>
      <c r="S1255">
        <f t="shared" si="313"/>
        <v>20.866666666666763</v>
      </c>
      <c r="T1255">
        <f t="shared" si="304"/>
        <v>22.120000000000005</v>
      </c>
      <c r="U1255">
        <f t="shared" si="307"/>
        <v>0.75</v>
      </c>
      <c r="V1255">
        <f t="shared" si="301"/>
        <v>1.0425</v>
      </c>
      <c r="AC1255" t="s">
        <v>3027</v>
      </c>
      <c r="AD1255">
        <v>0</v>
      </c>
      <c r="AE1255">
        <v>13.18</v>
      </c>
      <c r="AG1255" t="str" cm="1">
        <f t="array" ref="AG1255:AH1255">_xlfn.TEXTSPLIT(AC1256," ")</f>
        <v>26.10.2023</v>
      </c>
      <c r="AH1255" t="str">
        <v>20:56:15</v>
      </c>
      <c r="AI1255">
        <f t="shared" si="314"/>
        <v>20.866666666666763</v>
      </c>
      <c r="AJ1255">
        <f t="shared" si="308"/>
        <v>8.6499999999999986</v>
      </c>
      <c r="AK1255">
        <f t="shared" si="309"/>
        <v>0</v>
      </c>
      <c r="AL1255">
        <f t="shared" si="302"/>
        <v>0.44999999999999996</v>
      </c>
      <c r="AN1255" t="s">
        <v>3027</v>
      </c>
      <c r="AO1255">
        <v>0</v>
      </c>
      <c r="AP1255">
        <v>76.739999999999995</v>
      </c>
      <c r="AR1255" t="str" cm="1">
        <f t="array" ref="AR1255:AS1255">_xlfn.TEXTSPLIT(AN1255," ")</f>
        <v>26.10.2023</v>
      </c>
      <c r="AS1255" t="str">
        <v>20:55:15</v>
      </c>
      <c r="AT1255">
        <f t="shared" si="315"/>
        <v>20.866666666666763</v>
      </c>
      <c r="AU1255">
        <f t="shared" si="310"/>
        <v>15.429999999999993</v>
      </c>
      <c r="AV1255">
        <f t="shared" si="311"/>
        <v>0</v>
      </c>
      <c r="AW1255">
        <f t="shared" si="303"/>
        <v>0.6775000000000001</v>
      </c>
    </row>
    <row r="1256" spans="1:49" x14ac:dyDescent="0.25">
      <c r="A1256" t="s">
        <v>3028</v>
      </c>
      <c r="B1256">
        <v>0</v>
      </c>
      <c r="C1256">
        <v>27.49</v>
      </c>
      <c r="E1256" t="s">
        <v>3028</v>
      </c>
      <c r="F1256">
        <v>0.6</v>
      </c>
      <c r="G1256">
        <v>100.74</v>
      </c>
      <c r="I1256" t="str" cm="1">
        <f t="array" ref="I1256:J1256">_xlfn.TEXTSPLIT(A1256," ")</f>
        <v>27.10.2023</v>
      </c>
      <c r="J1256" t="str">
        <v>20:56:04</v>
      </c>
      <c r="K1256">
        <f t="shared" si="312"/>
        <v>20.883333333333429</v>
      </c>
      <c r="L1256">
        <f t="shared" si="305"/>
        <v>13.169999999999998</v>
      </c>
      <c r="M1256">
        <f t="shared" si="306"/>
        <v>0</v>
      </c>
      <c r="N1256">
        <f t="shared" si="300"/>
        <v>0.59500000000000008</v>
      </c>
      <c r="Q1256" t="str" cm="1">
        <f t="array" ref="Q1256:R1256">_xlfn.TEXTSPLIT(E1256," ")</f>
        <v>27.10.2023</v>
      </c>
      <c r="R1256" t="str">
        <v>20:56:04</v>
      </c>
      <c r="S1256">
        <f t="shared" si="313"/>
        <v>20.883333333333429</v>
      </c>
      <c r="T1256">
        <f t="shared" si="304"/>
        <v>22.14</v>
      </c>
      <c r="U1256">
        <f t="shared" si="307"/>
        <v>0.6</v>
      </c>
      <c r="V1256">
        <f t="shared" si="301"/>
        <v>1.0450000000000002</v>
      </c>
      <c r="AC1256" t="s">
        <v>3029</v>
      </c>
      <c r="AD1256">
        <v>0</v>
      </c>
      <c r="AE1256">
        <v>13.18</v>
      </c>
      <c r="AG1256" t="str" cm="1">
        <f t="array" ref="AG1256:AH1256">_xlfn.TEXTSPLIT(AC1257," ")</f>
        <v>26.10.2023</v>
      </c>
      <c r="AH1256" t="str">
        <v>20:57:15</v>
      </c>
      <c r="AI1256">
        <f t="shared" si="314"/>
        <v>20.883333333333429</v>
      </c>
      <c r="AJ1256">
        <f t="shared" si="308"/>
        <v>8.6499999999999986</v>
      </c>
      <c r="AK1256">
        <f t="shared" si="309"/>
        <v>0</v>
      </c>
      <c r="AL1256">
        <f t="shared" si="302"/>
        <v>0.44999999999999996</v>
      </c>
      <c r="AN1256" t="s">
        <v>3029</v>
      </c>
      <c r="AO1256">
        <v>0.15</v>
      </c>
      <c r="AP1256">
        <v>76.739999999999995</v>
      </c>
      <c r="AR1256" t="str" cm="1">
        <f t="array" ref="AR1256:AS1256">_xlfn.TEXTSPLIT(AN1256," ")</f>
        <v>26.10.2023</v>
      </c>
      <c r="AS1256" t="str">
        <v>20:56:15</v>
      </c>
      <c r="AT1256">
        <f t="shared" si="315"/>
        <v>20.883333333333429</v>
      </c>
      <c r="AU1256">
        <f t="shared" si="310"/>
        <v>15.429999999999993</v>
      </c>
      <c r="AV1256">
        <f t="shared" si="311"/>
        <v>0.15</v>
      </c>
      <c r="AW1256">
        <f t="shared" si="303"/>
        <v>0.68</v>
      </c>
    </row>
    <row r="1257" spans="1:49" x14ac:dyDescent="0.25">
      <c r="A1257" t="s">
        <v>3030</v>
      </c>
      <c r="B1257">
        <v>0</v>
      </c>
      <c r="C1257">
        <v>27.49</v>
      </c>
      <c r="E1257" t="s">
        <v>3030</v>
      </c>
      <c r="F1257">
        <v>0.9</v>
      </c>
      <c r="G1257">
        <v>100.75</v>
      </c>
      <c r="I1257" t="str" cm="1">
        <f t="array" ref="I1257:J1257">_xlfn.TEXTSPLIT(A1257," ")</f>
        <v>27.10.2023</v>
      </c>
      <c r="J1257" t="str">
        <v>20:57:04</v>
      </c>
      <c r="K1257">
        <f t="shared" si="312"/>
        <v>20.900000000000095</v>
      </c>
      <c r="L1257">
        <f t="shared" si="305"/>
        <v>13.169999999999998</v>
      </c>
      <c r="M1257">
        <f t="shared" si="306"/>
        <v>0</v>
      </c>
      <c r="N1257">
        <f t="shared" si="300"/>
        <v>0.59500000000000008</v>
      </c>
      <c r="Q1257" t="str" cm="1">
        <f t="array" ref="Q1257:R1257">_xlfn.TEXTSPLIT(E1257," ")</f>
        <v>27.10.2023</v>
      </c>
      <c r="R1257" t="str">
        <v>20:57:04</v>
      </c>
      <c r="S1257">
        <f t="shared" si="313"/>
        <v>20.900000000000095</v>
      </c>
      <c r="T1257">
        <f t="shared" si="304"/>
        <v>22.150000000000006</v>
      </c>
      <c r="U1257">
        <f t="shared" si="307"/>
        <v>0.9</v>
      </c>
      <c r="V1257">
        <f t="shared" si="301"/>
        <v>1.05</v>
      </c>
      <c r="AC1257" t="s">
        <v>3031</v>
      </c>
      <c r="AD1257">
        <v>0</v>
      </c>
      <c r="AE1257">
        <v>13.18</v>
      </c>
      <c r="AG1257" t="str" cm="1">
        <f t="array" ref="AG1257:AH1257">_xlfn.TEXTSPLIT(AC1258," ")</f>
        <v>26.10.2023</v>
      </c>
      <c r="AH1257" t="str">
        <v>20:58:16</v>
      </c>
      <c r="AI1257">
        <f t="shared" si="314"/>
        <v>20.900000000000095</v>
      </c>
      <c r="AJ1257">
        <f t="shared" si="308"/>
        <v>8.6499999999999986</v>
      </c>
      <c r="AK1257">
        <f t="shared" si="309"/>
        <v>0</v>
      </c>
      <c r="AL1257">
        <f t="shared" si="302"/>
        <v>0.44999999999999996</v>
      </c>
      <c r="AN1257" t="s">
        <v>3031</v>
      </c>
      <c r="AO1257">
        <v>0</v>
      </c>
      <c r="AP1257">
        <v>76.739999999999995</v>
      </c>
      <c r="AR1257" t="str" cm="1">
        <f t="array" ref="AR1257:AS1257">_xlfn.TEXTSPLIT(AN1257," ")</f>
        <v>26.10.2023</v>
      </c>
      <c r="AS1257" t="str">
        <v>20:57:15</v>
      </c>
      <c r="AT1257">
        <f t="shared" si="315"/>
        <v>20.900000000000095</v>
      </c>
      <c r="AU1257">
        <f t="shared" si="310"/>
        <v>15.429999999999993</v>
      </c>
      <c r="AV1257">
        <f t="shared" si="311"/>
        <v>0</v>
      </c>
      <c r="AW1257">
        <f t="shared" si="303"/>
        <v>0.67749999999999999</v>
      </c>
    </row>
    <row r="1258" spans="1:49" x14ac:dyDescent="0.25">
      <c r="A1258" t="s">
        <v>3032</v>
      </c>
      <c r="B1258">
        <v>0</v>
      </c>
      <c r="C1258">
        <v>27.49</v>
      </c>
      <c r="E1258" t="s">
        <v>3032</v>
      </c>
      <c r="F1258">
        <v>0.6</v>
      </c>
      <c r="G1258">
        <v>100.76</v>
      </c>
      <c r="I1258" t="str" cm="1">
        <f t="array" ref="I1258:J1258">_xlfn.TEXTSPLIT(A1258," ")</f>
        <v>27.10.2023</v>
      </c>
      <c r="J1258" t="str">
        <v>20:58:04</v>
      </c>
      <c r="K1258">
        <f t="shared" si="312"/>
        <v>20.91666666666676</v>
      </c>
      <c r="L1258">
        <f t="shared" si="305"/>
        <v>13.169999999999998</v>
      </c>
      <c r="M1258">
        <f t="shared" si="306"/>
        <v>0</v>
      </c>
      <c r="N1258">
        <f t="shared" si="300"/>
        <v>0.59500000000000008</v>
      </c>
      <c r="Q1258" t="str" cm="1">
        <f t="array" ref="Q1258:R1258">_xlfn.TEXTSPLIT(E1258," ")</f>
        <v>27.10.2023</v>
      </c>
      <c r="R1258" t="str">
        <v>20:58:04</v>
      </c>
      <c r="S1258">
        <f t="shared" si="313"/>
        <v>20.91666666666676</v>
      </c>
      <c r="T1258">
        <f t="shared" si="304"/>
        <v>22.160000000000011</v>
      </c>
      <c r="U1258">
        <f t="shared" si="307"/>
        <v>0.6</v>
      </c>
      <c r="V1258">
        <f t="shared" si="301"/>
        <v>1.05</v>
      </c>
      <c r="AC1258" t="s">
        <v>3033</v>
      </c>
      <c r="AD1258">
        <v>0</v>
      </c>
      <c r="AE1258">
        <v>13.18</v>
      </c>
      <c r="AG1258" t="str" cm="1">
        <f t="array" ref="AG1258:AH1258">_xlfn.TEXTSPLIT(AC1259," ")</f>
        <v>26.10.2023</v>
      </c>
      <c r="AH1258" t="str">
        <v>20:59:16</v>
      </c>
      <c r="AI1258">
        <f t="shared" si="314"/>
        <v>20.91666666666676</v>
      </c>
      <c r="AJ1258">
        <f t="shared" si="308"/>
        <v>8.6499999999999986</v>
      </c>
      <c r="AK1258">
        <f t="shared" si="309"/>
        <v>0</v>
      </c>
      <c r="AL1258">
        <f t="shared" si="302"/>
        <v>0.44999999999999996</v>
      </c>
      <c r="AN1258" t="s">
        <v>3033</v>
      </c>
      <c r="AO1258">
        <v>0.15</v>
      </c>
      <c r="AP1258">
        <v>76.739999999999995</v>
      </c>
      <c r="AR1258" t="str" cm="1">
        <f t="array" ref="AR1258:AS1258">_xlfn.TEXTSPLIT(AN1258," ")</f>
        <v>26.10.2023</v>
      </c>
      <c r="AS1258" t="str">
        <v>20:58:16</v>
      </c>
      <c r="AT1258">
        <f t="shared" si="315"/>
        <v>20.91666666666676</v>
      </c>
      <c r="AU1258">
        <f t="shared" si="310"/>
        <v>15.429999999999993</v>
      </c>
      <c r="AV1258">
        <f t="shared" si="311"/>
        <v>0.15</v>
      </c>
      <c r="AW1258">
        <f t="shared" si="303"/>
        <v>0.67249999999999999</v>
      </c>
    </row>
    <row r="1259" spans="1:49" x14ac:dyDescent="0.25">
      <c r="A1259" t="s">
        <v>3034</v>
      </c>
      <c r="B1259">
        <v>0.15</v>
      </c>
      <c r="C1259">
        <v>27.49</v>
      </c>
      <c r="E1259" t="s">
        <v>3034</v>
      </c>
      <c r="F1259">
        <v>0.6</v>
      </c>
      <c r="G1259">
        <v>100.77</v>
      </c>
      <c r="I1259" t="str" cm="1">
        <f t="array" ref="I1259:J1259">_xlfn.TEXTSPLIT(A1259," ")</f>
        <v>27.10.2023</v>
      </c>
      <c r="J1259" t="str">
        <v>20:59:04</v>
      </c>
      <c r="K1259">
        <f t="shared" si="312"/>
        <v>20.933333333333426</v>
      </c>
      <c r="L1259">
        <f t="shared" si="305"/>
        <v>13.169999999999998</v>
      </c>
      <c r="M1259">
        <f t="shared" si="306"/>
        <v>0.15</v>
      </c>
      <c r="N1259">
        <f t="shared" si="300"/>
        <v>0.59750000000000003</v>
      </c>
      <c r="Q1259" t="str" cm="1">
        <f t="array" ref="Q1259:R1259">_xlfn.TEXTSPLIT(E1259," ")</f>
        <v>27.10.2023</v>
      </c>
      <c r="R1259" t="str">
        <v>20:59:04</v>
      </c>
      <c r="S1259">
        <f t="shared" si="313"/>
        <v>20.933333333333426</v>
      </c>
      <c r="T1259">
        <f t="shared" si="304"/>
        <v>22.17</v>
      </c>
      <c r="U1259">
        <f t="shared" si="307"/>
        <v>0.6</v>
      </c>
      <c r="V1259">
        <f t="shared" si="301"/>
        <v>1.0475000000000001</v>
      </c>
      <c r="AC1259" t="s">
        <v>3035</v>
      </c>
      <c r="AD1259">
        <v>0</v>
      </c>
      <c r="AE1259">
        <v>13.18</v>
      </c>
      <c r="AG1259" t="str" cm="1">
        <f t="array" ref="AG1259:AH1259">_xlfn.TEXTSPLIT(AC1260," ")</f>
        <v>26.10.2023</v>
      </c>
      <c r="AH1259" t="str">
        <v>21:00:16</v>
      </c>
      <c r="AI1259">
        <f t="shared" si="314"/>
        <v>20.933333333333426</v>
      </c>
      <c r="AJ1259">
        <f t="shared" si="308"/>
        <v>8.6499999999999986</v>
      </c>
      <c r="AK1259">
        <f t="shared" si="309"/>
        <v>0</v>
      </c>
      <c r="AL1259">
        <f t="shared" si="302"/>
        <v>0.44999999999999996</v>
      </c>
      <c r="AN1259" t="s">
        <v>3035</v>
      </c>
      <c r="AO1259">
        <v>0.15</v>
      </c>
      <c r="AP1259">
        <v>76.739999999999995</v>
      </c>
      <c r="AR1259" t="str" cm="1">
        <f t="array" ref="AR1259:AS1259">_xlfn.TEXTSPLIT(AN1259," ")</f>
        <v>26.10.2023</v>
      </c>
      <c r="AS1259" t="str">
        <v>20:59:16</v>
      </c>
      <c r="AT1259">
        <f t="shared" si="315"/>
        <v>20.933333333333426</v>
      </c>
      <c r="AU1259">
        <f t="shared" si="310"/>
        <v>15.429999999999993</v>
      </c>
      <c r="AV1259">
        <f t="shared" si="311"/>
        <v>0.15</v>
      </c>
      <c r="AW1259">
        <f t="shared" si="303"/>
        <v>0.67249999999999999</v>
      </c>
    </row>
    <row r="1260" spans="1:49" x14ac:dyDescent="0.25">
      <c r="A1260" t="s">
        <v>3036</v>
      </c>
      <c r="B1260">
        <v>0.15</v>
      </c>
      <c r="C1260">
        <v>27.49</v>
      </c>
      <c r="E1260" t="s">
        <v>3036</v>
      </c>
      <c r="F1260">
        <v>0.75</v>
      </c>
      <c r="G1260">
        <v>100.78</v>
      </c>
      <c r="I1260" t="str" cm="1">
        <f t="array" ref="I1260:J1260">_xlfn.TEXTSPLIT(A1260," ")</f>
        <v>27.10.2023</v>
      </c>
      <c r="J1260" t="str">
        <v>21:00:04</v>
      </c>
      <c r="K1260">
        <f t="shared" si="312"/>
        <v>20.950000000000092</v>
      </c>
      <c r="L1260">
        <f t="shared" si="305"/>
        <v>13.169999999999998</v>
      </c>
      <c r="M1260">
        <f t="shared" si="306"/>
        <v>0.15</v>
      </c>
      <c r="N1260">
        <f t="shared" si="300"/>
        <v>0.59499999999999997</v>
      </c>
      <c r="Q1260" t="str" cm="1">
        <f t="array" ref="Q1260:R1260">_xlfn.TEXTSPLIT(E1260," ")</f>
        <v>27.10.2023</v>
      </c>
      <c r="R1260" t="str">
        <v>21:00:04</v>
      </c>
      <c r="S1260">
        <f t="shared" si="313"/>
        <v>20.950000000000092</v>
      </c>
      <c r="T1260">
        <f t="shared" si="304"/>
        <v>22.180000000000007</v>
      </c>
      <c r="U1260">
        <f t="shared" si="307"/>
        <v>0.75</v>
      </c>
      <c r="V1260">
        <f t="shared" si="301"/>
        <v>1.0425000000000002</v>
      </c>
      <c r="AC1260" t="s">
        <v>3037</v>
      </c>
      <c r="AD1260">
        <v>0</v>
      </c>
      <c r="AE1260">
        <v>13.18</v>
      </c>
      <c r="AG1260" t="str" cm="1">
        <f t="array" ref="AG1260:AH1260">_xlfn.TEXTSPLIT(AC1261," ")</f>
        <v>26.10.2023</v>
      </c>
      <c r="AH1260" t="str">
        <v>21:01:16</v>
      </c>
      <c r="AI1260">
        <f t="shared" si="314"/>
        <v>20.950000000000092</v>
      </c>
      <c r="AJ1260">
        <f t="shared" si="308"/>
        <v>8.6499999999999986</v>
      </c>
      <c r="AK1260">
        <f t="shared" si="309"/>
        <v>0</v>
      </c>
      <c r="AL1260">
        <f t="shared" si="302"/>
        <v>0.44999999999999996</v>
      </c>
      <c r="AN1260" t="s">
        <v>3037</v>
      </c>
      <c r="AO1260">
        <v>0.15</v>
      </c>
      <c r="AP1260">
        <v>76.75</v>
      </c>
      <c r="AR1260" t="str" cm="1">
        <f t="array" ref="AR1260:AS1260">_xlfn.TEXTSPLIT(AN1260," ")</f>
        <v>26.10.2023</v>
      </c>
      <c r="AS1260" t="str">
        <v>21:00:16</v>
      </c>
      <c r="AT1260">
        <f t="shared" si="315"/>
        <v>20.950000000000092</v>
      </c>
      <c r="AU1260">
        <f t="shared" si="310"/>
        <v>15.439999999999998</v>
      </c>
      <c r="AV1260">
        <f t="shared" si="311"/>
        <v>0.15</v>
      </c>
      <c r="AW1260">
        <f t="shared" si="303"/>
        <v>0.66999999999999993</v>
      </c>
    </row>
    <row r="1261" spans="1:49" x14ac:dyDescent="0.25">
      <c r="A1261" t="s">
        <v>3038</v>
      </c>
      <c r="B1261">
        <v>0.3</v>
      </c>
      <c r="C1261">
        <v>27.5</v>
      </c>
      <c r="E1261" t="s">
        <v>3038</v>
      </c>
      <c r="F1261">
        <v>0.75</v>
      </c>
      <c r="G1261">
        <v>100.79</v>
      </c>
      <c r="I1261" t="str" cm="1">
        <f t="array" ref="I1261:J1261">_xlfn.TEXTSPLIT(A1261," ")</f>
        <v>27.10.2023</v>
      </c>
      <c r="J1261" t="str">
        <v>21:01:04</v>
      </c>
      <c r="K1261">
        <f t="shared" si="312"/>
        <v>20.966666666666757</v>
      </c>
      <c r="L1261">
        <f t="shared" si="305"/>
        <v>13.18</v>
      </c>
      <c r="M1261">
        <f t="shared" si="306"/>
        <v>0.3</v>
      </c>
      <c r="N1261">
        <f t="shared" si="300"/>
        <v>0.5924999999999998</v>
      </c>
      <c r="Q1261" t="str" cm="1">
        <f t="array" ref="Q1261:R1261">_xlfn.TEXTSPLIT(E1261," ")</f>
        <v>27.10.2023</v>
      </c>
      <c r="R1261" t="str">
        <v>21:01:04</v>
      </c>
      <c r="S1261">
        <f t="shared" si="313"/>
        <v>20.966666666666757</v>
      </c>
      <c r="T1261">
        <f t="shared" si="304"/>
        <v>22.190000000000012</v>
      </c>
      <c r="U1261">
        <f t="shared" si="307"/>
        <v>0.75</v>
      </c>
      <c r="V1261">
        <f t="shared" si="301"/>
        <v>1.0400000000000003</v>
      </c>
      <c r="AC1261" t="s">
        <v>3039</v>
      </c>
      <c r="AD1261">
        <v>0</v>
      </c>
      <c r="AE1261">
        <v>13.18</v>
      </c>
      <c r="AG1261" t="str" cm="1">
        <f t="array" ref="AG1261:AH1261">_xlfn.TEXTSPLIT(AC1262," ")</f>
        <v>26.10.2023</v>
      </c>
      <c r="AH1261" t="str">
        <v>21:02:16</v>
      </c>
      <c r="AI1261">
        <f t="shared" si="314"/>
        <v>20.966666666666757</v>
      </c>
      <c r="AJ1261">
        <f t="shared" si="308"/>
        <v>8.6499999999999986</v>
      </c>
      <c r="AK1261">
        <f t="shared" si="309"/>
        <v>0</v>
      </c>
      <c r="AL1261">
        <f t="shared" si="302"/>
        <v>0.44999999999999996</v>
      </c>
      <c r="AN1261" t="s">
        <v>3039</v>
      </c>
      <c r="AO1261">
        <v>0.3</v>
      </c>
      <c r="AP1261">
        <v>76.75</v>
      </c>
      <c r="AR1261" t="str" cm="1">
        <f t="array" ref="AR1261:AS1261">_xlfn.TEXTSPLIT(AN1261," ")</f>
        <v>26.10.2023</v>
      </c>
      <c r="AS1261" t="str">
        <v>21:01:16</v>
      </c>
      <c r="AT1261">
        <f t="shared" si="315"/>
        <v>20.966666666666757</v>
      </c>
      <c r="AU1261">
        <f t="shared" si="310"/>
        <v>15.439999999999998</v>
      </c>
      <c r="AV1261">
        <f t="shared" si="311"/>
        <v>0.3</v>
      </c>
      <c r="AW1261">
        <f t="shared" si="303"/>
        <v>0.67249999999999988</v>
      </c>
    </row>
    <row r="1262" spans="1:49" x14ac:dyDescent="0.25">
      <c r="A1262" t="s">
        <v>3040</v>
      </c>
      <c r="B1262">
        <v>0.3</v>
      </c>
      <c r="C1262">
        <v>27.5</v>
      </c>
      <c r="E1262" t="s">
        <v>3040</v>
      </c>
      <c r="F1262">
        <v>0.6</v>
      </c>
      <c r="G1262">
        <v>100.8</v>
      </c>
      <c r="I1262" t="str" cm="1">
        <f t="array" ref="I1262:J1262">_xlfn.TEXTSPLIT(A1262," ")</f>
        <v>27.10.2023</v>
      </c>
      <c r="J1262" t="str">
        <v>21:02:04</v>
      </c>
      <c r="K1262">
        <f t="shared" si="312"/>
        <v>20.983333333333423</v>
      </c>
      <c r="L1262">
        <f t="shared" si="305"/>
        <v>13.18</v>
      </c>
      <c r="M1262">
        <f t="shared" si="306"/>
        <v>0.3</v>
      </c>
      <c r="N1262">
        <f t="shared" si="300"/>
        <v>0.58999999999999986</v>
      </c>
      <c r="Q1262" t="str" cm="1">
        <f t="array" ref="Q1262:R1262">_xlfn.TEXTSPLIT(E1262," ")</f>
        <v>27.10.2023</v>
      </c>
      <c r="R1262" t="str">
        <v>21:02:04</v>
      </c>
      <c r="S1262">
        <f t="shared" si="313"/>
        <v>20.983333333333423</v>
      </c>
      <c r="T1262">
        <f t="shared" si="304"/>
        <v>22.200000000000003</v>
      </c>
      <c r="U1262">
        <f t="shared" si="307"/>
        <v>0.6</v>
      </c>
      <c r="V1262">
        <f t="shared" si="301"/>
        <v>1.0325000000000002</v>
      </c>
      <c r="AC1262" t="s">
        <v>3041</v>
      </c>
      <c r="AD1262">
        <v>0</v>
      </c>
      <c r="AE1262">
        <v>13.18</v>
      </c>
      <c r="AG1262" t="str" cm="1">
        <f t="array" ref="AG1262:AH1262">_xlfn.TEXTSPLIT(AC1263," ")</f>
        <v>26.10.2023</v>
      </c>
      <c r="AH1262" t="str">
        <v>21:03:16</v>
      </c>
      <c r="AI1262">
        <f t="shared" si="314"/>
        <v>20.983333333333423</v>
      </c>
      <c r="AJ1262">
        <f t="shared" si="308"/>
        <v>8.6499999999999986</v>
      </c>
      <c r="AK1262">
        <f t="shared" si="309"/>
        <v>0</v>
      </c>
      <c r="AL1262">
        <f t="shared" si="302"/>
        <v>0.44999999999999996</v>
      </c>
      <c r="AN1262" t="s">
        <v>3041</v>
      </c>
      <c r="AO1262">
        <v>0.15</v>
      </c>
      <c r="AP1262">
        <v>76.760000000000005</v>
      </c>
      <c r="AR1262" t="str" cm="1">
        <f t="array" ref="AR1262:AS1262">_xlfn.TEXTSPLIT(AN1262," ")</f>
        <v>26.10.2023</v>
      </c>
      <c r="AS1262" t="str">
        <v>21:02:16</v>
      </c>
      <c r="AT1262">
        <f t="shared" si="315"/>
        <v>20.983333333333423</v>
      </c>
      <c r="AU1262">
        <f t="shared" si="310"/>
        <v>15.450000000000003</v>
      </c>
      <c r="AV1262">
        <f t="shared" si="311"/>
        <v>0.15</v>
      </c>
      <c r="AW1262">
        <f t="shared" si="303"/>
        <v>0.66749999999999998</v>
      </c>
    </row>
    <row r="1263" spans="1:49" x14ac:dyDescent="0.25">
      <c r="A1263" t="s">
        <v>3042</v>
      </c>
      <c r="B1263">
        <v>0.45</v>
      </c>
      <c r="C1263">
        <v>27.51</v>
      </c>
      <c r="E1263" t="s">
        <v>3042</v>
      </c>
      <c r="F1263">
        <v>0.75</v>
      </c>
      <c r="G1263">
        <v>100.82</v>
      </c>
      <c r="I1263" t="str" cm="1">
        <f t="array" ref="I1263:J1263">_xlfn.TEXTSPLIT(A1263," ")</f>
        <v>27.10.2023</v>
      </c>
      <c r="J1263" t="str">
        <v>21:03:04</v>
      </c>
      <c r="K1263">
        <f t="shared" si="312"/>
        <v>21.000000000000089</v>
      </c>
      <c r="L1263">
        <f t="shared" si="305"/>
        <v>13.190000000000001</v>
      </c>
      <c r="M1263">
        <f t="shared" si="306"/>
        <v>0.45</v>
      </c>
      <c r="N1263">
        <f t="shared" si="300"/>
        <v>0.58999999999999986</v>
      </c>
      <c r="Q1263" t="str" cm="1">
        <f t="array" ref="Q1263:R1263">_xlfn.TEXTSPLIT(E1263," ")</f>
        <v>27.10.2023</v>
      </c>
      <c r="R1263" t="str">
        <v>21:03:04</v>
      </c>
      <c r="S1263">
        <f t="shared" si="313"/>
        <v>21.000000000000089</v>
      </c>
      <c r="T1263">
        <f t="shared" si="304"/>
        <v>22.22</v>
      </c>
      <c r="U1263">
        <f t="shared" si="307"/>
        <v>0.75</v>
      </c>
      <c r="V1263">
        <f t="shared" si="301"/>
        <v>1.0275000000000003</v>
      </c>
      <c r="AC1263" t="s">
        <v>3043</v>
      </c>
      <c r="AD1263">
        <v>0</v>
      </c>
      <c r="AE1263">
        <v>13.18</v>
      </c>
      <c r="AG1263" t="str" cm="1">
        <f t="array" ref="AG1263:AH1263">_xlfn.TEXTSPLIT(AC1264," ")</f>
        <v>26.10.2023</v>
      </c>
      <c r="AH1263" t="str">
        <v>21:04:16</v>
      </c>
      <c r="AI1263">
        <f t="shared" si="314"/>
        <v>21.000000000000089</v>
      </c>
      <c r="AJ1263">
        <f t="shared" si="308"/>
        <v>8.6499999999999986</v>
      </c>
      <c r="AK1263">
        <f t="shared" si="309"/>
        <v>0</v>
      </c>
      <c r="AL1263">
        <f t="shared" si="302"/>
        <v>0.44999999999999996</v>
      </c>
      <c r="AN1263" t="s">
        <v>3043</v>
      </c>
      <c r="AO1263">
        <v>0.45</v>
      </c>
      <c r="AP1263">
        <v>76.760000000000005</v>
      </c>
      <c r="AR1263" t="str" cm="1">
        <f t="array" ref="AR1263:AS1263">_xlfn.TEXTSPLIT(AN1263," ")</f>
        <v>26.10.2023</v>
      </c>
      <c r="AS1263" t="str">
        <v>21:03:16</v>
      </c>
      <c r="AT1263">
        <f t="shared" si="315"/>
        <v>21.000000000000089</v>
      </c>
      <c r="AU1263">
        <f t="shared" si="310"/>
        <v>15.450000000000003</v>
      </c>
      <c r="AV1263">
        <f t="shared" si="311"/>
        <v>0.45</v>
      </c>
      <c r="AW1263">
        <f t="shared" si="303"/>
        <v>0.66749999999999998</v>
      </c>
    </row>
    <row r="1264" spans="1:49" x14ac:dyDescent="0.25">
      <c r="A1264" t="s">
        <v>3044</v>
      </c>
      <c r="B1264">
        <v>0.45</v>
      </c>
      <c r="C1264">
        <v>27.52</v>
      </c>
      <c r="E1264" t="s">
        <v>3044</v>
      </c>
      <c r="F1264">
        <v>1.5</v>
      </c>
      <c r="G1264">
        <v>100.84</v>
      </c>
      <c r="I1264" t="str" cm="1">
        <f t="array" ref="I1264:J1264">_xlfn.TEXTSPLIT(A1264," ")</f>
        <v>27.10.2023</v>
      </c>
      <c r="J1264" t="str">
        <v>21:04:05</v>
      </c>
      <c r="K1264">
        <f t="shared" si="312"/>
        <v>21.016666666666755</v>
      </c>
      <c r="L1264">
        <f t="shared" si="305"/>
        <v>13.2</v>
      </c>
      <c r="M1264">
        <f t="shared" si="306"/>
        <v>0.45</v>
      </c>
      <c r="N1264">
        <f t="shared" si="300"/>
        <v>0.58749999999999991</v>
      </c>
      <c r="Q1264" t="str" cm="1">
        <f t="array" ref="Q1264:R1264">_xlfn.TEXTSPLIT(E1264," ")</f>
        <v>27.10.2023</v>
      </c>
      <c r="R1264" t="str">
        <v>21:04:05</v>
      </c>
      <c r="S1264">
        <f t="shared" si="313"/>
        <v>21.016666666666755</v>
      </c>
      <c r="T1264">
        <f t="shared" si="304"/>
        <v>22.240000000000009</v>
      </c>
      <c r="U1264">
        <f t="shared" si="307"/>
        <v>1.5</v>
      </c>
      <c r="V1264">
        <f t="shared" si="301"/>
        <v>1.0400000000000003</v>
      </c>
      <c r="AC1264" t="s">
        <v>3045</v>
      </c>
      <c r="AD1264">
        <v>0</v>
      </c>
      <c r="AE1264">
        <v>13.18</v>
      </c>
      <c r="AG1264" t="str" cm="1">
        <f t="array" ref="AG1264:AH1264">_xlfn.TEXTSPLIT(AC1265," ")</f>
        <v>26.10.2023</v>
      </c>
      <c r="AH1264" t="str">
        <v>21:05:16</v>
      </c>
      <c r="AI1264">
        <f t="shared" si="314"/>
        <v>21.016666666666755</v>
      </c>
      <c r="AJ1264">
        <f t="shared" si="308"/>
        <v>8.6499999999999986</v>
      </c>
      <c r="AK1264">
        <f t="shared" si="309"/>
        <v>0</v>
      </c>
      <c r="AL1264">
        <f t="shared" si="302"/>
        <v>0.44999999999999996</v>
      </c>
      <c r="AN1264" t="s">
        <v>3045</v>
      </c>
      <c r="AO1264">
        <v>0.3</v>
      </c>
      <c r="AP1264">
        <v>76.77</v>
      </c>
      <c r="AR1264" t="str" cm="1">
        <f t="array" ref="AR1264:AS1264">_xlfn.TEXTSPLIT(AN1264," ")</f>
        <v>26.10.2023</v>
      </c>
      <c r="AS1264" t="str">
        <v>21:04:16</v>
      </c>
      <c r="AT1264">
        <f t="shared" si="315"/>
        <v>21.016666666666755</v>
      </c>
      <c r="AU1264">
        <f t="shared" si="310"/>
        <v>15.459999999999994</v>
      </c>
      <c r="AV1264">
        <f t="shared" si="311"/>
        <v>0.3</v>
      </c>
      <c r="AW1264">
        <f t="shared" si="303"/>
        <v>0.66249999999999987</v>
      </c>
    </row>
    <row r="1265" spans="1:49" x14ac:dyDescent="0.25">
      <c r="A1265" t="s">
        <v>3046</v>
      </c>
      <c r="B1265">
        <v>0.3</v>
      </c>
      <c r="C1265">
        <v>27.52</v>
      </c>
      <c r="E1265" t="s">
        <v>3046</v>
      </c>
      <c r="F1265">
        <v>1.5</v>
      </c>
      <c r="G1265">
        <v>100.86</v>
      </c>
      <c r="I1265" t="str" cm="1">
        <f t="array" ref="I1265:J1265">_xlfn.TEXTSPLIT(A1265," ")</f>
        <v>27.10.2023</v>
      </c>
      <c r="J1265" t="str">
        <v>21:05:05</v>
      </c>
      <c r="K1265">
        <f t="shared" si="312"/>
        <v>21.03333333333342</v>
      </c>
      <c r="L1265">
        <f t="shared" si="305"/>
        <v>13.2</v>
      </c>
      <c r="M1265">
        <f t="shared" si="306"/>
        <v>0.3</v>
      </c>
      <c r="N1265">
        <f t="shared" si="300"/>
        <v>0.58499999999999985</v>
      </c>
      <c r="Q1265" t="str" cm="1">
        <f t="array" ref="Q1265:R1265">_xlfn.TEXTSPLIT(E1265," ")</f>
        <v>27.10.2023</v>
      </c>
      <c r="R1265" t="str">
        <v>21:05:05</v>
      </c>
      <c r="S1265">
        <f t="shared" si="313"/>
        <v>21.03333333333342</v>
      </c>
      <c r="T1265">
        <f t="shared" si="304"/>
        <v>22.260000000000005</v>
      </c>
      <c r="U1265">
        <f t="shared" si="307"/>
        <v>1.5</v>
      </c>
      <c r="V1265">
        <f t="shared" si="301"/>
        <v>1.0525000000000002</v>
      </c>
      <c r="AC1265" t="s">
        <v>3047</v>
      </c>
      <c r="AD1265">
        <v>0</v>
      </c>
      <c r="AE1265">
        <v>13.18</v>
      </c>
      <c r="AG1265" t="str" cm="1">
        <f t="array" ref="AG1265:AH1265">_xlfn.TEXTSPLIT(AC1266," ")</f>
        <v>26.10.2023</v>
      </c>
      <c r="AH1265" t="str">
        <v>21:06:16</v>
      </c>
      <c r="AI1265">
        <f t="shared" si="314"/>
        <v>21.03333333333342</v>
      </c>
      <c r="AJ1265">
        <f t="shared" si="308"/>
        <v>8.6499999999999986</v>
      </c>
      <c r="AK1265">
        <f t="shared" si="309"/>
        <v>0</v>
      </c>
      <c r="AL1265">
        <f t="shared" si="302"/>
        <v>0.44999999999999996</v>
      </c>
      <c r="AN1265" t="s">
        <v>3047</v>
      </c>
      <c r="AO1265">
        <v>0.45</v>
      </c>
      <c r="AP1265">
        <v>76.78</v>
      </c>
      <c r="AR1265" t="str" cm="1">
        <f t="array" ref="AR1265:AS1265">_xlfn.TEXTSPLIT(AN1265," ")</f>
        <v>26.10.2023</v>
      </c>
      <c r="AS1265" t="str">
        <v>21:05:16</v>
      </c>
      <c r="AT1265">
        <f t="shared" si="315"/>
        <v>21.03333333333342</v>
      </c>
      <c r="AU1265">
        <f t="shared" si="310"/>
        <v>15.469999999999999</v>
      </c>
      <c r="AV1265">
        <f t="shared" si="311"/>
        <v>0.45</v>
      </c>
      <c r="AW1265">
        <f t="shared" si="303"/>
        <v>0.66249999999999987</v>
      </c>
    </row>
    <row r="1266" spans="1:49" x14ac:dyDescent="0.25">
      <c r="A1266" t="s">
        <v>3048</v>
      </c>
      <c r="B1266">
        <v>0.45</v>
      </c>
      <c r="C1266">
        <v>27.53</v>
      </c>
      <c r="E1266" t="s">
        <v>3048</v>
      </c>
      <c r="F1266">
        <v>1.8</v>
      </c>
      <c r="G1266">
        <v>100.9</v>
      </c>
      <c r="I1266" t="str" cm="1">
        <f t="array" ref="I1266:J1266">_xlfn.TEXTSPLIT(A1266," ")</f>
        <v>27.10.2023</v>
      </c>
      <c r="J1266" t="str">
        <v>21:06:05</v>
      </c>
      <c r="K1266">
        <f t="shared" si="312"/>
        <v>21.050000000000086</v>
      </c>
      <c r="L1266">
        <f t="shared" si="305"/>
        <v>13.21</v>
      </c>
      <c r="M1266">
        <f t="shared" si="306"/>
        <v>0.45</v>
      </c>
      <c r="N1266">
        <f t="shared" si="300"/>
        <v>0.58499999999999985</v>
      </c>
      <c r="Q1266" t="str" cm="1">
        <f t="array" ref="Q1266:R1266">_xlfn.TEXTSPLIT(E1266," ")</f>
        <v>27.10.2023</v>
      </c>
      <c r="R1266" t="str">
        <v>21:06:05</v>
      </c>
      <c r="S1266">
        <f t="shared" si="313"/>
        <v>21.050000000000086</v>
      </c>
      <c r="T1266">
        <f t="shared" si="304"/>
        <v>22.300000000000011</v>
      </c>
      <c r="U1266">
        <f t="shared" si="307"/>
        <v>1.8</v>
      </c>
      <c r="V1266">
        <f t="shared" si="301"/>
        <v>1.0675000000000001</v>
      </c>
      <c r="AC1266" t="s">
        <v>3049</v>
      </c>
      <c r="AD1266">
        <v>0</v>
      </c>
      <c r="AE1266">
        <v>13.18</v>
      </c>
      <c r="AG1266" t="str" cm="1">
        <f t="array" ref="AG1266:AH1266">_xlfn.TEXTSPLIT(AC1267," ")</f>
        <v>26.10.2023</v>
      </c>
      <c r="AH1266" t="str">
        <v>21:07:16</v>
      </c>
      <c r="AI1266">
        <f t="shared" si="314"/>
        <v>21.050000000000086</v>
      </c>
      <c r="AJ1266">
        <f t="shared" si="308"/>
        <v>8.6499999999999986</v>
      </c>
      <c r="AK1266">
        <f t="shared" si="309"/>
        <v>0</v>
      </c>
      <c r="AL1266">
        <f t="shared" si="302"/>
        <v>0.44999999999999996</v>
      </c>
      <c r="AN1266" t="s">
        <v>3049</v>
      </c>
      <c r="AO1266">
        <v>0.45</v>
      </c>
      <c r="AP1266">
        <v>76.790000000000006</v>
      </c>
      <c r="AR1266" t="str" cm="1">
        <f t="array" ref="AR1266:AS1266">_xlfn.TEXTSPLIT(AN1266," ")</f>
        <v>26.10.2023</v>
      </c>
      <c r="AS1266" t="str">
        <v>21:06:16</v>
      </c>
      <c r="AT1266">
        <f t="shared" si="315"/>
        <v>21.050000000000086</v>
      </c>
      <c r="AU1266">
        <f t="shared" si="310"/>
        <v>15.480000000000004</v>
      </c>
      <c r="AV1266">
        <f t="shared" si="311"/>
        <v>0.45</v>
      </c>
      <c r="AW1266">
        <f t="shared" si="303"/>
        <v>0.66249999999999987</v>
      </c>
    </row>
    <row r="1267" spans="1:49" x14ac:dyDescent="0.25">
      <c r="A1267" t="s">
        <v>3050</v>
      </c>
      <c r="B1267">
        <v>0.6</v>
      </c>
      <c r="C1267">
        <v>27.54</v>
      </c>
      <c r="E1267" t="s">
        <v>3050</v>
      </c>
      <c r="F1267">
        <v>2.4</v>
      </c>
      <c r="G1267">
        <v>100.93</v>
      </c>
      <c r="I1267" t="str" cm="1">
        <f t="array" ref="I1267:J1267">_xlfn.TEXTSPLIT(A1267," ")</f>
        <v>27.10.2023</v>
      </c>
      <c r="J1267" t="str">
        <v>21:07:05</v>
      </c>
      <c r="K1267">
        <f t="shared" si="312"/>
        <v>21.066666666666752</v>
      </c>
      <c r="L1267">
        <f t="shared" si="305"/>
        <v>13.219999999999999</v>
      </c>
      <c r="M1267">
        <f t="shared" si="306"/>
        <v>0.6</v>
      </c>
      <c r="N1267">
        <f t="shared" si="300"/>
        <v>0.58500000000000008</v>
      </c>
      <c r="Q1267" t="str" cm="1">
        <f t="array" ref="Q1267:R1267">_xlfn.TEXTSPLIT(E1267," ")</f>
        <v>27.10.2023</v>
      </c>
      <c r="R1267" t="str">
        <v>21:07:05</v>
      </c>
      <c r="S1267">
        <f t="shared" si="313"/>
        <v>21.066666666666752</v>
      </c>
      <c r="T1267">
        <f t="shared" si="304"/>
        <v>22.330000000000013</v>
      </c>
      <c r="U1267">
        <f t="shared" si="307"/>
        <v>2.4</v>
      </c>
      <c r="V1267">
        <f t="shared" si="301"/>
        <v>1.0775000000000001</v>
      </c>
      <c r="AC1267" t="s">
        <v>3051</v>
      </c>
      <c r="AD1267">
        <v>0</v>
      </c>
      <c r="AE1267">
        <v>13.18</v>
      </c>
      <c r="AG1267" t="str" cm="1">
        <f t="array" ref="AG1267:AH1267">_xlfn.TEXTSPLIT(AC1268," ")</f>
        <v>26.10.2023</v>
      </c>
      <c r="AH1267" t="str">
        <v>21:08:16</v>
      </c>
      <c r="AI1267">
        <f t="shared" si="314"/>
        <v>21.066666666666752</v>
      </c>
      <c r="AJ1267">
        <f t="shared" si="308"/>
        <v>8.6499999999999986</v>
      </c>
      <c r="AK1267">
        <f t="shared" si="309"/>
        <v>0</v>
      </c>
      <c r="AL1267">
        <f t="shared" si="302"/>
        <v>0.44999999999999996</v>
      </c>
      <c r="AN1267" t="s">
        <v>3051</v>
      </c>
      <c r="AO1267">
        <v>1.65</v>
      </c>
      <c r="AP1267">
        <v>76.819999999999993</v>
      </c>
      <c r="AR1267" t="str" cm="1">
        <f t="array" ref="AR1267:AS1267">_xlfn.TEXTSPLIT(AN1267," ")</f>
        <v>26.10.2023</v>
      </c>
      <c r="AS1267" t="str">
        <v>21:07:16</v>
      </c>
      <c r="AT1267">
        <f t="shared" si="315"/>
        <v>21.066666666666752</v>
      </c>
      <c r="AU1267">
        <f t="shared" si="310"/>
        <v>15.509999999999991</v>
      </c>
      <c r="AV1267">
        <f t="shared" si="311"/>
        <v>1.65</v>
      </c>
      <c r="AW1267">
        <f t="shared" si="303"/>
        <v>0.67249999999999988</v>
      </c>
    </row>
    <row r="1268" spans="1:49" x14ac:dyDescent="0.25">
      <c r="A1268" t="s">
        <v>3052</v>
      </c>
      <c r="B1268">
        <v>2.1</v>
      </c>
      <c r="C1268">
        <v>27.57</v>
      </c>
      <c r="E1268" t="s">
        <v>3052</v>
      </c>
      <c r="F1268">
        <v>2.85</v>
      </c>
      <c r="G1268">
        <v>100.98</v>
      </c>
      <c r="I1268" t="str" cm="1">
        <f t="array" ref="I1268:J1268">_xlfn.TEXTSPLIT(A1268," ")</f>
        <v>27.10.2023</v>
      </c>
      <c r="J1268" t="str">
        <v>21:08:05</v>
      </c>
      <c r="K1268">
        <f t="shared" si="312"/>
        <v>21.083333333333417</v>
      </c>
      <c r="L1268">
        <f t="shared" si="305"/>
        <v>13.25</v>
      </c>
      <c r="M1268">
        <f t="shared" si="306"/>
        <v>2.1</v>
      </c>
      <c r="N1268">
        <f t="shared" si="300"/>
        <v>0.60750000000000004</v>
      </c>
      <c r="Q1268" t="str" cm="1">
        <f t="array" ref="Q1268:R1268">_xlfn.TEXTSPLIT(E1268," ")</f>
        <v>27.10.2023</v>
      </c>
      <c r="R1268" t="str">
        <v>21:08:05</v>
      </c>
      <c r="S1268">
        <f t="shared" si="313"/>
        <v>21.083333333333417</v>
      </c>
      <c r="T1268">
        <f t="shared" si="304"/>
        <v>22.38000000000001</v>
      </c>
      <c r="U1268">
        <f t="shared" si="307"/>
        <v>2.85</v>
      </c>
      <c r="V1268">
        <f t="shared" si="301"/>
        <v>1.0650000000000002</v>
      </c>
      <c r="AC1268" t="s">
        <v>3053</v>
      </c>
      <c r="AD1268">
        <v>1.05</v>
      </c>
      <c r="AE1268">
        <v>13.21</v>
      </c>
      <c r="AG1268" t="str" cm="1">
        <f t="array" ref="AG1268:AH1268">_xlfn.TEXTSPLIT(AC1269," ")</f>
        <v>26.10.2023</v>
      </c>
      <c r="AH1268" t="str">
        <v>21:09:17</v>
      </c>
      <c r="AI1268">
        <f t="shared" si="314"/>
        <v>21.083333333333417</v>
      </c>
      <c r="AJ1268">
        <f t="shared" si="308"/>
        <v>8.68</v>
      </c>
      <c r="AK1268">
        <f t="shared" si="309"/>
        <v>1.05</v>
      </c>
      <c r="AL1268">
        <f t="shared" si="302"/>
        <v>0.44999999999999996</v>
      </c>
      <c r="AN1268" t="s">
        <v>3053</v>
      </c>
      <c r="AO1268">
        <v>2.85</v>
      </c>
      <c r="AP1268">
        <v>76.86</v>
      </c>
      <c r="AR1268" t="str" cm="1">
        <f t="array" ref="AR1268:AS1268">_xlfn.TEXTSPLIT(AN1268," ")</f>
        <v>26.10.2023</v>
      </c>
      <c r="AS1268" t="str">
        <v>21:08:16</v>
      </c>
      <c r="AT1268">
        <f t="shared" si="315"/>
        <v>21.083333333333417</v>
      </c>
      <c r="AU1268">
        <f t="shared" si="310"/>
        <v>15.549999999999997</v>
      </c>
      <c r="AV1268">
        <f t="shared" si="311"/>
        <v>2.85</v>
      </c>
      <c r="AW1268">
        <f t="shared" si="303"/>
        <v>0.69</v>
      </c>
    </row>
    <row r="1269" spans="1:49" x14ac:dyDescent="0.25">
      <c r="A1269" t="s">
        <v>3054</v>
      </c>
      <c r="B1269">
        <v>1.95</v>
      </c>
      <c r="C1269">
        <v>27.61</v>
      </c>
      <c r="E1269" t="s">
        <v>3054</v>
      </c>
      <c r="F1269">
        <v>2.1</v>
      </c>
      <c r="G1269">
        <v>101.01</v>
      </c>
      <c r="I1269" t="str" cm="1">
        <f t="array" ref="I1269:J1269">_xlfn.TEXTSPLIT(A1269," ")</f>
        <v>27.10.2023</v>
      </c>
      <c r="J1269" t="str">
        <v>21:09:05</v>
      </c>
      <c r="K1269">
        <f t="shared" si="312"/>
        <v>21.100000000000083</v>
      </c>
      <c r="L1269">
        <f t="shared" si="305"/>
        <v>13.29</v>
      </c>
      <c r="M1269">
        <f t="shared" si="306"/>
        <v>1.95</v>
      </c>
      <c r="N1269">
        <f t="shared" si="300"/>
        <v>0.60249999999999992</v>
      </c>
      <c r="Q1269" t="str" cm="1">
        <f t="array" ref="Q1269:R1269">_xlfn.TEXTSPLIT(E1269," ")</f>
        <v>27.10.2023</v>
      </c>
      <c r="R1269" t="str">
        <v>21:09:05</v>
      </c>
      <c r="S1269">
        <f t="shared" si="313"/>
        <v>21.100000000000083</v>
      </c>
      <c r="T1269">
        <f t="shared" si="304"/>
        <v>22.410000000000011</v>
      </c>
      <c r="U1269">
        <f t="shared" si="307"/>
        <v>2.1</v>
      </c>
      <c r="V1269">
        <f t="shared" si="301"/>
        <v>1.07</v>
      </c>
      <c r="AC1269" t="s">
        <v>3055</v>
      </c>
      <c r="AD1269">
        <v>1.2</v>
      </c>
      <c r="AE1269">
        <v>13.22</v>
      </c>
      <c r="AG1269" t="str" cm="1">
        <f t="array" ref="AG1269:AH1269">_xlfn.TEXTSPLIT(AC1270," ")</f>
        <v>26.10.2023</v>
      </c>
      <c r="AH1269" t="str">
        <v>21:10:17</v>
      </c>
      <c r="AI1269">
        <f t="shared" si="314"/>
        <v>21.100000000000083</v>
      </c>
      <c r="AJ1269">
        <f t="shared" si="308"/>
        <v>8.6900000000000013</v>
      </c>
      <c r="AK1269">
        <f t="shared" si="309"/>
        <v>1.2</v>
      </c>
      <c r="AL1269">
        <f t="shared" si="302"/>
        <v>0.43749999999999994</v>
      </c>
      <c r="AN1269" t="s">
        <v>3055</v>
      </c>
      <c r="AO1269">
        <v>1.35</v>
      </c>
      <c r="AP1269">
        <v>76.89</v>
      </c>
      <c r="AR1269" t="str" cm="1">
        <f t="array" ref="AR1269:AS1269">_xlfn.TEXTSPLIT(AN1269," ")</f>
        <v>26.10.2023</v>
      </c>
      <c r="AS1269" t="str">
        <v>21:09:17</v>
      </c>
      <c r="AT1269">
        <f t="shared" si="315"/>
        <v>21.100000000000083</v>
      </c>
      <c r="AU1269">
        <f t="shared" si="310"/>
        <v>15.579999999999998</v>
      </c>
      <c r="AV1269">
        <f t="shared" si="311"/>
        <v>1.35</v>
      </c>
      <c r="AW1269">
        <f t="shared" si="303"/>
        <v>0.66999999999999993</v>
      </c>
    </row>
    <row r="1270" spans="1:49" x14ac:dyDescent="0.25">
      <c r="A1270" t="s">
        <v>3056</v>
      </c>
      <c r="B1270">
        <v>1.5</v>
      </c>
      <c r="C1270">
        <v>27.63</v>
      </c>
      <c r="E1270" t="s">
        <v>3056</v>
      </c>
      <c r="F1270">
        <v>1.5</v>
      </c>
      <c r="G1270">
        <v>101.04</v>
      </c>
      <c r="I1270" t="str" cm="1">
        <f t="array" ref="I1270:J1270">_xlfn.TEXTSPLIT(A1270," ")</f>
        <v>27.10.2023</v>
      </c>
      <c r="J1270" t="str">
        <v>21:10:05</v>
      </c>
      <c r="K1270">
        <f t="shared" si="312"/>
        <v>21.116666666666749</v>
      </c>
      <c r="L1270">
        <f t="shared" si="305"/>
        <v>13.309999999999999</v>
      </c>
      <c r="M1270">
        <f t="shared" si="306"/>
        <v>1.5</v>
      </c>
      <c r="N1270">
        <f t="shared" si="300"/>
        <v>0.59</v>
      </c>
      <c r="Q1270" t="str" cm="1">
        <f t="array" ref="Q1270:R1270">_xlfn.TEXTSPLIT(E1270," ")</f>
        <v>27.10.2023</v>
      </c>
      <c r="R1270" t="str">
        <v>21:10:05</v>
      </c>
      <c r="S1270">
        <f t="shared" si="313"/>
        <v>21.116666666666749</v>
      </c>
      <c r="T1270">
        <f t="shared" si="304"/>
        <v>22.440000000000012</v>
      </c>
      <c r="U1270">
        <f t="shared" si="307"/>
        <v>1.5</v>
      </c>
      <c r="V1270">
        <f t="shared" si="301"/>
        <v>1.075</v>
      </c>
      <c r="AC1270" t="s">
        <v>3057</v>
      </c>
      <c r="AD1270">
        <v>1.8</v>
      </c>
      <c r="AE1270">
        <v>13.26</v>
      </c>
      <c r="AG1270" t="str" cm="1">
        <f t="array" ref="AG1270:AH1270">_xlfn.TEXTSPLIT(AC1271," ")</f>
        <v>26.10.2023</v>
      </c>
      <c r="AH1270" t="str">
        <v>21:11:17</v>
      </c>
      <c r="AI1270">
        <f t="shared" si="314"/>
        <v>21.116666666666749</v>
      </c>
      <c r="AJ1270">
        <f t="shared" si="308"/>
        <v>8.73</v>
      </c>
      <c r="AK1270">
        <f t="shared" si="309"/>
        <v>1.8</v>
      </c>
      <c r="AL1270">
        <f t="shared" si="302"/>
        <v>0.43499999999999994</v>
      </c>
      <c r="AN1270" t="s">
        <v>3057</v>
      </c>
      <c r="AO1270">
        <v>1.05</v>
      </c>
      <c r="AP1270">
        <v>76.900000000000006</v>
      </c>
      <c r="AR1270" t="str" cm="1">
        <f t="array" ref="AR1270:AS1270">_xlfn.TEXTSPLIT(AN1270," ")</f>
        <v>26.10.2023</v>
      </c>
      <c r="AS1270" t="str">
        <v>21:10:17</v>
      </c>
      <c r="AT1270">
        <f t="shared" si="315"/>
        <v>21.116666666666749</v>
      </c>
      <c r="AU1270">
        <f t="shared" si="310"/>
        <v>15.590000000000003</v>
      </c>
      <c r="AV1270">
        <f t="shared" si="311"/>
        <v>1.05</v>
      </c>
      <c r="AW1270">
        <f t="shared" si="303"/>
        <v>0.65999999999999992</v>
      </c>
    </row>
    <row r="1271" spans="1:49" x14ac:dyDescent="0.25">
      <c r="A1271" t="s">
        <v>3058</v>
      </c>
      <c r="B1271">
        <v>1.65</v>
      </c>
      <c r="C1271">
        <v>27.66</v>
      </c>
      <c r="E1271" t="s">
        <v>3058</v>
      </c>
      <c r="F1271">
        <v>1.65</v>
      </c>
      <c r="G1271">
        <v>101.06</v>
      </c>
      <c r="I1271" t="str" cm="1">
        <f t="array" ref="I1271:J1271">_xlfn.TEXTSPLIT(A1271," ")</f>
        <v>27.10.2023</v>
      </c>
      <c r="J1271" t="str">
        <v>21:11:05</v>
      </c>
      <c r="K1271">
        <f t="shared" si="312"/>
        <v>21.133333333333415</v>
      </c>
      <c r="L1271">
        <f t="shared" si="305"/>
        <v>13.34</v>
      </c>
      <c r="M1271">
        <f t="shared" si="306"/>
        <v>1.65</v>
      </c>
      <c r="N1271">
        <f t="shared" si="300"/>
        <v>0.59750000000000003</v>
      </c>
      <c r="Q1271" t="str" cm="1">
        <f t="array" ref="Q1271:R1271">_xlfn.TEXTSPLIT(E1271," ")</f>
        <v>27.10.2023</v>
      </c>
      <c r="R1271" t="str">
        <v>21:11:05</v>
      </c>
      <c r="S1271">
        <f t="shared" si="313"/>
        <v>21.133333333333415</v>
      </c>
      <c r="T1271">
        <f t="shared" si="304"/>
        <v>22.460000000000008</v>
      </c>
      <c r="U1271">
        <f t="shared" si="307"/>
        <v>1.65</v>
      </c>
      <c r="V1271">
        <f t="shared" si="301"/>
        <v>1.075</v>
      </c>
      <c r="AC1271" t="s">
        <v>3059</v>
      </c>
      <c r="AD1271">
        <v>1.35</v>
      </c>
      <c r="AE1271">
        <v>13.27</v>
      </c>
      <c r="AG1271" t="str" cm="1">
        <f t="array" ref="AG1271:AH1271">_xlfn.TEXTSPLIT(AC1272," ")</f>
        <v>26.10.2023</v>
      </c>
      <c r="AH1271" t="str">
        <v>21:12:17</v>
      </c>
      <c r="AI1271">
        <f t="shared" si="314"/>
        <v>21.133333333333415</v>
      </c>
      <c r="AJ1271">
        <f t="shared" si="308"/>
        <v>8.7399999999999984</v>
      </c>
      <c r="AK1271">
        <f t="shared" si="309"/>
        <v>1.35</v>
      </c>
      <c r="AL1271">
        <f t="shared" si="302"/>
        <v>0.4375</v>
      </c>
      <c r="AN1271" t="s">
        <v>3059</v>
      </c>
      <c r="AO1271">
        <v>1.35</v>
      </c>
      <c r="AP1271">
        <v>76.92</v>
      </c>
      <c r="AR1271" t="str" cm="1">
        <f t="array" ref="AR1271:AS1271">_xlfn.TEXTSPLIT(AN1271," ")</f>
        <v>26.10.2023</v>
      </c>
      <c r="AS1271" t="str">
        <v>21:11:17</v>
      </c>
      <c r="AT1271">
        <f t="shared" si="315"/>
        <v>21.133333333333415</v>
      </c>
      <c r="AU1271">
        <f t="shared" si="310"/>
        <v>15.61</v>
      </c>
      <c r="AV1271">
        <f t="shared" si="311"/>
        <v>1.35</v>
      </c>
      <c r="AW1271">
        <f t="shared" si="303"/>
        <v>0.66249999999999987</v>
      </c>
    </row>
    <row r="1272" spans="1:49" x14ac:dyDescent="0.25">
      <c r="A1272" t="s">
        <v>3060</v>
      </c>
      <c r="B1272">
        <v>1.5</v>
      </c>
      <c r="C1272">
        <v>27.68</v>
      </c>
      <c r="E1272" t="s">
        <v>3060</v>
      </c>
      <c r="F1272">
        <v>1.5</v>
      </c>
      <c r="G1272">
        <v>101.1</v>
      </c>
      <c r="I1272" t="str" cm="1">
        <f t="array" ref="I1272:J1272">_xlfn.TEXTSPLIT(A1272," ")</f>
        <v>27.10.2023</v>
      </c>
      <c r="J1272" t="str">
        <v>21:12:05</v>
      </c>
      <c r="K1272">
        <f t="shared" si="312"/>
        <v>21.15000000000008</v>
      </c>
      <c r="L1272">
        <f t="shared" si="305"/>
        <v>13.36</v>
      </c>
      <c r="M1272">
        <f t="shared" si="306"/>
        <v>1.5</v>
      </c>
      <c r="N1272">
        <f t="shared" si="300"/>
        <v>0.59999999999999987</v>
      </c>
      <c r="Q1272" t="str" cm="1">
        <f t="array" ref="Q1272:R1272">_xlfn.TEXTSPLIT(E1272," ")</f>
        <v>27.10.2023</v>
      </c>
      <c r="R1272" t="str">
        <v>21:12:05</v>
      </c>
      <c r="S1272">
        <f t="shared" si="313"/>
        <v>21.15000000000008</v>
      </c>
      <c r="T1272">
        <f t="shared" si="304"/>
        <v>22.5</v>
      </c>
      <c r="U1272">
        <f t="shared" si="307"/>
        <v>1.5</v>
      </c>
      <c r="V1272">
        <f t="shared" si="301"/>
        <v>1.0725</v>
      </c>
      <c r="AC1272" t="s">
        <v>3061</v>
      </c>
      <c r="AD1272">
        <v>0.6</v>
      </c>
      <c r="AE1272">
        <v>13.28</v>
      </c>
      <c r="AG1272" t="str" cm="1">
        <f t="array" ref="AG1272:AH1272">_xlfn.TEXTSPLIT(AC1273," ")</f>
        <v>26.10.2023</v>
      </c>
      <c r="AH1272" t="str">
        <v>21:13:17</v>
      </c>
      <c r="AI1272">
        <f t="shared" si="314"/>
        <v>21.15000000000008</v>
      </c>
      <c r="AJ1272">
        <f t="shared" si="308"/>
        <v>8.75</v>
      </c>
      <c r="AK1272">
        <f t="shared" si="309"/>
        <v>0.6</v>
      </c>
      <c r="AL1272">
        <f t="shared" si="302"/>
        <v>0.42500000000000004</v>
      </c>
      <c r="AN1272" t="s">
        <v>3061</v>
      </c>
      <c r="AO1272">
        <v>1.05</v>
      </c>
      <c r="AP1272">
        <v>76.94</v>
      </c>
      <c r="AR1272" t="str" cm="1">
        <f t="array" ref="AR1272:AS1272">_xlfn.TEXTSPLIT(AN1272," ")</f>
        <v>26.10.2023</v>
      </c>
      <c r="AS1272" t="str">
        <v>21:12:17</v>
      </c>
      <c r="AT1272">
        <f t="shared" si="315"/>
        <v>21.15000000000008</v>
      </c>
      <c r="AU1272">
        <f t="shared" si="310"/>
        <v>15.629999999999995</v>
      </c>
      <c r="AV1272">
        <f t="shared" si="311"/>
        <v>1.05</v>
      </c>
      <c r="AW1272">
        <f t="shared" si="303"/>
        <v>0.66249999999999987</v>
      </c>
    </row>
    <row r="1273" spans="1:49" x14ac:dyDescent="0.25">
      <c r="A1273" t="s">
        <v>3062</v>
      </c>
      <c r="B1273">
        <v>0.9</v>
      </c>
      <c r="C1273">
        <v>27.7</v>
      </c>
      <c r="E1273" t="s">
        <v>3062</v>
      </c>
      <c r="F1273">
        <v>1.8</v>
      </c>
      <c r="G1273">
        <v>101.13</v>
      </c>
      <c r="I1273" t="str" cm="1">
        <f t="array" ref="I1273:J1273">_xlfn.TEXTSPLIT(A1273," ")</f>
        <v>27.10.2023</v>
      </c>
      <c r="J1273" t="str">
        <v>21:13:05</v>
      </c>
      <c r="K1273">
        <f t="shared" si="312"/>
        <v>21.166666666666746</v>
      </c>
      <c r="L1273">
        <f t="shared" si="305"/>
        <v>13.379999999999999</v>
      </c>
      <c r="M1273">
        <f t="shared" si="306"/>
        <v>0.9</v>
      </c>
      <c r="N1273">
        <f t="shared" si="300"/>
        <v>0.6</v>
      </c>
      <c r="Q1273" t="str" cm="1">
        <f t="array" ref="Q1273:R1273">_xlfn.TEXTSPLIT(E1273," ")</f>
        <v>27.10.2023</v>
      </c>
      <c r="R1273" t="str">
        <v>21:13:05</v>
      </c>
      <c r="S1273">
        <f t="shared" si="313"/>
        <v>21.166666666666746</v>
      </c>
      <c r="T1273">
        <f t="shared" si="304"/>
        <v>22.53</v>
      </c>
      <c r="U1273">
        <f t="shared" si="307"/>
        <v>1.8</v>
      </c>
      <c r="V1273">
        <f t="shared" si="301"/>
        <v>1.0850000000000002</v>
      </c>
      <c r="AC1273" t="s">
        <v>3063</v>
      </c>
      <c r="AD1273">
        <v>0.6</v>
      </c>
      <c r="AE1273">
        <v>13.29</v>
      </c>
      <c r="AG1273" t="str" cm="1">
        <f t="array" ref="AG1273:AH1273">_xlfn.TEXTSPLIT(AC1274," ")</f>
        <v>26.10.2023</v>
      </c>
      <c r="AH1273" t="str">
        <v>21:14:17</v>
      </c>
      <c r="AI1273">
        <f t="shared" si="314"/>
        <v>21.166666666666746</v>
      </c>
      <c r="AJ1273">
        <f t="shared" si="308"/>
        <v>8.759999999999998</v>
      </c>
      <c r="AK1273">
        <f t="shared" si="309"/>
        <v>0.6</v>
      </c>
      <c r="AL1273">
        <f t="shared" si="302"/>
        <v>0.41250000000000003</v>
      </c>
      <c r="AN1273" t="s">
        <v>3063</v>
      </c>
      <c r="AO1273">
        <v>1.2</v>
      </c>
      <c r="AP1273">
        <v>76.959999999999994</v>
      </c>
      <c r="AR1273" t="str" cm="1">
        <f t="array" ref="AR1273:AS1273">_xlfn.TEXTSPLIT(AN1273," ")</f>
        <v>26.10.2023</v>
      </c>
      <c r="AS1273" t="str">
        <v>21:13:17</v>
      </c>
      <c r="AT1273">
        <f t="shared" si="315"/>
        <v>21.166666666666746</v>
      </c>
      <c r="AU1273">
        <f t="shared" si="310"/>
        <v>15.649999999999991</v>
      </c>
      <c r="AV1273">
        <f t="shared" si="311"/>
        <v>1.2</v>
      </c>
      <c r="AW1273">
        <f t="shared" si="303"/>
        <v>0.66249999999999976</v>
      </c>
    </row>
    <row r="1274" spans="1:49" x14ac:dyDescent="0.25">
      <c r="A1274" t="s">
        <v>3064</v>
      </c>
      <c r="B1274">
        <v>0.9</v>
      </c>
      <c r="C1274">
        <v>27.72</v>
      </c>
      <c r="E1274" t="s">
        <v>3064</v>
      </c>
      <c r="F1274">
        <v>0.9</v>
      </c>
      <c r="G1274">
        <v>101.14</v>
      </c>
      <c r="I1274" t="str" cm="1">
        <f t="array" ref="I1274:J1274">_xlfn.TEXTSPLIT(A1274," ")</f>
        <v>27.10.2023</v>
      </c>
      <c r="J1274" t="str">
        <v>21:14:05</v>
      </c>
      <c r="K1274">
        <f t="shared" si="312"/>
        <v>21.183333333333412</v>
      </c>
      <c r="L1274">
        <f t="shared" si="305"/>
        <v>13.399999999999999</v>
      </c>
      <c r="M1274">
        <f t="shared" si="306"/>
        <v>0.9</v>
      </c>
      <c r="N1274">
        <f t="shared" si="300"/>
        <v>0.60750000000000004</v>
      </c>
      <c r="Q1274" t="str" cm="1">
        <f t="array" ref="Q1274:R1274">_xlfn.TEXTSPLIT(E1274," ")</f>
        <v>27.10.2023</v>
      </c>
      <c r="R1274" t="str">
        <v>21:14:05</v>
      </c>
      <c r="S1274">
        <f t="shared" si="313"/>
        <v>21.183333333333412</v>
      </c>
      <c r="T1274">
        <f t="shared" si="304"/>
        <v>22.540000000000006</v>
      </c>
      <c r="U1274">
        <f t="shared" si="307"/>
        <v>0.9</v>
      </c>
      <c r="V1274">
        <f t="shared" si="301"/>
        <v>1.0875000000000001</v>
      </c>
      <c r="AC1274" t="s">
        <v>3065</v>
      </c>
      <c r="AD1274">
        <v>0.6</v>
      </c>
      <c r="AE1274">
        <v>13.3</v>
      </c>
      <c r="AG1274" t="str" cm="1">
        <f t="array" ref="AG1274:AH1274">_xlfn.TEXTSPLIT(AC1275," ")</f>
        <v>26.10.2023</v>
      </c>
      <c r="AH1274" t="str">
        <v>21:15:17</v>
      </c>
      <c r="AI1274">
        <f t="shared" si="314"/>
        <v>21.183333333333412</v>
      </c>
      <c r="AJ1274">
        <f t="shared" si="308"/>
        <v>8.77</v>
      </c>
      <c r="AK1274">
        <f t="shared" si="309"/>
        <v>0.6</v>
      </c>
      <c r="AL1274">
        <f t="shared" si="302"/>
        <v>0.40500000000000008</v>
      </c>
      <c r="AN1274" t="s">
        <v>3065</v>
      </c>
      <c r="AO1274">
        <v>0.75</v>
      </c>
      <c r="AP1274">
        <v>76.97</v>
      </c>
      <c r="AR1274" t="str" cm="1">
        <f t="array" ref="AR1274:AS1274">_xlfn.TEXTSPLIT(AN1274," ")</f>
        <v>26.10.2023</v>
      </c>
      <c r="AS1274" t="str">
        <v>21:14:17</v>
      </c>
      <c r="AT1274">
        <f t="shared" si="315"/>
        <v>21.183333333333412</v>
      </c>
      <c r="AU1274">
        <f t="shared" si="310"/>
        <v>15.659999999999997</v>
      </c>
      <c r="AV1274">
        <f t="shared" si="311"/>
        <v>0.75</v>
      </c>
      <c r="AW1274">
        <f t="shared" si="303"/>
        <v>0.6499999999999998</v>
      </c>
    </row>
    <row r="1275" spans="1:49" x14ac:dyDescent="0.25">
      <c r="A1275" t="s">
        <v>3066</v>
      </c>
      <c r="B1275">
        <v>0.75</v>
      </c>
      <c r="C1275">
        <v>27.73</v>
      </c>
      <c r="E1275" t="s">
        <v>3066</v>
      </c>
      <c r="F1275">
        <v>1.05</v>
      </c>
      <c r="G1275">
        <v>101.16</v>
      </c>
      <c r="I1275" t="str" cm="1">
        <f t="array" ref="I1275:J1275">_xlfn.TEXTSPLIT(A1275," ")</f>
        <v>27.10.2023</v>
      </c>
      <c r="J1275" t="str">
        <v>21:15:05</v>
      </c>
      <c r="K1275">
        <f t="shared" si="312"/>
        <v>21.200000000000077</v>
      </c>
      <c r="L1275">
        <f t="shared" si="305"/>
        <v>13.41</v>
      </c>
      <c r="M1275">
        <f t="shared" si="306"/>
        <v>0.75</v>
      </c>
      <c r="N1275">
        <f t="shared" si="300"/>
        <v>0.60750000000000004</v>
      </c>
      <c r="Q1275" t="str" cm="1">
        <f t="array" ref="Q1275:R1275">_xlfn.TEXTSPLIT(E1275," ")</f>
        <v>27.10.2023</v>
      </c>
      <c r="R1275" t="str">
        <v>21:15:05</v>
      </c>
      <c r="S1275">
        <f t="shared" si="313"/>
        <v>21.200000000000077</v>
      </c>
      <c r="T1275">
        <f t="shared" si="304"/>
        <v>22.560000000000002</v>
      </c>
      <c r="U1275">
        <f t="shared" si="307"/>
        <v>1.05</v>
      </c>
      <c r="V1275">
        <f t="shared" si="301"/>
        <v>1.0899999999999999</v>
      </c>
      <c r="AC1275" t="s">
        <v>3067</v>
      </c>
      <c r="AD1275">
        <v>0.45</v>
      </c>
      <c r="AE1275">
        <v>13.3</v>
      </c>
      <c r="AG1275" t="str" cm="1">
        <f t="array" ref="AG1275:AH1275">_xlfn.TEXTSPLIT(AC1276," ")</f>
        <v>26.10.2023</v>
      </c>
      <c r="AH1275" t="str">
        <v>21:16:17</v>
      </c>
      <c r="AI1275">
        <f t="shared" si="314"/>
        <v>21.200000000000077</v>
      </c>
      <c r="AJ1275">
        <f t="shared" si="308"/>
        <v>8.77</v>
      </c>
      <c r="AK1275">
        <f t="shared" si="309"/>
        <v>0.45</v>
      </c>
      <c r="AL1275">
        <f t="shared" si="302"/>
        <v>0.39500000000000013</v>
      </c>
      <c r="AN1275" t="s">
        <v>3067</v>
      </c>
      <c r="AO1275">
        <v>0.6</v>
      </c>
      <c r="AP1275">
        <v>76.98</v>
      </c>
      <c r="AR1275" t="str" cm="1">
        <f t="array" ref="AR1275:AS1275">_xlfn.TEXTSPLIT(AN1275," ")</f>
        <v>26.10.2023</v>
      </c>
      <c r="AS1275" t="str">
        <v>21:15:17</v>
      </c>
      <c r="AT1275">
        <f t="shared" si="315"/>
        <v>21.200000000000077</v>
      </c>
      <c r="AU1275">
        <f t="shared" si="310"/>
        <v>15.670000000000002</v>
      </c>
      <c r="AV1275">
        <f t="shared" si="311"/>
        <v>0.6</v>
      </c>
      <c r="AW1275">
        <f t="shared" si="303"/>
        <v>0.6399999999999999</v>
      </c>
    </row>
    <row r="1276" spans="1:49" x14ac:dyDescent="0.25">
      <c r="A1276" t="s">
        <v>3068</v>
      </c>
      <c r="B1276">
        <v>0.6</v>
      </c>
      <c r="C1276">
        <v>27.74</v>
      </c>
      <c r="E1276" t="s">
        <v>3068</v>
      </c>
      <c r="F1276">
        <v>1.2</v>
      </c>
      <c r="G1276">
        <v>101.17</v>
      </c>
      <c r="I1276" t="str" cm="1">
        <f t="array" ref="I1276:J1276">_xlfn.TEXTSPLIT(A1276," ")</f>
        <v>27.10.2023</v>
      </c>
      <c r="J1276" t="str">
        <v>21:16:06</v>
      </c>
      <c r="K1276">
        <f t="shared" si="312"/>
        <v>21.216666666666743</v>
      </c>
      <c r="L1276">
        <f t="shared" si="305"/>
        <v>13.419999999999998</v>
      </c>
      <c r="M1276">
        <f t="shared" si="306"/>
        <v>0.6</v>
      </c>
      <c r="N1276">
        <f t="shared" si="300"/>
        <v>0.61</v>
      </c>
      <c r="Q1276" t="str" cm="1">
        <f t="array" ref="Q1276:R1276">_xlfn.TEXTSPLIT(E1276," ")</f>
        <v>27.10.2023</v>
      </c>
      <c r="R1276" t="str">
        <v>21:16:06</v>
      </c>
      <c r="S1276">
        <f t="shared" si="313"/>
        <v>21.216666666666743</v>
      </c>
      <c r="T1276">
        <f t="shared" si="304"/>
        <v>22.570000000000007</v>
      </c>
      <c r="U1276">
        <f t="shared" si="307"/>
        <v>1.2</v>
      </c>
      <c r="V1276">
        <f t="shared" si="301"/>
        <v>1.0974999999999999</v>
      </c>
      <c r="AC1276" t="s">
        <v>3069</v>
      </c>
      <c r="AD1276">
        <v>0.3</v>
      </c>
      <c r="AE1276">
        <v>13.31</v>
      </c>
      <c r="AG1276" t="str" cm="1">
        <f t="array" ref="AG1276:AH1276">_xlfn.TEXTSPLIT(AC1277," ")</f>
        <v>26.10.2023</v>
      </c>
      <c r="AH1276" t="str">
        <v>21:17:17</v>
      </c>
      <c r="AI1276">
        <f t="shared" si="314"/>
        <v>21.216666666666743</v>
      </c>
      <c r="AJ1276">
        <f t="shared" si="308"/>
        <v>8.7800000000000011</v>
      </c>
      <c r="AK1276">
        <f t="shared" si="309"/>
        <v>0.3</v>
      </c>
      <c r="AL1276">
        <f t="shared" si="302"/>
        <v>0.39250000000000013</v>
      </c>
      <c r="AN1276" t="s">
        <v>3069</v>
      </c>
      <c r="AO1276">
        <v>0.6</v>
      </c>
      <c r="AP1276">
        <v>76.989999999999995</v>
      </c>
      <c r="AR1276" t="str" cm="1">
        <f t="array" ref="AR1276:AS1276">_xlfn.TEXTSPLIT(AN1276," ")</f>
        <v>26.10.2023</v>
      </c>
      <c r="AS1276" t="str">
        <v>21:16:17</v>
      </c>
      <c r="AT1276">
        <f t="shared" si="315"/>
        <v>21.216666666666743</v>
      </c>
      <c r="AU1276">
        <f t="shared" si="310"/>
        <v>15.679999999999993</v>
      </c>
      <c r="AV1276">
        <f t="shared" si="311"/>
        <v>0.6</v>
      </c>
      <c r="AW1276">
        <f t="shared" si="303"/>
        <v>0.63249999999999995</v>
      </c>
    </row>
    <row r="1277" spans="1:49" x14ac:dyDescent="0.25">
      <c r="A1277" t="s">
        <v>3070</v>
      </c>
      <c r="B1277">
        <v>0.75</v>
      </c>
      <c r="C1277">
        <v>27.75</v>
      </c>
      <c r="E1277" t="s">
        <v>3070</v>
      </c>
      <c r="F1277">
        <v>1.2</v>
      </c>
      <c r="G1277">
        <v>101.19</v>
      </c>
      <c r="I1277" t="str" cm="1">
        <f t="array" ref="I1277:J1277">_xlfn.TEXTSPLIT(A1277," ")</f>
        <v>27.10.2023</v>
      </c>
      <c r="J1277" t="str">
        <v>21:17:06</v>
      </c>
      <c r="K1277">
        <f t="shared" si="312"/>
        <v>21.233333333333409</v>
      </c>
      <c r="L1277">
        <f t="shared" si="305"/>
        <v>13.43</v>
      </c>
      <c r="M1277">
        <f t="shared" si="306"/>
        <v>0.75</v>
      </c>
      <c r="N1277">
        <f t="shared" si="300"/>
        <v>0.61250000000000016</v>
      </c>
      <c r="Q1277" t="str" cm="1">
        <f t="array" ref="Q1277:R1277">_xlfn.TEXTSPLIT(E1277," ")</f>
        <v>27.10.2023</v>
      </c>
      <c r="R1277" t="str">
        <v>21:17:06</v>
      </c>
      <c r="S1277">
        <f t="shared" si="313"/>
        <v>21.233333333333409</v>
      </c>
      <c r="T1277">
        <f t="shared" si="304"/>
        <v>22.590000000000003</v>
      </c>
      <c r="U1277">
        <f t="shared" si="307"/>
        <v>1.2</v>
      </c>
      <c r="V1277">
        <f t="shared" si="301"/>
        <v>1.0999999999999999</v>
      </c>
      <c r="AC1277" t="s">
        <v>3071</v>
      </c>
      <c r="AD1277">
        <v>0.6</v>
      </c>
      <c r="AE1277">
        <v>13.32</v>
      </c>
      <c r="AG1277" t="str" cm="1">
        <f t="array" ref="AG1277:AH1277">_xlfn.TEXTSPLIT(AC1278," ")</f>
        <v>26.10.2023</v>
      </c>
      <c r="AH1277" t="str">
        <v>21:18:18</v>
      </c>
      <c r="AI1277">
        <f t="shared" si="314"/>
        <v>21.233333333333409</v>
      </c>
      <c r="AJ1277">
        <f t="shared" si="308"/>
        <v>8.7899999999999991</v>
      </c>
      <c r="AK1277">
        <f t="shared" si="309"/>
        <v>0.6</v>
      </c>
      <c r="AL1277">
        <f t="shared" si="302"/>
        <v>0.39000000000000018</v>
      </c>
      <c r="AN1277" t="s">
        <v>3071</v>
      </c>
      <c r="AO1277">
        <v>0.45</v>
      </c>
      <c r="AP1277">
        <v>76.989999999999995</v>
      </c>
      <c r="AR1277" t="str" cm="1">
        <f t="array" ref="AR1277:AS1277">_xlfn.TEXTSPLIT(AN1277," ")</f>
        <v>26.10.2023</v>
      </c>
      <c r="AS1277" t="str">
        <v>21:17:17</v>
      </c>
      <c r="AT1277">
        <f t="shared" si="315"/>
        <v>21.233333333333409</v>
      </c>
      <c r="AU1277">
        <f t="shared" si="310"/>
        <v>15.679999999999993</v>
      </c>
      <c r="AV1277">
        <f t="shared" si="311"/>
        <v>0.45</v>
      </c>
      <c r="AW1277">
        <f t="shared" si="303"/>
        <v>0.62749999999999995</v>
      </c>
    </row>
    <row r="1278" spans="1:49" x14ac:dyDescent="0.25">
      <c r="A1278" t="s">
        <v>3072</v>
      </c>
      <c r="B1278">
        <v>0.6</v>
      </c>
      <c r="C1278">
        <v>27.76</v>
      </c>
      <c r="E1278" t="s">
        <v>3072</v>
      </c>
      <c r="F1278">
        <v>1.2</v>
      </c>
      <c r="G1278">
        <v>101.22</v>
      </c>
      <c r="I1278" t="str" cm="1">
        <f t="array" ref="I1278:J1278">_xlfn.TEXTSPLIT(A1278," ")</f>
        <v>27.10.2023</v>
      </c>
      <c r="J1278" t="str">
        <v>21:18:06</v>
      </c>
      <c r="K1278">
        <f t="shared" si="312"/>
        <v>21.250000000000075</v>
      </c>
      <c r="L1278">
        <f t="shared" si="305"/>
        <v>13.440000000000001</v>
      </c>
      <c r="M1278">
        <f t="shared" si="306"/>
        <v>0.6</v>
      </c>
      <c r="N1278">
        <f t="shared" si="300"/>
        <v>0.61250000000000004</v>
      </c>
      <c r="Q1278" t="str" cm="1">
        <f t="array" ref="Q1278:R1278">_xlfn.TEXTSPLIT(E1278," ")</f>
        <v>27.10.2023</v>
      </c>
      <c r="R1278" t="str">
        <v>21:18:06</v>
      </c>
      <c r="S1278">
        <f t="shared" si="313"/>
        <v>21.250000000000075</v>
      </c>
      <c r="T1278">
        <f t="shared" si="304"/>
        <v>22.620000000000005</v>
      </c>
      <c r="U1278">
        <f t="shared" si="307"/>
        <v>1.2</v>
      </c>
      <c r="V1278">
        <f t="shared" si="301"/>
        <v>1.0974999999999999</v>
      </c>
      <c r="AC1278" t="s">
        <v>3073</v>
      </c>
      <c r="AD1278">
        <v>0.3</v>
      </c>
      <c r="AE1278">
        <v>13.32</v>
      </c>
      <c r="AG1278" t="str" cm="1">
        <f t="array" ref="AG1278:AH1278">_xlfn.TEXTSPLIT(AC1279," ")</f>
        <v>26.10.2023</v>
      </c>
      <c r="AH1278" t="str">
        <v>21:19:18</v>
      </c>
      <c r="AI1278">
        <f t="shared" si="314"/>
        <v>21.250000000000075</v>
      </c>
      <c r="AJ1278">
        <f t="shared" si="308"/>
        <v>8.7899999999999991</v>
      </c>
      <c r="AK1278">
        <f t="shared" si="309"/>
        <v>0.3</v>
      </c>
      <c r="AL1278">
        <f t="shared" si="302"/>
        <v>0.38750000000000018</v>
      </c>
      <c r="AN1278" t="s">
        <v>3073</v>
      </c>
      <c r="AO1278">
        <v>0.45</v>
      </c>
      <c r="AP1278">
        <v>77</v>
      </c>
      <c r="AR1278" t="str" cm="1">
        <f t="array" ref="AR1278:AS1278">_xlfn.TEXTSPLIT(AN1278," ")</f>
        <v>26.10.2023</v>
      </c>
      <c r="AS1278" t="str">
        <v>21:18:18</v>
      </c>
      <c r="AT1278">
        <f t="shared" si="315"/>
        <v>21.250000000000075</v>
      </c>
      <c r="AU1278">
        <f t="shared" si="310"/>
        <v>15.689999999999998</v>
      </c>
      <c r="AV1278">
        <f t="shared" si="311"/>
        <v>0.45</v>
      </c>
      <c r="AW1278">
        <f t="shared" si="303"/>
        <v>0.625</v>
      </c>
    </row>
    <row r="1279" spans="1:49" x14ac:dyDescent="0.25">
      <c r="A1279" t="s">
        <v>3074</v>
      </c>
      <c r="B1279">
        <v>0.6</v>
      </c>
      <c r="C1279">
        <v>27.77</v>
      </c>
      <c r="E1279" t="s">
        <v>3074</v>
      </c>
      <c r="F1279">
        <v>1.2</v>
      </c>
      <c r="G1279">
        <v>101.24</v>
      </c>
      <c r="I1279" t="str" cm="1">
        <f t="array" ref="I1279:J1279">_xlfn.TEXTSPLIT(A1279," ")</f>
        <v>27.10.2023</v>
      </c>
      <c r="J1279" t="str">
        <v>21:19:06</v>
      </c>
      <c r="K1279">
        <f t="shared" si="312"/>
        <v>21.26666666666674</v>
      </c>
      <c r="L1279">
        <f t="shared" si="305"/>
        <v>13.45</v>
      </c>
      <c r="M1279">
        <f t="shared" si="306"/>
        <v>0.6</v>
      </c>
      <c r="N1279">
        <f t="shared" ref="N1279:N1342" si="316">AVERAGE(M1220:M1279)</f>
        <v>0.6150000000000001</v>
      </c>
      <c r="Q1279" t="str" cm="1">
        <f t="array" ref="Q1279:R1279">_xlfn.TEXTSPLIT(E1279," ")</f>
        <v>27.10.2023</v>
      </c>
      <c r="R1279" t="str">
        <v>21:19:06</v>
      </c>
      <c r="S1279">
        <f t="shared" si="313"/>
        <v>21.26666666666674</v>
      </c>
      <c r="T1279">
        <f t="shared" si="304"/>
        <v>22.64</v>
      </c>
      <c r="U1279">
        <f t="shared" si="307"/>
        <v>1.2</v>
      </c>
      <c r="V1279">
        <f t="shared" ref="V1279:V1342" si="317">AVERAGE(U1220:U1279)</f>
        <v>1.0925</v>
      </c>
      <c r="AC1279" t="s">
        <v>3075</v>
      </c>
      <c r="AD1279">
        <v>0.3</v>
      </c>
      <c r="AE1279">
        <v>13.33</v>
      </c>
      <c r="AG1279" t="str" cm="1">
        <f t="array" ref="AG1279:AH1279">_xlfn.TEXTSPLIT(AC1280," ")</f>
        <v>26.10.2023</v>
      </c>
      <c r="AH1279" t="str">
        <v>21:20:18</v>
      </c>
      <c r="AI1279">
        <f t="shared" si="314"/>
        <v>21.26666666666674</v>
      </c>
      <c r="AJ1279">
        <f t="shared" si="308"/>
        <v>8.8000000000000007</v>
      </c>
      <c r="AK1279">
        <f t="shared" si="309"/>
        <v>0.3</v>
      </c>
      <c r="AL1279">
        <f t="shared" ref="AL1279:AL1342" si="318">AVERAGE(AK1220:AK1279)</f>
        <v>0.37750000000000017</v>
      </c>
      <c r="AN1279" t="s">
        <v>3075</v>
      </c>
      <c r="AO1279">
        <v>0.6</v>
      </c>
      <c r="AP1279">
        <v>77.010000000000005</v>
      </c>
      <c r="AR1279" t="str" cm="1">
        <f t="array" ref="AR1279:AS1279">_xlfn.TEXTSPLIT(AN1279," ")</f>
        <v>26.10.2023</v>
      </c>
      <c r="AS1279" t="str">
        <v>21:19:18</v>
      </c>
      <c r="AT1279">
        <f t="shared" si="315"/>
        <v>21.26666666666674</v>
      </c>
      <c r="AU1279">
        <f t="shared" si="310"/>
        <v>15.700000000000003</v>
      </c>
      <c r="AV1279">
        <f t="shared" si="311"/>
        <v>0.6</v>
      </c>
      <c r="AW1279">
        <f t="shared" ref="AW1279:AW1342" si="319">AVERAGE(AV1220:AV1279)</f>
        <v>0.62500000000000011</v>
      </c>
    </row>
    <row r="1280" spans="1:49" x14ac:dyDescent="0.25">
      <c r="A1280" t="s">
        <v>3076</v>
      </c>
      <c r="B1280">
        <v>0.6</v>
      </c>
      <c r="C1280">
        <v>27.78</v>
      </c>
      <c r="E1280" t="s">
        <v>3076</v>
      </c>
      <c r="F1280">
        <v>0.9</v>
      </c>
      <c r="G1280">
        <v>101.25</v>
      </c>
      <c r="I1280" t="str" cm="1">
        <f t="array" ref="I1280:J1280">_xlfn.TEXTSPLIT(A1280," ")</f>
        <v>27.10.2023</v>
      </c>
      <c r="J1280" t="str">
        <v>21:20:06</v>
      </c>
      <c r="K1280">
        <f t="shared" si="312"/>
        <v>21.283333333333406</v>
      </c>
      <c r="L1280">
        <f t="shared" si="305"/>
        <v>13.46</v>
      </c>
      <c r="M1280">
        <f t="shared" si="306"/>
        <v>0.6</v>
      </c>
      <c r="N1280">
        <f t="shared" si="316"/>
        <v>0.61250000000000016</v>
      </c>
      <c r="Q1280" t="str" cm="1">
        <f t="array" ref="Q1280:R1280">_xlfn.TEXTSPLIT(E1280," ")</f>
        <v>27.10.2023</v>
      </c>
      <c r="R1280" t="str">
        <v>21:20:06</v>
      </c>
      <c r="S1280">
        <f t="shared" si="313"/>
        <v>21.283333333333406</v>
      </c>
      <c r="T1280">
        <f t="shared" si="304"/>
        <v>22.650000000000006</v>
      </c>
      <c r="U1280">
        <f t="shared" si="307"/>
        <v>0.9</v>
      </c>
      <c r="V1280">
        <f t="shared" si="317"/>
        <v>1.095</v>
      </c>
      <c r="AC1280" t="s">
        <v>3077</v>
      </c>
      <c r="AD1280">
        <v>0.45</v>
      </c>
      <c r="AE1280">
        <v>13.34</v>
      </c>
      <c r="AG1280" t="str" cm="1">
        <f t="array" ref="AG1280:AH1280">_xlfn.TEXTSPLIT(AC1281," ")</f>
        <v>26.10.2023</v>
      </c>
      <c r="AH1280" t="str">
        <v>21:21:18</v>
      </c>
      <c r="AI1280">
        <f t="shared" si="314"/>
        <v>21.283333333333406</v>
      </c>
      <c r="AJ1280">
        <f t="shared" si="308"/>
        <v>8.8099999999999987</v>
      </c>
      <c r="AK1280">
        <f t="shared" si="309"/>
        <v>0.45</v>
      </c>
      <c r="AL1280">
        <f t="shared" si="318"/>
        <v>0.37750000000000017</v>
      </c>
      <c r="AN1280" t="s">
        <v>3077</v>
      </c>
      <c r="AO1280">
        <v>0.3</v>
      </c>
      <c r="AP1280">
        <v>77.02</v>
      </c>
      <c r="AR1280" t="str" cm="1">
        <f t="array" ref="AR1280:AS1280">_xlfn.TEXTSPLIT(AN1280," ")</f>
        <v>26.10.2023</v>
      </c>
      <c r="AS1280" t="str">
        <v>21:20:18</v>
      </c>
      <c r="AT1280">
        <f t="shared" si="315"/>
        <v>21.283333333333406</v>
      </c>
      <c r="AU1280">
        <f t="shared" si="310"/>
        <v>15.709999999999994</v>
      </c>
      <c r="AV1280">
        <f t="shared" si="311"/>
        <v>0.3</v>
      </c>
      <c r="AW1280">
        <f t="shared" si="319"/>
        <v>0.62250000000000016</v>
      </c>
    </row>
    <row r="1281" spans="1:49" x14ac:dyDescent="0.25">
      <c r="A1281" t="s">
        <v>3078</v>
      </c>
      <c r="B1281">
        <v>0.45</v>
      </c>
      <c r="C1281">
        <v>27.79</v>
      </c>
      <c r="E1281" t="s">
        <v>3078</v>
      </c>
      <c r="F1281">
        <v>0.3</v>
      </c>
      <c r="G1281">
        <v>101.26</v>
      </c>
      <c r="I1281" t="str" cm="1">
        <f t="array" ref="I1281:J1281">_xlfn.TEXTSPLIT(A1281," ")</f>
        <v>27.10.2023</v>
      </c>
      <c r="J1281" t="str">
        <v>21:21:06</v>
      </c>
      <c r="K1281">
        <f t="shared" si="312"/>
        <v>21.300000000000072</v>
      </c>
      <c r="L1281">
        <f t="shared" si="305"/>
        <v>13.469999999999999</v>
      </c>
      <c r="M1281">
        <f t="shared" si="306"/>
        <v>0.45</v>
      </c>
      <c r="N1281">
        <f t="shared" si="316"/>
        <v>0.60750000000000015</v>
      </c>
      <c r="Q1281" t="str" cm="1">
        <f t="array" ref="Q1281:R1281">_xlfn.TEXTSPLIT(E1281," ")</f>
        <v>27.10.2023</v>
      </c>
      <c r="R1281" t="str">
        <v>21:21:06</v>
      </c>
      <c r="S1281">
        <f t="shared" si="313"/>
        <v>21.300000000000072</v>
      </c>
      <c r="T1281">
        <f t="shared" si="304"/>
        <v>22.660000000000011</v>
      </c>
      <c r="U1281">
        <f t="shared" si="307"/>
        <v>0.3</v>
      </c>
      <c r="V1281">
        <f t="shared" si="317"/>
        <v>1.0825</v>
      </c>
      <c r="AC1281" t="s">
        <v>3079</v>
      </c>
      <c r="AD1281">
        <v>0.45</v>
      </c>
      <c r="AE1281">
        <v>13.34</v>
      </c>
      <c r="AG1281" t="str" cm="1">
        <f t="array" ref="AG1281:AH1281">_xlfn.TEXTSPLIT(AC1282," ")</f>
        <v>26.10.2023</v>
      </c>
      <c r="AH1281" t="str">
        <v>21:22:18</v>
      </c>
      <c r="AI1281">
        <f t="shared" si="314"/>
        <v>21.300000000000072</v>
      </c>
      <c r="AJ1281">
        <f t="shared" si="308"/>
        <v>8.8099999999999987</v>
      </c>
      <c r="AK1281">
        <f t="shared" si="309"/>
        <v>0.45</v>
      </c>
      <c r="AL1281">
        <f t="shared" si="318"/>
        <v>0.37500000000000011</v>
      </c>
      <c r="AN1281" t="s">
        <v>3079</v>
      </c>
      <c r="AO1281">
        <v>0.75</v>
      </c>
      <c r="AP1281">
        <v>77.03</v>
      </c>
      <c r="AR1281" t="str" cm="1">
        <f t="array" ref="AR1281:AS1281">_xlfn.TEXTSPLIT(AN1281," ")</f>
        <v>26.10.2023</v>
      </c>
      <c r="AS1281" t="str">
        <v>21:21:18</v>
      </c>
      <c r="AT1281">
        <f t="shared" si="315"/>
        <v>21.300000000000072</v>
      </c>
      <c r="AU1281">
        <f t="shared" si="310"/>
        <v>15.719999999999999</v>
      </c>
      <c r="AV1281">
        <f t="shared" si="311"/>
        <v>0.75</v>
      </c>
      <c r="AW1281">
        <f t="shared" si="319"/>
        <v>0.62500000000000011</v>
      </c>
    </row>
    <row r="1282" spans="1:49" x14ac:dyDescent="0.25">
      <c r="A1282" t="s">
        <v>3080</v>
      </c>
      <c r="B1282">
        <v>0.45</v>
      </c>
      <c r="C1282">
        <v>27.8</v>
      </c>
      <c r="E1282" t="s">
        <v>3080</v>
      </c>
      <c r="F1282">
        <v>0.45</v>
      </c>
      <c r="G1282">
        <v>101.26</v>
      </c>
      <c r="I1282" t="str" cm="1">
        <f t="array" ref="I1282:J1282">_xlfn.TEXTSPLIT(A1282," ")</f>
        <v>27.10.2023</v>
      </c>
      <c r="J1282" t="str">
        <v>21:22:06</v>
      </c>
      <c r="K1282">
        <f t="shared" si="312"/>
        <v>21.316666666666737</v>
      </c>
      <c r="L1282">
        <f t="shared" si="305"/>
        <v>13.48</v>
      </c>
      <c r="M1282">
        <f t="shared" si="306"/>
        <v>0.45</v>
      </c>
      <c r="N1282">
        <f t="shared" si="316"/>
        <v>0.60750000000000015</v>
      </c>
      <c r="Q1282" t="str" cm="1">
        <f t="array" ref="Q1282:R1282">_xlfn.TEXTSPLIT(E1282," ")</f>
        <v>27.10.2023</v>
      </c>
      <c r="R1282" t="str">
        <v>21:22:06</v>
      </c>
      <c r="S1282">
        <f t="shared" si="313"/>
        <v>21.316666666666737</v>
      </c>
      <c r="T1282">
        <f t="shared" si="304"/>
        <v>22.660000000000011</v>
      </c>
      <c r="U1282">
        <f t="shared" si="307"/>
        <v>0.45</v>
      </c>
      <c r="V1282">
        <f t="shared" si="317"/>
        <v>1.0825</v>
      </c>
      <c r="AC1282" t="s">
        <v>3081</v>
      </c>
      <c r="AD1282">
        <v>0.6</v>
      </c>
      <c r="AE1282">
        <v>13.35</v>
      </c>
      <c r="AG1282" t="str" cm="1">
        <f t="array" ref="AG1282:AH1282">_xlfn.TEXTSPLIT(AC1283," ")</f>
        <v>26.10.2023</v>
      </c>
      <c r="AH1282" t="str">
        <v>21:23:18</v>
      </c>
      <c r="AI1282">
        <f t="shared" si="314"/>
        <v>21.316666666666737</v>
      </c>
      <c r="AJ1282">
        <f t="shared" si="308"/>
        <v>8.82</v>
      </c>
      <c r="AK1282">
        <f t="shared" si="309"/>
        <v>0.6</v>
      </c>
      <c r="AL1282">
        <f t="shared" si="318"/>
        <v>0.38250000000000017</v>
      </c>
      <c r="AN1282" t="s">
        <v>3081</v>
      </c>
      <c r="AO1282">
        <v>0.15</v>
      </c>
      <c r="AP1282">
        <v>77.03</v>
      </c>
      <c r="AR1282" t="str" cm="1">
        <f t="array" ref="AR1282:AS1282">_xlfn.TEXTSPLIT(AN1282," ")</f>
        <v>26.10.2023</v>
      </c>
      <c r="AS1282" t="str">
        <v>21:22:18</v>
      </c>
      <c r="AT1282">
        <f t="shared" si="315"/>
        <v>21.316666666666737</v>
      </c>
      <c r="AU1282">
        <f t="shared" si="310"/>
        <v>15.719999999999999</v>
      </c>
      <c r="AV1282">
        <f t="shared" si="311"/>
        <v>0.15</v>
      </c>
      <c r="AW1282">
        <f t="shared" si="319"/>
        <v>0.62500000000000011</v>
      </c>
    </row>
    <row r="1283" spans="1:49" x14ac:dyDescent="0.25">
      <c r="A1283" t="s">
        <v>3082</v>
      </c>
      <c r="B1283">
        <v>0</v>
      </c>
      <c r="C1283">
        <v>27.8</v>
      </c>
      <c r="E1283" t="s">
        <v>3082</v>
      </c>
      <c r="F1283">
        <v>0.3</v>
      </c>
      <c r="G1283">
        <v>101.27</v>
      </c>
      <c r="I1283" t="str" cm="1">
        <f t="array" ref="I1283:J1283">_xlfn.TEXTSPLIT(A1283," ")</f>
        <v>27.10.2023</v>
      </c>
      <c r="J1283" t="str">
        <v>21:23:06</v>
      </c>
      <c r="K1283">
        <f t="shared" si="312"/>
        <v>21.333333333333403</v>
      </c>
      <c r="L1283">
        <f t="shared" si="305"/>
        <v>13.48</v>
      </c>
      <c r="M1283">
        <f t="shared" si="306"/>
        <v>0</v>
      </c>
      <c r="N1283">
        <f t="shared" si="316"/>
        <v>0.59250000000000003</v>
      </c>
      <c r="Q1283" t="str" cm="1">
        <f t="array" ref="Q1283:R1283">_xlfn.TEXTSPLIT(E1283," ")</f>
        <v>27.10.2023</v>
      </c>
      <c r="R1283" t="str">
        <v>21:23:06</v>
      </c>
      <c r="S1283">
        <f t="shared" si="313"/>
        <v>21.333333333333403</v>
      </c>
      <c r="T1283">
        <f t="shared" ref="T1283:T1346" si="320">G1283-78.6</f>
        <v>22.67</v>
      </c>
      <c r="U1283">
        <f t="shared" si="307"/>
        <v>0.3</v>
      </c>
      <c r="V1283">
        <f t="shared" si="317"/>
        <v>1.0825</v>
      </c>
      <c r="AC1283" t="s">
        <v>3083</v>
      </c>
      <c r="AD1283">
        <v>0.3</v>
      </c>
      <c r="AE1283">
        <v>13.36</v>
      </c>
      <c r="AG1283" t="str" cm="1">
        <f t="array" ref="AG1283:AH1283">_xlfn.TEXTSPLIT(AC1284," ")</f>
        <v>26.10.2023</v>
      </c>
      <c r="AH1283" t="str">
        <v>21:24:18</v>
      </c>
      <c r="AI1283">
        <f t="shared" si="314"/>
        <v>21.333333333333403</v>
      </c>
      <c r="AJ1283">
        <f t="shared" si="308"/>
        <v>8.8299999999999983</v>
      </c>
      <c r="AK1283">
        <f t="shared" si="309"/>
        <v>0.3</v>
      </c>
      <c r="AL1283">
        <f t="shared" si="318"/>
        <v>0.38750000000000018</v>
      </c>
      <c r="AN1283" t="s">
        <v>3083</v>
      </c>
      <c r="AO1283">
        <v>0</v>
      </c>
      <c r="AP1283">
        <v>77.03</v>
      </c>
      <c r="AR1283" t="str" cm="1">
        <f t="array" ref="AR1283:AS1283">_xlfn.TEXTSPLIT(AN1283," ")</f>
        <v>26.10.2023</v>
      </c>
      <c r="AS1283" t="str">
        <v>21:23:18</v>
      </c>
      <c r="AT1283">
        <f t="shared" si="315"/>
        <v>21.333333333333403</v>
      </c>
      <c r="AU1283">
        <f t="shared" si="310"/>
        <v>15.719999999999999</v>
      </c>
      <c r="AV1283">
        <f t="shared" si="311"/>
        <v>0</v>
      </c>
      <c r="AW1283">
        <f t="shared" si="319"/>
        <v>0.62500000000000011</v>
      </c>
    </row>
    <row r="1284" spans="1:49" x14ac:dyDescent="0.25">
      <c r="A1284" t="s">
        <v>3084</v>
      </c>
      <c r="B1284">
        <v>0</v>
      </c>
      <c r="C1284">
        <v>27.8</v>
      </c>
      <c r="E1284" t="s">
        <v>3084</v>
      </c>
      <c r="F1284">
        <v>0.45</v>
      </c>
      <c r="G1284">
        <v>101.28</v>
      </c>
      <c r="I1284" t="str" cm="1">
        <f t="array" ref="I1284:J1284">_xlfn.TEXTSPLIT(A1284," ")</f>
        <v>27.10.2023</v>
      </c>
      <c r="J1284" t="str">
        <v>21:24:06</v>
      </c>
      <c r="K1284">
        <f t="shared" si="312"/>
        <v>21.350000000000069</v>
      </c>
      <c r="L1284">
        <f t="shared" ref="L1284:L1347" si="321">C1284-14.32</f>
        <v>13.48</v>
      </c>
      <c r="M1284">
        <f t="shared" ref="M1284:M1347" si="322">B1284</f>
        <v>0</v>
      </c>
      <c r="N1284">
        <f t="shared" si="316"/>
        <v>0.59250000000000003</v>
      </c>
      <c r="Q1284" t="str" cm="1">
        <f t="array" ref="Q1284:R1284">_xlfn.TEXTSPLIT(E1284," ")</f>
        <v>27.10.2023</v>
      </c>
      <c r="R1284" t="str">
        <v>21:24:06</v>
      </c>
      <c r="S1284">
        <f t="shared" si="313"/>
        <v>21.350000000000069</v>
      </c>
      <c r="T1284">
        <f t="shared" si="320"/>
        <v>22.680000000000007</v>
      </c>
      <c r="U1284">
        <f t="shared" ref="U1284:U1347" si="323">F1284</f>
        <v>0.45</v>
      </c>
      <c r="V1284">
        <f t="shared" si="317"/>
        <v>1.085</v>
      </c>
      <c r="AC1284" t="s">
        <v>3085</v>
      </c>
      <c r="AD1284">
        <v>0</v>
      </c>
      <c r="AE1284">
        <v>13.36</v>
      </c>
      <c r="AG1284" t="str" cm="1">
        <f t="array" ref="AG1284:AH1284">_xlfn.TEXTSPLIT(AC1285," ")</f>
        <v>26.10.2023</v>
      </c>
      <c r="AH1284" t="str">
        <v>21:25:18</v>
      </c>
      <c r="AI1284">
        <f t="shared" si="314"/>
        <v>21.350000000000069</v>
      </c>
      <c r="AJ1284">
        <f t="shared" ref="AJ1284:AJ1347" si="324">AE1284-4.53</f>
        <v>8.8299999999999983</v>
      </c>
      <c r="AK1284">
        <f t="shared" ref="AK1284:AK1347" si="325">AD1284</f>
        <v>0</v>
      </c>
      <c r="AL1284">
        <f t="shared" si="318"/>
        <v>0.38750000000000018</v>
      </c>
      <c r="AN1284" t="s">
        <v>3085</v>
      </c>
      <c r="AO1284">
        <v>0</v>
      </c>
      <c r="AP1284">
        <v>77.03</v>
      </c>
      <c r="AR1284" t="str" cm="1">
        <f t="array" ref="AR1284:AS1284">_xlfn.TEXTSPLIT(AN1284," ")</f>
        <v>26.10.2023</v>
      </c>
      <c r="AS1284" t="str">
        <v>21:24:18</v>
      </c>
      <c r="AT1284">
        <f t="shared" si="315"/>
        <v>21.350000000000069</v>
      </c>
      <c r="AU1284">
        <f t="shared" ref="AU1284:AU1347" si="326">AP1284-61.31</f>
        <v>15.719999999999999</v>
      </c>
      <c r="AV1284">
        <f t="shared" ref="AV1284:AV1347" si="327">AO1284</f>
        <v>0</v>
      </c>
      <c r="AW1284">
        <f t="shared" si="319"/>
        <v>0.62500000000000011</v>
      </c>
    </row>
    <row r="1285" spans="1:49" x14ac:dyDescent="0.25">
      <c r="A1285" t="s">
        <v>3086</v>
      </c>
      <c r="B1285">
        <v>0</v>
      </c>
      <c r="C1285">
        <v>27.8</v>
      </c>
      <c r="E1285" t="s">
        <v>3086</v>
      </c>
      <c r="F1285">
        <v>0.45</v>
      </c>
      <c r="G1285">
        <v>101.28</v>
      </c>
      <c r="I1285" t="str" cm="1">
        <f t="array" ref="I1285:J1285">_xlfn.TEXTSPLIT(A1285," ")</f>
        <v>27.10.2023</v>
      </c>
      <c r="J1285" t="str">
        <v>21:25:07</v>
      </c>
      <c r="K1285">
        <f t="shared" ref="K1285:K1348" si="328">1/60+K1284</f>
        <v>21.366666666666735</v>
      </c>
      <c r="L1285">
        <f t="shared" si="321"/>
        <v>13.48</v>
      </c>
      <c r="M1285">
        <f t="shared" si="322"/>
        <v>0</v>
      </c>
      <c r="N1285">
        <f t="shared" si="316"/>
        <v>0.59250000000000003</v>
      </c>
      <c r="Q1285" t="str" cm="1">
        <f t="array" ref="Q1285:R1285">_xlfn.TEXTSPLIT(E1285," ")</f>
        <v>27.10.2023</v>
      </c>
      <c r="R1285" t="str">
        <v>21:25:07</v>
      </c>
      <c r="S1285">
        <f t="shared" ref="S1285:S1348" si="329">1/60+S1284</f>
        <v>21.366666666666735</v>
      </c>
      <c r="T1285">
        <f t="shared" si="320"/>
        <v>22.680000000000007</v>
      </c>
      <c r="U1285">
        <f t="shared" si="323"/>
        <v>0.45</v>
      </c>
      <c r="V1285">
        <f t="shared" si="317"/>
        <v>1.0825</v>
      </c>
      <c r="AC1285" t="s">
        <v>3087</v>
      </c>
      <c r="AD1285">
        <v>0</v>
      </c>
      <c r="AE1285">
        <v>13.36</v>
      </c>
      <c r="AG1285" t="str" cm="1">
        <f t="array" ref="AG1285:AH1285">_xlfn.TEXTSPLIT(AC1286," ")</f>
        <v>26.10.2023</v>
      </c>
      <c r="AH1285" t="str">
        <v>21:26:18</v>
      </c>
      <c r="AI1285">
        <f t="shared" ref="AI1285:AI1348" si="330">1/60+AI1284</f>
        <v>21.366666666666735</v>
      </c>
      <c r="AJ1285">
        <f t="shared" si="324"/>
        <v>8.8299999999999983</v>
      </c>
      <c r="AK1285">
        <f t="shared" si="325"/>
        <v>0</v>
      </c>
      <c r="AL1285">
        <f t="shared" si="318"/>
        <v>0.38750000000000018</v>
      </c>
      <c r="AN1285" t="s">
        <v>3087</v>
      </c>
      <c r="AO1285">
        <v>0</v>
      </c>
      <c r="AP1285">
        <v>77.03</v>
      </c>
      <c r="AR1285" t="str" cm="1">
        <f t="array" ref="AR1285:AS1285">_xlfn.TEXTSPLIT(AN1285," ")</f>
        <v>26.10.2023</v>
      </c>
      <c r="AS1285" t="str">
        <v>21:25:18</v>
      </c>
      <c r="AT1285">
        <f t="shared" ref="AT1285:AT1348" si="331">1/60+AT1284</f>
        <v>21.366666666666735</v>
      </c>
      <c r="AU1285">
        <f t="shared" si="326"/>
        <v>15.719999999999999</v>
      </c>
      <c r="AV1285">
        <f t="shared" si="327"/>
        <v>0</v>
      </c>
      <c r="AW1285">
        <f t="shared" si="319"/>
        <v>0.62250000000000016</v>
      </c>
    </row>
    <row r="1286" spans="1:49" x14ac:dyDescent="0.25">
      <c r="A1286" t="s">
        <v>3088</v>
      </c>
      <c r="B1286">
        <v>0</v>
      </c>
      <c r="C1286">
        <v>27.8</v>
      </c>
      <c r="E1286" t="s">
        <v>3088</v>
      </c>
      <c r="F1286">
        <v>0.45</v>
      </c>
      <c r="G1286">
        <v>101.29</v>
      </c>
      <c r="I1286" t="str" cm="1">
        <f t="array" ref="I1286:J1286">_xlfn.TEXTSPLIT(A1286," ")</f>
        <v>27.10.2023</v>
      </c>
      <c r="J1286" t="str">
        <v>21:26:07</v>
      </c>
      <c r="K1286">
        <f t="shared" si="328"/>
        <v>21.3833333333334</v>
      </c>
      <c r="L1286">
        <f t="shared" si="321"/>
        <v>13.48</v>
      </c>
      <c r="M1286">
        <f t="shared" si="322"/>
        <v>0</v>
      </c>
      <c r="N1286">
        <f t="shared" si="316"/>
        <v>0.59250000000000003</v>
      </c>
      <c r="Q1286" t="str" cm="1">
        <f t="array" ref="Q1286:R1286">_xlfn.TEXTSPLIT(E1286," ")</f>
        <v>27.10.2023</v>
      </c>
      <c r="R1286" t="str">
        <v>21:26:07</v>
      </c>
      <c r="S1286">
        <f t="shared" si="329"/>
        <v>21.3833333333334</v>
      </c>
      <c r="T1286">
        <f t="shared" si="320"/>
        <v>22.690000000000012</v>
      </c>
      <c r="U1286">
        <f t="shared" si="323"/>
        <v>0.45</v>
      </c>
      <c r="V1286">
        <f t="shared" si="317"/>
        <v>1.0799999999999998</v>
      </c>
      <c r="AC1286" t="s">
        <v>3089</v>
      </c>
      <c r="AD1286">
        <v>0</v>
      </c>
      <c r="AE1286">
        <v>13.36</v>
      </c>
      <c r="AG1286" t="str" cm="1">
        <f t="array" ref="AG1286:AH1286">_xlfn.TEXTSPLIT(AC1287," ")</f>
        <v>26.10.2023</v>
      </c>
      <c r="AH1286" t="str">
        <v>21:27:18</v>
      </c>
      <c r="AI1286">
        <f t="shared" si="330"/>
        <v>21.3833333333334</v>
      </c>
      <c r="AJ1286">
        <f t="shared" si="324"/>
        <v>8.8299999999999983</v>
      </c>
      <c r="AK1286">
        <f t="shared" si="325"/>
        <v>0</v>
      </c>
      <c r="AL1286">
        <f t="shared" si="318"/>
        <v>0.38750000000000018</v>
      </c>
      <c r="AN1286" t="s">
        <v>3089</v>
      </c>
      <c r="AO1286">
        <v>0.15</v>
      </c>
      <c r="AP1286">
        <v>77.03</v>
      </c>
      <c r="AR1286" t="str" cm="1">
        <f t="array" ref="AR1286:AS1286">_xlfn.TEXTSPLIT(AN1286," ")</f>
        <v>26.10.2023</v>
      </c>
      <c r="AS1286" t="str">
        <v>21:26:18</v>
      </c>
      <c r="AT1286">
        <f t="shared" si="331"/>
        <v>21.3833333333334</v>
      </c>
      <c r="AU1286">
        <f t="shared" si="326"/>
        <v>15.719999999999999</v>
      </c>
      <c r="AV1286">
        <f t="shared" si="327"/>
        <v>0.15</v>
      </c>
      <c r="AW1286">
        <f t="shared" si="319"/>
        <v>0.62250000000000005</v>
      </c>
    </row>
    <row r="1287" spans="1:49" x14ac:dyDescent="0.25">
      <c r="A1287" t="s">
        <v>3090</v>
      </c>
      <c r="B1287">
        <v>0</v>
      </c>
      <c r="C1287">
        <v>27.8</v>
      </c>
      <c r="E1287" t="s">
        <v>3090</v>
      </c>
      <c r="F1287">
        <v>0.45</v>
      </c>
      <c r="G1287">
        <v>101.3</v>
      </c>
      <c r="I1287" t="str" cm="1">
        <f t="array" ref="I1287:J1287">_xlfn.TEXTSPLIT(A1287," ")</f>
        <v>27.10.2023</v>
      </c>
      <c r="J1287" t="str">
        <v>21:27:07</v>
      </c>
      <c r="K1287">
        <f t="shared" si="328"/>
        <v>21.400000000000066</v>
      </c>
      <c r="L1287">
        <f t="shared" si="321"/>
        <v>13.48</v>
      </c>
      <c r="M1287">
        <f t="shared" si="322"/>
        <v>0</v>
      </c>
      <c r="N1287">
        <f t="shared" si="316"/>
        <v>0.59250000000000003</v>
      </c>
      <c r="Q1287" t="str" cm="1">
        <f t="array" ref="Q1287:R1287">_xlfn.TEXTSPLIT(E1287," ")</f>
        <v>27.10.2023</v>
      </c>
      <c r="R1287" t="str">
        <v>21:27:07</v>
      </c>
      <c r="S1287">
        <f t="shared" si="329"/>
        <v>21.400000000000066</v>
      </c>
      <c r="T1287">
        <f t="shared" si="320"/>
        <v>22.700000000000003</v>
      </c>
      <c r="U1287">
        <f t="shared" si="323"/>
        <v>0.45</v>
      </c>
      <c r="V1287">
        <f t="shared" si="317"/>
        <v>1.0725</v>
      </c>
      <c r="AC1287" t="s">
        <v>3091</v>
      </c>
      <c r="AD1287">
        <v>0</v>
      </c>
      <c r="AE1287">
        <v>13.36</v>
      </c>
      <c r="AG1287" t="str" cm="1">
        <f t="array" ref="AG1287:AH1287">_xlfn.TEXTSPLIT(AC1288," ")</f>
        <v>26.10.2023</v>
      </c>
      <c r="AH1287" t="str">
        <v>21:28:18</v>
      </c>
      <c r="AI1287">
        <f t="shared" si="330"/>
        <v>21.400000000000066</v>
      </c>
      <c r="AJ1287">
        <f t="shared" si="324"/>
        <v>8.8299999999999983</v>
      </c>
      <c r="AK1287">
        <f t="shared" si="325"/>
        <v>0</v>
      </c>
      <c r="AL1287">
        <f t="shared" si="318"/>
        <v>0.38750000000000018</v>
      </c>
      <c r="AN1287" t="s">
        <v>3091</v>
      </c>
      <c r="AO1287">
        <v>0</v>
      </c>
      <c r="AP1287">
        <v>77.040000000000006</v>
      </c>
      <c r="AR1287" t="str" cm="1">
        <f t="array" ref="AR1287:AS1287">_xlfn.TEXTSPLIT(AN1287," ")</f>
        <v>26.10.2023</v>
      </c>
      <c r="AS1287" t="str">
        <v>21:27:18</v>
      </c>
      <c r="AT1287">
        <f t="shared" si="331"/>
        <v>21.400000000000066</v>
      </c>
      <c r="AU1287">
        <f t="shared" si="326"/>
        <v>15.730000000000004</v>
      </c>
      <c r="AV1287">
        <f t="shared" si="327"/>
        <v>0</v>
      </c>
      <c r="AW1287">
        <f t="shared" si="319"/>
        <v>0.62</v>
      </c>
    </row>
    <row r="1288" spans="1:49" x14ac:dyDescent="0.25">
      <c r="A1288" t="s">
        <v>3092</v>
      </c>
      <c r="B1288">
        <v>0.3</v>
      </c>
      <c r="C1288">
        <v>27.8</v>
      </c>
      <c r="E1288" t="s">
        <v>3092</v>
      </c>
      <c r="F1288">
        <v>0.75</v>
      </c>
      <c r="G1288">
        <v>101.31</v>
      </c>
      <c r="I1288" t="str" cm="1">
        <f t="array" ref="I1288:J1288">_xlfn.TEXTSPLIT(A1288," ")</f>
        <v>27.10.2023</v>
      </c>
      <c r="J1288" t="str">
        <v>21:28:07</v>
      </c>
      <c r="K1288">
        <f t="shared" si="328"/>
        <v>21.416666666666732</v>
      </c>
      <c r="L1288">
        <f t="shared" si="321"/>
        <v>13.48</v>
      </c>
      <c r="M1288">
        <f t="shared" si="322"/>
        <v>0.3</v>
      </c>
      <c r="N1288">
        <f t="shared" si="316"/>
        <v>0.59750000000000003</v>
      </c>
      <c r="Q1288" t="str" cm="1">
        <f t="array" ref="Q1288:R1288">_xlfn.TEXTSPLIT(E1288," ")</f>
        <v>27.10.2023</v>
      </c>
      <c r="R1288" t="str">
        <v>21:28:07</v>
      </c>
      <c r="S1288">
        <f t="shared" si="329"/>
        <v>21.416666666666732</v>
      </c>
      <c r="T1288">
        <f t="shared" si="320"/>
        <v>22.710000000000008</v>
      </c>
      <c r="U1288">
        <f t="shared" si="323"/>
        <v>0.75</v>
      </c>
      <c r="V1288">
        <f t="shared" si="317"/>
        <v>1.0725</v>
      </c>
      <c r="AC1288" t="s">
        <v>3093</v>
      </c>
      <c r="AD1288">
        <v>0</v>
      </c>
      <c r="AE1288">
        <v>13.36</v>
      </c>
      <c r="AG1288" t="str" cm="1">
        <f t="array" ref="AG1288:AH1288">_xlfn.TEXTSPLIT(AC1289," ")</f>
        <v>26.10.2023</v>
      </c>
      <c r="AH1288" t="str">
        <v>21:29:18</v>
      </c>
      <c r="AI1288">
        <f t="shared" si="330"/>
        <v>21.416666666666732</v>
      </c>
      <c r="AJ1288">
        <f t="shared" si="324"/>
        <v>8.8299999999999983</v>
      </c>
      <c r="AK1288">
        <f t="shared" si="325"/>
        <v>0</v>
      </c>
      <c r="AL1288">
        <f t="shared" si="318"/>
        <v>0.38750000000000018</v>
      </c>
      <c r="AN1288" t="s">
        <v>3093</v>
      </c>
      <c r="AO1288">
        <v>0.15</v>
      </c>
      <c r="AP1288">
        <v>77.040000000000006</v>
      </c>
      <c r="AR1288" t="str" cm="1">
        <f t="array" ref="AR1288:AS1288">_xlfn.TEXTSPLIT(AN1288," ")</f>
        <v>26.10.2023</v>
      </c>
      <c r="AS1288" t="str">
        <v>21:28:18</v>
      </c>
      <c r="AT1288">
        <f t="shared" si="331"/>
        <v>21.416666666666732</v>
      </c>
      <c r="AU1288">
        <f t="shared" si="326"/>
        <v>15.730000000000004</v>
      </c>
      <c r="AV1288">
        <f t="shared" si="327"/>
        <v>0.15</v>
      </c>
      <c r="AW1288">
        <f t="shared" si="319"/>
        <v>0.61750000000000005</v>
      </c>
    </row>
    <row r="1289" spans="1:49" x14ac:dyDescent="0.25">
      <c r="A1289" t="s">
        <v>3094</v>
      </c>
      <c r="B1289">
        <v>0.15</v>
      </c>
      <c r="C1289">
        <v>27.8</v>
      </c>
      <c r="E1289" t="s">
        <v>3094</v>
      </c>
      <c r="F1289">
        <v>0.9</v>
      </c>
      <c r="G1289">
        <v>101.33</v>
      </c>
      <c r="I1289" t="str" cm="1">
        <f t="array" ref="I1289:J1289">_xlfn.TEXTSPLIT(A1289," ")</f>
        <v>27.10.2023</v>
      </c>
      <c r="J1289" t="str">
        <v>21:29:07</v>
      </c>
      <c r="K1289">
        <f t="shared" si="328"/>
        <v>21.433333333333398</v>
      </c>
      <c r="L1289">
        <f t="shared" si="321"/>
        <v>13.48</v>
      </c>
      <c r="M1289">
        <f t="shared" si="322"/>
        <v>0.15</v>
      </c>
      <c r="N1289">
        <f t="shared" si="316"/>
        <v>0.59500000000000008</v>
      </c>
      <c r="Q1289" t="str" cm="1">
        <f t="array" ref="Q1289:R1289">_xlfn.TEXTSPLIT(E1289," ")</f>
        <v>27.10.2023</v>
      </c>
      <c r="R1289" t="str">
        <v>21:29:07</v>
      </c>
      <c r="S1289">
        <f t="shared" si="329"/>
        <v>21.433333333333398</v>
      </c>
      <c r="T1289">
        <f t="shared" si="320"/>
        <v>22.730000000000004</v>
      </c>
      <c r="U1289">
        <f t="shared" si="323"/>
        <v>0.9</v>
      </c>
      <c r="V1289">
        <f t="shared" si="317"/>
        <v>1.0725000000000002</v>
      </c>
      <c r="AC1289" t="s">
        <v>3095</v>
      </c>
      <c r="AD1289">
        <v>0</v>
      </c>
      <c r="AE1289">
        <v>13.36</v>
      </c>
      <c r="AG1289" t="str" cm="1">
        <f t="array" ref="AG1289:AH1289">_xlfn.TEXTSPLIT(AC1290," ")</f>
        <v>26.10.2023</v>
      </c>
      <c r="AH1289" t="str">
        <v>21:30:19</v>
      </c>
      <c r="AI1289">
        <f t="shared" si="330"/>
        <v>21.433333333333398</v>
      </c>
      <c r="AJ1289">
        <f t="shared" si="324"/>
        <v>8.8299999999999983</v>
      </c>
      <c r="AK1289">
        <f t="shared" si="325"/>
        <v>0</v>
      </c>
      <c r="AL1289">
        <f t="shared" si="318"/>
        <v>0.38750000000000018</v>
      </c>
      <c r="AN1289" t="s">
        <v>3095</v>
      </c>
      <c r="AO1289">
        <v>0.45</v>
      </c>
      <c r="AP1289">
        <v>77.05</v>
      </c>
      <c r="AR1289" t="str" cm="1">
        <f t="array" ref="AR1289:AS1289">_xlfn.TEXTSPLIT(AN1289," ")</f>
        <v>26.10.2023</v>
      </c>
      <c r="AS1289" t="str">
        <v>21:29:18</v>
      </c>
      <c r="AT1289">
        <f t="shared" si="331"/>
        <v>21.433333333333398</v>
      </c>
      <c r="AU1289">
        <f t="shared" si="326"/>
        <v>15.739999999999995</v>
      </c>
      <c r="AV1289">
        <f t="shared" si="327"/>
        <v>0.45</v>
      </c>
      <c r="AW1289">
        <f t="shared" si="319"/>
        <v>0.62</v>
      </c>
    </row>
    <row r="1290" spans="1:49" x14ac:dyDescent="0.25">
      <c r="A1290" t="s">
        <v>3096</v>
      </c>
      <c r="B1290">
        <v>0.6</v>
      </c>
      <c r="C1290">
        <v>27.81</v>
      </c>
      <c r="E1290" t="s">
        <v>3096</v>
      </c>
      <c r="F1290">
        <v>1.65</v>
      </c>
      <c r="G1290">
        <v>101.36</v>
      </c>
      <c r="I1290" t="str" cm="1">
        <f t="array" ref="I1290:J1290">_xlfn.TEXTSPLIT(A1290," ")</f>
        <v>27.10.2023</v>
      </c>
      <c r="J1290" t="str">
        <v>21:30:07</v>
      </c>
      <c r="K1290">
        <f t="shared" si="328"/>
        <v>21.450000000000063</v>
      </c>
      <c r="L1290">
        <f t="shared" si="321"/>
        <v>13.489999999999998</v>
      </c>
      <c r="M1290">
        <f t="shared" si="322"/>
        <v>0.6</v>
      </c>
      <c r="N1290">
        <f t="shared" si="316"/>
        <v>0.60000000000000009</v>
      </c>
      <c r="Q1290" t="str" cm="1">
        <f t="array" ref="Q1290:R1290">_xlfn.TEXTSPLIT(E1290," ")</f>
        <v>27.10.2023</v>
      </c>
      <c r="R1290" t="str">
        <v>21:30:07</v>
      </c>
      <c r="S1290">
        <f t="shared" si="329"/>
        <v>21.450000000000063</v>
      </c>
      <c r="T1290">
        <f t="shared" si="320"/>
        <v>22.760000000000005</v>
      </c>
      <c r="U1290">
        <f t="shared" si="323"/>
        <v>1.65</v>
      </c>
      <c r="V1290">
        <f t="shared" si="317"/>
        <v>1.0850000000000002</v>
      </c>
      <c r="AC1290" t="s">
        <v>3097</v>
      </c>
      <c r="AD1290">
        <v>0</v>
      </c>
      <c r="AE1290">
        <v>13.36</v>
      </c>
      <c r="AG1290" t="str" cm="1">
        <f t="array" ref="AG1290:AH1290">_xlfn.TEXTSPLIT(AC1291," ")</f>
        <v>26.10.2023</v>
      </c>
      <c r="AH1290" t="str">
        <v>21:31:19</v>
      </c>
      <c r="AI1290">
        <f t="shared" si="330"/>
        <v>21.450000000000063</v>
      </c>
      <c r="AJ1290">
        <f t="shared" si="324"/>
        <v>8.8299999999999983</v>
      </c>
      <c r="AK1290">
        <f t="shared" si="325"/>
        <v>0</v>
      </c>
      <c r="AL1290">
        <f t="shared" si="318"/>
        <v>0.38750000000000018</v>
      </c>
      <c r="AN1290" t="s">
        <v>3097</v>
      </c>
      <c r="AO1290">
        <v>0.3</v>
      </c>
      <c r="AP1290">
        <v>77.05</v>
      </c>
      <c r="AR1290" t="str" cm="1">
        <f t="array" ref="AR1290:AS1290">_xlfn.TEXTSPLIT(AN1290," ")</f>
        <v>26.10.2023</v>
      </c>
      <c r="AS1290" t="str">
        <v>21:30:19</v>
      </c>
      <c r="AT1290">
        <f t="shared" si="331"/>
        <v>21.450000000000063</v>
      </c>
      <c r="AU1290">
        <f t="shared" si="326"/>
        <v>15.739999999999995</v>
      </c>
      <c r="AV1290">
        <f t="shared" si="327"/>
        <v>0.3</v>
      </c>
      <c r="AW1290">
        <f t="shared" si="319"/>
        <v>0.62</v>
      </c>
    </row>
    <row r="1291" spans="1:49" x14ac:dyDescent="0.25">
      <c r="A1291" t="s">
        <v>3098</v>
      </c>
      <c r="B1291">
        <v>0.6</v>
      </c>
      <c r="C1291">
        <v>27.82</v>
      </c>
      <c r="E1291" t="s">
        <v>3098</v>
      </c>
      <c r="F1291">
        <v>0.75</v>
      </c>
      <c r="G1291">
        <v>101.37</v>
      </c>
      <c r="I1291" t="str" cm="1">
        <f t="array" ref="I1291:J1291">_xlfn.TEXTSPLIT(A1291," ")</f>
        <v>27.10.2023</v>
      </c>
      <c r="J1291" t="str">
        <v>21:31:07</v>
      </c>
      <c r="K1291">
        <f t="shared" si="328"/>
        <v>21.466666666666729</v>
      </c>
      <c r="L1291">
        <f t="shared" si="321"/>
        <v>13.5</v>
      </c>
      <c r="M1291">
        <f t="shared" si="322"/>
        <v>0.6</v>
      </c>
      <c r="N1291">
        <f t="shared" si="316"/>
        <v>0.60250000000000015</v>
      </c>
      <c r="Q1291" t="str" cm="1">
        <f t="array" ref="Q1291:R1291">_xlfn.TEXTSPLIT(E1291," ")</f>
        <v>27.10.2023</v>
      </c>
      <c r="R1291" t="str">
        <v>21:31:07</v>
      </c>
      <c r="S1291">
        <f t="shared" si="329"/>
        <v>21.466666666666729</v>
      </c>
      <c r="T1291">
        <f t="shared" si="320"/>
        <v>22.77000000000001</v>
      </c>
      <c r="U1291">
        <f t="shared" si="323"/>
        <v>0.75</v>
      </c>
      <c r="V1291">
        <f t="shared" si="317"/>
        <v>1.0825</v>
      </c>
      <c r="AC1291" t="s">
        <v>3099</v>
      </c>
      <c r="AD1291">
        <v>0</v>
      </c>
      <c r="AE1291">
        <v>13.36</v>
      </c>
      <c r="AG1291" t="str" cm="1">
        <f t="array" ref="AG1291:AH1291">_xlfn.TEXTSPLIT(AC1292," ")</f>
        <v>26.10.2023</v>
      </c>
      <c r="AH1291" t="str">
        <v>21:32:19</v>
      </c>
      <c r="AI1291">
        <f t="shared" si="330"/>
        <v>21.466666666666729</v>
      </c>
      <c r="AJ1291">
        <f t="shared" si="324"/>
        <v>8.8299999999999983</v>
      </c>
      <c r="AK1291">
        <f t="shared" si="325"/>
        <v>0</v>
      </c>
      <c r="AL1291">
        <f t="shared" si="318"/>
        <v>0.38750000000000018</v>
      </c>
      <c r="AN1291" t="s">
        <v>3099</v>
      </c>
      <c r="AO1291">
        <v>0.45</v>
      </c>
      <c r="AP1291">
        <v>77.06</v>
      </c>
      <c r="AR1291" t="str" cm="1">
        <f t="array" ref="AR1291:AS1291">_xlfn.TEXTSPLIT(AN1291," ")</f>
        <v>26.10.2023</v>
      </c>
      <c r="AS1291" t="str">
        <v>21:31:19</v>
      </c>
      <c r="AT1291">
        <f t="shared" si="331"/>
        <v>21.466666666666729</v>
      </c>
      <c r="AU1291">
        <f t="shared" si="326"/>
        <v>15.75</v>
      </c>
      <c r="AV1291">
        <f t="shared" si="327"/>
        <v>0.45</v>
      </c>
      <c r="AW1291">
        <f t="shared" si="319"/>
        <v>0.62250000000000005</v>
      </c>
    </row>
    <row r="1292" spans="1:49" x14ac:dyDescent="0.25">
      <c r="A1292" t="s">
        <v>3100</v>
      </c>
      <c r="B1292">
        <v>0.45</v>
      </c>
      <c r="C1292">
        <v>27.83</v>
      </c>
      <c r="E1292" t="s">
        <v>3100</v>
      </c>
      <c r="F1292">
        <v>0.75</v>
      </c>
      <c r="G1292">
        <v>101.38</v>
      </c>
      <c r="I1292" t="str" cm="1">
        <f t="array" ref="I1292:J1292">_xlfn.TEXTSPLIT(A1292," ")</f>
        <v>27.10.2023</v>
      </c>
      <c r="J1292" t="str">
        <v>21:32:07</v>
      </c>
      <c r="K1292">
        <f t="shared" si="328"/>
        <v>21.483333333333395</v>
      </c>
      <c r="L1292">
        <f t="shared" si="321"/>
        <v>13.509999999999998</v>
      </c>
      <c r="M1292">
        <f t="shared" si="322"/>
        <v>0.45</v>
      </c>
      <c r="N1292">
        <f t="shared" si="316"/>
        <v>0.60500000000000009</v>
      </c>
      <c r="Q1292" t="str" cm="1">
        <f t="array" ref="Q1292:R1292">_xlfn.TEXTSPLIT(E1292," ")</f>
        <v>27.10.2023</v>
      </c>
      <c r="R1292" t="str">
        <v>21:32:07</v>
      </c>
      <c r="S1292">
        <f t="shared" si="329"/>
        <v>21.483333333333395</v>
      </c>
      <c r="T1292">
        <f t="shared" si="320"/>
        <v>22.78</v>
      </c>
      <c r="U1292">
        <f t="shared" si="323"/>
        <v>0.75</v>
      </c>
      <c r="V1292">
        <f t="shared" si="317"/>
        <v>1.0825</v>
      </c>
      <c r="AC1292" t="s">
        <v>3101</v>
      </c>
      <c r="AD1292">
        <v>0</v>
      </c>
      <c r="AE1292">
        <v>13.36</v>
      </c>
      <c r="AG1292" t="str" cm="1">
        <f t="array" ref="AG1292:AH1292">_xlfn.TEXTSPLIT(AC1293," ")</f>
        <v>26.10.2023</v>
      </c>
      <c r="AH1292" t="str">
        <v>21:33:19</v>
      </c>
      <c r="AI1292">
        <f t="shared" si="330"/>
        <v>21.483333333333395</v>
      </c>
      <c r="AJ1292">
        <f t="shared" si="324"/>
        <v>8.8299999999999983</v>
      </c>
      <c r="AK1292">
        <f t="shared" si="325"/>
        <v>0</v>
      </c>
      <c r="AL1292">
        <f t="shared" si="318"/>
        <v>0.38750000000000018</v>
      </c>
      <c r="AN1292" t="s">
        <v>3101</v>
      </c>
      <c r="AO1292">
        <v>0.3</v>
      </c>
      <c r="AP1292">
        <v>77.06</v>
      </c>
      <c r="AR1292" t="str" cm="1">
        <f t="array" ref="AR1292:AS1292">_xlfn.TEXTSPLIT(AN1292," ")</f>
        <v>26.10.2023</v>
      </c>
      <c r="AS1292" t="str">
        <v>21:32:19</v>
      </c>
      <c r="AT1292">
        <f t="shared" si="331"/>
        <v>21.483333333333395</v>
      </c>
      <c r="AU1292">
        <f t="shared" si="326"/>
        <v>15.75</v>
      </c>
      <c r="AV1292">
        <f t="shared" si="327"/>
        <v>0.3</v>
      </c>
      <c r="AW1292">
        <f t="shared" si="319"/>
        <v>0.61749999999999994</v>
      </c>
    </row>
    <row r="1293" spans="1:49" x14ac:dyDescent="0.25">
      <c r="A1293" t="s">
        <v>3102</v>
      </c>
      <c r="B1293">
        <v>0.3</v>
      </c>
      <c r="C1293">
        <v>27.84</v>
      </c>
      <c r="E1293" t="s">
        <v>3102</v>
      </c>
      <c r="F1293">
        <v>0.75</v>
      </c>
      <c r="G1293">
        <v>101.39</v>
      </c>
      <c r="I1293" t="str" cm="1">
        <f t="array" ref="I1293:J1293">_xlfn.TEXTSPLIT(A1293," ")</f>
        <v>27.10.2023</v>
      </c>
      <c r="J1293" t="str">
        <v>21:33:07</v>
      </c>
      <c r="K1293">
        <f t="shared" si="328"/>
        <v>21.50000000000006</v>
      </c>
      <c r="L1293">
        <f t="shared" si="321"/>
        <v>13.52</v>
      </c>
      <c r="M1293">
        <f t="shared" si="322"/>
        <v>0.3</v>
      </c>
      <c r="N1293">
        <f t="shared" si="316"/>
        <v>0.60250000000000015</v>
      </c>
      <c r="Q1293" t="str" cm="1">
        <f t="array" ref="Q1293:R1293">_xlfn.TEXTSPLIT(E1293," ")</f>
        <v>27.10.2023</v>
      </c>
      <c r="R1293" t="str">
        <v>21:33:07</v>
      </c>
      <c r="S1293">
        <f t="shared" si="329"/>
        <v>21.50000000000006</v>
      </c>
      <c r="T1293">
        <f t="shared" si="320"/>
        <v>22.790000000000006</v>
      </c>
      <c r="U1293">
        <f t="shared" si="323"/>
        <v>0.75</v>
      </c>
      <c r="V1293">
        <f t="shared" si="317"/>
        <v>1.0850000000000002</v>
      </c>
      <c r="AC1293" t="s">
        <v>3103</v>
      </c>
      <c r="AD1293">
        <v>0</v>
      </c>
      <c r="AE1293">
        <v>13.36</v>
      </c>
      <c r="AG1293" t="str" cm="1">
        <f t="array" ref="AG1293:AH1293">_xlfn.TEXTSPLIT(AC1294," ")</f>
        <v>26.10.2023</v>
      </c>
      <c r="AH1293" t="str">
        <v>21:34:19</v>
      </c>
      <c r="AI1293">
        <f t="shared" si="330"/>
        <v>21.50000000000006</v>
      </c>
      <c r="AJ1293">
        <f t="shared" si="324"/>
        <v>8.8299999999999983</v>
      </c>
      <c r="AK1293">
        <f t="shared" si="325"/>
        <v>0</v>
      </c>
      <c r="AL1293">
        <f t="shared" si="318"/>
        <v>0.38750000000000018</v>
      </c>
      <c r="AN1293" t="s">
        <v>3103</v>
      </c>
      <c r="AO1293">
        <v>0.45</v>
      </c>
      <c r="AP1293">
        <v>77.069999999999993</v>
      </c>
      <c r="AR1293" t="str" cm="1">
        <f t="array" ref="AR1293:AS1293">_xlfn.TEXTSPLIT(AN1293," ")</f>
        <v>26.10.2023</v>
      </c>
      <c r="AS1293" t="str">
        <v>21:33:19</v>
      </c>
      <c r="AT1293">
        <f t="shared" si="331"/>
        <v>21.50000000000006</v>
      </c>
      <c r="AU1293">
        <f t="shared" si="326"/>
        <v>15.759999999999991</v>
      </c>
      <c r="AV1293">
        <f t="shared" si="327"/>
        <v>0.45</v>
      </c>
      <c r="AW1293">
        <f t="shared" si="319"/>
        <v>0.6150000000000001</v>
      </c>
    </row>
    <row r="1294" spans="1:49" x14ac:dyDescent="0.25">
      <c r="A1294" t="s">
        <v>3104</v>
      </c>
      <c r="B1294">
        <v>0.45</v>
      </c>
      <c r="C1294">
        <v>27.84</v>
      </c>
      <c r="E1294" t="s">
        <v>3104</v>
      </c>
      <c r="F1294">
        <v>0.75</v>
      </c>
      <c r="G1294">
        <v>101.41</v>
      </c>
      <c r="I1294" t="str" cm="1">
        <f t="array" ref="I1294:J1294">_xlfn.TEXTSPLIT(A1294," ")</f>
        <v>27.10.2023</v>
      </c>
      <c r="J1294" t="str">
        <v>21:34:08</v>
      </c>
      <c r="K1294">
        <f t="shared" si="328"/>
        <v>21.516666666666726</v>
      </c>
      <c r="L1294">
        <f t="shared" si="321"/>
        <v>13.52</v>
      </c>
      <c r="M1294">
        <f t="shared" si="322"/>
        <v>0.45</v>
      </c>
      <c r="N1294">
        <f t="shared" si="316"/>
        <v>0.60250000000000015</v>
      </c>
      <c r="Q1294" t="str" cm="1">
        <f t="array" ref="Q1294:R1294">_xlfn.TEXTSPLIT(E1294," ")</f>
        <v>27.10.2023</v>
      </c>
      <c r="R1294" t="str">
        <v>21:34:08</v>
      </c>
      <c r="S1294">
        <f t="shared" si="329"/>
        <v>21.516666666666726</v>
      </c>
      <c r="T1294">
        <f t="shared" si="320"/>
        <v>22.810000000000002</v>
      </c>
      <c r="U1294">
        <f t="shared" si="323"/>
        <v>0.75</v>
      </c>
      <c r="V1294">
        <f t="shared" si="317"/>
        <v>1.0825</v>
      </c>
      <c r="AC1294" t="s">
        <v>3105</v>
      </c>
      <c r="AD1294">
        <v>0</v>
      </c>
      <c r="AE1294">
        <v>13.36</v>
      </c>
      <c r="AG1294" t="str" cm="1">
        <f t="array" ref="AG1294:AH1294">_xlfn.TEXTSPLIT(AC1295," ")</f>
        <v>26.10.2023</v>
      </c>
      <c r="AH1294" t="str">
        <v>21:35:19</v>
      </c>
      <c r="AI1294">
        <f t="shared" si="330"/>
        <v>21.516666666666726</v>
      </c>
      <c r="AJ1294">
        <f t="shared" si="324"/>
        <v>8.8299999999999983</v>
      </c>
      <c r="AK1294">
        <f t="shared" si="325"/>
        <v>0</v>
      </c>
      <c r="AL1294">
        <f t="shared" si="318"/>
        <v>0.38750000000000018</v>
      </c>
      <c r="AN1294" t="s">
        <v>3105</v>
      </c>
      <c r="AO1294">
        <v>0.45</v>
      </c>
      <c r="AP1294">
        <v>77.08</v>
      </c>
      <c r="AR1294" t="str" cm="1">
        <f t="array" ref="AR1294:AS1294">_xlfn.TEXTSPLIT(AN1294," ")</f>
        <v>26.10.2023</v>
      </c>
      <c r="AS1294" t="str">
        <v>21:34:19</v>
      </c>
      <c r="AT1294">
        <f t="shared" si="331"/>
        <v>21.516666666666726</v>
      </c>
      <c r="AU1294">
        <f t="shared" si="326"/>
        <v>15.769999999999996</v>
      </c>
      <c r="AV1294">
        <f t="shared" si="327"/>
        <v>0.45</v>
      </c>
      <c r="AW1294">
        <f t="shared" si="319"/>
        <v>0.61250000000000004</v>
      </c>
    </row>
    <row r="1295" spans="1:49" x14ac:dyDescent="0.25">
      <c r="A1295" t="s">
        <v>3106</v>
      </c>
      <c r="B1295">
        <v>0.45</v>
      </c>
      <c r="C1295">
        <v>27.85</v>
      </c>
      <c r="E1295" t="s">
        <v>3106</v>
      </c>
      <c r="F1295">
        <v>0.75</v>
      </c>
      <c r="G1295">
        <v>101.42</v>
      </c>
      <c r="I1295" t="str" cm="1">
        <f t="array" ref="I1295:J1295">_xlfn.TEXTSPLIT(A1295," ")</f>
        <v>27.10.2023</v>
      </c>
      <c r="J1295" t="str">
        <v>21:35:08</v>
      </c>
      <c r="K1295">
        <f t="shared" si="328"/>
        <v>21.533333333333392</v>
      </c>
      <c r="L1295">
        <f t="shared" si="321"/>
        <v>13.530000000000001</v>
      </c>
      <c r="M1295">
        <f t="shared" si="322"/>
        <v>0.45</v>
      </c>
      <c r="N1295">
        <f t="shared" si="316"/>
        <v>0.6050000000000002</v>
      </c>
      <c r="Q1295" t="str" cm="1">
        <f t="array" ref="Q1295:R1295">_xlfn.TEXTSPLIT(E1295," ")</f>
        <v>27.10.2023</v>
      </c>
      <c r="R1295" t="str">
        <v>21:35:08</v>
      </c>
      <c r="S1295">
        <f t="shared" si="329"/>
        <v>21.533333333333392</v>
      </c>
      <c r="T1295">
        <f t="shared" si="320"/>
        <v>22.820000000000007</v>
      </c>
      <c r="U1295">
        <f t="shared" si="323"/>
        <v>0.75</v>
      </c>
      <c r="V1295">
        <f t="shared" si="317"/>
        <v>1.075</v>
      </c>
      <c r="AC1295" t="s">
        <v>3107</v>
      </c>
      <c r="AD1295">
        <v>0</v>
      </c>
      <c r="AE1295">
        <v>13.36</v>
      </c>
      <c r="AG1295" t="str" cm="1">
        <f t="array" ref="AG1295:AH1295">_xlfn.TEXTSPLIT(AC1296," ")</f>
        <v>26.10.2023</v>
      </c>
      <c r="AH1295" t="str">
        <v>21:36:19</v>
      </c>
      <c r="AI1295">
        <f t="shared" si="330"/>
        <v>21.533333333333392</v>
      </c>
      <c r="AJ1295">
        <f t="shared" si="324"/>
        <v>8.8299999999999983</v>
      </c>
      <c r="AK1295">
        <f t="shared" si="325"/>
        <v>0</v>
      </c>
      <c r="AL1295">
        <f t="shared" si="318"/>
        <v>0.38750000000000018</v>
      </c>
      <c r="AN1295" t="s">
        <v>3107</v>
      </c>
      <c r="AO1295">
        <v>0.45</v>
      </c>
      <c r="AP1295">
        <v>77.09</v>
      </c>
      <c r="AR1295" t="str" cm="1">
        <f t="array" ref="AR1295:AS1295">_xlfn.TEXTSPLIT(AN1295," ")</f>
        <v>26.10.2023</v>
      </c>
      <c r="AS1295" t="str">
        <v>21:35:19</v>
      </c>
      <c r="AT1295">
        <f t="shared" si="331"/>
        <v>21.533333333333392</v>
      </c>
      <c r="AU1295">
        <f t="shared" si="326"/>
        <v>15.780000000000001</v>
      </c>
      <c r="AV1295">
        <f t="shared" si="327"/>
        <v>0.45</v>
      </c>
      <c r="AW1295">
        <f t="shared" si="319"/>
        <v>0.61250000000000004</v>
      </c>
    </row>
    <row r="1296" spans="1:49" x14ac:dyDescent="0.25">
      <c r="A1296" t="s">
        <v>3108</v>
      </c>
      <c r="B1296">
        <v>0.45</v>
      </c>
      <c r="C1296">
        <v>27.86</v>
      </c>
      <c r="E1296" t="s">
        <v>3108</v>
      </c>
      <c r="F1296">
        <v>2.4</v>
      </c>
      <c r="G1296">
        <v>101.46</v>
      </c>
      <c r="I1296" t="str" cm="1">
        <f t="array" ref="I1296:J1296">_xlfn.TEXTSPLIT(A1296," ")</f>
        <v>27.10.2023</v>
      </c>
      <c r="J1296" t="str">
        <v>21:36:08</v>
      </c>
      <c r="K1296">
        <f t="shared" si="328"/>
        <v>21.550000000000058</v>
      </c>
      <c r="L1296">
        <f t="shared" si="321"/>
        <v>13.54</v>
      </c>
      <c r="M1296">
        <f t="shared" si="322"/>
        <v>0.45</v>
      </c>
      <c r="N1296">
        <f t="shared" si="316"/>
        <v>0.61000000000000021</v>
      </c>
      <c r="Q1296" t="str" cm="1">
        <f t="array" ref="Q1296:R1296">_xlfn.TEXTSPLIT(E1296," ")</f>
        <v>27.10.2023</v>
      </c>
      <c r="R1296" t="str">
        <v>21:36:08</v>
      </c>
      <c r="S1296">
        <f t="shared" si="329"/>
        <v>21.550000000000058</v>
      </c>
      <c r="T1296">
        <f t="shared" si="320"/>
        <v>22.86</v>
      </c>
      <c r="U1296">
        <f t="shared" si="323"/>
        <v>2.4</v>
      </c>
      <c r="V1296">
        <f t="shared" si="317"/>
        <v>1.0700000000000003</v>
      </c>
      <c r="AC1296" t="s">
        <v>3109</v>
      </c>
      <c r="AD1296">
        <v>0</v>
      </c>
      <c r="AE1296">
        <v>13.36</v>
      </c>
      <c r="AG1296" t="str" cm="1">
        <f t="array" ref="AG1296:AH1296">_xlfn.TEXTSPLIT(AC1297," ")</f>
        <v>26.10.2023</v>
      </c>
      <c r="AH1296" t="str">
        <v>21:37:19</v>
      </c>
      <c r="AI1296">
        <f t="shared" si="330"/>
        <v>21.550000000000058</v>
      </c>
      <c r="AJ1296">
        <f t="shared" si="324"/>
        <v>8.8299999999999983</v>
      </c>
      <c r="AK1296">
        <f t="shared" si="325"/>
        <v>0</v>
      </c>
      <c r="AL1296">
        <f t="shared" si="318"/>
        <v>0.38500000000000018</v>
      </c>
      <c r="AN1296" t="s">
        <v>3109</v>
      </c>
      <c r="AO1296">
        <v>0.45</v>
      </c>
      <c r="AP1296">
        <v>77.099999999999994</v>
      </c>
      <c r="AR1296" t="str" cm="1">
        <f t="array" ref="AR1296:AS1296">_xlfn.TEXTSPLIT(AN1296," ")</f>
        <v>26.10.2023</v>
      </c>
      <c r="AS1296" t="str">
        <v>21:36:19</v>
      </c>
      <c r="AT1296">
        <f t="shared" si="331"/>
        <v>21.550000000000058</v>
      </c>
      <c r="AU1296">
        <f t="shared" si="326"/>
        <v>15.789999999999992</v>
      </c>
      <c r="AV1296">
        <f t="shared" si="327"/>
        <v>0.45</v>
      </c>
      <c r="AW1296">
        <f t="shared" si="319"/>
        <v>0.61250000000000016</v>
      </c>
    </row>
    <row r="1297" spans="1:49" x14ac:dyDescent="0.25">
      <c r="A1297" t="s">
        <v>3110</v>
      </c>
      <c r="B1297">
        <v>0.6</v>
      </c>
      <c r="C1297">
        <v>27.87</v>
      </c>
      <c r="E1297" t="s">
        <v>3110</v>
      </c>
      <c r="F1297">
        <v>3.15</v>
      </c>
      <c r="G1297">
        <v>101.51</v>
      </c>
      <c r="I1297" t="str" cm="1">
        <f t="array" ref="I1297:J1297">_xlfn.TEXTSPLIT(A1297," ")</f>
        <v>27.10.2023</v>
      </c>
      <c r="J1297" t="str">
        <v>21:37:08</v>
      </c>
      <c r="K1297">
        <f t="shared" si="328"/>
        <v>21.566666666666723</v>
      </c>
      <c r="L1297">
        <f t="shared" si="321"/>
        <v>13.55</v>
      </c>
      <c r="M1297">
        <f t="shared" si="322"/>
        <v>0.6</v>
      </c>
      <c r="N1297">
        <f t="shared" si="316"/>
        <v>0.6100000000000001</v>
      </c>
      <c r="Q1297" t="str" cm="1">
        <f t="array" ref="Q1297:R1297">_xlfn.TEXTSPLIT(E1297," ")</f>
        <v>27.10.2023</v>
      </c>
      <c r="R1297" t="str">
        <v>21:37:08</v>
      </c>
      <c r="S1297">
        <f t="shared" si="329"/>
        <v>21.566666666666723</v>
      </c>
      <c r="T1297">
        <f t="shared" si="320"/>
        <v>22.910000000000011</v>
      </c>
      <c r="U1297">
        <f t="shared" si="323"/>
        <v>3.15</v>
      </c>
      <c r="V1297">
        <f t="shared" si="317"/>
        <v>1.0800000000000003</v>
      </c>
      <c r="AC1297" t="s">
        <v>3111</v>
      </c>
      <c r="AD1297">
        <v>0.15</v>
      </c>
      <c r="AE1297">
        <v>13.36</v>
      </c>
      <c r="AG1297" t="str" cm="1">
        <f t="array" ref="AG1297:AH1297">_xlfn.TEXTSPLIT(AC1298," ")</f>
        <v>26.10.2023</v>
      </c>
      <c r="AH1297" t="str">
        <v>21:38:19</v>
      </c>
      <c r="AI1297">
        <f t="shared" si="330"/>
        <v>21.566666666666723</v>
      </c>
      <c r="AJ1297">
        <f t="shared" si="324"/>
        <v>8.8299999999999983</v>
      </c>
      <c r="AK1297">
        <f t="shared" si="325"/>
        <v>0.15</v>
      </c>
      <c r="AL1297">
        <f t="shared" si="318"/>
        <v>0.38250000000000017</v>
      </c>
      <c r="AN1297" t="s">
        <v>3111</v>
      </c>
      <c r="AO1297">
        <v>1.5</v>
      </c>
      <c r="AP1297">
        <v>77.13</v>
      </c>
      <c r="AR1297" t="str" cm="1">
        <f t="array" ref="AR1297:AS1297">_xlfn.TEXTSPLIT(AN1297," ")</f>
        <v>26.10.2023</v>
      </c>
      <c r="AS1297" t="str">
        <v>21:37:19</v>
      </c>
      <c r="AT1297">
        <f t="shared" si="331"/>
        <v>21.566666666666723</v>
      </c>
      <c r="AU1297">
        <f t="shared" si="326"/>
        <v>15.819999999999993</v>
      </c>
      <c r="AV1297">
        <f t="shared" si="327"/>
        <v>1.5</v>
      </c>
      <c r="AW1297">
        <f t="shared" si="319"/>
        <v>0.61750000000000027</v>
      </c>
    </row>
    <row r="1298" spans="1:49" x14ac:dyDescent="0.25">
      <c r="A1298" t="s">
        <v>3112</v>
      </c>
      <c r="B1298">
        <v>2.25</v>
      </c>
      <c r="C1298">
        <v>27.91</v>
      </c>
      <c r="E1298" t="s">
        <v>3112</v>
      </c>
      <c r="F1298">
        <v>1.65</v>
      </c>
      <c r="G1298">
        <v>101.54</v>
      </c>
      <c r="I1298" t="str" cm="1">
        <f t="array" ref="I1298:J1298">_xlfn.TEXTSPLIT(A1298," ")</f>
        <v>27.10.2023</v>
      </c>
      <c r="J1298" t="str">
        <v>21:38:08</v>
      </c>
      <c r="K1298">
        <f t="shared" si="328"/>
        <v>21.583333333333389</v>
      </c>
      <c r="L1298">
        <f t="shared" si="321"/>
        <v>13.59</v>
      </c>
      <c r="M1298">
        <f t="shared" si="322"/>
        <v>2.25</v>
      </c>
      <c r="N1298">
        <f t="shared" si="316"/>
        <v>0.6050000000000002</v>
      </c>
      <c r="Q1298" t="str" cm="1">
        <f t="array" ref="Q1298:R1298">_xlfn.TEXTSPLIT(E1298," ")</f>
        <v>27.10.2023</v>
      </c>
      <c r="R1298" t="str">
        <v>21:38:08</v>
      </c>
      <c r="S1298">
        <f t="shared" si="329"/>
        <v>21.583333333333389</v>
      </c>
      <c r="T1298">
        <f t="shared" si="320"/>
        <v>22.940000000000012</v>
      </c>
      <c r="U1298">
        <f t="shared" si="323"/>
        <v>1.65</v>
      </c>
      <c r="V1298">
        <f t="shared" si="317"/>
        <v>1.0700000000000003</v>
      </c>
      <c r="AC1298" t="s">
        <v>3113</v>
      </c>
      <c r="AD1298">
        <v>0.9</v>
      </c>
      <c r="AE1298">
        <v>13.38</v>
      </c>
      <c r="AG1298" t="str" cm="1">
        <f t="array" ref="AG1298:AH1298">_xlfn.TEXTSPLIT(AC1299," ")</f>
        <v>26.10.2023</v>
      </c>
      <c r="AH1298" t="str">
        <v>21:39:19</v>
      </c>
      <c r="AI1298">
        <f t="shared" si="330"/>
        <v>21.583333333333389</v>
      </c>
      <c r="AJ1298">
        <f t="shared" si="324"/>
        <v>8.8500000000000014</v>
      </c>
      <c r="AK1298">
        <f t="shared" si="325"/>
        <v>0.9</v>
      </c>
      <c r="AL1298">
        <f t="shared" si="318"/>
        <v>0.37500000000000011</v>
      </c>
      <c r="AN1298" t="s">
        <v>3113</v>
      </c>
      <c r="AO1298">
        <v>2.25</v>
      </c>
      <c r="AP1298">
        <v>77.17</v>
      </c>
      <c r="AR1298" t="str" cm="1">
        <f t="array" ref="AR1298:AS1298">_xlfn.TEXTSPLIT(AN1298," ")</f>
        <v>26.10.2023</v>
      </c>
      <c r="AS1298" t="str">
        <v>21:38:19</v>
      </c>
      <c r="AT1298">
        <f t="shared" si="331"/>
        <v>21.583333333333389</v>
      </c>
      <c r="AU1298">
        <f t="shared" si="326"/>
        <v>15.86</v>
      </c>
      <c r="AV1298">
        <f t="shared" si="327"/>
        <v>2.25</v>
      </c>
      <c r="AW1298">
        <f t="shared" si="319"/>
        <v>0.62250000000000028</v>
      </c>
    </row>
    <row r="1299" spans="1:49" x14ac:dyDescent="0.25">
      <c r="A1299" t="s">
        <v>3114</v>
      </c>
      <c r="B1299">
        <v>2.1</v>
      </c>
      <c r="C1299">
        <v>27.94</v>
      </c>
      <c r="E1299" t="s">
        <v>3114</v>
      </c>
      <c r="F1299">
        <v>1.5</v>
      </c>
      <c r="G1299">
        <v>101.56</v>
      </c>
      <c r="I1299" t="str" cm="1">
        <f t="array" ref="I1299:J1299">_xlfn.TEXTSPLIT(A1299," ")</f>
        <v>27.10.2023</v>
      </c>
      <c r="J1299" t="str">
        <v>21:39:08</v>
      </c>
      <c r="K1299">
        <f t="shared" si="328"/>
        <v>21.600000000000055</v>
      </c>
      <c r="L1299">
        <f t="shared" si="321"/>
        <v>13.620000000000001</v>
      </c>
      <c r="M1299">
        <f t="shared" si="322"/>
        <v>2.1</v>
      </c>
      <c r="N1299">
        <f t="shared" si="316"/>
        <v>0.6</v>
      </c>
      <c r="Q1299" t="str" cm="1">
        <f t="array" ref="Q1299:R1299">_xlfn.TEXTSPLIT(E1299," ")</f>
        <v>27.10.2023</v>
      </c>
      <c r="R1299" t="str">
        <v>21:39:08</v>
      </c>
      <c r="S1299">
        <f t="shared" si="329"/>
        <v>21.600000000000055</v>
      </c>
      <c r="T1299">
        <f t="shared" si="320"/>
        <v>22.960000000000008</v>
      </c>
      <c r="U1299">
        <f t="shared" si="323"/>
        <v>1.5</v>
      </c>
      <c r="V1299">
        <f t="shared" si="317"/>
        <v>1.0575000000000001</v>
      </c>
      <c r="AC1299" t="s">
        <v>3115</v>
      </c>
      <c r="AD1299">
        <v>1.65</v>
      </c>
      <c r="AE1299">
        <v>13.41</v>
      </c>
      <c r="AG1299" t="str" cm="1">
        <f t="array" ref="AG1299:AH1299">_xlfn.TEXTSPLIT(AC1300," ")</f>
        <v>26.10.2023</v>
      </c>
      <c r="AH1299" t="str">
        <v>21:40:19</v>
      </c>
      <c r="AI1299">
        <f t="shared" si="330"/>
        <v>21.600000000000055</v>
      </c>
      <c r="AJ1299">
        <f t="shared" si="324"/>
        <v>8.879999999999999</v>
      </c>
      <c r="AK1299">
        <f t="shared" si="325"/>
        <v>1.65</v>
      </c>
      <c r="AL1299">
        <f t="shared" si="318"/>
        <v>0.37500000000000006</v>
      </c>
      <c r="AN1299" t="s">
        <v>3115</v>
      </c>
      <c r="AO1299">
        <v>1.8</v>
      </c>
      <c r="AP1299">
        <v>77.2</v>
      </c>
      <c r="AR1299" t="str" cm="1">
        <f t="array" ref="AR1299:AS1299">_xlfn.TEXTSPLIT(AN1299," ")</f>
        <v>26.10.2023</v>
      </c>
      <c r="AS1299" t="str">
        <v>21:39:19</v>
      </c>
      <c r="AT1299">
        <f t="shared" si="331"/>
        <v>21.600000000000055</v>
      </c>
      <c r="AU1299">
        <f t="shared" si="326"/>
        <v>15.89</v>
      </c>
      <c r="AV1299">
        <f t="shared" si="327"/>
        <v>1.8</v>
      </c>
      <c r="AW1299">
        <f t="shared" si="319"/>
        <v>0.61499999999999999</v>
      </c>
    </row>
    <row r="1300" spans="1:49" x14ac:dyDescent="0.25">
      <c r="A1300" t="s">
        <v>3116</v>
      </c>
      <c r="B1300">
        <v>1.8</v>
      </c>
      <c r="C1300">
        <v>27.97</v>
      </c>
      <c r="E1300" t="s">
        <v>3116</v>
      </c>
      <c r="F1300">
        <v>1.65</v>
      </c>
      <c r="G1300">
        <v>101.6</v>
      </c>
      <c r="I1300" t="str" cm="1">
        <f t="array" ref="I1300:J1300">_xlfn.TEXTSPLIT(A1300," ")</f>
        <v>27.10.2023</v>
      </c>
      <c r="J1300" t="str">
        <v>21:40:08</v>
      </c>
      <c r="K1300">
        <f t="shared" si="328"/>
        <v>21.61666666666672</v>
      </c>
      <c r="L1300">
        <f t="shared" si="321"/>
        <v>13.649999999999999</v>
      </c>
      <c r="M1300">
        <f t="shared" si="322"/>
        <v>1.8</v>
      </c>
      <c r="N1300">
        <f t="shared" si="316"/>
        <v>0.61250000000000004</v>
      </c>
      <c r="Q1300" t="str" cm="1">
        <f t="array" ref="Q1300:R1300">_xlfn.TEXTSPLIT(E1300," ")</f>
        <v>27.10.2023</v>
      </c>
      <c r="R1300" t="str">
        <v>21:40:08</v>
      </c>
      <c r="S1300">
        <f t="shared" si="329"/>
        <v>21.61666666666672</v>
      </c>
      <c r="T1300">
        <f t="shared" si="320"/>
        <v>23</v>
      </c>
      <c r="U1300">
        <f t="shared" si="323"/>
        <v>1.65</v>
      </c>
      <c r="V1300">
        <f t="shared" si="317"/>
        <v>1.0650000000000002</v>
      </c>
      <c r="AC1300" t="s">
        <v>3117</v>
      </c>
      <c r="AD1300">
        <v>1.5</v>
      </c>
      <c r="AE1300">
        <v>13.43</v>
      </c>
      <c r="AG1300" t="str" cm="1">
        <f t="array" ref="AG1300:AH1300">_xlfn.TEXTSPLIT(AC1301," ")</f>
        <v>26.10.2023</v>
      </c>
      <c r="AH1300" t="str">
        <v>21:41:20</v>
      </c>
      <c r="AI1300">
        <f t="shared" si="330"/>
        <v>21.61666666666672</v>
      </c>
      <c r="AJ1300">
        <f t="shared" si="324"/>
        <v>8.8999999999999986</v>
      </c>
      <c r="AK1300">
        <f t="shared" si="325"/>
        <v>1.5</v>
      </c>
      <c r="AL1300">
        <f t="shared" si="318"/>
        <v>0.3775</v>
      </c>
      <c r="AN1300" t="s">
        <v>3117</v>
      </c>
      <c r="AO1300">
        <v>1.5</v>
      </c>
      <c r="AP1300">
        <v>77.209999999999994</v>
      </c>
      <c r="AR1300" t="str" cm="1">
        <f t="array" ref="AR1300:AS1300">_xlfn.TEXTSPLIT(AN1300," ")</f>
        <v>26.10.2023</v>
      </c>
      <c r="AS1300" t="str">
        <v>21:40:19</v>
      </c>
      <c r="AT1300">
        <f t="shared" si="331"/>
        <v>21.61666666666672</v>
      </c>
      <c r="AU1300">
        <f t="shared" si="326"/>
        <v>15.899999999999991</v>
      </c>
      <c r="AV1300">
        <f t="shared" si="327"/>
        <v>1.5</v>
      </c>
      <c r="AW1300">
        <f t="shared" si="319"/>
        <v>0.60999999999999988</v>
      </c>
    </row>
    <row r="1301" spans="1:49" x14ac:dyDescent="0.25">
      <c r="A1301" t="s">
        <v>3118</v>
      </c>
      <c r="B1301">
        <v>0.75</v>
      </c>
      <c r="C1301">
        <v>27.98</v>
      </c>
      <c r="E1301" t="s">
        <v>3118</v>
      </c>
      <c r="F1301">
        <v>1.65</v>
      </c>
      <c r="G1301">
        <v>101.62</v>
      </c>
      <c r="I1301" t="str" cm="1">
        <f t="array" ref="I1301:J1301">_xlfn.TEXTSPLIT(A1301," ")</f>
        <v>27.10.2023</v>
      </c>
      <c r="J1301" t="str">
        <v>21:41:08</v>
      </c>
      <c r="K1301">
        <f t="shared" si="328"/>
        <v>21.633333333333386</v>
      </c>
      <c r="L1301">
        <f t="shared" si="321"/>
        <v>13.66</v>
      </c>
      <c r="M1301">
        <f t="shared" si="322"/>
        <v>0.75</v>
      </c>
      <c r="N1301">
        <f t="shared" si="316"/>
        <v>0.60999999999999988</v>
      </c>
      <c r="Q1301" t="str" cm="1">
        <f t="array" ref="Q1301:R1301">_xlfn.TEXTSPLIT(E1301," ")</f>
        <v>27.10.2023</v>
      </c>
      <c r="R1301" t="str">
        <v>21:41:08</v>
      </c>
      <c r="S1301">
        <f t="shared" si="329"/>
        <v>21.633333333333386</v>
      </c>
      <c r="T1301">
        <f t="shared" si="320"/>
        <v>23.02000000000001</v>
      </c>
      <c r="U1301">
        <f t="shared" si="323"/>
        <v>1.65</v>
      </c>
      <c r="V1301">
        <f t="shared" si="317"/>
        <v>1.0775000000000001</v>
      </c>
      <c r="AC1301" t="s">
        <v>3119</v>
      </c>
      <c r="AD1301">
        <v>1.5</v>
      </c>
      <c r="AE1301">
        <v>13.46</v>
      </c>
      <c r="AG1301" t="str" cm="1">
        <f t="array" ref="AG1301:AH1301">_xlfn.TEXTSPLIT(AC1302," ")</f>
        <v>26.10.2023</v>
      </c>
      <c r="AH1301" t="str">
        <v>21:42:20</v>
      </c>
      <c r="AI1301">
        <f t="shared" si="330"/>
        <v>21.633333333333386</v>
      </c>
      <c r="AJ1301">
        <f t="shared" si="324"/>
        <v>8.93</v>
      </c>
      <c r="AK1301">
        <f t="shared" si="325"/>
        <v>1.5</v>
      </c>
      <c r="AL1301">
        <f t="shared" si="318"/>
        <v>0.3775</v>
      </c>
      <c r="AN1301" t="s">
        <v>3119</v>
      </c>
      <c r="AO1301">
        <v>0.75</v>
      </c>
      <c r="AP1301">
        <v>77.23</v>
      </c>
      <c r="AR1301" t="str" cm="1">
        <f t="array" ref="AR1301:AS1301">_xlfn.TEXTSPLIT(AN1301," ")</f>
        <v>26.10.2023</v>
      </c>
      <c r="AS1301" t="str">
        <v>21:41:20</v>
      </c>
      <c r="AT1301">
        <f t="shared" si="331"/>
        <v>21.633333333333386</v>
      </c>
      <c r="AU1301">
        <f t="shared" si="326"/>
        <v>15.920000000000002</v>
      </c>
      <c r="AV1301">
        <f t="shared" si="327"/>
        <v>0.75</v>
      </c>
      <c r="AW1301">
        <f t="shared" si="319"/>
        <v>0.60749999999999993</v>
      </c>
    </row>
    <row r="1302" spans="1:49" x14ac:dyDescent="0.25">
      <c r="A1302" t="s">
        <v>3120</v>
      </c>
      <c r="B1302">
        <v>0.75</v>
      </c>
      <c r="C1302">
        <v>27.99</v>
      </c>
      <c r="E1302" t="s">
        <v>3120</v>
      </c>
      <c r="F1302">
        <v>1.05</v>
      </c>
      <c r="G1302">
        <v>101.63</v>
      </c>
      <c r="I1302" t="str" cm="1">
        <f t="array" ref="I1302:J1302">_xlfn.TEXTSPLIT(A1302," ")</f>
        <v>27.10.2023</v>
      </c>
      <c r="J1302" t="str">
        <v>21:42:08</v>
      </c>
      <c r="K1302">
        <f t="shared" si="328"/>
        <v>21.650000000000052</v>
      </c>
      <c r="L1302">
        <f t="shared" si="321"/>
        <v>13.669999999999998</v>
      </c>
      <c r="M1302">
        <f t="shared" si="322"/>
        <v>0.75</v>
      </c>
      <c r="N1302">
        <f t="shared" si="316"/>
        <v>0.60749999999999993</v>
      </c>
      <c r="Q1302" t="str" cm="1">
        <f t="array" ref="Q1302:R1302">_xlfn.TEXTSPLIT(E1302," ")</f>
        <v>27.10.2023</v>
      </c>
      <c r="R1302" t="str">
        <v>21:42:08</v>
      </c>
      <c r="S1302">
        <f t="shared" si="329"/>
        <v>21.650000000000052</v>
      </c>
      <c r="T1302">
        <f t="shared" si="320"/>
        <v>23.03</v>
      </c>
      <c r="U1302">
        <f t="shared" si="323"/>
        <v>1.05</v>
      </c>
      <c r="V1302">
        <f t="shared" si="317"/>
        <v>1.0800000000000003</v>
      </c>
      <c r="AC1302" t="s">
        <v>3121</v>
      </c>
      <c r="AD1302">
        <v>0.9</v>
      </c>
      <c r="AE1302">
        <v>13.47</v>
      </c>
      <c r="AG1302" t="str" cm="1">
        <f t="array" ref="AG1302:AH1302">_xlfn.TEXTSPLIT(AC1303," ")</f>
        <v>26.10.2023</v>
      </c>
      <c r="AH1302" t="str">
        <v>21:43:20</v>
      </c>
      <c r="AI1302">
        <f t="shared" si="330"/>
        <v>21.650000000000052</v>
      </c>
      <c r="AJ1302">
        <f t="shared" si="324"/>
        <v>8.9400000000000013</v>
      </c>
      <c r="AK1302">
        <f t="shared" si="325"/>
        <v>0.9</v>
      </c>
      <c r="AL1302">
        <f t="shared" si="318"/>
        <v>0.37499999999999994</v>
      </c>
      <c r="AN1302" t="s">
        <v>3121</v>
      </c>
      <c r="AO1302">
        <v>0.75</v>
      </c>
      <c r="AP1302">
        <v>77.239999999999995</v>
      </c>
      <c r="AR1302" t="str" cm="1">
        <f t="array" ref="AR1302:AS1302">_xlfn.TEXTSPLIT(AN1302," ")</f>
        <v>26.10.2023</v>
      </c>
      <c r="AS1302" t="str">
        <v>21:42:20</v>
      </c>
      <c r="AT1302">
        <f t="shared" si="331"/>
        <v>21.650000000000052</v>
      </c>
      <c r="AU1302">
        <f t="shared" si="326"/>
        <v>15.929999999999993</v>
      </c>
      <c r="AV1302">
        <f t="shared" si="327"/>
        <v>0.75</v>
      </c>
      <c r="AW1302">
        <f t="shared" si="319"/>
        <v>0.60499999999999998</v>
      </c>
    </row>
    <row r="1303" spans="1:49" x14ac:dyDescent="0.25">
      <c r="A1303" t="s">
        <v>3122</v>
      </c>
      <c r="B1303">
        <v>0.75</v>
      </c>
      <c r="C1303">
        <v>28.01</v>
      </c>
      <c r="E1303" t="s">
        <v>3122</v>
      </c>
      <c r="F1303">
        <v>0.9</v>
      </c>
      <c r="G1303">
        <v>101.65</v>
      </c>
      <c r="I1303" t="str" cm="1">
        <f t="array" ref="I1303:J1303">_xlfn.TEXTSPLIT(A1303," ")</f>
        <v>27.10.2023</v>
      </c>
      <c r="J1303" t="str">
        <v>21:43:08</v>
      </c>
      <c r="K1303">
        <f t="shared" si="328"/>
        <v>21.666666666666718</v>
      </c>
      <c r="L1303">
        <f t="shared" si="321"/>
        <v>13.690000000000001</v>
      </c>
      <c r="M1303">
        <f t="shared" si="322"/>
        <v>0.75</v>
      </c>
      <c r="N1303">
        <f t="shared" si="316"/>
        <v>0.60500000000000009</v>
      </c>
      <c r="Q1303" t="str" cm="1">
        <f t="array" ref="Q1303:R1303">_xlfn.TEXTSPLIT(E1303," ")</f>
        <v>27.10.2023</v>
      </c>
      <c r="R1303" t="str">
        <v>21:43:08</v>
      </c>
      <c r="S1303">
        <f t="shared" si="329"/>
        <v>21.666666666666718</v>
      </c>
      <c r="T1303">
        <f t="shared" si="320"/>
        <v>23.050000000000011</v>
      </c>
      <c r="U1303">
        <f t="shared" si="323"/>
        <v>0.9</v>
      </c>
      <c r="V1303">
        <f t="shared" si="317"/>
        <v>1.0825000000000002</v>
      </c>
      <c r="AC1303" t="s">
        <v>3123</v>
      </c>
      <c r="AD1303">
        <v>1.2</v>
      </c>
      <c r="AE1303">
        <v>13.49</v>
      </c>
      <c r="AG1303" t="str" cm="1">
        <f t="array" ref="AG1303:AH1303">_xlfn.TEXTSPLIT(AC1304," ")</f>
        <v>26.10.2023</v>
      </c>
      <c r="AH1303" t="str">
        <v>21:44:20</v>
      </c>
      <c r="AI1303">
        <f t="shared" si="330"/>
        <v>21.666666666666718</v>
      </c>
      <c r="AJ1303">
        <f t="shared" si="324"/>
        <v>8.9600000000000009</v>
      </c>
      <c r="AK1303">
        <f t="shared" si="325"/>
        <v>1.2</v>
      </c>
      <c r="AL1303">
        <f t="shared" si="318"/>
        <v>0.37499999999999994</v>
      </c>
      <c r="AN1303" t="s">
        <v>3123</v>
      </c>
      <c r="AO1303">
        <v>0.6</v>
      </c>
      <c r="AP1303">
        <v>77.25</v>
      </c>
      <c r="AR1303" t="str" cm="1">
        <f t="array" ref="AR1303:AS1303">_xlfn.TEXTSPLIT(AN1303," ")</f>
        <v>26.10.2023</v>
      </c>
      <c r="AS1303" t="str">
        <v>21:43:20</v>
      </c>
      <c r="AT1303">
        <f t="shared" si="331"/>
        <v>21.666666666666718</v>
      </c>
      <c r="AU1303">
        <f t="shared" si="326"/>
        <v>15.939999999999998</v>
      </c>
      <c r="AV1303">
        <f t="shared" si="327"/>
        <v>0.6</v>
      </c>
      <c r="AW1303">
        <f t="shared" si="319"/>
        <v>0.60499999999999998</v>
      </c>
    </row>
    <row r="1304" spans="1:49" x14ac:dyDescent="0.25">
      <c r="A1304" t="s">
        <v>3124</v>
      </c>
      <c r="B1304">
        <v>0.3</v>
      </c>
      <c r="C1304">
        <v>28.01</v>
      </c>
      <c r="E1304" t="s">
        <v>3124</v>
      </c>
      <c r="F1304">
        <v>0.75</v>
      </c>
      <c r="G1304">
        <v>101.67</v>
      </c>
      <c r="I1304" t="str" cm="1">
        <f t="array" ref="I1304:J1304">_xlfn.TEXTSPLIT(A1304," ")</f>
        <v>27.10.2023</v>
      </c>
      <c r="J1304" t="str">
        <v>21:44:08</v>
      </c>
      <c r="K1304">
        <f t="shared" si="328"/>
        <v>21.683333333333383</v>
      </c>
      <c r="L1304">
        <f t="shared" si="321"/>
        <v>13.690000000000001</v>
      </c>
      <c r="M1304">
        <f t="shared" si="322"/>
        <v>0.3</v>
      </c>
      <c r="N1304">
        <f t="shared" si="316"/>
        <v>0.59750000000000003</v>
      </c>
      <c r="Q1304" t="str" cm="1">
        <f t="array" ref="Q1304:R1304">_xlfn.TEXTSPLIT(E1304," ")</f>
        <v>27.10.2023</v>
      </c>
      <c r="R1304" t="str">
        <v>21:44:08</v>
      </c>
      <c r="S1304">
        <f t="shared" si="329"/>
        <v>21.683333333333383</v>
      </c>
      <c r="T1304">
        <f t="shared" si="320"/>
        <v>23.070000000000007</v>
      </c>
      <c r="U1304">
        <f t="shared" si="323"/>
        <v>0.75</v>
      </c>
      <c r="V1304">
        <f t="shared" si="317"/>
        <v>1.0799999999999998</v>
      </c>
      <c r="AC1304" t="s">
        <v>3125</v>
      </c>
      <c r="AD1304">
        <v>0.9</v>
      </c>
      <c r="AE1304">
        <v>13.51</v>
      </c>
      <c r="AG1304" t="str" cm="1">
        <f t="array" ref="AG1304:AH1304">_xlfn.TEXTSPLIT(AC1305," ")</f>
        <v>26.10.2023</v>
      </c>
      <c r="AH1304" t="str">
        <v>21:45:20</v>
      </c>
      <c r="AI1304">
        <f t="shared" si="330"/>
        <v>21.683333333333383</v>
      </c>
      <c r="AJ1304">
        <f t="shared" si="324"/>
        <v>8.98</v>
      </c>
      <c r="AK1304">
        <f t="shared" si="325"/>
        <v>0.9</v>
      </c>
      <c r="AL1304">
        <f t="shared" si="318"/>
        <v>0.37499999999999994</v>
      </c>
      <c r="AN1304" t="s">
        <v>3125</v>
      </c>
      <c r="AO1304">
        <v>0.6</v>
      </c>
      <c r="AP1304">
        <v>77.260000000000005</v>
      </c>
      <c r="AR1304" t="str" cm="1">
        <f t="array" ref="AR1304:AS1304">_xlfn.TEXTSPLIT(AN1304," ")</f>
        <v>26.10.2023</v>
      </c>
      <c r="AS1304" t="str">
        <v>21:44:20</v>
      </c>
      <c r="AT1304">
        <f t="shared" si="331"/>
        <v>21.683333333333383</v>
      </c>
      <c r="AU1304">
        <f t="shared" si="326"/>
        <v>15.950000000000003</v>
      </c>
      <c r="AV1304">
        <f t="shared" si="327"/>
        <v>0.6</v>
      </c>
      <c r="AW1304">
        <f t="shared" si="319"/>
        <v>0.60249999999999992</v>
      </c>
    </row>
    <row r="1305" spans="1:49" x14ac:dyDescent="0.25">
      <c r="A1305" t="s">
        <v>3126</v>
      </c>
      <c r="B1305">
        <v>0.45</v>
      </c>
      <c r="C1305">
        <v>28.02</v>
      </c>
      <c r="E1305" t="s">
        <v>3126</v>
      </c>
      <c r="F1305">
        <v>1.2</v>
      </c>
      <c r="G1305">
        <v>101.68</v>
      </c>
      <c r="I1305" t="str" cm="1">
        <f t="array" ref="I1305:J1305">_xlfn.TEXTSPLIT(A1305," ")</f>
        <v>27.10.2023</v>
      </c>
      <c r="J1305" t="str">
        <v>21:45:08</v>
      </c>
      <c r="K1305">
        <f t="shared" si="328"/>
        <v>21.700000000000049</v>
      </c>
      <c r="L1305">
        <f t="shared" si="321"/>
        <v>13.7</v>
      </c>
      <c r="M1305">
        <f t="shared" si="322"/>
        <v>0.45</v>
      </c>
      <c r="N1305">
        <f t="shared" si="316"/>
        <v>0.59250000000000003</v>
      </c>
      <c r="Q1305" t="str" cm="1">
        <f t="array" ref="Q1305:R1305">_xlfn.TEXTSPLIT(E1305," ")</f>
        <v>27.10.2023</v>
      </c>
      <c r="R1305" t="str">
        <v>21:45:08</v>
      </c>
      <c r="S1305">
        <f t="shared" si="329"/>
        <v>21.700000000000049</v>
      </c>
      <c r="T1305">
        <f t="shared" si="320"/>
        <v>23.080000000000013</v>
      </c>
      <c r="U1305">
        <f t="shared" si="323"/>
        <v>1.2</v>
      </c>
      <c r="V1305">
        <f t="shared" si="317"/>
        <v>1.0799999999999998</v>
      </c>
      <c r="AC1305" t="s">
        <v>3127</v>
      </c>
      <c r="AD1305">
        <v>0.3</v>
      </c>
      <c r="AE1305">
        <v>13.51</v>
      </c>
      <c r="AG1305" t="str" cm="1">
        <f t="array" ref="AG1305:AH1305">_xlfn.TEXTSPLIT(AC1306," ")</f>
        <v>26.10.2023</v>
      </c>
      <c r="AH1305" t="str">
        <v>21:46:20</v>
      </c>
      <c r="AI1305">
        <f t="shared" si="330"/>
        <v>21.700000000000049</v>
      </c>
      <c r="AJ1305">
        <f t="shared" si="324"/>
        <v>8.98</v>
      </c>
      <c r="AK1305">
        <f t="shared" si="325"/>
        <v>0.3</v>
      </c>
      <c r="AL1305">
        <f t="shared" si="318"/>
        <v>0.37249999999999994</v>
      </c>
      <c r="AN1305" t="s">
        <v>3127</v>
      </c>
      <c r="AO1305">
        <v>0.6</v>
      </c>
      <c r="AP1305">
        <v>77.27</v>
      </c>
      <c r="AR1305" t="str" cm="1">
        <f t="array" ref="AR1305:AS1305">_xlfn.TEXTSPLIT(AN1305," ")</f>
        <v>26.10.2023</v>
      </c>
      <c r="AS1305" t="str">
        <v>21:45:20</v>
      </c>
      <c r="AT1305">
        <f t="shared" si="331"/>
        <v>21.700000000000049</v>
      </c>
      <c r="AU1305">
        <f t="shared" si="326"/>
        <v>15.959999999999994</v>
      </c>
      <c r="AV1305">
        <f t="shared" si="327"/>
        <v>0.6</v>
      </c>
      <c r="AW1305">
        <f t="shared" si="319"/>
        <v>0.59750000000000003</v>
      </c>
    </row>
    <row r="1306" spans="1:49" x14ac:dyDescent="0.25">
      <c r="A1306" t="s">
        <v>3128</v>
      </c>
      <c r="B1306">
        <v>0.6</v>
      </c>
      <c r="C1306">
        <v>28.03</v>
      </c>
      <c r="E1306" t="s">
        <v>3128</v>
      </c>
      <c r="F1306">
        <v>0.9</v>
      </c>
      <c r="G1306">
        <v>101.7</v>
      </c>
      <c r="I1306" t="str" cm="1">
        <f t="array" ref="I1306:J1306">_xlfn.TEXTSPLIT(A1306," ")</f>
        <v>27.10.2023</v>
      </c>
      <c r="J1306" t="str">
        <v>21:46:09</v>
      </c>
      <c r="K1306">
        <f t="shared" si="328"/>
        <v>21.716666666666715</v>
      </c>
      <c r="L1306">
        <f t="shared" si="321"/>
        <v>13.71</v>
      </c>
      <c r="M1306">
        <f t="shared" si="322"/>
        <v>0.6</v>
      </c>
      <c r="N1306">
        <f t="shared" si="316"/>
        <v>0.59250000000000003</v>
      </c>
      <c r="Q1306" t="str" cm="1">
        <f t="array" ref="Q1306:R1306">_xlfn.TEXTSPLIT(E1306," ")</f>
        <v>27.10.2023</v>
      </c>
      <c r="R1306" t="str">
        <v>21:46:09</v>
      </c>
      <c r="S1306">
        <f t="shared" si="329"/>
        <v>21.716666666666715</v>
      </c>
      <c r="T1306">
        <f t="shared" si="320"/>
        <v>23.100000000000009</v>
      </c>
      <c r="U1306">
        <f t="shared" si="323"/>
        <v>0.9</v>
      </c>
      <c r="V1306">
        <f t="shared" si="317"/>
        <v>1.075</v>
      </c>
      <c r="AC1306" t="s">
        <v>3129</v>
      </c>
      <c r="AD1306">
        <v>0.3</v>
      </c>
      <c r="AE1306">
        <v>13.52</v>
      </c>
      <c r="AG1306" t="str" cm="1">
        <f t="array" ref="AG1306:AH1306">_xlfn.TEXTSPLIT(AC1307," ")</f>
        <v>26.10.2023</v>
      </c>
      <c r="AH1306" t="str">
        <v>21:47:20</v>
      </c>
      <c r="AI1306">
        <f t="shared" si="330"/>
        <v>21.716666666666715</v>
      </c>
      <c r="AJ1306">
        <f t="shared" si="324"/>
        <v>8.9899999999999984</v>
      </c>
      <c r="AK1306">
        <f t="shared" si="325"/>
        <v>0.3</v>
      </c>
      <c r="AL1306">
        <f t="shared" si="318"/>
        <v>0.36749999999999994</v>
      </c>
      <c r="AN1306" t="s">
        <v>3129</v>
      </c>
      <c r="AO1306">
        <v>0.75</v>
      </c>
      <c r="AP1306">
        <v>77.28</v>
      </c>
      <c r="AR1306" t="str" cm="1">
        <f t="array" ref="AR1306:AS1306">_xlfn.TEXTSPLIT(AN1306," ")</f>
        <v>26.10.2023</v>
      </c>
      <c r="AS1306" t="str">
        <v>21:46:20</v>
      </c>
      <c r="AT1306">
        <f t="shared" si="331"/>
        <v>21.716666666666715</v>
      </c>
      <c r="AU1306">
        <f t="shared" si="326"/>
        <v>15.969999999999999</v>
      </c>
      <c r="AV1306">
        <f t="shared" si="327"/>
        <v>0.75</v>
      </c>
      <c r="AW1306">
        <f t="shared" si="319"/>
        <v>0.60000000000000009</v>
      </c>
    </row>
    <row r="1307" spans="1:49" x14ac:dyDescent="0.25">
      <c r="A1307" t="s">
        <v>3130</v>
      </c>
      <c r="B1307">
        <v>0.15</v>
      </c>
      <c r="C1307">
        <v>28.04</v>
      </c>
      <c r="E1307" t="s">
        <v>3130</v>
      </c>
      <c r="F1307">
        <v>1.2</v>
      </c>
      <c r="G1307">
        <v>101.72</v>
      </c>
      <c r="I1307" t="str" cm="1">
        <f t="array" ref="I1307:J1307">_xlfn.TEXTSPLIT(A1307," ")</f>
        <v>27.10.2023</v>
      </c>
      <c r="J1307" t="str">
        <v>21:47:09</v>
      </c>
      <c r="K1307">
        <f t="shared" si="328"/>
        <v>21.73333333333338</v>
      </c>
      <c r="L1307">
        <f t="shared" si="321"/>
        <v>13.719999999999999</v>
      </c>
      <c r="M1307">
        <f t="shared" si="322"/>
        <v>0.15</v>
      </c>
      <c r="N1307">
        <f t="shared" si="316"/>
        <v>0.58500000000000019</v>
      </c>
      <c r="Q1307" t="str" cm="1">
        <f t="array" ref="Q1307:R1307">_xlfn.TEXTSPLIT(E1307," ")</f>
        <v>27.10.2023</v>
      </c>
      <c r="R1307" t="str">
        <v>21:47:09</v>
      </c>
      <c r="S1307">
        <f t="shared" si="329"/>
        <v>21.73333333333338</v>
      </c>
      <c r="T1307">
        <f t="shared" si="320"/>
        <v>23.120000000000005</v>
      </c>
      <c r="U1307">
        <f t="shared" si="323"/>
        <v>1.2</v>
      </c>
      <c r="V1307">
        <f t="shared" si="317"/>
        <v>1.075</v>
      </c>
      <c r="AC1307" t="s">
        <v>3131</v>
      </c>
      <c r="AD1307">
        <v>0.3</v>
      </c>
      <c r="AE1307">
        <v>13.52</v>
      </c>
      <c r="AG1307" t="str" cm="1">
        <f t="array" ref="AG1307:AH1307">_xlfn.TEXTSPLIT(AC1308," ")</f>
        <v>26.10.2023</v>
      </c>
      <c r="AH1307" t="str">
        <v>21:48:20</v>
      </c>
      <c r="AI1307">
        <f t="shared" si="330"/>
        <v>21.73333333333338</v>
      </c>
      <c r="AJ1307">
        <f t="shared" si="324"/>
        <v>8.9899999999999984</v>
      </c>
      <c r="AK1307">
        <f t="shared" si="325"/>
        <v>0.3</v>
      </c>
      <c r="AL1307">
        <f t="shared" si="318"/>
        <v>0.37</v>
      </c>
      <c r="AN1307" t="s">
        <v>3131</v>
      </c>
      <c r="AO1307">
        <v>0.6</v>
      </c>
      <c r="AP1307">
        <v>77.290000000000006</v>
      </c>
      <c r="AR1307" t="str" cm="1">
        <f t="array" ref="AR1307:AS1307">_xlfn.TEXTSPLIT(AN1307," ")</f>
        <v>26.10.2023</v>
      </c>
      <c r="AS1307" t="str">
        <v>21:47:20</v>
      </c>
      <c r="AT1307">
        <f t="shared" si="331"/>
        <v>21.73333333333338</v>
      </c>
      <c r="AU1307">
        <f t="shared" si="326"/>
        <v>15.980000000000004</v>
      </c>
      <c r="AV1307">
        <f t="shared" si="327"/>
        <v>0.6</v>
      </c>
      <c r="AW1307">
        <f t="shared" si="319"/>
        <v>0.59750000000000003</v>
      </c>
    </row>
    <row r="1308" spans="1:49" x14ac:dyDescent="0.25">
      <c r="A1308" t="s">
        <v>3132</v>
      </c>
      <c r="B1308">
        <v>0.45</v>
      </c>
      <c r="C1308">
        <v>28.05</v>
      </c>
      <c r="E1308" t="s">
        <v>3132</v>
      </c>
      <c r="F1308">
        <v>1.2</v>
      </c>
      <c r="G1308">
        <v>101.74</v>
      </c>
      <c r="I1308" t="str" cm="1">
        <f t="array" ref="I1308:J1308">_xlfn.TEXTSPLIT(A1308," ")</f>
        <v>27.10.2023</v>
      </c>
      <c r="J1308" t="str">
        <v>21:48:09</v>
      </c>
      <c r="K1308">
        <f t="shared" si="328"/>
        <v>21.750000000000046</v>
      </c>
      <c r="L1308">
        <f t="shared" si="321"/>
        <v>13.73</v>
      </c>
      <c r="M1308">
        <f t="shared" si="322"/>
        <v>0.45</v>
      </c>
      <c r="N1308">
        <f t="shared" si="316"/>
        <v>0.58500000000000019</v>
      </c>
      <c r="Q1308" t="str" cm="1">
        <f t="array" ref="Q1308:R1308">_xlfn.TEXTSPLIT(E1308," ")</f>
        <v>27.10.2023</v>
      </c>
      <c r="R1308" t="str">
        <v>21:48:09</v>
      </c>
      <c r="S1308">
        <f t="shared" si="329"/>
        <v>21.750000000000046</v>
      </c>
      <c r="T1308">
        <f t="shared" si="320"/>
        <v>23.14</v>
      </c>
      <c r="U1308">
        <f t="shared" si="323"/>
        <v>1.2</v>
      </c>
      <c r="V1308">
        <f t="shared" si="317"/>
        <v>1.0825</v>
      </c>
      <c r="AC1308" t="s">
        <v>3133</v>
      </c>
      <c r="AD1308">
        <v>0.3</v>
      </c>
      <c r="AE1308">
        <v>13.53</v>
      </c>
      <c r="AG1308" t="str" cm="1">
        <f t="array" ref="AG1308:AH1308">_xlfn.TEXTSPLIT(AC1309," ")</f>
        <v>26.10.2023</v>
      </c>
      <c r="AH1308" t="str">
        <v>21:49:20</v>
      </c>
      <c r="AI1308">
        <f t="shared" si="330"/>
        <v>21.750000000000046</v>
      </c>
      <c r="AJ1308">
        <f t="shared" si="324"/>
        <v>9</v>
      </c>
      <c r="AK1308">
        <f t="shared" si="325"/>
        <v>0.3</v>
      </c>
      <c r="AL1308">
        <f t="shared" si="318"/>
        <v>0.36249999999999999</v>
      </c>
      <c r="AN1308" t="s">
        <v>3133</v>
      </c>
      <c r="AO1308">
        <v>0.9</v>
      </c>
      <c r="AP1308">
        <v>77.31</v>
      </c>
      <c r="AR1308" t="str" cm="1">
        <f t="array" ref="AR1308:AS1308">_xlfn.TEXTSPLIT(AN1308," ")</f>
        <v>26.10.2023</v>
      </c>
      <c r="AS1308" t="str">
        <v>21:48:20</v>
      </c>
      <c r="AT1308">
        <f t="shared" si="331"/>
        <v>21.750000000000046</v>
      </c>
      <c r="AU1308">
        <f t="shared" si="326"/>
        <v>16</v>
      </c>
      <c r="AV1308">
        <f t="shared" si="327"/>
        <v>0.9</v>
      </c>
      <c r="AW1308">
        <f t="shared" si="319"/>
        <v>0.6</v>
      </c>
    </row>
    <row r="1309" spans="1:49" x14ac:dyDescent="0.25">
      <c r="A1309" t="s">
        <v>3134</v>
      </c>
      <c r="B1309">
        <v>0.75</v>
      </c>
      <c r="C1309">
        <v>28.06</v>
      </c>
      <c r="E1309" t="s">
        <v>3134</v>
      </c>
      <c r="F1309">
        <v>0.75</v>
      </c>
      <c r="G1309">
        <v>101.75</v>
      </c>
      <c r="I1309" t="str" cm="1">
        <f t="array" ref="I1309:J1309">_xlfn.TEXTSPLIT(A1309," ")</f>
        <v>27.10.2023</v>
      </c>
      <c r="J1309" t="str">
        <v>21:49:09</v>
      </c>
      <c r="K1309">
        <f t="shared" si="328"/>
        <v>21.766666666666712</v>
      </c>
      <c r="L1309">
        <f t="shared" si="321"/>
        <v>13.739999999999998</v>
      </c>
      <c r="M1309">
        <f t="shared" si="322"/>
        <v>0.75</v>
      </c>
      <c r="N1309">
        <f t="shared" si="316"/>
        <v>0.58750000000000024</v>
      </c>
      <c r="Q1309" t="str" cm="1">
        <f t="array" ref="Q1309:R1309">_xlfn.TEXTSPLIT(E1309," ")</f>
        <v>27.10.2023</v>
      </c>
      <c r="R1309" t="str">
        <v>21:49:09</v>
      </c>
      <c r="S1309">
        <f t="shared" si="329"/>
        <v>21.766666666666712</v>
      </c>
      <c r="T1309">
        <f t="shared" si="320"/>
        <v>23.150000000000006</v>
      </c>
      <c r="U1309">
        <f t="shared" si="323"/>
        <v>0.75</v>
      </c>
      <c r="V1309">
        <f t="shared" si="317"/>
        <v>1.0799999999999998</v>
      </c>
      <c r="AC1309" t="s">
        <v>3135</v>
      </c>
      <c r="AD1309">
        <v>0.45</v>
      </c>
      <c r="AE1309">
        <v>13.53</v>
      </c>
      <c r="AG1309" t="str" cm="1">
        <f t="array" ref="AG1309:AH1309">_xlfn.TEXTSPLIT(AC1310," ")</f>
        <v>26.10.2023</v>
      </c>
      <c r="AH1309" t="str">
        <v>21:50:20</v>
      </c>
      <c r="AI1309">
        <f t="shared" si="330"/>
        <v>21.766666666666712</v>
      </c>
      <c r="AJ1309">
        <f t="shared" si="324"/>
        <v>9</v>
      </c>
      <c r="AK1309">
        <f t="shared" si="325"/>
        <v>0.45</v>
      </c>
      <c r="AL1309">
        <f t="shared" si="318"/>
        <v>0.36499999999999999</v>
      </c>
      <c r="AN1309" t="s">
        <v>3135</v>
      </c>
      <c r="AO1309">
        <v>0.9</v>
      </c>
      <c r="AP1309">
        <v>77.319999999999993</v>
      </c>
      <c r="AR1309" t="str" cm="1">
        <f t="array" ref="AR1309:AS1309">_xlfn.TEXTSPLIT(AN1309," ")</f>
        <v>26.10.2023</v>
      </c>
      <c r="AS1309" t="str">
        <v>21:49:20</v>
      </c>
      <c r="AT1309">
        <f t="shared" si="331"/>
        <v>21.766666666666712</v>
      </c>
      <c r="AU1309">
        <f t="shared" si="326"/>
        <v>16.009999999999991</v>
      </c>
      <c r="AV1309">
        <f t="shared" si="327"/>
        <v>0.9</v>
      </c>
      <c r="AW1309">
        <f t="shared" si="319"/>
        <v>0.59999999999999987</v>
      </c>
    </row>
    <row r="1310" spans="1:49" x14ac:dyDescent="0.25">
      <c r="A1310" t="s">
        <v>3136</v>
      </c>
      <c r="B1310">
        <v>0.45</v>
      </c>
      <c r="C1310">
        <v>28.06</v>
      </c>
      <c r="E1310" t="s">
        <v>3136</v>
      </c>
      <c r="F1310">
        <v>0.9</v>
      </c>
      <c r="G1310">
        <v>101.76</v>
      </c>
      <c r="I1310" t="str" cm="1">
        <f t="array" ref="I1310:J1310">_xlfn.TEXTSPLIT(A1310," ")</f>
        <v>27.10.2023</v>
      </c>
      <c r="J1310" t="str">
        <v>21:50:09</v>
      </c>
      <c r="K1310">
        <f t="shared" si="328"/>
        <v>21.783333333333378</v>
      </c>
      <c r="L1310">
        <f t="shared" si="321"/>
        <v>13.739999999999998</v>
      </c>
      <c r="M1310">
        <f t="shared" si="322"/>
        <v>0.45</v>
      </c>
      <c r="N1310">
        <f t="shared" si="316"/>
        <v>0.59000000000000019</v>
      </c>
      <c r="Q1310" t="str" cm="1">
        <f t="array" ref="Q1310:R1310">_xlfn.TEXTSPLIT(E1310," ")</f>
        <v>27.10.2023</v>
      </c>
      <c r="R1310" t="str">
        <v>21:50:09</v>
      </c>
      <c r="S1310">
        <f t="shared" si="329"/>
        <v>21.783333333333378</v>
      </c>
      <c r="T1310">
        <f t="shared" si="320"/>
        <v>23.160000000000011</v>
      </c>
      <c r="U1310">
        <f t="shared" si="323"/>
        <v>0.9</v>
      </c>
      <c r="V1310">
        <f t="shared" si="317"/>
        <v>1.0799999999999998</v>
      </c>
      <c r="AC1310" t="s">
        <v>3137</v>
      </c>
      <c r="AD1310">
        <v>0.15</v>
      </c>
      <c r="AE1310">
        <v>13.54</v>
      </c>
      <c r="AG1310" t="str" cm="1">
        <f t="array" ref="AG1310:AH1310">_xlfn.TEXTSPLIT(AC1311," ")</f>
        <v>26.10.2023</v>
      </c>
      <c r="AH1310" t="str">
        <v>21:51:20</v>
      </c>
      <c r="AI1310">
        <f t="shared" si="330"/>
        <v>21.783333333333378</v>
      </c>
      <c r="AJ1310">
        <f t="shared" si="324"/>
        <v>9.009999999999998</v>
      </c>
      <c r="AK1310">
        <f t="shared" si="325"/>
        <v>0.15</v>
      </c>
      <c r="AL1310">
        <f t="shared" si="318"/>
        <v>0.36499999999999999</v>
      </c>
      <c r="AN1310" t="s">
        <v>3137</v>
      </c>
      <c r="AO1310">
        <v>0.75</v>
      </c>
      <c r="AP1310">
        <v>77.33</v>
      </c>
      <c r="AR1310" t="str" cm="1">
        <f t="array" ref="AR1310:AS1310">_xlfn.TEXTSPLIT(AN1310," ")</f>
        <v>26.10.2023</v>
      </c>
      <c r="AS1310" t="str">
        <v>21:50:20</v>
      </c>
      <c r="AT1310">
        <f t="shared" si="331"/>
        <v>21.783333333333378</v>
      </c>
      <c r="AU1310">
        <f t="shared" si="326"/>
        <v>16.019999999999996</v>
      </c>
      <c r="AV1310">
        <f t="shared" si="327"/>
        <v>0.75</v>
      </c>
      <c r="AW1310">
        <f t="shared" si="319"/>
        <v>0.60499999999999998</v>
      </c>
    </row>
    <row r="1311" spans="1:49" x14ac:dyDescent="0.25">
      <c r="A1311" t="s">
        <v>3138</v>
      </c>
      <c r="B1311">
        <v>0.9</v>
      </c>
      <c r="C1311">
        <v>28.08</v>
      </c>
      <c r="E1311" t="s">
        <v>3138</v>
      </c>
      <c r="F1311">
        <v>0.3</v>
      </c>
      <c r="G1311">
        <v>101.77</v>
      </c>
      <c r="I1311" t="str" cm="1">
        <f t="array" ref="I1311:J1311">_xlfn.TEXTSPLIT(A1311," ")</f>
        <v>27.10.2023</v>
      </c>
      <c r="J1311" t="str">
        <v>21:51:09</v>
      </c>
      <c r="K1311">
        <f t="shared" si="328"/>
        <v>21.800000000000043</v>
      </c>
      <c r="L1311">
        <f t="shared" si="321"/>
        <v>13.759999999999998</v>
      </c>
      <c r="M1311">
        <f t="shared" si="322"/>
        <v>0.9</v>
      </c>
      <c r="N1311">
        <f t="shared" si="316"/>
        <v>0.59500000000000031</v>
      </c>
      <c r="Q1311" t="str" cm="1">
        <f t="array" ref="Q1311:R1311">_xlfn.TEXTSPLIT(E1311," ")</f>
        <v>27.10.2023</v>
      </c>
      <c r="R1311" t="str">
        <v>21:51:09</v>
      </c>
      <c r="S1311">
        <f t="shared" si="329"/>
        <v>21.800000000000043</v>
      </c>
      <c r="T1311">
        <f t="shared" si="320"/>
        <v>23.17</v>
      </c>
      <c r="U1311">
        <f t="shared" si="323"/>
        <v>0.3</v>
      </c>
      <c r="V1311">
        <f t="shared" si="317"/>
        <v>1.0799999999999998</v>
      </c>
      <c r="AC1311" t="s">
        <v>3139</v>
      </c>
      <c r="AD1311">
        <v>0.3</v>
      </c>
      <c r="AE1311">
        <v>13.54</v>
      </c>
      <c r="AG1311" t="str" cm="1">
        <f t="array" ref="AG1311:AH1311">_xlfn.TEXTSPLIT(AC1312," ")</f>
        <v>26.10.2023</v>
      </c>
      <c r="AH1311" t="str">
        <v>21:52:20</v>
      </c>
      <c r="AI1311">
        <f t="shared" si="330"/>
        <v>21.800000000000043</v>
      </c>
      <c r="AJ1311">
        <f t="shared" si="324"/>
        <v>9.009999999999998</v>
      </c>
      <c r="AK1311">
        <f t="shared" si="325"/>
        <v>0.3</v>
      </c>
      <c r="AL1311">
        <f t="shared" si="318"/>
        <v>0.36499999999999999</v>
      </c>
      <c r="AN1311" t="s">
        <v>3139</v>
      </c>
      <c r="AO1311">
        <v>0.45</v>
      </c>
      <c r="AP1311">
        <v>77.34</v>
      </c>
      <c r="AR1311" t="str" cm="1">
        <f t="array" ref="AR1311:AS1311">_xlfn.TEXTSPLIT(AN1311," ")</f>
        <v>26.10.2023</v>
      </c>
      <c r="AS1311" t="str">
        <v>21:51:20</v>
      </c>
      <c r="AT1311">
        <f t="shared" si="331"/>
        <v>21.800000000000043</v>
      </c>
      <c r="AU1311">
        <f t="shared" si="326"/>
        <v>16.03</v>
      </c>
      <c r="AV1311">
        <f t="shared" si="327"/>
        <v>0.45</v>
      </c>
      <c r="AW1311">
        <f t="shared" si="319"/>
        <v>0.60249999999999992</v>
      </c>
    </row>
    <row r="1312" spans="1:49" x14ac:dyDescent="0.25">
      <c r="A1312" t="s">
        <v>3140</v>
      </c>
      <c r="B1312">
        <v>0.3</v>
      </c>
      <c r="C1312">
        <v>28.08</v>
      </c>
      <c r="E1312" t="s">
        <v>3140</v>
      </c>
      <c r="F1312">
        <v>0.3</v>
      </c>
      <c r="G1312">
        <v>101.77</v>
      </c>
      <c r="I1312" t="str" cm="1">
        <f t="array" ref="I1312:J1312">_xlfn.TEXTSPLIT(A1312," ")</f>
        <v>27.10.2023</v>
      </c>
      <c r="J1312" t="str">
        <v>21:52:09</v>
      </c>
      <c r="K1312">
        <f t="shared" si="328"/>
        <v>21.816666666666709</v>
      </c>
      <c r="L1312">
        <f t="shared" si="321"/>
        <v>13.759999999999998</v>
      </c>
      <c r="M1312">
        <f t="shared" si="322"/>
        <v>0.3</v>
      </c>
      <c r="N1312">
        <f t="shared" si="316"/>
        <v>0.59250000000000003</v>
      </c>
      <c r="Q1312" t="str" cm="1">
        <f t="array" ref="Q1312:R1312">_xlfn.TEXTSPLIT(E1312," ")</f>
        <v>27.10.2023</v>
      </c>
      <c r="R1312" t="str">
        <v>21:52:09</v>
      </c>
      <c r="S1312">
        <f t="shared" si="329"/>
        <v>21.816666666666709</v>
      </c>
      <c r="T1312">
        <f t="shared" si="320"/>
        <v>23.17</v>
      </c>
      <c r="U1312">
        <f t="shared" si="323"/>
        <v>0.3</v>
      </c>
      <c r="V1312">
        <f t="shared" si="317"/>
        <v>1.0774999999999999</v>
      </c>
      <c r="AC1312" t="s">
        <v>3141</v>
      </c>
      <c r="AD1312">
        <v>0.15</v>
      </c>
      <c r="AE1312">
        <v>13.55</v>
      </c>
      <c r="AG1312" t="str" cm="1">
        <f t="array" ref="AG1312:AH1312">_xlfn.TEXTSPLIT(AC1313," ")</f>
        <v>26.10.2023</v>
      </c>
      <c r="AH1312" t="str">
        <v>21:53:20</v>
      </c>
      <c r="AI1312">
        <f t="shared" si="330"/>
        <v>21.816666666666709</v>
      </c>
      <c r="AJ1312">
        <f t="shared" si="324"/>
        <v>9.02</v>
      </c>
      <c r="AK1312">
        <f t="shared" si="325"/>
        <v>0.15</v>
      </c>
      <c r="AL1312">
        <f t="shared" si="318"/>
        <v>0.36749999999999994</v>
      </c>
      <c r="AN1312" t="s">
        <v>3141</v>
      </c>
      <c r="AO1312">
        <v>0.15</v>
      </c>
      <c r="AP1312">
        <v>77.34</v>
      </c>
      <c r="AR1312" t="str" cm="1">
        <f t="array" ref="AR1312:AS1312">_xlfn.TEXTSPLIT(AN1312," ")</f>
        <v>26.10.2023</v>
      </c>
      <c r="AS1312" t="str">
        <v>21:52:20</v>
      </c>
      <c r="AT1312">
        <f t="shared" si="331"/>
        <v>21.816666666666709</v>
      </c>
      <c r="AU1312">
        <f t="shared" si="326"/>
        <v>16.03</v>
      </c>
      <c r="AV1312">
        <f t="shared" si="327"/>
        <v>0.15</v>
      </c>
      <c r="AW1312">
        <f t="shared" si="319"/>
        <v>0.60499999999999998</v>
      </c>
    </row>
    <row r="1313" spans="1:49" x14ac:dyDescent="0.25">
      <c r="A1313" t="s">
        <v>3142</v>
      </c>
      <c r="B1313">
        <v>0</v>
      </c>
      <c r="C1313">
        <v>28.08</v>
      </c>
      <c r="E1313" t="s">
        <v>3142</v>
      </c>
      <c r="F1313">
        <v>0.3</v>
      </c>
      <c r="G1313">
        <v>101.78</v>
      </c>
      <c r="I1313" t="str" cm="1">
        <f t="array" ref="I1313:J1313">_xlfn.TEXTSPLIT(A1313," ")</f>
        <v>27.10.2023</v>
      </c>
      <c r="J1313" t="str">
        <v>21:53:09</v>
      </c>
      <c r="K1313">
        <f t="shared" si="328"/>
        <v>21.833333333333375</v>
      </c>
      <c r="L1313">
        <f t="shared" si="321"/>
        <v>13.759999999999998</v>
      </c>
      <c r="M1313">
        <f t="shared" si="322"/>
        <v>0</v>
      </c>
      <c r="N1313">
        <f t="shared" si="316"/>
        <v>0.59250000000000003</v>
      </c>
      <c r="Q1313" t="str" cm="1">
        <f t="array" ref="Q1313:R1313">_xlfn.TEXTSPLIT(E1313," ")</f>
        <v>27.10.2023</v>
      </c>
      <c r="R1313" t="str">
        <v>21:53:09</v>
      </c>
      <c r="S1313">
        <f t="shared" si="329"/>
        <v>21.833333333333375</v>
      </c>
      <c r="T1313">
        <f t="shared" si="320"/>
        <v>23.180000000000007</v>
      </c>
      <c r="U1313">
        <f t="shared" si="323"/>
        <v>0.3</v>
      </c>
      <c r="V1313">
        <f t="shared" si="317"/>
        <v>1.0774999999999999</v>
      </c>
      <c r="AC1313" t="s">
        <v>3143</v>
      </c>
      <c r="AD1313">
        <v>0.45</v>
      </c>
      <c r="AE1313">
        <v>13.55</v>
      </c>
      <c r="AG1313" t="str" cm="1">
        <f t="array" ref="AG1313:AH1313">_xlfn.TEXTSPLIT(AC1314," ")</f>
        <v>26.10.2023</v>
      </c>
      <c r="AH1313" t="str">
        <v>21:54:20</v>
      </c>
      <c r="AI1313">
        <f t="shared" si="330"/>
        <v>21.833333333333375</v>
      </c>
      <c r="AJ1313">
        <f t="shared" si="324"/>
        <v>9.02</v>
      </c>
      <c r="AK1313">
        <f t="shared" si="325"/>
        <v>0.45</v>
      </c>
      <c r="AL1313">
        <f t="shared" si="318"/>
        <v>0.37249999999999989</v>
      </c>
      <c r="AN1313" t="s">
        <v>3143</v>
      </c>
      <c r="AO1313">
        <v>0</v>
      </c>
      <c r="AP1313">
        <v>77.34</v>
      </c>
      <c r="AR1313" t="str" cm="1">
        <f t="array" ref="AR1313:AS1313">_xlfn.TEXTSPLIT(AN1313," ")</f>
        <v>26.10.2023</v>
      </c>
      <c r="AS1313" t="str">
        <v>21:53:20</v>
      </c>
      <c r="AT1313">
        <f t="shared" si="331"/>
        <v>21.833333333333375</v>
      </c>
      <c r="AU1313">
        <f t="shared" si="326"/>
        <v>16.03</v>
      </c>
      <c r="AV1313">
        <f t="shared" si="327"/>
        <v>0</v>
      </c>
      <c r="AW1313">
        <f t="shared" si="319"/>
        <v>0.60499999999999998</v>
      </c>
    </row>
    <row r="1314" spans="1:49" x14ac:dyDescent="0.25">
      <c r="A1314" t="s">
        <v>3144</v>
      </c>
      <c r="B1314">
        <v>0</v>
      </c>
      <c r="C1314">
        <v>28.08</v>
      </c>
      <c r="E1314" t="s">
        <v>3144</v>
      </c>
      <c r="F1314">
        <v>0.3</v>
      </c>
      <c r="G1314">
        <v>101.78</v>
      </c>
      <c r="I1314" t="str" cm="1">
        <f t="array" ref="I1314:J1314">_xlfn.TEXTSPLIT(A1314," ")</f>
        <v>27.10.2023</v>
      </c>
      <c r="J1314" t="str">
        <v>21:54:09</v>
      </c>
      <c r="K1314">
        <f t="shared" si="328"/>
        <v>21.850000000000041</v>
      </c>
      <c r="L1314">
        <f t="shared" si="321"/>
        <v>13.759999999999998</v>
      </c>
      <c r="M1314">
        <f t="shared" si="322"/>
        <v>0</v>
      </c>
      <c r="N1314">
        <f t="shared" si="316"/>
        <v>0.59250000000000003</v>
      </c>
      <c r="Q1314" t="str" cm="1">
        <f t="array" ref="Q1314:R1314">_xlfn.TEXTSPLIT(E1314," ")</f>
        <v>27.10.2023</v>
      </c>
      <c r="R1314" t="str">
        <v>21:54:09</v>
      </c>
      <c r="S1314">
        <f t="shared" si="329"/>
        <v>21.850000000000041</v>
      </c>
      <c r="T1314">
        <f t="shared" si="320"/>
        <v>23.180000000000007</v>
      </c>
      <c r="U1314">
        <f t="shared" si="323"/>
        <v>0.3</v>
      </c>
      <c r="V1314">
        <f t="shared" si="317"/>
        <v>1.0749999999999997</v>
      </c>
      <c r="AC1314" t="s">
        <v>3145</v>
      </c>
      <c r="AD1314">
        <v>0</v>
      </c>
      <c r="AE1314">
        <v>13.55</v>
      </c>
      <c r="AG1314" t="str" cm="1">
        <f t="array" ref="AG1314:AH1314">_xlfn.TEXTSPLIT(AC1315," ")</f>
        <v>26.10.2023</v>
      </c>
      <c r="AH1314" t="str">
        <v>21:55:20</v>
      </c>
      <c r="AI1314">
        <f t="shared" si="330"/>
        <v>21.850000000000041</v>
      </c>
      <c r="AJ1314">
        <f t="shared" si="324"/>
        <v>9.02</v>
      </c>
      <c r="AK1314">
        <f t="shared" si="325"/>
        <v>0</v>
      </c>
      <c r="AL1314">
        <f t="shared" si="318"/>
        <v>0.37249999999999989</v>
      </c>
      <c r="AN1314" t="s">
        <v>3145</v>
      </c>
      <c r="AO1314">
        <v>0</v>
      </c>
      <c r="AP1314">
        <v>77.34</v>
      </c>
      <c r="AR1314" t="str" cm="1">
        <f t="array" ref="AR1314:AS1314">_xlfn.TEXTSPLIT(AN1314," ")</f>
        <v>26.10.2023</v>
      </c>
      <c r="AS1314" t="str">
        <v>21:54:20</v>
      </c>
      <c r="AT1314">
        <f t="shared" si="331"/>
        <v>21.850000000000041</v>
      </c>
      <c r="AU1314">
        <f t="shared" si="326"/>
        <v>16.03</v>
      </c>
      <c r="AV1314">
        <f t="shared" si="327"/>
        <v>0</v>
      </c>
      <c r="AW1314">
        <f t="shared" si="319"/>
        <v>0.60499999999999998</v>
      </c>
    </row>
    <row r="1315" spans="1:49" x14ac:dyDescent="0.25">
      <c r="A1315" t="s">
        <v>3146</v>
      </c>
      <c r="B1315">
        <v>0</v>
      </c>
      <c r="C1315">
        <v>28.08</v>
      </c>
      <c r="E1315" t="s">
        <v>3146</v>
      </c>
      <c r="F1315">
        <v>0.45</v>
      </c>
      <c r="G1315">
        <v>101.79</v>
      </c>
      <c r="I1315" t="str" cm="1">
        <f t="array" ref="I1315:J1315">_xlfn.TEXTSPLIT(A1315," ")</f>
        <v>27.10.2023</v>
      </c>
      <c r="J1315" t="str">
        <v>21:55:09</v>
      </c>
      <c r="K1315">
        <f t="shared" si="328"/>
        <v>21.866666666666706</v>
      </c>
      <c r="L1315">
        <f t="shared" si="321"/>
        <v>13.759999999999998</v>
      </c>
      <c r="M1315">
        <f t="shared" si="322"/>
        <v>0</v>
      </c>
      <c r="N1315">
        <f t="shared" si="316"/>
        <v>0.59250000000000003</v>
      </c>
      <c r="Q1315" t="str" cm="1">
        <f t="array" ref="Q1315:R1315">_xlfn.TEXTSPLIT(E1315," ")</f>
        <v>27.10.2023</v>
      </c>
      <c r="R1315" t="str">
        <v>21:55:09</v>
      </c>
      <c r="S1315">
        <f t="shared" si="329"/>
        <v>21.866666666666706</v>
      </c>
      <c r="T1315">
        <f t="shared" si="320"/>
        <v>23.190000000000012</v>
      </c>
      <c r="U1315">
        <f t="shared" si="323"/>
        <v>0.45</v>
      </c>
      <c r="V1315">
        <f t="shared" si="317"/>
        <v>1.0699999999999998</v>
      </c>
      <c r="AC1315" t="s">
        <v>3147</v>
      </c>
      <c r="AD1315">
        <v>0</v>
      </c>
      <c r="AE1315">
        <v>13.55</v>
      </c>
      <c r="AG1315" t="str" cm="1">
        <f t="array" ref="AG1315:AH1315">_xlfn.TEXTSPLIT(AC1316," ")</f>
        <v>26.10.2023</v>
      </c>
      <c r="AH1315" t="str">
        <v>21:56:20</v>
      </c>
      <c r="AI1315">
        <f t="shared" si="330"/>
        <v>21.866666666666706</v>
      </c>
      <c r="AJ1315">
        <f t="shared" si="324"/>
        <v>9.02</v>
      </c>
      <c r="AK1315">
        <f t="shared" si="325"/>
        <v>0</v>
      </c>
      <c r="AL1315">
        <f t="shared" si="318"/>
        <v>0.37249999999999989</v>
      </c>
      <c r="AN1315" t="s">
        <v>3147</v>
      </c>
      <c r="AO1315">
        <v>0</v>
      </c>
      <c r="AP1315">
        <v>77.34</v>
      </c>
      <c r="AR1315" t="str" cm="1">
        <f t="array" ref="AR1315:AS1315">_xlfn.TEXTSPLIT(AN1315," ")</f>
        <v>26.10.2023</v>
      </c>
      <c r="AS1315" t="str">
        <v>21:55:20</v>
      </c>
      <c r="AT1315">
        <f t="shared" si="331"/>
        <v>21.866666666666706</v>
      </c>
      <c r="AU1315">
        <f t="shared" si="326"/>
        <v>16.03</v>
      </c>
      <c r="AV1315">
        <f t="shared" si="327"/>
        <v>0</v>
      </c>
      <c r="AW1315">
        <f t="shared" si="319"/>
        <v>0.60499999999999998</v>
      </c>
    </row>
    <row r="1316" spans="1:49" x14ac:dyDescent="0.25">
      <c r="A1316" t="s">
        <v>3148</v>
      </c>
      <c r="B1316">
        <v>0</v>
      </c>
      <c r="C1316">
        <v>28.08</v>
      </c>
      <c r="E1316" t="s">
        <v>3148</v>
      </c>
      <c r="F1316">
        <v>0.45</v>
      </c>
      <c r="G1316">
        <v>101.8</v>
      </c>
      <c r="I1316" t="str" cm="1">
        <f t="array" ref="I1316:J1316">_xlfn.TEXTSPLIT(A1316," ")</f>
        <v>27.10.2023</v>
      </c>
      <c r="J1316" t="str">
        <v>21:56:09</v>
      </c>
      <c r="K1316">
        <f t="shared" si="328"/>
        <v>21.883333333333372</v>
      </c>
      <c r="L1316">
        <f t="shared" si="321"/>
        <v>13.759999999999998</v>
      </c>
      <c r="M1316">
        <f t="shared" si="322"/>
        <v>0</v>
      </c>
      <c r="N1316">
        <f t="shared" si="316"/>
        <v>0.59250000000000003</v>
      </c>
      <c r="Q1316" t="str" cm="1">
        <f t="array" ref="Q1316:R1316">_xlfn.TEXTSPLIT(E1316," ")</f>
        <v>27.10.2023</v>
      </c>
      <c r="R1316" t="str">
        <v>21:56:09</v>
      </c>
      <c r="S1316">
        <f t="shared" si="329"/>
        <v>21.883333333333372</v>
      </c>
      <c r="T1316">
        <f t="shared" si="320"/>
        <v>23.200000000000003</v>
      </c>
      <c r="U1316">
        <f t="shared" si="323"/>
        <v>0.45</v>
      </c>
      <c r="V1316">
        <f t="shared" si="317"/>
        <v>1.0674999999999997</v>
      </c>
      <c r="AC1316" t="s">
        <v>3149</v>
      </c>
      <c r="AD1316">
        <v>0</v>
      </c>
      <c r="AE1316">
        <v>13.55</v>
      </c>
      <c r="AG1316" t="str" cm="1">
        <f t="array" ref="AG1316:AH1316">_xlfn.TEXTSPLIT(AC1317," ")</f>
        <v>26.10.2023</v>
      </c>
      <c r="AH1316" t="str">
        <v>21:57:21</v>
      </c>
      <c r="AI1316">
        <f t="shared" si="330"/>
        <v>21.883333333333372</v>
      </c>
      <c r="AJ1316">
        <f t="shared" si="324"/>
        <v>9.02</v>
      </c>
      <c r="AK1316">
        <f t="shared" si="325"/>
        <v>0</v>
      </c>
      <c r="AL1316">
        <f t="shared" si="318"/>
        <v>0.37249999999999989</v>
      </c>
      <c r="AN1316" t="s">
        <v>3149</v>
      </c>
      <c r="AO1316">
        <v>0</v>
      </c>
      <c r="AP1316">
        <v>77.34</v>
      </c>
      <c r="AR1316" t="str" cm="1">
        <f t="array" ref="AR1316:AS1316">_xlfn.TEXTSPLIT(AN1316," ")</f>
        <v>26.10.2023</v>
      </c>
      <c r="AS1316" t="str">
        <v>21:56:20</v>
      </c>
      <c r="AT1316">
        <f t="shared" si="331"/>
        <v>21.883333333333372</v>
      </c>
      <c r="AU1316">
        <f t="shared" si="326"/>
        <v>16.03</v>
      </c>
      <c r="AV1316">
        <f t="shared" si="327"/>
        <v>0</v>
      </c>
      <c r="AW1316">
        <f t="shared" si="319"/>
        <v>0.60249999999999992</v>
      </c>
    </row>
    <row r="1317" spans="1:49" x14ac:dyDescent="0.25">
      <c r="A1317" t="s">
        <v>3150</v>
      </c>
      <c r="B1317">
        <v>0</v>
      </c>
      <c r="C1317">
        <v>28.08</v>
      </c>
      <c r="E1317" t="s">
        <v>3150</v>
      </c>
      <c r="F1317">
        <v>0.75</v>
      </c>
      <c r="G1317">
        <v>101.81</v>
      </c>
      <c r="I1317" t="str" cm="1">
        <f t="array" ref="I1317:J1317">_xlfn.TEXTSPLIT(A1317," ")</f>
        <v>27.10.2023</v>
      </c>
      <c r="J1317" t="str">
        <v>21:57:09</v>
      </c>
      <c r="K1317">
        <f t="shared" si="328"/>
        <v>21.900000000000038</v>
      </c>
      <c r="L1317">
        <f t="shared" si="321"/>
        <v>13.759999999999998</v>
      </c>
      <c r="M1317">
        <f t="shared" si="322"/>
        <v>0</v>
      </c>
      <c r="N1317">
        <f t="shared" si="316"/>
        <v>0.59250000000000003</v>
      </c>
      <c r="Q1317" t="str" cm="1">
        <f t="array" ref="Q1317:R1317">_xlfn.TEXTSPLIT(E1317," ")</f>
        <v>27.10.2023</v>
      </c>
      <c r="R1317" t="str">
        <v>21:57:09</v>
      </c>
      <c r="S1317">
        <f t="shared" si="329"/>
        <v>21.900000000000038</v>
      </c>
      <c r="T1317">
        <f t="shared" si="320"/>
        <v>23.210000000000008</v>
      </c>
      <c r="U1317">
        <f t="shared" si="323"/>
        <v>0.75</v>
      </c>
      <c r="V1317">
        <f t="shared" si="317"/>
        <v>1.0649999999999999</v>
      </c>
      <c r="AC1317" t="s">
        <v>3151</v>
      </c>
      <c r="AD1317">
        <v>0</v>
      </c>
      <c r="AE1317">
        <v>13.55</v>
      </c>
      <c r="AG1317" t="str" cm="1">
        <f t="array" ref="AG1317:AH1317">_xlfn.TEXTSPLIT(AC1318," ")</f>
        <v>26.10.2023</v>
      </c>
      <c r="AH1317" t="str">
        <v>21:58:21</v>
      </c>
      <c r="AI1317">
        <f t="shared" si="330"/>
        <v>21.900000000000038</v>
      </c>
      <c r="AJ1317">
        <f t="shared" si="324"/>
        <v>9.02</v>
      </c>
      <c r="AK1317">
        <f t="shared" si="325"/>
        <v>0</v>
      </c>
      <c r="AL1317">
        <f t="shared" si="318"/>
        <v>0.37249999999999989</v>
      </c>
      <c r="AN1317" t="s">
        <v>3151</v>
      </c>
      <c r="AO1317">
        <v>0.15</v>
      </c>
      <c r="AP1317">
        <v>77.34</v>
      </c>
      <c r="AR1317" t="str" cm="1">
        <f t="array" ref="AR1317:AS1317">_xlfn.TEXTSPLIT(AN1317," ")</f>
        <v>26.10.2023</v>
      </c>
      <c r="AS1317" t="str">
        <v>21:57:21</v>
      </c>
      <c r="AT1317">
        <f t="shared" si="331"/>
        <v>21.900000000000038</v>
      </c>
      <c r="AU1317">
        <f t="shared" si="326"/>
        <v>16.03</v>
      </c>
      <c r="AV1317">
        <f t="shared" si="327"/>
        <v>0.15</v>
      </c>
      <c r="AW1317">
        <f t="shared" si="319"/>
        <v>0.60499999999999998</v>
      </c>
    </row>
    <row r="1318" spans="1:49" x14ac:dyDescent="0.25">
      <c r="A1318" t="s">
        <v>3152</v>
      </c>
      <c r="B1318">
        <v>0</v>
      </c>
      <c r="C1318">
        <v>28.08</v>
      </c>
      <c r="E1318" t="s">
        <v>3152</v>
      </c>
      <c r="F1318">
        <v>1.2</v>
      </c>
      <c r="G1318">
        <v>101.84</v>
      </c>
      <c r="I1318" t="str" cm="1">
        <f t="array" ref="I1318:J1318">_xlfn.TEXTSPLIT(A1318," ")</f>
        <v>27.10.2023</v>
      </c>
      <c r="J1318" t="str">
        <v>21:58:09</v>
      </c>
      <c r="K1318">
        <f t="shared" si="328"/>
        <v>21.916666666666703</v>
      </c>
      <c r="L1318">
        <f t="shared" si="321"/>
        <v>13.759999999999998</v>
      </c>
      <c r="M1318">
        <f t="shared" si="322"/>
        <v>0</v>
      </c>
      <c r="N1318">
        <f t="shared" si="316"/>
        <v>0.59250000000000003</v>
      </c>
      <c r="Q1318" t="str" cm="1">
        <f t="array" ref="Q1318:R1318">_xlfn.TEXTSPLIT(E1318," ")</f>
        <v>27.10.2023</v>
      </c>
      <c r="R1318" t="str">
        <v>21:58:09</v>
      </c>
      <c r="S1318">
        <f t="shared" si="329"/>
        <v>21.916666666666703</v>
      </c>
      <c r="T1318">
        <f t="shared" si="320"/>
        <v>23.240000000000009</v>
      </c>
      <c r="U1318">
        <f t="shared" si="323"/>
        <v>1.2</v>
      </c>
      <c r="V1318">
        <f t="shared" si="317"/>
        <v>1.0749999999999997</v>
      </c>
      <c r="AC1318" t="s">
        <v>3153</v>
      </c>
      <c r="AD1318">
        <v>0</v>
      </c>
      <c r="AE1318">
        <v>13.55</v>
      </c>
      <c r="AG1318" t="str" cm="1">
        <f t="array" ref="AG1318:AH1318">_xlfn.TEXTSPLIT(AC1319," ")</f>
        <v>26.10.2023</v>
      </c>
      <c r="AH1318" t="str">
        <v>21:59:21</v>
      </c>
      <c r="AI1318">
        <f t="shared" si="330"/>
        <v>21.916666666666703</v>
      </c>
      <c r="AJ1318">
        <f t="shared" si="324"/>
        <v>9.02</v>
      </c>
      <c r="AK1318">
        <f t="shared" si="325"/>
        <v>0</v>
      </c>
      <c r="AL1318">
        <f t="shared" si="318"/>
        <v>0.37249999999999989</v>
      </c>
      <c r="AN1318" t="s">
        <v>3153</v>
      </c>
      <c r="AO1318">
        <v>0</v>
      </c>
      <c r="AP1318">
        <v>77.349999999999994</v>
      </c>
      <c r="AR1318" t="str" cm="1">
        <f t="array" ref="AR1318:AS1318">_xlfn.TEXTSPLIT(AN1318," ")</f>
        <v>26.10.2023</v>
      </c>
      <c r="AS1318" t="str">
        <v>21:58:21</v>
      </c>
      <c r="AT1318">
        <f t="shared" si="331"/>
        <v>21.916666666666703</v>
      </c>
      <c r="AU1318">
        <f t="shared" si="326"/>
        <v>16.039999999999992</v>
      </c>
      <c r="AV1318">
        <f t="shared" si="327"/>
        <v>0</v>
      </c>
      <c r="AW1318">
        <f t="shared" si="319"/>
        <v>0.60249999999999992</v>
      </c>
    </row>
    <row r="1319" spans="1:49" x14ac:dyDescent="0.25">
      <c r="A1319" t="s">
        <v>3154</v>
      </c>
      <c r="B1319">
        <v>0.15</v>
      </c>
      <c r="C1319">
        <v>28.08</v>
      </c>
      <c r="E1319" t="s">
        <v>3154</v>
      </c>
      <c r="F1319">
        <v>1.2</v>
      </c>
      <c r="G1319">
        <v>101.85</v>
      </c>
      <c r="I1319" t="str" cm="1">
        <f t="array" ref="I1319:J1319">_xlfn.TEXTSPLIT(A1319," ")</f>
        <v>27.10.2023</v>
      </c>
      <c r="J1319" t="str">
        <v>21:59:10</v>
      </c>
      <c r="K1319">
        <f t="shared" si="328"/>
        <v>21.933333333333369</v>
      </c>
      <c r="L1319">
        <f t="shared" si="321"/>
        <v>13.759999999999998</v>
      </c>
      <c r="M1319">
        <f t="shared" si="322"/>
        <v>0.15</v>
      </c>
      <c r="N1319">
        <f t="shared" si="316"/>
        <v>0.59250000000000003</v>
      </c>
      <c r="Q1319" t="str" cm="1">
        <f t="array" ref="Q1319:R1319">_xlfn.TEXTSPLIT(E1319," ")</f>
        <v>27.10.2023</v>
      </c>
      <c r="R1319" t="str">
        <v>21:59:10</v>
      </c>
      <c r="S1319">
        <f t="shared" si="329"/>
        <v>21.933333333333369</v>
      </c>
      <c r="T1319">
        <f t="shared" si="320"/>
        <v>23.25</v>
      </c>
      <c r="U1319">
        <f t="shared" si="323"/>
        <v>1.2</v>
      </c>
      <c r="V1319">
        <f t="shared" si="317"/>
        <v>1.0849999999999997</v>
      </c>
      <c r="AC1319" t="s">
        <v>3155</v>
      </c>
      <c r="AD1319">
        <v>0</v>
      </c>
      <c r="AE1319">
        <v>13.55</v>
      </c>
      <c r="AG1319" t="str" cm="1">
        <f t="array" ref="AG1319:AH1319">_xlfn.TEXTSPLIT(AC1320," ")</f>
        <v>26.10.2023</v>
      </c>
      <c r="AH1319" t="str">
        <v>22:00:21</v>
      </c>
      <c r="AI1319">
        <f t="shared" si="330"/>
        <v>21.933333333333369</v>
      </c>
      <c r="AJ1319">
        <f t="shared" si="324"/>
        <v>9.02</v>
      </c>
      <c r="AK1319">
        <f t="shared" si="325"/>
        <v>0</v>
      </c>
      <c r="AL1319">
        <f t="shared" si="318"/>
        <v>0.37249999999999989</v>
      </c>
      <c r="AN1319" t="s">
        <v>3155</v>
      </c>
      <c r="AO1319">
        <v>0.15</v>
      </c>
      <c r="AP1319">
        <v>77.349999999999994</v>
      </c>
      <c r="AR1319" t="str" cm="1">
        <f t="array" ref="AR1319:AS1319">_xlfn.TEXTSPLIT(AN1319," ")</f>
        <v>26.10.2023</v>
      </c>
      <c r="AS1319" t="str">
        <v>21:59:21</v>
      </c>
      <c r="AT1319">
        <f t="shared" si="331"/>
        <v>21.933333333333369</v>
      </c>
      <c r="AU1319">
        <f t="shared" si="326"/>
        <v>16.039999999999992</v>
      </c>
      <c r="AV1319">
        <f t="shared" si="327"/>
        <v>0.15</v>
      </c>
      <c r="AW1319">
        <f t="shared" si="319"/>
        <v>0.60249999999999981</v>
      </c>
    </row>
    <row r="1320" spans="1:49" x14ac:dyDescent="0.25">
      <c r="A1320" t="s">
        <v>3156</v>
      </c>
      <c r="B1320">
        <v>0.15</v>
      </c>
      <c r="C1320">
        <v>28.08</v>
      </c>
      <c r="E1320" t="s">
        <v>3156</v>
      </c>
      <c r="F1320">
        <v>0.75</v>
      </c>
      <c r="G1320">
        <v>101.87</v>
      </c>
      <c r="I1320" t="str" cm="1">
        <f t="array" ref="I1320:J1320">_xlfn.TEXTSPLIT(A1320," ")</f>
        <v>27.10.2023</v>
      </c>
      <c r="J1320" t="str">
        <v>22:00:10</v>
      </c>
      <c r="K1320">
        <f t="shared" si="328"/>
        <v>21.950000000000035</v>
      </c>
      <c r="L1320">
        <f t="shared" si="321"/>
        <v>13.759999999999998</v>
      </c>
      <c r="M1320">
        <f t="shared" si="322"/>
        <v>0.15</v>
      </c>
      <c r="N1320">
        <f t="shared" si="316"/>
        <v>0.59250000000000003</v>
      </c>
      <c r="Q1320" t="str" cm="1">
        <f t="array" ref="Q1320:R1320">_xlfn.TEXTSPLIT(E1320," ")</f>
        <v>27.10.2023</v>
      </c>
      <c r="R1320" t="str">
        <v>22:00:10</v>
      </c>
      <c r="S1320">
        <f t="shared" si="329"/>
        <v>21.950000000000035</v>
      </c>
      <c r="T1320">
        <f t="shared" si="320"/>
        <v>23.27000000000001</v>
      </c>
      <c r="U1320">
        <f t="shared" si="323"/>
        <v>0.75</v>
      </c>
      <c r="V1320">
        <f t="shared" si="317"/>
        <v>1.0849999999999997</v>
      </c>
      <c r="AC1320" t="s">
        <v>3157</v>
      </c>
      <c r="AD1320">
        <v>0</v>
      </c>
      <c r="AE1320">
        <v>13.55</v>
      </c>
      <c r="AG1320" t="str" cm="1">
        <f t="array" ref="AG1320:AH1320">_xlfn.TEXTSPLIT(AC1321," ")</f>
        <v>26.10.2023</v>
      </c>
      <c r="AH1320" t="str">
        <v>22:01:21</v>
      </c>
      <c r="AI1320">
        <f t="shared" si="330"/>
        <v>21.950000000000035</v>
      </c>
      <c r="AJ1320">
        <f t="shared" si="324"/>
        <v>9.02</v>
      </c>
      <c r="AK1320">
        <f t="shared" si="325"/>
        <v>0</v>
      </c>
      <c r="AL1320">
        <f t="shared" si="318"/>
        <v>0.37249999999999989</v>
      </c>
      <c r="AN1320" t="s">
        <v>3157</v>
      </c>
      <c r="AO1320">
        <v>0.15</v>
      </c>
      <c r="AP1320">
        <v>77.349999999999994</v>
      </c>
      <c r="AR1320" t="str" cm="1">
        <f t="array" ref="AR1320:AS1320">_xlfn.TEXTSPLIT(AN1320," ")</f>
        <v>26.10.2023</v>
      </c>
      <c r="AS1320" t="str">
        <v>22:00:21</v>
      </c>
      <c r="AT1320">
        <f t="shared" si="331"/>
        <v>21.950000000000035</v>
      </c>
      <c r="AU1320">
        <f t="shared" si="326"/>
        <v>16.039999999999992</v>
      </c>
      <c r="AV1320">
        <f t="shared" si="327"/>
        <v>0.15</v>
      </c>
      <c r="AW1320">
        <f t="shared" si="319"/>
        <v>0.60249999999999981</v>
      </c>
    </row>
    <row r="1321" spans="1:49" x14ac:dyDescent="0.25">
      <c r="A1321" t="s">
        <v>3158</v>
      </c>
      <c r="B1321">
        <v>0.3</v>
      </c>
      <c r="C1321">
        <v>28.09</v>
      </c>
      <c r="E1321" t="s">
        <v>3158</v>
      </c>
      <c r="F1321">
        <v>0.75</v>
      </c>
      <c r="G1321">
        <v>101.88</v>
      </c>
      <c r="I1321" t="str" cm="1">
        <f t="array" ref="I1321:J1321">_xlfn.TEXTSPLIT(A1321," ")</f>
        <v>27.10.2023</v>
      </c>
      <c r="J1321" t="str">
        <v>22:01:10</v>
      </c>
      <c r="K1321">
        <f t="shared" si="328"/>
        <v>21.966666666666701</v>
      </c>
      <c r="L1321">
        <f t="shared" si="321"/>
        <v>13.77</v>
      </c>
      <c r="M1321">
        <f t="shared" si="322"/>
        <v>0.3</v>
      </c>
      <c r="N1321">
        <f t="shared" si="316"/>
        <v>0.59250000000000003</v>
      </c>
      <c r="Q1321" t="str" cm="1">
        <f t="array" ref="Q1321:R1321">_xlfn.TEXTSPLIT(E1321," ")</f>
        <v>27.10.2023</v>
      </c>
      <c r="R1321" t="str">
        <v>22:01:10</v>
      </c>
      <c r="S1321">
        <f t="shared" si="329"/>
        <v>21.966666666666701</v>
      </c>
      <c r="T1321">
        <f t="shared" si="320"/>
        <v>23.28</v>
      </c>
      <c r="U1321">
        <f t="shared" si="323"/>
        <v>0.75</v>
      </c>
      <c r="V1321">
        <f t="shared" si="317"/>
        <v>1.085</v>
      </c>
      <c r="AC1321" t="s">
        <v>3159</v>
      </c>
      <c r="AD1321">
        <v>0</v>
      </c>
      <c r="AE1321">
        <v>13.55</v>
      </c>
      <c r="AG1321" t="str" cm="1">
        <f t="array" ref="AG1321:AH1321">_xlfn.TEXTSPLIT(AC1322," ")</f>
        <v>26.10.2023</v>
      </c>
      <c r="AH1321" t="str">
        <v>22:02:21</v>
      </c>
      <c r="AI1321">
        <f t="shared" si="330"/>
        <v>21.966666666666701</v>
      </c>
      <c r="AJ1321">
        <f t="shared" si="324"/>
        <v>9.02</v>
      </c>
      <c r="AK1321">
        <f t="shared" si="325"/>
        <v>0</v>
      </c>
      <c r="AL1321">
        <f t="shared" si="318"/>
        <v>0.37249999999999989</v>
      </c>
      <c r="AN1321" t="s">
        <v>3159</v>
      </c>
      <c r="AO1321">
        <v>0.15</v>
      </c>
      <c r="AP1321">
        <v>77.349999999999994</v>
      </c>
      <c r="AR1321" t="str" cm="1">
        <f t="array" ref="AR1321:AS1321">_xlfn.TEXTSPLIT(AN1321," ")</f>
        <v>26.10.2023</v>
      </c>
      <c r="AS1321" t="str">
        <v>22:01:21</v>
      </c>
      <c r="AT1321">
        <f t="shared" si="331"/>
        <v>21.966666666666701</v>
      </c>
      <c r="AU1321">
        <f t="shared" si="326"/>
        <v>16.039999999999992</v>
      </c>
      <c r="AV1321">
        <f t="shared" si="327"/>
        <v>0.15</v>
      </c>
      <c r="AW1321">
        <f t="shared" si="319"/>
        <v>0.59999999999999976</v>
      </c>
    </row>
    <row r="1322" spans="1:49" x14ac:dyDescent="0.25">
      <c r="A1322" t="s">
        <v>3160</v>
      </c>
      <c r="B1322">
        <v>0.45</v>
      </c>
      <c r="C1322">
        <v>28.1</v>
      </c>
      <c r="E1322" t="s">
        <v>3160</v>
      </c>
      <c r="F1322">
        <v>0.6</v>
      </c>
      <c r="G1322">
        <v>101.89</v>
      </c>
      <c r="I1322" t="str" cm="1">
        <f t="array" ref="I1322:J1322">_xlfn.TEXTSPLIT(A1322," ")</f>
        <v>27.10.2023</v>
      </c>
      <c r="J1322" t="str">
        <v>22:02:10</v>
      </c>
      <c r="K1322">
        <f t="shared" si="328"/>
        <v>21.983333333333366</v>
      </c>
      <c r="L1322">
        <f t="shared" si="321"/>
        <v>13.780000000000001</v>
      </c>
      <c r="M1322">
        <f t="shared" si="322"/>
        <v>0.45</v>
      </c>
      <c r="N1322">
        <f t="shared" si="316"/>
        <v>0.59500000000000008</v>
      </c>
      <c r="Q1322" t="str" cm="1">
        <f t="array" ref="Q1322:R1322">_xlfn.TEXTSPLIT(E1322," ")</f>
        <v>27.10.2023</v>
      </c>
      <c r="R1322" t="str">
        <v>22:02:10</v>
      </c>
      <c r="S1322">
        <f t="shared" si="329"/>
        <v>21.983333333333366</v>
      </c>
      <c r="T1322">
        <f t="shared" si="320"/>
        <v>23.290000000000006</v>
      </c>
      <c r="U1322">
        <f t="shared" si="323"/>
        <v>0.6</v>
      </c>
      <c r="V1322">
        <f t="shared" si="317"/>
        <v>1.0849999999999997</v>
      </c>
      <c r="AC1322" t="s">
        <v>3161</v>
      </c>
      <c r="AD1322">
        <v>0</v>
      </c>
      <c r="AE1322">
        <v>13.55</v>
      </c>
      <c r="AG1322" t="str" cm="1">
        <f t="array" ref="AG1322:AH1322">_xlfn.TEXTSPLIT(AC1323," ")</f>
        <v>26.10.2023</v>
      </c>
      <c r="AH1322" t="str">
        <v>22:03:21</v>
      </c>
      <c r="AI1322">
        <f t="shared" si="330"/>
        <v>21.983333333333366</v>
      </c>
      <c r="AJ1322">
        <f t="shared" si="324"/>
        <v>9.02</v>
      </c>
      <c r="AK1322">
        <f t="shared" si="325"/>
        <v>0</v>
      </c>
      <c r="AL1322">
        <f t="shared" si="318"/>
        <v>0.37249999999999989</v>
      </c>
      <c r="AN1322" t="s">
        <v>3161</v>
      </c>
      <c r="AO1322">
        <v>0.3</v>
      </c>
      <c r="AP1322">
        <v>77.36</v>
      </c>
      <c r="AR1322" t="str" cm="1">
        <f t="array" ref="AR1322:AS1322">_xlfn.TEXTSPLIT(AN1322," ")</f>
        <v>26.10.2023</v>
      </c>
      <c r="AS1322" t="str">
        <v>22:02:21</v>
      </c>
      <c r="AT1322">
        <f t="shared" si="331"/>
        <v>21.983333333333366</v>
      </c>
      <c r="AU1322">
        <f t="shared" si="326"/>
        <v>16.049999999999997</v>
      </c>
      <c r="AV1322">
        <f t="shared" si="327"/>
        <v>0.3</v>
      </c>
      <c r="AW1322">
        <f t="shared" si="319"/>
        <v>0.6024999999999997</v>
      </c>
    </row>
    <row r="1323" spans="1:49" x14ac:dyDescent="0.25">
      <c r="A1323" t="s">
        <v>3162</v>
      </c>
      <c r="B1323">
        <v>0.3</v>
      </c>
      <c r="C1323">
        <v>28.1</v>
      </c>
      <c r="E1323" t="s">
        <v>3162</v>
      </c>
      <c r="F1323">
        <v>0.75</v>
      </c>
      <c r="G1323">
        <v>101.9</v>
      </c>
      <c r="I1323" t="str" cm="1">
        <f t="array" ref="I1323:J1323">_xlfn.TEXTSPLIT(A1323," ")</f>
        <v>27.10.2023</v>
      </c>
      <c r="J1323" t="str">
        <v>22:03:10</v>
      </c>
      <c r="K1323">
        <f t="shared" si="328"/>
        <v>22.000000000000032</v>
      </c>
      <c r="L1323">
        <f t="shared" si="321"/>
        <v>13.780000000000001</v>
      </c>
      <c r="M1323">
        <f t="shared" si="322"/>
        <v>0.3</v>
      </c>
      <c r="N1323">
        <f t="shared" si="316"/>
        <v>0.5924999999999998</v>
      </c>
      <c r="Q1323" t="str" cm="1">
        <f t="array" ref="Q1323:R1323">_xlfn.TEXTSPLIT(E1323," ")</f>
        <v>27.10.2023</v>
      </c>
      <c r="R1323" t="str">
        <v>22:03:10</v>
      </c>
      <c r="S1323">
        <f t="shared" si="329"/>
        <v>22.000000000000032</v>
      </c>
      <c r="T1323">
        <f t="shared" si="320"/>
        <v>23.300000000000011</v>
      </c>
      <c r="U1323">
        <f t="shared" si="323"/>
        <v>0.75</v>
      </c>
      <c r="V1323">
        <f t="shared" si="317"/>
        <v>1.0849999999999997</v>
      </c>
      <c r="AC1323" t="s">
        <v>3163</v>
      </c>
      <c r="AD1323">
        <v>0</v>
      </c>
      <c r="AE1323">
        <v>13.55</v>
      </c>
      <c r="AG1323" t="str" cm="1">
        <f t="array" ref="AG1323:AH1323">_xlfn.TEXTSPLIT(AC1324," ")</f>
        <v>26.10.2023</v>
      </c>
      <c r="AH1323" t="str">
        <v>22:04:21</v>
      </c>
      <c r="AI1323">
        <f t="shared" si="330"/>
        <v>22.000000000000032</v>
      </c>
      <c r="AJ1323">
        <f t="shared" si="324"/>
        <v>9.02</v>
      </c>
      <c r="AK1323">
        <f t="shared" si="325"/>
        <v>0</v>
      </c>
      <c r="AL1323">
        <f t="shared" si="318"/>
        <v>0.37249999999999989</v>
      </c>
      <c r="AN1323" t="s">
        <v>3163</v>
      </c>
      <c r="AO1323">
        <v>0.3</v>
      </c>
      <c r="AP1323">
        <v>77.36</v>
      </c>
      <c r="AR1323" t="str" cm="1">
        <f t="array" ref="AR1323:AS1323">_xlfn.TEXTSPLIT(AN1323," ")</f>
        <v>26.10.2023</v>
      </c>
      <c r="AS1323" t="str">
        <v>22:03:21</v>
      </c>
      <c r="AT1323">
        <f t="shared" si="331"/>
        <v>22.000000000000032</v>
      </c>
      <c r="AU1323">
        <f t="shared" si="326"/>
        <v>16.049999999999997</v>
      </c>
      <c r="AV1323">
        <f t="shared" si="327"/>
        <v>0.3</v>
      </c>
      <c r="AW1323">
        <f t="shared" si="319"/>
        <v>0.59999999999999976</v>
      </c>
    </row>
    <row r="1324" spans="1:49" x14ac:dyDescent="0.25">
      <c r="A1324" t="s">
        <v>3164</v>
      </c>
      <c r="B1324">
        <v>0.3</v>
      </c>
      <c r="C1324">
        <v>28.11</v>
      </c>
      <c r="E1324" t="s">
        <v>3164</v>
      </c>
      <c r="F1324">
        <v>0.75</v>
      </c>
      <c r="G1324">
        <v>101.92</v>
      </c>
      <c r="I1324" t="str" cm="1">
        <f t="array" ref="I1324:J1324">_xlfn.TEXTSPLIT(A1324," ")</f>
        <v>27.10.2023</v>
      </c>
      <c r="J1324" t="str">
        <v>22:04:10</v>
      </c>
      <c r="K1324">
        <f t="shared" si="328"/>
        <v>22.016666666666698</v>
      </c>
      <c r="L1324">
        <f t="shared" si="321"/>
        <v>13.79</v>
      </c>
      <c r="M1324">
        <f t="shared" si="322"/>
        <v>0.3</v>
      </c>
      <c r="N1324">
        <f t="shared" si="316"/>
        <v>0.58999999999999986</v>
      </c>
      <c r="Q1324" t="str" cm="1">
        <f t="array" ref="Q1324:R1324">_xlfn.TEXTSPLIT(E1324," ")</f>
        <v>27.10.2023</v>
      </c>
      <c r="R1324" t="str">
        <v>22:04:10</v>
      </c>
      <c r="S1324">
        <f t="shared" si="329"/>
        <v>22.016666666666698</v>
      </c>
      <c r="T1324">
        <f t="shared" si="320"/>
        <v>23.320000000000007</v>
      </c>
      <c r="U1324">
        <f t="shared" si="323"/>
        <v>0.75</v>
      </c>
      <c r="V1324">
        <f t="shared" si="317"/>
        <v>1.0725</v>
      </c>
      <c r="AC1324" t="s">
        <v>3165</v>
      </c>
      <c r="AD1324">
        <v>0</v>
      </c>
      <c r="AE1324">
        <v>13.55</v>
      </c>
      <c r="AG1324" t="str" cm="1">
        <f t="array" ref="AG1324:AH1324">_xlfn.TEXTSPLIT(AC1325," ")</f>
        <v>26.10.2023</v>
      </c>
      <c r="AH1324" t="str">
        <v>22:05:21</v>
      </c>
      <c r="AI1324">
        <f t="shared" si="330"/>
        <v>22.016666666666698</v>
      </c>
      <c r="AJ1324">
        <f t="shared" si="324"/>
        <v>9.02</v>
      </c>
      <c r="AK1324">
        <f t="shared" si="325"/>
        <v>0</v>
      </c>
      <c r="AL1324">
        <f t="shared" si="318"/>
        <v>0.37249999999999989</v>
      </c>
      <c r="AN1324" t="s">
        <v>3165</v>
      </c>
      <c r="AO1324">
        <v>0.15</v>
      </c>
      <c r="AP1324">
        <v>77.37</v>
      </c>
      <c r="AR1324" t="str" cm="1">
        <f t="array" ref="AR1324:AS1324">_xlfn.TEXTSPLIT(AN1324," ")</f>
        <v>26.10.2023</v>
      </c>
      <c r="AS1324" t="str">
        <v>22:04:21</v>
      </c>
      <c r="AT1324">
        <f t="shared" si="331"/>
        <v>22.016666666666698</v>
      </c>
      <c r="AU1324">
        <f t="shared" si="326"/>
        <v>16.060000000000002</v>
      </c>
      <c r="AV1324">
        <f t="shared" si="327"/>
        <v>0.15</v>
      </c>
      <c r="AW1324">
        <f t="shared" si="319"/>
        <v>0.59749999999999981</v>
      </c>
    </row>
    <row r="1325" spans="1:49" x14ac:dyDescent="0.25">
      <c r="A1325" t="s">
        <v>3166</v>
      </c>
      <c r="B1325">
        <v>0.45</v>
      </c>
      <c r="C1325">
        <v>28.11</v>
      </c>
      <c r="E1325" t="s">
        <v>3166</v>
      </c>
      <c r="F1325">
        <v>0.75</v>
      </c>
      <c r="G1325">
        <v>101.93</v>
      </c>
      <c r="I1325" t="str" cm="1">
        <f t="array" ref="I1325:J1325">_xlfn.TEXTSPLIT(A1325," ")</f>
        <v>27.10.2023</v>
      </c>
      <c r="J1325" t="str">
        <v>22:05:10</v>
      </c>
      <c r="K1325">
        <f t="shared" si="328"/>
        <v>22.033333333333363</v>
      </c>
      <c r="L1325">
        <f t="shared" si="321"/>
        <v>13.79</v>
      </c>
      <c r="M1325">
        <f t="shared" si="322"/>
        <v>0.45</v>
      </c>
      <c r="N1325">
        <f t="shared" si="316"/>
        <v>0.5924999999999998</v>
      </c>
      <c r="Q1325" t="str" cm="1">
        <f t="array" ref="Q1325:R1325">_xlfn.TEXTSPLIT(E1325," ")</f>
        <v>27.10.2023</v>
      </c>
      <c r="R1325" t="str">
        <v>22:05:10</v>
      </c>
      <c r="S1325">
        <f t="shared" si="329"/>
        <v>22.033333333333363</v>
      </c>
      <c r="T1325">
        <f t="shared" si="320"/>
        <v>23.330000000000013</v>
      </c>
      <c r="U1325">
        <f t="shared" si="323"/>
        <v>0.75</v>
      </c>
      <c r="V1325">
        <f t="shared" si="317"/>
        <v>1.0599999999999998</v>
      </c>
      <c r="AC1325" t="s">
        <v>3167</v>
      </c>
      <c r="AD1325">
        <v>0</v>
      </c>
      <c r="AE1325">
        <v>13.55</v>
      </c>
      <c r="AG1325" t="str" cm="1">
        <f t="array" ref="AG1325:AH1325">_xlfn.TEXTSPLIT(AC1326," ")</f>
        <v>26.10.2023</v>
      </c>
      <c r="AH1325" t="str">
        <v>22:06:21</v>
      </c>
      <c r="AI1325">
        <f t="shared" si="330"/>
        <v>22.033333333333363</v>
      </c>
      <c r="AJ1325">
        <f t="shared" si="324"/>
        <v>9.02</v>
      </c>
      <c r="AK1325">
        <f t="shared" si="325"/>
        <v>0</v>
      </c>
      <c r="AL1325">
        <f t="shared" si="318"/>
        <v>0.37249999999999989</v>
      </c>
      <c r="AN1325" t="s">
        <v>3167</v>
      </c>
      <c r="AO1325">
        <v>0.3</v>
      </c>
      <c r="AP1325">
        <v>77.37</v>
      </c>
      <c r="AR1325" t="str" cm="1">
        <f t="array" ref="AR1325:AS1325">_xlfn.TEXTSPLIT(AN1325," ")</f>
        <v>26.10.2023</v>
      </c>
      <c r="AS1325" t="str">
        <v>22:05:21</v>
      </c>
      <c r="AT1325">
        <f t="shared" si="331"/>
        <v>22.033333333333363</v>
      </c>
      <c r="AU1325">
        <f t="shared" si="326"/>
        <v>16.060000000000002</v>
      </c>
      <c r="AV1325">
        <f t="shared" si="327"/>
        <v>0.3</v>
      </c>
      <c r="AW1325">
        <f t="shared" si="319"/>
        <v>0.59499999999999986</v>
      </c>
    </row>
    <row r="1326" spans="1:49" x14ac:dyDescent="0.25">
      <c r="A1326" t="s">
        <v>3168</v>
      </c>
      <c r="B1326">
        <v>0.3</v>
      </c>
      <c r="C1326">
        <v>28.12</v>
      </c>
      <c r="E1326" t="s">
        <v>3168</v>
      </c>
      <c r="F1326">
        <v>2.85</v>
      </c>
      <c r="G1326">
        <v>101.98</v>
      </c>
      <c r="I1326" t="str" cm="1">
        <f t="array" ref="I1326:J1326">_xlfn.TEXTSPLIT(A1326," ")</f>
        <v>27.10.2023</v>
      </c>
      <c r="J1326" t="str">
        <v>22:06:10</v>
      </c>
      <c r="K1326">
        <f t="shared" si="328"/>
        <v>22.050000000000029</v>
      </c>
      <c r="L1326">
        <f t="shared" si="321"/>
        <v>13.8</v>
      </c>
      <c r="M1326">
        <f t="shared" si="322"/>
        <v>0.3</v>
      </c>
      <c r="N1326">
        <f t="shared" si="316"/>
        <v>0.58999999999999986</v>
      </c>
      <c r="Q1326" t="str" cm="1">
        <f t="array" ref="Q1326:R1326">_xlfn.TEXTSPLIT(E1326," ")</f>
        <v>27.10.2023</v>
      </c>
      <c r="R1326" t="str">
        <v>22:06:10</v>
      </c>
      <c r="S1326">
        <f t="shared" si="329"/>
        <v>22.050000000000029</v>
      </c>
      <c r="T1326">
        <f t="shared" si="320"/>
        <v>23.38000000000001</v>
      </c>
      <c r="U1326">
        <f t="shared" si="323"/>
        <v>2.85</v>
      </c>
      <c r="V1326">
        <f t="shared" si="317"/>
        <v>1.0774999999999999</v>
      </c>
      <c r="AC1326" t="s">
        <v>3169</v>
      </c>
      <c r="AD1326">
        <v>0</v>
      </c>
      <c r="AE1326">
        <v>13.55</v>
      </c>
      <c r="AG1326" t="str" cm="1">
        <f t="array" ref="AG1326:AH1326">_xlfn.TEXTSPLIT(AC1327," ")</f>
        <v>26.10.2023</v>
      </c>
      <c r="AH1326" t="str">
        <v>22:07:21</v>
      </c>
      <c r="AI1326">
        <f t="shared" si="330"/>
        <v>22.050000000000029</v>
      </c>
      <c r="AJ1326">
        <f t="shared" si="324"/>
        <v>9.02</v>
      </c>
      <c r="AK1326">
        <f t="shared" si="325"/>
        <v>0</v>
      </c>
      <c r="AL1326">
        <f t="shared" si="318"/>
        <v>0.37249999999999989</v>
      </c>
      <c r="AN1326" t="s">
        <v>3169</v>
      </c>
      <c r="AO1326">
        <v>0.45</v>
      </c>
      <c r="AP1326">
        <v>77.38</v>
      </c>
      <c r="AR1326" t="str" cm="1">
        <f t="array" ref="AR1326:AS1326">_xlfn.TEXTSPLIT(AN1326," ")</f>
        <v>26.10.2023</v>
      </c>
      <c r="AS1326" t="str">
        <v>22:06:21</v>
      </c>
      <c r="AT1326">
        <f t="shared" si="331"/>
        <v>22.050000000000029</v>
      </c>
      <c r="AU1326">
        <f t="shared" si="326"/>
        <v>16.069999999999993</v>
      </c>
      <c r="AV1326">
        <f t="shared" si="327"/>
        <v>0.45</v>
      </c>
      <c r="AW1326">
        <f t="shared" si="319"/>
        <v>0.59499999999999986</v>
      </c>
    </row>
    <row r="1327" spans="1:49" x14ac:dyDescent="0.25">
      <c r="A1327" t="s">
        <v>3170</v>
      </c>
      <c r="B1327">
        <v>1.05</v>
      </c>
      <c r="C1327">
        <v>28.14</v>
      </c>
      <c r="E1327" t="s">
        <v>3170</v>
      </c>
      <c r="F1327">
        <v>2.4</v>
      </c>
      <c r="G1327">
        <v>102.01</v>
      </c>
      <c r="I1327" t="str" cm="1">
        <f t="array" ref="I1327:J1327">_xlfn.TEXTSPLIT(A1327," ")</f>
        <v>27.10.2023</v>
      </c>
      <c r="J1327" t="str">
        <v>22:07:10</v>
      </c>
      <c r="K1327">
        <f t="shared" si="328"/>
        <v>22.066666666666695</v>
      </c>
      <c r="L1327">
        <f t="shared" si="321"/>
        <v>13.82</v>
      </c>
      <c r="M1327">
        <f t="shared" si="322"/>
        <v>1.05</v>
      </c>
      <c r="N1327">
        <f t="shared" si="316"/>
        <v>0.59749999999999981</v>
      </c>
      <c r="Q1327" t="str" cm="1">
        <f t="array" ref="Q1327:R1327">_xlfn.TEXTSPLIT(E1327," ")</f>
        <v>27.10.2023</v>
      </c>
      <c r="R1327" t="str">
        <v>22:07:10</v>
      </c>
      <c r="S1327">
        <f t="shared" si="329"/>
        <v>22.066666666666695</v>
      </c>
      <c r="T1327">
        <f t="shared" si="320"/>
        <v>23.410000000000011</v>
      </c>
      <c r="U1327">
        <f t="shared" si="323"/>
        <v>2.4</v>
      </c>
      <c r="V1327">
        <f t="shared" si="317"/>
        <v>1.0774999999999999</v>
      </c>
      <c r="AC1327" t="s">
        <v>3171</v>
      </c>
      <c r="AD1327">
        <v>0.15</v>
      </c>
      <c r="AE1327">
        <v>13.55</v>
      </c>
      <c r="AG1327" t="str" cm="1">
        <f t="array" ref="AG1327:AH1327">_xlfn.TEXTSPLIT(AC1328," ")</f>
        <v>26.10.2023</v>
      </c>
      <c r="AH1327" t="str">
        <v>22:08:21</v>
      </c>
      <c r="AI1327">
        <f t="shared" si="330"/>
        <v>22.066666666666695</v>
      </c>
      <c r="AJ1327">
        <f t="shared" si="324"/>
        <v>9.02</v>
      </c>
      <c r="AK1327">
        <f t="shared" si="325"/>
        <v>0.15</v>
      </c>
      <c r="AL1327">
        <f t="shared" si="318"/>
        <v>0.37499999999999989</v>
      </c>
      <c r="AN1327" t="s">
        <v>3171</v>
      </c>
      <c r="AO1327">
        <v>1.5</v>
      </c>
      <c r="AP1327">
        <v>77.42</v>
      </c>
      <c r="AR1327" t="str" cm="1">
        <f t="array" ref="AR1327:AS1327">_xlfn.TEXTSPLIT(AN1327," ")</f>
        <v>26.10.2023</v>
      </c>
      <c r="AS1327" t="str">
        <v>22:07:21</v>
      </c>
      <c r="AT1327">
        <f t="shared" si="331"/>
        <v>22.066666666666695</v>
      </c>
      <c r="AU1327">
        <f t="shared" si="326"/>
        <v>16.11</v>
      </c>
      <c r="AV1327">
        <f t="shared" si="327"/>
        <v>1.5</v>
      </c>
      <c r="AW1327">
        <f t="shared" si="319"/>
        <v>0.5924999999999998</v>
      </c>
    </row>
    <row r="1328" spans="1:49" x14ac:dyDescent="0.25">
      <c r="A1328" t="s">
        <v>3172</v>
      </c>
      <c r="B1328">
        <v>3</v>
      </c>
      <c r="C1328">
        <v>28.19</v>
      </c>
      <c r="E1328" t="s">
        <v>3172</v>
      </c>
      <c r="F1328">
        <v>1.8</v>
      </c>
      <c r="G1328">
        <v>102.04</v>
      </c>
      <c r="I1328" t="str" cm="1">
        <f t="array" ref="I1328:J1328">_xlfn.TEXTSPLIT(A1328," ")</f>
        <v>27.10.2023</v>
      </c>
      <c r="J1328" t="str">
        <v>22:08:10</v>
      </c>
      <c r="K1328">
        <f t="shared" si="328"/>
        <v>22.083333333333361</v>
      </c>
      <c r="L1328">
        <f t="shared" si="321"/>
        <v>13.870000000000001</v>
      </c>
      <c r="M1328">
        <f t="shared" si="322"/>
        <v>3</v>
      </c>
      <c r="N1328">
        <f t="shared" si="316"/>
        <v>0.61249999999999993</v>
      </c>
      <c r="Q1328" t="str" cm="1">
        <f t="array" ref="Q1328:R1328">_xlfn.TEXTSPLIT(E1328," ")</f>
        <v>27.10.2023</v>
      </c>
      <c r="R1328" t="str">
        <v>22:08:10</v>
      </c>
      <c r="S1328">
        <f t="shared" si="329"/>
        <v>22.083333333333361</v>
      </c>
      <c r="T1328">
        <f t="shared" si="320"/>
        <v>23.440000000000012</v>
      </c>
      <c r="U1328">
        <f t="shared" si="323"/>
        <v>1.8</v>
      </c>
      <c r="V1328">
        <f t="shared" si="317"/>
        <v>1.0599999999999998</v>
      </c>
      <c r="AC1328" t="s">
        <v>3173</v>
      </c>
      <c r="AD1328">
        <v>1.05</v>
      </c>
      <c r="AE1328">
        <v>13.59</v>
      </c>
      <c r="AG1328" t="str" cm="1">
        <f t="array" ref="AG1328:AH1328">_xlfn.TEXTSPLIT(AC1329," ")</f>
        <v>26.10.2023</v>
      </c>
      <c r="AH1328" t="str">
        <v>22:09:22</v>
      </c>
      <c r="AI1328">
        <f t="shared" si="330"/>
        <v>22.083333333333361</v>
      </c>
      <c r="AJ1328">
        <f t="shared" si="324"/>
        <v>9.0599999999999987</v>
      </c>
      <c r="AK1328">
        <f t="shared" si="325"/>
        <v>1.05</v>
      </c>
      <c r="AL1328">
        <f t="shared" si="318"/>
        <v>0.37499999999999989</v>
      </c>
      <c r="AN1328" t="s">
        <v>3173</v>
      </c>
      <c r="AO1328">
        <v>2.7</v>
      </c>
      <c r="AP1328">
        <v>77.459999999999994</v>
      </c>
      <c r="AR1328" t="str" cm="1">
        <f t="array" ref="AR1328:AS1328">_xlfn.TEXTSPLIT(AN1328," ")</f>
        <v>26.10.2023</v>
      </c>
      <c r="AS1328" t="str">
        <v>22:08:21</v>
      </c>
      <c r="AT1328">
        <f t="shared" si="331"/>
        <v>22.083333333333361</v>
      </c>
      <c r="AU1328">
        <f t="shared" si="326"/>
        <v>16.149999999999991</v>
      </c>
      <c r="AV1328">
        <f t="shared" si="327"/>
        <v>2.7</v>
      </c>
      <c r="AW1328">
        <f t="shared" si="319"/>
        <v>0.59</v>
      </c>
    </row>
    <row r="1329" spans="1:49" x14ac:dyDescent="0.25">
      <c r="A1329" t="s">
        <v>3174</v>
      </c>
      <c r="B1329">
        <v>1.5</v>
      </c>
      <c r="C1329">
        <v>28.21</v>
      </c>
      <c r="E1329" t="s">
        <v>3174</v>
      </c>
      <c r="F1329">
        <v>1.95</v>
      </c>
      <c r="G1329">
        <v>102.08</v>
      </c>
      <c r="I1329" t="str" cm="1">
        <f t="array" ref="I1329:J1329">_xlfn.TEXTSPLIT(A1329," ")</f>
        <v>27.10.2023</v>
      </c>
      <c r="J1329" t="str">
        <v>22:09:10</v>
      </c>
      <c r="K1329">
        <f t="shared" si="328"/>
        <v>22.100000000000026</v>
      </c>
      <c r="L1329">
        <f t="shared" si="321"/>
        <v>13.89</v>
      </c>
      <c r="M1329">
        <f t="shared" si="322"/>
        <v>1.5</v>
      </c>
      <c r="N1329">
        <f t="shared" si="316"/>
        <v>0.60499999999999998</v>
      </c>
      <c r="Q1329" t="str" cm="1">
        <f t="array" ref="Q1329:R1329">_xlfn.TEXTSPLIT(E1329," ")</f>
        <v>27.10.2023</v>
      </c>
      <c r="R1329" t="str">
        <v>22:09:10</v>
      </c>
      <c r="S1329">
        <f t="shared" si="329"/>
        <v>22.100000000000026</v>
      </c>
      <c r="T1329">
        <f t="shared" si="320"/>
        <v>23.480000000000004</v>
      </c>
      <c r="U1329">
        <f t="shared" si="323"/>
        <v>1.95</v>
      </c>
      <c r="V1329">
        <f t="shared" si="317"/>
        <v>1.0574999999999999</v>
      </c>
      <c r="AC1329" t="s">
        <v>3175</v>
      </c>
      <c r="AD1329">
        <v>2.5499999999999998</v>
      </c>
      <c r="AE1329">
        <v>13.62</v>
      </c>
      <c r="AG1329" t="str" cm="1">
        <f t="array" ref="AG1329:AH1329">_xlfn.TEXTSPLIT(AC1330," ")</f>
        <v>26.10.2023</v>
      </c>
      <c r="AH1329" t="str">
        <v>22:10:22</v>
      </c>
      <c r="AI1329">
        <f t="shared" si="330"/>
        <v>22.100000000000026</v>
      </c>
      <c r="AJ1329">
        <f t="shared" si="324"/>
        <v>9.09</v>
      </c>
      <c r="AK1329">
        <f t="shared" si="325"/>
        <v>2.5499999999999998</v>
      </c>
      <c r="AL1329">
        <f t="shared" si="318"/>
        <v>0.39750000000000002</v>
      </c>
      <c r="AN1329" t="s">
        <v>3175</v>
      </c>
      <c r="AO1329">
        <v>1.5</v>
      </c>
      <c r="AP1329">
        <v>77.48</v>
      </c>
      <c r="AR1329" t="str" cm="1">
        <f t="array" ref="AR1329:AS1329">_xlfn.TEXTSPLIT(AN1329," ")</f>
        <v>26.10.2023</v>
      </c>
      <c r="AS1329" t="str">
        <v>22:09:22</v>
      </c>
      <c r="AT1329">
        <f t="shared" si="331"/>
        <v>22.100000000000026</v>
      </c>
      <c r="AU1329">
        <f t="shared" si="326"/>
        <v>16.170000000000002</v>
      </c>
      <c r="AV1329">
        <f t="shared" si="327"/>
        <v>1.5</v>
      </c>
      <c r="AW1329">
        <f t="shared" si="319"/>
        <v>0.59249999999999992</v>
      </c>
    </row>
    <row r="1330" spans="1:49" x14ac:dyDescent="0.25">
      <c r="A1330" t="s">
        <v>3176</v>
      </c>
      <c r="B1330">
        <v>1.05</v>
      </c>
      <c r="C1330">
        <v>28.23</v>
      </c>
      <c r="E1330" t="s">
        <v>3176</v>
      </c>
      <c r="F1330">
        <v>1.65</v>
      </c>
      <c r="G1330">
        <v>102.1</v>
      </c>
      <c r="I1330" t="str" cm="1">
        <f t="array" ref="I1330:J1330">_xlfn.TEXTSPLIT(A1330," ")</f>
        <v>27.10.2023</v>
      </c>
      <c r="J1330" t="str">
        <v>22:10:10</v>
      </c>
      <c r="K1330">
        <f t="shared" si="328"/>
        <v>22.116666666666692</v>
      </c>
      <c r="L1330">
        <f t="shared" si="321"/>
        <v>13.91</v>
      </c>
      <c r="M1330">
        <f t="shared" si="322"/>
        <v>1.05</v>
      </c>
      <c r="N1330">
        <f t="shared" si="316"/>
        <v>0.59749999999999992</v>
      </c>
      <c r="Q1330" t="str" cm="1">
        <f t="array" ref="Q1330:R1330">_xlfn.TEXTSPLIT(E1330," ")</f>
        <v>27.10.2023</v>
      </c>
      <c r="R1330" t="str">
        <v>22:10:10</v>
      </c>
      <c r="S1330">
        <f t="shared" si="329"/>
        <v>22.116666666666692</v>
      </c>
      <c r="T1330">
        <f t="shared" si="320"/>
        <v>23.5</v>
      </c>
      <c r="U1330">
        <f t="shared" si="323"/>
        <v>1.65</v>
      </c>
      <c r="V1330">
        <f t="shared" si="317"/>
        <v>1.0599999999999998</v>
      </c>
      <c r="AC1330" t="s">
        <v>3177</v>
      </c>
      <c r="AD1330">
        <v>1.5</v>
      </c>
      <c r="AE1330">
        <v>13.64</v>
      </c>
      <c r="AG1330" t="str" cm="1">
        <f t="array" ref="AG1330:AH1330">_xlfn.TEXTSPLIT(AC1331," ")</f>
        <v>26.10.2023</v>
      </c>
      <c r="AH1330" t="str">
        <v>22:11:22</v>
      </c>
      <c r="AI1330">
        <f t="shared" si="330"/>
        <v>22.116666666666692</v>
      </c>
      <c r="AJ1330">
        <f t="shared" si="324"/>
        <v>9.11</v>
      </c>
      <c r="AK1330">
        <f t="shared" si="325"/>
        <v>1.5</v>
      </c>
      <c r="AL1330">
        <f t="shared" si="318"/>
        <v>0.39249999999999996</v>
      </c>
      <c r="AN1330" t="s">
        <v>3177</v>
      </c>
      <c r="AO1330">
        <v>1.05</v>
      </c>
      <c r="AP1330">
        <v>77.489999999999995</v>
      </c>
      <c r="AR1330" t="str" cm="1">
        <f t="array" ref="AR1330:AS1330">_xlfn.TEXTSPLIT(AN1330," ")</f>
        <v>26.10.2023</v>
      </c>
      <c r="AS1330" t="str">
        <v>22:10:22</v>
      </c>
      <c r="AT1330">
        <f t="shared" si="331"/>
        <v>22.116666666666692</v>
      </c>
      <c r="AU1330">
        <f t="shared" si="326"/>
        <v>16.179999999999993</v>
      </c>
      <c r="AV1330">
        <f t="shared" si="327"/>
        <v>1.05</v>
      </c>
      <c r="AW1330">
        <f t="shared" si="319"/>
        <v>0.5924999999999998</v>
      </c>
    </row>
    <row r="1331" spans="1:49" x14ac:dyDescent="0.25">
      <c r="A1331" t="s">
        <v>3178</v>
      </c>
      <c r="B1331">
        <v>1.05</v>
      </c>
      <c r="C1331">
        <v>28.24</v>
      </c>
      <c r="E1331" t="s">
        <v>3178</v>
      </c>
      <c r="F1331">
        <v>1.2</v>
      </c>
      <c r="G1331">
        <v>102.12</v>
      </c>
      <c r="I1331" t="str" cm="1">
        <f t="array" ref="I1331:J1331">_xlfn.TEXTSPLIT(A1331," ")</f>
        <v>27.10.2023</v>
      </c>
      <c r="J1331" t="str">
        <v>22:11:11</v>
      </c>
      <c r="K1331">
        <f t="shared" si="328"/>
        <v>22.133333333333358</v>
      </c>
      <c r="L1331">
        <f t="shared" si="321"/>
        <v>13.919999999999998</v>
      </c>
      <c r="M1331">
        <f t="shared" si="322"/>
        <v>1.05</v>
      </c>
      <c r="N1331">
        <f t="shared" si="316"/>
        <v>0.5874999999999998</v>
      </c>
      <c r="Q1331" t="str" cm="1">
        <f t="array" ref="Q1331:R1331">_xlfn.TEXTSPLIT(E1331," ")</f>
        <v>27.10.2023</v>
      </c>
      <c r="R1331" t="str">
        <v>22:11:11</v>
      </c>
      <c r="S1331">
        <f t="shared" si="329"/>
        <v>22.133333333333358</v>
      </c>
      <c r="T1331">
        <f t="shared" si="320"/>
        <v>23.52000000000001</v>
      </c>
      <c r="U1331">
        <f t="shared" si="323"/>
        <v>1.2</v>
      </c>
      <c r="V1331">
        <f t="shared" si="317"/>
        <v>1.0525</v>
      </c>
      <c r="AC1331" t="s">
        <v>3179</v>
      </c>
      <c r="AD1331">
        <v>0.9</v>
      </c>
      <c r="AE1331">
        <v>13.65</v>
      </c>
      <c r="AG1331" t="str" cm="1">
        <f t="array" ref="AG1331:AH1331">_xlfn.TEXTSPLIT(AC1332," ")</f>
        <v>26.10.2023</v>
      </c>
      <c r="AH1331" t="str">
        <v>22:12:22</v>
      </c>
      <c r="AI1331">
        <f t="shared" si="330"/>
        <v>22.133333333333358</v>
      </c>
      <c r="AJ1331">
        <f t="shared" si="324"/>
        <v>9.120000000000001</v>
      </c>
      <c r="AK1331">
        <f t="shared" si="325"/>
        <v>0.9</v>
      </c>
      <c r="AL1331">
        <f t="shared" si="318"/>
        <v>0.38499999999999995</v>
      </c>
      <c r="AN1331" t="s">
        <v>3179</v>
      </c>
      <c r="AO1331">
        <v>1.05</v>
      </c>
      <c r="AP1331">
        <v>77.510000000000005</v>
      </c>
      <c r="AR1331" t="str" cm="1">
        <f t="array" ref="AR1331:AS1331">_xlfn.TEXTSPLIT(AN1331," ")</f>
        <v>26.10.2023</v>
      </c>
      <c r="AS1331" t="str">
        <v>22:11:22</v>
      </c>
      <c r="AT1331">
        <f t="shared" si="331"/>
        <v>22.133333333333358</v>
      </c>
      <c r="AU1331">
        <f t="shared" si="326"/>
        <v>16.200000000000003</v>
      </c>
      <c r="AV1331">
        <f t="shared" si="327"/>
        <v>1.05</v>
      </c>
      <c r="AW1331">
        <f t="shared" si="319"/>
        <v>0.5874999999999998</v>
      </c>
    </row>
    <row r="1332" spans="1:49" x14ac:dyDescent="0.25">
      <c r="A1332" t="s">
        <v>3180</v>
      </c>
      <c r="B1332">
        <v>1.05</v>
      </c>
      <c r="C1332">
        <v>28.26</v>
      </c>
      <c r="E1332" t="s">
        <v>3180</v>
      </c>
      <c r="F1332">
        <v>0.75</v>
      </c>
      <c r="G1332">
        <v>102.13</v>
      </c>
      <c r="I1332" t="str" cm="1">
        <f t="array" ref="I1332:J1332">_xlfn.TEXTSPLIT(A1332," ")</f>
        <v>27.10.2023</v>
      </c>
      <c r="J1332" t="str">
        <v>22:12:11</v>
      </c>
      <c r="K1332">
        <f t="shared" si="328"/>
        <v>22.150000000000023</v>
      </c>
      <c r="L1332">
        <f t="shared" si="321"/>
        <v>13.940000000000001</v>
      </c>
      <c r="M1332">
        <f t="shared" si="322"/>
        <v>1.05</v>
      </c>
      <c r="N1332">
        <f t="shared" si="316"/>
        <v>0.57999999999999985</v>
      </c>
      <c r="Q1332" t="str" cm="1">
        <f t="array" ref="Q1332:R1332">_xlfn.TEXTSPLIT(E1332," ")</f>
        <v>27.10.2023</v>
      </c>
      <c r="R1332" t="str">
        <v>22:12:11</v>
      </c>
      <c r="S1332">
        <f t="shared" si="329"/>
        <v>22.150000000000023</v>
      </c>
      <c r="T1332">
        <f t="shared" si="320"/>
        <v>23.53</v>
      </c>
      <c r="U1332">
        <f t="shared" si="323"/>
        <v>0.75</v>
      </c>
      <c r="V1332">
        <f t="shared" si="317"/>
        <v>1.04</v>
      </c>
      <c r="AC1332" t="s">
        <v>3181</v>
      </c>
      <c r="AD1332">
        <v>0.75</v>
      </c>
      <c r="AE1332">
        <v>13.66</v>
      </c>
      <c r="AG1332" t="str" cm="1">
        <f t="array" ref="AG1332:AH1332">_xlfn.TEXTSPLIT(AC1333," ")</f>
        <v>26.10.2023</v>
      </c>
      <c r="AH1332" t="str">
        <v>22:13:22</v>
      </c>
      <c r="AI1332">
        <f t="shared" si="330"/>
        <v>22.150000000000023</v>
      </c>
      <c r="AJ1332">
        <f t="shared" si="324"/>
        <v>9.129999999999999</v>
      </c>
      <c r="AK1332">
        <f t="shared" si="325"/>
        <v>0.75</v>
      </c>
      <c r="AL1332">
        <f t="shared" si="318"/>
        <v>0.38750000000000007</v>
      </c>
      <c r="AN1332" t="s">
        <v>3181</v>
      </c>
      <c r="AO1332">
        <v>1.05</v>
      </c>
      <c r="AP1332">
        <v>77.52</v>
      </c>
      <c r="AR1332" t="str" cm="1">
        <f t="array" ref="AR1332:AS1332">_xlfn.TEXTSPLIT(AN1332," ")</f>
        <v>26.10.2023</v>
      </c>
      <c r="AS1332" t="str">
        <v>22:12:22</v>
      </c>
      <c r="AT1332">
        <f t="shared" si="331"/>
        <v>22.150000000000023</v>
      </c>
      <c r="AU1332">
        <f t="shared" si="326"/>
        <v>16.209999999999994</v>
      </c>
      <c r="AV1332">
        <f t="shared" si="327"/>
        <v>1.05</v>
      </c>
      <c r="AW1332">
        <f t="shared" si="319"/>
        <v>0.5874999999999998</v>
      </c>
    </row>
    <row r="1333" spans="1:49" x14ac:dyDescent="0.25">
      <c r="A1333" t="s">
        <v>3182</v>
      </c>
      <c r="B1333">
        <v>0.9</v>
      </c>
      <c r="C1333">
        <v>28.27</v>
      </c>
      <c r="E1333" t="s">
        <v>3182</v>
      </c>
      <c r="F1333">
        <v>0.75</v>
      </c>
      <c r="G1333">
        <v>102.15</v>
      </c>
      <c r="I1333" t="str" cm="1">
        <f t="array" ref="I1333:J1333">_xlfn.TEXTSPLIT(A1333," ")</f>
        <v>27.10.2023</v>
      </c>
      <c r="J1333" t="str">
        <v>22:13:11</v>
      </c>
      <c r="K1333">
        <f t="shared" si="328"/>
        <v>22.166666666666689</v>
      </c>
      <c r="L1333">
        <f t="shared" si="321"/>
        <v>13.95</v>
      </c>
      <c r="M1333">
        <f t="shared" si="322"/>
        <v>0.9</v>
      </c>
      <c r="N1333">
        <f t="shared" si="316"/>
        <v>0.57999999999999985</v>
      </c>
      <c r="Q1333" t="str" cm="1">
        <f t="array" ref="Q1333:R1333">_xlfn.TEXTSPLIT(E1333," ")</f>
        <v>27.10.2023</v>
      </c>
      <c r="R1333" t="str">
        <v>22:13:11</v>
      </c>
      <c r="S1333">
        <f t="shared" si="329"/>
        <v>22.166666666666689</v>
      </c>
      <c r="T1333">
        <f t="shared" si="320"/>
        <v>23.550000000000011</v>
      </c>
      <c r="U1333">
        <f t="shared" si="323"/>
        <v>0.75</v>
      </c>
      <c r="V1333">
        <f t="shared" si="317"/>
        <v>1.0225</v>
      </c>
      <c r="AC1333" t="s">
        <v>3183</v>
      </c>
      <c r="AD1333">
        <v>0.6</v>
      </c>
      <c r="AE1333">
        <v>13.67</v>
      </c>
      <c r="AG1333" t="str" cm="1">
        <f t="array" ref="AG1333:AH1333">_xlfn.TEXTSPLIT(AC1334," ")</f>
        <v>26.10.2023</v>
      </c>
      <c r="AH1333" t="str">
        <v>22:14:22</v>
      </c>
      <c r="AI1333">
        <f t="shared" si="330"/>
        <v>22.166666666666689</v>
      </c>
      <c r="AJ1333">
        <f t="shared" si="324"/>
        <v>9.14</v>
      </c>
      <c r="AK1333">
        <f t="shared" si="325"/>
        <v>0.6</v>
      </c>
      <c r="AL1333">
        <f t="shared" si="318"/>
        <v>0.38750000000000007</v>
      </c>
      <c r="AN1333" t="s">
        <v>3183</v>
      </c>
      <c r="AO1333">
        <v>1.2</v>
      </c>
      <c r="AP1333">
        <v>77.540000000000006</v>
      </c>
      <c r="AR1333" t="str" cm="1">
        <f t="array" ref="AR1333:AS1333">_xlfn.TEXTSPLIT(AN1333," ")</f>
        <v>26.10.2023</v>
      </c>
      <c r="AS1333" t="str">
        <v>22:13:22</v>
      </c>
      <c r="AT1333">
        <f t="shared" si="331"/>
        <v>22.166666666666689</v>
      </c>
      <c r="AU1333">
        <f t="shared" si="326"/>
        <v>16.230000000000004</v>
      </c>
      <c r="AV1333">
        <f t="shared" si="327"/>
        <v>1.2</v>
      </c>
      <c r="AW1333">
        <f t="shared" si="319"/>
        <v>0.58750000000000002</v>
      </c>
    </row>
    <row r="1334" spans="1:49" x14ac:dyDescent="0.25">
      <c r="A1334" t="s">
        <v>3184</v>
      </c>
      <c r="B1334">
        <v>0.45</v>
      </c>
      <c r="C1334">
        <v>28.28</v>
      </c>
      <c r="E1334" t="s">
        <v>3184</v>
      </c>
      <c r="F1334">
        <v>1.2</v>
      </c>
      <c r="G1334">
        <v>102.17</v>
      </c>
      <c r="I1334" t="str" cm="1">
        <f t="array" ref="I1334:J1334">_xlfn.TEXTSPLIT(A1334," ")</f>
        <v>27.10.2023</v>
      </c>
      <c r="J1334" t="str">
        <v>22:14:11</v>
      </c>
      <c r="K1334">
        <f t="shared" si="328"/>
        <v>22.183333333333355</v>
      </c>
      <c r="L1334">
        <f t="shared" si="321"/>
        <v>13.96</v>
      </c>
      <c r="M1334">
        <f t="shared" si="322"/>
        <v>0.45</v>
      </c>
      <c r="N1334">
        <f t="shared" si="316"/>
        <v>0.5724999999999999</v>
      </c>
      <c r="Q1334" t="str" cm="1">
        <f t="array" ref="Q1334:R1334">_xlfn.TEXTSPLIT(E1334," ")</f>
        <v>27.10.2023</v>
      </c>
      <c r="R1334" t="str">
        <v>22:14:11</v>
      </c>
      <c r="S1334">
        <f t="shared" si="329"/>
        <v>22.183333333333355</v>
      </c>
      <c r="T1334">
        <f t="shared" si="320"/>
        <v>23.570000000000007</v>
      </c>
      <c r="U1334">
        <f t="shared" si="323"/>
        <v>1.2</v>
      </c>
      <c r="V1334">
        <f t="shared" si="317"/>
        <v>1.0275000000000001</v>
      </c>
      <c r="AC1334" t="s">
        <v>3185</v>
      </c>
      <c r="AD1334">
        <v>0.6</v>
      </c>
      <c r="AE1334">
        <v>13.68</v>
      </c>
      <c r="AG1334" t="str" cm="1">
        <f t="array" ref="AG1334:AH1334">_xlfn.TEXTSPLIT(AC1335," ")</f>
        <v>26.10.2023</v>
      </c>
      <c r="AH1334" t="str">
        <v>22:15:22</v>
      </c>
      <c r="AI1334">
        <f t="shared" si="330"/>
        <v>22.183333333333355</v>
      </c>
      <c r="AJ1334">
        <f t="shared" si="324"/>
        <v>9.1499999999999986</v>
      </c>
      <c r="AK1334">
        <f t="shared" si="325"/>
        <v>0.6</v>
      </c>
      <c r="AL1334">
        <f t="shared" si="318"/>
        <v>0.38750000000000012</v>
      </c>
      <c r="AN1334" t="s">
        <v>3185</v>
      </c>
      <c r="AO1334">
        <v>1.05</v>
      </c>
      <c r="AP1334">
        <v>77.56</v>
      </c>
      <c r="AR1334" t="str" cm="1">
        <f t="array" ref="AR1334:AS1334">_xlfn.TEXTSPLIT(AN1334," ")</f>
        <v>26.10.2023</v>
      </c>
      <c r="AS1334" t="str">
        <v>22:14:22</v>
      </c>
      <c r="AT1334">
        <f t="shared" si="331"/>
        <v>22.183333333333355</v>
      </c>
      <c r="AU1334">
        <f t="shared" si="326"/>
        <v>16.25</v>
      </c>
      <c r="AV1334">
        <f t="shared" si="327"/>
        <v>1.05</v>
      </c>
      <c r="AW1334">
        <f t="shared" si="319"/>
        <v>0.5924999999999998</v>
      </c>
    </row>
    <row r="1335" spans="1:49" x14ac:dyDescent="0.25">
      <c r="A1335" t="s">
        <v>3186</v>
      </c>
      <c r="B1335">
        <v>0.9</v>
      </c>
      <c r="C1335">
        <v>28.3</v>
      </c>
      <c r="E1335" t="s">
        <v>3186</v>
      </c>
      <c r="F1335">
        <v>0.9</v>
      </c>
      <c r="G1335">
        <v>102.18</v>
      </c>
      <c r="I1335" t="str" cm="1">
        <f t="array" ref="I1335:J1335">_xlfn.TEXTSPLIT(A1335," ")</f>
        <v>27.10.2023</v>
      </c>
      <c r="J1335" t="str">
        <v>22:15:11</v>
      </c>
      <c r="K1335">
        <f t="shared" si="328"/>
        <v>22.200000000000021</v>
      </c>
      <c r="L1335">
        <f t="shared" si="321"/>
        <v>13.98</v>
      </c>
      <c r="M1335">
        <f t="shared" si="322"/>
        <v>0.9</v>
      </c>
      <c r="N1335">
        <f t="shared" si="316"/>
        <v>0.57499999999999996</v>
      </c>
      <c r="Q1335" t="str" cm="1">
        <f t="array" ref="Q1335:R1335">_xlfn.TEXTSPLIT(E1335," ")</f>
        <v>27.10.2023</v>
      </c>
      <c r="R1335" t="str">
        <v>22:15:11</v>
      </c>
      <c r="S1335">
        <f t="shared" si="329"/>
        <v>22.200000000000021</v>
      </c>
      <c r="T1335">
        <f t="shared" si="320"/>
        <v>23.580000000000013</v>
      </c>
      <c r="U1335">
        <f t="shared" si="323"/>
        <v>0.9</v>
      </c>
      <c r="V1335">
        <f t="shared" si="317"/>
        <v>1.0249999999999999</v>
      </c>
      <c r="AC1335" t="s">
        <v>3187</v>
      </c>
      <c r="AD1335">
        <v>0.6</v>
      </c>
      <c r="AE1335">
        <v>13.69</v>
      </c>
      <c r="AG1335" t="str" cm="1">
        <f t="array" ref="AG1335:AH1335">_xlfn.TEXTSPLIT(AC1336," ")</f>
        <v>26.10.2023</v>
      </c>
      <c r="AH1335" t="str">
        <v>22:16:22</v>
      </c>
      <c r="AI1335">
        <f t="shared" si="330"/>
        <v>22.200000000000021</v>
      </c>
      <c r="AJ1335">
        <f t="shared" si="324"/>
        <v>9.16</v>
      </c>
      <c r="AK1335">
        <f t="shared" si="325"/>
        <v>0.6</v>
      </c>
      <c r="AL1335">
        <f t="shared" si="318"/>
        <v>0.39000000000000007</v>
      </c>
      <c r="AN1335" t="s">
        <v>3187</v>
      </c>
      <c r="AO1335">
        <v>0.75</v>
      </c>
      <c r="AP1335">
        <v>77.569999999999993</v>
      </c>
      <c r="AR1335" t="str" cm="1">
        <f t="array" ref="AR1335:AS1335">_xlfn.TEXTSPLIT(AN1335," ")</f>
        <v>26.10.2023</v>
      </c>
      <c r="AS1335" t="str">
        <v>22:15:22</v>
      </c>
      <c r="AT1335">
        <f t="shared" si="331"/>
        <v>22.200000000000021</v>
      </c>
      <c r="AU1335">
        <f t="shared" si="326"/>
        <v>16.259999999999991</v>
      </c>
      <c r="AV1335">
        <f t="shared" si="327"/>
        <v>0.75</v>
      </c>
      <c r="AW1335">
        <f t="shared" si="319"/>
        <v>0.59499999999999997</v>
      </c>
    </row>
    <row r="1336" spans="1:49" x14ac:dyDescent="0.25">
      <c r="A1336" t="s">
        <v>3188</v>
      </c>
      <c r="B1336">
        <v>0.6</v>
      </c>
      <c r="C1336">
        <v>28.31</v>
      </c>
      <c r="E1336" t="s">
        <v>3188</v>
      </c>
      <c r="F1336">
        <v>1.35</v>
      </c>
      <c r="G1336">
        <v>102.21</v>
      </c>
      <c r="I1336" t="str" cm="1">
        <f t="array" ref="I1336:J1336">_xlfn.TEXTSPLIT(A1336," ")</f>
        <v>27.10.2023</v>
      </c>
      <c r="J1336" t="str">
        <v>22:16:11</v>
      </c>
      <c r="K1336">
        <f t="shared" si="328"/>
        <v>22.216666666666686</v>
      </c>
      <c r="L1336">
        <f t="shared" si="321"/>
        <v>13.989999999999998</v>
      </c>
      <c r="M1336">
        <f t="shared" si="322"/>
        <v>0.6</v>
      </c>
      <c r="N1336">
        <f t="shared" si="316"/>
        <v>0.57500000000000007</v>
      </c>
      <c r="Q1336" t="str" cm="1">
        <f t="array" ref="Q1336:R1336">_xlfn.TEXTSPLIT(E1336," ")</f>
        <v>27.10.2023</v>
      </c>
      <c r="R1336" t="str">
        <v>22:16:11</v>
      </c>
      <c r="S1336">
        <f t="shared" si="329"/>
        <v>22.216666666666686</v>
      </c>
      <c r="T1336">
        <f t="shared" si="320"/>
        <v>23.61</v>
      </c>
      <c r="U1336">
        <f t="shared" si="323"/>
        <v>1.35</v>
      </c>
      <c r="V1336">
        <f t="shared" si="317"/>
        <v>1.0275000000000001</v>
      </c>
      <c r="AC1336" t="s">
        <v>3189</v>
      </c>
      <c r="AD1336">
        <v>0.6</v>
      </c>
      <c r="AE1336">
        <v>13.7</v>
      </c>
      <c r="AG1336" t="str" cm="1">
        <f t="array" ref="AG1336:AH1336">_xlfn.TEXTSPLIT(AC1337," ")</f>
        <v>26.10.2023</v>
      </c>
      <c r="AH1336" t="str">
        <v>22:17:22</v>
      </c>
      <c r="AI1336">
        <f t="shared" si="330"/>
        <v>22.216666666666686</v>
      </c>
      <c r="AJ1336">
        <f t="shared" si="324"/>
        <v>9.1699999999999982</v>
      </c>
      <c r="AK1336">
        <f t="shared" si="325"/>
        <v>0.6</v>
      </c>
      <c r="AL1336">
        <f t="shared" si="318"/>
        <v>0.39500000000000013</v>
      </c>
      <c r="AN1336" t="s">
        <v>3189</v>
      </c>
      <c r="AO1336">
        <v>0.6</v>
      </c>
      <c r="AP1336">
        <v>77.58</v>
      </c>
      <c r="AR1336" t="str" cm="1">
        <f t="array" ref="AR1336:AS1336">_xlfn.TEXTSPLIT(AN1336," ")</f>
        <v>26.10.2023</v>
      </c>
      <c r="AS1336" t="str">
        <v>22:16:22</v>
      </c>
      <c r="AT1336">
        <f t="shared" si="331"/>
        <v>22.216666666666686</v>
      </c>
      <c r="AU1336">
        <f t="shared" si="326"/>
        <v>16.269999999999996</v>
      </c>
      <c r="AV1336">
        <f t="shared" si="327"/>
        <v>0.6</v>
      </c>
      <c r="AW1336">
        <f t="shared" si="319"/>
        <v>0.59499999999999997</v>
      </c>
    </row>
    <row r="1337" spans="1:49" x14ac:dyDescent="0.25">
      <c r="A1337" t="s">
        <v>3190</v>
      </c>
      <c r="B1337">
        <v>0.6</v>
      </c>
      <c r="C1337">
        <v>28.32</v>
      </c>
      <c r="E1337" t="s">
        <v>3190</v>
      </c>
      <c r="F1337">
        <v>1.2</v>
      </c>
      <c r="G1337">
        <v>102.23</v>
      </c>
      <c r="I1337" t="str" cm="1">
        <f t="array" ref="I1337:J1337">_xlfn.TEXTSPLIT(A1337," ")</f>
        <v>27.10.2023</v>
      </c>
      <c r="J1337" t="str">
        <v>22:17:11</v>
      </c>
      <c r="K1337">
        <f t="shared" si="328"/>
        <v>22.233333333333352</v>
      </c>
      <c r="L1337">
        <f t="shared" si="321"/>
        <v>14</v>
      </c>
      <c r="M1337">
        <f t="shared" si="322"/>
        <v>0.6</v>
      </c>
      <c r="N1337">
        <f t="shared" si="316"/>
        <v>0.57250000000000001</v>
      </c>
      <c r="Q1337" t="str" cm="1">
        <f t="array" ref="Q1337:R1337">_xlfn.TEXTSPLIT(E1337," ")</f>
        <v>27.10.2023</v>
      </c>
      <c r="R1337" t="str">
        <v>22:17:11</v>
      </c>
      <c r="S1337">
        <f t="shared" si="329"/>
        <v>22.233333333333352</v>
      </c>
      <c r="T1337">
        <f t="shared" si="320"/>
        <v>23.63000000000001</v>
      </c>
      <c r="U1337">
        <f t="shared" si="323"/>
        <v>1.2</v>
      </c>
      <c r="V1337">
        <f t="shared" si="317"/>
        <v>1.0275000000000001</v>
      </c>
      <c r="AC1337" t="s">
        <v>3191</v>
      </c>
      <c r="AD1337">
        <v>0</v>
      </c>
      <c r="AE1337">
        <v>13.7</v>
      </c>
      <c r="AG1337" t="str" cm="1">
        <f t="array" ref="AG1337:AH1337">_xlfn.TEXTSPLIT(AC1338," ")</f>
        <v>26.10.2023</v>
      </c>
      <c r="AH1337" t="str">
        <v>22:18:22</v>
      </c>
      <c r="AI1337">
        <f t="shared" si="330"/>
        <v>22.233333333333352</v>
      </c>
      <c r="AJ1337">
        <f t="shared" si="324"/>
        <v>9.1699999999999982</v>
      </c>
      <c r="AK1337">
        <f t="shared" si="325"/>
        <v>0</v>
      </c>
      <c r="AL1337">
        <f t="shared" si="318"/>
        <v>0.38500000000000012</v>
      </c>
      <c r="AN1337" t="s">
        <v>3191</v>
      </c>
      <c r="AO1337">
        <v>0.6</v>
      </c>
      <c r="AP1337">
        <v>77.59</v>
      </c>
      <c r="AR1337" t="str" cm="1">
        <f t="array" ref="AR1337:AS1337">_xlfn.TEXTSPLIT(AN1337," ")</f>
        <v>26.10.2023</v>
      </c>
      <c r="AS1337" t="str">
        <v>22:17:22</v>
      </c>
      <c r="AT1337">
        <f t="shared" si="331"/>
        <v>22.233333333333352</v>
      </c>
      <c r="AU1337">
        <f t="shared" si="326"/>
        <v>16.28</v>
      </c>
      <c r="AV1337">
        <f t="shared" si="327"/>
        <v>0.6</v>
      </c>
      <c r="AW1337">
        <f t="shared" si="319"/>
        <v>0.59749999999999992</v>
      </c>
    </row>
    <row r="1338" spans="1:49" x14ac:dyDescent="0.25">
      <c r="A1338" t="s">
        <v>3192</v>
      </c>
      <c r="B1338">
        <v>0.45</v>
      </c>
      <c r="C1338">
        <v>28.32</v>
      </c>
      <c r="E1338" t="s">
        <v>3192</v>
      </c>
      <c r="F1338">
        <v>0.75</v>
      </c>
      <c r="G1338">
        <v>102.24</v>
      </c>
      <c r="I1338" t="str" cm="1">
        <f t="array" ref="I1338:J1338">_xlfn.TEXTSPLIT(A1338," ")</f>
        <v>27.10.2023</v>
      </c>
      <c r="J1338" t="str">
        <v>22:18:11</v>
      </c>
      <c r="K1338">
        <f t="shared" si="328"/>
        <v>22.250000000000018</v>
      </c>
      <c r="L1338">
        <f t="shared" si="321"/>
        <v>14</v>
      </c>
      <c r="M1338">
        <f t="shared" si="322"/>
        <v>0.45</v>
      </c>
      <c r="N1338">
        <f t="shared" si="316"/>
        <v>0.57000000000000006</v>
      </c>
      <c r="Q1338" t="str" cm="1">
        <f t="array" ref="Q1338:R1338">_xlfn.TEXTSPLIT(E1338," ")</f>
        <v>27.10.2023</v>
      </c>
      <c r="R1338" t="str">
        <v>22:18:11</v>
      </c>
      <c r="S1338">
        <f t="shared" si="329"/>
        <v>22.250000000000018</v>
      </c>
      <c r="T1338">
        <f t="shared" si="320"/>
        <v>23.64</v>
      </c>
      <c r="U1338">
        <f t="shared" si="323"/>
        <v>0.75</v>
      </c>
      <c r="V1338">
        <f t="shared" si="317"/>
        <v>1.02</v>
      </c>
      <c r="AC1338" t="s">
        <v>3193</v>
      </c>
      <c r="AD1338">
        <v>0.15</v>
      </c>
      <c r="AE1338">
        <v>13.71</v>
      </c>
      <c r="AG1338" t="str" cm="1">
        <f t="array" ref="AG1338:AH1338">_xlfn.TEXTSPLIT(AC1339," ")</f>
        <v>26.10.2023</v>
      </c>
      <c r="AH1338" t="str">
        <v>22:19:22</v>
      </c>
      <c r="AI1338">
        <f t="shared" si="330"/>
        <v>22.250000000000018</v>
      </c>
      <c r="AJ1338">
        <f t="shared" si="324"/>
        <v>9.18</v>
      </c>
      <c r="AK1338">
        <f t="shared" si="325"/>
        <v>0.15</v>
      </c>
      <c r="AL1338">
        <f t="shared" si="318"/>
        <v>0.38250000000000012</v>
      </c>
      <c r="AN1338" t="s">
        <v>3193</v>
      </c>
      <c r="AO1338">
        <v>0.6</v>
      </c>
      <c r="AP1338">
        <v>77.599999999999994</v>
      </c>
      <c r="AR1338" t="str" cm="1">
        <f t="array" ref="AR1338:AS1338">_xlfn.TEXTSPLIT(AN1338," ")</f>
        <v>26.10.2023</v>
      </c>
      <c r="AS1338" t="str">
        <v>22:18:22</v>
      </c>
      <c r="AT1338">
        <f t="shared" si="331"/>
        <v>22.250000000000018</v>
      </c>
      <c r="AU1338">
        <f t="shared" si="326"/>
        <v>16.289999999999992</v>
      </c>
      <c r="AV1338">
        <f t="shared" si="327"/>
        <v>0.6</v>
      </c>
      <c r="AW1338">
        <f t="shared" si="319"/>
        <v>0.59999999999999987</v>
      </c>
    </row>
    <row r="1339" spans="1:49" x14ac:dyDescent="0.25">
      <c r="A1339" t="s">
        <v>3194</v>
      </c>
      <c r="B1339">
        <v>0.6</v>
      </c>
      <c r="C1339">
        <v>28.33</v>
      </c>
      <c r="E1339" t="s">
        <v>3194</v>
      </c>
      <c r="F1339">
        <v>0.75</v>
      </c>
      <c r="G1339">
        <v>102.25</v>
      </c>
      <c r="I1339" t="str" cm="1">
        <f t="array" ref="I1339:J1339">_xlfn.TEXTSPLIT(A1339," ")</f>
        <v>27.10.2023</v>
      </c>
      <c r="J1339" t="str">
        <v>22:19:11</v>
      </c>
      <c r="K1339">
        <f t="shared" si="328"/>
        <v>22.266666666666683</v>
      </c>
      <c r="L1339">
        <f t="shared" si="321"/>
        <v>14.009999999999998</v>
      </c>
      <c r="M1339">
        <f t="shared" si="322"/>
        <v>0.6</v>
      </c>
      <c r="N1339">
        <f t="shared" si="316"/>
        <v>0.57000000000000006</v>
      </c>
      <c r="Q1339" t="str" cm="1">
        <f t="array" ref="Q1339:R1339">_xlfn.TEXTSPLIT(E1339," ")</f>
        <v>27.10.2023</v>
      </c>
      <c r="R1339" t="str">
        <v>22:19:11</v>
      </c>
      <c r="S1339">
        <f t="shared" si="329"/>
        <v>22.266666666666683</v>
      </c>
      <c r="T1339">
        <f t="shared" si="320"/>
        <v>23.650000000000006</v>
      </c>
      <c r="U1339">
        <f t="shared" si="323"/>
        <v>0.75</v>
      </c>
      <c r="V1339">
        <f t="shared" si="317"/>
        <v>1.0125000000000002</v>
      </c>
      <c r="AC1339" t="s">
        <v>3195</v>
      </c>
      <c r="AD1339">
        <v>0.75</v>
      </c>
      <c r="AE1339">
        <v>13.72</v>
      </c>
      <c r="AG1339" t="str" cm="1">
        <f t="array" ref="AG1339:AH1339">_xlfn.TEXTSPLIT(AC1340," ")</f>
        <v>26.10.2023</v>
      </c>
      <c r="AH1339" t="str">
        <v>22:20:23</v>
      </c>
      <c r="AI1339">
        <f t="shared" si="330"/>
        <v>22.266666666666683</v>
      </c>
      <c r="AJ1339">
        <f t="shared" si="324"/>
        <v>9.1900000000000013</v>
      </c>
      <c r="AK1339">
        <f t="shared" si="325"/>
        <v>0.75</v>
      </c>
      <c r="AL1339">
        <f t="shared" si="318"/>
        <v>0.39000000000000007</v>
      </c>
      <c r="AN1339" t="s">
        <v>3195</v>
      </c>
      <c r="AO1339">
        <v>0.45</v>
      </c>
      <c r="AP1339">
        <v>77.599999999999994</v>
      </c>
      <c r="AR1339" t="str" cm="1">
        <f t="array" ref="AR1339:AS1339">_xlfn.TEXTSPLIT(AN1339," ")</f>
        <v>26.10.2023</v>
      </c>
      <c r="AS1339" t="str">
        <v>22:19:22</v>
      </c>
      <c r="AT1339">
        <f t="shared" si="331"/>
        <v>22.266666666666683</v>
      </c>
      <c r="AU1339">
        <f t="shared" si="326"/>
        <v>16.289999999999992</v>
      </c>
      <c r="AV1339">
        <f t="shared" si="327"/>
        <v>0.45</v>
      </c>
      <c r="AW1339">
        <f t="shared" si="319"/>
        <v>0.59749999999999992</v>
      </c>
    </row>
    <row r="1340" spans="1:49" x14ac:dyDescent="0.25">
      <c r="A1340" t="s">
        <v>3196</v>
      </c>
      <c r="B1340">
        <v>0.45</v>
      </c>
      <c r="C1340">
        <v>28.34</v>
      </c>
      <c r="E1340" t="s">
        <v>3196</v>
      </c>
      <c r="F1340">
        <v>0.9</v>
      </c>
      <c r="G1340">
        <v>102.27</v>
      </c>
      <c r="I1340" t="str" cm="1">
        <f t="array" ref="I1340:J1340">_xlfn.TEXTSPLIT(A1340," ")</f>
        <v>27.10.2023</v>
      </c>
      <c r="J1340" t="str">
        <v>22:20:12</v>
      </c>
      <c r="K1340">
        <f t="shared" si="328"/>
        <v>22.283333333333349</v>
      </c>
      <c r="L1340">
        <f t="shared" si="321"/>
        <v>14.02</v>
      </c>
      <c r="M1340">
        <f t="shared" si="322"/>
        <v>0.45</v>
      </c>
      <c r="N1340">
        <f t="shared" si="316"/>
        <v>0.56750000000000012</v>
      </c>
      <c r="Q1340" t="str" cm="1">
        <f t="array" ref="Q1340:R1340">_xlfn.TEXTSPLIT(E1340," ")</f>
        <v>27.10.2023</v>
      </c>
      <c r="R1340" t="str">
        <v>22:20:12</v>
      </c>
      <c r="S1340">
        <f t="shared" si="329"/>
        <v>22.283333333333349</v>
      </c>
      <c r="T1340">
        <f t="shared" si="320"/>
        <v>23.67</v>
      </c>
      <c r="U1340">
        <f t="shared" si="323"/>
        <v>0.9</v>
      </c>
      <c r="V1340">
        <f t="shared" si="317"/>
        <v>1.0125000000000002</v>
      </c>
      <c r="AC1340" t="s">
        <v>3197</v>
      </c>
      <c r="AD1340">
        <v>0.15</v>
      </c>
      <c r="AE1340">
        <v>13.72</v>
      </c>
      <c r="AG1340" t="str" cm="1">
        <f t="array" ref="AG1340:AH1340">_xlfn.TEXTSPLIT(AC1341," ")</f>
        <v>26.10.2023</v>
      </c>
      <c r="AH1340" t="str">
        <v>22:21:23</v>
      </c>
      <c r="AI1340">
        <f t="shared" si="330"/>
        <v>22.283333333333349</v>
      </c>
      <c r="AJ1340">
        <f t="shared" si="324"/>
        <v>9.1900000000000013</v>
      </c>
      <c r="AK1340">
        <f t="shared" si="325"/>
        <v>0.15</v>
      </c>
      <c r="AL1340">
        <f t="shared" si="318"/>
        <v>0.38500000000000006</v>
      </c>
      <c r="AN1340" t="s">
        <v>3197</v>
      </c>
      <c r="AO1340">
        <v>0.45</v>
      </c>
      <c r="AP1340">
        <v>77.61</v>
      </c>
      <c r="AR1340" t="str" cm="1">
        <f t="array" ref="AR1340:AS1340">_xlfn.TEXTSPLIT(AN1340," ")</f>
        <v>26.10.2023</v>
      </c>
      <c r="AS1340" t="str">
        <v>22:20:23</v>
      </c>
      <c r="AT1340">
        <f t="shared" si="331"/>
        <v>22.283333333333349</v>
      </c>
      <c r="AU1340">
        <f t="shared" si="326"/>
        <v>16.299999999999997</v>
      </c>
      <c r="AV1340">
        <f t="shared" si="327"/>
        <v>0.45</v>
      </c>
      <c r="AW1340">
        <f t="shared" si="319"/>
        <v>0.6</v>
      </c>
    </row>
    <row r="1341" spans="1:49" x14ac:dyDescent="0.25">
      <c r="A1341" t="s">
        <v>3198</v>
      </c>
      <c r="B1341">
        <v>0.6</v>
      </c>
      <c r="C1341">
        <v>28.35</v>
      </c>
      <c r="E1341" t="s">
        <v>3198</v>
      </c>
      <c r="F1341">
        <v>0.15</v>
      </c>
      <c r="G1341">
        <v>102.27</v>
      </c>
      <c r="I1341" t="str" cm="1">
        <f t="array" ref="I1341:J1341">_xlfn.TEXTSPLIT(A1341," ")</f>
        <v>27.10.2023</v>
      </c>
      <c r="J1341" t="str">
        <v>22:21:12</v>
      </c>
      <c r="K1341">
        <f t="shared" si="328"/>
        <v>22.300000000000015</v>
      </c>
      <c r="L1341">
        <f t="shared" si="321"/>
        <v>14.030000000000001</v>
      </c>
      <c r="M1341">
        <f t="shared" si="322"/>
        <v>0.6</v>
      </c>
      <c r="N1341">
        <f t="shared" si="316"/>
        <v>0.57000000000000017</v>
      </c>
      <c r="Q1341" t="str" cm="1">
        <f t="array" ref="Q1341:R1341">_xlfn.TEXTSPLIT(E1341," ")</f>
        <v>27.10.2023</v>
      </c>
      <c r="R1341" t="str">
        <v>22:21:12</v>
      </c>
      <c r="S1341">
        <f t="shared" si="329"/>
        <v>22.300000000000015</v>
      </c>
      <c r="T1341">
        <f t="shared" si="320"/>
        <v>23.67</v>
      </c>
      <c r="U1341">
        <f t="shared" si="323"/>
        <v>0.15</v>
      </c>
      <c r="V1341">
        <f t="shared" si="317"/>
        <v>1.0100000000000002</v>
      </c>
      <c r="AC1341" t="s">
        <v>3199</v>
      </c>
      <c r="AD1341">
        <v>0.3</v>
      </c>
      <c r="AE1341">
        <v>13.73</v>
      </c>
      <c r="AG1341" t="str" cm="1">
        <f t="array" ref="AG1341:AH1341">_xlfn.TEXTSPLIT(AC1342," ")</f>
        <v>26.10.2023</v>
      </c>
      <c r="AH1341" t="str">
        <v>22:22:23</v>
      </c>
      <c r="AI1341">
        <f t="shared" si="330"/>
        <v>22.300000000000015</v>
      </c>
      <c r="AJ1341">
        <f t="shared" si="324"/>
        <v>9.1999999999999993</v>
      </c>
      <c r="AK1341">
        <f t="shared" si="325"/>
        <v>0.3</v>
      </c>
      <c r="AL1341">
        <f t="shared" si="318"/>
        <v>0.38250000000000012</v>
      </c>
      <c r="AN1341" t="s">
        <v>3199</v>
      </c>
      <c r="AO1341">
        <v>0.45</v>
      </c>
      <c r="AP1341">
        <v>77.62</v>
      </c>
      <c r="AR1341" t="str" cm="1">
        <f t="array" ref="AR1341:AS1341">_xlfn.TEXTSPLIT(AN1341," ")</f>
        <v>26.10.2023</v>
      </c>
      <c r="AS1341" t="str">
        <v>22:21:23</v>
      </c>
      <c r="AT1341">
        <f t="shared" si="331"/>
        <v>22.300000000000015</v>
      </c>
      <c r="AU1341">
        <f t="shared" si="326"/>
        <v>16.310000000000002</v>
      </c>
      <c r="AV1341">
        <f t="shared" si="327"/>
        <v>0.45</v>
      </c>
      <c r="AW1341">
        <f t="shared" si="319"/>
        <v>0.59500000000000008</v>
      </c>
    </row>
    <row r="1342" spans="1:49" x14ac:dyDescent="0.25">
      <c r="A1342" t="s">
        <v>3200</v>
      </c>
      <c r="B1342">
        <v>0.3</v>
      </c>
      <c r="C1342">
        <v>28.35</v>
      </c>
      <c r="E1342" t="s">
        <v>3200</v>
      </c>
      <c r="F1342">
        <v>0.3</v>
      </c>
      <c r="G1342">
        <v>102.27</v>
      </c>
      <c r="I1342" t="str" cm="1">
        <f t="array" ref="I1342:J1342">_xlfn.TEXTSPLIT(A1342," ")</f>
        <v>27.10.2023</v>
      </c>
      <c r="J1342" t="str">
        <v>22:22:12</v>
      </c>
      <c r="K1342">
        <f t="shared" si="328"/>
        <v>22.316666666666681</v>
      </c>
      <c r="L1342">
        <f t="shared" si="321"/>
        <v>14.030000000000001</v>
      </c>
      <c r="M1342">
        <f t="shared" si="322"/>
        <v>0.3</v>
      </c>
      <c r="N1342">
        <f t="shared" si="316"/>
        <v>0.56750000000000012</v>
      </c>
      <c r="Q1342" t="str" cm="1">
        <f t="array" ref="Q1342:R1342">_xlfn.TEXTSPLIT(E1342," ")</f>
        <v>27.10.2023</v>
      </c>
      <c r="R1342" t="str">
        <v>22:22:12</v>
      </c>
      <c r="S1342">
        <f t="shared" si="329"/>
        <v>22.316666666666681</v>
      </c>
      <c r="T1342">
        <f t="shared" si="320"/>
        <v>23.67</v>
      </c>
      <c r="U1342">
        <f t="shared" si="323"/>
        <v>0.3</v>
      </c>
      <c r="V1342">
        <f t="shared" si="317"/>
        <v>1.0075000000000001</v>
      </c>
      <c r="AC1342" t="s">
        <v>3201</v>
      </c>
      <c r="AD1342">
        <v>0.6</v>
      </c>
      <c r="AE1342">
        <v>13.74</v>
      </c>
      <c r="AG1342" t="str" cm="1">
        <f t="array" ref="AG1342:AH1342">_xlfn.TEXTSPLIT(AC1343," ")</f>
        <v>26.10.2023</v>
      </c>
      <c r="AH1342" t="str">
        <v>22:23:23</v>
      </c>
      <c r="AI1342">
        <f t="shared" si="330"/>
        <v>22.316666666666681</v>
      </c>
      <c r="AJ1342">
        <f t="shared" si="324"/>
        <v>9.2100000000000009</v>
      </c>
      <c r="AK1342">
        <f t="shared" si="325"/>
        <v>0.6</v>
      </c>
      <c r="AL1342">
        <f t="shared" si="318"/>
        <v>0.38250000000000012</v>
      </c>
      <c r="AN1342" t="s">
        <v>3201</v>
      </c>
      <c r="AO1342">
        <v>0.15</v>
      </c>
      <c r="AP1342">
        <v>77.62</v>
      </c>
      <c r="AR1342" t="str" cm="1">
        <f t="array" ref="AR1342:AS1342">_xlfn.TEXTSPLIT(AN1342," ")</f>
        <v>26.10.2023</v>
      </c>
      <c r="AS1342" t="str">
        <v>22:22:23</v>
      </c>
      <c r="AT1342">
        <f t="shared" si="331"/>
        <v>22.316666666666681</v>
      </c>
      <c r="AU1342">
        <f t="shared" si="326"/>
        <v>16.310000000000002</v>
      </c>
      <c r="AV1342">
        <f t="shared" si="327"/>
        <v>0.15</v>
      </c>
      <c r="AW1342">
        <f t="shared" si="319"/>
        <v>0.59500000000000008</v>
      </c>
    </row>
    <row r="1343" spans="1:49" x14ac:dyDescent="0.25">
      <c r="A1343" t="s">
        <v>3202</v>
      </c>
      <c r="B1343">
        <v>0</v>
      </c>
      <c r="C1343">
        <v>28.35</v>
      </c>
      <c r="E1343" t="s">
        <v>3202</v>
      </c>
      <c r="F1343">
        <v>0.45</v>
      </c>
      <c r="G1343">
        <v>102.28</v>
      </c>
      <c r="I1343" t="str" cm="1">
        <f t="array" ref="I1343:J1343">_xlfn.TEXTSPLIT(A1343," ")</f>
        <v>27.10.2023</v>
      </c>
      <c r="J1343" t="str">
        <v>22:23:12</v>
      </c>
      <c r="K1343">
        <f t="shared" si="328"/>
        <v>22.333333333333346</v>
      </c>
      <c r="L1343">
        <f t="shared" si="321"/>
        <v>14.030000000000001</v>
      </c>
      <c r="M1343">
        <f t="shared" si="322"/>
        <v>0</v>
      </c>
      <c r="N1343">
        <f t="shared" ref="N1343:N1406" si="332">AVERAGE(M1284:M1343)</f>
        <v>0.56750000000000012</v>
      </c>
      <c r="Q1343" t="str" cm="1">
        <f t="array" ref="Q1343:R1343">_xlfn.TEXTSPLIT(E1343," ")</f>
        <v>27.10.2023</v>
      </c>
      <c r="R1343" t="str">
        <v>22:23:12</v>
      </c>
      <c r="S1343">
        <f t="shared" si="329"/>
        <v>22.333333333333346</v>
      </c>
      <c r="T1343">
        <f t="shared" si="320"/>
        <v>23.680000000000007</v>
      </c>
      <c r="U1343">
        <f t="shared" si="323"/>
        <v>0.45</v>
      </c>
      <c r="V1343">
        <f t="shared" ref="V1343:V1406" si="333">AVERAGE(U1284:U1343)</f>
        <v>1.0100000000000002</v>
      </c>
      <c r="AC1343" t="s">
        <v>3203</v>
      </c>
      <c r="AD1343">
        <v>0.15</v>
      </c>
      <c r="AE1343">
        <v>13.74</v>
      </c>
      <c r="AG1343" t="str" cm="1">
        <f t="array" ref="AG1343:AH1343">_xlfn.TEXTSPLIT(AC1344," ")</f>
        <v>26.10.2023</v>
      </c>
      <c r="AH1343" t="str">
        <v>22:24:23</v>
      </c>
      <c r="AI1343">
        <f t="shared" si="330"/>
        <v>22.333333333333346</v>
      </c>
      <c r="AJ1343">
        <f t="shared" si="324"/>
        <v>9.2100000000000009</v>
      </c>
      <c r="AK1343">
        <f t="shared" si="325"/>
        <v>0.15</v>
      </c>
      <c r="AL1343">
        <f t="shared" ref="AL1343:AL1406" si="334">AVERAGE(AK1284:AK1343)</f>
        <v>0.38000000000000012</v>
      </c>
      <c r="AN1343" t="s">
        <v>3203</v>
      </c>
      <c r="AO1343">
        <v>0</v>
      </c>
      <c r="AP1343">
        <v>77.62</v>
      </c>
      <c r="AR1343" t="str" cm="1">
        <f t="array" ref="AR1343:AS1343">_xlfn.TEXTSPLIT(AN1343," ")</f>
        <v>26.10.2023</v>
      </c>
      <c r="AS1343" t="str">
        <v>22:23:23</v>
      </c>
      <c r="AT1343">
        <f t="shared" si="331"/>
        <v>22.333333333333346</v>
      </c>
      <c r="AU1343">
        <f t="shared" si="326"/>
        <v>16.310000000000002</v>
      </c>
      <c r="AV1343">
        <f t="shared" si="327"/>
        <v>0</v>
      </c>
      <c r="AW1343">
        <f t="shared" ref="AW1343:AW1406" si="335">AVERAGE(AV1284:AV1343)</f>
        <v>0.59500000000000008</v>
      </c>
    </row>
    <row r="1344" spans="1:49" x14ac:dyDescent="0.25">
      <c r="A1344" t="s">
        <v>3204</v>
      </c>
      <c r="B1344">
        <v>0</v>
      </c>
      <c r="C1344">
        <v>28.35</v>
      </c>
      <c r="E1344" t="s">
        <v>3204</v>
      </c>
      <c r="F1344">
        <v>0.3</v>
      </c>
      <c r="G1344">
        <v>102.29</v>
      </c>
      <c r="I1344" t="str" cm="1">
        <f t="array" ref="I1344:J1344">_xlfn.TEXTSPLIT(A1344," ")</f>
        <v>27.10.2023</v>
      </c>
      <c r="J1344" t="str">
        <v>22:24:12</v>
      </c>
      <c r="K1344">
        <f t="shared" si="328"/>
        <v>22.350000000000012</v>
      </c>
      <c r="L1344">
        <f t="shared" si="321"/>
        <v>14.030000000000001</v>
      </c>
      <c r="M1344">
        <f t="shared" si="322"/>
        <v>0</v>
      </c>
      <c r="N1344">
        <f t="shared" si="332"/>
        <v>0.56750000000000012</v>
      </c>
      <c r="Q1344" t="str" cm="1">
        <f t="array" ref="Q1344:R1344">_xlfn.TEXTSPLIT(E1344," ")</f>
        <v>27.10.2023</v>
      </c>
      <c r="R1344" t="str">
        <v>22:24:12</v>
      </c>
      <c r="S1344">
        <f t="shared" si="329"/>
        <v>22.350000000000012</v>
      </c>
      <c r="T1344">
        <f t="shared" si="320"/>
        <v>23.690000000000012</v>
      </c>
      <c r="U1344">
        <f t="shared" si="323"/>
        <v>0.3</v>
      </c>
      <c r="V1344">
        <f t="shared" si="333"/>
        <v>1.0075000000000001</v>
      </c>
      <c r="AC1344" t="s">
        <v>3205</v>
      </c>
      <c r="AD1344">
        <v>0</v>
      </c>
      <c r="AE1344">
        <v>13.74</v>
      </c>
      <c r="AG1344" t="str" cm="1">
        <f t="array" ref="AG1344:AH1344">_xlfn.TEXTSPLIT(AC1345," ")</f>
        <v>26.10.2023</v>
      </c>
      <c r="AH1344" t="str">
        <v>22:25:23</v>
      </c>
      <c r="AI1344">
        <f t="shared" si="330"/>
        <v>22.350000000000012</v>
      </c>
      <c r="AJ1344">
        <f t="shared" si="324"/>
        <v>9.2100000000000009</v>
      </c>
      <c r="AK1344">
        <f t="shared" si="325"/>
        <v>0</v>
      </c>
      <c r="AL1344">
        <f t="shared" si="334"/>
        <v>0.38000000000000012</v>
      </c>
      <c r="AN1344" t="s">
        <v>3205</v>
      </c>
      <c r="AO1344">
        <v>0.15</v>
      </c>
      <c r="AP1344">
        <v>77.62</v>
      </c>
      <c r="AR1344" t="str" cm="1">
        <f t="array" ref="AR1344:AS1344">_xlfn.TEXTSPLIT(AN1344," ")</f>
        <v>26.10.2023</v>
      </c>
      <c r="AS1344" t="str">
        <v>22:24:23</v>
      </c>
      <c r="AT1344">
        <f t="shared" si="331"/>
        <v>22.350000000000012</v>
      </c>
      <c r="AU1344">
        <f t="shared" si="326"/>
        <v>16.310000000000002</v>
      </c>
      <c r="AV1344">
        <f t="shared" si="327"/>
        <v>0.15</v>
      </c>
      <c r="AW1344">
        <f t="shared" si="335"/>
        <v>0.59750000000000003</v>
      </c>
    </row>
    <row r="1345" spans="1:49" x14ac:dyDescent="0.25">
      <c r="A1345" t="s">
        <v>3206</v>
      </c>
      <c r="B1345">
        <v>0</v>
      </c>
      <c r="C1345">
        <v>28.35</v>
      </c>
      <c r="E1345" t="s">
        <v>3206</v>
      </c>
      <c r="F1345">
        <v>0.45</v>
      </c>
      <c r="G1345">
        <v>102.29</v>
      </c>
      <c r="I1345" t="str" cm="1">
        <f t="array" ref="I1345:J1345">_xlfn.TEXTSPLIT(A1345," ")</f>
        <v>27.10.2023</v>
      </c>
      <c r="J1345" t="str">
        <v>22:25:12</v>
      </c>
      <c r="K1345">
        <f t="shared" si="328"/>
        <v>22.366666666666678</v>
      </c>
      <c r="L1345">
        <f t="shared" si="321"/>
        <v>14.030000000000001</v>
      </c>
      <c r="M1345">
        <f t="shared" si="322"/>
        <v>0</v>
      </c>
      <c r="N1345">
        <f t="shared" si="332"/>
        <v>0.56750000000000012</v>
      </c>
      <c r="Q1345" t="str" cm="1">
        <f t="array" ref="Q1345:R1345">_xlfn.TEXTSPLIT(E1345," ")</f>
        <v>27.10.2023</v>
      </c>
      <c r="R1345" t="str">
        <v>22:25:12</v>
      </c>
      <c r="S1345">
        <f t="shared" si="329"/>
        <v>22.366666666666678</v>
      </c>
      <c r="T1345">
        <f t="shared" si="320"/>
        <v>23.690000000000012</v>
      </c>
      <c r="U1345">
        <f t="shared" si="323"/>
        <v>0.45</v>
      </c>
      <c r="V1345">
        <f t="shared" si="333"/>
        <v>1.0075000000000001</v>
      </c>
      <c r="AC1345" t="s">
        <v>3207</v>
      </c>
      <c r="AD1345">
        <v>0</v>
      </c>
      <c r="AE1345">
        <v>13.74</v>
      </c>
      <c r="AG1345" t="str" cm="1">
        <f t="array" ref="AG1345:AH1345">_xlfn.TEXTSPLIT(AC1346," ")</f>
        <v>26.10.2023</v>
      </c>
      <c r="AH1345" t="str">
        <v>22:26:23</v>
      </c>
      <c r="AI1345">
        <f t="shared" si="330"/>
        <v>22.366666666666678</v>
      </c>
      <c r="AJ1345">
        <f t="shared" si="324"/>
        <v>9.2100000000000009</v>
      </c>
      <c r="AK1345">
        <f t="shared" si="325"/>
        <v>0</v>
      </c>
      <c r="AL1345">
        <f t="shared" si="334"/>
        <v>0.38000000000000012</v>
      </c>
      <c r="AN1345" t="s">
        <v>3207</v>
      </c>
      <c r="AO1345">
        <v>0</v>
      </c>
      <c r="AP1345">
        <v>77.62</v>
      </c>
      <c r="AR1345" t="str" cm="1">
        <f t="array" ref="AR1345:AS1345">_xlfn.TEXTSPLIT(AN1345," ")</f>
        <v>26.10.2023</v>
      </c>
      <c r="AS1345" t="str">
        <v>22:25:23</v>
      </c>
      <c r="AT1345">
        <f t="shared" si="331"/>
        <v>22.366666666666678</v>
      </c>
      <c r="AU1345">
        <f t="shared" si="326"/>
        <v>16.310000000000002</v>
      </c>
      <c r="AV1345">
        <f t="shared" si="327"/>
        <v>0</v>
      </c>
      <c r="AW1345">
        <f t="shared" si="335"/>
        <v>0.59750000000000003</v>
      </c>
    </row>
    <row r="1346" spans="1:49" x14ac:dyDescent="0.25">
      <c r="A1346" t="s">
        <v>3208</v>
      </c>
      <c r="B1346">
        <v>0</v>
      </c>
      <c r="C1346">
        <v>28.35</v>
      </c>
      <c r="E1346" t="s">
        <v>3208</v>
      </c>
      <c r="F1346">
        <v>0.75</v>
      </c>
      <c r="G1346">
        <v>102.31</v>
      </c>
      <c r="I1346" t="str" cm="1">
        <f t="array" ref="I1346:J1346">_xlfn.TEXTSPLIT(A1346," ")</f>
        <v>27.10.2023</v>
      </c>
      <c r="J1346" t="str">
        <v>22:26:12</v>
      </c>
      <c r="K1346">
        <f t="shared" si="328"/>
        <v>22.383333333333344</v>
      </c>
      <c r="L1346">
        <f t="shared" si="321"/>
        <v>14.030000000000001</v>
      </c>
      <c r="M1346">
        <f t="shared" si="322"/>
        <v>0</v>
      </c>
      <c r="N1346">
        <f t="shared" si="332"/>
        <v>0.56750000000000012</v>
      </c>
      <c r="Q1346" t="str" cm="1">
        <f t="array" ref="Q1346:R1346">_xlfn.TEXTSPLIT(E1346," ")</f>
        <v>27.10.2023</v>
      </c>
      <c r="R1346" t="str">
        <v>22:26:12</v>
      </c>
      <c r="S1346">
        <f t="shared" si="329"/>
        <v>22.383333333333344</v>
      </c>
      <c r="T1346">
        <f t="shared" si="320"/>
        <v>23.710000000000008</v>
      </c>
      <c r="U1346">
        <f t="shared" si="323"/>
        <v>0.75</v>
      </c>
      <c r="V1346">
        <f t="shared" si="333"/>
        <v>1.0125000000000002</v>
      </c>
      <c r="AC1346" t="s">
        <v>3209</v>
      </c>
      <c r="AD1346">
        <v>0</v>
      </c>
      <c r="AE1346">
        <v>13.74</v>
      </c>
      <c r="AG1346" t="str" cm="1">
        <f t="array" ref="AG1346:AH1346">_xlfn.TEXTSPLIT(AC1347," ")</f>
        <v>26.10.2023</v>
      </c>
      <c r="AH1346" t="str">
        <v>22:27:23</v>
      </c>
      <c r="AI1346">
        <f t="shared" si="330"/>
        <v>22.383333333333344</v>
      </c>
      <c r="AJ1346">
        <f t="shared" si="324"/>
        <v>9.2100000000000009</v>
      </c>
      <c r="AK1346">
        <f t="shared" si="325"/>
        <v>0</v>
      </c>
      <c r="AL1346">
        <f t="shared" si="334"/>
        <v>0.38000000000000012</v>
      </c>
      <c r="AN1346" t="s">
        <v>3209</v>
      </c>
      <c r="AO1346">
        <v>0.15</v>
      </c>
      <c r="AP1346">
        <v>77.63</v>
      </c>
      <c r="AR1346" t="str" cm="1">
        <f t="array" ref="AR1346:AS1346">_xlfn.TEXTSPLIT(AN1346," ")</f>
        <v>26.10.2023</v>
      </c>
      <c r="AS1346" t="str">
        <v>22:26:23</v>
      </c>
      <c r="AT1346">
        <f t="shared" si="331"/>
        <v>22.383333333333344</v>
      </c>
      <c r="AU1346">
        <f t="shared" si="326"/>
        <v>16.319999999999993</v>
      </c>
      <c r="AV1346">
        <f t="shared" si="327"/>
        <v>0.15</v>
      </c>
      <c r="AW1346">
        <f t="shared" si="335"/>
        <v>0.59750000000000003</v>
      </c>
    </row>
    <row r="1347" spans="1:49" x14ac:dyDescent="0.25">
      <c r="A1347" t="s">
        <v>3210</v>
      </c>
      <c r="B1347">
        <v>0</v>
      </c>
      <c r="C1347">
        <v>28.35</v>
      </c>
      <c r="E1347" t="s">
        <v>3210</v>
      </c>
      <c r="F1347">
        <v>1.05</v>
      </c>
      <c r="G1347">
        <v>102.32</v>
      </c>
      <c r="I1347" t="str" cm="1">
        <f t="array" ref="I1347:J1347">_xlfn.TEXTSPLIT(A1347," ")</f>
        <v>27.10.2023</v>
      </c>
      <c r="J1347" t="str">
        <v>22:27:12</v>
      </c>
      <c r="K1347">
        <f t="shared" si="328"/>
        <v>22.400000000000009</v>
      </c>
      <c r="L1347">
        <f t="shared" si="321"/>
        <v>14.030000000000001</v>
      </c>
      <c r="M1347">
        <f t="shared" si="322"/>
        <v>0</v>
      </c>
      <c r="N1347">
        <f t="shared" si="332"/>
        <v>0.56750000000000012</v>
      </c>
      <c r="Q1347" t="str" cm="1">
        <f t="array" ref="Q1347:R1347">_xlfn.TEXTSPLIT(E1347," ")</f>
        <v>27.10.2023</v>
      </c>
      <c r="R1347" t="str">
        <v>22:27:12</v>
      </c>
      <c r="S1347">
        <f t="shared" si="329"/>
        <v>22.400000000000009</v>
      </c>
      <c r="T1347">
        <f t="shared" ref="T1347:T1410" si="336">G1347-78.6</f>
        <v>23.72</v>
      </c>
      <c r="U1347">
        <f t="shared" si="323"/>
        <v>1.05</v>
      </c>
      <c r="V1347">
        <f t="shared" si="333"/>
        <v>1.0225</v>
      </c>
      <c r="AC1347" t="s">
        <v>3211</v>
      </c>
      <c r="AD1347">
        <v>0</v>
      </c>
      <c r="AE1347">
        <v>13.74</v>
      </c>
      <c r="AG1347" t="str" cm="1">
        <f t="array" ref="AG1347:AH1347">_xlfn.TEXTSPLIT(AC1348," ")</f>
        <v>26.10.2023</v>
      </c>
      <c r="AH1347" t="str">
        <v>22:28:23</v>
      </c>
      <c r="AI1347">
        <f t="shared" si="330"/>
        <v>22.400000000000009</v>
      </c>
      <c r="AJ1347">
        <f t="shared" si="324"/>
        <v>9.2100000000000009</v>
      </c>
      <c r="AK1347">
        <f t="shared" si="325"/>
        <v>0</v>
      </c>
      <c r="AL1347">
        <f t="shared" si="334"/>
        <v>0.38000000000000012</v>
      </c>
      <c r="AN1347" t="s">
        <v>3211</v>
      </c>
      <c r="AO1347">
        <v>0.15</v>
      </c>
      <c r="AP1347">
        <v>77.63</v>
      </c>
      <c r="AR1347" t="str" cm="1">
        <f t="array" ref="AR1347:AS1347">_xlfn.TEXTSPLIT(AN1347," ")</f>
        <v>26.10.2023</v>
      </c>
      <c r="AS1347" t="str">
        <v>22:27:23</v>
      </c>
      <c r="AT1347">
        <f t="shared" si="331"/>
        <v>22.400000000000009</v>
      </c>
      <c r="AU1347">
        <f t="shared" si="326"/>
        <v>16.319999999999993</v>
      </c>
      <c r="AV1347">
        <f t="shared" si="327"/>
        <v>0.15</v>
      </c>
      <c r="AW1347">
        <f t="shared" si="335"/>
        <v>0.6</v>
      </c>
    </row>
    <row r="1348" spans="1:49" x14ac:dyDescent="0.25">
      <c r="A1348" t="s">
        <v>3212</v>
      </c>
      <c r="B1348">
        <v>0</v>
      </c>
      <c r="C1348">
        <v>28.35</v>
      </c>
      <c r="E1348" t="s">
        <v>3212</v>
      </c>
      <c r="F1348">
        <v>0.9</v>
      </c>
      <c r="G1348">
        <v>102.34</v>
      </c>
      <c r="I1348" t="str" cm="1">
        <f t="array" ref="I1348:J1348">_xlfn.TEXTSPLIT(A1348," ")</f>
        <v>27.10.2023</v>
      </c>
      <c r="J1348" t="str">
        <v>22:28:12</v>
      </c>
      <c r="K1348">
        <f t="shared" si="328"/>
        <v>22.416666666666675</v>
      </c>
      <c r="L1348">
        <f t="shared" ref="L1348:L1411" si="337">C1348-14.32</f>
        <v>14.030000000000001</v>
      </c>
      <c r="M1348">
        <f t="shared" ref="M1348:M1411" si="338">B1348</f>
        <v>0</v>
      </c>
      <c r="N1348">
        <f t="shared" si="332"/>
        <v>0.5625</v>
      </c>
      <c r="Q1348" t="str" cm="1">
        <f t="array" ref="Q1348:R1348">_xlfn.TEXTSPLIT(E1348," ")</f>
        <v>27.10.2023</v>
      </c>
      <c r="R1348" t="str">
        <v>22:28:12</v>
      </c>
      <c r="S1348">
        <f t="shared" si="329"/>
        <v>22.416666666666675</v>
      </c>
      <c r="T1348">
        <f t="shared" si="336"/>
        <v>23.740000000000009</v>
      </c>
      <c r="U1348">
        <f t="shared" ref="U1348:U1411" si="339">F1348</f>
        <v>0.9</v>
      </c>
      <c r="V1348">
        <f t="shared" si="333"/>
        <v>1.0249999999999999</v>
      </c>
      <c r="AC1348" t="s">
        <v>3213</v>
      </c>
      <c r="AD1348">
        <v>0</v>
      </c>
      <c r="AE1348">
        <v>13.74</v>
      </c>
      <c r="AG1348" t="str" cm="1">
        <f t="array" ref="AG1348:AH1348">_xlfn.TEXTSPLIT(AC1349," ")</f>
        <v>26.10.2023</v>
      </c>
      <c r="AH1348" t="str">
        <v>22:29:23</v>
      </c>
      <c r="AI1348">
        <f t="shared" si="330"/>
        <v>22.416666666666675</v>
      </c>
      <c r="AJ1348">
        <f t="shared" ref="AJ1348:AJ1411" si="340">AE1348-4.53</f>
        <v>9.2100000000000009</v>
      </c>
      <c r="AK1348">
        <f t="shared" ref="AK1348:AK1411" si="341">AD1348</f>
        <v>0</v>
      </c>
      <c r="AL1348">
        <f t="shared" si="334"/>
        <v>0.38000000000000012</v>
      </c>
      <c r="AN1348" t="s">
        <v>3213</v>
      </c>
      <c r="AO1348">
        <v>0.15</v>
      </c>
      <c r="AP1348">
        <v>77.63</v>
      </c>
      <c r="AR1348" t="str" cm="1">
        <f t="array" ref="AR1348:AS1348">_xlfn.TEXTSPLIT(AN1348," ")</f>
        <v>26.10.2023</v>
      </c>
      <c r="AS1348" t="str">
        <v>22:28:23</v>
      </c>
      <c r="AT1348">
        <f t="shared" si="331"/>
        <v>22.416666666666675</v>
      </c>
      <c r="AU1348">
        <f t="shared" ref="AU1348:AU1411" si="342">AP1348-61.31</f>
        <v>16.319999999999993</v>
      </c>
      <c r="AV1348">
        <f t="shared" ref="AV1348:AV1411" si="343">AO1348</f>
        <v>0.15</v>
      </c>
      <c r="AW1348">
        <f t="shared" si="335"/>
        <v>0.6</v>
      </c>
    </row>
    <row r="1349" spans="1:49" x14ac:dyDescent="0.25">
      <c r="A1349" t="s">
        <v>3214</v>
      </c>
      <c r="B1349">
        <v>0.15</v>
      </c>
      <c r="C1349">
        <v>28.36</v>
      </c>
      <c r="E1349" t="s">
        <v>3214</v>
      </c>
      <c r="F1349">
        <v>0.9</v>
      </c>
      <c r="G1349">
        <v>102.35</v>
      </c>
      <c r="I1349" t="str" cm="1">
        <f t="array" ref="I1349:J1349">_xlfn.TEXTSPLIT(A1349," ")</f>
        <v>27.10.2023</v>
      </c>
      <c r="J1349" t="str">
        <v>22:29:12</v>
      </c>
      <c r="K1349">
        <f t="shared" ref="K1349:K1412" si="344">1/60+K1348</f>
        <v>22.433333333333341</v>
      </c>
      <c r="L1349">
        <f t="shared" si="337"/>
        <v>14.04</v>
      </c>
      <c r="M1349">
        <f t="shared" si="338"/>
        <v>0.15</v>
      </c>
      <c r="N1349">
        <f t="shared" si="332"/>
        <v>0.5625</v>
      </c>
      <c r="Q1349" t="str" cm="1">
        <f t="array" ref="Q1349:R1349">_xlfn.TEXTSPLIT(E1349," ")</f>
        <v>27.10.2023</v>
      </c>
      <c r="R1349" t="str">
        <v>22:29:12</v>
      </c>
      <c r="S1349">
        <f t="shared" ref="S1349:S1412" si="345">1/60+S1348</f>
        <v>22.433333333333341</v>
      </c>
      <c r="T1349">
        <f t="shared" si="336"/>
        <v>23.75</v>
      </c>
      <c r="U1349">
        <f t="shared" si="339"/>
        <v>0.9</v>
      </c>
      <c r="V1349">
        <f t="shared" si="333"/>
        <v>1.0249999999999999</v>
      </c>
      <c r="AC1349" t="s">
        <v>3215</v>
      </c>
      <c r="AD1349">
        <v>0</v>
      </c>
      <c r="AE1349">
        <v>13.74</v>
      </c>
      <c r="AG1349" t="str" cm="1">
        <f t="array" ref="AG1349:AH1349">_xlfn.TEXTSPLIT(AC1350," ")</f>
        <v>26.10.2023</v>
      </c>
      <c r="AH1349" t="str">
        <v>22:30:23</v>
      </c>
      <c r="AI1349">
        <f t="shared" ref="AI1349:AI1412" si="346">1/60+AI1348</f>
        <v>22.433333333333341</v>
      </c>
      <c r="AJ1349">
        <f t="shared" si="340"/>
        <v>9.2100000000000009</v>
      </c>
      <c r="AK1349">
        <f t="shared" si="341"/>
        <v>0</v>
      </c>
      <c r="AL1349">
        <f t="shared" si="334"/>
        <v>0.38000000000000012</v>
      </c>
      <c r="AN1349" t="s">
        <v>3215</v>
      </c>
      <c r="AO1349">
        <v>0.3</v>
      </c>
      <c r="AP1349">
        <v>77.63</v>
      </c>
      <c r="AR1349" t="str" cm="1">
        <f t="array" ref="AR1349:AS1349">_xlfn.TEXTSPLIT(AN1349," ")</f>
        <v>26.10.2023</v>
      </c>
      <c r="AS1349" t="str">
        <v>22:29:23</v>
      </c>
      <c r="AT1349">
        <f t="shared" ref="AT1349:AT1412" si="347">1/60+AT1348</f>
        <v>22.433333333333341</v>
      </c>
      <c r="AU1349">
        <f t="shared" si="342"/>
        <v>16.319999999999993</v>
      </c>
      <c r="AV1349">
        <f t="shared" si="343"/>
        <v>0.3</v>
      </c>
      <c r="AW1349">
        <f t="shared" si="335"/>
        <v>0.59749999999999992</v>
      </c>
    </row>
    <row r="1350" spans="1:49" x14ac:dyDescent="0.25">
      <c r="A1350" t="s">
        <v>3216</v>
      </c>
      <c r="B1350">
        <v>0.15</v>
      </c>
      <c r="C1350">
        <v>28.36</v>
      </c>
      <c r="E1350" t="s">
        <v>3216</v>
      </c>
      <c r="F1350">
        <v>0.75</v>
      </c>
      <c r="G1350">
        <v>102.36</v>
      </c>
      <c r="I1350" t="str" cm="1">
        <f t="array" ref="I1350:J1350">_xlfn.TEXTSPLIT(A1350," ")</f>
        <v>27.10.2023</v>
      </c>
      <c r="J1350" t="str">
        <v>22:30:12</v>
      </c>
      <c r="K1350">
        <f t="shared" si="344"/>
        <v>22.450000000000006</v>
      </c>
      <c r="L1350">
        <f t="shared" si="337"/>
        <v>14.04</v>
      </c>
      <c r="M1350">
        <f t="shared" si="338"/>
        <v>0.15</v>
      </c>
      <c r="N1350">
        <f t="shared" si="332"/>
        <v>0.55499999999999994</v>
      </c>
      <c r="Q1350" t="str" cm="1">
        <f t="array" ref="Q1350:R1350">_xlfn.TEXTSPLIT(E1350," ")</f>
        <v>27.10.2023</v>
      </c>
      <c r="R1350" t="str">
        <v>22:30:12</v>
      </c>
      <c r="S1350">
        <f t="shared" si="345"/>
        <v>22.450000000000006</v>
      </c>
      <c r="T1350">
        <f t="shared" si="336"/>
        <v>23.760000000000005</v>
      </c>
      <c r="U1350">
        <f t="shared" si="339"/>
        <v>0.75</v>
      </c>
      <c r="V1350">
        <f t="shared" si="333"/>
        <v>1.01</v>
      </c>
      <c r="AC1350" t="s">
        <v>3217</v>
      </c>
      <c r="AD1350">
        <v>0</v>
      </c>
      <c r="AE1350">
        <v>13.74</v>
      </c>
      <c r="AG1350" t="str" cm="1">
        <f t="array" ref="AG1350:AH1350">_xlfn.TEXTSPLIT(AC1351," ")</f>
        <v>26.10.2023</v>
      </c>
      <c r="AH1350" t="str">
        <v>22:31:23</v>
      </c>
      <c r="AI1350">
        <f t="shared" si="346"/>
        <v>22.450000000000006</v>
      </c>
      <c r="AJ1350">
        <f t="shared" si="340"/>
        <v>9.2100000000000009</v>
      </c>
      <c r="AK1350">
        <f t="shared" si="341"/>
        <v>0</v>
      </c>
      <c r="AL1350">
        <f t="shared" si="334"/>
        <v>0.38000000000000012</v>
      </c>
      <c r="AN1350" t="s">
        <v>3217</v>
      </c>
      <c r="AO1350">
        <v>0.15</v>
      </c>
      <c r="AP1350">
        <v>77.64</v>
      </c>
      <c r="AR1350" t="str" cm="1">
        <f t="array" ref="AR1350:AS1350">_xlfn.TEXTSPLIT(AN1350," ")</f>
        <v>26.10.2023</v>
      </c>
      <c r="AS1350" t="str">
        <v>22:30:23</v>
      </c>
      <c r="AT1350">
        <f t="shared" si="347"/>
        <v>22.450000000000006</v>
      </c>
      <c r="AU1350">
        <f t="shared" si="342"/>
        <v>16.329999999999998</v>
      </c>
      <c r="AV1350">
        <f t="shared" si="343"/>
        <v>0.15</v>
      </c>
      <c r="AW1350">
        <f t="shared" si="335"/>
        <v>0.59499999999999997</v>
      </c>
    </row>
    <row r="1351" spans="1:49" x14ac:dyDescent="0.25">
      <c r="A1351" t="s">
        <v>3218</v>
      </c>
      <c r="B1351">
        <v>0.45</v>
      </c>
      <c r="C1351">
        <v>28.37</v>
      </c>
      <c r="E1351" t="s">
        <v>3218</v>
      </c>
      <c r="F1351">
        <v>0.6</v>
      </c>
      <c r="G1351">
        <v>102.37</v>
      </c>
      <c r="I1351" t="str" cm="1">
        <f t="array" ref="I1351:J1351">_xlfn.TEXTSPLIT(A1351," ")</f>
        <v>27.10.2023</v>
      </c>
      <c r="J1351" t="str">
        <v>22:31:13</v>
      </c>
      <c r="K1351">
        <f t="shared" si="344"/>
        <v>22.466666666666672</v>
      </c>
      <c r="L1351">
        <f t="shared" si="337"/>
        <v>14.05</v>
      </c>
      <c r="M1351">
        <f t="shared" si="338"/>
        <v>0.45</v>
      </c>
      <c r="N1351">
        <f t="shared" si="332"/>
        <v>0.55249999999999999</v>
      </c>
      <c r="Q1351" t="str" cm="1">
        <f t="array" ref="Q1351:R1351">_xlfn.TEXTSPLIT(E1351," ")</f>
        <v>27.10.2023</v>
      </c>
      <c r="R1351" t="str">
        <v>22:31:13</v>
      </c>
      <c r="S1351">
        <f t="shared" si="345"/>
        <v>22.466666666666672</v>
      </c>
      <c r="T1351">
        <f t="shared" si="336"/>
        <v>23.77000000000001</v>
      </c>
      <c r="U1351">
        <f t="shared" si="339"/>
        <v>0.6</v>
      </c>
      <c r="V1351">
        <f t="shared" si="333"/>
        <v>1.0074999999999998</v>
      </c>
      <c r="AC1351" t="s">
        <v>3219</v>
      </c>
      <c r="AD1351">
        <v>0</v>
      </c>
      <c r="AE1351">
        <v>13.74</v>
      </c>
      <c r="AG1351" t="str" cm="1">
        <f t="array" ref="AG1351:AH1351">_xlfn.TEXTSPLIT(AC1352," ")</f>
        <v>26.10.2023</v>
      </c>
      <c r="AH1351" t="str">
        <v>22:32:24</v>
      </c>
      <c r="AI1351">
        <f t="shared" si="346"/>
        <v>22.466666666666672</v>
      </c>
      <c r="AJ1351">
        <f t="shared" si="340"/>
        <v>9.2100000000000009</v>
      </c>
      <c r="AK1351">
        <f t="shared" si="341"/>
        <v>0</v>
      </c>
      <c r="AL1351">
        <f t="shared" si="334"/>
        <v>0.38000000000000012</v>
      </c>
      <c r="AN1351" t="s">
        <v>3219</v>
      </c>
      <c r="AO1351">
        <v>0.3</v>
      </c>
      <c r="AP1351">
        <v>77.64</v>
      </c>
      <c r="AR1351" t="str" cm="1">
        <f t="array" ref="AR1351:AS1351">_xlfn.TEXTSPLIT(AN1351," ")</f>
        <v>26.10.2023</v>
      </c>
      <c r="AS1351" t="str">
        <v>22:31:23</v>
      </c>
      <c r="AT1351">
        <f t="shared" si="347"/>
        <v>22.466666666666672</v>
      </c>
      <c r="AU1351">
        <f t="shared" si="342"/>
        <v>16.329999999999998</v>
      </c>
      <c r="AV1351">
        <f t="shared" si="343"/>
        <v>0.3</v>
      </c>
      <c r="AW1351">
        <f t="shared" si="335"/>
        <v>0.5924999999999998</v>
      </c>
    </row>
    <row r="1352" spans="1:49" x14ac:dyDescent="0.25">
      <c r="A1352" t="s">
        <v>3220</v>
      </c>
      <c r="B1352">
        <v>0.45</v>
      </c>
      <c r="C1352">
        <v>28.37</v>
      </c>
      <c r="E1352" t="s">
        <v>3220</v>
      </c>
      <c r="F1352">
        <v>0.75</v>
      </c>
      <c r="G1352">
        <v>102.39</v>
      </c>
      <c r="I1352" t="str" cm="1">
        <f t="array" ref="I1352:J1352">_xlfn.TEXTSPLIT(A1352," ")</f>
        <v>27.10.2023</v>
      </c>
      <c r="J1352" t="str">
        <v>22:32:13</v>
      </c>
      <c r="K1352">
        <f t="shared" si="344"/>
        <v>22.483333333333338</v>
      </c>
      <c r="L1352">
        <f t="shared" si="337"/>
        <v>14.05</v>
      </c>
      <c r="M1352">
        <f t="shared" si="338"/>
        <v>0.45</v>
      </c>
      <c r="N1352">
        <f t="shared" si="332"/>
        <v>0.55250000000000021</v>
      </c>
      <c r="Q1352" t="str" cm="1">
        <f t="array" ref="Q1352:R1352">_xlfn.TEXTSPLIT(E1352," ")</f>
        <v>27.10.2023</v>
      </c>
      <c r="R1352" t="str">
        <v>22:32:13</v>
      </c>
      <c r="S1352">
        <f t="shared" si="345"/>
        <v>22.483333333333338</v>
      </c>
      <c r="T1352">
        <f t="shared" si="336"/>
        <v>23.790000000000006</v>
      </c>
      <c r="U1352">
        <f t="shared" si="339"/>
        <v>0.75</v>
      </c>
      <c r="V1352">
        <f t="shared" si="333"/>
        <v>1.0075000000000001</v>
      </c>
      <c r="AC1352" t="s">
        <v>3221</v>
      </c>
      <c r="AD1352">
        <v>0</v>
      </c>
      <c r="AE1352">
        <v>13.74</v>
      </c>
      <c r="AG1352" t="str" cm="1">
        <f t="array" ref="AG1352:AH1352">_xlfn.TEXTSPLIT(AC1353," ")</f>
        <v>26.10.2023</v>
      </c>
      <c r="AH1352" t="str">
        <v>22:33:24</v>
      </c>
      <c r="AI1352">
        <f t="shared" si="346"/>
        <v>22.483333333333338</v>
      </c>
      <c r="AJ1352">
        <f t="shared" si="340"/>
        <v>9.2100000000000009</v>
      </c>
      <c r="AK1352">
        <f t="shared" si="341"/>
        <v>0</v>
      </c>
      <c r="AL1352">
        <f t="shared" si="334"/>
        <v>0.38000000000000012</v>
      </c>
      <c r="AN1352" t="s">
        <v>3221</v>
      </c>
      <c r="AO1352">
        <v>0.3</v>
      </c>
      <c r="AP1352">
        <v>77.650000000000006</v>
      </c>
      <c r="AR1352" t="str" cm="1">
        <f t="array" ref="AR1352:AS1352">_xlfn.TEXTSPLIT(AN1352," ")</f>
        <v>26.10.2023</v>
      </c>
      <c r="AS1352" t="str">
        <v>22:32:24</v>
      </c>
      <c r="AT1352">
        <f t="shared" si="347"/>
        <v>22.483333333333338</v>
      </c>
      <c r="AU1352">
        <f t="shared" si="342"/>
        <v>16.340000000000003</v>
      </c>
      <c r="AV1352">
        <f t="shared" si="343"/>
        <v>0.3</v>
      </c>
      <c r="AW1352">
        <f t="shared" si="335"/>
        <v>0.59249999999999969</v>
      </c>
    </row>
    <row r="1353" spans="1:49" x14ac:dyDescent="0.25">
      <c r="A1353" t="s">
        <v>3222</v>
      </c>
      <c r="B1353">
        <v>0.3</v>
      </c>
      <c r="C1353">
        <v>28.38</v>
      </c>
      <c r="E1353" t="s">
        <v>3222</v>
      </c>
      <c r="F1353">
        <v>0.75</v>
      </c>
      <c r="G1353">
        <v>102.4</v>
      </c>
      <c r="I1353" t="str" cm="1">
        <f t="array" ref="I1353:J1353">_xlfn.TEXTSPLIT(A1353," ")</f>
        <v>27.10.2023</v>
      </c>
      <c r="J1353" t="str">
        <v>22:33:13</v>
      </c>
      <c r="K1353">
        <f t="shared" si="344"/>
        <v>22.500000000000004</v>
      </c>
      <c r="L1353">
        <f t="shared" si="337"/>
        <v>14.059999999999999</v>
      </c>
      <c r="M1353">
        <f t="shared" si="338"/>
        <v>0.3</v>
      </c>
      <c r="N1353">
        <f t="shared" si="332"/>
        <v>0.5525000000000001</v>
      </c>
      <c r="Q1353" t="str" cm="1">
        <f t="array" ref="Q1353:R1353">_xlfn.TEXTSPLIT(E1353," ")</f>
        <v>27.10.2023</v>
      </c>
      <c r="R1353" t="str">
        <v>22:33:13</v>
      </c>
      <c r="S1353">
        <f t="shared" si="345"/>
        <v>22.500000000000004</v>
      </c>
      <c r="T1353">
        <f t="shared" si="336"/>
        <v>23.800000000000011</v>
      </c>
      <c r="U1353">
        <f t="shared" si="339"/>
        <v>0.75</v>
      </c>
      <c r="V1353">
        <f t="shared" si="333"/>
        <v>1.0074999999999998</v>
      </c>
      <c r="AC1353" t="s">
        <v>3223</v>
      </c>
      <c r="AD1353">
        <v>0</v>
      </c>
      <c r="AE1353">
        <v>13.74</v>
      </c>
      <c r="AG1353" t="str" cm="1">
        <f t="array" ref="AG1353:AH1353">_xlfn.TEXTSPLIT(AC1354," ")</f>
        <v>26.10.2023</v>
      </c>
      <c r="AH1353" t="str">
        <v>22:34:24</v>
      </c>
      <c r="AI1353">
        <f t="shared" si="346"/>
        <v>22.500000000000004</v>
      </c>
      <c r="AJ1353">
        <f t="shared" si="340"/>
        <v>9.2100000000000009</v>
      </c>
      <c r="AK1353">
        <f t="shared" si="341"/>
        <v>0</v>
      </c>
      <c r="AL1353">
        <f t="shared" si="334"/>
        <v>0.38000000000000012</v>
      </c>
      <c r="AN1353" t="s">
        <v>3223</v>
      </c>
      <c r="AO1353">
        <v>0.6</v>
      </c>
      <c r="AP1353">
        <v>77.650000000000006</v>
      </c>
      <c r="AR1353" t="str" cm="1">
        <f t="array" ref="AR1353:AS1353">_xlfn.TEXTSPLIT(AN1353," ")</f>
        <v>26.10.2023</v>
      </c>
      <c r="AS1353" t="str">
        <v>22:33:24</v>
      </c>
      <c r="AT1353">
        <f t="shared" si="347"/>
        <v>22.500000000000004</v>
      </c>
      <c r="AU1353">
        <f t="shared" si="342"/>
        <v>16.340000000000003</v>
      </c>
      <c r="AV1353">
        <f t="shared" si="343"/>
        <v>0.6</v>
      </c>
      <c r="AW1353">
        <f t="shared" si="335"/>
        <v>0.59499999999999986</v>
      </c>
    </row>
    <row r="1354" spans="1:49" x14ac:dyDescent="0.25">
      <c r="A1354" t="s">
        <v>3224</v>
      </c>
      <c r="B1354">
        <v>0.3</v>
      </c>
      <c r="C1354">
        <v>28.39</v>
      </c>
      <c r="E1354" t="s">
        <v>3224</v>
      </c>
      <c r="F1354">
        <v>0.75</v>
      </c>
      <c r="G1354">
        <v>102.42</v>
      </c>
      <c r="I1354" t="str" cm="1">
        <f t="array" ref="I1354:J1354">_xlfn.TEXTSPLIT(A1354," ")</f>
        <v>27.10.2023</v>
      </c>
      <c r="J1354" t="str">
        <v>22:34:13</v>
      </c>
      <c r="K1354">
        <f t="shared" si="344"/>
        <v>22.516666666666669</v>
      </c>
      <c r="L1354">
        <f t="shared" si="337"/>
        <v>14.07</v>
      </c>
      <c r="M1354">
        <f t="shared" si="338"/>
        <v>0.3</v>
      </c>
      <c r="N1354">
        <f t="shared" si="332"/>
        <v>0.55000000000000004</v>
      </c>
      <c r="Q1354" t="str" cm="1">
        <f t="array" ref="Q1354:R1354">_xlfn.TEXTSPLIT(E1354," ")</f>
        <v>27.10.2023</v>
      </c>
      <c r="R1354" t="str">
        <v>22:34:13</v>
      </c>
      <c r="S1354">
        <f t="shared" si="345"/>
        <v>22.516666666666669</v>
      </c>
      <c r="T1354">
        <f t="shared" si="336"/>
        <v>23.820000000000007</v>
      </c>
      <c r="U1354">
        <f t="shared" si="339"/>
        <v>0.75</v>
      </c>
      <c r="V1354">
        <f t="shared" si="333"/>
        <v>1.0074999999999998</v>
      </c>
      <c r="AC1354" t="s">
        <v>3225</v>
      </c>
      <c r="AD1354">
        <v>0</v>
      </c>
      <c r="AE1354">
        <v>13.74</v>
      </c>
      <c r="AG1354" t="str" cm="1">
        <f t="array" ref="AG1354:AH1354">_xlfn.TEXTSPLIT(AC1355," ")</f>
        <v>26.10.2023</v>
      </c>
      <c r="AH1354" t="str">
        <v>22:35:24</v>
      </c>
      <c r="AI1354">
        <f t="shared" si="346"/>
        <v>22.516666666666669</v>
      </c>
      <c r="AJ1354">
        <f t="shared" si="340"/>
        <v>9.2100000000000009</v>
      </c>
      <c r="AK1354">
        <f t="shared" si="341"/>
        <v>0</v>
      </c>
      <c r="AL1354">
        <f t="shared" si="334"/>
        <v>0.38000000000000012</v>
      </c>
      <c r="AN1354" t="s">
        <v>3225</v>
      </c>
      <c r="AO1354">
        <v>0.45</v>
      </c>
      <c r="AP1354">
        <v>77.67</v>
      </c>
      <c r="AR1354" t="str" cm="1">
        <f t="array" ref="AR1354:AS1354">_xlfn.TEXTSPLIT(AN1354," ")</f>
        <v>26.10.2023</v>
      </c>
      <c r="AS1354" t="str">
        <v>22:34:24</v>
      </c>
      <c r="AT1354">
        <f t="shared" si="347"/>
        <v>22.516666666666669</v>
      </c>
      <c r="AU1354">
        <f t="shared" si="342"/>
        <v>16.36</v>
      </c>
      <c r="AV1354">
        <f t="shared" si="343"/>
        <v>0.45</v>
      </c>
      <c r="AW1354">
        <f t="shared" si="335"/>
        <v>0.59499999999999986</v>
      </c>
    </row>
    <row r="1355" spans="1:49" x14ac:dyDescent="0.25">
      <c r="A1355" t="s">
        <v>3226</v>
      </c>
      <c r="B1355">
        <v>0.45</v>
      </c>
      <c r="C1355">
        <v>28.39</v>
      </c>
      <c r="E1355" t="s">
        <v>3226</v>
      </c>
      <c r="F1355">
        <v>1.05</v>
      </c>
      <c r="G1355">
        <v>102.43</v>
      </c>
      <c r="I1355" t="str" cm="1">
        <f t="array" ref="I1355:J1355">_xlfn.TEXTSPLIT(A1355," ")</f>
        <v>27.10.2023</v>
      </c>
      <c r="J1355" t="str">
        <v>22:35:13</v>
      </c>
      <c r="K1355">
        <f t="shared" si="344"/>
        <v>22.533333333333335</v>
      </c>
      <c r="L1355">
        <f t="shared" si="337"/>
        <v>14.07</v>
      </c>
      <c r="M1355">
        <f t="shared" si="338"/>
        <v>0.45</v>
      </c>
      <c r="N1355">
        <f t="shared" si="332"/>
        <v>0.55000000000000004</v>
      </c>
      <c r="Q1355" t="str" cm="1">
        <f t="array" ref="Q1355:R1355">_xlfn.TEXTSPLIT(E1355," ")</f>
        <v>27.10.2023</v>
      </c>
      <c r="R1355" t="str">
        <v>22:35:13</v>
      </c>
      <c r="S1355">
        <f t="shared" si="345"/>
        <v>22.533333333333335</v>
      </c>
      <c r="T1355">
        <f t="shared" si="336"/>
        <v>23.830000000000013</v>
      </c>
      <c r="U1355">
        <f t="shared" si="339"/>
        <v>1.05</v>
      </c>
      <c r="V1355">
        <f t="shared" si="333"/>
        <v>1.0125</v>
      </c>
      <c r="AC1355" t="s">
        <v>3227</v>
      </c>
      <c r="AD1355">
        <v>0</v>
      </c>
      <c r="AE1355">
        <v>13.74</v>
      </c>
      <c r="AG1355" t="str" cm="1">
        <f t="array" ref="AG1355:AH1355">_xlfn.TEXTSPLIT(AC1356," ")</f>
        <v>26.10.2023</v>
      </c>
      <c r="AH1355" t="str">
        <v>22:36:24</v>
      </c>
      <c r="AI1355">
        <f t="shared" si="346"/>
        <v>22.533333333333335</v>
      </c>
      <c r="AJ1355">
        <f t="shared" si="340"/>
        <v>9.2100000000000009</v>
      </c>
      <c r="AK1355">
        <f t="shared" si="341"/>
        <v>0</v>
      </c>
      <c r="AL1355">
        <f t="shared" si="334"/>
        <v>0.38000000000000012</v>
      </c>
      <c r="AN1355" t="s">
        <v>3227</v>
      </c>
      <c r="AO1355">
        <v>0.6</v>
      </c>
      <c r="AP1355">
        <v>77.67</v>
      </c>
      <c r="AR1355" t="str" cm="1">
        <f t="array" ref="AR1355:AS1355">_xlfn.TEXTSPLIT(AN1355," ")</f>
        <v>26.10.2023</v>
      </c>
      <c r="AS1355" t="str">
        <v>22:35:24</v>
      </c>
      <c r="AT1355">
        <f t="shared" si="347"/>
        <v>22.533333333333335</v>
      </c>
      <c r="AU1355">
        <f t="shared" si="342"/>
        <v>16.36</v>
      </c>
      <c r="AV1355">
        <f t="shared" si="343"/>
        <v>0.6</v>
      </c>
      <c r="AW1355">
        <f t="shared" si="335"/>
        <v>0.59749999999999992</v>
      </c>
    </row>
    <row r="1356" spans="1:49" x14ac:dyDescent="0.25">
      <c r="A1356" t="s">
        <v>3228</v>
      </c>
      <c r="B1356">
        <v>0.3</v>
      </c>
      <c r="C1356">
        <v>28.4</v>
      </c>
      <c r="E1356" t="s">
        <v>3228</v>
      </c>
      <c r="F1356">
        <v>2.5499999999999998</v>
      </c>
      <c r="G1356">
        <v>102.48</v>
      </c>
      <c r="I1356" t="str" cm="1">
        <f t="array" ref="I1356:J1356">_xlfn.TEXTSPLIT(A1356," ")</f>
        <v>27.10.2023</v>
      </c>
      <c r="J1356" t="str">
        <v>22:36:13</v>
      </c>
      <c r="K1356">
        <f t="shared" si="344"/>
        <v>22.55</v>
      </c>
      <c r="L1356">
        <f t="shared" si="337"/>
        <v>14.079999999999998</v>
      </c>
      <c r="M1356">
        <f t="shared" si="338"/>
        <v>0.3</v>
      </c>
      <c r="N1356">
        <f t="shared" si="332"/>
        <v>0.54749999999999999</v>
      </c>
      <c r="Q1356" t="str" cm="1">
        <f t="array" ref="Q1356:R1356">_xlfn.TEXTSPLIT(E1356," ")</f>
        <v>27.10.2023</v>
      </c>
      <c r="R1356" t="str">
        <v>22:36:13</v>
      </c>
      <c r="S1356">
        <f t="shared" si="345"/>
        <v>22.55</v>
      </c>
      <c r="T1356">
        <f t="shared" si="336"/>
        <v>23.88000000000001</v>
      </c>
      <c r="U1356">
        <f t="shared" si="339"/>
        <v>2.5499999999999998</v>
      </c>
      <c r="V1356">
        <f t="shared" si="333"/>
        <v>1.0149999999999999</v>
      </c>
      <c r="AC1356" t="s">
        <v>3229</v>
      </c>
      <c r="AD1356">
        <v>0.15</v>
      </c>
      <c r="AE1356">
        <v>13.74</v>
      </c>
      <c r="AG1356" t="str" cm="1">
        <f t="array" ref="AG1356:AH1356">_xlfn.TEXTSPLIT(AC1357," ")</f>
        <v>26.10.2023</v>
      </c>
      <c r="AH1356" t="str">
        <v>22:37:24</v>
      </c>
      <c r="AI1356">
        <f t="shared" si="346"/>
        <v>22.55</v>
      </c>
      <c r="AJ1356">
        <f t="shared" si="340"/>
        <v>9.2100000000000009</v>
      </c>
      <c r="AK1356">
        <f t="shared" si="341"/>
        <v>0.15</v>
      </c>
      <c r="AL1356">
        <f t="shared" si="334"/>
        <v>0.38250000000000012</v>
      </c>
      <c r="AN1356" t="s">
        <v>3229</v>
      </c>
      <c r="AO1356">
        <v>0.45</v>
      </c>
      <c r="AP1356">
        <v>77.69</v>
      </c>
      <c r="AR1356" t="str" cm="1">
        <f t="array" ref="AR1356:AS1356">_xlfn.TEXTSPLIT(AN1356," ")</f>
        <v>26.10.2023</v>
      </c>
      <c r="AS1356" t="str">
        <v>22:36:24</v>
      </c>
      <c r="AT1356">
        <f t="shared" si="347"/>
        <v>22.55</v>
      </c>
      <c r="AU1356">
        <f t="shared" si="342"/>
        <v>16.379999999999995</v>
      </c>
      <c r="AV1356">
        <f t="shared" si="343"/>
        <v>0.45</v>
      </c>
      <c r="AW1356">
        <f t="shared" si="335"/>
        <v>0.59749999999999992</v>
      </c>
    </row>
    <row r="1357" spans="1:49" x14ac:dyDescent="0.25">
      <c r="A1357" t="s">
        <v>3230</v>
      </c>
      <c r="B1357">
        <v>0.45</v>
      </c>
      <c r="C1357">
        <v>28.41</v>
      </c>
      <c r="E1357" t="s">
        <v>3230</v>
      </c>
      <c r="F1357">
        <v>2.25</v>
      </c>
      <c r="G1357">
        <v>102.51</v>
      </c>
      <c r="I1357" t="str" cm="1">
        <f t="array" ref="I1357:J1357">_xlfn.TEXTSPLIT(A1357," ")</f>
        <v>27.10.2023</v>
      </c>
      <c r="J1357" t="str">
        <v>22:37:13</v>
      </c>
      <c r="K1357">
        <f t="shared" si="344"/>
        <v>22.566666666666666</v>
      </c>
      <c r="L1357">
        <f t="shared" si="337"/>
        <v>14.09</v>
      </c>
      <c r="M1357">
        <f t="shared" si="338"/>
        <v>0.45</v>
      </c>
      <c r="N1357">
        <f t="shared" si="332"/>
        <v>0.54500000000000004</v>
      </c>
      <c r="Q1357" t="str" cm="1">
        <f t="array" ref="Q1357:R1357">_xlfn.TEXTSPLIT(E1357," ")</f>
        <v>27.10.2023</v>
      </c>
      <c r="R1357" t="str">
        <v>22:37:13</v>
      </c>
      <c r="S1357">
        <f t="shared" si="345"/>
        <v>22.566666666666666</v>
      </c>
      <c r="T1357">
        <f t="shared" si="336"/>
        <v>23.910000000000011</v>
      </c>
      <c r="U1357">
        <f t="shared" si="339"/>
        <v>2.25</v>
      </c>
      <c r="V1357">
        <f t="shared" si="333"/>
        <v>0.99999999999999989</v>
      </c>
      <c r="AC1357" t="s">
        <v>3231</v>
      </c>
      <c r="AD1357">
        <v>0.15</v>
      </c>
      <c r="AE1357">
        <v>13.74</v>
      </c>
      <c r="AG1357" t="str" cm="1">
        <f t="array" ref="AG1357:AH1357">_xlfn.TEXTSPLIT(AC1358," ")</f>
        <v>26.10.2023</v>
      </c>
      <c r="AH1357" t="str">
        <v>22:38:24</v>
      </c>
      <c r="AI1357">
        <f t="shared" si="346"/>
        <v>22.566666666666666</v>
      </c>
      <c r="AJ1357">
        <f t="shared" si="340"/>
        <v>9.2100000000000009</v>
      </c>
      <c r="AK1357">
        <f t="shared" si="341"/>
        <v>0.15</v>
      </c>
      <c r="AL1357">
        <f t="shared" si="334"/>
        <v>0.38250000000000006</v>
      </c>
      <c r="AN1357" t="s">
        <v>3231</v>
      </c>
      <c r="AO1357">
        <v>1.35</v>
      </c>
      <c r="AP1357">
        <v>77.709999999999994</v>
      </c>
      <c r="AR1357" t="str" cm="1">
        <f t="array" ref="AR1357:AS1357">_xlfn.TEXTSPLIT(AN1357," ")</f>
        <v>26.10.2023</v>
      </c>
      <c r="AS1357" t="str">
        <v>22:37:24</v>
      </c>
      <c r="AT1357">
        <f t="shared" si="347"/>
        <v>22.566666666666666</v>
      </c>
      <c r="AU1357">
        <f t="shared" si="342"/>
        <v>16.399999999999991</v>
      </c>
      <c r="AV1357">
        <f t="shared" si="343"/>
        <v>1.35</v>
      </c>
      <c r="AW1357">
        <f t="shared" si="335"/>
        <v>0.5950000000000002</v>
      </c>
    </row>
    <row r="1358" spans="1:49" x14ac:dyDescent="0.25">
      <c r="A1358" t="s">
        <v>3232</v>
      </c>
      <c r="B1358">
        <v>2.7</v>
      </c>
      <c r="C1358">
        <v>28.45</v>
      </c>
      <c r="E1358" t="s">
        <v>3232</v>
      </c>
      <c r="F1358">
        <v>1.8</v>
      </c>
      <c r="G1358">
        <v>102.54</v>
      </c>
      <c r="I1358" t="str" cm="1">
        <f t="array" ref="I1358:J1358">_xlfn.TEXTSPLIT(A1358," ")</f>
        <v>27.10.2023</v>
      </c>
      <c r="J1358" t="str">
        <v>22:38:13</v>
      </c>
      <c r="K1358">
        <f t="shared" si="344"/>
        <v>22.583333333333332</v>
      </c>
      <c r="L1358">
        <f t="shared" si="337"/>
        <v>14.129999999999999</v>
      </c>
      <c r="M1358">
        <f t="shared" si="338"/>
        <v>2.7</v>
      </c>
      <c r="N1358">
        <f t="shared" si="332"/>
        <v>0.5525000000000001</v>
      </c>
      <c r="Q1358" t="str" cm="1">
        <f t="array" ref="Q1358:R1358">_xlfn.TEXTSPLIT(E1358," ")</f>
        <v>27.10.2023</v>
      </c>
      <c r="R1358" t="str">
        <v>22:38:13</v>
      </c>
      <c r="S1358">
        <f t="shared" si="345"/>
        <v>22.583333333333332</v>
      </c>
      <c r="T1358">
        <f t="shared" si="336"/>
        <v>23.940000000000012</v>
      </c>
      <c r="U1358">
        <f t="shared" si="339"/>
        <v>1.8</v>
      </c>
      <c r="V1358">
        <f t="shared" si="333"/>
        <v>1.0024999999999999</v>
      </c>
      <c r="AC1358" t="s">
        <v>3233</v>
      </c>
      <c r="AD1358">
        <v>0.75</v>
      </c>
      <c r="AE1358">
        <v>13.76</v>
      </c>
      <c r="AG1358" t="str" cm="1">
        <f t="array" ref="AG1358:AH1358">_xlfn.TEXTSPLIT(AC1359," ")</f>
        <v>26.10.2023</v>
      </c>
      <c r="AH1358" t="str">
        <v>22:39:24</v>
      </c>
      <c r="AI1358">
        <f t="shared" si="346"/>
        <v>22.583333333333332</v>
      </c>
      <c r="AJ1358">
        <f t="shared" si="340"/>
        <v>9.23</v>
      </c>
      <c r="AK1358">
        <f t="shared" si="341"/>
        <v>0.75</v>
      </c>
      <c r="AL1358">
        <f t="shared" si="334"/>
        <v>0.38000000000000006</v>
      </c>
      <c r="AN1358" t="s">
        <v>3233</v>
      </c>
      <c r="AO1358">
        <v>1.8</v>
      </c>
      <c r="AP1358">
        <v>77.739999999999995</v>
      </c>
      <c r="AR1358" t="str" cm="1">
        <f t="array" ref="AR1358:AS1358">_xlfn.TEXTSPLIT(AN1358," ")</f>
        <v>26.10.2023</v>
      </c>
      <c r="AS1358" t="str">
        <v>22:38:24</v>
      </c>
      <c r="AT1358">
        <f t="shared" si="347"/>
        <v>22.583333333333332</v>
      </c>
      <c r="AU1358">
        <f t="shared" si="342"/>
        <v>16.429999999999993</v>
      </c>
      <c r="AV1358">
        <f t="shared" si="343"/>
        <v>1.8</v>
      </c>
      <c r="AW1358">
        <f t="shared" si="335"/>
        <v>0.58750000000000002</v>
      </c>
    </row>
    <row r="1359" spans="1:49" x14ac:dyDescent="0.25">
      <c r="A1359" t="s">
        <v>3234</v>
      </c>
      <c r="B1359">
        <v>1.8</v>
      </c>
      <c r="C1359">
        <v>28.48</v>
      </c>
      <c r="E1359" t="s">
        <v>3234</v>
      </c>
      <c r="F1359">
        <v>1.95</v>
      </c>
      <c r="G1359">
        <v>102.57</v>
      </c>
      <c r="I1359" t="str" cm="1">
        <f t="array" ref="I1359:J1359">_xlfn.TEXTSPLIT(A1359," ")</f>
        <v>27.10.2023</v>
      </c>
      <c r="J1359" t="str">
        <v>22:39:13</v>
      </c>
      <c r="K1359">
        <f t="shared" si="344"/>
        <v>22.599999999999998</v>
      </c>
      <c r="L1359">
        <f t="shared" si="337"/>
        <v>14.16</v>
      </c>
      <c r="M1359">
        <f t="shared" si="338"/>
        <v>1.8</v>
      </c>
      <c r="N1359">
        <f t="shared" si="332"/>
        <v>0.54749999999999999</v>
      </c>
      <c r="Q1359" t="str" cm="1">
        <f t="array" ref="Q1359:R1359">_xlfn.TEXTSPLIT(E1359," ")</f>
        <v>27.10.2023</v>
      </c>
      <c r="R1359" t="str">
        <v>22:39:13</v>
      </c>
      <c r="S1359">
        <f t="shared" si="345"/>
        <v>22.599999999999998</v>
      </c>
      <c r="T1359">
        <f t="shared" si="336"/>
        <v>23.97</v>
      </c>
      <c r="U1359">
        <f t="shared" si="339"/>
        <v>1.95</v>
      </c>
      <c r="V1359">
        <f t="shared" si="333"/>
        <v>1.01</v>
      </c>
      <c r="AC1359" t="s">
        <v>3235</v>
      </c>
      <c r="AD1359">
        <v>1.65</v>
      </c>
      <c r="AE1359">
        <v>13.8</v>
      </c>
      <c r="AG1359" t="str" cm="1">
        <f t="array" ref="AG1359:AH1359">_xlfn.TEXTSPLIT(AC1360," ")</f>
        <v>26.10.2023</v>
      </c>
      <c r="AH1359" t="str">
        <v>22:40:24</v>
      </c>
      <c r="AI1359">
        <f t="shared" si="346"/>
        <v>22.599999999999998</v>
      </c>
      <c r="AJ1359">
        <f t="shared" si="340"/>
        <v>9.27</v>
      </c>
      <c r="AK1359">
        <f t="shared" si="341"/>
        <v>1.65</v>
      </c>
      <c r="AL1359">
        <f t="shared" si="334"/>
        <v>0.37999999999999995</v>
      </c>
      <c r="AN1359" t="s">
        <v>3235</v>
      </c>
      <c r="AO1359">
        <v>1.65</v>
      </c>
      <c r="AP1359">
        <v>77.78</v>
      </c>
      <c r="AR1359" t="str" cm="1">
        <f t="array" ref="AR1359:AS1359">_xlfn.TEXTSPLIT(AN1359," ")</f>
        <v>26.10.2023</v>
      </c>
      <c r="AS1359" t="str">
        <v>22:39:24</v>
      </c>
      <c r="AT1359">
        <f t="shared" si="347"/>
        <v>22.599999999999998</v>
      </c>
      <c r="AU1359">
        <f t="shared" si="342"/>
        <v>16.47</v>
      </c>
      <c r="AV1359">
        <f t="shared" si="343"/>
        <v>1.65</v>
      </c>
      <c r="AW1359">
        <f t="shared" si="335"/>
        <v>0.58500000000000008</v>
      </c>
    </row>
    <row r="1360" spans="1:49" x14ac:dyDescent="0.25">
      <c r="A1360" t="s">
        <v>3236</v>
      </c>
      <c r="B1360">
        <v>1.5</v>
      </c>
      <c r="C1360">
        <v>28.51</v>
      </c>
      <c r="E1360" t="s">
        <v>3236</v>
      </c>
      <c r="F1360">
        <v>1.65</v>
      </c>
      <c r="G1360">
        <v>102.6</v>
      </c>
      <c r="I1360" t="str" cm="1">
        <f t="array" ref="I1360:J1360">_xlfn.TEXTSPLIT(A1360," ")</f>
        <v>27.10.2023</v>
      </c>
      <c r="J1360" t="str">
        <v>22:40:13</v>
      </c>
      <c r="K1360">
        <f t="shared" si="344"/>
        <v>22.616666666666664</v>
      </c>
      <c r="L1360">
        <f t="shared" si="337"/>
        <v>14.190000000000001</v>
      </c>
      <c r="M1360">
        <f t="shared" si="338"/>
        <v>1.5</v>
      </c>
      <c r="N1360">
        <f t="shared" si="332"/>
        <v>0.54249999999999998</v>
      </c>
      <c r="Q1360" t="str" cm="1">
        <f t="array" ref="Q1360:R1360">_xlfn.TEXTSPLIT(E1360," ")</f>
        <v>27.10.2023</v>
      </c>
      <c r="R1360" t="str">
        <v>22:40:13</v>
      </c>
      <c r="S1360">
        <f t="shared" si="345"/>
        <v>22.616666666666664</v>
      </c>
      <c r="T1360">
        <f t="shared" si="336"/>
        <v>24</v>
      </c>
      <c r="U1360">
        <f t="shared" si="339"/>
        <v>1.65</v>
      </c>
      <c r="V1360">
        <f t="shared" si="333"/>
        <v>1.01</v>
      </c>
      <c r="AC1360" t="s">
        <v>3237</v>
      </c>
      <c r="AD1360">
        <v>1.5</v>
      </c>
      <c r="AE1360">
        <v>13.82</v>
      </c>
      <c r="AG1360" t="str" cm="1">
        <f t="array" ref="AG1360:AH1360">_xlfn.TEXTSPLIT(AC1361," ")</f>
        <v>26.10.2023</v>
      </c>
      <c r="AH1360" t="str">
        <v>22:41:24</v>
      </c>
      <c r="AI1360">
        <f t="shared" si="346"/>
        <v>22.616666666666664</v>
      </c>
      <c r="AJ1360">
        <f t="shared" si="340"/>
        <v>9.2899999999999991</v>
      </c>
      <c r="AK1360">
        <f t="shared" si="341"/>
        <v>1.5</v>
      </c>
      <c r="AL1360">
        <f t="shared" si="334"/>
        <v>0.37999999999999989</v>
      </c>
      <c r="AN1360" t="s">
        <v>3237</v>
      </c>
      <c r="AO1360">
        <v>2.5499999999999998</v>
      </c>
      <c r="AP1360">
        <v>77.81</v>
      </c>
      <c r="AR1360" t="str" cm="1">
        <f t="array" ref="AR1360:AS1360">_xlfn.TEXTSPLIT(AN1360," ")</f>
        <v>26.10.2023</v>
      </c>
      <c r="AS1360" t="str">
        <v>22:40:24</v>
      </c>
      <c r="AT1360">
        <f t="shared" si="347"/>
        <v>22.616666666666664</v>
      </c>
      <c r="AU1360">
        <f t="shared" si="342"/>
        <v>16.5</v>
      </c>
      <c r="AV1360">
        <f t="shared" si="343"/>
        <v>2.5499999999999998</v>
      </c>
      <c r="AW1360">
        <f t="shared" si="335"/>
        <v>0.60250000000000015</v>
      </c>
    </row>
    <row r="1361" spans="1:49" x14ac:dyDescent="0.25">
      <c r="A1361" t="s">
        <v>3238</v>
      </c>
      <c r="B1361">
        <v>1.05</v>
      </c>
      <c r="C1361">
        <v>28.52</v>
      </c>
      <c r="E1361" t="s">
        <v>3238</v>
      </c>
      <c r="F1361">
        <v>0.9</v>
      </c>
      <c r="G1361">
        <v>102.61</v>
      </c>
      <c r="I1361" t="str" cm="1">
        <f t="array" ref="I1361:J1361">_xlfn.TEXTSPLIT(A1361," ")</f>
        <v>27.10.2023</v>
      </c>
      <c r="J1361" t="str">
        <v>22:41:13</v>
      </c>
      <c r="K1361">
        <f t="shared" si="344"/>
        <v>22.633333333333329</v>
      </c>
      <c r="L1361">
        <f t="shared" si="337"/>
        <v>14.2</v>
      </c>
      <c r="M1361">
        <f t="shared" si="338"/>
        <v>1.05</v>
      </c>
      <c r="N1361">
        <f t="shared" si="332"/>
        <v>0.54749999999999999</v>
      </c>
      <c r="Q1361" t="str" cm="1">
        <f t="array" ref="Q1361:R1361">_xlfn.TEXTSPLIT(E1361," ")</f>
        <v>27.10.2023</v>
      </c>
      <c r="R1361" t="str">
        <v>22:41:13</v>
      </c>
      <c r="S1361">
        <f t="shared" si="345"/>
        <v>22.633333333333329</v>
      </c>
      <c r="T1361">
        <f t="shared" si="336"/>
        <v>24.010000000000005</v>
      </c>
      <c r="U1361">
        <f t="shared" si="339"/>
        <v>0.9</v>
      </c>
      <c r="V1361">
        <f t="shared" si="333"/>
        <v>0.99749999999999983</v>
      </c>
      <c r="AC1361" t="s">
        <v>3239</v>
      </c>
      <c r="AD1361">
        <v>1.8</v>
      </c>
      <c r="AE1361">
        <v>13.85</v>
      </c>
      <c r="AG1361" t="str" cm="1">
        <f t="array" ref="AG1361:AH1361">_xlfn.TEXTSPLIT(AC1362," ")</f>
        <v>26.10.2023</v>
      </c>
      <c r="AH1361" t="str">
        <v>22:42:24</v>
      </c>
      <c r="AI1361">
        <f t="shared" si="346"/>
        <v>22.633333333333329</v>
      </c>
      <c r="AJ1361">
        <f t="shared" si="340"/>
        <v>9.32</v>
      </c>
      <c r="AK1361">
        <f t="shared" si="341"/>
        <v>1.8</v>
      </c>
      <c r="AL1361">
        <f t="shared" si="334"/>
        <v>0.3849999999999999</v>
      </c>
      <c r="AN1361" t="s">
        <v>3239</v>
      </c>
      <c r="AO1361">
        <v>1.35</v>
      </c>
      <c r="AP1361">
        <v>77.83</v>
      </c>
      <c r="AR1361" t="str" cm="1">
        <f t="array" ref="AR1361:AS1361">_xlfn.TEXTSPLIT(AN1361," ")</f>
        <v>26.10.2023</v>
      </c>
      <c r="AS1361" t="str">
        <v>22:41:24</v>
      </c>
      <c r="AT1361">
        <f t="shared" si="347"/>
        <v>22.633333333333329</v>
      </c>
      <c r="AU1361">
        <f t="shared" si="342"/>
        <v>16.519999999999996</v>
      </c>
      <c r="AV1361">
        <f t="shared" si="343"/>
        <v>1.35</v>
      </c>
      <c r="AW1361">
        <f t="shared" si="335"/>
        <v>0.61250000000000016</v>
      </c>
    </row>
    <row r="1362" spans="1:49" x14ac:dyDescent="0.25">
      <c r="A1362" t="s">
        <v>3240</v>
      </c>
      <c r="B1362">
        <v>0.45</v>
      </c>
      <c r="C1362">
        <v>28.53</v>
      </c>
      <c r="E1362" t="s">
        <v>3240</v>
      </c>
      <c r="F1362">
        <v>0.9</v>
      </c>
      <c r="G1362">
        <v>102.63</v>
      </c>
      <c r="I1362" t="str" cm="1">
        <f t="array" ref="I1362:J1362">_xlfn.TEXTSPLIT(A1362," ")</f>
        <v>27.10.2023</v>
      </c>
      <c r="J1362" t="str">
        <v>22:42:13</v>
      </c>
      <c r="K1362">
        <f t="shared" si="344"/>
        <v>22.649999999999995</v>
      </c>
      <c r="L1362">
        <f t="shared" si="337"/>
        <v>14.21</v>
      </c>
      <c r="M1362">
        <f t="shared" si="338"/>
        <v>0.45</v>
      </c>
      <c r="N1362">
        <f t="shared" si="332"/>
        <v>0.54250000000000009</v>
      </c>
      <c r="Q1362" t="str" cm="1">
        <f t="array" ref="Q1362:R1362">_xlfn.TEXTSPLIT(E1362," ")</f>
        <v>27.10.2023</v>
      </c>
      <c r="R1362" t="str">
        <v>22:42:13</v>
      </c>
      <c r="S1362">
        <f t="shared" si="345"/>
        <v>22.649999999999995</v>
      </c>
      <c r="T1362">
        <f t="shared" si="336"/>
        <v>24.03</v>
      </c>
      <c r="U1362">
        <f t="shared" si="339"/>
        <v>0.9</v>
      </c>
      <c r="V1362">
        <f t="shared" si="333"/>
        <v>0.99499999999999966</v>
      </c>
      <c r="AC1362" t="s">
        <v>3241</v>
      </c>
      <c r="AD1362">
        <v>1.2</v>
      </c>
      <c r="AE1362">
        <v>13.87</v>
      </c>
      <c r="AG1362" t="str" cm="1">
        <f t="array" ref="AG1362:AH1362">_xlfn.TEXTSPLIT(AC1363," ")</f>
        <v>26.10.2023</v>
      </c>
      <c r="AH1362" t="str">
        <v>22:43:25</v>
      </c>
      <c r="AI1362">
        <f t="shared" si="346"/>
        <v>22.649999999999995</v>
      </c>
      <c r="AJ1362">
        <f t="shared" si="340"/>
        <v>9.34</v>
      </c>
      <c r="AK1362">
        <f t="shared" si="341"/>
        <v>1.2</v>
      </c>
      <c r="AL1362">
        <f t="shared" si="334"/>
        <v>0.3899999999999999</v>
      </c>
      <c r="AN1362" t="s">
        <v>3241</v>
      </c>
      <c r="AO1362">
        <v>1.2</v>
      </c>
      <c r="AP1362">
        <v>77.849999999999994</v>
      </c>
      <c r="AR1362" t="str" cm="1">
        <f t="array" ref="AR1362:AS1362">_xlfn.TEXTSPLIT(AN1362," ")</f>
        <v>26.10.2023</v>
      </c>
      <c r="AS1362" t="str">
        <v>22:42:24</v>
      </c>
      <c r="AT1362">
        <f t="shared" si="347"/>
        <v>22.649999999999995</v>
      </c>
      <c r="AU1362">
        <f t="shared" si="342"/>
        <v>16.539999999999992</v>
      </c>
      <c r="AV1362">
        <f t="shared" si="343"/>
        <v>1.2</v>
      </c>
      <c r="AW1362">
        <f t="shared" si="335"/>
        <v>0.62</v>
      </c>
    </row>
    <row r="1363" spans="1:49" x14ac:dyDescent="0.25">
      <c r="A1363" t="s">
        <v>3242</v>
      </c>
      <c r="B1363">
        <v>0.9</v>
      </c>
      <c r="C1363">
        <v>28.54</v>
      </c>
      <c r="E1363" t="s">
        <v>3242</v>
      </c>
      <c r="F1363">
        <v>1.05</v>
      </c>
      <c r="G1363">
        <v>102.64</v>
      </c>
      <c r="I1363" t="str" cm="1">
        <f t="array" ref="I1363:J1363">_xlfn.TEXTSPLIT(A1363," ")</f>
        <v>27.10.2023</v>
      </c>
      <c r="J1363" t="str">
        <v>22:43:14</v>
      </c>
      <c r="K1363">
        <f t="shared" si="344"/>
        <v>22.666666666666661</v>
      </c>
      <c r="L1363">
        <f t="shared" si="337"/>
        <v>14.219999999999999</v>
      </c>
      <c r="M1363">
        <f t="shared" si="338"/>
        <v>0.9</v>
      </c>
      <c r="N1363">
        <f t="shared" si="332"/>
        <v>0.54500000000000004</v>
      </c>
      <c r="Q1363" t="str" cm="1">
        <f t="array" ref="Q1363:R1363">_xlfn.TEXTSPLIT(E1363," ")</f>
        <v>27.10.2023</v>
      </c>
      <c r="R1363" t="str">
        <v>22:43:14</v>
      </c>
      <c r="S1363">
        <f t="shared" si="345"/>
        <v>22.666666666666661</v>
      </c>
      <c r="T1363">
        <f t="shared" si="336"/>
        <v>24.040000000000006</v>
      </c>
      <c r="U1363">
        <f t="shared" si="339"/>
        <v>1.05</v>
      </c>
      <c r="V1363">
        <f t="shared" si="333"/>
        <v>0.9974999999999995</v>
      </c>
      <c r="AC1363" t="s">
        <v>3243</v>
      </c>
      <c r="AD1363">
        <v>0.9</v>
      </c>
      <c r="AE1363">
        <v>13.89</v>
      </c>
      <c r="AG1363" t="str" cm="1">
        <f t="array" ref="AG1363:AH1363">_xlfn.TEXTSPLIT(AC1364," ")</f>
        <v>26.10.2023</v>
      </c>
      <c r="AH1363" t="str">
        <v>22:44:25</v>
      </c>
      <c r="AI1363">
        <f t="shared" si="346"/>
        <v>22.666666666666661</v>
      </c>
      <c r="AJ1363">
        <f t="shared" si="340"/>
        <v>9.36</v>
      </c>
      <c r="AK1363">
        <f t="shared" si="341"/>
        <v>0.9</v>
      </c>
      <c r="AL1363">
        <f t="shared" si="334"/>
        <v>0.38499999999999995</v>
      </c>
      <c r="AN1363" t="s">
        <v>3243</v>
      </c>
      <c r="AO1363">
        <v>0.9</v>
      </c>
      <c r="AP1363">
        <v>77.86</v>
      </c>
      <c r="AR1363" t="str" cm="1">
        <f t="array" ref="AR1363:AS1363">_xlfn.TEXTSPLIT(AN1363," ")</f>
        <v>26.10.2023</v>
      </c>
      <c r="AS1363" t="str">
        <v>22:43:25</v>
      </c>
      <c r="AT1363">
        <f t="shared" si="347"/>
        <v>22.666666666666661</v>
      </c>
      <c r="AU1363">
        <f t="shared" si="342"/>
        <v>16.549999999999997</v>
      </c>
      <c r="AV1363">
        <f t="shared" si="343"/>
        <v>0.9</v>
      </c>
      <c r="AW1363">
        <f t="shared" si="335"/>
        <v>0.625</v>
      </c>
    </row>
    <row r="1364" spans="1:49" x14ac:dyDescent="0.25">
      <c r="A1364" t="s">
        <v>3244</v>
      </c>
      <c r="B1364">
        <v>0.6</v>
      </c>
      <c r="C1364">
        <v>28.56</v>
      </c>
      <c r="E1364" t="s">
        <v>3244</v>
      </c>
      <c r="F1364">
        <v>1.2</v>
      </c>
      <c r="G1364">
        <v>102.66</v>
      </c>
      <c r="I1364" t="str" cm="1">
        <f t="array" ref="I1364:J1364">_xlfn.TEXTSPLIT(A1364," ")</f>
        <v>27.10.2023</v>
      </c>
      <c r="J1364" t="str">
        <v>22:44:14</v>
      </c>
      <c r="K1364">
        <f t="shared" si="344"/>
        <v>22.683333333333326</v>
      </c>
      <c r="L1364">
        <f t="shared" si="337"/>
        <v>14.239999999999998</v>
      </c>
      <c r="M1364">
        <f t="shared" si="338"/>
        <v>0.6</v>
      </c>
      <c r="N1364">
        <f t="shared" si="332"/>
        <v>0.55000000000000004</v>
      </c>
      <c r="Q1364" t="str" cm="1">
        <f t="array" ref="Q1364:R1364">_xlfn.TEXTSPLIT(E1364," ")</f>
        <v>27.10.2023</v>
      </c>
      <c r="R1364" t="str">
        <v>22:44:14</v>
      </c>
      <c r="S1364">
        <f t="shared" si="345"/>
        <v>22.683333333333326</v>
      </c>
      <c r="T1364">
        <f t="shared" si="336"/>
        <v>24.060000000000002</v>
      </c>
      <c r="U1364">
        <f t="shared" si="339"/>
        <v>1.2</v>
      </c>
      <c r="V1364">
        <f t="shared" si="333"/>
        <v>1.0049999999999997</v>
      </c>
      <c r="AC1364" t="s">
        <v>3245</v>
      </c>
      <c r="AD1364">
        <v>0.75</v>
      </c>
      <c r="AE1364">
        <v>13.9</v>
      </c>
      <c r="AG1364" t="str" cm="1">
        <f t="array" ref="AG1364:AH1364">_xlfn.TEXTSPLIT(AC1365," ")</f>
        <v>26.10.2023</v>
      </c>
      <c r="AH1364" t="str">
        <v>22:45:25</v>
      </c>
      <c r="AI1364">
        <f t="shared" si="346"/>
        <v>22.683333333333326</v>
      </c>
      <c r="AJ1364">
        <f t="shared" si="340"/>
        <v>9.370000000000001</v>
      </c>
      <c r="AK1364">
        <f t="shared" si="341"/>
        <v>0.75</v>
      </c>
      <c r="AL1364">
        <f t="shared" si="334"/>
        <v>0.38250000000000001</v>
      </c>
      <c r="AN1364" t="s">
        <v>3245</v>
      </c>
      <c r="AO1364">
        <v>1.05</v>
      </c>
      <c r="AP1364">
        <v>77.88</v>
      </c>
      <c r="AR1364" t="str" cm="1">
        <f t="array" ref="AR1364:AS1364">_xlfn.TEXTSPLIT(AN1364," ")</f>
        <v>26.10.2023</v>
      </c>
      <c r="AS1364" t="str">
        <v>22:44:25</v>
      </c>
      <c r="AT1364">
        <f t="shared" si="347"/>
        <v>22.683333333333326</v>
      </c>
      <c r="AU1364">
        <f t="shared" si="342"/>
        <v>16.569999999999993</v>
      </c>
      <c r="AV1364">
        <f t="shared" si="343"/>
        <v>1.05</v>
      </c>
      <c r="AW1364">
        <f t="shared" si="335"/>
        <v>0.63250000000000006</v>
      </c>
    </row>
    <row r="1365" spans="1:49" x14ac:dyDescent="0.25">
      <c r="A1365" t="s">
        <v>3246</v>
      </c>
      <c r="B1365">
        <v>0.6</v>
      </c>
      <c r="C1365">
        <v>28.56</v>
      </c>
      <c r="E1365" t="s">
        <v>3246</v>
      </c>
      <c r="F1365">
        <v>1.05</v>
      </c>
      <c r="G1365">
        <v>102.68</v>
      </c>
      <c r="I1365" t="str" cm="1">
        <f t="array" ref="I1365:J1365">_xlfn.TEXTSPLIT(A1365," ")</f>
        <v>27.10.2023</v>
      </c>
      <c r="J1365" t="str">
        <v>22:45:14</v>
      </c>
      <c r="K1365">
        <f t="shared" si="344"/>
        <v>22.699999999999992</v>
      </c>
      <c r="L1365">
        <f t="shared" si="337"/>
        <v>14.239999999999998</v>
      </c>
      <c r="M1365">
        <f t="shared" si="338"/>
        <v>0.6</v>
      </c>
      <c r="N1365">
        <f t="shared" si="332"/>
        <v>0.55249999999999999</v>
      </c>
      <c r="Q1365" t="str" cm="1">
        <f t="array" ref="Q1365:R1365">_xlfn.TEXTSPLIT(E1365," ")</f>
        <v>27.10.2023</v>
      </c>
      <c r="R1365" t="str">
        <v>22:45:14</v>
      </c>
      <c r="S1365">
        <f t="shared" si="345"/>
        <v>22.699999999999992</v>
      </c>
      <c r="T1365">
        <f t="shared" si="336"/>
        <v>24.080000000000013</v>
      </c>
      <c r="U1365">
        <f t="shared" si="339"/>
        <v>1.05</v>
      </c>
      <c r="V1365">
        <f t="shared" si="333"/>
        <v>1.0024999999999997</v>
      </c>
      <c r="AC1365" t="s">
        <v>3247</v>
      </c>
      <c r="AD1365">
        <v>0.75</v>
      </c>
      <c r="AE1365">
        <v>13.92</v>
      </c>
      <c r="AG1365" t="str" cm="1">
        <f t="array" ref="AG1365:AH1365">_xlfn.TEXTSPLIT(AC1366," ")</f>
        <v>26.10.2023</v>
      </c>
      <c r="AH1365" t="str">
        <v>22:46:25</v>
      </c>
      <c r="AI1365">
        <f t="shared" si="346"/>
        <v>22.699999999999992</v>
      </c>
      <c r="AJ1365">
        <f t="shared" si="340"/>
        <v>9.39</v>
      </c>
      <c r="AK1365">
        <f t="shared" si="341"/>
        <v>0.75</v>
      </c>
      <c r="AL1365">
        <f t="shared" si="334"/>
        <v>0.38999999999999996</v>
      </c>
      <c r="AN1365" t="s">
        <v>3247</v>
      </c>
      <c r="AO1365">
        <v>1.05</v>
      </c>
      <c r="AP1365">
        <v>77.900000000000006</v>
      </c>
      <c r="AR1365" t="str" cm="1">
        <f t="array" ref="AR1365:AS1365">_xlfn.TEXTSPLIT(AN1365," ")</f>
        <v>26.10.2023</v>
      </c>
      <c r="AS1365" t="str">
        <v>22:45:25</v>
      </c>
      <c r="AT1365">
        <f t="shared" si="347"/>
        <v>22.699999999999992</v>
      </c>
      <c r="AU1365">
        <f t="shared" si="342"/>
        <v>16.590000000000003</v>
      </c>
      <c r="AV1365">
        <f t="shared" si="343"/>
        <v>1.05</v>
      </c>
      <c r="AW1365">
        <f t="shared" si="335"/>
        <v>0.64</v>
      </c>
    </row>
    <row r="1366" spans="1:49" x14ac:dyDescent="0.25">
      <c r="A1366" t="s">
        <v>3248</v>
      </c>
      <c r="B1366">
        <v>0.45</v>
      </c>
      <c r="C1366">
        <v>28.57</v>
      </c>
      <c r="E1366" t="s">
        <v>3248</v>
      </c>
      <c r="F1366">
        <v>1.05</v>
      </c>
      <c r="G1366">
        <v>102.7</v>
      </c>
      <c r="I1366" t="str" cm="1">
        <f t="array" ref="I1366:J1366">_xlfn.TEXTSPLIT(A1366," ")</f>
        <v>27.10.2023</v>
      </c>
      <c r="J1366" t="str">
        <v>22:46:14</v>
      </c>
      <c r="K1366">
        <f t="shared" si="344"/>
        <v>22.716666666666658</v>
      </c>
      <c r="L1366">
        <f t="shared" si="337"/>
        <v>14.25</v>
      </c>
      <c r="M1366">
        <f t="shared" si="338"/>
        <v>0.45</v>
      </c>
      <c r="N1366">
        <f t="shared" si="332"/>
        <v>0.55000000000000016</v>
      </c>
      <c r="Q1366" t="str" cm="1">
        <f t="array" ref="Q1366:R1366">_xlfn.TEXTSPLIT(E1366," ")</f>
        <v>27.10.2023</v>
      </c>
      <c r="R1366" t="str">
        <v>22:46:14</v>
      </c>
      <c r="S1366">
        <f t="shared" si="345"/>
        <v>22.716666666666658</v>
      </c>
      <c r="T1366">
        <f t="shared" si="336"/>
        <v>24.100000000000009</v>
      </c>
      <c r="U1366">
        <f t="shared" si="339"/>
        <v>1.05</v>
      </c>
      <c r="V1366">
        <f t="shared" si="333"/>
        <v>1.0049999999999994</v>
      </c>
      <c r="AC1366" t="s">
        <v>3249</v>
      </c>
      <c r="AD1366">
        <v>1.2</v>
      </c>
      <c r="AE1366">
        <v>13.93</v>
      </c>
      <c r="AG1366" t="str" cm="1">
        <f t="array" ref="AG1366:AH1366">_xlfn.TEXTSPLIT(AC1367," ")</f>
        <v>26.10.2023</v>
      </c>
      <c r="AH1366" t="str">
        <v>22:47:25</v>
      </c>
      <c r="AI1366">
        <f t="shared" si="346"/>
        <v>22.716666666666658</v>
      </c>
      <c r="AJ1366">
        <f t="shared" si="340"/>
        <v>9.3999999999999986</v>
      </c>
      <c r="AK1366">
        <f t="shared" si="341"/>
        <v>1.2</v>
      </c>
      <c r="AL1366">
        <f t="shared" si="334"/>
        <v>0.40499999999999997</v>
      </c>
      <c r="AN1366" t="s">
        <v>3249</v>
      </c>
      <c r="AO1366">
        <v>1.2</v>
      </c>
      <c r="AP1366">
        <v>77.92</v>
      </c>
      <c r="AR1366" t="str" cm="1">
        <f t="array" ref="AR1366:AS1366">_xlfn.TEXTSPLIT(AN1366," ")</f>
        <v>26.10.2023</v>
      </c>
      <c r="AS1366" t="str">
        <v>22:46:25</v>
      </c>
      <c r="AT1366">
        <f t="shared" si="347"/>
        <v>22.716666666666658</v>
      </c>
      <c r="AU1366">
        <f t="shared" si="342"/>
        <v>16.61</v>
      </c>
      <c r="AV1366">
        <f t="shared" si="343"/>
        <v>1.2</v>
      </c>
      <c r="AW1366">
        <f t="shared" si="335"/>
        <v>0.64750000000000008</v>
      </c>
    </row>
    <row r="1367" spans="1:49" x14ac:dyDescent="0.25">
      <c r="A1367" t="s">
        <v>3250</v>
      </c>
      <c r="B1367">
        <v>0.3</v>
      </c>
      <c r="C1367">
        <v>28.58</v>
      </c>
      <c r="E1367" t="s">
        <v>3250</v>
      </c>
      <c r="F1367">
        <v>1.2</v>
      </c>
      <c r="G1367">
        <v>102.72</v>
      </c>
      <c r="I1367" t="str" cm="1">
        <f t="array" ref="I1367:J1367">_xlfn.TEXTSPLIT(A1367," ")</f>
        <v>27.10.2023</v>
      </c>
      <c r="J1367" t="str">
        <v>22:47:14</v>
      </c>
      <c r="K1367">
        <f t="shared" si="344"/>
        <v>22.733333333333324</v>
      </c>
      <c r="L1367">
        <f t="shared" si="337"/>
        <v>14.259999999999998</v>
      </c>
      <c r="M1367">
        <f t="shared" si="338"/>
        <v>0.3</v>
      </c>
      <c r="N1367">
        <f t="shared" si="332"/>
        <v>0.55249999999999999</v>
      </c>
      <c r="Q1367" t="str" cm="1">
        <f t="array" ref="Q1367:R1367">_xlfn.TEXTSPLIT(E1367," ")</f>
        <v>27.10.2023</v>
      </c>
      <c r="R1367" t="str">
        <v>22:47:14</v>
      </c>
      <c r="S1367">
        <f t="shared" si="345"/>
        <v>22.733333333333324</v>
      </c>
      <c r="T1367">
        <f t="shared" si="336"/>
        <v>24.120000000000005</v>
      </c>
      <c r="U1367">
        <f t="shared" si="339"/>
        <v>1.2</v>
      </c>
      <c r="V1367">
        <f t="shared" si="333"/>
        <v>1.0049999999999997</v>
      </c>
      <c r="AC1367" t="s">
        <v>3251</v>
      </c>
      <c r="AD1367">
        <v>0.75</v>
      </c>
      <c r="AE1367">
        <v>13.95</v>
      </c>
      <c r="AG1367" t="str" cm="1">
        <f t="array" ref="AG1367:AH1367">_xlfn.TEXTSPLIT(AC1368," ")</f>
        <v>26.10.2023</v>
      </c>
      <c r="AH1367" t="str">
        <v>22:48:25</v>
      </c>
      <c r="AI1367">
        <f t="shared" si="346"/>
        <v>22.733333333333324</v>
      </c>
      <c r="AJ1367">
        <f t="shared" si="340"/>
        <v>9.4199999999999982</v>
      </c>
      <c r="AK1367">
        <f t="shared" si="341"/>
        <v>0.75</v>
      </c>
      <c r="AL1367">
        <f t="shared" si="334"/>
        <v>0.41249999999999992</v>
      </c>
      <c r="AN1367" t="s">
        <v>3251</v>
      </c>
      <c r="AO1367">
        <v>1.05</v>
      </c>
      <c r="AP1367">
        <v>77.930000000000007</v>
      </c>
      <c r="AR1367" t="str" cm="1">
        <f t="array" ref="AR1367:AS1367">_xlfn.TEXTSPLIT(AN1367," ")</f>
        <v>26.10.2023</v>
      </c>
      <c r="AS1367" t="str">
        <v>22:47:25</v>
      </c>
      <c r="AT1367">
        <f t="shared" si="347"/>
        <v>22.733333333333324</v>
      </c>
      <c r="AU1367">
        <f t="shared" si="342"/>
        <v>16.620000000000005</v>
      </c>
      <c r="AV1367">
        <f t="shared" si="343"/>
        <v>1.05</v>
      </c>
      <c r="AW1367">
        <f t="shared" si="335"/>
        <v>0.65499999999999992</v>
      </c>
    </row>
    <row r="1368" spans="1:49" x14ac:dyDescent="0.25">
      <c r="A1368" t="s">
        <v>3252</v>
      </c>
      <c r="B1368">
        <v>0.6</v>
      </c>
      <c r="C1368">
        <v>28.58</v>
      </c>
      <c r="E1368" t="s">
        <v>3252</v>
      </c>
      <c r="F1368">
        <v>0.75</v>
      </c>
      <c r="G1368">
        <v>102.73</v>
      </c>
      <c r="I1368" t="str" cm="1">
        <f t="array" ref="I1368:J1368">_xlfn.TEXTSPLIT(A1368," ")</f>
        <v>27.10.2023</v>
      </c>
      <c r="J1368" t="str">
        <v>22:48:14</v>
      </c>
      <c r="K1368">
        <f t="shared" si="344"/>
        <v>22.749999999999989</v>
      </c>
      <c r="L1368">
        <f t="shared" si="337"/>
        <v>14.259999999999998</v>
      </c>
      <c r="M1368">
        <f t="shared" si="338"/>
        <v>0.6</v>
      </c>
      <c r="N1368">
        <f t="shared" si="332"/>
        <v>0.55500000000000005</v>
      </c>
      <c r="Q1368" t="str" cm="1">
        <f t="array" ref="Q1368:R1368">_xlfn.TEXTSPLIT(E1368," ")</f>
        <v>27.10.2023</v>
      </c>
      <c r="R1368" t="str">
        <v>22:48:14</v>
      </c>
      <c r="S1368">
        <f t="shared" si="345"/>
        <v>22.749999999999989</v>
      </c>
      <c r="T1368">
        <f t="shared" si="336"/>
        <v>24.13000000000001</v>
      </c>
      <c r="U1368">
        <f t="shared" si="339"/>
        <v>0.75</v>
      </c>
      <c r="V1368">
        <f t="shared" si="333"/>
        <v>0.99749999999999972</v>
      </c>
      <c r="AC1368" t="s">
        <v>3253</v>
      </c>
      <c r="AD1368">
        <v>0.45</v>
      </c>
      <c r="AE1368">
        <v>13.95</v>
      </c>
      <c r="AG1368" t="str" cm="1">
        <f t="array" ref="AG1368:AH1368">_xlfn.TEXTSPLIT(AC1369," ")</f>
        <v>26.10.2023</v>
      </c>
      <c r="AH1368" t="str">
        <v>22:49:25</v>
      </c>
      <c r="AI1368">
        <f t="shared" si="346"/>
        <v>22.749999999999989</v>
      </c>
      <c r="AJ1368">
        <f t="shared" si="340"/>
        <v>9.4199999999999982</v>
      </c>
      <c r="AK1368">
        <f t="shared" si="341"/>
        <v>0.45</v>
      </c>
      <c r="AL1368">
        <f t="shared" si="334"/>
        <v>0.41499999999999998</v>
      </c>
      <c r="AN1368" t="s">
        <v>3253</v>
      </c>
      <c r="AO1368">
        <v>0.6</v>
      </c>
      <c r="AP1368">
        <v>77.94</v>
      </c>
      <c r="AR1368" t="str" cm="1">
        <f t="array" ref="AR1368:AS1368">_xlfn.TEXTSPLIT(AN1368," ")</f>
        <v>26.10.2023</v>
      </c>
      <c r="AS1368" t="str">
        <v>22:48:25</v>
      </c>
      <c r="AT1368">
        <f t="shared" si="347"/>
        <v>22.749999999999989</v>
      </c>
      <c r="AU1368">
        <f t="shared" si="342"/>
        <v>16.629999999999995</v>
      </c>
      <c r="AV1368">
        <f t="shared" si="343"/>
        <v>0.6</v>
      </c>
      <c r="AW1368">
        <f t="shared" si="335"/>
        <v>0.65</v>
      </c>
    </row>
    <row r="1369" spans="1:49" x14ac:dyDescent="0.25">
      <c r="A1369" t="s">
        <v>3254</v>
      </c>
      <c r="B1369">
        <v>0.45</v>
      </c>
      <c r="C1369">
        <v>28.59</v>
      </c>
      <c r="E1369" t="s">
        <v>3254</v>
      </c>
      <c r="F1369">
        <v>0.9</v>
      </c>
      <c r="G1369">
        <v>102.74</v>
      </c>
      <c r="I1369" t="str" cm="1">
        <f t="array" ref="I1369:J1369">_xlfn.TEXTSPLIT(A1369," ")</f>
        <v>27.10.2023</v>
      </c>
      <c r="J1369" t="str">
        <v>22:49:14</v>
      </c>
      <c r="K1369">
        <f t="shared" si="344"/>
        <v>22.766666666666655</v>
      </c>
      <c r="L1369">
        <f t="shared" si="337"/>
        <v>14.27</v>
      </c>
      <c r="M1369">
        <f t="shared" si="338"/>
        <v>0.45</v>
      </c>
      <c r="N1369">
        <f t="shared" si="332"/>
        <v>0.55000000000000016</v>
      </c>
      <c r="Q1369" t="str" cm="1">
        <f t="array" ref="Q1369:R1369">_xlfn.TEXTSPLIT(E1369," ")</f>
        <v>27.10.2023</v>
      </c>
      <c r="R1369" t="str">
        <v>22:49:14</v>
      </c>
      <c r="S1369">
        <f t="shared" si="345"/>
        <v>22.766666666666655</v>
      </c>
      <c r="T1369">
        <f t="shared" si="336"/>
        <v>24.14</v>
      </c>
      <c r="U1369">
        <f t="shared" si="339"/>
        <v>0.9</v>
      </c>
      <c r="V1369">
        <f t="shared" si="333"/>
        <v>0.99999999999999967</v>
      </c>
      <c r="AC1369" t="s">
        <v>3255</v>
      </c>
      <c r="AD1369">
        <v>0</v>
      </c>
      <c r="AE1369">
        <v>13.95</v>
      </c>
      <c r="AG1369" t="str" cm="1">
        <f t="array" ref="AG1369:AH1369">_xlfn.TEXTSPLIT(AC1370," ")</f>
        <v>26.10.2023</v>
      </c>
      <c r="AH1369" t="str">
        <v>22:50:25</v>
      </c>
      <c r="AI1369">
        <f t="shared" si="346"/>
        <v>22.766666666666655</v>
      </c>
      <c r="AJ1369">
        <f t="shared" si="340"/>
        <v>9.4199999999999982</v>
      </c>
      <c r="AK1369">
        <f t="shared" si="341"/>
        <v>0</v>
      </c>
      <c r="AL1369">
        <f t="shared" si="334"/>
        <v>0.40749999999999997</v>
      </c>
      <c r="AN1369" t="s">
        <v>3255</v>
      </c>
      <c r="AO1369">
        <v>0.6</v>
      </c>
      <c r="AP1369">
        <v>77.95</v>
      </c>
      <c r="AR1369" t="str" cm="1">
        <f t="array" ref="AR1369:AS1369">_xlfn.TEXTSPLIT(AN1369," ")</f>
        <v>26.10.2023</v>
      </c>
      <c r="AS1369" t="str">
        <v>22:49:25</v>
      </c>
      <c r="AT1369">
        <f t="shared" si="347"/>
        <v>22.766666666666655</v>
      </c>
      <c r="AU1369">
        <f t="shared" si="342"/>
        <v>16.64</v>
      </c>
      <c r="AV1369">
        <f t="shared" si="343"/>
        <v>0.6</v>
      </c>
      <c r="AW1369">
        <f t="shared" si="335"/>
        <v>0.64499999999999991</v>
      </c>
    </row>
    <row r="1370" spans="1:49" x14ac:dyDescent="0.25">
      <c r="A1370" t="s">
        <v>3256</v>
      </c>
      <c r="B1370">
        <v>0.45</v>
      </c>
      <c r="C1370">
        <v>28.6</v>
      </c>
      <c r="E1370" t="s">
        <v>3256</v>
      </c>
      <c r="F1370">
        <v>0.75</v>
      </c>
      <c r="G1370">
        <v>102.76</v>
      </c>
      <c r="I1370" t="str" cm="1">
        <f t="array" ref="I1370:J1370">_xlfn.TEXTSPLIT(A1370," ")</f>
        <v>27.10.2023</v>
      </c>
      <c r="J1370" t="str">
        <v>22:50:14</v>
      </c>
      <c r="K1370">
        <f t="shared" si="344"/>
        <v>22.783333333333321</v>
      </c>
      <c r="L1370">
        <f t="shared" si="337"/>
        <v>14.280000000000001</v>
      </c>
      <c r="M1370">
        <f t="shared" si="338"/>
        <v>0.45</v>
      </c>
      <c r="N1370">
        <f t="shared" si="332"/>
        <v>0.55000000000000016</v>
      </c>
      <c r="Q1370" t="str" cm="1">
        <f t="array" ref="Q1370:R1370">_xlfn.TEXTSPLIT(E1370," ")</f>
        <v>27.10.2023</v>
      </c>
      <c r="R1370" t="str">
        <v>22:50:14</v>
      </c>
      <c r="S1370">
        <f t="shared" si="345"/>
        <v>22.783333333333321</v>
      </c>
      <c r="T1370">
        <f t="shared" si="336"/>
        <v>24.160000000000011</v>
      </c>
      <c r="U1370">
        <f t="shared" si="339"/>
        <v>0.75</v>
      </c>
      <c r="V1370">
        <f t="shared" si="333"/>
        <v>0.9974999999999995</v>
      </c>
      <c r="AC1370" t="s">
        <v>3257</v>
      </c>
      <c r="AD1370">
        <v>0.15</v>
      </c>
      <c r="AE1370">
        <v>13.96</v>
      </c>
      <c r="AG1370" t="str" cm="1">
        <f t="array" ref="AG1370:AH1370">_xlfn.TEXTSPLIT(AC1371," ")</f>
        <v>26.10.2023</v>
      </c>
      <c r="AH1370" t="str">
        <v>22:51:25</v>
      </c>
      <c r="AI1370">
        <f t="shared" si="346"/>
        <v>22.783333333333321</v>
      </c>
      <c r="AJ1370">
        <f t="shared" si="340"/>
        <v>9.43</v>
      </c>
      <c r="AK1370">
        <f t="shared" si="341"/>
        <v>0.15</v>
      </c>
      <c r="AL1370">
        <f t="shared" si="334"/>
        <v>0.40749999999999992</v>
      </c>
      <c r="AN1370" t="s">
        <v>3257</v>
      </c>
      <c r="AO1370">
        <v>0.6</v>
      </c>
      <c r="AP1370">
        <v>77.959999999999994</v>
      </c>
      <c r="AR1370" t="str" cm="1">
        <f t="array" ref="AR1370:AS1370">_xlfn.TEXTSPLIT(AN1370," ")</f>
        <v>26.10.2023</v>
      </c>
      <c r="AS1370" t="str">
        <v>22:50:25</v>
      </c>
      <c r="AT1370">
        <f t="shared" si="347"/>
        <v>22.783333333333321</v>
      </c>
      <c r="AU1370">
        <f t="shared" si="342"/>
        <v>16.649999999999991</v>
      </c>
      <c r="AV1370">
        <f t="shared" si="343"/>
        <v>0.6</v>
      </c>
      <c r="AW1370">
        <f t="shared" si="335"/>
        <v>0.64249999999999996</v>
      </c>
    </row>
    <row r="1371" spans="1:49" x14ac:dyDescent="0.25">
      <c r="A1371" t="s">
        <v>3258</v>
      </c>
      <c r="B1371">
        <v>0.3</v>
      </c>
      <c r="C1371">
        <v>28.61</v>
      </c>
      <c r="E1371" t="s">
        <v>3258</v>
      </c>
      <c r="F1371">
        <v>0.15</v>
      </c>
      <c r="G1371">
        <v>102.76</v>
      </c>
      <c r="I1371" t="str" cm="1">
        <f t="array" ref="I1371:J1371">_xlfn.TEXTSPLIT(A1371," ")</f>
        <v>27.10.2023</v>
      </c>
      <c r="J1371" t="str">
        <v>22:51:14</v>
      </c>
      <c r="K1371">
        <f t="shared" si="344"/>
        <v>22.799999999999986</v>
      </c>
      <c r="L1371">
        <f t="shared" si="337"/>
        <v>14.29</v>
      </c>
      <c r="M1371">
        <f t="shared" si="338"/>
        <v>0.3</v>
      </c>
      <c r="N1371">
        <f t="shared" si="332"/>
        <v>0.53999999999999992</v>
      </c>
      <c r="Q1371" t="str" cm="1">
        <f t="array" ref="Q1371:R1371">_xlfn.TEXTSPLIT(E1371," ")</f>
        <v>27.10.2023</v>
      </c>
      <c r="R1371" t="str">
        <v>22:51:14</v>
      </c>
      <c r="S1371">
        <f t="shared" si="345"/>
        <v>22.799999999999986</v>
      </c>
      <c r="T1371">
        <f t="shared" si="336"/>
        <v>24.160000000000011</v>
      </c>
      <c r="U1371">
        <f t="shared" si="339"/>
        <v>0.15</v>
      </c>
      <c r="V1371">
        <f t="shared" si="333"/>
        <v>0.99499999999999955</v>
      </c>
      <c r="AC1371" t="s">
        <v>3259</v>
      </c>
      <c r="AD1371">
        <v>0.6</v>
      </c>
      <c r="AE1371">
        <v>13.97</v>
      </c>
      <c r="AG1371" t="str" cm="1">
        <f t="array" ref="AG1371:AH1371">_xlfn.TEXTSPLIT(AC1372," ")</f>
        <v>26.10.2023</v>
      </c>
      <c r="AH1371" t="str">
        <v>22:52:25</v>
      </c>
      <c r="AI1371">
        <f t="shared" si="346"/>
        <v>22.799999999999986</v>
      </c>
      <c r="AJ1371">
        <f t="shared" si="340"/>
        <v>9.4400000000000013</v>
      </c>
      <c r="AK1371">
        <f t="shared" si="341"/>
        <v>0.6</v>
      </c>
      <c r="AL1371">
        <f t="shared" si="334"/>
        <v>0.41249999999999998</v>
      </c>
      <c r="AN1371" t="s">
        <v>3259</v>
      </c>
      <c r="AO1371">
        <v>0.45</v>
      </c>
      <c r="AP1371">
        <v>77.959999999999994</v>
      </c>
      <c r="AR1371" t="str" cm="1">
        <f t="array" ref="AR1371:AS1371">_xlfn.TEXTSPLIT(AN1371," ")</f>
        <v>26.10.2023</v>
      </c>
      <c r="AS1371" t="str">
        <v>22:51:25</v>
      </c>
      <c r="AT1371">
        <f t="shared" si="347"/>
        <v>22.799999999999986</v>
      </c>
      <c r="AU1371">
        <f t="shared" si="342"/>
        <v>16.649999999999991</v>
      </c>
      <c r="AV1371">
        <f t="shared" si="343"/>
        <v>0.45</v>
      </c>
      <c r="AW1371">
        <f t="shared" si="335"/>
        <v>0.64249999999999996</v>
      </c>
    </row>
    <row r="1372" spans="1:49" x14ac:dyDescent="0.25">
      <c r="A1372" t="s">
        <v>3260</v>
      </c>
      <c r="B1372">
        <v>0.45</v>
      </c>
      <c r="C1372">
        <v>28.61</v>
      </c>
      <c r="E1372" t="s">
        <v>3260</v>
      </c>
      <c r="F1372">
        <v>0.3</v>
      </c>
      <c r="G1372">
        <v>102.76</v>
      </c>
      <c r="I1372" t="str" cm="1">
        <f t="array" ref="I1372:J1372">_xlfn.TEXTSPLIT(A1372," ")</f>
        <v>27.10.2023</v>
      </c>
      <c r="J1372" t="str">
        <v>22:52:14</v>
      </c>
      <c r="K1372">
        <f t="shared" si="344"/>
        <v>22.816666666666652</v>
      </c>
      <c r="L1372">
        <f t="shared" si="337"/>
        <v>14.29</v>
      </c>
      <c r="M1372">
        <f t="shared" si="338"/>
        <v>0.45</v>
      </c>
      <c r="N1372">
        <f t="shared" si="332"/>
        <v>0.54250000000000009</v>
      </c>
      <c r="Q1372" t="str" cm="1">
        <f t="array" ref="Q1372:R1372">_xlfn.TEXTSPLIT(E1372," ")</f>
        <v>27.10.2023</v>
      </c>
      <c r="R1372" t="str">
        <v>22:52:14</v>
      </c>
      <c r="S1372">
        <f t="shared" si="345"/>
        <v>22.816666666666652</v>
      </c>
      <c r="T1372">
        <f t="shared" si="336"/>
        <v>24.160000000000011</v>
      </c>
      <c r="U1372">
        <f t="shared" si="339"/>
        <v>0.3</v>
      </c>
      <c r="V1372">
        <f t="shared" si="333"/>
        <v>0.99499999999999955</v>
      </c>
      <c r="AC1372" t="s">
        <v>3261</v>
      </c>
      <c r="AD1372">
        <v>0.6</v>
      </c>
      <c r="AE1372">
        <v>13.98</v>
      </c>
      <c r="AG1372" t="str" cm="1">
        <f t="array" ref="AG1372:AH1372">_xlfn.TEXTSPLIT(AC1373," ")</f>
        <v>26.10.2023</v>
      </c>
      <c r="AH1372" t="str">
        <v>22:53:25</v>
      </c>
      <c r="AI1372">
        <f t="shared" si="346"/>
        <v>22.816666666666652</v>
      </c>
      <c r="AJ1372">
        <f t="shared" si="340"/>
        <v>9.4499999999999993</v>
      </c>
      <c r="AK1372">
        <f t="shared" si="341"/>
        <v>0.6</v>
      </c>
      <c r="AL1372">
        <f t="shared" si="334"/>
        <v>0.42</v>
      </c>
      <c r="AN1372" t="s">
        <v>3261</v>
      </c>
      <c r="AO1372">
        <v>0.15</v>
      </c>
      <c r="AP1372">
        <v>77.959999999999994</v>
      </c>
      <c r="AR1372" t="str" cm="1">
        <f t="array" ref="AR1372:AS1372">_xlfn.TEXTSPLIT(AN1372," ")</f>
        <v>26.10.2023</v>
      </c>
      <c r="AS1372" t="str">
        <v>22:52:25</v>
      </c>
      <c r="AT1372">
        <f t="shared" si="347"/>
        <v>22.816666666666652</v>
      </c>
      <c r="AU1372">
        <f t="shared" si="342"/>
        <v>16.649999999999991</v>
      </c>
      <c r="AV1372">
        <f t="shared" si="343"/>
        <v>0.15</v>
      </c>
      <c r="AW1372">
        <f t="shared" si="335"/>
        <v>0.64249999999999996</v>
      </c>
    </row>
    <row r="1373" spans="1:49" x14ac:dyDescent="0.25">
      <c r="A1373" t="s">
        <v>3262</v>
      </c>
      <c r="B1373">
        <v>0</v>
      </c>
      <c r="C1373">
        <v>28.61</v>
      </c>
      <c r="E1373" t="s">
        <v>3262</v>
      </c>
      <c r="F1373">
        <v>0.3</v>
      </c>
      <c r="G1373">
        <v>102.77</v>
      </c>
      <c r="I1373" t="str" cm="1">
        <f t="array" ref="I1373:J1373">_xlfn.TEXTSPLIT(A1373," ")</f>
        <v>27.10.2023</v>
      </c>
      <c r="J1373" t="str">
        <v>22:53:14</v>
      </c>
      <c r="K1373">
        <f t="shared" si="344"/>
        <v>22.833333333333318</v>
      </c>
      <c r="L1373">
        <f t="shared" si="337"/>
        <v>14.29</v>
      </c>
      <c r="M1373">
        <f t="shared" si="338"/>
        <v>0</v>
      </c>
      <c r="N1373">
        <f t="shared" si="332"/>
        <v>0.54250000000000009</v>
      </c>
      <c r="Q1373" t="str" cm="1">
        <f t="array" ref="Q1373:R1373">_xlfn.TEXTSPLIT(E1373," ")</f>
        <v>27.10.2023</v>
      </c>
      <c r="R1373" t="str">
        <v>22:53:14</v>
      </c>
      <c r="S1373">
        <f t="shared" si="345"/>
        <v>22.833333333333318</v>
      </c>
      <c r="T1373">
        <f t="shared" si="336"/>
        <v>24.17</v>
      </c>
      <c r="U1373">
        <f t="shared" si="339"/>
        <v>0.3</v>
      </c>
      <c r="V1373">
        <f t="shared" si="333"/>
        <v>0.99499999999999944</v>
      </c>
      <c r="AC1373" t="s">
        <v>3263</v>
      </c>
      <c r="AD1373">
        <v>0.15</v>
      </c>
      <c r="AE1373">
        <v>13.98</v>
      </c>
      <c r="AG1373" t="str" cm="1">
        <f t="array" ref="AG1373:AH1373">_xlfn.TEXTSPLIT(AC1374," ")</f>
        <v>26.10.2023</v>
      </c>
      <c r="AH1373" t="str">
        <v>22:54:25</v>
      </c>
      <c r="AI1373">
        <f t="shared" si="346"/>
        <v>22.833333333333318</v>
      </c>
      <c r="AJ1373">
        <f t="shared" si="340"/>
        <v>9.4499999999999993</v>
      </c>
      <c r="AK1373">
        <f t="shared" si="341"/>
        <v>0.15</v>
      </c>
      <c r="AL1373">
        <f t="shared" si="334"/>
        <v>0.41499999999999998</v>
      </c>
      <c r="AN1373" t="s">
        <v>3263</v>
      </c>
      <c r="AO1373">
        <v>0</v>
      </c>
      <c r="AP1373">
        <v>77.959999999999994</v>
      </c>
      <c r="AR1373" t="str" cm="1">
        <f t="array" ref="AR1373:AS1373">_xlfn.TEXTSPLIT(AN1373," ")</f>
        <v>26.10.2023</v>
      </c>
      <c r="AS1373" t="str">
        <v>22:53:25</v>
      </c>
      <c r="AT1373">
        <f t="shared" si="347"/>
        <v>22.833333333333318</v>
      </c>
      <c r="AU1373">
        <f t="shared" si="342"/>
        <v>16.649999999999991</v>
      </c>
      <c r="AV1373">
        <f t="shared" si="343"/>
        <v>0</v>
      </c>
      <c r="AW1373">
        <f t="shared" si="335"/>
        <v>0.64249999999999996</v>
      </c>
    </row>
    <row r="1374" spans="1:49" x14ac:dyDescent="0.25">
      <c r="A1374" t="s">
        <v>3264</v>
      </c>
      <c r="B1374">
        <v>0</v>
      </c>
      <c r="C1374">
        <v>28.61</v>
      </c>
      <c r="E1374" t="s">
        <v>3264</v>
      </c>
      <c r="F1374">
        <v>0.45</v>
      </c>
      <c r="G1374">
        <v>102.78</v>
      </c>
      <c r="I1374" t="str" cm="1">
        <f t="array" ref="I1374:J1374">_xlfn.TEXTSPLIT(A1374," ")</f>
        <v>27.10.2023</v>
      </c>
      <c r="J1374" t="str">
        <v>22:54:15</v>
      </c>
      <c r="K1374">
        <f t="shared" si="344"/>
        <v>22.849999999999984</v>
      </c>
      <c r="L1374">
        <f t="shared" si="337"/>
        <v>14.29</v>
      </c>
      <c r="M1374">
        <f t="shared" si="338"/>
        <v>0</v>
      </c>
      <c r="N1374">
        <f t="shared" si="332"/>
        <v>0.54250000000000009</v>
      </c>
      <c r="Q1374" t="str" cm="1">
        <f t="array" ref="Q1374:R1374">_xlfn.TEXTSPLIT(E1374," ")</f>
        <v>27.10.2023</v>
      </c>
      <c r="R1374" t="str">
        <v>22:54:15</v>
      </c>
      <c r="S1374">
        <f t="shared" si="345"/>
        <v>22.849999999999984</v>
      </c>
      <c r="T1374">
        <f t="shared" si="336"/>
        <v>24.180000000000007</v>
      </c>
      <c r="U1374">
        <f t="shared" si="339"/>
        <v>0.45</v>
      </c>
      <c r="V1374">
        <f t="shared" si="333"/>
        <v>0.9974999999999995</v>
      </c>
      <c r="AC1374" t="s">
        <v>3265</v>
      </c>
      <c r="AD1374">
        <v>0</v>
      </c>
      <c r="AE1374">
        <v>13.98</v>
      </c>
      <c r="AG1374" t="str" cm="1">
        <f t="array" ref="AG1374:AH1374">_xlfn.TEXTSPLIT(AC1375," ")</f>
        <v>26.10.2023</v>
      </c>
      <c r="AH1374" t="str">
        <v>22:55:25</v>
      </c>
      <c r="AI1374">
        <f t="shared" si="346"/>
        <v>22.849999999999984</v>
      </c>
      <c r="AJ1374">
        <f t="shared" si="340"/>
        <v>9.4499999999999993</v>
      </c>
      <c r="AK1374">
        <f t="shared" si="341"/>
        <v>0</v>
      </c>
      <c r="AL1374">
        <f t="shared" si="334"/>
        <v>0.41499999999999998</v>
      </c>
      <c r="AN1374" t="s">
        <v>3265</v>
      </c>
      <c r="AO1374">
        <v>0.15</v>
      </c>
      <c r="AP1374">
        <v>77.97</v>
      </c>
      <c r="AR1374" t="str" cm="1">
        <f t="array" ref="AR1374:AS1374">_xlfn.TEXTSPLIT(AN1374," ")</f>
        <v>26.10.2023</v>
      </c>
      <c r="AS1374" t="str">
        <v>22:54:25</v>
      </c>
      <c r="AT1374">
        <f t="shared" si="347"/>
        <v>22.849999999999984</v>
      </c>
      <c r="AU1374">
        <f t="shared" si="342"/>
        <v>16.659999999999997</v>
      </c>
      <c r="AV1374">
        <f t="shared" si="343"/>
        <v>0.15</v>
      </c>
      <c r="AW1374">
        <f t="shared" si="335"/>
        <v>0.64499999999999991</v>
      </c>
    </row>
    <row r="1375" spans="1:49" x14ac:dyDescent="0.25">
      <c r="A1375" t="s">
        <v>3266</v>
      </c>
      <c r="B1375">
        <v>0</v>
      </c>
      <c r="C1375">
        <v>28.61</v>
      </c>
      <c r="E1375" t="s">
        <v>3266</v>
      </c>
      <c r="F1375">
        <v>0.45</v>
      </c>
      <c r="G1375">
        <v>102.78</v>
      </c>
      <c r="I1375" t="str" cm="1">
        <f t="array" ref="I1375:J1375">_xlfn.TEXTSPLIT(A1375," ")</f>
        <v>27.10.2023</v>
      </c>
      <c r="J1375" t="str">
        <v>22:55:15</v>
      </c>
      <c r="K1375">
        <f t="shared" si="344"/>
        <v>22.866666666666649</v>
      </c>
      <c r="L1375">
        <f t="shared" si="337"/>
        <v>14.29</v>
      </c>
      <c r="M1375">
        <f t="shared" si="338"/>
        <v>0</v>
      </c>
      <c r="N1375">
        <f t="shared" si="332"/>
        <v>0.54250000000000009</v>
      </c>
      <c r="Q1375" t="str" cm="1">
        <f t="array" ref="Q1375:R1375">_xlfn.TEXTSPLIT(E1375," ")</f>
        <v>27.10.2023</v>
      </c>
      <c r="R1375" t="str">
        <v>22:55:15</v>
      </c>
      <c r="S1375">
        <f t="shared" si="345"/>
        <v>22.866666666666649</v>
      </c>
      <c r="T1375">
        <f t="shared" si="336"/>
        <v>24.180000000000007</v>
      </c>
      <c r="U1375">
        <f t="shared" si="339"/>
        <v>0.45</v>
      </c>
      <c r="V1375">
        <f t="shared" si="333"/>
        <v>0.99749999999999972</v>
      </c>
      <c r="AC1375" t="s">
        <v>3267</v>
      </c>
      <c r="AD1375">
        <v>0</v>
      </c>
      <c r="AE1375">
        <v>13.98</v>
      </c>
      <c r="AG1375" t="str" cm="1">
        <f t="array" ref="AG1375:AH1375">_xlfn.TEXTSPLIT(AC1376," ")</f>
        <v>26.10.2023</v>
      </c>
      <c r="AH1375" t="str">
        <v>22:56:25</v>
      </c>
      <c r="AI1375">
        <f t="shared" si="346"/>
        <v>22.866666666666649</v>
      </c>
      <c r="AJ1375">
        <f t="shared" si="340"/>
        <v>9.4499999999999993</v>
      </c>
      <c r="AK1375">
        <f t="shared" si="341"/>
        <v>0</v>
      </c>
      <c r="AL1375">
        <f t="shared" si="334"/>
        <v>0.41499999999999998</v>
      </c>
      <c r="AN1375" t="s">
        <v>3267</v>
      </c>
      <c r="AO1375">
        <v>0.15</v>
      </c>
      <c r="AP1375">
        <v>77.97</v>
      </c>
      <c r="AR1375" t="str" cm="1">
        <f t="array" ref="AR1375:AS1375">_xlfn.TEXTSPLIT(AN1375," ")</f>
        <v>26.10.2023</v>
      </c>
      <c r="AS1375" t="str">
        <v>22:55:25</v>
      </c>
      <c r="AT1375">
        <f t="shared" si="347"/>
        <v>22.866666666666649</v>
      </c>
      <c r="AU1375">
        <f t="shared" si="342"/>
        <v>16.659999999999997</v>
      </c>
      <c r="AV1375">
        <f t="shared" si="343"/>
        <v>0.15</v>
      </c>
      <c r="AW1375">
        <f t="shared" si="335"/>
        <v>0.64749999999999985</v>
      </c>
    </row>
    <row r="1376" spans="1:49" x14ac:dyDescent="0.25">
      <c r="A1376" t="s">
        <v>3268</v>
      </c>
      <c r="B1376">
        <v>0</v>
      </c>
      <c r="C1376">
        <v>28.61</v>
      </c>
      <c r="E1376" t="s">
        <v>3268</v>
      </c>
      <c r="F1376">
        <v>0.75</v>
      </c>
      <c r="G1376">
        <v>102.8</v>
      </c>
      <c r="I1376" t="str" cm="1">
        <f t="array" ref="I1376:J1376">_xlfn.TEXTSPLIT(A1376," ")</f>
        <v>27.10.2023</v>
      </c>
      <c r="J1376" t="str">
        <v>22:56:15</v>
      </c>
      <c r="K1376">
        <f t="shared" si="344"/>
        <v>22.883333333333315</v>
      </c>
      <c r="L1376">
        <f t="shared" si="337"/>
        <v>14.29</v>
      </c>
      <c r="M1376">
        <f t="shared" si="338"/>
        <v>0</v>
      </c>
      <c r="N1376">
        <f t="shared" si="332"/>
        <v>0.54250000000000009</v>
      </c>
      <c r="Q1376" t="str" cm="1">
        <f t="array" ref="Q1376:R1376">_xlfn.TEXTSPLIT(E1376," ")</f>
        <v>27.10.2023</v>
      </c>
      <c r="R1376" t="str">
        <v>22:56:15</v>
      </c>
      <c r="S1376">
        <f t="shared" si="345"/>
        <v>22.883333333333315</v>
      </c>
      <c r="T1376">
        <f t="shared" si="336"/>
        <v>24.200000000000003</v>
      </c>
      <c r="U1376">
        <f t="shared" si="339"/>
        <v>0.75</v>
      </c>
      <c r="V1376">
        <f t="shared" si="333"/>
        <v>1.0024999999999997</v>
      </c>
      <c r="AC1376" t="s">
        <v>3269</v>
      </c>
      <c r="AD1376">
        <v>0</v>
      </c>
      <c r="AE1376">
        <v>13.98</v>
      </c>
      <c r="AG1376" t="str" cm="1">
        <f t="array" ref="AG1376:AH1376">_xlfn.TEXTSPLIT(AC1377," ")</f>
        <v>26.10.2023</v>
      </c>
      <c r="AH1376" t="str">
        <v>22:57:26</v>
      </c>
      <c r="AI1376">
        <f t="shared" si="346"/>
        <v>22.883333333333315</v>
      </c>
      <c r="AJ1376">
        <f t="shared" si="340"/>
        <v>9.4499999999999993</v>
      </c>
      <c r="AK1376">
        <f t="shared" si="341"/>
        <v>0</v>
      </c>
      <c r="AL1376">
        <f t="shared" si="334"/>
        <v>0.41499999999999998</v>
      </c>
      <c r="AN1376" t="s">
        <v>3269</v>
      </c>
      <c r="AO1376">
        <v>0.15</v>
      </c>
      <c r="AP1376">
        <v>77.97</v>
      </c>
      <c r="AR1376" t="str" cm="1">
        <f t="array" ref="AR1376:AS1376">_xlfn.TEXTSPLIT(AN1376," ")</f>
        <v>26.10.2023</v>
      </c>
      <c r="AS1376" t="str">
        <v>22:56:25</v>
      </c>
      <c r="AT1376">
        <f t="shared" si="347"/>
        <v>22.883333333333315</v>
      </c>
      <c r="AU1376">
        <f t="shared" si="342"/>
        <v>16.659999999999997</v>
      </c>
      <c r="AV1376">
        <f t="shared" si="343"/>
        <v>0.15</v>
      </c>
      <c r="AW1376">
        <f t="shared" si="335"/>
        <v>0.64999999999999991</v>
      </c>
    </row>
    <row r="1377" spans="1:49" x14ac:dyDescent="0.25">
      <c r="A1377" t="s">
        <v>3270</v>
      </c>
      <c r="B1377">
        <v>0</v>
      </c>
      <c r="C1377">
        <v>28.61</v>
      </c>
      <c r="E1377" t="s">
        <v>3270</v>
      </c>
      <c r="F1377">
        <v>0.9</v>
      </c>
      <c r="G1377">
        <v>102.81</v>
      </c>
      <c r="I1377" t="str" cm="1">
        <f t="array" ref="I1377:J1377">_xlfn.TEXTSPLIT(A1377," ")</f>
        <v>27.10.2023</v>
      </c>
      <c r="J1377" t="str">
        <v>22:57:15</v>
      </c>
      <c r="K1377">
        <f t="shared" si="344"/>
        <v>22.899999999999981</v>
      </c>
      <c r="L1377">
        <f t="shared" si="337"/>
        <v>14.29</v>
      </c>
      <c r="M1377">
        <f t="shared" si="338"/>
        <v>0</v>
      </c>
      <c r="N1377">
        <f t="shared" si="332"/>
        <v>0.54250000000000009</v>
      </c>
      <c r="Q1377" t="str" cm="1">
        <f t="array" ref="Q1377:R1377">_xlfn.TEXTSPLIT(E1377," ")</f>
        <v>27.10.2023</v>
      </c>
      <c r="R1377" t="str">
        <v>22:57:15</v>
      </c>
      <c r="S1377">
        <f t="shared" si="345"/>
        <v>22.899999999999981</v>
      </c>
      <c r="T1377">
        <f t="shared" si="336"/>
        <v>24.210000000000008</v>
      </c>
      <c r="U1377">
        <f t="shared" si="339"/>
        <v>0.9</v>
      </c>
      <c r="V1377">
        <f t="shared" si="333"/>
        <v>1.0049999999999997</v>
      </c>
      <c r="AC1377" t="s">
        <v>3271</v>
      </c>
      <c r="AD1377">
        <v>0</v>
      </c>
      <c r="AE1377">
        <v>13.98</v>
      </c>
      <c r="AG1377" t="str" cm="1">
        <f t="array" ref="AG1377:AH1377">_xlfn.TEXTSPLIT(AC1378," ")</f>
        <v>26.10.2023</v>
      </c>
      <c r="AH1377" t="str">
        <v>22:58:26</v>
      </c>
      <c r="AI1377">
        <f t="shared" si="346"/>
        <v>22.899999999999981</v>
      </c>
      <c r="AJ1377">
        <f t="shared" si="340"/>
        <v>9.4499999999999993</v>
      </c>
      <c r="AK1377">
        <f t="shared" si="341"/>
        <v>0</v>
      </c>
      <c r="AL1377">
        <f t="shared" si="334"/>
        <v>0.41499999999999998</v>
      </c>
      <c r="AN1377" t="s">
        <v>3271</v>
      </c>
      <c r="AO1377">
        <v>0.15</v>
      </c>
      <c r="AP1377">
        <v>77.97</v>
      </c>
      <c r="AR1377" t="str" cm="1">
        <f t="array" ref="AR1377:AS1377">_xlfn.TEXTSPLIT(AN1377," ")</f>
        <v>26.10.2023</v>
      </c>
      <c r="AS1377" t="str">
        <v>22:57:26</v>
      </c>
      <c r="AT1377">
        <f t="shared" si="347"/>
        <v>22.899999999999981</v>
      </c>
      <c r="AU1377">
        <f t="shared" si="342"/>
        <v>16.659999999999997</v>
      </c>
      <c r="AV1377">
        <f t="shared" si="343"/>
        <v>0.15</v>
      </c>
      <c r="AW1377">
        <f t="shared" si="335"/>
        <v>0.64999999999999991</v>
      </c>
    </row>
    <row r="1378" spans="1:49" x14ac:dyDescent="0.25">
      <c r="A1378" t="s">
        <v>3272</v>
      </c>
      <c r="B1378">
        <v>0</v>
      </c>
      <c r="C1378">
        <v>28.61</v>
      </c>
      <c r="E1378" t="s">
        <v>3272</v>
      </c>
      <c r="F1378">
        <v>1.2</v>
      </c>
      <c r="G1378">
        <v>102.83</v>
      </c>
      <c r="I1378" t="str" cm="1">
        <f t="array" ref="I1378:J1378">_xlfn.TEXTSPLIT(A1378," ")</f>
        <v>27.10.2023</v>
      </c>
      <c r="J1378" t="str">
        <v>22:58:15</v>
      </c>
      <c r="K1378">
        <f t="shared" si="344"/>
        <v>22.916666666666647</v>
      </c>
      <c r="L1378">
        <f t="shared" si="337"/>
        <v>14.29</v>
      </c>
      <c r="M1378">
        <f t="shared" si="338"/>
        <v>0</v>
      </c>
      <c r="N1378">
        <f t="shared" si="332"/>
        <v>0.54250000000000009</v>
      </c>
      <c r="Q1378" t="str" cm="1">
        <f t="array" ref="Q1378:R1378">_xlfn.TEXTSPLIT(E1378," ")</f>
        <v>27.10.2023</v>
      </c>
      <c r="R1378" t="str">
        <v>22:58:15</v>
      </c>
      <c r="S1378">
        <f t="shared" si="345"/>
        <v>22.916666666666647</v>
      </c>
      <c r="T1378">
        <f t="shared" si="336"/>
        <v>24.230000000000004</v>
      </c>
      <c r="U1378">
        <f t="shared" si="339"/>
        <v>1.2</v>
      </c>
      <c r="V1378">
        <f t="shared" si="333"/>
        <v>1.0049999999999997</v>
      </c>
      <c r="AC1378" t="s">
        <v>3273</v>
      </c>
      <c r="AD1378">
        <v>0</v>
      </c>
      <c r="AE1378">
        <v>13.98</v>
      </c>
      <c r="AG1378" t="str" cm="1">
        <f t="array" ref="AG1378:AH1378">_xlfn.TEXTSPLIT(AC1379," ")</f>
        <v>26.10.2023</v>
      </c>
      <c r="AH1378" t="str">
        <v>22:59:26</v>
      </c>
      <c r="AI1378">
        <f t="shared" si="346"/>
        <v>22.916666666666647</v>
      </c>
      <c r="AJ1378">
        <f t="shared" si="340"/>
        <v>9.4499999999999993</v>
      </c>
      <c r="AK1378">
        <f t="shared" si="341"/>
        <v>0</v>
      </c>
      <c r="AL1378">
        <f t="shared" si="334"/>
        <v>0.41499999999999998</v>
      </c>
      <c r="AN1378" t="s">
        <v>3273</v>
      </c>
      <c r="AO1378">
        <v>0.15</v>
      </c>
      <c r="AP1378">
        <v>77.98</v>
      </c>
      <c r="AR1378" t="str" cm="1">
        <f t="array" ref="AR1378:AS1378">_xlfn.TEXTSPLIT(AN1378," ")</f>
        <v>26.10.2023</v>
      </c>
      <c r="AS1378" t="str">
        <v>22:58:26</v>
      </c>
      <c r="AT1378">
        <f t="shared" si="347"/>
        <v>22.916666666666647</v>
      </c>
      <c r="AU1378">
        <f t="shared" si="342"/>
        <v>16.670000000000002</v>
      </c>
      <c r="AV1378">
        <f t="shared" si="343"/>
        <v>0.15</v>
      </c>
      <c r="AW1378">
        <f t="shared" si="335"/>
        <v>0.65249999999999986</v>
      </c>
    </row>
    <row r="1379" spans="1:49" x14ac:dyDescent="0.25">
      <c r="A1379" t="s">
        <v>3274</v>
      </c>
      <c r="B1379">
        <v>0</v>
      </c>
      <c r="C1379">
        <v>28.61</v>
      </c>
      <c r="E1379" t="s">
        <v>3274</v>
      </c>
      <c r="F1379">
        <v>0.75</v>
      </c>
      <c r="G1379">
        <v>102.85</v>
      </c>
      <c r="I1379" t="str" cm="1">
        <f t="array" ref="I1379:J1379">_xlfn.TEXTSPLIT(A1379," ")</f>
        <v>27.10.2023</v>
      </c>
      <c r="J1379" t="str">
        <v>22:59:15</v>
      </c>
      <c r="K1379">
        <f t="shared" si="344"/>
        <v>22.933333333333312</v>
      </c>
      <c r="L1379">
        <f t="shared" si="337"/>
        <v>14.29</v>
      </c>
      <c r="M1379">
        <f t="shared" si="338"/>
        <v>0</v>
      </c>
      <c r="N1379">
        <f t="shared" si="332"/>
        <v>0.53999999999999992</v>
      </c>
      <c r="Q1379" t="str" cm="1">
        <f t="array" ref="Q1379:R1379">_xlfn.TEXTSPLIT(E1379," ")</f>
        <v>27.10.2023</v>
      </c>
      <c r="R1379" t="str">
        <v>22:59:15</v>
      </c>
      <c r="S1379">
        <f t="shared" si="345"/>
        <v>22.933333333333312</v>
      </c>
      <c r="T1379">
        <f t="shared" si="336"/>
        <v>24.25</v>
      </c>
      <c r="U1379">
        <f t="shared" si="339"/>
        <v>0.75</v>
      </c>
      <c r="V1379">
        <f t="shared" si="333"/>
        <v>0.99749999999999972</v>
      </c>
      <c r="AC1379" t="s">
        <v>3275</v>
      </c>
      <c r="AD1379">
        <v>0</v>
      </c>
      <c r="AE1379">
        <v>13.98</v>
      </c>
      <c r="AG1379" t="str" cm="1">
        <f t="array" ref="AG1379:AH1379">_xlfn.TEXTSPLIT(AC1380," ")</f>
        <v>26.10.2023</v>
      </c>
      <c r="AH1379" t="str">
        <v>23:00:26</v>
      </c>
      <c r="AI1379">
        <f t="shared" si="346"/>
        <v>22.933333333333312</v>
      </c>
      <c r="AJ1379">
        <f t="shared" si="340"/>
        <v>9.4499999999999993</v>
      </c>
      <c r="AK1379">
        <f t="shared" si="341"/>
        <v>0</v>
      </c>
      <c r="AL1379">
        <f t="shared" si="334"/>
        <v>0.41499999999999998</v>
      </c>
      <c r="AN1379" t="s">
        <v>3275</v>
      </c>
      <c r="AO1379">
        <v>0.15</v>
      </c>
      <c r="AP1379">
        <v>77.98</v>
      </c>
      <c r="AR1379" t="str" cm="1">
        <f t="array" ref="AR1379:AS1379">_xlfn.TEXTSPLIT(AN1379," ")</f>
        <v>26.10.2023</v>
      </c>
      <c r="AS1379" t="str">
        <v>22:59:26</v>
      </c>
      <c r="AT1379">
        <f t="shared" si="347"/>
        <v>22.933333333333312</v>
      </c>
      <c r="AU1379">
        <f t="shared" si="342"/>
        <v>16.670000000000002</v>
      </c>
      <c r="AV1379">
        <f t="shared" si="343"/>
        <v>0.15</v>
      </c>
      <c r="AW1379">
        <f t="shared" si="335"/>
        <v>0.65249999999999986</v>
      </c>
    </row>
    <row r="1380" spans="1:49" x14ac:dyDescent="0.25">
      <c r="A1380" t="s">
        <v>3276</v>
      </c>
      <c r="B1380">
        <v>0</v>
      </c>
      <c r="C1380">
        <v>28.61</v>
      </c>
      <c r="E1380" t="s">
        <v>3276</v>
      </c>
      <c r="F1380">
        <v>0.6</v>
      </c>
      <c r="G1380">
        <v>102.86</v>
      </c>
      <c r="I1380" t="str" cm="1">
        <f t="array" ref="I1380:J1380">_xlfn.TEXTSPLIT(A1380," ")</f>
        <v>27.10.2023</v>
      </c>
      <c r="J1380" t="str">
        <v>23:00:15</v>
      </c>
      <c r="K1380">
        <f t="shared" si="344"/>
        <v>22.949999999999978</v>
      </c>
      <c r="L1380">
        <f t="shared" si="337"/>
        <v>14.29</v>
      </c>
      <c r="M1380">
        <f t="shared" si="338"/>
        <v>0</v>
      </c>
      <c r="N1380">
        <f t="shared" si="332"/>
        <v>0.53749999999999998</v>
      </c>
      <c r="Q1380" t="str" cm="1">
        <f t="array" ref="Q1380:R1380">_xlfn.TEXTSPLIT(E1380," ")</f>
        <v>27.10.2023</v>
      </c>
      <c r="R1380" t="str">
        <v>23:00:15</v>
      </c>
      <c r="S1380">
        <f t="shared" si="345"/>
        <v>22.949999999999978</v>
      </c>
      <c r="T1380">
        <f t="shared" si="336"/>
        <v>24.260000000000005</v>
      </c>
      <c r="U1380">
        <f t="shared" si="339"/>
        <v>0.6</v>
      </c>
      <c r="V1380">
        <f t="shared" si="333"/>
        <v>0.99499999999999966</v>
      </c>
      <c r="AC1380" t="s">
        <v>3277</v>
      </c>
      <c r="AD1380">
        <v>0</v>
      </c>
      <c r="AE1380">
        <v>13.98</v>
      </c>
      <c r="AG1380" t="str" cm="1">
        <f t="array" ref="AG1380:AH1380">_xlfn.TEXTSPLIT(AC1381," ")</f>
        <v>26.10.2023</v>
      </c>
      <c r="AH1380" t="str">
        <v>23:01:26</v>
      </c>
      <c r="AI1380">
        <f t="shared" si="346"/>
        <v>22.949999999999978</v>
      </c>
      <c r="AJ1380">
        <f t="shared" si="340"/>
        <v>9.4499999999999993</v>
      </c>
      <c r="AK1380">
        <f t="shared" si="341"/>
        <v>0</v>
      </c>
      <c r="AL1380">
        <f t="shared" si="334"/>
        <v>0.41499999999999998</v>
      </c>
      <c r="AN1380" t="s">
        <v>3277</v>
      </c>
      <c r="AO1380">
        <v>0.15</v>
      </c>
      <c r="AP1380">
        <v>77.989999999999995</v>
      </c>
      <c r="AR1380" t="str" cm="1">
        <f t="array" ref="AR1380:AS1380">_xlfn.TEXTSPLIT(AN1380," ")</f>
        <v>26.10.2023</v>
      </c>
      <c r="AS1380" t="str">
        <v>23:00:26</v>
      </c>
      <c r="AT1380">
        <f t="shared" si="347"/>
        <v>22.949999999999978</v>
      </c>
      <c r="AU1380">
        <f t="shared" si="342"/>
        <v>16.679999999999993</v>
      </c>
      <c r="AV1380">
        <f t="shared" si="343"/>
        <v>0.15</v>
      </c>
      <c r="AW1380">
        <f t="shared" si="335"/>
        <v>0.65249999999999975</v>
      </c>
    </row>
    <row r="1381" spans="1:49" x14ac:dyDescent="0.25">
      <c r="A1381" t="s">
        <v>3278</v>
      </c>
      <c r="B1381">
        <v>0.3</v>
      </c>
      <c r="C1381">
        <v>28.62</v>
      </c>
      <c r="E1381" t="s">
        <v>3278</v>
      </c>
      <c r="F1381">
        <v>0.75</v>
      </c>
      <c r="G1381">
        <v>102.87</v>
      </c>
      <c r="I1381" t="str" cm="1">
        <f t="array" ref="I1381:J1381">_xlfn.TEXTSPLIT(A1381," ")</f>
        <v>27.10.2023</v>
      </c>
      <c r="J1381" t="str">
        <v>23:01:15</v>
      </c>
      <c r="K1381">
        <f t="shared" si="344"/>
        <v>22.966666666666644</v>
      </c>
      <c r="L1381">
        <f t="shared" si="337"/>
        <v>14.3</v>
      </c>
      <c r="M1381">
        <f t="shared" si="338"/>
        <v>0.3</v>
      </c>
      <c r="N1381">
        <f t="shared" si="332"/>
        <v>0.53749999999999998</v>
      </c>
      <c r="Q1381" t="str" cm="1">
        <f t="array" ref="Q1381:R1381">_xlfn.TEXTSPLIT(E1381," ")</f>
        <v>27.10.2023</v>
      </c>
      <c r="R1381" t="str">
        <v>23:01:15</v>
      </c>
      <c r="S1381">
        <f t="shared" si="345"/>
        <v>22.966666666666644</v>
      </c>
      <c r="T1381">
        <f t="shared" si="336"/>
        <v>24.27000000000001</v>
      </c>
      <c r="U1381">
        <f t="shared" si="339"/>
        <v>0.75</v>
      </c>
      <c r="V1381">
        <f t="shared" si="333"/>
        <v>0.99499999999999966</v>
      </c>
      <c r="AC1381" t="s">
        <v>3279</v>
      </c>
      <c r="AD1381">
        <v>0</v>
      </c>
      <c r="AE1381">
        <v>13.98</v>
      </c>
      <c r="AG1381" t="str" cm="1">
        <f t="array" ref="AG1381:AH1381">_xlfn.TEXTSPLIT(AC1382," ")</f>
        <v>26.10.2023</v>
      </c>
      <c r="AH1381" t="str">
        <v>23:02:26</v>
      </c>
      <c r="AI1381">
        <f t="shared" si="346"/>
        <v>22.966666666666644</v>
      </c>
      <c r="AJ1381">
        <f t="shared" si="340"/>
        <v>9.4499999999999993</v>
      </c>
      <c r="AK1381">
        <f t="shared" si="341"/>
        <v>0</v>
      </c>
      <c r="AL1381">
        <f t="shared" si="334"/>
        <v>0.41499999999999998</v>
      </c>
      <c r="AN1381" t="s">
        <v>3279</v>
      </c>
      <c r="AO1381">
        <v>0.3</v>
      </c>
      <c r="AP1381">
        <v>77.989999999999995</v>
      </c>
      <c r="AR1381" t="str" cm="1">
        <f t="array" ref="AR1381:AS1381">_xlfn.TEXTSPLIT(AN1381," ")</f>
        <v>26.10.2023</v>
      </c>
      <c r="AS1381" t="str">
        <v>23:01:26</v>
      </c>
      <c r="AT1381">
        <f t="shared" si="347"/>
        <v>22.966666666666644</v>
      </c>
      <c r="AU1381">
        <f t="shared" si="342"/>
        <v>16.679999999999993</v>
      </c>
      <c r="AV1381">
        <f t="shared" si="343"/>
        <v>0.3</v>
      </c>
      <c r="AW1381">
        <f t="shared" si="335"/>
        <v>0.65499999999999969</v>
      </c>
    </row>
    <row r="1382" spans="1:49" x14ac:dyDescent="0.25">
      <c r="A1382" t="s">
        <v>3280</v>
      </c>
      <c r="B1382">
        <v>0.45</v>
      </c>
      <c r="C1382">
        <v>28.62</v>
      </c>
      <c r="E1382" t="s">
        <v>3280</v>
      </c>
      <c r="F1382">
        <v>0.75</v>
      </c>
      <c r="G1382">
        <v>102.88</v>
      </c>
      <c r="I1382" t="str" cm="1">
        <f t="array" ref="I1382:J1382">_xlfn.TEXTSPLIT(A1382," ")</f>
        <v>27.10.2023</v>
      </c>
      <c r="J1382" t="str">
        <v>23:02:15</v>
      </c>
      <c r="K1382">
        <f t="shared" si="344"/>
        <v>22.983333333333309</v>
      </c>
      <c r="L1382">
        <f t="shared" si="337"/>
        <v>14.3</v>
      </c>
      <c r="M1382">
        <f t="shared" si="338"/>
        <v>0.45</v>
      </c>
      <c r="N1382">
        <f t="shared" si="332"/>
        <v>0.53749999999999998</v>
      </c>
      <c r="Q1382" t="str" cm="1">
        <f t="array" ref="Q1382:R1382">_xlfn.TEXTSPLIT(E1382," ")</f>
        <v>27.10.2023</v>
      </c>
      <c r="R1382" t="str">
        <v>23:02:15</v>
      </c>
      <c r="S1382">
        <f t="shared" si="345"/>
        <v>22.983333333333309</v>
      </c>
      <c r="T1382">
        <f t="shared" si="336"/>
        <v>24.28</v>
      </c>
      <c r="U1382">
        <f t="shared" si="339"/>
        <v>0.75</v>
      </c>
      <c r="V1382">
        <f t="shared" si="333"/>
        <v>0.99749999999999983</v>
      </c>
      <c r="AC1382" t="s">
        <v>3281</v>
      </c>
      <c r="AD1382">
        <v>0</v>
      </c>
      <c r="AE1382">
        <v>13.98</v>
      </c>
      <c r="AG1382" t="str" cm="1">
        <f t="array" ref="AG1382:AH1382">_xlfn.TEXTSPLIT(AC1383," ")</f>
        <v>26.10.2023</v>
      </c>
      <c r="AH1382" t="str">
        <v>23:03:26</v>
      </c>
      <c r="AI1382">
        <f t="shared" si="346"/>
        <v>22.983333333333309</v>
      </c>
      <c r="AJ1382">
        <f t="shared" si="340"/>
        <v>9.4499999999999993</v>
      </c>
      <c r="AK1382">
        <f t="shared" si="341"/>
        <v>0</v>
      </c>
      <c r="AL1382">
        <f t="shared" si="334"/>
        <v>0.41499999999999998</v>
      </c>
      <c r="AN1382" t="s">
        <v>3281</v>
      </c>
      <c r="AO1382">
        <v>0.3</v>
      </c>
      <c r="AP1382">
        <v>77.989999999999995</v>
      </c>
      <c r="AR1382" t="str" cm="1">
        <f t="array" ref="AR1382:AS1382">_xlfn.TEXTSPLIT(AN1382," ")</f>
        <v>26.10.2023</v>
      </c>
      <c r="AS1382" t="str">
        <v>23:02:26</v>
      </c>
      <c r="AT1382">
        <f t="shared" si="347"/>
        <v>22.983333333333309</v>
      </c>
      <c r="AU1382">
        <f t="shared" si="342"/>
        <v>16.679999999999993</v>
      </c>
      <c r="AV1382">
        <f t="shared" si="343"/>
        <v>0.3</v>
      </c>
      <c r="AW1382">
        <f t="shared" si="335"/>
        <v>0.65499999999999969</v>
      </c>
    </row>
    <row r="1383" spans="1:49" x14ac:dyDescent="0.25">
      <c r="A1383" t="s">
        <v>3282</v>
      </c>
      <c r="B1383">
        <v>0.15</v>
      </c>
      <c r="C1383">
        <v>28.63</v>
      </c>
      <c r="E1383" t="s">
        <v>3282</v>
      </c>
      <c r="F1383">
        <v>0.6</v>
      </c>
      <c r="G1383">
        <v>102.89</v>
      </c>
      <c r="I1383" t="str" cm="1">
        <f t="array" ref="I1383:J1383">_xlfn.TEXTSPLIT(A1383," ")</f>
        <v>27.10.2023</v>
      </c>
      <c r="J1383" t="str">
        <v>23:03:15</v>
      </c>
      <c r="K1383">
        <f t="shared" si="344"/>
        <v>22.999999999999975</v>
      </c>
      <c r="L1383">
        <f t="shared" si="337"/>
        <v>14.309999999999999</v>
      </c>
      <c r="M1383">
        <f t="shared" si="338"/>
        <v>0.15</v>
      </c>
      <c r="N1383">
        <f t="shared" si="332"/>
        <v>0.53500000000000003</v>
      </c>
      <c r="Q1383" t="str" cm="1">
        <f t="array" ref="Q1383:R1383">_xlfn.TEXTSPLIT(E1383," ")</f>
        <v>27.10.2023</v>
      </c>
      <c r="R1383" t="str">
        <v>23:03:15</v>
      </c>
      <c r="S1383">
        <f t="shared" si="345"/>
        <v>22.999999999999975</v>
      </c>
      <c r="T1383">
        <f t="shared" si="336"/>
        <v>24.290000000000006</v>
      </c>
      <c r="U1383">
        <f t="shared" si="339"/>
        <v>0.6</v>
      </c>
      <c r="V1383">
        <f t="shared" si="333"/>
        <v>0.99499999999999977</v>
      </c>
      <c r="AC1383" t="s">
        <v>3283</v>
      </c>
      <c r="AD1383">
        <v>0</v>
      </c>
      <c r="AE1383">
        <v>13.98</v>
      </c>
      <c r="AG1383" t="str" cm="1">
        <f t="array" ref="AG1383:AH1383">_xlfn.TEXTSPLIT(AC1384," ")</f>
        <v>26.10.2023</v>
      </c>
      <c r="AH1383" t="str">
        <v>23:04:26</v>
      </c>
      <c r="AI1383">
        <f t="shared" si="346"/>
        <v>22.999999999999975</v>
      </c>
      <c r="AJ1383">
        <f t="shared" si="340"/>
        <v>9.4499999999999993</v>
      </c>
      <c r="AK1383">
        <f t="shared" si="341"/>
        <v>0</v>
      </c>
      <c r="AL1383">
        <f t="shared" si="334"/>
        <v>0.41499999999999998</v>
      </c>
      <c r="AN1383" t="s">
        <v>3283</v>
      </c>
      <c r="AO1383">
        <v>0.45</v>
      </c>
      <c r="AP1383">
        <v>78</v>
      </c>
      <c r="AR1383" t="str" cm="1">
        <f t="array" ref="AR1383:AS1383">_xlfn.TEXTSPLIT(AN1383," ")</f>
        <v>26.10.2023</v>
      </c>
      <c r="AS1383" t="str">
        <v>23:03:26</v>
      </c>
      <c r="AT1383">
        <f t="shared" si="347"/>
        <v>22.999999999999975</v>
      </c>
      <c r="AU1383">
        <f t="shared" si="342"/>
        <v>16.689999999999998</v>
      </c>
      <c r="AV1383">
        <f t="shared" si="343"/>
        <v>0.45</v>
      </c>
      <c r="AW1383">
        <f t="shared" si="335"/>
        <v>0.65749999999999986</v>
      </c>
    </row>
    <row r="1384" spans="1:49" x14ac:dyDescent="0.25">
      <c r="A1384" t="s">
        <v>3284</v>
      </c>
      <c r="B1384">
        <v>0.45</v>
      </c>
      <c r="C1384">
        <v>28.63</v>
      </c>
      <c r="E1384" t="s">
        <v>3284</v>
      </c>
      <c r="F1384">
        <v>0.9</v>
      </c>
      <c r="G1384">
        <v>102.9</v>
      </c>
      <c r="I1384" t="str" cm="1">
        <f t="array" ref="I1384:J1384">_xlfn.TEXTSPLIT(A1384," ")</f>
        <v>27.10.2023</v>
      </c>
      <c r="J1384" t="str">
        <v>23:04:15</v>
      </c>
      <c r="K1384">
        <f t="shared" si="344"/>
        <v>23.016666666666641</v>
      </c>
      <c r="L1384">
        <f t="shared" si="337"/>
        <v>14.309999999999999</v>
      </c>
      <c r="M1384">
        <f t="shared" si="338"/>
        <v>0.45</v>
      </c>
      <c r="N1384">
        <f t="shared" si="332"/>
        <v>0.53749999999999998</v>
      </c>
      <c r="Q1384" t="str" cm="1">
        <f t="array" ref="Q1384:R1384">_xlfn.TEXTSPLIT(E1384," ")</f>
        <v>27.10.2023</v>
      </c>
      <c r="R1384" t="str">
        <v>23:04:15</v>
      </c>
      <c r="S1384">
        <f t="shared" si="345"/>
        <v>23.016666666666641</v>
      </c>
      <c r="T1384">
        <f t="shared" si="336"/>
        <v>24.300000000000011</v>
      </c>
      <c r="U1384">
        <f t="shared" si="339"/>
        <v>0.9</v>
      </c>
      <c r="V1384">
        <f t="shared" si="333"/>
        <v>0.99749999999999983</v>
      </c>
      <c r="AC1384" t="s">
        <v>3285</v>
      </c>
      <c r="AD1384">
        <v>0</v>
      </c>
      <c r="AE1384">
        <v>13.98</v>
      </c>
      <c r="AG1384" t="str" cm="1">
        <f t="array" ref="AG1384:AH1384">_xlfn.TEXTSPLIT(AC1385," ")</f>
        <v>26.10.2023</v>
      </c>
      <c r="AH1384" t="str">
        <v>23:05:26</v>
      </c>
      <c r="AI1384">
        <f t="shared" si="346"/>
        <v>23.016666666666641</v>
      </c>
      <c r="AJ1384">
        <f t="shared" si="340"/>
        <v>9.4499999999999993</v>
      </c>
      <c r="AK1384">
        <f t="shared" si="341"/>
        <v>0</v>
      </c>
      <c r="AL1384">
        <f t="shared" si="334"/>
        <v>0.41499999999999998</v>
      </c>
      <c r="AN1384" t="s">
        <v>3285</v>
      </c>
      <c r="AO1384">
        <v>0.45</v>
      </c>
      <c r="AP1384">
        <v>78.010000000000005</v>
      </c>
      <c r="AR1384" t="str" cm="1">
        <f t="array" ref="AR1384:AS1384">_xlfn.TEXTSPLIT(AN1384," ")</f>
        <v>26.10.2023</v>
      </c>
      <c r="AS1384" t="str">
        <v>23:04:26</v>
      </c>
      <c r="AT1384">
        <f t="shared" si="347"/>
        <v>23.016666666666641</v>
      </c>
      <c r="AU1384">
        <f t="shared" si="342"/>
        <v>16.700000000000003</v>
      </c>
      <c r="AV1384">
        <f t="shared" si="343"/>
        <v>0.45</v>
      </c>
      <c r="AW1384">
        <f t="shared" si="335"/>
        <v>0.66249999999999987</v>
      </c>
    </row>
    <row r="1385" spans="1:49" x14ac:dyDescent="0.25">
      <c r="A1385" t="s">
        <v>3286</v>
      </c>
      <c r="B1385">
        <v>0.6</v>
      </c>
      <c r="C1385">
        <v>28.64</v>
      </c>
      <c r="E1385" t="s">
        <v>3286</v>
      </c>
      <c r="F1385">
        <v>1.05</v>
      </c>
      <c r="G1385">
        <v>102.92</v>
      </c>
      <c r="I1385" t="str" cm="1">
        <f t="array" ref="I1385:J1385">_xlfn.TEXTSPLIT(A1385," ")</f>
        <v>27.10.2023</v>
      </c>
      <c r="J1385" t="str">
        <v>23:05:15</v>
      </c>
      <c r="K1385">
        <f t="shared" si="344"/>
        <v>23.033333333333307</v>
      </c>
      <c r="L1385">
        <f t="shared" si="337"/>
        <v>14.32</v>
      </c>
      <c r="M1385">
        <f t="shared" si="338"/>
        <v>0.6</v>
      </c>
      <c r="N1385">
        <f t="shared" si="332"/>
        <v>0.53999999999999992</v>
      </c>
      <c r="Q1385" t="str" cm="1">
        <f t="array" ref="Q1385:R1385">_xlfn.TEXTSPLIT(E1385," ")</f>
        <v>27.10.2023</v>
      </c>
      <c r="R1385" t="str">
        <v>23:05:15</v>
      </c>
      <c r="S1385">
        <f t="shared" si="345"/>
        <v>23.033333333333307</v>
      </c>
      <c r="T1385">
        <f t="shared" si="336"/>
        <v>24.320000000000007</v>
      </c>
      <c r="U1385">
        <f t="shared" si="339"/>
        <v>1.05</v>
      </c>
      <c r="V1385">
        <f t="shared" si="333"/>
        <v>1.0024999999999997</v>
      </c>
      <c r="AC1385" t="s">
        <v>3287</v>
      </c>
      <c r="AD1385">
        <v>0.15</v>
      </c>
      <c r="AE1385">
        <v>13.98</v>
      </c>
      <c r="AG1385" t="str" cm="1">
        <f t="array" ref="AG1385:AH1385">_xlfn.TEXTSPLIT(AC1386," ")</f>
        <v>26.10.2023</v>
      </c>
      <c r="AH1385" t="str">
        <v>23:06:26</v>
      </c>
      <c r="AI1385">
        <f t="shared" si="346"/>
        <v>23.033333333333307</v>
      </c>
      <c r="AJ1385">
        <f t="shared" si="340"/>
        <v>9.4499999999999993</v>
      </c>
      <c r="AK1385">
        <f t="shared" si="341"/>
        <v>0.15</v>
      </c>
      <c r="AL1385">
        <f t="shared" si="334"/>
        <v>0.41749999999999993</v>
      </c>
      <c r="AN1385" t="s">
        <v>3287</v>
      </c>
      <c r="AO1385">
        <v>0.6</v>
      </c>
      <c r="AP1385">
        <v>78.02</v>
      </c>
      <c r="AR1385" t="str" cm="1">
        <f t="array" ref="AR1385:AS1385">_xlfn.TEXTSPLIT(AN1385," ")</f>
        <v>26.10.2023</v>
      </c>
      <c r="AS1385" t="str">
        <v>23:05:26</v>
      </c>
      <c r="AT1385">
        <f t="shared" si="347"/>
        <v>23.033333333333307</v>
      </c>
      <c r="AU1385">
        <f t="shared" si="342"/>
        <v>16.709999999999994</v>
      </c>
      <c r="AV1385">
        <f t="shared" si="343"/>
        <v>0.6</v>
      </c>
      <c r="AW1385">
        <f t="shared" si="335"/>
        <v>0.66749999999999998</v>
      </c>
    </row>
    <row r="1386" spans="1:49" x14ac:dyDescent="0.25">
      <c r="A1386" t="s">
        <v>3288</v>
      </c>
      <c r="B1386">
        <v>0.45</v>
      </c>
      <c r="C1386">
        <v>28.65</v>
      </c>
      <c r="E1386" t="s">
        <v>3288</v>
      </c>
      <c r="F1386">
        <v>2.4</v>
      </c>
      <c r="G1386">
        <v>102.97</v>
      </c>
      <c r="I1386" t="str" cm="1">
        <f t="array" ref="I1386:J1386">_xlfn.TEXTSPLIT(A1386," ")</f>
        <v>27.10.2023</v>
      </c>
      <c r="J1386" t="str">
        <v>23:06:16</v>
      </c>
      <c r="K1386">
        <f t="shared" si="344"/>
        <v>23.049999999999972</v>
      </c>
      <c r="L1386">
        <f t="shared" si="337"/>
        <v>14.329999999999998</v>
      </c>
      <c r="M1386">
        <f t="shared" si="338"/>
        <v>0.45</v>
      </c>
      <c r="N1386">
        <f t="shared" si="332"/>
        <v>0.54249999999999998</v>
      </c>
      <c r="Q1386" t="str" cm="1">
        <f t="array" ref="Q1386:R1386">_xlfn.TEXTSPLIT(E1386," ")</f>
        <v>27.10.2023</v>
      </c>
      <c r="R1386" t="str">
        <v>23:06:16</v>
      </c>
      <c r="S1386">
        <f t="shared" si="345"/>
        <v>23.049999999999972</v>
      </c>
      <c r="T1386">
        <f t="shared" si="336"/>
        <v>24.370000000000005</v>
      </c>
      <c r="U1386">
        <f t="shared" si="339"/>
        <v>2.4</v>
      </c>
      <c r="V1386">
        <f t="shared" si="333"/>
        <v>0.99499999999999977</v>
      </c>
      <c r="AC1386" t="s">
        <v>3289</v>
      </c>
      <c r="AD1386">
        <v>0.15</v>
      </c>
      <c r="AE1386">
        <v>13.98</v>
      </c>
      <c r="AG1386" t="str" cm="1">
        <f t="array" ref="AG1386:AH1386">_xlfn.TEXTSPLIT(AC1387," ")</f>
        <v>26.10.2023</v>
      </c>
      <c r="AH1386" t="str">
        <v>23:07:26</v>
      </c>
      <c r="AI1386">
        <f t="shared" si="346"/>
        <v>23.049999999999972</v>
      </c>
      <c r="AJ1386">
        <f t="shared" si="340"/>
        <v>9.4499999999999993</v>
      </c>
      <c r="AK1386">
        <f t="shared" si="341"/>
        <v>0.15</v>
      </c>
      <c r="AL1386">
        <f t="shared" si="334"/>
        <v>0.41999999999999993</v>
      </c>
      <c r="AN1386" t="s">
        <v>3289</v>
      </c>
      <c r="AO1386">
        <v>0.6</v>
      </c>
      <c r="AP1386">
        <v>78.040000000000006</v>
      </c>
      <c r="AR1386" t="str" cm="1">
        <f t="array" ref="AR1386:AS1386">_xlfn.TEXTSPLIT(AN1386," ")</f>
        <v>26.10.2023</v>
      </c>
      <c r="AS1386" t="str">
        <v>23:06:26</v>
      </c>
      <c r="AT1386">
        <f t="shared" si="347"/>
        <v>23.049999999999972</v>
      </c>
      <c r="AU1386">
        <f t="shared" si="342"/>
        <v>16.730000000000004</v>
      </c>
      <c r="AV1386">
        <f t="shared" si="343"/>
        <v>0.6</v>
      </c>
      <c r="AW1386">
        <f t="shared" si="335"/>
        <v>0.66999999999999993</v>
      </c>
    </row>
    <row r="1387" spans="1:49" x14ac:dyDescent="0.25">
      <c r="A1387" t="s">
        <v>3290</v>
      </c>
      <c r="B1387">
        <v>1.35</v>
      </c>
      <c r="C1387">
        <v>28.68</v>
      </c>
      <c r="E1387" t="s">
        <v>3290</v>
      </c>
      <c r="F1387">
        <v>2.25</v>
      </c>
      <c r="G1387">
        <v>103.01</v>
      </c>
      <c r="I1387" t="str" cm="1">
        <f t="array" ref="I1387:J1387">_xlfn.TEXTSPLIT(A1387," ")</f>
        <v>27.10.2023</v>
      </c>
      <c r="J1387" t="str">
        <v>23:07:16</v>
      </c>
      <c r="K1387">
        <f t="shared" si="344"/>
        <v>23.066666666666638</v>
      </c>
      <c r="L1387">
        <f t="shared" si="337"/>
        <v>14.36</v>
      </c>
      <c r="M1387">
        <f t="shared" si="338"/>
        <v>1.35</v>
      </c>
      <c r="N1387">
        <f t="shared" si="332"/>
        <v>0.54749999999999988</v>
      </c>
      <c r="Q1387" t="str" cm="1">
        <f t="array" ref="Q1387:R1387">_xlfn.TEXTSPLIT(E1387," ")</f>
        <v>27.10.2023</v>
      </c>
      <c r="R1387" t="str">
        <v>23:07:16</v>
      </c>
      <c r="S1387">
        <f t="shared" si="345"/>
        <v>23.066666666666638</v>
      </c>
      <c r="T1387">
        <f t="shared" si="336"/>
        <v>24.410000000000011</v>
      </c>
      <c r="U1387">
        <f t="shared" si="339"/>
        <v>2.25</v>
      </c>
      <c r="V1387">
        <f t="shared" si="333"/>
        <v>0.99249999999999983</v>
      </c>
      <c r="AC1387" t="s">
        <v>3291</v>
      </c>
      <c r="AD1387">
        <v>0.15</v>
      </c>
      <c r="AE1387">
        <v>13.99</v>
      </c>
      <c r="AG1387" t="str" cm="1">
        <f t="array" ref="AG1387:AH1387">_xlfn.TEXTSPLIT(AC1388," ")</f>
        <v>26.10.2023</v>
      </c>
      <c r="AH1387" t="str">
        <v>23:08:27</v>
      </c>
      <c r="AI1387">
        <f t="shared" si="346"/>
        <v>23.066666666666638</v>
      </c>
      <c r="AJ1387">
        <f t="shared" si="340"/>
        <v>9.4600000000000009</v>
      </c>
      <c r="AK1387">
        <f t="shared" si="341"/>
        <v>0.15</v>
      </c>
      <c r="AL1387">
        <f t="shared" si="334"/>
        <v>0.41999999999999987</v>
      </c>
      <c r="AN1387" t="s">
        <v>3291</v>
      </c>
      <c r="AO1387">
        <v>1.95</v>
      </c>
      <c r="AP1387">
        <v>78.069999999999993</v>
      </c>
      <c r="AR1387" t="str" cm="1">
        <f t="array" ref="AR1387:AS1387">_xlfn.TEXTSPLIT(AN1387," ")</f>
        <v>26.10.2023</v>
      </c>
      <c r="AS1387" t="str">
        <v>23:07:26</v>
      </c>
      <c r="AT1387">
        <f t="shared" si="347"/>
        <v>23.066666666666638</v>
      </c>
      <c r="AU1387">
        <f t="shared" si="342"/>
        <v>16.759999999999991</v>
      </c>
      <c r="AV1387">
        <f t="shared" si="343"/>
        <v>1.95</v>
      </c>
      <c r="AW1387">
        <f t="shared" si="335"/>
        <v>0.6775000000000001</v>
      </c>
    </row>
    <row r="1388" spans="1:49" x14ac:dyDescent="0.25">
      <c r="A1388" t="s">
        <v>3292</v>
      </c>
      <c r="B1388">
        <v>2.1</v>
      </c>
      <c r="C1388">
        <v>28.71</v>
      </c>
      <c r="E1388" t="s">
        <v>3292</v>
      </c>
      <c r="F1388">
        <v>1.8</v>
      </c>
      <c r="G1388">
        <v>103.04</v>
      </c>
      <c r="I1388" t="str" cm="1">
        <f t="array" ref="I1388:J1388">_xlfn.TEXTSPLIT(A1388," ")</f>
        <v>27.10.2023</v>
      </c>
      <c r="J1388" t="str">
        <v>23:08:16</v>
      </c>
      <c r="K1388">
        <f t="shared" si="344"/>
        <v>23.083333333333304</v>
      </c>
      <c r="L1388">
        <f t="shared" si="337"/>
        <v>14.39</v>
      </c>
      <c r="M1388">
        <f t="shared" si="338"/>
        <v>2.1</v>
      </c>
      <c r="N1388">
        <f t="shared" si="332"/>
        <v>0.53250000000000008</v>
      </c>
      <c r="Q1388" t="str" cm="1">
        <f t="array" ref="Q1388:R1388">_xlfn.TEXTSPLIT(E1388," ")</f>
        <v>27.10.2023</v>
      </c>
      <c r="R1388" t="str">
        <v>23:08:16</v>
      </c>
      <c r="S1388">
        <f t="shared" si="345"/>
        <v>23.083333333333304</v>
      </c>
      <c r="T1388">
        <f t="shared" si="336"/>
        <v>24.440000000000012</v>
      </c>
      <c r="U1388">
        <f t="shared" si="339"/>
        <v>1.8</v>
      </c>
      <c r="V1388">
        <f t="shared" si="333"/>
        <v>0.99249999999999983</v>
      </c>
      <c r="AC1388" t="s">
        <v>3293</v>
      </c>
      <c r="AD1388">
        <v>0.9</v>
      </c>
      <c r="AE1388">
        <v>14.02</v>
      </c>
      <c r="AG1388" t="str" cm="1">
        <f t="array" ref="AG1388:AH1388">_xlfn.TEXTSPLIT(AC1389," ")</f>
        <v>26.10.2023</v>
      </c>
      <c r="AH1388" t="str">
        <v>23:09:27</v>
      </c>
      <c r="AI1388">
        <f t="shared" si="346"/>
        <v>23.083333333333304</v>
      </c>
      <c r="AJ1388">
        <f t="shared" si="340"/>
        <v>9.4899999999999984</v>
      </c>
      <c r="AK1388">
        <f t="shared" si="341"/>
        <v>0.9</v>
      </c>
      <c r="AL1388">
        <f t="shared" si="334"/>
        <v>0.41749999999999987</v>
      </c>
      <c r="AN1388" t="s">
        <v>3293</v>
      </c>
      <c r="AO1388">
        <v>1.95</v>
      </c>
      <c r="AP1388">
        <v>78.099999999999994</v>
      </c>
      <c r="AR1388" t="str" cm="1">
        <f t="array" ref="AR1388:AS1388">_xlfn.TEXTSPLIT(AN1388," ")</f>
        <v>26.10.2023</v>
      </c>
      <c r="AS1388" t="str">
        <v>23:08:27</v>
      </c>
      <c r="AT1388">
        <f t="shared" si="347"/>
        <v>23.083333333333304</v>
      </c>
      <c r="AU1388">
        <f t="shared" si="342"/>
        <v>16.789999999999992</v>
      </c>
      <c r="AV1388">
        <f t="shared" si="343"/>
        <v>1.95</v>
      </c>
      <c r="AW1388">
        <f t="shared" si="335"/>
        <v>0.66500000000000015</v>
      </c>
    </row>
    <row r="1389" spans="1:49" x14ac:dyDescent="0.25">
      <c r="A1389" t="s">
        <v>3294</v>
      </c>
      <c r="B1389">
        <v>1.95</v>
      </c>
      <c r="C1389">
        <v>28.74</v>
      </c>
      <c r="E1389" t="s">
        <v>3294</v>
      </c>
      <c r="F1389">
        <v>1.8</v>
      </c>
      <c r="G1389">
        <v>103.07</v>
      </c>
      <c r="I1389" t="str" cm="1">
        <f t="array" ref="I1389:J1389">_xlfn.TEXTSPLIT(A1389," ")</f>
        <v>27.10.2023</v>
      </c>
      <c r="J1389" t="str">
        <v>23:09:16</v>
      </c>
      <c r="K1389">
        <f t="shared" si="344"/>
        <v>23.099999999999969</v>
      </c>
      <c r="L1389">
        <f t="shared" si="337"/>
        <v>14.419999999999998</v>
      </c>
      <c r="M1389">
        <f t="shared" si="338"/>
        <v>1.95</v>
      </c>
      <c r="N1389">
        <f t="shared" si="332"/>
        <v>0.54000000000000015</v>
      </c>
      <c r="Q1389" t="str" cm="1">
        <f t="array" ref="Q1389:R1389">_xlfn.TEXTSPLIT(E1389," ")</f>
        <v>27.10.2023</v>
      </c>
      <c r="R1389" t="str">
        <v>23:09:16</v>
      </c>
      <c r="S1389">
        <f t="shared" si="345"/>
        <v>23.099999999999969</v>
      </c>
      <c r="T1389">
        <f t="shared" si="336"/>
        <v>24.47</v>
      </c>
      <c r="U1389">
        <f t="shared" si="339"/>
        <v>1.8</v>
      </c>
      <c r="V1389">
        <f t="shared" si="333"/>
        <v>0.98999999999999988</v>
      </c>
      <c r="AC1389" t="s">
        <v>3295</v>
      </c>
      <c r="AD1389">
        <v>1.8</v>
      </c>
      <c r="AE1389">
        <v>14.05</v>
      </c>
      <c r="AG1389" t="str" cm="1">
        <f t="array" ref="AG1389:AH1389">_xlfn.TEXTSPLIT(AC1390," ")</f>
        <v>26.10.2023</v>
      </c>
      <c r="AH1389" t="str">
        <v>23:10:27</v>
      </c>
      <c r="AI1389">
        <f t="shared" si="346"/>
        <v>23.099999999999969</v>
      </c>
      <c r="AJ1389">
        <f t="shared" si="340"/>
        <v>9.52</v>
      </c>
      <c r="AK1389">
        <f t="shared" si="341"/>
        <v>1.8</v>
      </c>
      <c r="AL1389">
        <f t="shared" si="334"/>
        <v>0.40499999999999992</v>
      </c>
      <c r="AN1389" t="s">
        <v>3295</v>
      </c>
      <c r="AO1389">
        <v>1.8</v>
      </c>
      <c r="AP1389">
        <v>78.12</v>
      </c>
      <c r="AR1389" t="str" cm="1">
        <f t="array" ref="AR1389:AS1389">_xlfn.TEXTSPLIT(AN1389," ")</f>
        <v>26.10.2023</v>
      </c>
      <c r="AS1389" t="str">
        <v>23:09:27</v>
      </c>
      <c r="AT1389">
        <f t="shared" si="347"/>
        <v>23.099999999999969</v>
      </c>
      <c r="AU1389">
        <f t="shared" si="342"/>
        <v>16.810000000000002</v>
      </c>
      <c r="AV1389">
        <f t="shared" si="343"/>
        <v>1.8</v>
      </c>
      <c r="AW1389">
        <f t="shared" si="335"/>
        <v>0.66999999999999993</v>
      </c>
    </row>
    <row r="1390" spans="1:49" x14ac:dyDescent="0.25">
      <c r="A1390" t="s">
        <v>3296</v>
      </c>
      <c r="B1390">
        <v>1.65</v>
      </c>
      <c r="C1390">
        <v>28.76</v>
      </c>
      <c r="E1390" t="s">
        <v>3296</v>
      </c>
      <c r="F1390">
        <v>1.8</v>
      </c>
      <c r="G1390">
        <v>103.1</v>
      </c>
      <c r="I1390" t="str" cm="1">
        <f t="array" ref="I1390:J1390">_xlfn.TEXTSPLIT(A1390," ")</f>
        <v>27.10.2023</v>
      </c>
      <c r="J1390" t="str">
        <v>23:10:16</v>
      </c>
      <c r="K1390">
        <f t="shared" si="344"/>
        <v>23.116666666666635</v>
      </c>
      <c r="L1390">
        <f t="shared" si="337"/>
        <v>14.440000000000001</v>
      </c>
      <c r="M1390">
        <f t="shared" si="338"/>
        <v>1.65</v>
      </c>
      <c r="N1390">
        <f t="shared" si="332"/>
        <v>0.55000000000000004</v>
      </c>
      <c r="Q1390" t="str" cm="1">
        <f t="array" ref="Q1390:R1390">_xlfn.TEXTSPLIT(E1390," ")</f>
        <v>27.10.2023</v>
      </c>
      <c r="R1390" t="str">
        <v>23:10:16</v>
      </c>
      <c r="S1390">
        <f t="shared" si="345"/>
        <v>23.116666666666635</v>
      </c>
      <c r="T1390">
        <f t="shared" si="336"/>
        <v>24.5</v>
      </c>
      <c r="U1390">
        <f t="shared" si="339"/>
        <v>1.8</v>
      </c>
      <c r="V1390">
        <f t="shared" si="333"/>
        <v>0.99249999999999983</v>
      </c>
      <c r="AC1390" t="s">
        <v>3297</v>
      </c>
      <c r="AD1390">
        <v>1.65</v>
      </c>
      <c r="AE1390">
        <v>14.07</v>
      </c>
      <c r="AG1390" t="str" cm="1">
        <f t="array" ref="AG1390:AH1390">_xlfn.TEXTSPLIT(AC1391," ")</f>
        <v>26.10.2023</v>
      </c>
      <c r="AH1390" t="str">
        <v>23:11:27</v>
      </c>
      <c r="AI1390">
        <f t="shared" si="346"/>
        <v>23.116666666666635</v>
      </c>
      <c r="AJ1390">
        <f t="shared" si="340"/>
        <v>9.5399999999999991</v>
      </c>
      <c r="AK1390">
        <f t="shared" si="341"/>
        <v>1.65</v>
      </c>
      <c r="AL1390">
        <f t="shared" si="334"/>
        <v>0.40749999999999992</v>
      </c>
      <c r="AN1390" t="s">
        <v>3297</v>
      </c>
      <c r="AO1390">
        <v>1.5</v>
      </c>
      <c r="AP1390">
        <v>78.150000000000006</v>
      </c>
      <c r="AR1390" t="str" cm="1">
        <f t="array" ref="AR1390:AS1390">_xlfn.TEXTSPLIT(AN1390," ")</f>
        <v>26.10.2023</v>
      </c>
      <c r="AS1390" t="str">
        <v>23:10:27</v>
      </c>
      <c r="AT1390">
        <f t="shared" si="347"/>
        <v>23.116666666666635</v>
      </c>
      <c r="AU1390">
        <f t="shared" si="342"/>
        <v>16.840000000000003</v>
      </c>
      <c r="AV1390">
        <f t="shared" si="343"/>
        <v>1.5</v>
      </c>
      <c r="AW1390">
        <f t="shared" si="335"/>
        <v>0.67749999999999999</v>
      </c>
    </row>
    <row r="1391" spans="1:49" x14ac:dyDescent="0.25">
      <c r="A1391" t="s">
        <v>3298</v>
      </c>
      <c r="B1391">
        <v>0.45</v>
      </c>
      <c r="C1391">
        <v>28.77</v>
      </c>
      <c r="E1391" t="s">
        <v>3298</v>
      </c>
      <c r="F1391">
        <v>1.2</v>
      </c>
      <c r="G1391">
        <v>103.11</v>
      </c>
      <c r="I1391" t="str" cm="1">
        <f t="array" ref="I1391:J1391">_xlfn.TEXTSPLIT(A1391," ")</f>
        <v>27.10.2023</v>
      </c>
      <c r="J1391" t="str">
        <v>23:11:16</v>
      </c>
      <c r="K1391">
        <f t="shared" si="344"/>
        <v>23.133333333333301</v>
      </c>
      <c r="L1391">
        <f t="shared" si="337"/>
        <v>14.45</v>
      </c>
      <c r="M1391">
        <f t="shared" si="338"/>
        <v>0.45</v>
      </c>
      <c r="N1391">
        <f t="shared" si="332"/>
        <v>0.54000000000000015</v>
      </c>
      <c r="Q1391" t="str" cm="1">
        <f t="array" ref="Q1391:R1391">_xlfn.TEXTSPLIT(E1391," ")</f>
        <v>27.10.2023</v>
      </c>
      <c r="R1391" t="str">
        <v>23:11:16</v>
      </c>
      <c r="S1391">
        <f t="shared" si="345"/>
        <v>23.133333333333301</v>
      </c>
      <c r="T1391">
        <f t="shared" si="336"/>
        <v>24.510000000000005</v>
      </c>
      <c r="U1391">
        <f t="shared" si="339"/>
        <v>1.2</v>
      </c>
      <c r="V1391">
        <f t="shared" si="333"/>
        <v>0.99249999999999983</v>
      </c>
      <c r="AC1391" t="s">
        <v>3299</v>
      </c>
      <c r="AD1391">
        <v>1.05</v>
      </c>
      <c r="AE1391">
        <v>14.09</v>
      </c>
      <c r="AG1391" t="str" cm="1">
        <f t="array" ref="AG1391:AH1391">_xlfn.TEXTSPLIT(AC1392," ")</f>
        <v>26.10.2023</v>
      </c>
      <c r="AH1391" t="str">
        <v>23:12:27</v>
      </c>
      <c r="AI1391">
        <f t="shared" si="346"/>
        <v>23.133333333333301</v>
      </c>
      <c r="AJ1391">
        <f t="shared" si="340"/>
        <v>9.5599999999999987</v>
      </c>
      <c r="AK1391">
        <f t="shared" si="341"/>
        <v>1.05</v>
      </c>
      <c r="AL1391">
        <f t="shared" si="334"/>
        <v>0.40999999999999992</v>
      </c>
      <c r="AN1391" t="s">
        <v>3299</v>
      </c>
      <c r="AO1391">
        <v>1.2</v>
      </c>
      <c r="AP1391">
        <v>78.17</v>
      </c>
      <c r="AR1391" t="str" cm="1">
        <f t="array" ref="AR1391:AS1391">_xlfn.TEXTSPLIT(AN1391," ")</f>
        <v>26.10.2023</v>
      </c>
      <c r="AS1391" t="str">
        <v>23:11:27</v>
      </c>
      <c r="AT1391">
        <f t="shared" si="347"/>
        <v>23.133333333333301</v>
      </c>
      <c r="AU1391">
        <f t="shared" si="342"/>
        <v>16.86</v>
      </c>
      <c r="AV1391">
        <f t="shared" si="343"/>
        <v>1.2</v>
      </c>
      <c r="AW1391">
        <f t="shared" si="335"/>
        <v>0.68</v>
      </c>
    </row>
    <row r="1392" spans="1:49" x14ac:dyDescent="0.25">
      <c r="A1392" t="s">
        <v>3300</v>
      </c>
      <c r="B1392">
        <v>1.05</v>
      </c>
      <c r="C1392">
        <v>28.79</v>
      </c>
      <c r="E1392" t="s">
        <v>3300</v>
      </c>
      <c r="F1392">
        <v>0.9</v>
      </c>
      <c r="G1392">
        <v>103.13</v>
      </c>
      <c r="I1392" t="str" cm="1">
        <f t="array" ref="I1392:J1392">_xlfn.TEXTSPLIT(A1392," ")</f>
        <v>27.10.2023</v>
      </c>
      <c r="J1392" t="str">
        <v>23:12:16</v>
      </c>
      <c r="K1392">
        <f t="shared" si="344"/>
        <v>23.149999999999967</v>
      </c>
      <c r="L1392">
        <f t="shared" si="337"/>
        <v>14.469999999999999</v>
      </c>
      <c r="M1392">
        <f t="shared" si="338"/>
        <v>1.05</v>
      </c>
      <c r="N1392">
        <f t="shared" si="332"/>
        <v>0.53999999999999992</v>
      </c>
      <c r="Q1392" t="str" cm="1">
        <f t="array" ref="Q1392:R1392">_xlfn.TEXTSPLIT(E1392," ")</f>
        <v>27.10.2023</v>
      </c>
      <c r="R1392" t="str">
        <v>23:12:16</v>
      </c>
      <c r="S1392">
        <f t="shared" si="345"/>
        <v>23.149999999999967</v>
      </c>
      <c r="T1392">
        <f t="shared" si="336"/>
        <v>24.53</v>
      </c>
      <c r="U1392">
        <f t="shared" si="339"/>
        <v>0.9</v>
      </c>
      <c r="V1392">
        <f t="shared" si="333"/>
        <v>0.99499999999999977</v>
      </c>
      <c r="AC1392" t="s">
        <v>3301</v>
      </c>
      <c r="AD1392">
        <v>1.2</v>
      </c>
      <c r="AE1392">
        <v>14.11</v>
      </c>
      <c r="AG1392" t="str" cm="1">
        <f t="array" ref="AG1392:AH1392">_xlfn.TEXTSPLIT(AC1393," ")</f>
        <v>26.10.2023</v>
      </c>
      <c r="AH1392" t="str">
        <v>23:13:27</v>
      </c>
      <c r="AI1392">
        <f t="shared" si="346"/>
        <v>23.149999999999967</v>
      </c>
      <c r="AJ1392">
        <f t="shared" si="340"/>
        <v>9.5799999999999983</v>
      </c>
      <c r="AK1392">
        <f t="shared" si="341"/>
        <v>1.2</v>
      </c>
      <c r="AL1392">
        <f t="shared" si="334"/>
        <v>0.41749999999999987</v>
      </c>
      <c r="AN1392" t="s">
        <v>3301</v>
      </c>
      <c r="AO1392">
        <v>0.9</v>
      </c>
      <c r="AP1392">
        <v>78.180000000000007</v>
      </c>
      <c r="AR1392" t="str" cm="1">
        <f t="array" ref="AR1392:AS1392">_xlfn.TEXTSPLIT(AN1392," ")</f>
        <v>26.10.2023</v>
      </c>
      <c r="AS1392" t="str">
        <v>23:12:27</v>
      </c>
      <c r="AT1392">
        <f t="shared" si="347"/>
        <v>23.149999999999967</v>
      </c>
      <c r="AU1392">
        <f t="shared" si="342"/>
        <v>16.870000000000005</v>
      </c>
      <c r="AV1392">
        <f t="shared" si="343"/>
        <v>0.9</v>
      </c>
      <c r="AW1392">
        <f t="shared" si="335"/>
        <v>0.67749999999999999</v>
      </c>
    </row>
    <row r="1393" spans="1:49" x14ac:dyDescent="0.25">
      <c r="A1393" t="s">
        <v>3302</v>
      </c>
      <c r="B1393">
        <v>0.6</v>
      </c>
      <c r="C1393">
        <v>28.8</v>
      </c>
      <c r="E1393" t="s">
        <v>3302</v>
      </c>
      <c r="F1393">
        <v>0.75</v>
      </c>
      <c r="G1393">
        <v>103.14</v>
      </c>
      <c r="I1393" t="str" cm="1">
        <f t="array" ref="I1393:J1393">_xlfn.TEXTSPLIT(A1393," ")</f>
        <v>27.10.2023</v>
      </c>
      <c r="J1393" t="str">
        <v>23:13:16</v>
      </c>
      <c r="K1393">
        <f t="shared" si="344"/>
        <v>23.166666666666632</v>
      </c>
      <c r="L1393">
        <f t="shared" si="337"/>
        <v>14.48</v>
      </c>
      <c r="M1393">
        <f t="shared" si="338"/>
        <v>0.6</v>
      </c>
      <c r="N1393">
        <f t="shared" si="332"/>
        <v>0.53500000000000003</v>
      </c>
      <c r="Q1393" t="str" cm="1">
        <f t="array" ref="Q1393:R1393">_xlfn.TEXTSPLIT(E1393," ")</f>
        <v>27.10.2023</v>
      </c>
      <c r="R1393" t="str">
        <v>23:13:16</v>
      </c>
      <c r="S1393">
        <f t="shared" si="345"/>
        <v>23.166666666666632</v>
      </c>
      <c r="T1393">
        <f t="shared" si="336"/>
        <v>24.540000000000006</v>
      </c>
      <c r="U1393">
        <f t="shared" si="339"/>
        <v>0.75</v>
      </c>
      <c r="V1393">
        <f t="shared" si="333"/>
        <v>0.99499999999999977</v>
      </c>
      <c r="AC1393" t="s">
        <v>3303</v>
      </c>
      <c r="AD1393">
        <v>0.75</v>
      </c>
      <c r="AE1393">
        <v>14.11</v>
      </c>
      <c r="AG1393" t="str" cm="1">
        <f t="array" ref="AG1393:AH1393">_xlfn.TEXTSPLIT(AC1394," ")</f>
        <v>26.10.2023</v>
      </c>
      <c r="AH1393" t="str">
        <v>23:14:27</v>
      </c>
      <c r="AI1393">
        <f t="shared" si="346"/>
        <v>23.166666666666632</v>
      </c>
      <c r="AJ1393">
        <f t="shared" si="340"/>
        <v>9.5799999999999983</v>
      </c>
      <c r="AK1393">
        <f t="shared" si="341"/>
        <v>0.75</v>
      </c>
      <c r="AL1393">
        <f t="shared" si="334"/>
        <v>0.41999999999999987</v>
      </c>
      <c r="AN1393" t="s">
        <v>3303</v>
      </c>
      <c r="AO1393">
        <v>0.75</v>
      </c>
      <c r="AP1393">
        <v>78.19</v>
      </c>
      <c r="AR1393" t="str" cm="1">
        <f t="array" ref="AR1393:AS1393">_xlfn.TEXTSPLIT(AN1393," ")</f>
        <v>26.10.2023</v>
      </c>
      <c r="AS1393" t="str">
        <v>23:13:27</v>
      </c>
      <c r="AT1393">
        <f t="shared" si="347"/>
        <v>23.166666666666632</v>
      </c>
      <c r="AU1393">
        <f t="shared" si="342"/>
        <v>16.879999999999995</v>
      </c>
      <c r="AV1393">
        <f t="shared" si="343"/>
        <v>0.75</v>
      </c>
      <c r="AW1393">
        <f t="shared" si="335"/>
        <v>0.67</v>
      </c>
    </row>
    <row r="1394" spans="1:49" x14ac:dyDescent="0.25">
      <c r="A1394" t="s">
        <v>3304</v>
      </c>
      <c r="B1394">
        <v>0.75</v>
      </c>
      <c r="C1394">
        <v>28.81</v>
      </c>
      <c r="E1394" t="s">
        <v>3304</v>
      </c>
      <c r="F1394">
        <v>1.2</v>
      </c>
      <c r="G1394">
        <v>103.16</v>
      </c>
      <c r="I1394" t="str" cm="1">
        <f t="array" ref="I1394:J1394">_xlfn.TEXTSPLIT(A1394," ")</f>
        <v>27.10.2023</v>
      </c>
      <c r="J1394" t="str">
        <v>23:14:16</v>
      </c>
      <c r="K1394">
        <f t="shared" si="344"/>
        <v>23.183333333333298</v>
      </c>
      <c r="L1394">
        <f t="shared" si="337"/>
        <v>14.489999999999998</v>
      </c>
      <c r="M1394">
        <f t="shared" si="338"/>
        <v>0.75</v>
      </c>
      <c r="N1394">
        <f t="shared" si="332"/>
        <v>0.54000000000000015</v>
      </c>
      <c r="Q1394" t="str" cm="1">
        <f t="array" ref="Q1394:R1394">_xlfn.TEXTSPLIT(E1394," ")</f>
        <v>27.10.2023</v>
      </c>
      <c r="R1394" t="str">
        <v>23:14:16</v>
      </c>
      <c r="S1394">
        <f t="shared" si="345"/>
        <v>23.183333333333298</v>
      </c>
      <c r="T1394">
        <f t="shared" si="336"/>
        <v>24.560000000000002</v>
      </c>
      <c r="U1394">
        <f t="shared" si="339"/>
        <v>1.2</v>
      </c>
      <c r="V1394">
        <f t="shared" si="333"/>
        <v>0.99499999999999977</v>
      </c>
      <c r="AC1394" t="s">
        <v>3305</v>
      </c>
      <c r="AD1394">
        <v>0.3</v>
      </c>
      <c r="AE1394">
        <v>14.12</v>
      </c>
      <c r="AG1394" t="str" cm="1">
        <f t="array" ref="AG1394:AH1394">_xlfn.TEXTSPLIT(AC1395," ")</f>
        <v>26.10.2023</v>
      </c>
      <c r="AH1394" t="str">
        <v>23:15:27</v>
      </c>
      <c r="AI1394">
        <f t="shared" si="346"/>
        <v>23.183333333333298</v>
      </c>
      <c r="AJ1394">
        <f t="shared" si="340"/>
        <v>9.59</v>
      </c>
      <c r="AK1394">
        <f t="shared" si="341"/>
        <v>0.3</v>
      </c>
      <c r="AL1394">
        <f t="shared" si="334"/>
        <v>0.41499999999999992</v>
      </c>
      <c r="AN1394" t="s">
        <v>3305</v>
      </c>
      <c r="AO1394">
        <v>0.6</v>
      </c>
      <c r="AP1394">
        <v>78.2</v>
      </c>
      <c r="AR1394" t="str" cm="1">
        <f t="array" ref="AR1394:AS1394">_xlfn.TEXTSPLIT(AN1394," ")</f>
        <v>26.10.2023</v>
      </c>
      <c r="AS1394" t="str">
        <v>23:14:27</v>
      </c>
      <c r="AT1394">
        <f t="shared" si="347"/>
        <v>23.183333333333298</v>
      </c>
      <c r="AU1394">
        <f t="shared" si="342"/>
        <v>16.89</v>
      </c>
      <c r="AV1394">
        <f t="shared" si="343"/>
        <v>0.6</v>
      </c>
      <c r="AW1394">
        <f t="shared" si="335"/>
        <v>0.66249999999999998</v>
      </c>
    </row>
    <row r="1395" spans="1:49" x14ac:dyDescent="0.25">
      <c r="A1395" t="s">
        <v>3306</v>
      </c>
      <c r="B1395">
        <v>0.45</v>
      </c>
      <c r="C1395">
        <v>28.82</v>
      </c>
      <c r="E1395" t="s">
        <v>3306</v>
      </c>
      <c r="F1395">
        <v>0.9</v>
      </c>
      <c r="G1395">
        <v>103.18</v>
      </c>
      <c r="I1395" t="str" cm="1">
        <f t="array" ref="I1395:J1395">_xlfn.TEXTSPLIT(A1395," ")</f>
        <v>27.10.2023</v>
      </c>
      <c r="J1395" t="str">
        <v>23:15:17</v>
      </c>
      <c r="K1395">
        <f t="shared" si="344"/>
        <v>23.199999999999964</v>
      </c>
      <c r="L1395">
        <f t="shared" si="337"/>
        <v>14.5</v>
      </c>
      <c r="M1395">
        <f t="shared" si="338"/>
        <v>0.45</v>
      </c>
      <c r="N1395">
        <f t="shared" si="332"/>
        <v>0.53250000000000008</v>
      </c>
      <c r="Q1395" t="str" cm="1">
        <f t="array" ref="Q1395:R1395">_xlfn.TEXTSPLIT(E1395," ")</f>
        <v>27.10.2023</v>
      </c>
      <c r="R1395" t="str">
        <v>23:15:17</v>
      </c>
      <c r="S1395">
        <f t="shared" si="345"/>
        <v>23.199999999999964</v>
      </c>
      <c r="T1395">
        <f t="shared" si="336"/>
        <v>24.580000000000013</v>
      </c>
      <c r="U1395">
        <f t="shared" si="339"/>
        <v>0.9</v>
      </c>
      <c r="V1395">
        <f t="shared" si="333"/>
        <v>0.99499999999999977</v>
      </c>
      <c r="AC1395" t="s">
        <v>3307</v>
      </c>
      <c r="AD1395">
        <v>0.45</v>
      </c>
      <c r="AE1395">
        <v>14.13</v>
      </c>
      <c r="AG1395" t="str" cm="1">
        <f t="array" ref="AG1395:AH1395">_xlfn.TEXTSPLIT(AC1396," ")</f>
        <v>26.10.2023</v>
      </c>
      <c r="AH1395" t="str">
        <v>23:16:27</v>
      </c>
      <c r="AI1395">
        <f t="shared" si="346"/>
        <v>23.199999999999964</v>
      </c>
      <c r="AJ1395">
        <f t="shared" si="340"/>
        <v>9.6000000000000014</v>
      </c>
      <c r="AK1395">
        <f t="shared" si="341"/>
        <v>0.45</v>
      </c>
      <c r="AL1395">
        <f t="shared" si="334"/>
        <v>0.41249999999999981</v>
      </c>
      <c r="AN1395" t="s">
        <v>3307</v>
      </c>
      <c r="AO1395">
        <v>0.3</v>
      </c>
      <c r="AP1395">
        <v>78.209999999999994</v>
      </c>
      <c r="AR1395" t="str" cm="1">
        <f t="array" ref="AR1395:AS1395">_xlfn.TEXTSPLIT(AN1395," ")</f>
        <v>26.10.2023</v>
      </c>
      <c r="AS1395" t="str">
        <v>23:15:27</v>
      </c>
      <c r="AT1395">
        <f t="shared" si="347"/>
        <v>23.199999999999964</v>
      </c>
      <c r="AU1395">
        <f t="shared" si="342"/>
        <v>16.899999999999991</v>
      </c>
      <c r="AV1395">
        <f t="shared" si="343"/>
        <v>0.3</v>
      </c>
      <c r="AW1395">
        <f t="shared" si="335"/>
        <v>0.65499999999999992</v>
      </c>
    </row>
    <row r="1396" spans="1:49" x14ac:dyDescent="0.25">
      <c r="A1396" t="s">
        <v>3308</v>
      </c>
      <c r="B1396">
        <v>0.6</v>
      </c>
      <c r="C1396">
        <v>28.83</v>
      </c>
      <c r="E1396" t="s">
        <v>3308</v>
      </c>
      <c r="F1396">
        <v>1.2</v>
      </c>
      <c r="G1396">
        <v>103.2</v>
      </c>
      <c r="I1396" t="str" cm="1">
        <f t="array" ref="I1396:J1396">_xlfn.TEXTSPLIT(A1396," ")</f>
        <v>27.10.2023</v>
      </c>
      <c r="J1396" t="str">
        <v>23:16:17</v>
      </c>
      <c r="K1396">
        <f t="shared" si="344"/>
        <v>23.216666666666629</v>
      </c>
      <c r="L1396">
        <f t="shared" si="337"/>
        <v>14.509999999999998</v>
      </c>
      <c r="M1396">
        <f t="shared" si="338"/>
        <v>0.6</v>
      </c>
      <c r="N1396">
        <f t="shared" si="332"/>
        <v>0.53250000000000008</v>
      </c>
      <c r="Q1396" t="str" cm="1">
        <f t="array" ref="Q1396:R1396">_xlfn.TEXTSPLIT(E1396," ")</f>
        <v>27.10.2023</v>
      </c>
      <c r="R1396" t="str">
        <v>23:16:17</v>
      </c>
      <c r="S1396">
        <f t="shared" si="345"/>
        <v>23.216666666666629</v>
      </c>
      <c r="T1396">
        <f t="shared" si="336"/>
        <v>24.600000000000009</v>
      </c>
      <c r="U1396">
        <f t="shared" si="339"/>
        <v>1.2</v>
      </c>
      <c r="V1396">
        <f t="shared" si="333"/>
        <v>0.99249999999999983</v>
      </c>
      <c r="AC1396" t="s">
        <v>3309</v>
      </c>
      <c r="AD1396">
        <v>0.15</v>
      </c>
      <c r="AE1396">
        <v>14.13</v>
      </c>
      <c r="AG1396" t="str" cm="1">
        <f t="array" ref="AG1396:AH1396">_xlfn.TEXTSPLIT(AC1397," ")</f>
        <v>26.10.2023</v>
      </c>
      <c r="AH1396" t="str">
        <v>23:17:28</v>
      </c>
      <c r="AI1396">
        <f t="shared" si="346"/>
        <v>23.216666666666629</v>
      </c>
      <c r="AJ1396">
        <f t="shared" si="340"/>
        <v>9.6000000000000014</v>
      </c>
      <c r="AK1396">
        <f t="shared" si="341"/>
        <v>0.15</v>
      </c>
      <c r="AL1396">
        <f t="shared" si="334"/>
        <v>0.40499999999999992</v>
      </c>
      <c r="AN1396" t="s">
        <v>3309</v>
      </c>
      <c r="AO1396">
        <v>0.6</v>
      </c>
      <c r="AP1396">
        <v>78.22</v>
      </c>
      <c r="AR1396" t="str" cm="1">
        <f t="array" ref="AR1396:AS1396">_xlfn.TEXTSPLIT(AN1396," ")</f>
        <v>26.10.2023</v>
      </c>
      <c r="AS1396" t="str">
        <v>23:16:27</v>
      </c>
      <c r="AT1396">
        <f t="shared" si="347"/>
        <v>23.216666666666629</v>
      </c>
      <c r="AU1396">
        <f t="shared" si="342"/>
        <v>16.909999999999997</v>
      </c>
      <c r="AV1396">
        <f t="shared" si="343"/>
        <v>0.6</v>
      </c>
      <c r="AW1396">
        <f t="shared" si="335"/>
        <v>0.65499999999999992</v>
      </c>
    </row>
    <row r="1397" spans="1:49" x14ac:dyDescent="0.25">
      <c r="A1397" t="s">
        <v>3310</v>
      </c>
      <c r="B1397">
        <v>0.3</v>
      </c>
      <c r="C1397">
        <v>28.83</v>
      </c>
      <c r="E1397" t="s">
        <v>3310</v>
      </c>
      <c r="F1397">
        <v>1.05</v>
      </c>
      <c r="G1397">
        <v>103.21</v>
      </c>
      <c r="I1397" t="str" cm="1">
        <f t="array" ref="I1397:J1397">_xlfn.TEXTSPLIT(A1397," ")</f>
        <v>27.10.2023</v>
      </c>
      <c r="J1397" t="str">
        <v>23:17:17</v>
      </c>
      <c r="K1397">
        <f t="shared" si="344"/>
        <v>23.233333333333295</v>
      </c>
      <c r="L1397">
        <f t="shared" si="337"/>
        <v>14.509999999999998</v>
      </c>
      <c r="M1397">
        <f t="shared" si="338"/>
        <v>0.3</v>
      </c>
      <c r="N1397">
        <f t="shared" si="332"/>
        <v>0.52750000000000008</v>
      </c>
      <c r="Q1397" t="str" cm="1">
        <f t="array" ref="Q1397:R1397">_xlfn.TEXTSPLIT(E1397," ")</f>
        <v>27.10.2023</v>
      </c>
      <c r="R1397" t="str">
        <v>23:17:17</v>
      </c>
      <c r="S1397">
        <f t="shared" si="345"/>
        <v>23.233333333333295</v>
      </c>
      <c r="T1397">
        <f t="shared" si="336"/>
        <v>24.61</v>
      </c>
      <c r="U1397">
        <f t="shared" si="339"/>
        <v>1.05</v>
      </c>
      <c r="V1397">
        <f t="shared" si="333"/>
        <v>0.98999999999999988</v>
      </c>
      <c r="AC1397" t="s">
        <v>3311</v>
      </c>
      <c r="AD1397">
        <v>0.6</v>
      </c>
      <c r="AE1397">
        <v>14.14</v>
      </c>
      <c r="AG1397" t="str" cm="1">
        <f t="array" ref="AG1397:AH1397">_xlfn.TEXTSPLIT(AC1398," ")</f>
        <v>26.10.2023</v>
      </c>
      <c r="AH1397" t="str">
        <v>23:18:28</v>
      </c>
      <c r="AI1397">
        <f t="shared" si="346"/>
        <v>23.233333333333295</v>
      </c>
      <c r="AJ1397">
        <f t="shared" si="340"/>
        <v>9.61</v>
      </c>
      <c r="AK1397">
        <f t="shared" si="341"/>
        <v>0.6</v>
      </c>
      <c r="AL1397">
        <f t="shared" si="334"/>
        <v>0.41499999999999992</v>
      </c>
      <c r="AN1397" t="s">
        <v>3311</v>
      </c>
      <c r="AO1397">
        <v>0.6</v>
      </c>
      <c r="AP1397">
        <v>78.23</v>
      </c>
      <c r="AR1397" t="str" cm="1">
        <f t="array" ref="AR1397:AS1397">_xlfn.TEXTSPLIT(AN1397," ")</f>
        <v>26.10.2023</v>
      </c>
      <c r="AS1397" t="str">
        <v>23:17:28</v>
      </c>
      <c r="AT1397">
        <f t="shared" si="347"/>
        <v>23.233333333333295</v>
      </c>
      <c r="AU1397">
        <f t="shared" si="342"/>
        <v>16.920000000000002</v>
      </c>
      <c r="AV1397">
        <f t="shared" si="343"/>
        <v>0.6</v>
      </c>
      <c r="AW1397">
        <f t="shared" si="335"/>
        <v>0.65499999999999992</v>
      </c>
    </row>
    <row r="1398" spans="1:49" x14ac:dyDescent="0.25">
      <c r="A1398" t="s">
        <v>3312</v>
      </c>
      <c r="B1398">
        <v>0.45</v>
      </c>
      <c r="C1398">
        <v>28.84</v>
      </c>
      <c r="E1398" t="s">
        <v>3312</v>
      </c>
      <c r="F1398">
        <v>0.75</v>
      </c>
      <c r="G1398">
        <v>103.23</v>
      </c>
      <c r="I1398" t="str" cm="1">
        <f t="array" ref="I1398:J1398">_xlfn.TEXTSPLIT(A1398," ")</f>
        <v>27.10.2023</v>
      </c>
      <c r="J1398" t="str">
        <v>23:18:17</v>
      </c>
      <c r="K1398">
        <f t="shared" si="344"/>
        <v>23.249999999999961</v>
      </c>
      <c r="L1398">
        <f t="shared" si="337"/>
        <v>14.52</v>
      </c>
      <c r="M1398">
        <f t="shared" si="338"/>
        <v>0.45</v>
      </c>
      <c r="N1398">
        <f t="shared" si="332"/>
        <v>0.52750000000000008</v>
      </c>
      <c r="Q1398" t="str" cm="1">
        <f t="array" ref="Q1398:R1398">_xlfn.TEXTSPLIT(E1398," ")</f>
        <v>27.10.2023</v>
      </c>
      <c r="R1398" t="str">
        <v>23:18:17</v>
      </c>
      <c r="S1398">
        <f t="shared" si="345"/>
        <v>23.249999999999961</v>
      </c>
      <c r="T1398">
        <f t="shared" si="336"/>
        <v>24.63000000000001</v>
      </c>
      <c r="U1398">
        <f t="shared" si="339"/>
        <v>0.75</v>
      </c>
      <c r="V1398">
        <f t="shared" si="333"/>
        <v>0.98999999999999988</v>
      </c>
      <c r="AC1398" t="s">
        <v>3313</v>
      </c>
      <c r="AD1398">
        <v>0.15</v>
      </c>
      <c r="AE1398">
        <v>14.14</v>
      </c>
      <c r="AG1398" t="str" cm="1">
        <f t="array" ref="AG1398:AH1398">_xlfn.TEXTSPLIT(AC1399," ")</f>
        <v>26.10.2023</v>
      </c>
      <c r="AH1398" t="str">
        <v>23:19:28</v>
      </c>
      <c r="AI1398">
        <f t="shared" si="346"/>
        <v>23.249999999999961</v>
      </c>
      <c r="AJ1398">
        <f t="shared" si="340"/>
        <v>9.61</v>
      </c>
      <c r="AK1398">
        <f t="shared" si="341"/>
        <v>0.15</v>
      </c>
      <c r="AL1398">
        <f t="shared" si="334"/>
        <v>0.41499999999999992</v>
      </c>
      <c r="AN1398" t="s">
        <v>3313</v>
      </c>
      <c r="AO1398">
        <v>0.45</v>
      </c>
      <c r="AP1398">
        <v>78.239999999999995</v>
      </c>
      <c r="AR1398" t="str" cm="1">
        <f t="array" ref="AR1398:AS1398">_xlfn.TEXTSPLIT(AN1398," ")</f>
        <v>26.10.2023</v>
      </c>
      <c r="AS1398" t="str">
        <v>23:18:28</v>
      </c>
      <c r="AT1398">
        <f t="shared" si="347"/>
        <v>23.249999999999961</v>
      </c>
      <c r="AU1398">
        <f t="shared" si="342"/>
        <v>16.929999999999993</v>
      </c>
      <c r="AV1398">
        <f t="shared" si="343"/>
        <v>0.45</v>
      </c>
      <c r="AW1398">
        <f t="shared" si="335"/>
        <v>0.65249999999999997</v>
      </c>
    </row>
    <row r="1399" spans="1:49" x14ac:dyDescent="0.25">
      <c r="A1399" t="s">
        <v>3314</v>
      </c>
      <c r="B1399">
        <v>0.45</v>
      </c>
      <c r="C1399">
        <v>28.85</v>
      </c>
      <c r="E1399" t="s">
        <v>3314</v>
      </c>
      <c r="F1399">
        <v>0.75</v>
      </c>
      <c r="G1399">
        <v>103.24</v>
      </c>
      <c r="I1399" t="str" cm="1">
        <f t="array" ref="I1399:J1399">_xlfn.TEXTSPLIT(A1399," ")</f>
        <v>27.10.2023</v>
      </c>
      <c r="J1399" t="str">
        <v>23:19:17</v>
      </c>
      <c r="K1399">
        <f t="shared" si="344"/>
        <v>23.266666666666627</v>
      </c>
      <c r="L1399">
        <f t="shared" si="337"/>
        <v>14.530000000000001</v>
      </c>
      <c r="M1399">
        <f t="shared" si="338"/>
        <v>0.45</v>
      </c>
      <c r="N1399">
        <f t="shared" si="332"/>
        <v>0.52500000000000002</v>
      </c>
      <c r="Q1399" t="str" cm="1">
        <f t="array" ref="Q1399:R1399">_xlfn.TEXTSPLIT(E1399," ")</f>
        <v>27.10.2023</v>
      </c>
      <c r="R1399" t="str">
        <v>23:19:17</v>
      </c>
      <c r="S1399">
        <f t="shared" si="345"/>
        <v>23.266666666666627</v>
      </c>
      <c r="T1399">
        <f t="shared" si="336"/>
        <v>24.64</v>
      </c>
      <c r="U1399">
        <f t="shared" si="339"/>
        <v>0.75</v>
      </c>
      <c r="V1399">
        <f t="shared" si="333"/>
        <v>0.98999999999999988</v>
      </c>
      <c r="AC1399" t="s">
        <v>3315</v>
      </c>
      <c r="AD1399">
        <v>0.45</v>
      </c>
      <c r="AE1399">
        <v>14.15</v>
      </c>
      <c r="AG1399" t="str" cm="1">
        <f t="array" ref="AG1399:AH1399">_xlfn.TEXTSPLIT(AC1400," ")</f>
        <v>26.10.2023</v>
      </c>
      <c r="AH1399" t="str">
        <v>23:20:28</v>
      </c>
      <c r="AI1399">
        <f t="shared" si="346"/>
        <v>23.266666666666627</v>
      </c>
      <c r="AJ1399">
        <f t="shared" si="340"/>
        <v>9.620000000000001</v>
      </c>
      <c r="AK1399">
        <f t="shared" si="341"/>
        <v>0.45</v>
      </c>
      <c r="AL1399">
        <f t="shared" si="334"/>
        <v>0.40999999999999992</v>
      </c>
      <c r="AN1399" t="s">
        <v>3315</v>
      </c>
      <c r="AO1399">
        <v>0.75</v>
      </c>
      <c r="AP1399">
        <v>78.25</v>
      </c>
      <c r="AR1399" t="str" cm="1">
        <f t="array" ref="AR1399:AS1399">_xlfn.TEXTSPLIT(AN1399," ")</f>
        <v>26.10.2023</v>
      </c>
      <c r="AS1399" t="str">
        <v>23:19:28</v>
      </c>
      <c r="AT1399">
        <f t="shared" si="347"/>
        <v>23.266666666666627</v>
      </c>
      <c r="AU1399">
        <f t="shared" si="342"/>
        <v>16.939999999999998</v>
      </c>
      <c r="AV1399">
        <f t="shared" si="343"/>
        <v>0.75</v>
      </c>
      <c r="AW1399">
        <f t="shared" si="335"/>
        <v>0.65750000000000008</v>
      </c>
    </row>
    <row r="1400" spans="1:49" x14ac:dyDescent="0.25">
      <c r="A1400" t="s">
        <v>3316</v>
      </c>
      <c r="B1400">
        <v>0.45</v>
      </c>
      <c r="C1400">
        <v>28.86</v>
      </c>
      <c r="E1400" t="s">
        <v>3316</v>
      </c>
      <c r="F1400">
        <v>0.75</v>
      </c>
      <c r="G1400">
        <v>103.25</v>
      </c>
      <c r="I1400" t="str" cm="1">
        <f t="array" ref="I1400:J1400">_xlfn.TEXTSPLIT(A1400," ")</f>
        <v>27.10.2023</v>
      </c>
      <c r="J1400" t="str">
        <v>23:20:17</v>
      </c>
      <c r="K1400">
        <f t="shared" si="344"/>
        <v>23.283333333333292</v>
      </c>
      <c r="L1400">
        <f t="shared" si="337"/>
        <v>14.54</v>
      </c>
      <c r="M1400">
        <f t="shared" si="338"/>
        <v>0.45</v>
      </c>
      <c r="N1400">
        <f t="shared" si="332"/>
        <v>0.52499999999999991</v>
      </c>
      <c r="Q1400" t="str" cm="1">
        <f t="array" ref="Q1400:R1400">_xlfn.TEXTSPLIT(E1400," ")</f>
        <v>27.10.2023</v>
      </c>
      <c r="R1400" t="str">
        <v>23:20:17</v>
      </c>
      <c r="S1400">
        <f t="shared" si="345"/>
        <v>23.283333333333292</v>
      </c>
      <c r="T1400">
        <f t="shared" si="336"/>
        <v>24.650000000000006</v>
      </c>
      <c r="U1400">
        <f t="shared" si="339"/>
        <v>0.75</v>
      </c>
      <c r="V1400">
        <f t="shared" si="333"/>
        <v>0.98749999999999993</v>
      </c>
      <c r="AC1400" t="s">
        <v>3317</v>
      </c>
      <c r="AD1400">
        <v>0.15</v>
      </c>
      <c r="AE1400">
        <v>14.15</v>
      </c>
      <c r="AG1400" t="str" cm="1">
        <f t="array" ref="AG1400:AH1400">_xlfn.TEXTSPLIT(AC1401," ")</f>
        <v>26.10.2023</v>
      </c>
      <c r="AH1400" t="str">
        <v>23:21:28</v>
      </c>
      <c r="AI1400">
        <f t="shared" si="346"/>
        <v>23.283333333333292</v>
      </c>
      <c r="AJ1400">
        <f t="shared" si="340"/>
        <v>9.620000000000001</v>
      </c>
      <c r="AK1400">
        <f t="shared" si="341"/>
        <v>0.15</v>
      </c>
      <c r="AL1400">
        <f t="shared" si="334"/>
        <v>0.40999999999999992</v>
      </c>
      <c r="AN1400" t="s">
        <v>3317</v>
      </c>
      <c r="AO1400">
        <v>1.05</v>
      </c>
      <c r="AP1400">
        <v>78.27</v>
      </c>
      <c r="AR1400" t="str" cm="1">
        <f t="array" ref="AR1400:AS1400">_xlfn.TEXTSPLIT(AN1400," ")</f>
        <v>26.10.2023</v>
      </c>
      <c r="AS1400" t="str">
        <v>23:20:28</v>
      </c>
      <c r="AT1400">
        <f t="shared" si="347"/>
        <v>23.283333333333292</v>
      </c>
      <c r="AU1400">
        <f t="shared" si="342"/>
        <v>16.959999999999994</v>
      </c>
      <c r="AV1400">
        <f t="shared" si="343"/>
        <v>1.05</v>
      </c>
      <c r="AW1400">
        <f t="shared" si="335"/>
        <v>0.66749999999999998</v>
      </c>
    </row>
    <row r="1401" spans="1:49" x14ac:dyDescent="0.25">
      <c r="A1401" t="s">
        <v>3318</v>
      </c>
      <c r="B1401">
        <v>0.45</v>
      </c>
      <c r="C1401">
        <v>28.87</v>
      </c>
      <c r="E1401" t="s">
        <v>3318</v>
      </c>
      <c r="F1401">
        <v>0.15</v>
      </c>
      <c r="G1401">
        <v>103.25</v>
      </c>
      <c r="I1401" t="str" cm="1">
        <f t="array" ref="I1401:J1401">_xlfn.TEXTSPLIT(A1401," ")</f>
        <v>27.10.2023</v>
      </c>
      <c r="J1401" t="str">
        <v>23:21:17</v>
      </c>
      <c r="K1401">
        <f t="shared" si="344"/>
        <v>23.299999999999958</v>
      </c>
      <c r="L1401">
        <f t="shared" si="337"/>
        <v>14.55</v>
      </c>
      <c r="M1401">
        <f t="shared" si="338"/>
        <v>0.45</v>
      </c>
      <c r="N1401">
        <f t="shared" si="332"/>
        <v>0.52249999999999996</v>
      </c>
      <c r="Q1401" t="str" cm="1">
        <f t="array" ref="Q1401:R1401">_xlfn.TEXTSPLIT(E1401," ")</f>
        <v>27.10.2023</v>
      </c>
      <c r="R1401" t="str">
        <v>23:21:17</v>
      </c>
      <c r="S1401">
        <f t="shared" si="345"/>
        <v>23.299999999999958</v>
      </c>
      <c r="T1401">
        <f t="shared" si="336"/>
        <v>24.650000000000006</v>
      </c>
      <c r="U1401">
        <f t="shared" si="339"/>
        <v>0.15</v>
      </c>
      <c r="V1401">
        <f t="shared" si="333"/>
        <v>0.98749999999999971</v>
      </c>
      <c r="AC1401" t="s">
        <v>3319</v>
      </c>
      <c r="AD1401">
        <v>0.6</v>
      </c>
      <c r="AE1401">
        <v>14.16</v>
      </c>
      <c r="AG1401" t="str" cm="1">
        <f t="array" ref="AG1401:AH1401">_xlfn.TEXTSPLIT(AC1402," ")</f>
        <v>26.10.2023</v>
      </c>
      <c r="AH1401" t="str">
        <v>23:22:28</v>
      </c>
      <c r="AI1401">
        <f t="shared" si="346"/>
        <v>23.299999999999958</v>
      </c>
      <c r="AJ1401">
        <f t="shared" si="340"/>
        <v>9.629999999999999</v>
      </c>
      <c r="AK1401">
        <f t="shared" si="341"/>
        <v>0.6</v>
      </c>
      <c r="AL1401">
        <f t="shared" si="334"/>
        <v>0.41499999999999992</v>
      </c>
      <c r="AN1401" t="s">
        <v>3319</v>
      </c>
      <c r="AO1401">
        <v>0.75</v>
      </c>
      <c r="AP1401">
        <v>78.28</v>
      </c>
      <c r="AR1401" t="str" cm="1">
        <f t="array" ref="AR1401:AS1401">_xlfn.TEXTSPLIT(AN1401," ")</f>
        <v>26.10.2023</v>
      </c>
      <c r="AS1401" t="str">
        <v>23:21:28</v>
      </c>
      <c r="AT1401">
        <f t="shared" si="347"/>
        <v>23.299999999999958</v>
      </c>
      <c r="AU1401">
        <f t="shared" si="342"/>
        <v>16.97</v>
      </c>
      <c r="AV1401">
        <f t="shared" si="343"/>
        <v>0.75</v>
      </c>
      <c r="AW1401">
        <f t="shared" si="335"/>
        <v>0.67249999999999988</v>
      </c>
    </row>
    <row r="1402" spans="1:49" x14ac:dyDescent="0.25">
      <c r="A1402" t="s">
        <v>3320</v>
      </c>
      <c r="B1402">
        <v>0.45</v>
      </c>
      <c r="C1402">
        <v>28.87</v>
      </c>
      <c r="E1402" t="s">
        <v>3320</v>
      </c>
      <c r="F1402">
        <v>0.15</v>
      </c>
      <c r="G1402">
        <v>103.25</v>
      </c>
      <c r="I1402" t="str" cm="1">
        <f t="array" ref="I1402:J1402">_xlfn.TEXTSPLIT(A1402," ")</f>
        <v>27.10.2023</v>
      </c>
      <c r="J1402" t="str">
        <v>23:22:17</v>
      </c>
      <c r="K1402">
        <f t="shared" si="344"/>
        <v>23.316666666666624</v>
      </c>
      <c r="L1402">
        <f t="shared" si="337"/>
        <v>14.55</v>
      </c>
      <c r="M1402">
        <f t="shared" si="338"/>
        <v>0.45</v>
      </c>
      <c r="N1402">
        <f t="shared" si="332"/>
        <v>0.52499999999999991</v>
      </c>
      <c r="Q1402" t="str" cm="1">
        <f t="array" ref="Q1402:R1402">_xlfn.TEXTSPLIT(E1402," ")</f>
        <v>27.10.2023</v>
      </c>
      <c r="R1402" t="str">
        <v>23:22:17</v>
      </c>
      <c r="S1402">
        <f t="shared" si="345"/>
        <v>23.316666666666624</v>
      </c>
      <c r="T1402">
        <f t="shared" si="336"/>
        <v>24.650000000000006</v>
      </c>
      <c r="U1402">
        <f t="shared" si="339"/>
        <v>0.15</v>
      </c>
      <c r="V1402">
        <f t="shared" si="333"/>
        <v>0.98499999999999976</v>
      </c>
      <c r="AC1402" t="s">
        <v>3321</v>
      </c>
      <c r="AD1402">
        <v>0.15</v>
      </c>
      <c r="AE1402">
        <v>14.16</v>
      </c>
      <c r="AG1402" t="str" cm="1">
        <f t="array" ref="AG1402:AH1402">_xlfn.TEXTSPLIT(AC1403," ")</f>
        <v>26.10.2023</v>
      </c>
      <c r="AH1402" t="str">
        <v>23:23:28</v>
      </c>
      <c r="AI1402">
        <f t="shared" si="346"/>
        <v>23.316666666666624</v>
      </c>
      <c r="AJ1402">
        <f t="shared" si="340"/>
        <v>9.629999999999999</v>
      </c>
      <c r="AK1402">
        <f t="shared" si="341"/>
        <v>0.15</v>
      </c>
      <c r="AL1402">
        <f t="shared" si="334"/>
        <v>0.40749999999999992</v>
      </c>
      <c r="AN1402" t="s">
        <v>3321</v>
      </c>
      <c r="AO1402">
        <v>0.45</v>
      </c>
      <c r="AP1402">
        <v>78.28</v>
      </c>
      <c r="AR1402" t="str" cm="1">
        <f t="array" ref="AR1402:AS1402">_xlfn.TEXTSPLIT(AN1402," ")</f>
        <v>26.10.2023</v>
      </c>
      <c r="AS1402" t="str">
        <v>23:22:28</v>
      </c>
      <c r="AT1402">
        <f t="shared" si="347"/>
        <v>23.316666666666624</v>
      </c>
      <c r="AU1402">
        <f t="shared" si="342"/>
        <v>16.97</v>
      </c>
      <c r="AV1402">
        <f t="shared" si="343"/>
        <v>0.45</v>
      </c>
      <c r="AW1402">
        <f t="shared" si="335"/>
        <v>0.6775000000000001</v>
      </c>
    </row>
    <row r="1403" spans="1:49" x14ac:dyDescent="0.25">
      <c r="A1403" t="s">
        <v>3322</v>
      </c>
      <c r="B1403">
        <v>0</v>
      </c>
      <c r="C1403">
        <v>28.87</v>
      </c>
      <c r="E1403" t="s">
        <v>3322</v>
      </c>
      <c r="F1403">
        <v>0.3</v>
      </c>
      <c r="G1403">
        <v>103.26</v>
      </c>
      <c r="I1403" t="str" cm="1">
        <f t="array" ref="I1403:J1403">_xlfn.TEXTSPLIT(A1403," ")</f>
        <v>27.10.2023</v>
      </c>
      <c r="J1403" t="str">
        <v>23:23:17</v>
      </c>
      <c r="K1403">
        <f t="shared" si="344"/>
        <v>23.33333333333329</v>
      </c>
      <c r="L1403">
        <f t="shared" si="337"/>
        <v>14.55</v>
      </c>
      <c r="M1403">
        <f t="shared" si="338"/>
        <v>0</v>
      </c>
      <c r="N1403">
        <f t="shared" si="332"/>
        <v>0.52499999999999991</v>
      </c>
      <c r="Q1403" t="str" cm="1">
        <f t="array" ref="Q1403:R1403">_xlfn.TEXTSPLIT(E1403," ")</f>
        <v>27.10.2023</v>
      </c>
      <c r="R1403" t="str">
        <v>23:23:17</v>
      </c>
      <c r="S1403">
        <f t="shared" si="345"/>
        <v>23.33333333333329</v>
      </c>
      <c r="T1403">
        <f t="shared" si="336"/>
        <v>24.660000000000011</v>
      </c>
      <c r="U1403">
        <f t="shared" si="339"/>
        <v>0.3</v>
      </c>
      <c r="V1403">
        <f t="shared" si="333"/>
        <v>0.98249999999999971</v>
      </c>
      <c r="AC1403" t="s">
        <v>3323</v>
      </c>
      <c r="AD1403">
        <v>0.15</v>
      </c>
      <c r="AE1403">
        <v>14.16</v>
      </c>
      <c r="AG1403" t="str" cm="1">
        <f t="array" ref="AG1403:AH1403">_xlfn.TEXTSPLIT(AC1404," ")</f>
        <v>26.10.2023</v>
      </c>
      <c r="AH1403" t="str">
        <v>23:24:28</v>
      </c>
      <c r="AI1403">
        <f t="shared" si="346"/>
        <v>23.33333333333329</v>
      </c>
      <c r="AJ1403">
        <f t="shared" si="340"/>
        <v>9.629999999999999</v>
      </c>
      <c r="AK1403">
        <f t="shared" si="341"/>
        <v>0.15</v>
      </c>
      <c r="AL1403">
        <f t="shared" si="334"/>
        <v>0.40749999999999986</v>
      </c>
      <c r="AN1403" t="s">
        <v>3323</v>
      </c>
      <c r="AO1403">
        <v>0</v>
      </c>
      <c r="AP1403">
        <v>78.28</v>
      </c>
      <c r="AR1403" t="str" cm="1">
        <f t="array" ref="AR1403:AS1403">_xlfn.TEXTSPLIT(AN1403," ")</f>
        <v>26.10.2023</v>
      </c>
      <c r="AS1403" t="str">
        <v>23:23:28</v>
      </c>
      <c r="AT1403">
        <f t="shared" si="347"/>
        <v>23.33333333333329</v>
      </c>
      <c r="AU1403">
        <f t="shared" si="342"/>
        <v>16.97</v>
      </c>
      <c r="AV1403">
        <f t="shared" si="343"/>
        <v>0</v>
      </c>
      <c r="AW1403">
        <f t="shared" si="335"/>
        <v>0.6775000000000001</v>
      </c>
    </row>
    <row r="1404" spans="1:49" x14ac:dyDescent="0.25">
      <c r="A1404" t="s">
        <v>3324</v>
      </c>
      <c r="B1404">
        <v>0</v>
      </c>
      <c r="C1404">
        <v>28.87</v>
      </c>
      <c r="E1404" t="s">
        <v>3324</v>
      </c>
      <c r="F1404">
        <v>0.3</v>
      </c>
      <c r="G1404">
        <v>103.26</v>
      </c>
      <c r="I1404" t="str" cm="1">
        <f t="array" ref="I1404:J1404">_xlfn.TEXTSPLIT(A1404," ")</f>
        <v>27.10.2023</v>
      </c>
      <c r="J1404" t="str">
        <v>23:24:17</v>
      </c>
      <c r="K1404">
        <f t="shared" si="344"/>
        <v>23.349999999999955</v>
      </c>
      <c r="L1404">
        <f t="shared" si="337"/>
        <v>14.55</v>
      </c>
      <c r="M1404">
        <f t="shared" si="338"/>
        <v>0</v>
      </c>
      <c r="N1404">
        <f t="shared" si="332"/>
        <v>0.52499999999999991</v>
      </c>
      <c r="Q1404" t="str" cm="1">
        <f t="array" ref="Q1404:R1404">_xlfn.TEXTSPLIT(E1404," ")</f>
        <v>27.10.2023</v>
      </c>
      <c r="R1404" t="str">
        <v>23:24:17</v>
      </c>
      <c r="S1404">
        <f t="shared" si="345"/>
        <v>23.349999999999955</v>
      </c>
      <c r="T1404">
        <f t="shared" si="336"/>
        <v>24.660000000000011</v>
      </c>
      <c r="U1404">
        <f t="shared" si="339"/>
        <v>0.3</v>
      </c>
      <c r="V1404">
        <f t="shared" si="333"/>
        <v>0.9824999999999996</v>
      </c>
      <c r="AC1404" t="s">
        <v>3325</v>
      </c>
      <c r="AD1404">
        <v>0</v>
      </c>
      <c r="AE1404">
        <v>14.16</v>
      </c>
      <c r="AG1404" t="str" cm="1">
        <f t="array" ref="AG1404:AH1404">_xlfn.TEXTSPLIT(AC1405," ")</f>
        <v>26.10.2023</v>
      </c>
      <c r="AH1404" t="str">
        <v>23:25:28</v>
      </c>
      <c r="AI1404">
        <f t="shared" si="346"/>
        <v>23.349999999999955</v>
      </c>
      <c r="AJ1404">
        <f t="shared" si="340"/>
        <v>9.629999999999999</v>
      </c>
      <c r="AK1404">
        <f t="shared" si="341"/>
        <v>0</v>
      </c>
      <c r="AL1404">
        <f t="shared" si="334"/>
        <v>0.40749999999999986</v>
      </c>
      <c r="AN1404" t="s">
        <v>3325</v>
      </c>
      <c r="AO1404">
        <v>0</v>
      </c>
      <c r="AP1404">
        <v>78.28</v>
      </c>
      <c r="AR1404" t="str" cm="1">
        <f t="array" ref="AR1404:AS1404">_xlfn.TEXTSPLIT(AN1404," ")</f>
        <v>26.10.2023</v>
      </c>
      <c r="AS1404" t="str">
        <v>23:24:28</v>
      </c>
      <c r="AT1404">
        <f t="shared" si="347"/>
        <v>23.349999999999955</v>
      </c>
      <c r="AU1404">
        <f t="shared" si="342"/>
        <v>16.97</v>
      </c>
      <c r="AV1404">
        <f t="shared" si="343"/>
        <v>0</v>
      </c>
      <c r="AW1404">
        <f t="shared" si="335"/>
        <v>0.67500000000000004</v>
      </c>
    </row>
    <row r="1405" spans="1:49" x14ac:dyDescent="0.25">
      <c r="A1405" t="s">
        <v>3326</v>
      </c>
      <c r="B1405">
        <v>0</v>
      </c>
      <c r="C1405">
        <v>28.87</v>
      </c>
      <c r="E1405" t="s">
        <v>3326</v>
      </c>
      <c r="F1405">
        <v>0.45</v>
      </c>
      <c r="G1405">
        <v>103.27</v>
      </c>
      <c r="I1405" t="str" cm="1">
        <f t="array" ref="I1405:J1405">_xlfn.TEXTSPLIT(A1405," ")</f>
        <v>27.10.2023</v>
      </c>
      <c r="J1405" t="str">
        <v>23:25:17</v>
      </c>
      <c r="K1405">
        <f t="shared" si="344"/>
        <v>23.366666666666621</v>
      </c>
      <c r="L1405">
        <f t="shared" si="337"/>
        <v>14.55</v>
      </c>
      <c r="M1405">
        <f t="shared" si="338"/>
        <v>0</v>
      </c>
      <c r="N1405">
        <f t="shared" si="332"/>
        <v>0.52499999999999991</v>
      </c>
      <c r="Q1405" t="str" cm="1">
        <f t="array" ref="Q1405:R1405">_xlfn.TEXTSPLIT(E1405," ")</f>
        <v>27.10.2023</v>
      </c>
      <c r="R1405" t="str">
        <v>23:25:17</v>
      </c>
      <c r="S1405">
        <f t="shared" si="345"/>
        <v>23.366666666666621</v>
      </c>
      <c r="T1405">
        <f t="shared" si="336"/>
        <v>24.67</v>
      </c>
      <c r="U1405">
        <f t="shared" si="339"/>
        <v>0.45</v>
      </c>
      <c r="V1405">
        <f t="shared" si="333"/>
        <v>0.98249999999999971</v>
      </c>
      <c r="AC1405" t="s">
        <v>3327</v>
      </c>
      <c r="AD1405">
        <v>0</v>
      </c>
      <c r="AE1405">
        <v>14.16</v>
      </c>
      <c r="AG1405" t="str" cm="1">
        <f t="array" ref="AG1405:AH1405">_xlfn.TEXTSPLIT(AC1406," ")</f>
        <v>26.10.2023</v>
      </c>
      <c r="AH1405" t="str">
        <v>23:26:28</v>
      </c>
      <c r="AI1405">
        <f t="shared" si="346"/>
        <v>23.366666666666621</v>
      </c>
      <c r="AJ1405">
        <f t="shared" si="340"/>
        <v>9.629999999999999</v>
      </c>
      <c r="AK1405">
        <f t="shared" si="341"/>
        <v>0</v>
      </c>
      <c r="AL1405">
        <f t="shared" si="334"/>
        <v>0.40749999999999986</v>
      </c>
      <c r="AN1405" t="s">
        <v>3327</v>
      </c>
      <c r="AO1405">
        <v>0.15</v>
      </c>
      <c r="AP1405">
        <v>78.290000000000006</v>
      </c>
      <c r="AR1405" t="str" cm="1">
        <f t="array" ref="AR1405:AS1405">_xlfn.TEXTSPLIT(AN1405," ")</f>
        <v>26.10.2023</v>
      </c>
      <c r="AS1405" t="str">
        <v>23:25:28</v>
      </c>
      <c r="AT1405">
        <f t="shared" si="347"/>
        <v>23.366666666666621</v>
      </c>
      <c r="AU1405">
        <f t="shared" si="342"/>
        <v>16.980000000000004</v>
      </c>
      <c r="AV1405">
        <f t="shared" si="343"/>
        <v>0.15</v>
      </c>
      <c r="AW1405">
        <f t="shared" si="335"/>
        <v>0.67749999999999999</v>
      </c>
    </row>
    <row r="1406" spans="1:49" x14ac:dyDescent="0.25">
      <c r="A1406" t="s">
        <v>3328</v>
      </c>
      <c r="B1406">
        <v>0</v>
      </c>
      <c r="C1406">
        <v>28.87</v>
      </c>
      <c r="E1406" t="s">
        <v>3328</v>
      </c>
      <c r="F1406">
        <v>0.6</v>
      </c>
      <c r="G1406">
        <v>103.28</v>
      </c>
      <c r="I1406" t="str" cm="1">
        <f t="array" ref="I1406:J1406">_xlfn.TEXTSPLIT(A1406," ")</f>
        <v>27.10.2023</v>
      </c>
      <c r="J1406" t="str">
        <v>23:26:17</v>
      </c>
      <c r="K1406">
        <f t="shared" si="344"/>
        <v>23.383333333333287</v>
      </c>
      <c r="L1406">
        <f t="shared" si="337"/>
        <v>14.55</v>
      </c>
      <c r="M1406">
        <f t="shared" si="338"/>
        <v>0</v>
      </c>
      <c r="N1406">
        <f t="shared" si="332"/>
        <v>0.52499999999999991</v>
      </c>
      <c r="Q1406" t="str" cm="1">
        <f t="array" ref="Q1406:R1406">_xlfn.TEXTSPLIT(E1406," ")</f>
        <v>27.10.2023</v>
      </c>
      <c r="R1406" t="str">
        <v>23:26:17</v>
      </c>
      <c r="S1406">
        <f t="shared" si="345"/>
        <v>23.383333333333287</v>
      </c>
      <c r="T1406">
        <f t="shared" si="336"/>
        <v>24.680000000000007</v>
      </c>
      <c r="U1406">
        <f t="shared" si="339"/>
        <v>0.6</v>
      </c>
      <c r="V1406">
        <f t="shared" si="333"/>
        <v>0.97999999999999965</v>
      </c>
      <c r="AC1406" t="s">
        <v>3329</v>
      </c>
      <c r="AD1406">
        <v>0</v>
      </c>
      <c r="AE1406">
        <v>14.16</v>
      </c>
      <c r="AG1406" t="str" cm="1">
        <f t="array" ref="AG1406:AH1406">_xlfn.TEXTSPLIT(AC1407," ")</f>
        <v>26.10.2023</v>
      </c>
      <c r="AH1406" t="str">
        <v>23:27:28</v>
      </c>
      <c r="AI1406">
        <f t="shared" si="346"/>
        <v>23.383333333333287</v>
      </c>
      <c r="AJ1406">
        <f t="shared" si="340"/>
        <v>9.629999999999999</v>
      </c>
      <c r="AK1406">
        <f t="shared" si="341"/>
        <v>0</v>
      </c>
      <c r="AL1406">
        <f t="shared" si="334"/>
        <v>0.40749999999999986</v>
      </c>
      <c r="AN1406" t="s">
        <v>3329</v>
      </c>
      <c r="AO1406">
        <v>0.15</v>
      </c>
      <c r="AP1406">
        <v>78.290000000000006</v>
      </c>
      <c r="AR1406" t="str" cm="1">
        <f t="array" ref="AR1406:AS1406">_xlfn.TEXTSPLIT(AN1406," ")</f>
        <v>26.10.2023</v>
      </c>
      <c r="AS1406" t="str">
        <v>23:26:28</v>
      </c>
      <c r="AT1406">
        <f t="shared" si="347"/>
        <v>23.383333333333287</v>
      </c>
      <c r="AU1406">
        <f t="shared" si="342"/>
        <v>16.980000000000004</v>
      </c>
      <c r="AV1406">
        <f t="shared" si="343"/>
        <v>0.15</v>
      </c>
      <c r="AW1406">
        <f t="shared" si="335"/>
        <v>0.67749999999999999</v>
      </c>
    </row>
    <row r="1407" spans="1:49" x14ac:dyDescent="0.25">
      <c r="A1407" t="s">
        <v>3330</v>
      </c>
      <c r="B1407">
        <v>0</v>
      </c>
      <c r="C1407">
        <v>28.87</v>
      </c>
      <c r="E1407" t="s">
        <v>3330</v>
      </c>
      <c r="F1407">
        <v>0.75</v>
      </c>
      <c r="G1407">
        <v>103.3</v>
      </c>
      <c r="I1407" t="str" cm="1">
        <f t="array" ref="I1407:J1407">_xlfn.TEXTSPLIT(A1407," ")</f>
        <v>27.10.2023</v>
      </c>
      <c r="J1407" t="str">
        <v>23:27:17</v>
      </c>
      <c r="K1407">
        <f t="shared" si="344"/>
        <v>23.399999999999952</v>
      </c>
      <c r="L1407">
        <f t="shared" si="337"/>
        <v>14.55</v>
      </c>
      <c r="M1407">
        <f t="shared" si="338"/>
        <v>0</v>
      </c>
      <c r="N1407">
        <f t="shared" ref="N1407:N1470" si="348">AVERAGE(M1348:M1407)</f>
        <v>0.52499999999999991</v>
      </c>
      <c r="Q1407" t="str" cm="1">
        <f t="array" ref="Q1407:R1407">_xlfn.TEXTSPLIT(E1407," ")</f>
        <v>27.10.2023</v>
      </c>
      <c r="R1407" t="str">
        <v>23:27:17</v>
      </c>
      <c r="S1407">
        <f t="shared" si="345"/>
        <v>23.399999999999952</v>
      </c>
      <c r="T1407">
        <f t="shared" si="336"/>
        <v>24.700000000000003</v>
      </c>
      <c r="U1407">
        <f t="shared" si="339"/>
        <v>0.75</v>
      </c>
      <c r="V1407">
        <f t="shared" ref="V1407:V1470" si="349">AVERAGE(U1348:U1407)</f>
        <v>0.97499999999999964</v>
      </c>
      <c r="AC1407" t="s">
        <v>3331</v>
      </c>
      <c r="AD1407">
        <v>0</v>
      </c>
      <c r="AE1407">
        <v>14.16</v>
      </c>
      <c r="AG1407" t="str" cm="1">
        <f t="array" ref="AG1407:AH1407">_xlfn.TEXTSPLIT(AC1408," ")</f>
        <v>26.10.2023</v>
      </c>
      <c r="AH1407" t="str">
        <v>23:28:28</v>
      </c>
      <c r="AI1407">
        <f t="shared" si="346"/>
        <v>23.399999999999952</v>
      </c>
      <c r="AJ1407">
        <f t="shared" si="340"/>
        <v>9.629999999999999</v>
      </c>
      <c r="AK1407">
        <f t="shared" si="341"/>
        <v>0</v>
      </c>
      <c r="AL1407">
        <f t="shared" ref="AL1407:AL1439" si="350">AVERAGE(AK1348:AK1407)</f>
        <v>0.40749999999999986</v>
      </c>
      <c r="AN1407" t="s">
        <v>3331</v>
      </c>
      <c r="AO1407">
        <v>0.15</v>
      </c>
      <c r="AP1407">
        <v>78.290000000000006</v>
      </c>
      <c r="AR1407" t="str" cm="1">
        <f t="array" ref="AR1407:AS1407">_xlfn.TEXTSPLIT(AN1407," ")</f>
        <v>26.10.2023</v>
      </c>
      <c r="AS1407" t="str">
        <v>23:27:28</v>
      </c>
      <c r="AT1407">
        <f t="shared" si="347"/>
        <v>23.399999999999952</v>
      </c>
      <c r="AU1407">
        <f t="shared" si="342"/>
        <v>16.980000000000004</v>
      </c>
      <c r="AV1407">
        <f t="shared" si="343"/>
        <v>0.15</v>
      </c>
      <c r="AW1407">
        <f t="shared" ref="AW1407:AW1439" si="351">AVERAGE(AV1348:AV1407)</f>
        <v>0.67749999999999988</v>
      </c>
    </row>
    <row r="1408" spans="1:49" x14ac:dyDescent="0.25">
      <c r="A1408" t="s">
        <v>3332</v>
      </c>
      <c r="B1408">
        <v>0</v>
      </c>
      <c r="C1408">
        <v>28.87</v>
      </c>
      <c r="E1408" t="s">
        <v>3332</v>
      </c>
      <c r="F1408">
        <v>1.05</v>
      </c>
      <c r="G1408">
        <v>103.31</v>
      </c>
      <c r="I1408" t="str" cm="1">
        <f t="array" ref="I1408:J1408">_xlfn.TEXTSPLIT(A1408," ")</f>
        <v>27.10.2023</v>
      </c>
      <c r="J1408" t="str">
        <v>23:28:17</v>
      </c>
      <c r="K1408">
        <f t="shared" si="344"/>
        <v>23.416666666666618</v>
      </c>
      <c r="L1408">
        <f t="shared" si="337"/>
        <v>14.55</v>
      </c>
      <c r="M1408">
        <f t="shared" si="338"/>
        <v>0</v>
      </c>
      <c r="N1408">
        <f t="shared" si="348"/>
        <v>0.52499999999999991</v>
      </c>
      <c r="Q1408" t="str" cm="1">
        <f t="array" ref="Q1408:R1408">_xlfn.TEXTSPLIT(E1408," ")</f>
        <v>27.10.2023</v>
      </c>
      <c r="R1408" t="str">
        <v>23:28:17</v>
      </c>
      <c r="S1408">
        <f t="shared" si="345"/>
        <v>23.416666666666618</v>
      </c>
      <c r="T1408">
        <f t="shared" si="336"/>
        <v>24.710000000000008</v>
      </c>
      <c r="U1408">
        <f t="shared" si="339"/>
        <v>1.05</v>
      </c>
      <c r="V1408">
        <f t="shared" si="349"/>
        <v>0.97749999999999959</v>
      </c>
      <c r="AC1408" t="s">
        <v>3333</v>
      </c>
      <c r="AD1408">
        <v>0</v>
      </c>
      <c r="AE1408">
        <v>14.16</v>
      </c>
      <c r="AG1408" t="str" cm="1">
        <f t="array" ref="AG1408:AH1408">_xlfn.TEXTSPLIT(AC1409," ")</f>
        <v>26.10.2023</v>
      </c>
      <c r="AH1408" t="str">
        <v>23:29:29</v>
      </c>
      <c r="AI1408">
        <f t="shared" si="346"/>
        <v>23.416666666666618</v>
      </c>
      <c r="AJ1408">
        <f t="shared" si="340"/>
        <v>9.629999999999999</v>
      </c>
      <c r="AK1408">
        <f t="shared" si="341"/>
        <v>0</v>
      </c>
      <c r="AL1408">
        <f t="shared" si="350"/>
        <v>0.40749999999999986</v>
      </c>
      <c r="AN1408" t="s">
        <v>3333</v>
      </c>
      <c r="AO1408">
        <v>0.15</v>
      </c>
      <c r="AP1408">
        <v>78.3</v>
      </c>
      <c r="AR1408" t="str" cm="1">
        <f t="array" ref="AR1408:AS1408">_xlfn.TEXTSPLIT(AN1408," ")</f>
        <v>26.10.2023</v>
      </c>
      <c r="AS1408" t="str">
        <v>23:28:28</v>
      </c>
      <c r="AT1408">
        <f t="shared" si="347"/>
        <v>23.416666666666618</v>
      </c>
      <c r="AU1408">
        <f t="shared" si="342"/>
        <v>16.989999999999995</v>
      </c>
      <c r="AV1408">
        <f t="shared" si="343"/>
        <v>0.15</v>
      </c>
      <c r="AW1408">
        <f t="shared" si="351"/>
        <v>0.67749999999999988</v>
      </c>
    </row>
    <row r="1409" spans="1:49" x14ac:dyDescent="0.25">
      <c r="A1409" t="s">
        <v>3334</v>
      </c>
      <c r="B1409">
        <v>0</v>
      </c>
      <c r="C1409">
        <v>28.87</v>
      </c>
      <c r="E1409" t="s">
        <v>3334</v>
      </c>
      <c r="F1409">
        <v>1.2</v>
      </c>
      <c r="G1409">
        <v>103.33</v>
      </c>
      <c r="I1409" t="str" cm="1">
        <f t="array" ref="I1409:J1409">_xlfn.TEXTSPLIT(A1409," ")</f>
        <v>27.10.2023</v>
      </c>
      <c r="J1409" t="str">
        <v>23:29:18</v>
      </c>
      <c r="K1409">
        <f t="shared" si="344"/>
        <v>23.433333333333284</v>
      </c>
      <c r="L1409">
        <f t="shared" si="337"/>
        <v>14.55</v>
      </c>
      <c r="M1409">
        <f t="shared" si="338"/>
        <v>0</v>
      </c>
      <c r="N1409">
        <f t="shared" si="348"/>
        <v>0.52249999999999996</v>
      </c>
      <c r="Q1409" t="str" cm="1">
        <f t="array" ref="Q1409:R1409">_xlfn.TEXTSPLIT(E1409," ")</f>
        <v>27.10.2023</v>
      </c>
      <c r="R1409" t="str">
        <v>23:29:18</v>
      </c>
      <c r="S1409">
        <f t="shared" si="345"/>
        <v>23.433333333333284</v>
      </c>
      <c r="T1409">
        <f t="shared" si="336"/>
        <v>24.730000000000004</v>
      </c>
      <c r="U1409">
        <f t="shared" si="339"/>
        <v>1.2</v>
      </c>
      <c r="V1409">
        <f t="shared" si="349"/>
        <v>0.98249999999999971</v>
      </c>
      <c r="AC1409" t="s">
        <v>3335</v>
      </c>
      <c r="AD1409">
        <v>0</v>
      </c>
      <c r="AE1409">
        <v>14.16</v>
      </c>
      <c r="AG1409" t="str" cm="1">
        <f t="array" ref="AG1409:AH1409">_xlfn.TEXTSPLIT(AC1410," ")</f>
        <v>26.10.2023</v>
      </c>
      <c r="AH1409" t="str">
        <v>23:30:29</v>
      </c>
      <c r="AI1409">
        <f t="shared" si="346"/>
        <v>23.433333333333284</v>
      </c>
      <c r="AJ1409">
        <f t="shared" si="340"/>
        <v>9.629999999999999</v>
      </c>
      <c r="AK1409">
        <f t="shared" si="341"/>
        <v>0</v>
      </c>
      <c r="AL1409">
        <f t="shared" si="350"/>
        <v>0.40749999999999986</v>
      </c>
      <c r="AN1409" t="s">
        <v>3335</v>
      </c>
      <c r="AO1409">
        <v>0.15</v>
      </c>
      <c r="AP1409">
        <v>78.3</v>
      </c>
      <c r="AR1409" t="str" cm="1">
        <f t="array" ref="AR1409:AS1409">_xlfn.TEXTSPLIT(AN1409," ")</f>
        <v>26.10.2023</v>
      </c>
      <c r="AS1409" t="str">
        <v>23:29:29</v>
      </c>
      <c r="AT1409">
        <f t="shared" si="347"/>
        <v>23.433333333333284</v>
      </c>
      <c r="AU1409">
        <f t="shared" si="342"/>
        <v>16.989999999999995</v>
      </c>
      <c r="AV1409">
        <f t="shared" si="343"/>
        <v>0.15</v>
      </c>
      <c r="AW1409">
        <f t="shared" si="351"/>
        <v>0.67499999999999993</v>
      </c>
    </row>
    <row r="1410" spans="1:49" x14ac:dyDescent="0.25">
      <c r="A1410" t="s">
        <v>3336</v>
      </c>
      <c r="B1410">
        <v>0.15</v>
      </c>
      <c r="C1410">
        <v>28.87</v>
      </c>
      <c r="E1410" t="s">
        <v>3336</v>
      </c>
      <c r="F1410">
        <v>0.75</v>
      </c>
      <c r="G1410">
        <v>103.34</v>
      </c>
      <c r="I1410" t="str" cm="1">
        <f t="array" ref="I1410:J1410">_xlfn.TEXTSPLIT(A1410," ")</f>
        <v>27.10.2023</v>
      </c>
      <c r="J1410" t="str">
        <v>23:30:18</v>
      </c>
      <c r="K1410">
        <f t="shared" si="344"/>
        <v>23.44999999999995</v>
      </c>
      <c r="L1410">
        <f t="shared" si="337"/>
        <v>14.55</v>
      </c>
      <c r="M1410">
        <f t="shared" si="338"/>
        <v>0.15</v>
      </c>
      <c r="N1410">
        <f t="shared" si="348"/>
        <v>0.52249999999999985</v>
      </c>
      <c r="Q1410" t="str" cm="1">
        <f t="array" ref="Q1410:R1410">_xlfn.TEXTSPLIT(E1410," ")</f>
        <v>27.10.2023</v>
      </c>
      <c r="R1410" t="str">
        <v>23:30:18</v>
      </c>
      <c r="S1410">
        <f t="shared" si="345"/>
        <v>23.44999999999995</v>
      </c>
      <c r="T1410">
        <f t="shared" si="336"/>
        <v>24.740000000000009</v>
      </c>
      <c r="U1410">
        <f t="shared" si="339"/>
        <v>0.75</v>
      </c>
      <c r="V1410">
        <f t="shared" si="349"/>
        <v>0.98249999999999971</v>
      </c>
      <c r="AC1410" t="s">
        <v>3337</v>
      </c>
      <c r="AD1410">
        <v>0</v>
      </c>
      <c r="AE1410">
        <v>14.16</v>
      </c>
      <c r="AG1410" t="str" cm="1">
        <f t="array" ref="AG1410:AH1410">_xlfn.TEXTSPLIT(AC1411," ")</f>
        <v>26.10.2023</v>
      </c>
      <c r="AH1410" t="str">
        <v>23:31:29</v>
      </c>
      <c r="AI1410">
        <f t="shared" si="346"/>
        <v>23.44999999999995</v>
      </c>
      <c r="AJ1410">
        <f t="shared" si="340"/>
        <v>9.629999999999999</v>
      </c>
      <c r="AK1410">
        <f t="shared" si="341"/>
        <v>0</v>
      </c>
      <c r="AL1410">
        <f t="shared" si="350"/>
        <v>0.40749999999999986</v>
      </c>
      <c r="AN1410" t="s">
        <v>3337</v>
      </c>
      <c r="AO1410">
        <v>0.3</v>
      </c>
      <c r="AP1410">
        <v>78.31</v>
      </c>
      <c r="AR1410" t="str" cm="1">
        <f t="array" ref="AR1410:AS1410">_xlfn.TEXTSPLIT(AN1410," ")</f>
        <v>26.10.2023</v>
      </c>
      <c r="AS1410" t="str">
        <v>23:30:29</v>
      </c>
      <c r="AT1410">
        <f t="shared" si="347"/>
        <v>23.44999999999995</v>
      </c>
      <c r="AU1410">
        <f t="shared" si="342"/>
        <v>17</v>
      </c>
      <c r="AV1410">
        <f t="shared" si="343"/>
        <v>0.3</v>
      </c>
      <c r="AW1410">
        <f t="shared" si="351"/>
        <v>0.67749999999999988</v>
      </c>
    </row>
    <row r="1411" spans="1:49" x14ac:dyDescent="0.25">
      <c r="A1411" t="s">
        <v>3338</v>
      </c>
      <c r="B1411">
        <v>0.3</v>
      </c>
      <c r="C1411">
        <v>28.88</v>
      </c>
      <c r="E1411" t="s">
        <v>3338</v>
      </c>
      <c r="F1411">
        <v>0.6</v>
      </c>
      <c r="G1411">
        <v>103.35</v>
      </c>
      <c r="I1411" t="str" cm="1">
        <f t="array" ref="I1411:J1411">_xlfn.TEXTSPLIT(A1411," ")</f>
        <v>27.10.2023</v>
      </c>
      <c r="J1411" t="str">
        <v>23:31:18</v>
      </c>
      <c r="K1411">
        <f t="shared" si="344"/>
        <v>23.466666666666615</v>
      </c>
      <c r="L1411">
        <f t="shared" si="337"/>
        <v>14.559999999999999</v>
      </c>
      <c r="M1411">
        <f t="shared" si="338"/>
        <v>0.3</v>
      </c>
      <c r="N1411">
        <f t="shared" si="348"/>
        <v>0.52</v>
      </c>
      <c r="Q1411" t="str" cm="1">
        <f t="array" ref="Q1411:R1411">_xlfn.TEXTSPLIT(E1411," ")</f>
        <v>27.10.2023</v>
      </c>
      <c r="R1411" t="str">
        <v>23:31:18</v>
      </c>
      <c r="S1411">
        <f t="shared" si="345"/>
        <v>23.466666666666615</v>
      </c>
      <c r="T1411">
        <f t="shared" ref="T1411:T1474" si="352">G1411-78.6</f>
        <v>24.75</v>
      </c>
      <c r="U1411">
        <f t="shared" si="339"/>
        <v>0.6</v>
      </c>
      <c r="V1411">
        <f t="shared" si="349"/>
        <v>0.98249999999999982</v>
      </c>
      <c r="AC1411" t="s">
        <v>3339</v>
      </c>
      <c r="AD1411">
        <v>0</v>
      </c>
      <c r="AE1411">
        <v>14.16</v>
      </c>
      <c r="AG1411" t="str" cm="1">
        <f t="array" ref="AG1411:AH1411">_xlfn.TEXTSPLIT(AC1412," ")</f>
        <v>26.10.2023</v>
      </c>
      <c r="AH1411" t="str">
        <v>23:32:29</v>
      </c>
      <c r="AI1411">
        <f t="shared" si="346"/>
        <v>23.466666666666615</v>
      </c>
      <c r="AJ1411">
        <f t="shared" si="340"/>
        <v>9.629999999999999</v>
      </c>
      <c r="AK1411">
        <f t="shared" si="341"/>
        <v>0</v>
      </c>
      <c r="AL1411">
        <f t="shared" si="350"/>
        <v>0.40749999999999986</v>
      </c>
      <c r="AN1411" t="s">
        <v>3339</v>
      </c>
      <c r="AO1411">
        <v>0.15</v>
      </c>
      <c r="AP1411">
        <v>78.31</v>
      </c>
      <c r="AR1411" t="str" cm="1">
        <f t="array" ref="AR1411:AS1411">_xlfn.TEXTSPLIT(AN1411," ")</f>
        <v>26.10.2023</v>
      </c>
      <c r="AS1411" t="str">
        <v>23:31:29</v>
      </c>
      <c r="AT1411">
        <f t="shared" si="347"/>
        <v>23.466666666666615</v>
      </c>
      <c r="AU1411">
        <f t="shared" si="342"/>
        <v>17</v>
      </c>
      <c r="AV1411">
        <f t="shared" si="343"/>
        <v>0.15</v>
      </c>
      <c r="AW1411">
        <f t="shared" si="351"/>
        <v>0.67499999999999971</v>
      </c>
    </row>
    <row r="1412" spans="1:49" x14ac:dyDescent="0.25">
      <c r="A1412" t="s">
        <v>3340</v>
      </c>
      <c r="B1412">
        <v>0.3</v>
      </c>
      <c r="C1412">
        <v>28.88</v>
      </c>
      <c r="E1412" t="s">
        <v>3340</v>
      </c>
      <c r="F1412">
        <v>0.75</v>
      </c>
      <c r="G1412">
        <v>103.36</v>
      </c>
      <c r="I1412" t="str" cm="1">
        <f t="array" ref="I1412:J1412">_xlfn.TEXTSPLIT(A1412," ")</f>
        <v>27.10.2023</v>
      </c>
      <c r="J1412" t="str">
        <v>23:32:18</v>
      </c>
      <c r="K1412">
        <f t="shared" si="344"/>
        <v>23.483333333333281</v>
      </c>
      <c r="L1412">
        <f t="shared" ref="L1412:L1475" si="353">C1412-14.32</f>
        <v>14.559999999999999</v>
      </c>
      <c r="M1412">
        <f t="shared" ref="M1412:M1475" si="354">B1412</f>
        <v>0.3</v>
      </c>
      <c r="N1412">
        <f t="shared" si="348"/>
        <v>0.51749999999999996</v>
      </c>
      <c r="Q1412" t="str" cm="1">
        <f t="array" ref="Q1412:R1412">_xlfn.TEXTSPLIT(E1412," ")</f>
        <v>27.10.2023</v>
      </c>
      <c r="R1412" t="str">
        <v>23:32:18</v>
      </c>
      <c r="S1412">
        <f t="shared" si="345"/>
        <v>23.483333333333281</v>
      </c>
      <c r="T1412">
        <f t="shared" si="352"/>
        <v>24.760000000000005</v>
      </c>
      <c r="U1412">
        <f t="shared" ref="U1412:U1475" si="355">F1412</f>
        <v>0.75</v>
      </c>
      <c r="V1412">
        <f t="shared" si="349"/>
        <v>0.98249999999999982</v>
      </c>
      <c r="AC1412" t="s">
        <v>3341</v>
      </c>
      <c r="AD1412">
        <v>0</v>
      </c>
      <c r="AE1412">
        <v>14.16</v>
      </c>
      <c r="AG1412" t="str" cm="1">
        <f t="array" ref="AG1412:AH1412">_xlfn.TEXTSPLIT(AC1413," ")</f>
        <v>26.10.2023</v>
      </c>
      <c r="AH1412" t="str">
        <v>23:33:29</v>
      </c>
      <c r="AI1412">
        <f t="shared" si="346"/>
        <v>23.483333333333281</v>
      </c>
      <c r="AJ1412">
        <f t="shared" ref="AJ1412:AJ1439" si="356">AE1412-4.53</f>
        <v>9.629999999999999</v>
      </c>
      <c r="AK1412">
        <f t="shared" ref="AK1412:AK1439" si="357">AD1412</f>
        <v>0</v>
      </c>
      <c r="AL1412">
        <f t="shared" si="350"/>
        <v>0.40749999999999986</v>
      </c>
      <c r="AN1412" t="s">
        <v>3341</v>
      </c>
      <c r="AO1412">
        <v>0.3</v>
      </c>
      <c r="AP1412">
        <v>78.31</v>
      </c>
      <c r="AR1412" t="str" cm="1">
        <f t="array" ref="AR1412:AS1412">_xlfn.TEXTSPLIT(AN1412," ")</f>
        <v>26.10.2023</v>
      </c>
      <c r="AS1412" t="str">
        <v>23:32:29</v>
      </c>
      <c r="AT1412">
        <f t="shared" si="347"/>
        <v>23.483333333333281</v>
      </c>
      <c r="AU1412">
        <f t="shared" ref="AU1412:AU1439" si="358">AP1412-61.31</f>
        <v>17</v>
      </c>
      <c r="AV1412">
        <f t="shared" ref="AV1412:AV1439" si="359">AO1412</f>
        <v>0.3</v>
      </c>
      <c r="AW1412">
        <f t="shared" si="351"/>
        <v>0.67499999999999971</v>
      </c>
    </row>
    <row r="1413" spans="1:49" x14ac:dyDescent="0.25">
      <c r="A1413" t="s">
        <v>3342</v>
      </c>
      <c r="B1413">
        <v>0.15</v>
      </c>
      <c r="C1413">
        <v>28.89</v>
      </c>
      <c r="E1413" t="s">
        <v>3342</v>
      </c>
      <c r="F1413">
        <v>0.75</v>
      </c>
      <c r="G1413">
        <v>103.37</v>
      </c>
      <c r="I1413" t="str" cm="1">
        <f t="array" ref="I1413:J1413">_xlfn.TEXTSPLIT(A1413," ")</f>
        <v>27.10.2023</v>
      </c>
      <c r="J1413" t="str">
        <v>23:33:18</v>
      </c>
      <c r="K1413">
        <f t="shared" ref="K1413:K1476" si="360">1/60+K1412</f>
        <v>23.499999999999947</v>
      </c>
      <c r="L1413">
        <f t="shared" si="353"/>
        <v>14.57</v>
      </c>
      <c r="M1413">
        <f t="shared" si="354"/>
        <v>0.15</v>
      </c>
      <c r="N1413">
        <f t="shared" si="348"/>
        <v>0.5149999999999999</v>
      </c>
      <c r="Q1413" t="str" cm="1">
        <f t="array" ref="Q1413:R1413">_xlfn.TEXTSPLIT(E1413," ")</f>
        <v>27.10.2023</v>
      </c>
      <c r="R1413" t="str">
        <v>23:33:18</v>
      </c>
      <c r="S1413">
        <f t="shared" ref="S1413:S1476" si="361">1/60+S1412</f>
        <v>23.499999999999947</v>
      </c>
      <c r="T1413">
        <f t="shared" si="352"/>
        <v>24.77000000000001</v>
      </c>
      <c r="U1413">
        <f t="shared" si="355"/>
        <v>0.75</v>
      </c>
      <c r="V1413">
        <f t="shared" si="349"/>
        <v>0.98249999999999982</v>
      </c>
      <c r="AC1413" t="s">
        <v>3343</v>
      </c>
      <c r="AD1413">
        <v>0</v>
      </c>
      <c r="AE1413">
        <v>14.16</v>
      </c>
      <c r="AG1413" t="str" cm="1">
        <f t="array" ref="AG1413:AH1413">_xlfn.TEXTSPLIT(AC1414," ")</f>
        <v>26.10.2023</v>
      </c>
      <c r="AH1413" t="str">
        <v>23:34:29</v>
      </c>
      <c r="AI1413">
        <f t="shared" ref="AI1413:AI1439" si="362">1/60+AI1412</f>
        <v>23.499999999999947</v>
      </c>
      <c r="AJ1413">
        <f t="shared" si="356"/>
        <v>9.629999999999999</v>
      </c>
      <c r="AK1413">
        <f t="shared" si="357"/>
        <v>0</v>
      </c>
      <c r="AL1413">
        <f t="shared" si="350"/>
        <v>0.40749999999999986</v>
      </c>
      <c r="AN1413" t="s">
        <v>3343</v>
      </c>
      <c r="AO1413">
        <v>0.3</v>
      </c>
      <c r="AP1413">
        <v>78.319999999999993</v>
      </c>
      <c r="AR1413" t="str" cm="1">
        <f t="array" ref="AR1413:AS1413">_xlfn.TEXTSPLIT(AN1413," ")</f>
        <v>26.10.2023</v>
      </c>
      <c r="AS1413" t="str">
        <v>23:33:29</v>
      </c>
      <c r="AT1413">
        <f t="shared" ref="AT1413:AT1439" si="363">1/60+AT1412</f>
        <v>23.499999999999947</v>
      </c>
      <c r="AU1413">
        <f t="shared" si="358"/>
        <v>17.009999999999991</v>
      </c>
      <c r="AV1413">
        <f t="shared" si="359"/>
        <v>0.3</v>
      </c>
      <c r="AW1413">
        <f t="shared" si="351"/>
        <v>0.66999999999999971</v>
      </c>
    </row>
    <row r="1414" spans="1:49" x14ac:dyDescent="0.25">
      <c r="A1414" t="s">
        <v>3344</v>
      </c>
      <c r="B1414">
        <v>0.45</v>
      </c>
      <c r="C1414">
        <v>28.89</v>
      </c>
      <c r="E1414" t="s">
        <v>3344</v>
      </c>
      <c r="F1414">
        <v>0.6</v>
      </c>
      <c r="G1414">
        <v>103.39</v>
      </c>
      <c r="I1414" t="str" cm="1">
        <f t="array" ref="I1414:J1414">_xlfn.TEXTSPLIT(A1414," ")</f>
        <v>27.10.2023</v>
      </c>
      <c r="J1414" t="str">
        <v>23:34:18</v>
      </c>
      <c r="K1414">
        <f t="shared" si="360"/>
        <v>23.516666666666612</v>
      </c>
      <c r="L1414">
        <f t="shared" si="353"/>
        <v>14.57</v>
      </c>
      <c r="M1414">
        <f t="shared" si="354"/>
        <v>0.45</v>
      </c>
      <c r="N1414">
        <f t="shared" si="348"/>
        <v>0.51749999999999985</v>
      </c>
      <c r="Q1414" t="str" cm="1">
        <f t="array" ref="Q1414:R1414">_xlfn.TEXTSPLIT(E1414," ")</f>
        <v>27.10.2023</v>
      </c>
      <c r="R1414" t="str">
        <v>23:34:18</v>
      </c>
      <c r="S1414">
        <f t="shared" si="361"/>
        <v>23.516666666666612</v>
      </c>
      <c r="T1414">
        <f t="shared" si="352"/>
        <v>24.790000000000006</v>
      </c>
      <c r="U1414">
        <f t="shared" si="355"/>
        <v>0.6</v>
      </c>
      <c r="V1414">
        <f t="shared" si="349"/>
        <v>0.97999999999999987</v>
      </c>
      <c r="AC1414" t="s">
        <v>3345</v>
      </c>
      <c r="AD1414">
        <v>0</v>
      </c>
      <c r="AE1414">
        <v>14.16</v>
      </c>
      <c r="AG1414" t="str" cm="1">
        <f t="array" ref="AG1414:AH1414">_xlfn.TEXTSPLIT(AC1415," ")</f>
        <v>26.10.2023</v>
      </c>
      <c r="AH1414" t="str">
        <v>23:35:29</v>
      </c>
      <c r="AI1414">
        <f t="shared" si="362"/>
        <v>23.516666666666612</v>
      </c>
      <c r="AJ1414">
        <f t="shared" si="356"/>
        <v>9.629999999999999</v>
      </c>
      <c r="AK1414">
        <f t="shared" si="357"/>
        <v>0</v>
      </c>
      <c r="AL1414">
        <f t="shared" si="350"/>
        <v>0.40749999999999986</v>
      </c>
      <c r="AN1414" t="s">
        <v>3345</v>
      </c>
      <c r="AO1414">
        <v>0.3</v>
      </c>
      <c r="AP1414">
        <v>78.319999999999993</v>
      </c>
      <c r="AR1414" t="str" cm="1">
        <f t="array" ref="AR1414:AS1414">_xlfn.TEXTSPLIT(AN1414," ")</f>
        <v>26.10.2023</v>
      </c>
      <c r="AS1414" t="str">
        <v>23:34:29</v>
      </c>
      <c r="AT1414">
        <f t="shared" si="363"/>
        <v>23.516666666666612</v>
      </c>
      <c r="AU1414">
        <f t="shared" si="358"/>
        <v>17.009999999999991</v>
      </c>
      <c r="AV1414">
        <f t="shared" si="359"/>
        <v>0.3</v>
      </c>
      <c r="AW1414">
        <f t="shared" si="351"/>
        <v>0.66749999999999965</v>
      </c>
    </row>
    <row r="1415" spans="1:49" x14ac:dyDescent="0.25">
      <c r="A1415" t="s">
        <v>3346</v>
      </c>
      <c r="B1415">
        <v>0.6</v>
      </c>
      <c r="C1415">
        <v>28.9</v>
      </c>
      <c r="E1415" t="s">
        <v>3346</v>
      </c>
      <c r="F1415">
        <v>0.75</v>
      </c>
      <c r="G1415">
        <v>103.4</v>
      </c>
      <c r="I1415" t="str" cm="1">
        <f t="array" ref="I1415:J1415">_xlfn.TEXTSPLIT(A1415," ")</f>
        <v>27.10.2023</v>
      </c>
      <c r="J1415" t="str">
        <v>23:35:18</v>
      </c>
      <c r="K1415">
        <f t="shared" si="360"/>
        <v>23.533333333333278</v>
      </c>
      <c r="L1415">
        <f t="shared" si="353"/>
        <v>14.579999999999998</v>
      </c>
      <c r="M1415">
        <f t="shared" si="354"/>
        <v>0.6</v>
      </c>
      <c r="N1415">
        <f t="shared" si="348"/>
        <v>0.51999999999999991</v>
      </c>
      <c r="Q1415" t="str" cm="1">
        <f t="array" ref="Q1415:R1415">_xlfn.TEXTSPLIT(E1415," ")</f>
        <v>27.10.2023</v>
      </c>
      <c r="R1415" t="str">
        <v>23:35:18</v>
      </c>
      <c r="S1415">
        <f t="shared" si="361"/>
        <v>23.533333333333278</v>
      </c>
      <c r="T1415">
        <f t="shared" si="352"/>
        <v>24.800000000000011</v>
      </c>
      <c r="U1415">
        <f t="shared" si="355"/>
        <v>0.75</v>
      </c>
      <c r="V1415">
        <f t="shared" si="349"/>
        <v>0.97499999999999987</v>
      </c>
      <c r="AC1415" t="s">
        <v>3347</v>
      </c>
      <c r="AD1415">
        <v>0</v>
      </c>
      <c r="AE1415">
        <v>14.16</v>
      </c>
      <c r="AG1415" t="str" cm="1">
        <f t="array" ref="AG1415:AH1415">_xlfn.TEXTSPLIT(AC1416," ")</f>
        <v>26.10.2023</v>
      </c>
      <c r="AH1415" t="str">
        <v>23:36:29</v>
      </c>
      <c r="AI1415">
        <f t="shared" si="362"/>
        <v>23.533333333333278</v>
      </c>
      <c r="AJ1415">
        <f t="shared" si="356"/>
        <v>9.629999999999999</v>
      </c>
      <c r="AK1415">
        <f t="shared" si="357"/>
        <v>0</v>
      </c>
      <c r="AL1415">
        <f t="shared" si="350"/>
        <v>0.40749999999999986</v>
      </c>
      <c r="AN1415" t="s">
        <v>3347</v>
      </c>
      <c r="AO1415">
        <v>0.45</v>
      </c>
      <c r="AP1415">
        <v>78.33</v>
      </c>
      <c r="AR1415" t="str" cm="1">
        <f t="array" ref="AR1415:AS1415">_xlfn.TEXTSPLIT(AN1415," ")</f>
        <v>26.10.2023</v>
      </c>
      <c r="AS1415" t="str">
        <v>23:35:29</v>
      </c>
      <c r="AT1415">
        <f t="shared" si="363"/>
        <v>23.533333333333278</v>
      </c>
      <c r="AU1415">
        <f t="shared" si="358"/>
        <v>17.019999999999996</v>
      </c>
      <c r="AV1415">
        <f t="shared" si="359"/>
        <v>0.45</v>
      </c>
      <c r="AW1415">
        <f t="shared" si="351"/>
        <v>0.66499999999999959</v>
      </c>
    </row>
    <row r="1416" spans="1:49" x14ac:dyDescent="0.25">
      <c r="A1416" t="s">
        <v>3348</v>
      </c>
      <c r="B1416">
        <v>0.45</v>
      </c>
      <c r="C1416">
        <v>28.91</v>
      </c>
      <c r="E1416" t="s">
        <v>3348</v>
      </c>
      <c r="F1416">
        <v>3</v>
      </c>
      <c r="G1416">
        <v>103.46</v>
      </c>
      <c r="I1416" t="str" cm="1">
        <f t="array" ref="I1416:J1416">_xlfn.TEXTSPLIT(A1416," ")</f>
        <v>27.10.2023</v>
      </c>
      <c r="J1416" t="str">
        <v>23:36:18</v>
      </c>
      <c r="K1416">
        <f t="shared" si="360"/>
        <v>23.549999999999944</v>
      </c>
      <c r="L1416">
        <f t="shared" si="353"/>
        <v>14.59</v>
      </c>
      <c r="M1416">
        <f t="shared" si="354"/>
        <v>0.45</v>
      </c>
      <c r="N1416">
        <f t="shared" si="348"/>
        <v>0.52249999999999985</v>
      </c>
      <c r="Q1416" t="str" cm="1">
        <f t="array" ref="Q1416:R1416">_xlfn.TEXTSPLIT(E1416," ")</f>
        <v>27.10.2023</v>
      </c>
      <c r="R1416" t="str">
        <v>23:36:18</v>
      </c>
      <c r="S1416">
        <f t="shared" si="361"/>
        <v>23.549999999999944</v>
      </c>
      <c r="T1416">
        <f t="shared" si="352"/>
        <v>24.86</v>
      </c>
      <c r="U1416">
        <f t="shared" si="355"/>
        <v>3</v>
      </c>
      <c r="V1416">
        <f t="shared" si="349"/>
        <v>0.98249999999999993</v>
      </c>
      <c r="AC1416" t="s">
        <v>3349</v>
      </c>
      <c r="AD1416">
        <v>0</v>
      </c>
      <c r="AE1416">
        <v>14.16</v>
      </c>
      <c r="AG1416" t="str" cm="1">
        <f t="array" ref="AG1416:AH1416">_xlfn.TEXTSPLIT(AC1417," ")</f>
        <v>26.10.2023</v>
      </c>
      <c r="AH1416" t="str">
        <v>23:37:29</v>
      </c>
      <c r="AI1416">
        <f t="shared" si="362"/>
        <v>23.549999999999944</v>
      </c>
      <c r="AJ1416">
        <f t="shared" si="356"/>
        <v>9.629999999999999</v>
      </c>
      <c r="AK1416">
        <f t="shared" si="357"/>
        <v>0</v>
      </c>
      <c r="AL1416">
        <f t="shared" si="350"/>
        <v>0.40499999999999992</v>
      </c>
      <c r="AN1416" t="s">
        <v>3349</v>
      </c>
      <c r="AO1416">
        <v>0.3</v>
      </c>
      <c r="AP1416">
        <v>78.34</v>
      </c>
      <c r="AR1416" t="str" cm="1">
        <f t="array" ref="AR1416:AS1416">_xlfn.TEXTSPLIT(AN1416," ")</f>
        <v>26.10.2023</v>
      </c>
      <c r="AS1416" t="str">
        <v>23:36:29</v>
      </c>
      <c r="AT1416">
        <f t="shared" si="363"/>
        <v>23.549999999999944</v>
      </c>
      <c r="AU1416">
        <f t="shared" si="358"/>
        <v>17.03</v>
      </c>
      <c r="AV1416">
        <f t="shared" si="359"/>
        <v>0.3</v>
      </c>
      <c r="AW1416">
        <f t="shared" si="351"/>
        <v>0.66249999999999964</v>
      </c>
    </row>
    <row r="1417" spans="1:49" x14ac:dyDescent="0.25">
      <c r="A1417" t="s">
        <v>3350</v>
      </c>
      <c r="B1417">
        <v>1.05</v>
      </c>
      <c r="C1417">
        <v>28.94</v>
      </c>
      <c r="E1417" t="s">
        <v>3350</v>
      </c>
      <c r="F1417">
        <v>2.5499999999999998</v>
      </c>
      <c r="G1417">
        <v>103.5</v>
      </c>
      <c r="I1417" t="str" cm="1">
        <f t="array" ref="I1417:J1417">_xlfn.TEXTSPLIT(A1417," ")</f>
        <v>27.10.2023</v>
      </c>
      <c r="J1417" t="str">
        <v>23:37:18</v>
      </c>
      <c r="K1417">
        <f t="shared" si="360"/>
        <v>23.56666666666661</v>
      </c>
      <c r="L1417">
        <f t="shared" si="353"/>
        <v>14.620000000000001</v>
      </c>
      <c r="M1417">
        <f t="shared" si="354"/>
        <v>1.05</v>
      </c>
      <c r="N1417">
        <f t="shared" si="348"/>
        <v>0.53249999999999997</v>
      </c>
      <c r="Q1417" t="str" cm="1">
        <f t="array" ref="Q1417:R1417">_xlfn.TEXTSPLIT(E1417," ")</f>
        <v>27.10.2023</v>
      </c>
      <c r="R1417" t="str">
        <v>23:37:18</v>
      </c>
      <c r="S1417">
        <f t="shared" si="361"/>
        <v>23.56666666666661</v>
      </c>
      <c r="T1417">
        <f t="shared" si="352"/>
        <v>24.900000000000006</v>
      </c>
      <c r="U1417">
        <f t="shared" si="355"/>
        <v>2.5499999999999998</v>
      </c>
      <c r="V1417">
        <f t="shared" si="349"/>
        <v>0.98750000000000004</v>
      </c>
      <c r="AC1417" t="s">
        <v>3351</v>
      </c>
      <c r="AD1417">
        <v>0</v>
      </c>
      <c r="AE1417">
        <v>14.16</v>
      </c>
      <c r="AG1417" t="str" cm="1">
        <f t="array" ref="AG1417:AH1417">_xlfn.TEXTSPLIT(AC1418," ")</f>
        <v>26.10.2023</v>
      </c>
      <c r="AH1417" t="str">
        <v>23:38:29</v>
      </c>
      <c r="AI1417">
        <f t="shared" si="362"/>
        <v>23.56666666666661</v>
      </c>
      <c r="AJ1417">
        <f t="shared" si="356"/>
        <v>9.629999999999999</v>
      </c>
      <c r="AK1417">
        <f t="shared" si="357"/>
        <v>0</v>
      </c>
      <c r="AL1417">
        <f t="shared" si="350"/>
        <v>0.40249999999999991</v>
      </c>
      <c r="AN1417" t="s">
        <v>3351</v>
      </c>
      <c r="AO1417">
        <v>1.2</v>
      </c>
      <c r="AP1417">
        <v>78.38</v>
      </c>
      <c r="AR1417" t="str" cm="1">
        <f t="array" ref="AR1417:AS1417">_xlfn.TEXTSPLIT(AN1417," ")</f>
        <v>26.10.2023</v>
      </c>
      <c r="AS1417" t="str">
        <v>23:37:29</v>
      </c>
      <c r="AT1417">
        <f t="shared" si="363"/>
        <v>23.56666666666661</v>
      </c>
      <c r="AU1417">
        <f t="shared" si="358"/>
        <v>17.069999999999993</v>
      </c>
      <c r="AV1417">
        <f t="shared" si="359"/>
        <v>1.2</v>
      </c>
      <c r="AW1417">
        <f t="shared" si="351"/>
        <v>0.6599999999999997</v>
      </c>
    </row>
    <row r="1418" spans="1:49" x14ac:dyDescent="0.25">
      <c r="A1418" t="s">
        <v>3352</v>
      </c>
      <c r="B1418">
        <v>2.25</v>
      </c>
      <c r="C1418">
        <v>28.97</v>
      </c>
      <c r="E1418" t="s">
        <v>3352</v>
      </c>
      <c r="F1418">
        <v>1.95</v>
      </c>
      <c r="G1418">
        <v>103.53</v>
      </c>
      <c r="I1418" t="str" cm="1">
        <f t="array" ref="I1418:J1418">_xlfn.TEXTSPLIT(A1418," ")</f>
        <v>27.10.2023</v>
      </c>
      <c r="J1418" t="str">
        <v>23:38:18</v>
      </c>
      <c r="K1418">
        <f t="shared" si="360"/>
        <v>23.583333333333275</v>
      </c>
      <c r="L1418">
        <f t="shared" si="353"/>
        <v>14.649999999999999</v>
      </c>
      <c r="M1418">
        <f t="shared" si="354"/>
        <v>2.25</v>
      </c>
      <c r="N1418">
        <f t="shared" si="348"/>
        <v>0.52499999999999991</v>
      </c>
      <c r="Q1418" t="str" cm="1">
        <f t="array" ref="Q1418:R1418">_xlfn.TEXTSPLIT(E1418," ")</f>
        <v>27.10.2023</v>
      </c>
      <c r="R1418" t="str">
        <v>23:38:18</v>
      </c>
      <c r="S1418">
        <f t="shared" si="361"/>
        <v>23.583333333333275</v>
      </c>
      <c r="T1418">
        <f t="shared" si="352"/>
        <v>24.930000000000007</v>
      </c>
      <c r="U1418">
        <f t="shared" si="355"/>
        <v>1.95</v>
      </c>
      <c r="V1418">
        <f t="shared" si="349"/>
        <v>0.9900000000000001</v>
      </c>
      <c r="AC1418" t="s">
        <v>3353</v>
      </c>
      <c r="AD1418">
        <v>0.9</v>
      </c>
      <c r="AE1418">
        <v>14.2</v>
      </c>
      <c r="AG1418" t="str" cm="1">
        <f t="array" ref="AG1418:AH1418">_xlfn.TEXTSPLIT(AC1419," ")</f>
        <v>26.10.2023</v>
      </c>
      <c r="AH1418" t="str">
        <v>23:39:29</v>
      </c>
      <c r="AI1418">
        <f t="shared" si="362"/>
        <v>23.583333333333275</v>
      </c>
      <c r="AJ1418">
        <f t="shared" si="356"/>
        <v>9.6699999999999982</v>
      </c>
      <c r="AK1418">
        <f t="shared" si="357"/>
        <v>0.9</v>
      </c>
      <c r="AL1418">
        <f t="shared" si="350"/>
        <v>0.40499999999999992</v>
      </c>
      <c r="AN1418" t="s">
        <v>3353</v>
      </c>
      <c r="AO1418">
        <v>3.15</v>
      </c>
      <c r="AP1418">
        <v>78.42</v>
      </c>
      <c r="AR1418" t="str" cm="1">
        <f t="array" ref="AR1418:AS1418">_xlfn.TEXTSPLIT(AN1418," ")</f>
        <v>26.10.2023</v>
      </c>
      <c r="AS1418" t="str">
        <v>23:38:29</v>
      </c>
      <c r="AT1418">
        <f t="shared" si="363"/>
        <v>23.583333333333275</v>
      </c>
      <c r="AU1418">
        <f t="shared" si="358"/>
        <v>17.11</v>
      </c>
      <c r="AV1418">
        <f t="shared" si="359"/>
        <v>3.15</v>
      </c>
      <c r="AW1418">
        <f t="shared" si="351"/>
        <v>0.68249999999999977</v>
      </c>
    </row>
    <row r="1419" spans="1:49" x14ac:dyDescent="0.25">
      <c r="A1419" t="s">
        <v>3354</v>
      </c>
      <c r="B1419">
        <v>2.25</v>
      </c>
      <c r="C1419">
        <v>29</v>
      </c>
      <c r="E1419" t="s">
        <v>3354</v>
      </c>
      <c r="F1419">
        <v>2.5499999999999998</v>
      </c>
      <c r="G1419">
        <v>103.57</v>
      </c>
      <c r="I1419" t="str" cm="1">
        <f t="array" ref="I1419:J1419">_xlfn.TEXTSPLIT(A1419," ")</f>
        <v>27.10.2023</v>
      </c>
      <c r="J1419" t="str">
        <v>23:39:18</v>
      </c>
      <c r="K1419">
        <f t="shared" si="360"/>
        <v>23.599999999999941</v>
      </c>
      <c r="L1419">
        <f t="shared" si="353"/>
        <v>14.68</v>
      </c>
      <c r="M1419">
        <f t="shared" si="354"/>
        <v>2.25</v>
      </c>
      <c r="N1419">
        <f t="shared" si="348"/>
        <v>0.53249999999999997</v>
      </c>
      <c r="Q1419" t="str" cm="1">
        <f t="array" ref="Q1419:R1419">_xlfn.TEXTSPLIT(E1419," ")</f>
        <v>27.10.2023</v>
      </c>
      <c r="R1419" t="str">
        <v>23:39:18</v>
      </c>
      <c r="S1419">
        <f t="shared" si="361"/>
        <v>23.599999999999941</v>
      </c>
      <c r="T1419">
        <f t="shared" si="352"/>
        <v>24.97</v>
      </c>
      <c r="U1419">
        <f t="shared" si="355"/>
        <v>2.5499999999999998</v>
      </c>
      <c r="V1419">
        <f t="shared" si="349"/>
        <v>1</v>
      </c>
      <c r="AC1419" t="s">
        <v>3355</v>
      </c>
      <c r="AD1419">
        <v>1.05</v>
      </c>
      <c r="AE1419">
        <v>14.2</v>
      </c>
      <c r="AG1419" t="str" cm="1">
        <f t="array" ref="AG1419:AH1419">_xlfn.TEXTSPLIT(AC1420," ")</f>
        <v>26.10.2023</v>
      </c>
      <c r="AH1419" t="str">
        <v>23:40:30</v>
      </c>
      <c r="AI1419">
        <f t="shared" si="362"/>
        <v>23.599999999999941</v>
      </c>
      <c r="AJ1419">
        <f t="shared" si="356"/>
        <v>9.6699999999999982</v>
      </c>
      <c r="AK1419">
        <f t="shared" si="357"/>
        <v>1.05</v>
      </c>
      <c r="AL1419">
        <f t="shared" si="350"/>
        <v>0.39499999999999991</v>
      </c>
      <c r="AN1419" t="s">
        <v>3355</v>
      </c>
      <c r="AO1419">
        <v>1.5</v>
      </c>
      <c r="AP1419">
        <v>78.44</v>
      </c>
      <c r="AR1419" t="str" cm="1">
        <f t="array" ref="AR1419:AS1419">_xlfn.TEXTSPLIT(AN1419," ")</f>
        <v>26.10.2023</v>
      </c>
      <c r="AS1419" t="str">
        <v>23:39:29</v>
      </c>
      <c r="AT1419">
        <f t="shared" si="363"/>
        <v>23.599999999999941</v>
      </c>
      <c r="AU1419">
        <f t="shared" si="358"/>
        <v>17.129999999999995</v>
      </c>
      <c r="AV1419">
        <f t="shared" si="359"/>
        <v>1.5</v>
      </c>
      <c r="AW1419">
        <f t="shared" si="351"/>
        <v>0.67999999999999972</v>
      </c>
    </row>
    <row r="1420" spans="1:49" x14ac:dyDescent="0.25">
      <c r="A1420" t="s">
        <v>3356</v>
      </c>
      <c r="B1420">
        <v>1.35</v>
      </c>
      <c r="C1420">
        <v>29.02</v>
      </c>
      <c r="E1420" t="s">
        <v>3356</v>
      </c>
      <c r="F1420">
        <v>1.65</v>
      </c>
      <c r="G1420">
        <v>103.6</v>
      </c>
      <c r="I1420" t="str" cm="1">
        <f t="array" ref="I1420:J1420">_xlfn.TEXTSPLIT(A1420," ")</f>
        <v>27.10.2023</v>
      </c>
      <c r="J1420" t="str">
        <v>23:40:19</v>
      </c>
      <c r="K1420">
        <f t="shared" si="360"/>
        <v>23.616666666666607</v>
      </c>
      <c r="L1420">
        <f t="shared" si="353"/>
        <v>14.7</v>
      </c>
      <c r="M1420">
        <f t="shared" si="354"/>
        <v>1.35</v>
      </c>
      <c r="N1420">
        <f t="shared" si="348"/>
        <v>0.52999999999999992</v>
      </c>
      <c r="Q1420" t="str" cm="1">
        <f t="array" ref="Q1420:R1420">_xlfn.TEXTSPLIT(E1420," ")</f>
        <v>27.10.2023</v>
      </c>
      <c r="R1420" t="str">
        <v>23:40:19</v>
      </c>
      <c r="S1420">
        <f t="shared" si="361"/>
        <v>23.616666666666607</v>
      </c>
      <c r="T1420">
        <f t="shared" si="352"/>
        <v>25</v>
      </c>
      <c r="U1420">
        <f t="shared" si="355"/>
        <v>1.65</v>
      </c>
      <c r="V1420">
        <f t="shared" si="349"/>
        <v>0.99999999999999989</v>
      </c>
      <c r="AC1420" t="s">
        <v>3357</v>
      </c>
      <c r="AD1420">
        <v>1.5</v>
      </c>
      <c r="AE1420">
        <v>14.23</v>
      </c>
      <c r="AG1420" t="str" cm="1">
        <f t="array" ref="AG1420:AH1420">_xlfn.TEXTSPLIT(AC1421," ")</f>
        <v>26.10.2023</v>
      </c>
      <c r="AH1420" t="str">
        <v>23:41:30</v>
      </c>
      <c r="AI1420">
        <f t="shared" si="362"/>
        <v>23.616666666666607</v>
      </c>
      <c r="AJ1420">
        <f t="shared" si="356"/>
        <v>9.6999999999999993</v>
      </c>
      <c r="AK1420">
        <f t="shared" si="357"/>
        <v>1.5</v>
      </c>
      <c r="AL1420">
        <f t="shared" si="350"/>
        <v>0.39499999999999996</v>
      </c>
      <c r="AN1420" t="s">
        <v>3357</v>
      </c>
      <c r="AO1420">
        <v>1.05</v>
      </c>
      <c r="AP1420">
        <v>78.45</v>
      </c>
      <c r="AR1420" t="str" cm="1">
        <f t="array" ref="AR1420:AS1420">_xlfn.TEXTSPLIT(AN1420," ")</f>
        <v>26.10.2023</v>
      </c>
      <c r="AS1420" t="str">
        <v>23:40:30</v>
      </c>
      <c r="AT1420">
        <f t="shared" si="363"/>
        <v>23.616666666666607</v>
      </c>
      <c r="AU1420">
        <f t="shared" si="358"/>
        <v>17.14</v>
      </c>
      <c r="AV1420">
        <f t="shared" si="359"/>
        <v>1.05</v>
      </c>
      <c r="AW1420">
        <f t="shared" si="351"/>
        <v>0.65499999999999992</v>
      </c>
    </row>
    <row r="1421" spans="1:49" x14ac:dyDescent="0.25">
      <c r="A1421" t="s">
        <v>3358</v>
      </c>
      <c r="B1421">
        <v>1.5</v>
      </c>
      <c r="C1421">
        <v>29.05</v>
      </c>
      <c r="E1421" t="s">
        <v>3358</v>
      </c>
      <c r="F1421">
        <v>1.35</v>
      </c>
      <c r="G1421">
        <v>103.62</v>
      </c>
      <c r="I1421" t="str" cm="1">
        <f t="array" ref="I1421:J1421">_xlfn.TEXTSPLIT(A1421," ")</f>
        <v>27.10.2023</v>
      </c>
      <c r="J1421" t="str">
        <v>23:41:19</v>
      </c>
      <c r="K1421">
        <f t="shared" si="360"/>
        <v>23.633333333333272</v>
      </c>
      <c r="L1421">
        <f t="shared" si="353"/>
        <v>14.73</v>
      </c>
      <c r="M1421">
        <f t="shared" si="354"/>
        <v>1.5</v>
      </c>
      <c r="N1421">
        <f t="shared" si="348"/>
        <v>0.53749999999999998</v>
      </c>
      <c r="Q1421" t="str" cm="1">
        <f t="array" ref="Q1421:R1421">_xlfn.TEXTSPLIT(E1421," ")</f>
        <v>27.10.2023</v>
      </c>
      <c r="R1421" t="str">
        <v>23:41:19</v>
      </c>
      <c r="S1421">
        <f t="shared" si="361"/>
        <v>23.633333333333272</v>
      </c>
      <c r="T1421">
        <f t="shared" si="352"/>
        <v>25.02000000000001</v>
      </c>
      <c r="U1421">
        <f t="shared" si="355"/>
        <v>1.35</v>
      </c>
      <c r="V1421">
        <f t="shared" si="349"/>
        <v>1.0074999999999998</v>
      </c>
      <c r="AC1421" t="s">
        <v>3359</v>
      </c>
      <c r="AD1421">
        <v>1.2</v>
      </c>
      <c r="AE1421">
        <v>14.25</v>
      </c>
      <c r="AG1421" t="str" cm="1">
        <f t="array" ref="AG1421:AH1421">_xlfn.TEXTSPLIT(AC1422," ")</f>
        <v>26.10.2023</v>
      </c>
      <c r="AH1421" t="str">
        <v>23:42:30</v>
      </c>
      <c r="AI1421">
        <f t="shared" si="362"/>
        <v>23.633333333333272</v>
      </c>
      <c r="AJ1421">
        <f t="shared" si="356"/>
        <v>9.7199999999999989</v>
      </c>
      <c r="AK1421">
        <f t="shared" si="357"/>
        <v>1.2</v>
      </c>
      <c r="AL1421">
        <f t="shared" si="350"/>
        <v>0.38499999999999995</v>
      </c>
      <c r="AN1421" t="s">
        <v>3359</v>
      </c>
      <c r="AO1421">
        <v>0.75</v>
      </c>
      <c r="AP1421">
        <v>78.47</v>
      </c>
      <c r="AR1421" t="str" cm="1">
        <f t="array" ref="AR1421:AS1421">_xlfn.TEXTSPLIT(AN1421," ")</f>
        <v>26.10.2023</v>
      </c>
      <c r="AS1421" t="str">
        <v>23:41:30</v>
      </c>
      <c r="AT1421">
        <f t="shared" si="363"/>
        <v>23.633333333333272</v>
      </c>
      <c r="AU1421">
        <f t="shared" si="358"/>
        <v>17.159999999999997</v>
      </c>
      <c r="AV1421">
        <f t="shared" si="359"/>
        <v>0.75</v>
      </c>
      <c r="AW1421">
        <f t="shared" si="351"/>
        <v>0.64499999999999991</v>
      </c>
    </row>
    <row r="1422" spans="1:49" x14ac:dyDescent="0.25">
      <c r="A1422" t="s">
        <v>3360</v>
      </c>
      <c r="B1422">
        <v>0.9</v>
      </c>
      <c r="C1422">
        <v>29.06</v>
      </c>
      <c r="E1422" t="s">
        <v>3360</v>
      </c>
      <c r="F1422">
        <v>1.35</v>
      </c>
      <c r="G1422">
        <v>103.64</v>
      </c>
      <c r="I1422" t="str" cm="1">
        <f t="array" ref="I1422:J1422">_xlfn.TEXTSPLIT(A1422," ")</f>
        <v>27.10.2023</v>
      </c>
      <c r="J1422" t="str">
        <v>23:42:19</v>
      </c>
      <c r="K1422">
        <f t="shared" si="360"/>
        <v>23.649999999999938</v>
      </c>
      <c r="L1422">
        <f t="shared" si="353"/>
        <v>14.739999999999998</v>
      </c>
      <c r="M1422">
        <f t="shared" si="354"/>
        <v>0.9</v>
      </c>
      <c r="N1422">
        <f t="shared" si="348"/>
        <v>0.54500000000000004</v>
      </c>
      <c r="Q1422" t="str" cm="1">
        <f t="array" ref="Q1422:R1422">_xlfn.TEXTSPLIT(E1422," ")</f>
        <v>27.10.2023</v>
      </c>
      <c r="R1422" t="str">
        <v>23:42:19</v>
      </c>
      <c r="S1422">
        <f t="shared" si="361"/>
        <v>23.649999999999938</v>
      </c>
      <c r="T1422">
        <f t="shared" si="352"/>
        <v>25.040000000000006</v>
      </c>
      <c r="U1422">
        <f t="shared" si="355"/>
        <v>1.35</v>
      </c>
      <c r="V1422">
        <f t="shared" si="349"/>
        <v>1.0149999999999999</v>
      </c>
      <c r="AC1422" t="s">
        <v>3361</v>
      </c>
      <c r="AD1422">
        <v>0.75</v>
      </c>
      <c r="AE1422">
        <v>14.26</v>
      </c>
      <c r="AG1422" t="str" cm="1">
        <f t="array" ref="AG1422:AH1422">_xlfn.TEXTSPLIT(AC1423," ")</f>
        <v>26.10.2023</v>
      </c>
      <c r="AH1422" t="str">
        <v>23:43:30</v>
      </c>
      <c r="AI1422">
        <f t="shared" si="362"/>
        <v>23.649999999999938</v>
      </c>
      <c r="AJ1422">
        <f t="shared" si="356"/>
        <v>9.73</v>
      </c>
      <c r="AK1422">
        <f t="shared" si="357"/>
        <v>0.75</v>
      </c>
      <c r="AL1422">
        <f t="shared" si="350"/>
        <v>0.3775</v>
      </c>
      <c r="AN1422" t="s">
        <v>3361</v>
      </c>
      <c r="AO1422">
        <v>0.75</v>
      </c>
      <c r="AP1422">
        <v>78.48</v>
      </c>
      <c r="AR1422" t="str" cm="1">
        <f t="array" ref="AR1422:AS1422">_xlfn.TEXTSPLIT(AN1422," ")</f>
        <v>26.10.2023</v>
      </c>
      <c r="AS1422" t="str">
        <v>23:42:30</v>
      </c>
      <c r="AT1422">
        <f t="shared" si="363"/>
        <v>23.649999999999938</v>
      </c>
      <c r="AU1422">
        <f t="shared" si="358"/>
        <v>17.170000000000002</v>
      </c>
      <c r="AV1422">
        <f t="shared" si="359"/>
        <v>0.75</v>
      </c>
      <c r="AW1422">
        <f t="shared" si="351"/>
        <v>0.63749999999999984</v>
      </c>
    </row>
    <row r="1423" spans="1:49" x14ac:dyDescent="0.25">
      <c r="A1423" t="s">
        <v>3362</v>
      </c>
      <c r="B1423">
        <v>1.05</v>
      </c>
      <c r="C1423">
        <v>29.08</v>
      </c>
      <c r="E1423" t="s">
        <v>3362</v>
      </c>
      <c r="F1423">
        <v>1.5</v>
      </c>
      <c r="G1423">
        <v>103.67</v>
      </c>
      <c r="I1423" t="str" cm="1">
        <f t="array" ref="I1423:J1423">_xlfn.TEXTSPLIT(A1423," ")</f>
        <v>27.10.2023</v>
      </c>
      <c r="J1423" t="str">
        <v>23:43:19</v>
      </c>
      <c r="K1423">
        <f t="shared" si="360"/>
        <v>23.666666666666604</v>
      </c>
      <c r="L1423">
        <f t="shared" si="353"/>
        <v>14.759999999999998</v>
      </c>
      <c r="M1423">
        <f t="shared" si="354"/>
        <v>1.05</v>
      </c>
      <c r="N1423">
        <f t="shared" si="348"/>
        <v>0.54749999999999988</v>
      </c>
      <c r="Q1423" t="str" cm="1">
        <f t="array" ref="Q1423:R1423">_xlfn.TEXTSPLIT(E1423," ")</f>
        <v>27.10.2023</v>
      </c>
      <c r="R1423" t="str">
        <v>23:43:19</v>
      </c>
      <c r="S1423">
        <f t="shared" si="361"/>
        <v>23.666666666666604</v>
      </c>
      <c r="T1423">
        <f t="shared" si="352"/>
        <v>25.070000000000007</v>
      </c>
      <c r="U1423">
        <f t="shared" si="355"/>
        <v>1.5</v>
      </c>
      <c r="V1423">
        <f t="shared" si="349"/>
        <v>1.0224999999999997</v>
      </c>
      <c r="AC1423" t="s">
        <v>3363</v>
      </c>
      <c r="AD1423">
        <v>0.45</v>
      </c>
      <c r="AE1423">
        <v>14.26</v>
      </c>
      <c r="AG1423" t="str" cm="1">
        <f t="array" ref="AG1423:AH1423">_xlfn.TEXTSPLIT(AC1424," ")</f>
        <v>26.10.2023</v>
      </c>
      <c r="AH1423" t="str">
        <v>23:44:30</v>
      </c>
      <c r="AI1423">
        <f t="shared" si="362"/>
        <v>23.666666666666604</v>
      </c>
      <c r="AJ1423">
        <f t="shared" si="356"/>
        <v>9.73</v>
      </c>
      <c r="AK1423">
        <f t="shared" si="357"/>
        <v>0.45</v>
      </c>
      <c r="AL1423">
        <f t="shared" si="350"/>
        <v>0.37</v>
      </c>
      <c r="AN1423" t="s">
        <v>3363</v>
      </c>
      <c r="AO1423">
        <v>0.9</v>
      </c>
      <c r="AP1423">
        <v>78.489999999999995</v>
      </c>
      <c r="AR1423" t="str" cm="1">
        <f t="array" ref="AR1423:AS1423">_xlfn.TEXTSPLIT(AN1423," ")</f>
        <v>26.10.2023</v>
      </c>
      <c r="AS1423" t="str">
        <v>23:43:30</v>
      </c>
      <c r="AT1423">
        <f t="shared" si="363"/>
        <v>23.666666666666604</v>
      </c>
      <c r="AU1423">
        <f t="shared" si="358"/>
        <v>17.179999999999993</v>
      </c>
      <c r="AV1423">
        <f t="shared" si="359"/>
        <v>0.9</v>
      </c>
      <c r="AW1423">
        <f t="shared" si="351"/>
        <v>0.63749999999999984</v>
      </c>
    </row>
    <row r="1424" spans="1:49" x14ac:dyDescent="0.25">
      <c r="A1424" t="s">
        <v>3364</v>
      </c>
      <c r="B1424">
        <v>0.9</v>
      </c>
      <c r="C1424">
        <v>29.1</v>
      </c>
      <c r="E1424" t="s">
        <v>3364</v>
      </c>
      <c r="F1424">
        <v>1.5</v>
      </c>
      <c r="G1424">
        <v>103.69</v>
      </c>
      <c r="I1424" t="str" cm="1">
        <f t="array" ref="I1424:J1424">_xlfn.TEXTSPLIT(A1424," ")</f>
        <v>27.10.2023</v>
      </c>
      <c r="J1424" t="str">
        <v>23:44:19</v>
      </c>
      <c r="K1424">
        <f t="shared" si="360"/>
        <v>23.68333333333327</v>
      </c>
      <c r="L1424">
        <f t="shared" si="353"/>
        <v>14.780000000000001</v>
      </c>
      <c r="M1424">
        <f t="shared" si="354"/>
        <v>0.9</v>
      </c>
      <c r="N1424">
        <f t="shared" si="348"/>
        <v>0.55249999999999999</v>
      </c>
      <c r="Q1424" t="str" cm="1">
        <f t="array" ref="Q1424:R1424">_xlfn.TEXTSPLIT(E1424," ")</f>
        <v>27.10.2023</v>
      </c>
      <c r="R1424" t="str">
        <v>23:44:19</v>
      </c>
      <c r="S1424">
        <f t="shared" si="361"/>
        <v>23.68333333333327</v>
      </c>
      <c r="T1424">
        <f t="shared" si="352"/>
        <v>25.090000000000003</v>
      </c>
      <c r="U1424">
        <f t="shared" si="355"/>
        <v>1.5</v>
      </c>
      <c r="V1424">
        <f t="shared" si="349"/>
        <v>1.0274999999999999</v>
      </c>
      <c r="AC1424" t="s">
        <v>3365</v>
      </c>
      <c r="AD1424">
        <v>0.6</v>
      </c>
      <c r="AE1424">
        <v>14.27</v>
      </c>
      <c r="AG1424" t="str" cm="1">
        <f t="array" ref="AG1424:AH1424">_xlfn.TEXTSPLIT(AC1425," ")</f>
        <v>26.10.2023</v>
      </c>
      <c r="AH1424" t="str">
        <v>23:45:30</v>
      </c>
      <c r="AI1424">
        <f t="shared" si="362"/>
        <v>23.68333333333327</v>
      </c>
      <c r="AJ1424">
        <f t="shared" si="356"/>
        <v>9.7399999999999984</v>
      </c>
      <c r="AK1424">
        <f t="shared" si="357"/>
        <v>0.6</v>
      </c>
      <c r="AL1424">
        <f t="shared" si="350"/>
        <v>0.36749999999999999</v>
      </c>
      <c r="AN1424" t="s">
        <v>3365</v>
      </c>
      <c r="AO1424">
        <v>0.9</v>
      </c>
      <c r="AP1424">
        <v>78.510000000000005</v>
      </c>
      <c r="AR1424" t="str" cm="1">
        <f t="array" ref="AR1424:AS1424">_xlfn.TEXTSPLIT(AN1424," ")</f>
        <v>26.10.2023</v>
      </c>
      <c r="AS1424" t="str">
        <v>23:44:30</v>
      </c>
      <c r="AT1424">
        <f t="shared" si="363"/>
        <v>23.68333333333327</v>
      </c>
      <c r="AU1424">
        <f t="shared" si="358"/>
        <v>17.200000000000003</v>
      </c>
      <c r="AV1424">
        <f t="shared" si="359"/>
        <v>0.9</v>
      </c>
      <c r="AW1424">
        <f t="shared" si="351"/>
        <v>0.63499999999999979</v>
      </c>
    </row>
    <row r="1425" spans="1:49" x14ac:dyDescent="0.25">
      <c r="A1425" t="s">
        <v>3366</v>
      </c>
      <c r="B1425">
        <v>0.9</v>
      </c>
      <c r="C1425">
        <v>29.11</v>
      </c>
      <c r="E1425" t="s">
        <v>3366</v>
      </c>
      <c r="F1425">
        <v>1.05</v>
      </c>
      <c r="G1425">
        <v>103.7</v>
      </c>
      <c r="I1425" t="str" cm="1">
        <f t="array" ref="I1425:J1425">_xlfn.TEXTSPLIT(A1425," ")</f>
        <v>27.10.2023</v>
      </c>
      <c r="J1425" t="str">
        <v>23:45:19</v>
      </c>
      <c r="K1425">
        <f t="shared" si="360"/>
        <v>23.699999999999935</v>
      </c>
      <c r="L1425">
        <f t="shared" si="353"/>
        <v>14.79</v>
      </c>
      <c r="M1425">
        <f t="shared" si="354"/>
        <v>0.9</v>
      </c>
      <c r="N1425">
        <f t="shared" si="348"/>
        <v>0.55749999999999988</v>
      </c>
      <c r="Q1425" t="str" cm="1">
        <f t="array" ref="Q1425:R1425">_xlfn.TEXTSPLIT(E1425," ")</f>
        <v>27.10.2023</v>
      </c>
      <c r="R1425" t="str">
        <v>23:45:19</v>
      </c>
      <c r="S1425">
        <f t="shared" si="361"/>
        <v>23.699999999999935</v>
      </c>
      <c r="T1425">
        <f t="shared" si="352"/>
        <v>25.100000000000009</v>
      </c>
      <c r="U1425">
        <f t="shared" si="355"/>
        <v>1.05</v>
      </c>
      <c r="V1425">
        <f t="shared" si="349"/>
        <v>1.0274999999999999</v>
      </c>
      <c r="AC1425" t="s">
        <v>3367</v>
      </c>
      <c r="AD1425">
        <v>0.3</v>
      </c>
      <c r="AE1425">
        <v>14.28</v>
      </c>
      <c r="AG1425" t="str" cm="1">
        <f t="array" ref="AG1425:AH1425">_xlfn.TEXTSPLIT(AC1426," ")</f>
        <v>26.10.2023</v>
      </c>
      <c r="AH1425" t="str">
        <v>23:46:30</v>
      </c>
      <c r="AI1425">
        <f t="shared" si="362"/>
        <v>23.699999999999935</v>
      </c>
      <c r="AJ1425">
        <f t="shared" si="356"/>
        <v>9.75</v>
      </c>
      <c r="AK1425">
        <f t="shared" si="357"/>
        <v>0.3</v>
      </c>
      <c r="AL1425">
        <f t="shared" si="350"/>
        <v>0.36000000000000004</v>
      </c>
      <c r="AN1425" t="s">
        <v>3367</v>
      </c>
      <c r="AO1425">
        <v>0.9</v>
      </c>
      <c r="AP1425">
        <v>78.53</v>
      </c>
      <c r="AR1425" t="str" cm="1">
        <f t="array" ref="AR1425:AS1425">_xlfn.TEXTSPLIT(AN1425," ")</f>
        <v>26.10.2023</v>
      </c>
      <c r="AS1425" t="str">
        <v>23:45:30</v>
      </c>
      <c r="AT1425">
        <f t="shared" si="363"/>
        <v>23.699999999999935</v>
      </c>
      <c r="AU1425">
        <f t="shared" si="358"/>
        <v>17.22</v>
      </c>
      <c r="AV1425">
        <f t="shared" si="359"/>
        <v>0.9</v>
      </c>
      <c r="AW1425">
        <f t="shared" si="351"/>
        <v>0.63249999999999984</v>
      </c>
    </row>
    <row r="1426" spans="1:49" x14ac:dyDescent="0.25">
      <c r="A1426" t="s">
        <v>3368</v>
      </c>
      <c r="B1426">
        <v>1.05</v>
      </c>
      <c r="C1426">
        <v>29.13</v>
      </c>
      <c r="E1426" t="s">
        <v>3368</v>
      </c>
      <c r="F1426">
        <v>0.75</v>
      </c>
      <c r="G1426">
        <v>103.71</v>
      </c>
      <c r="I1426" t="str" cm="1">
        <f t="array" ref="I1426:J1426">_xlfn.TEXTSPLIT(A1426," ")</f>
        <v>27.10.2023</v>
      </c>
      <c r="J1426" t="str">
        <v>23:46:19</v>
      </c>
      <c r="K1426">
        <f t="shared" si="360"/>
        <v>23.716666666666601</v>
      </c>
      <c r="L1426">
        <f t="shared" si="353"/>
        <v>14.809999999999999</v>
      </c>
      <c r="M1426">
        <f t="shared" si="354"/>
        <v>1.05</v>
      </c>
      <c r="N1426">
        <f t="shared" si="348"/>
        <v>0.56749999999999978</v>
      </c>
      <c r="Q1426" t="str" cm="1">
        <f t="array" ref="Q1426:R1426">_xlfn.TEXTSPLIT(E1426," ")</f>
        <v>27.10.2023</v>
      </c>
      <c r="R1426" t="str">
        <v>23:46:19</v>
      </c>
      <c r="S1426">
        <f t="shared" si="361"/>
        <v>23.716666666666601</v>
      </c>
      <c r="T1426">
        <f t="shared" si="352"/>
        <v>25.11</v>
      </c>
      <c r="U1426">
        <f t="shared" si="355"/>
        <v>0.75</v>
      </c>
      <c r="V1426">
        <f t="shared" si="349"/>
        <v>1.0225</v>
      </c>
      <c r="AC1426" t="s">
        <v>3369</v>
      </c>
      <c r="AD1426">
        <v>0.45</v>
      </c>
      <c r="AE1426">
        <v>14.28</v>
      </c>
      <c r="AG1426" t="str" cm="1">
        <f t="array" ref="AG1426:AH1426">_xlfn.TEXTSPLIT(AC1427," ")</f>
        <v>26.10.2023</v>
      </c>
      <c r="AH1426" t="str">
        <v>23:47:30</v>
      </c>
      <c r="AI1426">
        <f t="shared" si="362"/>
        <v>23.716666666666601</v>
      </c>
      <c r="AJ1426">
        <f t="shared" si="356"/>
        <v>9.75</v>
      </c>
      <c r="AK1426">
        <f t="shared" si="357"/>
        <v>0.45</v>
      </c>
      <c r="AL1426">
        <f t="shared" si="350"/>
        <v>0.34750000000000003</v>
      </c>
      <c r="AN1426" t="s">
        <v>3369</v>
      </c>
      <c r="AO1426">
        <v>1.05</v>
      </c>
      <c r="AP1426">
        <v>78.540000000000006</v>
      </c>
      <c r="AR1426" t="str" cm="1">
        <f t="array" ref="AR1426:AS1426">_xlfn.TEXTSPLIT(AN1426," ")</f>
        <v>26.10.2023</v>
      </c>
      <c r="AS1426" t="str">
        <v>23:46:30</v>
      </c>
      <c r="AT1426">
        <f t="shared" si="363"/>
        <v>23.716666666666601</v>
      </c>
      <c r="AU1426">
        <f t="shared" si="358"/>
        <v>17.230000000000004</v>
      </c>
      <c r="AV1426">
        <f t="shared" si="359"/>
        <v>1.05</v>
      </c>
      <c r="AW1426">
        <f t="shared" si="351"/>
        <v>0.62999999999999978</v>
      </c>
    </row>
    <row r="1427" spans="1:49" x14ac:dyDescent="0.25">
      <c r="A1427" t="s">
        <v>3370</v>
      </c>
      <c r="B1427">
        <v>1.05</v>
      </c>
      <c r="C1427">
        <v>29.14</v>
      </c>
      <c r="E1427" t="s">
        <v>3370</v>
      </c>
      <c r="F1427">
        <v>0.9</v>
      </c>
      <c r="G1427">
        <v>103.73</v>
      </c>
      <c r="I1427" t="str" cm="1">
        <f t="array" ref="I1427:J1427">_xlfn.TEXTSPLIT(A1427," ")</f>
        <v>27.10.2023</v>
      </c>
      <c r="J1427" t="str">
        <v>23:47:19</v>
      </c>
      <c r="K1427">
        <f t="shared" si="360"/>
        <v>23.733333333333267</v>
      </c>
      <c r="L1427">
        <f t="shared" si="353"/>
        <v>14.82</v>
      </c>
      <c r="M1427">
        <f t="shared" si="354"/>
        <v>1.05</v>
      </c>
      <c r="N1427">
        <f t="shared" si="348"/>
        <v>0.57999999999999985</v>
      </c>
      <c r="Q1427" t="str" cm="1">
        <f t="array" ref="Q1427:R1427">_xlfn.TEXTSPLIT(E1427," ")</f>
        <v>27.10.2023</v>
      </c>
      <c r="R1427" t="str">
        <v>23:47:19</v>
      </c>
      <c r="S1427">
        <f t="shared" si="361"/>
        <v>23.733333333333267</v>
      </c>
      <c r="T1427">
        <f t="shared" si="352"/>
        <v>25.13000000000001</v>
      </c>
      <c r="U1427">
        <f t="shared" si="355"/>
        <v>0.9</v>
      </c>
      <c r="V1427">
        <f t="shared" si="349"/>
        <v>1.0174999999999998</v>
      </c>
      <c r="AC1427" t="s">
        <v>3371</v>
      </c>
      <c r="AD1427">
        <v>0.45</v>
      </c>
      <c r="AE1427">
        <v>14.29</v>
      </c>
      <c r="AG1427" t="str" cm="1">
        <f t="array" ref="AG1427:AH1427">_xlfn.TEXTSPLIT(AC1428," ")</f>
        <v>26.10.2023</v>
      </c>
      <c r="AH1427" t="str">
        <v>23:48:30</v>
      </c>
      <c r="AI1427">
        <f t="shared" si="362"/>
        <v>23.733333333333267</v>
      </c>
      <c r="AJ1427">
        <f t="shared" si="356"/>
        <v>9.759999999999998</v>
      </c>
      <c r="AK1427">
        <f t="shared" si="357"/>
        <v>0.45</v>
      </c>
      <c r="AL1427">
        <f t="shared" si="350"/>
        <v>0.34250000000000003</v>
      </c>
      <c r="AN1427" t="s">
        <v>3371</v>
      </c>
      <c r="AO1427">
        <v>0.6</v>
      </c>
      <c r="AP1427">
        <v>78.55</v>
      </c>
      <c r="AR1427" t="str" cm="1">
        <f t="array" ref="AR1427:AS1427">_xlfn.TEXTSPLIT(AN1427," ")</f>
        <v>26.10.2023</v>
      </c>
      <c r="AS1427" t="str">
        <v>23:47:30</v>
      </c>
      <c r="AT1427">
        <f t="shared" si="363"/>
        <v>23.733333333333267</v>
      </c>
      <c r="AU1427">
        <f t="shared" si="358"/>
        <v>17.239999999999995</v>
      </c>
      <c r="AV1427">
        <f t="shared" si="359"/>
        <v>0.6</v>
      </c>
      <c r="AW1427">
        <f t="shared" si="351"/>
        <v>0.62249999999999983</v>
      </c>
    </row>
    <row r="1428" spans="1:49" x14ac:dyDescent="0.25">
      <c r="A1428" t="s">
        <v>3372</v>
      </c>
      <c r="B1428">
        <v>0.45</v>
      </c>
      <c r="C1428">
        <v>29.16</v>
      </c>
      <c r="E1428" t="s">
        <v>3372</v>
      </c>
      <c r="F1428">
        <v>0.75</v>
      </c>
      <c r="G1428">
        <v>103.74</v>
      </c>
      <c r="I1428" t="str" cm="1">
        <f t="array" ref="I1428:J1428">_xlfn.TEXTSPLIT(A1428," ")</f>
        <v>27.10.2023</v>
      </c>
      <c r="J1428" t="str">
        <v>23:48:19</v>
      </c>
      <c r="K1428">
        <f t="shared" si="360"/>
        <v>23.749999999999932</v>
      </c>
      <c r="L1428">
        <f t="shared" si="353"/>
        <v>14.84</v>
      </c>
      <c r="M1428">
        <f t="shared" si="354"/>
        <v>0.45</v>
      </c>
      <c r="N1428">
        <f t="shared" si="348"/>
        <v>0.5774999999999999</v>
      </c>
      <c r="Q1428" t="str" cm="1">
        <f t="array" ref="Q1428:R1428">_xlfn.TEXTSPLIT(E1428," ")</f>
        <v>27.10.2023</v>
      </c>
      <c r="R1428" t="str">
        <v>23:48:19</v>
      </c>
      <c r="S1428">
        <f t="shared" si="361"/>
        <v>23.749999999999932</v>
      </c>
      <c r="T1428">
        <f t="shared" si="352"/>
        <v>25.14</v>
      </c>
      <c r="U1428">
        <f t="shared" si="355"/>
        <v>0.75</v>
      </c>
      <c r="V1428">
        <f t="shared" si="349"/>
        <v>1.0174999999999998</v>
      </c>
      <c r="AC1428" t="s">
        <v>3373</v>
      </c>
      <c r="AD1428">
        <v>0.3</v>
      </c>
      <c r="AE1428">
        <v>14.3</v>
      </c>
      <c r="AG1428" t="str" cm="1">
        <f t="array" ref="AG1428:AH1428">_xlfn.TEXTSPLIT(AC1429," ")</f>
        <v>26.10.2023</v>
      </c>
      <c r="AH1428" t="str">
        <v>23:49:30</v>
      </c>
      <c r="AI1428">
        <f t="shared" si="362"/>
        <v>23.749999999999932</v>
      </c>
      <c r="AJ1428">
        <f t="shared" si="356"/>
        <v>9.77</v>
      </c>
      <c r="AK1428">
        <f t="shared" si="357"/>
        <v>0.3</v>
      </c>
      <c r="AL1428">
        <f t="shared" si="350"/>
        <v>0.34</v>
      </c>
      <c r="AN1428" t="s">
        <v>3373</v>
      </c>
      <c r="AO1428">
        <v>0.45</v>
      </c>
      <c r="AP1428">
        <v>78.56</v>
      </c>
      <c r="AR1428" t="str" cm="1">
        <f t="array" ref="AR1428:AS1428">_xlfn.TEXTSPLIT(AN1428," ")</f>
        <v>26.10.2023</v>
      </c>
      <c r="AS1428" t="str">
        <v>23:48:30</v>
      </c>
      <c r="AT1428">
        <f t="shared" si="363"/>
        <v>23.749999999999932</v>
      </c>
      <c r="AU1428">
        <f t="shared" si="358"/>
        <v>17.25</v>
      </c>
      <c r="AV1428">
        <f t="shared" si="359"/>
        <v>0.45</v>
      </c>
      <c r="AW1428">
        <f t="shared" si="351"/>
        <v>0.61999999999999977</v>
      </c>
    </row>
    <row r="1429" spans="1:49" x14ac:dyDescent="0.25">
      <c r="A1429" t="s">
        <v>3374</v>
      </c>
      <c r="B1429">
        <v>0.6</v>
      </c>
      <c r="C1429">
        <v>29.16</v>
      </c>
      <c r="E1429" t="s">
        <v>3374</v>
      </c>
      <c r="F1429">
        <v>1.05</v>
      </c>
      <c r="G1429">
        <v>103.76</v>
      </c>
      <c r="I1429" t="str" cm="1">
        <f t="array" ref="I1429:J1429">_xlfn.TEXTSPLIT(A1429," ")</f>
        <v>27.10.2023</v>
      </c>
      <c r="J1429" t="str">
        <v>23:49:19</v>
      </c>
      <c r="K1429">
        <f t="shared" si="360"/>
        <v>23.766666666666598</v>
      </c>
      <c r="L1429">
        <f t="shared" si="353"/>
        <v>14.84</v>
      </c>
      <c r="M1429">
        <f t="shared" si="354"/>
        <v>0.6</v>
      </c>
      <c r="N1429">
        <f t="shared" si="348"/>
        <v>0.57999999999999996</v>
      </c>
      <c r="Q1429" t="str" cm="1">
        <f t="array" ref="Q1429:R1429">_xlfn.TEXTSPLIT(E1429," ")</f>
        <v>27.10.2023</v>
      </c>
      <c r="R1429" t="str">
        <v>23:49:19</v>
      </c>
      <c r="S1429">
        <f t="shared" si="361"/>
        <v>23.766666666666598</v>
      </c>
      <c r="T1429">
        <f t="shared" si="352"/>
        <v>25.160000000000011</v>
      </c>
      <c r="U1429">
        <f t="shared" si="355"/>
        <v>1.05</v>
      </c>
      <c r="V1429">
        <f t="shared" si="349"/>
        <v>1.0199999999999998</v>
      </c>
      <c r="AC1429" t="s">
        <v>3375</v>
      </c>
      <c r="AD1429">
        <v>0.3</v>
      </c>
      <c r="AE1429">
        <v>14.3</v>
      </c>
      <c r="AG1429" t="str" cm="1">
        <f t="array" ref="AG1429:AH1429">_xlfn.TEXTSPLIT(AC1430," ")</f>
        <v>26.10.2023</v>
      </c>
      <c r="AH1429" t="str">
        <v>23:50:30</v>
      </c>
      <c r="AI1429">
        <f t="shared" si="362"/>
        <v>23.766666666666598</v>
      </c>
      <c r="AJ1429">
        <f t="shared" si="356"/>
        <v>9.77</v>
      </c>
      <c r="AK1429">
        <f t="shared" si="357"/>
        <v>0.3</v>
      </c>
      <c r="AL1429">
        <f t="shared" si="350"/>
        <v>0.34500000000000003</v>
      </c>
      <c r="AN1429" t="s">
        <v>3375</v>
      </c>
      <c r="AO1429">
        <v>0.15</v>
      </c>
      <c r="AP1429">
        <v>78.56</v>
      </c>
      <c r="AR1429" t="str" cm="1">
        <f t="array" ref="AR1429:AS1429">_xlfn.TEXTSPLIT(AN1429," ")</f>
        <v>26.10.2023</v>
      </c>
      <c r="AS1429" t="str">
        <v>23:49:30</v>
      </c>
      <c r="AT1429">
        <f t="shared" si="363"/>
        <v>23.766666666666598</v>
      </c>
      <c r="AU1429">
        <f t="shared" si="358"/>
        <v>17.25</v>
      </c>
      <c r="AV1429">
        <f t="shared" si="359"/>
        <v>0.15</v>
      </c>
      <c r="AW1429">
        <f t="shared" si="351"/>
        <v>0.61249999999999993</v>
      </c>
    </row>
    <row r="1430" spans="1:49" x14ac:dyDescent="0.25">
      <c r="A1430" t="s">
        <v>3376</v>
      </c>
      <c r="B1430">
        <v>0.75</v>
      </c>
      <c r="C1430">
        <v>29.18</v>
      </c>
      <c r="E1430" t="s">
        <v>3376</v>
      </c>
      <c r="F1430">
        <v>1.35</v>
      </c>
      <c r="G1430">
        <v>103.78</v>
      </c>
      <c r="I1430" t="str" cm="1">
        <f t="array" ref="I1430:J1430">_xlfn.TEXTSPLIT(A1430," ")</f>
        <v>27.10.2023</v>
      </c>
      <c r="J1430" t="str">
        <v>23:50:19</v>
      </c>
      <c r="K1430">
        <f t="shared" si="360"/>
        <v>23.783333333333264</v>
      </c>
      <c r="L1430">
        <f t="shared" si="353"/>
        <v>14.86</v>
      </c>
      <c r="M1430">
        <f t="shared" si="354"/>
        <v>0.75</v>
      </c>
      <c r="N1430">
        <f t="shared" si="348"/>
        <v>0.58499999999999985</v>
      </c>
      <c r="Q1430" t="str" cm="1">
        <f t="array" ref="Q1430:R1430">_xlfn.TEXTSPLIT(E1430," ")</f>
        <v>27.10.2023</v>
      </c>
      <c r="R1430" t="str">
        <v>23:50:19</v>
      </c>
      <c r="S1430">
        <f t="shared" si="361"/>
        <v>23.783333333333264</v>
      </c>
      <c r="T1430">
        <f t="shared" si="352"/>
        <v>25.180000000000007</v>
      </c>
      <c r="U1430">
        <f t="shared" si="355"/>
        <v>1.35</v>
      </c>
      <c r="V1430">
        <f t="shared" si="349"/>
        <v>1.0299999999999998</v>
      </c>
      <c r="AC1430" t="s">
        <v>3377</v>
      </c>
      <c r="AD1430">
        <v>0</v>
      </c>
      <c r="AE1430">
        <v>14.3</v>
      </c>
      <c r="AG1430" t="str" cm="1">
        <f t="array" ref="AG1430:AH1430">_xlfn.TEXTSPLIT(AC1431," ")</f>
        <v>26.10.2023</v>
      </c>
      <c r="AH1430" t="str">
        <v>23:51:30</v>
      </c>
      <c r="AI1430">
        <f t="shared" si="362"/>
        <v>23.783333333333264</v>
      </c>
      <c r="AJ1430">
        <f t="shared" si="356"/>
        <v>9.77</v>
      </c>
      <c r="AK1430">
        <f t="shared" si="357"/>
        <v>0</v>
      </c>
      <c r="AL1430">
        <f t="shared" si="350"/>
        <v>0.34250000000000008</v>
      </c>
      <c r="AN1430" t="s">
        <v>3377</v>
      </c>
      <c r="AO1430">
        <v>0.75</v>
      </c>
      <c r="AP1430">
        <v>78.569999999999993</v>
      </c>
      <c r="AR1430" t="str" cm="1">
        <f t="array" ref="AR1430:AS1430">_xlfn.TEXTSPLIT(AN1430," ")</f>
        <v>26.10.2023</v>
      </c>
      <c r="AS1430" t="str">
        <v>23:50:30</v>
      </c>
      <c r="AT1430">
        <f t="shared" si="363"/>
        <v>23.783333333333264</v>
      </c>
      <c r="AU1430">
        <f t="shared" si="358"/>
        <v>17.259999999999991</v>
      </c>
      <c r="AV1430">
        <f t="shared" si="359"/>
        <v>0.75</v>
      </c>
      <c r="AW1430">
        <f t="shared" si="351"/>
        <v>0.61499999999999988</v>
      </c>
    </row>
    <row r="1431" spans="1:49" x14ac:dyDescent="0.25">
      <c r="A1431" t="s">
        <v>3378</v>
      </c>
      <c r="B1431">
        <v>0.45</v>
      </c>
      <c r="C1431">
        <v>29.18</v>
      </c>
      <c r="E1431" t="s">
        <v>3378</v>
      </c>
      <c r="F1431">
        <v>0.3</v>
      </c>
      <c r="G1431">
        <v>103.78</v>
      </c>
      <c r="I1431" t="str" cm="1">
        <f t="array" ref="I1431:J1431">_xlfn.TEXTSPLIT(A1431," ")</f>
        <v>27.10.2023</v>
      </c>
      <c r="J1431" t="str">
        <v>23:51:20</v>
      </c>
      <c r="K1431">
        <f t="shared" si="360"/>
        <v>23.79999999999993</v>
      </c>
      <c r="L1431">
        <f t="shared" si="353"/>
        <v>14.86</v>
      </c>
      <c r="M1431">
        <f t="shared" si="354"/>
        <v>0.45</v>
      </c>
      <c r="N1431">
        <f t="shared" si="348"/>
        <v>0.58750000000000002</v>
      </c>
      <c r="Q1431" t="str" cm="1">
        <f t="array" ref="Q1431:R1431">_xlfn.TEXTSPLIT(E1431," ")</f>
        <v>27.10.2023</v>
      </c>
      <c r="R1431" t="str">
        <v>23:51:20</v>
      </c>
      <c r="S1431">
        <f t="shared" si="361"/>
        <v>23.79999999999993</v>
      </c>
      <c r="T1431">
        <f t="shared" si="352"/>
        <v>25.180000000000007</v>
      </c>
      <c r="U1431">
        <f t="shared" si="355"/>
        <v>0.3</v>
      </c>
      <c r="V1431">
        <f t="shared" si="349"/>
        <v>1.0324999999999998</v>
      </c>
      <c r="AC1431" t="s">
        <v>3379</v>
      </c>
      <c r="AD1431">
        <v>0.15</v>
      </c>
      <c r="AE1431">
        <v>14.3</v>
      </c>
      <c r="AG1431" t="str" cm="1">
        <f t="array" ref="AG1431:AH1431">_xlfn.TEXTSPLIT(AC1432," ")</f>
        <v>26.10.2023</v>
      </c>
      <c r="AH1431" t="str">
        <v>23:52:31</v>
      </c>
      <c r="AI1431">
        <f t="shared" si="362"/>
        <v>23.79999999999993</v>
      </c>
      <c r="AJ1431">
        <f t="shared" si="356"/>
        <v>9.77</v>
      </c>
      <c r="AK1431">
        <f t="shared" si="357"/>
        <v>0.15</v>
      </c>
      <c r="AL1431">
        <f t="shared" si="350"/>
        <v>0.33500000000000002</v>
      </c>
      <c r="AN1431" t="s">
        <v>3379</v>
      </c>
      <c r="AO1431">
        <v>0.45</v>
      </c>
      <c r="AP1431">
        <v>78.58</v>
      </c>
      <c r="AR1431" t="str" cm="1">
        <f t="array" ref="AR1431:AS1431">_xlfn.TEXTSPLIT(AN1431," ")</f>
        <v>26.10.2023</v>
      </c>
      <c r="AS1431" t="str">
        <v>23:51:30</v>
      </c>
      <c r="AT1431">
        <f t="shared" si="363"/>
        <v>23.79999999999993</v>
      </c>
      <c r="AU1431">
        <f t="shared" si="358"/>
        <v>17.269999999999996</v>
      </c>
      <c r="AV1431">
        <f t="shared" si="359"/>
        <v>0.45</v>
      </c>
      <c r="AW1431">
        <f t="shared" si="351"/>
        <v>0.61499999999999988</v>
      </c>
    </row>
    <row r="1432" spans="1:49" x14ac:dyDescent="0.25">
      <c r="A1432" t="s">
        <v>3380</v>
      </c>
      <c r="B1432">
        <v>0.3</v>
      </c>
      <c r="C1432">
        <v>29.19</v>
      </c>
      <c r="E1432" t="s">
        <v>3380</v>
      </c>
      <c r="F1432">
        <v>0.15</v>
      </c>
      <c r="G1432">
        <v>103.78</v>
      </c>
      <c r="I1432" t="str" cm="1">
        <f t="array" ref="I1432:J1432">_xlfn.TEXTSPLIT(A1432," ")</f>
        <v>27.10.2023</v>
      </c>
      <c r="J1432" t="str">
        <v>23:52:20</v>
      </c>
      <c r="K1432">
        <f t="shared" si="360"/>
        <v>23.816666666666595</v>
      </c>
      <c r="L1432">
        <f t="shared" si="353"/>
        <v>14.870000000000001</v>
      </c>
      <c r="M1432">
        <f t="shared" si="354"/>
        <v>0.3</v>
      </c>
      <c r="N1432">
        <f t="shared" si="348"/>
        <v>0.58500000000000008</v>
      </c>
      <c r="Q1432" t="str" cm="1">
        <f t="array" ref="Q1432:R1432">_xlfn.TEXTSPLIT(E1432," ")</f>
        <v>27.10.2023</v>
      </c>
      <c r="R1432" t="str">
        <v>23:52:20</v>
      </c>
      <c r="S1432">
        <f t="shared" si="361"/>
        <v>23.816666666666595</v>
      </c>
      <c r="T1432">
        <f t="shared" si="352"/>
        <v>25.180000000000007</v>
      </c>
      <c r="U1432">
        <f t="shared" si="355"/>
        <v>0.15</v>
      </c>
      <c r="V1432">
        <f t="shared" si="349"/>
        <v>1.0299999999999998</v>
      </c>
      <c r="AC1432" t="s">
        <v>3381</v>
      </c>
      <c r="AD1432">
        <v>0.75</v>
      </c>
      <c r="AE1432">
        <v>14.32</v>
      </c>
      <c r="AG1432" t="str" cm="1">
        <f t="array" ref="AG1432:AH1432">_xlfn.TEXTSPLIT(AC1433," ")</f>
        <v>26.10.2023</v>
      </c>
      <c r="AH1432" t="str">
        <v>23:53:31</v>
      </c>
      <c r="AI1432">
        <f t="shared" si="362"/>
        <v>23.816666666666595</v>
      </c>
      <c r="AJ1432">
        <f t="shared" si="356"/>
        <v>9.7899999999999991</v>
      </c>
      <c r="AK1432">
        <f t="shared" si="357"/>
        <v>0.75</v>
      </c>
      <c r="AL1432">
        <f t="shared" si="350"/>
        <v>0.33750000000000002</v>
      </c>
      <c r="AN1432" t="s">
        <v>3381</v>
      </c>
      <c r="AO1432">
        <v>0</v>
      </c>
      <c r="AP1432">
        <v>78.58</v>
      </c>
      <c r="AR1432" t="str" cm="1">
        <f t="array" ref="AR1432:AS1432">_xlfn.TEXTSPLIT(AN1432," ")</f>
        <v>26.10.2023</v>
      </c>
      <c r="AS1432" t="str">
        <v>23:52:31</v>
      </c>
      <c r="AT1432">
        <f t="shared" si="363"/>
        <v>23.816666666666595</v>
      </c>
      <c r="AU1432">
        <f t="shared" si="358"/>
        <v>17.269999999999996</v>
      </c>
      <c r="AV1432">
        <f t="shared" si="359"/>
        <v>0</v>
      </c>
      <c r="AW1432">
        <f t="shared" si="351"/>
        <v>0.61249999999999993</v>
      </c>
    </row>
    <row r="1433" spans="1:49" x14ac:dyDescent="0.25">
      <c r="A1433" t="s">
        <v>3382</v>
      </c>
      <c r="B1433">
        <v>0</v>
      </c>
      <c r="C1433">
        <v>29.19</v>
      </c>
      <c r="E1433" t="s">
        <v>3382</v>
      </c>
      <c r="F1433">
        <v>0.45</v>
      </c>
      <c r="G1433">
        <v>103.79</v>
      </c>
      <c r="I1433" t="str" cm="1">
        <f t="array" ref="I1433:J1433">_xlfn.TEXTSPLIT(A1433," ")</f>
        <v>27.10.2023</v>
      </c>
      <c r="J1433" t="str">
        <v>23:53:20</v>
      </c>
      <c r="K1433">
        <f t="shared" si="360"/>
        <v>23.833333333333261</v>
      </c>
      <c r="L1433">
        <f t="shared" si="353"/>
        <v>14.870000000000001</v>
      </c>
      <c r="M1433">
        <f t="shared" si="354"/>
        <v>0</v>
      </c>
      <c r="N1433">
        <f t="shared" si="348"/>
        <v>0.58500000000000008</v>
      </c>
      <c r="Q1433" t="str" cm="1">
        <f t="array" ref="Q1433:R1433">_xlfn.TEXTSPLIT(E1433," ")</f>
        <v>27.10.2023</v>
      </c>
      <c r="R1433" t="str">
        <v>23:53:20</v>
      </c>
      <c r="S1433">
        <f t="shared" si="361"/>
        <v>23.833333333333261</v>
      </c>
      <c r="T1433">
        <f t="shared" si="352"/>
        <v>25.190000000000012</v>
      </c>
      <c r="U1433">
        <f t="shared" si="355"/>
        <v>0.45</v>
      </c>
      <c r="V1433">
        <f t="shared" si="349"/>
        <v>1.0325</v>
      </c>
      <c r="AC1433" t="s">
        <v>3383</v>
      </c>
      <c r="AD1433">
        <v>0.3</v>
      </c>
      <c r="AE1433">
        <v>14.32</v>
      </c>
      <c r="AG1433" t="str" cm="1">
        <f t="array" ref="AG1433:AH1433">_xlfn.TEXTSPLIT(AC1434," ")</f>
        <v>26.10.2023</v>
      </c>
      <c r="AH1433" t="str">
        <v>23:54:31</v>
      </c>
      <c r="AI1433">
        <f t="shared" si="362"/>
        <v>23.833333333333261</v>
      </c>
      <c r="AJ1433">
        <f t="shared" si="356"/>
        <v>9.7899999999999991</v>
      </c>
      <c r="AK1433">
        <f t="shared" si="357"/>
        <v>0.3</v>
      </c>
      <c r="AL1433">
        <f t="shared" si="350"/>
        <v>0.34</v>
      </c>
      <c r="AN1433" t="s">
        <v>3383</v>
      </c>
      <c r="AO1433">
        <v>0</v>
      </c>
      <c r="AP1433">
        <v>78.58</v>
      </c>
      <c r="AR1433" t="str" cm="1">
        <f t="array" ref="AR1433:AS1433">_xlfn.TEXTSPLIT(AN1433," ")</f>
        <v>26.10.2023</v>
      </c>
      <c r="AS1433" t="str">
        <v>23:53:31</v>
      </c>
      <c r="AT1433">
        <f t="shared" si="363"/>
        <v>23.833333333333261</v>
      </c>
      <c r="AU1433">
        <f t="shared" si="358"/>
        <v>17.269999999999996</v>
      </c>
      <c r="AV1433">
        <f t="shared" si="359"/>
        <v>0</v>
      </c>
      <c r="AW1433">
        <f t="shared" si="351"/>
        <v>0.61249999999999993</v>
      </c>
    </row>
    <row r="1434" spans="1:49" x14ac:dyDescent="0.25">
      <c r="A1434" t="s">
        <v>3384</v>
      </c>
      <c r="B1434">
        <v>0</v>
      </c>
      <c r="C1434">
        <v>29.19</v>
      </c>
      <c r="E1434" t="s">
        <v>3384</v>
      </c>
      <c r="F1434">
        <v>0.75</v>
      </c>
      <c r="G1434">
        <v>103.81</v>
      </c>
      <c r="I1434" t="str" cm="1">
        <f t="array" ref="I1434:J1434">_xlfn.TEXTSPLIT(A1434," ")</f>
        <v>27.10.2023</v>
      </c>
      <c r="J1434" t="str">
        <v>23:54:20</v>
      </c>
      <c r="K1434">
        <f t="shared" si="360"/>
        <v>23.849999999999927</v>
      </c>
      <c r="L1434">
        <f t="shared" si="353"/>
        <v>14.870000000000001</v>
      </c>
      <c r="M1434">
        <f t="shared" si="354"/>
        <v>0</v>
      </c>
      <c r="N1434">
        <f t="shared" si="348"/>
        <v>0.58500000000000008</v>
      </c>
      <c r="Q1434" t="str" cm="1">
        <f t="array" ref="Q1434:R1434">_xlfn.TEXTSPLIT(E1434," ")</f>
        <v>27.10.2023</v>
      </c>
      <c r="R1434" t="str">
        <v>23:54:20</v>
      </c>
      <c r="S1434">
        <f t="shared" si="361"/>
        <v>23.849999999999927</v>
      </c>
      <c r="T1434">
        <f t="shared" si="352"/>
        <v>25.210000000000008</v>
      </c>
      <c r="U1434">
        <f t="shared" si="355"/>
        <v>0.75</v>
      </c>
      <c r="V1434">
        <f t="shared" si="349"/>
        <v>1.0374999999999999</v>
      </c>
      <c r="AC1434" t="s">
        <v>3385</v>
      </c>
      <c r="AD1434">
        <v>0</v>
      </c>
      <c r="AE1434">
        <v>14.32</v>
      </c>
      <c r="AG1434" t="str" cm="1">
        <f t="array" ref="AG1434:AH1434">_xlfn.TEXTSPLIT(AC1435," ")</f>
        <v>26.10.2023</v>
      </c>
      <c r="AH1434" t="str">
        <v>23:55:31</v>
      </c>
      <c r="AI1434">
        <f t="shared" si="362"/>
        <v>23.849999999999927</v>
      </c>
      <c r="AJ1434">
        <f t="shared" si="356"/>
        <v>9.7899999999999991</v>
      </c>
      <c r="AK1434">
        <f t="shared" si="357"/>
        <v>0</v>
      </c>
      <c r="AL1434">
        <f t="shared" si="350"/>
        <v>0.34</v>
      </c>
      <c r="AN1434" t="s">
        <v>3385</v>
      </c>
      <c r="AO1434">
        <v>0</v>
      </c>
      <c r="AP1434">
        <v>78.58</v>
      </c>
      <c r="AR1434" t="str" cm="1">
        <f t="array" ref="AR1434:AS1434">_xlfn.TEXTSPLIT(AN1434," ")</f>
        <v>26.10.2023</v>
      </c>
      <c r="AS1434" t="str">
        <v>23:54:31</v>
      </c>
      <c r="AT1434">
        <f t="shared" si="363"/>
        <v>23.849999999999927</v>
      </c>
      <c r="AU1434">
        <f t="shared" si="358"/>
        <v>17.269999999999996</v>
      </c>
      <c r="AV1434">
        <f t="shared" si="359"/>
        <v>0</v>
      </c>
      <c r="AW1434">
        <f t="shared" si="351"/>
        <v>0.60999999999999988</v>
      </c>
    </row>
    <row r="1435" spans="1:49" x14ac:dyDescent="0.25">
      <c r="A1435" t="s">
        <v>3386</v>
      </c>
      <c r="B1435">
        <v>0</v>
      </c>
      <c r="C1435">
        <v>29.19</v>
      </c>
      <c r="E1435" t="s">
        <v>3386</v>
      </c>
      <c r="F1435">
        <v>0.3</v>
      </c>
      <c r="G1435">
        <v>103.81</v>
      </c>
      <c r="I1435" t="str" cm="1">
        <f t="array" ref="I1435:J1435">_xlfn.TEXTSPLIT(A1435," ")</f>
        <v>27.10.2023</v>
      </c>
      <c r="J1435" t="str">
        <v>23:55:20</v>
      </c>
      <c r="K1435">
        <f t="shared" si="360"/>
        <v>23.866666666666593</v>
      </c>
      <c r="L1435">
        <f t="shared" si="353"/>
        <v>14.870000000000001</v>
      </c>
      <c r="M1435">
        <f t="shared" si="354"/>
        <v>0</v>
      </c>
      <c r="N1435">
        <f t="shared" si="348"/>
        <v>0.58500000000000008</v>
      </c>
      <c r="Q1435" t="str" cm="1">
        <f t="array" ref="Q1435:R1435">_xlfn.TEXTSPLIT(E1435," ")</f>
        <v>27.10.2023</v>
      </c>
      <c r="R1435" t="str">
        <v>23:55:20</v>
      </c>
      <c r="S1435">
        <f t="shared" si="361"/>
        <v>23.866666666666593</v>
      </c>
      <c r="T1435">
        <f t="shared" si="352"/>
        <v>25.210000000000008</v>
      </c>
      <c r="U1435">
        <f t="shared" si="355"/>
        <v>0.3</v>
      </c>
      <c r="V1435">
        <f t="shared" si="349"/>
        <v>1.0349999999999997</v>
      </c>
      <c r="AC1435" t="s">
        <v>3387</v>
      </c>
      <c r="AD1435">
        <v>0</v>
      </c>
      <c r="AE1435">
        <v>14.32</v>
      </c>
      <c r="AG1435" t="str" cm="1">
        <f t="array" ref="AG1435:AH1435">_xlfn.TEXTSPLIT(AC1436," ")</f>
        <v>26.10.2023</v>
      </c>
      <c r="AH1435" t="str">
        <v>23:56:31</v>
      </c>
      <c r="AI1435">
        <f t="shared" si="362"/>
        <v>23.866666666666593</v>
      </c>
      <c r="AJ1435">
        <f t="shared" si="356"/>
        <v>9.7899999999999991</v>
      </c>
      <c r="AK1435">
        <f t="shared" si="357"/>
        <v>0</v>
      </c>
      <c r="AL1435">
        <f t="shared" si="350"/>
        <v>0.34</v>
      </c>
      <c r="AN1435" t="s">
        <v>3387</v>
      </c>
      <c r="AO1435">
        <v>0</v>
      </c>
      <c r="AP1435">
        <v>78.58</v>
      </c>
      <c r="AR1435" t="str" cm="1">
        <f t="array" ref="AR1435:AS1435">_xlfn.TEXTSPLIT(AN1435," ")</f>
        <v>26.10.2023</v>
      </c>
      <c r="AS1435" t="str">
        <v>23:55:31</v>
      </c>
      <c r="AT1435">
        <f t="shared" si="363"/>
        <v>23.866666666666593</v>
      </c>
      <c r="AU1435">
        <f t="shared" si="358"/>
        <v>17.269999999999996</v>
      </c>
      <c r="AV1435">
        <f t="shared" si="359"/>
        <v>0</v>
      </c>
      <c r="AW1435">
        <f t="shared" si="351"/>
        <v>0.60749999999999993</v>
      </c>
    </row>
    <row r="1436" spans="1:49" x14ac:dyDescent="0.25">
      <c r="A1436" t="s">
        <v>3388</v>
      </c>
      <c r="B1436">
        <v>0</v>
      </c>
      <c r="C1436">
        <v>29.19</v>
      </c>
      <c r="E1436" t="s">
        <v>3388</v>
      </c>
      <c r="F1436">
        <v>0.45</v>
      </c>
      <c r="G1436">
        <v>103.82</v>
      </c>
      <c r="I1436" t="str" cm="1">
        <f t="array" ref="I1436:J1436">_xlfn.TEXTSPLIT(A1436," ")</f>
        <v>27.10.2023</v>
      </c>
      <c r="J1436" t="str">
        <v>23:56:20</v>
      </c>
      <c r="K1436">
        <f t="shared" si="360"/>
        <v>23.883333333333258</v>
      </c>
      <c r="L1436">
        <f t="shared" si="353"/>
        <v>14.870000000000001</v>
      </c>
      <c r="M1436">
        <f t="shared" si="354"/>
        <v>0</v>
      </c>
      <c r="N1436">
        <f t="shared" si="348"/>
        <v>0.58500000000000008</v>
      </c>
      <c r="Q1436" t="str" cm="1">
        <f t="array" ref="Q1436:R1436">_xlfn.TEXTSPLIT(E1436," ")</f>
        <v>27.10.2023</v>
      </c>
      <c r="R1436" t="str">
        <v>23:56:20</v>
      </c>
      <c r="S1436">
        <f t="shared" si="361"/>
        <v>23.883333333333258</v>
      </c>
      <c r="T1436">
        <f t="shared" si="352"/>
        <v>25.22</v>
      </c>
      <c r="U1436">
        <f t="shared" si="355"/>
        <v>0.45</v>
      </c>
      <c r="V1436">
        <f t="shared" si="349"/>
        <v>1.0299999999999998</v>
      </c>
      <c r="AC1436" t="s">
        <v>3389</v>
      </c>
      <c r="AD1436">
        <v>0</v>
      </c>
      <c r="AE1436">
        <v>14.32</v>
      </c>
      <c r="AG1436" t="str" cm="1">
        <f t="array" ref="AG1436:AH1436">_xlfn.TEXTSPLIT(AC1437," ")</f>
        <v>26.10.2023</v>
      </c>
      <c r="AH1436" t="str">
        <v>23:57:31</v>
      </c>
      <c r="AI1436">
        <f t="shared" si="362"/>
        <v>23.883333333333258</v>
      </c>
      <c r="AJ1436">
        <f t="shared" si="356"/>
        <v>9.7899999999999991</v>
      </c>
      <c r="AK1436">
        <f t="shared" si="357"/>
        <v>0</v>
      </c>
      <c r="AL1436">
        <f t="shared" si="350"/>
        <v>0.34</v>
      </c>
      <c r="AN1436" t="s">
        <v>3389</v>
      </c>
      <c r="AO1436">
        <v>0.15</v>
      </c>
      <c r="AP1436">
        <v>78.58</v>
      </c>
      <c r="AR1436" t="str" cm="1">
        <f t="array" ref="AR1436:AS1436">_xlfn.TEXTSPLIT(AN1436," ")</f>
        <v>26.10.2023</v>
      </c>
      <c r="AS1436" t="str">
        <v>23:56:31</v>
      </c>
      <c r="AT1436">
        <f t="shared" si="363"/>
        <v>23.883333333333258</v>
      </c>
      <c r="AU1436">
        <f t="shared" si="358"/>
        <v>17.269999999999996</v>
      </c>
      <c r="AV1436">
        <f t="shared" si="359"/>
        <v>0.15</v>
      </c>
      <c r="AW1436">
        <f t="shared" si="351"/>
        <v>0.60749999999999982</v>
      </c>
    </row>
    <row r="1437" spans="1:49" x14ac:dyDescent="0.25">
      <c r="A1437" t="s">
        <v>3390</v>
      </c>
      <c r="B1437">
        <v>0</v>
      </c>
      <c r="C1437">
        <v>29.19</v>
      </c>
      <c r="E1437" t="s">
        <v>3390</v>
      </c>
      <c r="F1437">
        <v>0.6</v>
      </c>
      <c r="G1437">
        <v>103.83</v>
      </c>
      <c r="I1437" t="str" cm="1">
        <f t="array" ref="I1437:J1437">_xlfn.TEXTSPLIT(A1437," ")</f>
        <v>27.10.2023</v>
      </c>
      <c r="J1437" t="str">
        <v>23:57:20</v>
      </c>
      <c r="K1437">
        <f t="shared" si="360"/>
        <v>23.899999999999924</v>
      </c>
      <c r="L1437">
        <f t="shared" si="353"/>
        <v>14.870000000000001</v>
      </c>
      <c r="M1437">
        <f t="shared" si="354"/>
        <v>0</v>
      </c>
      <c r="N1437">
        <f t="shared" si="348"/>
        <v>0.58500000000000008</v>
      </c>
      <c r="Q1437" t="str" cm="1">
        <f t="array" ref="Q1437:R1437">_xlfn.TEXTSPLIT(E1437," ")</f>
        <v>27.10.2023</v>
      </c>
      <c r="R1437" t="str">
        <v>23:57:20</v>
      </c>
      <c r="S1437">
        <f t="shared" si="361"/>
        <v>23.899999999999924</v>
      </c>
      <c r="T1437">
        <f t="shared" si="352"/>
        <v>25.230000000000004</v>
      </c>
      <c r="U1437">
        <f t="shared" si="355"/>
        <v>0.6</v>
      </c>
      <c r="V1437">
        <f t="shared" si="349"/>
        <v>1.0249999999999999</v>
      </c>
      <c r="AC1437" t="s">
        <v>3391</v>
      </c>
      <c r="AD1437">
        <v>0</v>
      </c>
      <c r="AE1437">
        <v>14.32</v>
      </c>
      <c r="AG1437" t="str" cm="1">
        <f t="array" ref="AG1437:AH1437">_xlfn.TEXTSPLIT(AC1438," ")</f>
        <v>26.10.2023</v>
      </c>
      <c r="AH1437" t="str">
        <v>23:58:31</v>
      </c>
      <c r="AI1437">
        <f t="shared" si="362"/>
        <v>23.899999999999924</v>
      </c>
      <c r="AJ1437">
        <f t="shared" si="356"/>
        <v>9.7899999999999991</v>
      </c>
      <c r="AK1437">
        <f t="shared" si="357"/>
        <v>0</v>
      </c>
      <c r="AL1437">
        <f t="shared" si="350"/>
        <v>0.34</v>
      </c>
      <c r="AN1437" t="s">
        <v>3391</v>
      </c>
      <c r="AO1437">
        <v>0</v>
      </c>
      <c r="AP1437">
        <v>78.58</v>
      </c>
      <c r="AR1437" t="str" cm="1">
        <f t="array" ref="AR1437:AS1437">_xlfn.TEXTSPLIT(AN1437," ")</f>
        <v>26.10.2023</v>
      </c>
      <c r="AS1437" t="str">
        <v>23:57:31</v>
      </c>
      <c r="AT1437">
        <f t="shared" si="363"/>
        <v>23.899999999999924</v>
      </c>
      <c r="AU1437">
        <f t="shared" si="358"/>
        <v>17.269999999999996</v>
      </c>
      <c r="AV1437">
        <f t="shared" si="359"/>
        <v>0</v>
      </c>
      <c r="AW1437">
        <f t="shared" si="351"/>
        <v>0.60499999999999987</v>
      </c>
    </row>
    <row r="1438" spans="1:49" x14ac:dyDescent="0.25">
      <c r="A1438" t="s">
        <v>3392</v>
      </c>
      <c r="B1438">
        <v>0</v>
      </c>
      <c r="C1438">
        <v>29.19</v>
      </c>
      <c r="E1438" t="s">
        <v>3392</v>
      </c>
      <c r="F1438">
        <v>0.45</v>
      </c>
      <c r="G1438">
        <v>103.84</v>
      </c>
      <c r="I1438" t="str" cm="1">
        <f t="array" ref="I1438:J1438">_xlfn.TEXTSPLIT(A1438," ")</f>
        <v>27.10.2023</v>
      </c>
      <c r="J1438" t="str">
        <v>23:58:20</v>
      </c>
      <c r="K1438">
        <f t="shared" si="360"/>
        <v>23.91666666666659</v>
      </c>
      <c r="L1438">
        <f t="shared" si="353"/>
        <v>14.870000000000001</v>
      </c>
      <c r="M1438">
        <f t="shared" si="354"/>
        <v>0</v>
      </c>
      <c r="N1438">
        <f t="shared" si="348"/>
        <v>0.58500000000000008</v>
      </c>
      <c r="Q1438" t="str" cm="1">
        <f t="array" ref="Q1438:R1438">_xlfn.TEXTSPLIT(E1438," ")</f>
        <v>27.10.2023</v>
      </c>
      <c r="R1438" t="str">
        <v>23:58:20</v>
      </c>
      <c r="S1438">
        <f t="shared" si="361"/>
        <v>23.91666666666659</v>
      </c>
      <c r="T1438">
        <f t="shared" si="352"/>
        <v>25.240000000000009</v>
      </c>
      <c r="U1438">
        <f t="shared" si="355"/>
        <v>0.45</v>
      </c>
      <c r="V1438">
        <f t="shared" si="349"/>
        <v>1.0125</v>
      </c>
      <c r="AC1438" t="s">
        <v>3393</v>
      </c>
      <c r="AD1438">
        <v>0</v>
      </c>
      <c r="AE1438">
        <v>14.32</v>
      </c>
      <c r="AG1438" t="str" cm="1">
        <f t="array" ref="AG1438:AH1438">_xlfn.TEXTSPLIT(AC1439," ")</f>
        <v>26.10.2023</v>
      </c>
      <c r="AH1438" t="str">
        <v>23:59:31</v>
      </c>
      <c r="AI1438">
        <f t="shared" si="362"/>
        <v>23.91666666666659</v>
      </c>
      <c r="AJ1438">
        <f t="shared" si="356"/>
        <v>9.7899999999999991</v>
      </c>
      <c r="AK1438">
        <f t="shared" si="357"/>
        <v>0</v>
      </c>
      <c r="AL1438">
        <f t="shared" si="350"/>
        <v>0.34</v>
      </c>
      <c r="AN1438" t="s">
        <v>3393</v>
      </c>
      <c r="AO1438">
        <v>0.15</v>
      </c>
      <c r="AP1438">
        <v>78.59</v>
      </c>
      <c r="AR1438" t="str" cm="1">
        <f t="array" ref="AR1438:AS1438">_xlfn.TEXTSPLIT(AN1438," ")</f>
        <v>26.10.2023</v>
      </c>
      <c r="AS1438" t="str">
        <v>23:58:31</v>
      </c>
      <c r="AT1438">
        <f t="shared" si="363"/>
        <v>23.91666666666659</v>
      </c>
      <c r="AU1438">
        <f t="shared" si="358"/>
        <v>17.28</v>
      </c>
      <c r="AV1438">
        <f t="shared" si="359"/>
        <v>0.15</v>
      </c>
      <c r="AW1438">
        <f t="shared" si="351"/>
        <v>0.60499999999999987</v>
      </c>
    </row>
    <row r="1439" spans="1:49" x14ac:dyDescent="0.25">
      <c r="A1439" t="s">
        <v>3394</v>
      </c>
      <c r="B1439">
        <v>0</v>
      </c>
      <c r="C1439">
        <v>29.19</v>
      </c>
      <c r="E1439" t="s">
        <v>3394</v>
      </c>
      <c r="F1439">
        <v>0.6</v>
      </c>
      <c r="G1439">
        <v>103.85</v>
      </c>
      <c r="I1439" t="str" cm="1">
        <f t="array" ref="I1439:J1439">_xlfn.TEXTSPLIT(A1439," ")</f>
        <v>27.10.2023</v>
      </c>
      <c r="J1439" t="str">
        <v>23:59:20</v>
      </c>
      <c r="K1439">
        <f t="shared" si="360"/>
        <v>23.933333333333255</v>
      </c>
      <c r="L1439">
        <f t="shared" si="353"/>
        <v>14.870000000000001</v>
      </c>
      <c r="M1439">
        <f t="shared" si="354"/>
        <v>0</v>
      </c>
      <c r="N1439">
        <f t="shared" si="348"/>
        <v>0.58500000000000008</v>
      </c>
      <c r="Q1439" t="str" cm="1">
        <f t="array" ref="Q1439:R1439">_xlfn.TEXTSPLIT(E1439," ")</f>
        <v>27.10.2023</v>
      </c>
      <c r="R1439" t="str">
        <v>23:59:20</v>
      </c>
      <c r="S1439">
        <f t="shared" si="361"/>
        <v>23.933333333333255</v>
      </c>
      <c r="T1439">
        <f t="shared" si="352"/>
        <v>25.25</v>
      </c>
      <c r="U1439">
        <f t="shared" si="355"/>
        <v>0.6</v>
      </c>
      <c r="V1439">
        <f t="shared" si="349"/>
        <v>1.01</v>
      </c>
      <c r="AC1439" t="s">
        <v>3395</v>
      </c>
      <c r="AD1439">
        <v>0</v>
      </c>
      <c r="AE1439">
        <v>14.32</v>
      </c>
      <c r="AG1439" t="e" cm="1">
        <f t="array" ref="AG1439">_xlfn.TEXTSPLIT(AC1440," ")</f>
        <v>#VALUE!</v>
      </c>
      <c r="AI1439">
        <f t="shared" si="362"/>
        <v>23.933333333333255</v>
      </c>
      <c r="AJ1439">
        <f t="shared" si="356"/>
        <v>9.7899999999999991</v>
      </c>
      <c r="AK1439">
        <f t="shared" si="357"/>
        <v>0</v>
      </c>
      <c r="AL1439">
        <f t="shared" si="350"/>
        <v>0.34</v>
      </c>
      <c r="AN1439" t="s">
        <v>3395</v>
      </c>
      <c r="AO1439">
        <v>0.15</v>
      </c>
      <c r="AP1439">
        <v>78.59</v>
      </c>
      <c r="AR1439" t="str" cm="1">
        <f t="array" ref="AR1439:AS1439">_xlfn.TEXTSPLIT(AN1439," ")</f>
        <v>26.10.2023</v>
      </c>
      <c r="AS1439" t="str">
        <v>23:59:31</v>
      </c>
      <c r="AT1439">
        <f t="shared" si="363"/>
        <v>23.933333333333255</v>
      </c>
      <c r="AU1439">
        <f t="shared" si="358"/>
        <v>17.28</v>
      </c>
      <c r="AV1439">
        <f t="shared" si="359"/>
        <v>0.15</v>
      </c>
      <c r="AW1439">
        <f t="shared" si="351"/>
        <v>0.60499999999999987</v>
      </c>
    </row>
    <row r="1440" spans="1:49" x14ac:dyDescent="0.25">
      <c r="A1440" t="s">
        <v>3396</v>
      </c>
      <c r="B1440">
        <v>0.3</v>
      </c>
      <c r="C1440">
        <v>29.19</v>
      </c>
      <c r="E1440" t="s">
        <v>3396</v>
      </c>
      <c r="F1440">
        <v>0.75</v>
      </c>
      <c r="G1440">
        <v>103.86</v>
      </c>
      <c r="I1440" t="str" cm="1">
        <f t="array" ref="I1440:J1440">_xlfn.TEXTSPLIT(A1440," ")</f>
        <v>28.10.2023</v>
      </c>
      <c r="J1440" t="str">
        <v>00:00:20</v>
      </c>
      <c r="K1440">
        <f t="shared" si="360"/>
        <v>23.949999999999921</v>
      </c>
      <c r="L1440">
        <f t="shared" si="353"/>
        <v>14.870000000000001</v>
      </c>
      <c r="M1440">
        <f t="shared" si="354"/>
        <v>0.3</v>
      </c>
      <c r="N1440">
        <f t="shared" si="348"/>
        <v>0.59</v>
      </c>
      <c r="Q1440" t="str" cm="1">
        <f t="array" ref="Q1440:R1440">_xlfn.TEXTSPLIT(E1440," ")</f>
        <v>28.10.2023</v>
      </c>
      <c r="R1440" t="str">
        <v>00:00:20</v>
      </c>
      <c r="S1440">
        <f t="shared" si="361"/>
        <v>23.949999999999921</v>
      </c>
      <c r="T1440">
        <f t="shared" si="352"/>
        <v>25.260000000000005</v>
      </c>
      <c r="U1440">
        <f t="shared" si="355"/>
        <v>0.75</v>
      </c>
      <c r="V1440">
        <f t="shared" si="349"/>
        <v>1.0125</v>
      </c>
    </row>
    <row r="1441" spans="1:22" x14ac:dyDescent="0.25">
      <c r="A1441" t="s">
        <v>3397</v>
      </c>
      <c r="B1441">
        <v>0.15</v>
      </c>
      <c r="C1441">
        <v>29.2</v>
      </c>
      <c r="E1441" t="s">
        <v>3397</v>
      </c>
      <c r="F1441">
        <v>0.6</v>
      </c>
      <c r="G1441">
        <v>103.87</v>
      </c>
      <c r="I1441" t="str" cm="1">
        <f t="array" ref="I1441:J1441">_xlfn.TEXTSPLIT(A1441," ")</f>
        <v>28.10.2023</v>
      </c>
      <c r="J1441" t="str">
        <v>00:01:21</v>
      </c>
      <c r="K1441">
        <f t="shared" si="360"/>
        <v>23.966666666666587</v>
      </c>
      <c r="L1441">
        <f t="shared" si="353"/>
        <v>14.879999999999999</v>
      </c>
      <c r="M1441">
        <f t="shared" si="354"/>
        <v>0.15</v>
      </c>
      <c r="N1441">
        <f t="shared" si="348"/>
        <v>0.58749999999999991</v>
      </c>
      <c r="Q1441" t="str" cm="1">
        <f t="array" ref="Q1441:R1441">_xlfn.TEXTSPLIT(E1441," ")</f>
        <v>28.10.2023</v>
      </c>
      <c r="R1441" t="str">
        <v>00:01:21</v>
      </c>
      <c r="S1441">
        <f t="shared" si="361"/>
        <v>23.966666666666587</v>
      </c>
      <c r="T1441">
        <f t="shared" si="352"/>
        <v>25.27000000000001</v>
      </c>
      <c r="U1441">
        <f t="shared" si="355"/>
        <v>0.6</v>
      </c>
      <c r="V1441">
        <f t="shared" si="349"/>
        <v>1.01</v>
      </c>
    </row>
    <row r="1442" spans="1:22" x14ac:dyDescent="0.25">
      <c r="A1442" t="s">
        <v>3398</v>
      </c>
      <c r="B1442">
        <v>0.15</v>
      </c>
      <c r="C1442">
        <v>29.2</v>
      </c>
      <c r="E1442" t="s">
        <v>3398</v>
      </c>
      <c r="F1442">
        <v>1.05</v>
      </c>
      <c r="G1442">
        <v>103.89</v>
      </c>
      <c r="I1442" t="str" cm="1">
        <f t="array" ref="I1442:J1442">_xlfn.TEXTSPLIT(A1442," ")</f>
        <v>28.10.2023</v>
      </c>
      <c r="J1442" t="str">
        <v>00:02:21</v>
      </c>
      <c r="K1442">
        <f t="shared" si="360"/>
        <v>23.983333333333253</v>
      </c>
      <c r="L1442">
        <f t="shared" si="353"/>
        <v>14.879999999999999</v>
      </c>
      <c r="M1442">
        <f t="shared" si="354"/>
        <v>0.15</v>
      </c>
      <c r="N1442">
        <f t="shared" si="348"/>
        <v>0.58249999999999991</v>
      </c>
      <c r="Q1442" t="str" cm="1">
        <f t="array" ref="Q1442:R1442">_xlfn.TEXTSPLIT(E1442," ")</f>
        <v>28.10.2023</v>
      </c>
      <c r="R1442" t="str">
        <v>00:02:21</v>
      </c>
      <c r="S1442">
        <f t="shared" si="361"/>
        <v>23.983333333333253</v>
      </c>
      <c r="T1442">
        <f t="shared" si="352"/>
        <v>25.290000000000006</v>
      </c>
      <c r="U1442">
        <f t="shared" si="355"/>
        <v>1.05</v>
      </c>
      <c r="V1442">
        <f t="shared" si="349"/>
        <v>1.0149999999999999</v>
      </c>
    </row>
    <row r="1443" spans="1:22" x14ac:dyDescent="0.25">
      <c r="A1443" t="s">
        <v>3399</v>
      </c>
      <c r="B1443">
        <v>0.15</v>
      </c>
      <c r="C1443">
        <v>29.2</v>
      </c>
      <c r="E1443" t="s">
        <v>3399</v>
      </c>
      <c r="F1443">
        <v>1.35</v>
      </c>
      <c r="G1443">
        <v>103.91</v>
      </c>
      <c r="I1443" t="str" cm="1">
        <f t="array" ref="I1443:J1443">_xlfn.TEXTSPLIT(A1443," ")</f>
        <v>28.10.2023</v>
      </c>
      <c r="J1443" t="str">
        <v>00:03:21</v>
      </c>
      <c r="K1443">
        <f t="shared" si="360"/>
        <v>23.999999999999918</v>
      </c>
      <c r="L1443">
        <f t="shared" si="353"/>
        <v>14.879999999999999</v>
      </c>
      <c r="M1443">
        <f t="shared" si="354"/>
        <v>0.15</v>
      </c>
      <c r="N1443">
        <f t="shared" si="348"/>
        <v>0.58249999999999991</v>
      </c>
      <c r="Q1443" t="str" cm="1">
        <f t="array" ref="Q1443:R1443">_xlfn.TEXTSPLIT(E1443," ")</f>
        <v>28.10.2023</v>
      </c>
      <c r="R1443" t="str">
        <v>00:03:21</v>
      </c>
      <c r="S1443">
        <f t="shared" si="361"/>
        <v>23.999999999999918</v>
      </c>
      <c r="T1443">
        <f t="shared" si="352"/>
        <v>25.310000000000002</v>
      </c>
      <c r="U1443">
        <f t="shared" si="355"/>
        <v>1.35</v>
      </c>
      <c r="V1443">
        <f t="shared" si="349"/>
        <v>1.0275000000000001</v>
      </c>
    </row>
    <row r="1444" spans="1:22" x14ac:dyDescent="0.25">
      <c r="A1444" t="s">
        <v>3400</v>
      </c>
      <c r="B1444">
        <v>0.45</v>
      </c>
      <c r="C1444">
        <v>29.21</v>
      </c>
      <c r="E1444" t="s">
        <v>3400</v>
      </c>
      <c r="F1444">
        <v>1.05</v>
      </c>
      <c r="G1444">
        <v>103.93</v>
      </c>
      <c r="I1444" t="str" cm="1">
        <f t="array" ref="I1444:J1444">_xlfn.TEXTSPLIT(A1444," ")</f>
        <v>28.10.2023</v>
      </c>
      <c r="J1444" t="str">
        <v>00:04:21</v>
      </c>
      <c r="K1444">
        <f t="shared" si="360"/>
        <v>24.016666666666584</v>
      </c>
      <c r="L1444">
        <f t="shared" si="353"/>
        <v>14.89</v>
      </c>
      <c r="M1444">
        <f t="shared" si="354"/>
        <v>0.45</v>
      </c>
      <c r="N1444">
        <f t="shared" si="348"/>
        <v>0.5824999999999998</v>
      </c>
      <c r="Q1444" t="str" cm="1">
        <f t="array" ref="Q1444:R1444">_xlfn.TEXTSPLIT(E1444," ")</f>
        <v>28.10.2023</v>
      </c>
      <c r="R1444" t="str">
        <v>00:04:21</v>
      </c>
      <c r="S1444">
        <f t="shared" si="361"/>
        <v>24.016666666666584</v>
      </c>
      <c r="T1444">
        <f t="shared" si="352"/>
        <v>25.330000000000013</v>
      </c>
      <c r="U1444">
        <f t="shared" si="355"/>
        <v>1.05</v>
      </c>
      <c r="V1444">
        <f t="shared" si="349"/>
        <v>1.03</v>
      </c>
    </row>
    <row r="1445" spans="1:22" x14ac:dyDescent="0.25">
      <c r="A1445" t="s">
        <v>3401</v>
      </c>
      <c r="B1445">
        <v>0.45</v>
      </c>
      <c r="C1445">
        <v>29.22</v>
      </c>
      <c r="E1445" t="s">
        <v>3401</v>
      </c>
      <c r="F1445">
        <v>1.05</v>
      </c>
      <c r="G1445">
        <v>103.95</v>
      </c>
      <c r="I1445" t="str" cm="1">
        <f t="array" ref="I1445:J1445">_xlfn.TEXTSPLIT(A1445," ")</f>
        <v>28.10.2023</v>
      </c>
      <c r="J1445" t="str">
        <v>00:05:21</v>
      </c>
      <c r="K1445">
        <f t="shared" si="360"/>
        <v>24.03333333333325</v>
      </c>
      <c r="L1445">
        <f t="shared" si="353"/>
        <v>14.899999999999999</v>
      </c>
      <c r="M1445">
        <f t="shared" si="354"/>
        <v>0.45</v>
      </c>
      <c r="N1445">
        <f t="shared" si="348"/>
        <v>0.57999999999999996</v>
      </c>
      <c r="Q1445" t="str" cm="1">
        <f t="array" ref="Q1445:R1445">_xlfn.TEXTSPLIT(E1445," ")</f>
        <v>28.10.2023</v>
      </c>
      <c r="R1445" t="str">
        <v>00:05:21</v>
      </c>
      <c r="S1445">
        <f t="shared" si="361"/>
        <v>24.03333333333325</v>
      </c>
      <c r="T1445">
        <f t="shared" si="352"/>
        <v>25.350000000000009</v>
      </c>
      <c r="U1445">
        <f t="shared" si="355"/>
        <v>1.05</v>
      </c>
      <c r="V1445">
        <f t="shared" si="349"/>
        <v>1.03</v>
      </c>
    </row>
    <row r="1446" spans="1:22" x14ac:dyDescent="0.25">
      <c r="A1446" t="s">
        <v>3402</v>
      </c>
      <c r="B1446">
        <v>0.3</v>
      </c>
      <c r="C1446">
        <v>29.22</v>
      </c>
      <c r="E1446" t="s">
        <v>3402</v>
      </c>
      <c r="F1446">
        <v>1.8</v>
      </c>
      <c r="G1446">
        <v>103.98</v>
      </c>
      <c r="I1446" t="str" cm="1">
        <f t="array" ref="I1446:J1446">_xlfn.TEXTSPLIT(A1446," ")</f>
        <v>28.10.2023</v>
      </c>
      <c r="J1446" t="str">
        <v>00:06:21</v>
      </c>
      <c r="K1446">
        <f t="shared" si="360"/>
        <v>24.049999999999915</v>
      </c>
      <c r="L1446">
        <f t="shared" si="353"/>
        <v>14.899999999999999</v>
      </c>
      <c r="M1446">
        <f t="shared" si="354"/>
        <v>0.3</v>
      </c>
      <c r="N1446">
        <f t="shared" si="348"/>
        <v>0.5774999999999999</v>
      </c>
      <c r="Q1446" t="str" cm="1">
        <f t="array" ref="Q1446:R1446">_xlfn.TEXTSPLIT(E1446," ")</f>
        <v>28.10.2023</v>
      </c>
      <c r="R1446" t="str">
        <v>00:06:21</v>
      </c>
      <c r="S1446">
        <f t="shared" si="361"/>
        <v>24.049999999999915</v>
      </c>
      <c r="T1446">
        <f t="shared" si="352"/>
        <v>25.38000000000001</v>
      </c>
      <c r="U1446">
        <f t="shared" si="355"/>
        <v>1.8</v>
      </c>
      <c r="V1446">
        <f t="shared" si="349"/>
        <v>1.02</v>
      </c>
    </row>
    <row r="1447" spans="1:22" x14ac:dyDescent="0.25">
      <c r="A1447" t="s">
        <v>3403</v>
      </c>
      <c r="B1447">
        <v>1.35</v>
      </c>
      <c r="C1447">
        <v>29.26</v>
      </c>
      <c r="E1447" t="s">
        <v>3403</v>
      </c>
      <c r="F1447">
        <v>2.4</v>
      </c>
      <c r="G1447">
        <v>104.02</v>
      </c>
      <c r="I1447" t="str" cm="1">
        <f t="array" ref="I1447:J1447">_xlfn.TEXTSPLIT(A1447," ")</f>
        <v>28.10.2023</v>
      </c>
      <c r="J1447" t="str">
        <v>00:07:21</v>
      </c>
      <c r="K1447">
        <f t="shared" si="360"/>
        <v>24.066666666666581</v>
      </c>
      <c r="L1447">
        <f t="shared" si="353"/>
        <v>14.940000000000001</v>
      </c>
      <c r="M1447">
        <f t="shared" si="354"/>
        <v>1.35</v>
      </c>
      <c r="N1447">
        <f t="shared" si="348"/>
        <v>0.57750000000000001</v>
      </c>
      <c r="Q1447" t="str" cm="1">
        <f t="array" ref="Q1447:R1447">_xlfn.TEXTSPLIT(E1447," ")</f>
        <v>28.10.2023</v>
      </c>
      <c r="R1447" t="str">
        <v>00:07:21</v>
      </c>
      <c r="S1447">
        <f t="shared" si="361"/>
        <v>24.066666666666581</v>
      </c>
      <c r="T1447">
        <f t="shared" si="352"/>
        <v>25.42</v>
      </c>
      <c r="U1447">
        <f t="shared" si="355"/>
        <v>2.4</v>
      </c>
      <c r="V1447">
        <f t="shared" si="349"/>
        <v>1.0225</v>
      </c>
    </row>
    <row r="1448" spans="1:22" x14ac:dyDescent="0.25">
      <c r="A1448" t="s">
        <v>3404</v>
      </c>
      <c r="B1448">
        <v>3</v>
      </c>
      <c r="C1448">
        <v>29.3</v>
      </c>
      <c r="E1448" t="s">
        <v>3404</v>
      </c>
      <c r="F1448">
        <v>2.85</v>
      </c>
      <c r="G1448">
        <v>104.06</v>
      </c>
      <c r="I1448" t="str" cm="1">
        <f t="array" ref="I1448:J1448">_xlfn.TEXTSPLIT(A1448," ")</f>
        <v>28.10.2023</v>
      </c>
      <c r="J1448" t="str">
        <v>00:08:21</v>
      </c>
      <c r="K1448">
        <f t="shared" si="360"/>
        <v>24.083333333333247</v>
      </c>
      <c r="L1448">
        <f t="shared" si="353"/>
        <v>14.98</v>
      </c>
      <c r="M1448">
        <f t="shared" si="354"/>
        <v>3</v>
      </c>
      <c r="N1448">
        <f t="shared" si="348"/>
        <v>0.5924999999999998</v>
      </c>
      <c r="Q1448" t="str" cm="1">
        <f t="array" ref="Q1448:R1448">_xlfn.TEXTSPLIT(E1448," ")</f>
        <v>28.10.2023</v>
      </c>
      <c r="R1448" t="str">
        <v>00:08:21</v>
      </c>
      <c r="S1448">
        <f t="shared" si="361"/>
        <v>24.083333333333247</v>
      </c>
      <c r="T1448">
        <f t="shared" si="352"/>
        <v>25.460000000000008</v>
      </c>
      <c r="U1448">
        <f t="shared" si="355"/>
        <v>2.85</v>
      </c>
      <c r="V1448">
        <f t="shared" si="349"/>
        <v>1.0399999999999998</v>
      </c>
    </row>
    <row r="1449" spans="1:22" x14ac:dyDescent="0.25">
      <c r="A1449" t="s">
        <v>3405</v>
      </c>
      <c r="B1449">
        <v>1.8</v>
      </c>
      <c r="C1449">
        <v>29.33</v>
      </c>
      <c r="E1449" t="s">
        <v>3405</v>
      </c>
      <c r="F1449">
        <v>1.5</v>
      </c>
      <c r="G1449">
        <v>104.09</v>
      </c>
      <c r="I1449" t="str" cm="1">
        <f t="array" ref="I1449:J1449">_xlfn.TEXTSPLIT(A1449," ")</f>
        <v>28.10.2023</v>
      </c>
      <c r="J1449" t="str">
        <v>00:09:21</v>
      </c>
      <c r="K1449">
        <f t="shared" si="360"/>
        <v>24.099999999999913</v>
      </c>
      <c r="L1449">
        <f t="shared" si="353"/>
        <v>15.009999999999998</v>
      </c>
      <c r="M1449">
        <f t="shared" si="354"/>
        <v>1.8</v>
      </c>
      <c r="N1449">
        <f t="shared" si="348"/>
        <v>0.58999999999999986</v>
      </c>
      <c r="Q1449" t="str" cm="1">
        <f t="array" ref="Q1449:R1449">_xlfn.TEXTSPLIT(E1449," ")</f>
        <v>28.10.2023</v>
      </c>
      <c r="R1449" t="str">
        <v>00:09:21</v>
      </c>
      <c r="S1449">
        <f t="shared" si="361"/>
        <v>24.099999999999913</v>
      </c>
      <c r="T1449">
        <f t="shared" si="352"/>
        <v>25.490000000000009</v>
      </c>
      <c r="U1449">
        <f t="shared" si="355"/>
        <v>1.5</v>
      </c>
      <c r="V1449">
        <f t="shared" si="349"/>
        <v>1.0349999999999999</v>
      </c>
    </row>
    <row r="1450" spans="1:22" x14ac:dyDescent="0.25">
      <c r="A1450" t="s">
        <v>3406</v>
      </c>
      <c r="B1450">
        <v>1.2</v>
      </c>
      <c r="C1450">
        <v>29.35</v>
      </c>
      <c r="E1450" t="s">
        <v>3406</v>
      </c>
      <c r="F1450">
        <v>1.05</v>
      </c>
      <c r="G1450">
        <v>104.1</v>
      </c>
      <c r="I1450" t="str" cm="1">
        <f t="array" ref="I1450:J1450">_xlfn.TEXTSPLIT(A1450," ")</f>
        <v>28.10.2023</v>
      </c>
      <c r="J1450" t="str">
        <v>00:10:22</v>
      </c>
      <c r="K1450">
        <f t="shared" si="360"/>
        <v>24.116666666666578</v>
      </c>
      <c r="L1450">
        <f t="shared" si="353"/>
        <v>15.030000000000001</v>
      </c>
      <c r="M1450">
        <f t="shared" si="354"/>
        <v>1.2</v>
      </c>
      <c r="N1450">
        <f t="shared" si="348"/>
        <v>0.58249999999999991</v>
      </c>
      <c r="Q1450" t="str" cm="1">
        <f t="array" ref="Q1450:R1450">_xlfn.TEXTSPLIT(E1450," ")</f>
        <v>28.10.2023</v>
      </c>
      <c r="R1450" t="str">
        <v>00:10:22</v>
      </c>
      <c r="S1450">
        <f t="shared" si="361"/>
        <v>24.116666666666578</v>
      </c>
      <c r="T1450">
        <f t="shared" si="352"/>
        <v>25.5</v>
      </c>
      <c r="U1450">
        <f t="shared" si="355"/>
        <v>1.05</v>
      </c>
      <c r="V1450">
        <f t="shared" si="349"/>
        <v>1.0224999999999997</v>
      </c>
    </row>
    <row r="1451" spans="1:22" x14ac:dyDescent="0.25">
      <c r="A1451" t="s">
        <v>3407</v>
      </c>
      <c r="B1451">
        <v>0.9</v>
      </c>
      <c r="C1451">
        <v>29.36</v>
      </c>
      <c r="E1451" t="s">
        <v>3407</v>
      </c>
      <c r="F1451">
        <v>1.2</v>
      </c>
      <c r="G1451">
        <v>104.12</v>
      </c>
      <c r="I1451" t="str" cm="1">
        <f t="array" ref="I1451:J1451">_xlfn.TEXTSPLIT(A1451," ")</f>
        <v>28.10.2023</v>
      </c>
      <c r="J1451" t="str">
        <v>00:11:22</v>
      </c>
      <c r="K1451">
        <f t="shared" si="360"/>
        <v>24.133333333333244</v>
      </c>
      <c r="L1451">
        <f t="shared" si="353"/>
        <v>15.04</v>
      </c>
      <c r="M1451">
        <f t="shared" si="354"/>
        <v>0.9</v>
      </c>
      <c r="N1451">
        <f t="shared" si="348"/>
        <v>0.59</v>
      </c>
      <c r="Q1451" t="str" cm="1">
        <f t="array" ref="Q1451:R1451">_xlfn.TEXTSPLIT(E1451," ")</f>
        <v>28.10.2023</v>
      </c>
      <c r="R1451" t="str">
        <v>00:11:22</v>
      </c>
      <c r="S1451">
        <f t="shared" si="361"/>
        <v>24.133333333333244</v>
      </c>
      <c r="T1451">
        <f t="shared" si="352"/>
        <v>25.52000000000001</v>
      </c>
      <c r="U1451">
        <f t="shared" si="355"/>
        <v>1.2</v>
      </c>
      <c r="V1451">
        <f t="shared" si="349"/>
        <v>1.0225</v>
      </c>
    </row>
    <row r="1452" spans="1:22" x14ac:dyDescent="0.25">
      <c r="A1452" t="s">
        <v>3408</v>
      </c>
      <c r="B1452">
        <v>0.75</v>
      </c>
      <c r="C1452">
        <v>29.37</v>
      </c>
      <c r="E1452" t="s">
        <v>3408</v>
      </c>
      <c r="F1452">
        <v>1.05</v>
      </c>
      <c r="G1452">
        <v>104.14</v>
      </c>
      <c r="I1452" t="str" cm="1">
        <f t="array" ref="I1452:J1452">_xlfn.TEXTSPLIT(A1452," ")</f>
        <v>28.10.2023</v>
      </c>
      <c r="J1452" t="str">
        <v>00:12:22</v>
      </c>
      <c r="K1452">
        <f t="shared" si="360"/>
        <v>24.14999999999991</v>
      </c>
      <c r="L1452">
        <f t="shared" si="353"/>
        <v>15.05</v>
      </c>
      <c r="M1452">
        <f t="shared" si="354"/>
        <v>0.75</v>
      </c>
      <c r="N1452">
        <f t="shared" si="348"/>
        <v>0.58499999999999985</v>
      </c>
      <c r="Q1452" t="str" cm="1">
        <f t="array" ref="Q1452:R1452">_xlfn.TEXTSPLIT(E1452," ")</f>
        <v>28.10.2023</v>
      </c>
      <c r="R1452" t="str">
        <v>00:12:22</v>
      </c>
      <c r="S1452">
        <f t="shared" si="361"/>
        <v>24.14999999999991</v>
      </c>
      <c r="T1452">
        <f t="shared" si="352"/>
        <v>25.540000000000006</v>
      </c>
      <c r="U1452">
        <f t="shared" si="355"/>
        <v>1.05</v>
      </c>
      <c r="V1452">
        <f t="shared" si="349"/>
        <v>1.0249999999999999</v>
      </c>
    </row>
    <row r="1453" spans="1:22" x14ac:dyDescent="0.25">
      <c r="A1453" t="s">
        <v>3409</v>
      </c>
      <c r="B1453">
        <v>0.9</v>
      </c>
      <c r="C1453">
        <v>29.39</v>
      </c>
      <c r="E1453" t="s">
        <v>3409</v>
      </c>
      <c r="F1453">
        <v>1.05</v>
      </c>
      <c r="G1453">
        <v>104.15</v>
      </c>
      <c r="I1453" t="str" cm="1">
        <f t="array" ref="I1453:J1453">_xlfn.TEXTSPLIT(A1453," ")</f>
        <v>28.10.2023</v>
      </c>
      <c r="J1453" t="str">
        <v>00:13:22</v>
      </c>
      <c r="K1453">
        <f t="shared" si="360"/>
        <v>24.166666666666575</v>
      </c>
      <c r="L1453">
        <f t="shared" si="353"/>
        <v>15.07</v>
      </c>
      <c r="M1453">
        <f t="shared" si="354"/>
        <v>0.9</v>
      </c>
      <c r="N1453">
        <f t="shared" si="348"/>
        <v>0.59</v>
      </c>
      <c r="Q1453" t="str" cm="1">
        <f t="array" ref="Q1453:R1453">_xlfn.TEXTSPLIT(E1453," ")</f>
        <v>28.10.2023</v>
      </c>
      <c r="R1453" t="str">
        <v>00:13:22</v>
      </c>
      <c r="S1453">
        <f t="shared" si="361"/>
        <v>24.166666666666575</v>
      </c>
      <c r="T1453">
        <f t="shared" si="352"/>
        <v>25.550000000000011</v>
      </c>
      <c r="U1453">
        <f t="shared" si="355"/>
        <v>1.05</v>
      </c>
      <c r="V1453">
        <f t="shared" si="349"/>
        <v>1.0299999999999998</v>
      </c>
    </row>
    <row r="1454" spans="1:22" x14ac:dyDescent="0.25">
      <c r="A1454" t="s">
        <v>3410</v>
      </c>
      <c r="B1454">
        <v>0.6</v>
      </c>
      <c r="C1454">
        <v>29.4</v>
      </c>
      <c r="E1454" t="s">
        <v>3410</v>
      </c>
      <c r="F1454">
        <v>1.2</v>
      </c>
      <c r="G1454">
        <v>104.17</v>
      </c>
      <c r="I1454" t="str" cm="1">
        <f t="array" ref="I1454:J1454">_xlfn.TEXTSPLIT(A1454," ")</f>
        <v>28.10.2023</v>
      </c>
      <c r="J1454" t="str">
        <v>00:14:22</v>
      </c>
      <c r="K1454">
        <f t="shared" si="360"/>
        <v>24.183333333333241</v>
      </c>
      <c r="L1454">
        <f t="shared" si="353"/>
        <v>15.079999999999998</v>
      </c>
      <c r="M1454">
        <f t="shared" si="354"/>
        <v>0.6</v>
      </c>
      <c r="N1454">
        <f t="shared" si="348"/>
        <v>0.58750000000000002</v>
      </c>
      <c r="Q1454" t="str" cm="1">
        <f t="array" ref="Q1454:R1454">_xlfn.TEXTSPLIT(E1454," ")</f>
        <v>28.10.2023</v>
      </c>
      <c r="R1454" t="str">
        <v>00:14:22</v>
      </c>
      <c r="S1454">
        <f t="shared" si="361"/>
        <v>24.183333333333241</v>
      </c>
      <c r="T1454">
        <f t="shared" si="352"/>
        <v>25.570000000000007</v>
      </c>
      <c r="U1454">
        <f t="shared" si="355"/>
        <v>1.2</v>
      </c>
      <c r="V1454">
        <f t="shared" si="349"/>
        <v>1.0299999999999998</v>
      </c>
    </row>
    <row r="1455" spans="1:22" x14ac:dyDescent="0.25">
      <c r="A1455" t="s">
        <v>3411</v>
      </c>
      <c r="B1455">
        <v>0.6</v>
      </c>
      <c r="C1455">
        <v>29.41</v>
      </c>
      <c r="E1455" t="s">
        <v>3411</v>
      </c>
      <c r="F1455">
        <v>0.75</v>
      </c>
      <c r="G1455">
        <v>104.18</v>
      </c>
      <c r="I1455" t="str" cm="1">
        <f t="array" ref="I1455:J1455">_xlfn.TEXTSPLIT(A1455," ")</f>
        <v>28.10.2023</v>
      </c>
      <c r="J1455" t="str">
        <v>00:15:22</v>
      </c>
      <c r="K1455">
        <f t="shared" si="360"/>
        <v>24.199999999999907</v>
      </c>
      <c r="L1455">
        <f t="shared" si="353"/>
        <v>15.09</v>
      </c>
      <c r="M1455">
        <f t="shared" si="354"/>
        <v>0.6</v>
      </c>
      <c r="N1455">
        <f t="shared" si="348"/>
        <v>0.59</v>
      </c>
      <c r="Q1455" t="str" cm="1">
        <f t="array" ref="Q1455:R1455">_xlfn.TEXTSPLIT(E1455," ")</f>
        <v>28.10.2023</v>
      </c>
      <c r="R1455" t="str">
        <v>00:15:22</v>
      </c>
      <c r="S1455">
        <f t="shared" si="361"/>
        <v>24.199999999999907</v>
      </c>
      <c r="T1455">
        <f t="shared" si="352"/>
        <v>25.580000000000013</v>
      </c>
      <c r="U1455">
        <f t="shared" si="355"/>
        <v>0.75</v>
      </c>
      <c r="V1455">
        <f t="shared" si="349"/>
        <v>1.0274999999999999</v>
      </c>
    </row>
    <row r="1456" spans="1:22" x14ac:dyDescent="0.25">
      <c r="A1456" t="s">
        <v>3412</v>
      </c>
      <c r="B1456">
        <v>0.6</v>
      </c>
      <c r="C1456">
        <v>29.42</v>
      </c>
      <c r="E1456" t="s">
        <v>3412</v>
      </c>
      <c r="F1456">
        <v>0.9</v>
      </c>
      <c r="G1456">
        <v>104.2</v>
      </c>
      <c r="I1456" t="str" cm="1">
        <f t="array" ref="I1456:J1456">_xlfn.TEXTSPLIT(A1456," ")</f>
        <v>28.10.2023</v>
      </c>
      <c r="J1456" t="str">
        <v>00:16:22</v>
      </c>
      <c r="K1456">
        <f t="shared" si="360"/>
        <v>24.216666666666573</v>
      </c>
      <c r="L1456">
        <f t="shared" si="353"/>
        <v>15.100000000000001</v>
      </c>
      <c r="M1456">
        <f t="shared" si="354"/>
        <v>0.6</v>
      </c>
      <c r="N1456">
        <f t="shared" si="348"/>
        <v>0.59</v>
      </c>
      <c r="Q1456" t="str" cm="1">
        <f t="array" ref="Q1456:R1456">_xlfn.TEXTSPLIT(E1456," ")</f>
        <v>28.10.2023</v>
      </c>
      <c r="R1456" t="str">
        <v>00:16:22</v>
      </c>
      <c r="S1456">
        <f t="shared" si="361"/>
        <v>24.216666666666573</v>
      </c>
      <c r="T1456">
        <f t="shared" si="352"/>
        <v>25.600000000000009</v>
      </c>
      <c r="U1456">
        <f t="shared" si="355"/>
        <v>0.9</v>
      </c>
      <c r="V1456">
        <f t="shared" si="349"/>
        <v>1.0224999999999997</v>
      </c>
    </row>
    <row r="1457" spans="1:22" x14ac:dyDescent="0.25">
      <c r="A1457" t="s">
        <v>3413</v>
      </c>
      <c r="B1457">
        <v>0.45</v>
      </c>
      <c r="C1457">
        <v>29.42</v>
      </c>
      <c r="E1457" t="s">
        <v>3413</v>
      </c>
      <c r="F1457">
        <v>0.6</v>
      </c>
      <c r="G1457">
        <v>104.21</v>
      </c>
      <c r="I1457" t="str" cm="1">
        <f t="array" ref="I1457:J1457">_xlfn.TEXTSPLIT(A1457," ")</f>
        <v>28.10.2023</v>
      </c>
      <c r="J1457" t="str">
        <v>00:17:22</v>
      </c>
      <c r="K1457">
        <f t="shared" si="360"/>
        <v>24.233333333333238</v>
      </c>
      <c r="L1457">
        <f t="shared" si="353"/>
        <v>15.100000000000001</v>
      </c>
      <c r="M1457">
        <f t="shared" si="354"/>
        <v>0.45</v>
      </c>
      <c r="N1457">
        <f t="shared" si="348"/>
        <v>0.59250000000000003</v>
      </c>
      <c r="Q1457" t="str" cm="1">
        <f t="array" ref="Q1457:R1457">_xlfn.TEXTSPLIT(E1457," ")</f>
        <v>28.10.2023</v>
      </c>
      <c r="R1457" t="str">
        <v>00:17:22</v>
      </c>
      <c r="S1457">
        <f t="shared" si="361"/>
        <v>24.233333333333238</v>
      </c>
      <c r="T1457">
        <f t="shared" si="352"/>
        <v>25.61</v>
      </c>
      <c r="U1457">
        <f t="shared" si="355"/>
        <v>0.6</v>
      </c>
      <c r="V1457">
        <f t="shared" si="349"/>
        <v>1.0149999999999999</v>
      </c>
    </row>
    <row r="1458" spans="1:22" x14ac:dyDescent="0.25">
      <c r="A1458" t="s">
        <v>3414</v>
      </c>
      <c r="B1458">
        <v>0.6</v>
      </c>
      <c r="C1458">
        <v>29.43</v>
      </c>
      <c r="E1458" t="s">
        <v>3414</v>
      </c>
      <c r="F1458">
        <v>0.75</v>
      </c>
      <c r="G1458">
        <v>104.22</v>
      </c>
      <c r="I1458" t="str" cm="1">
        <f t="array" ref="I1458:J1458">_xlfn.TEXTSPLIT(A1458," ")</f>
        <v>28.10.2023</v>
      </c>
      <c r="J1458" t="str">
        <v>00:18:22</v>
      </c>
      <c r="K1458">
        <f t="shared" si="360"/>
        <v>24.249999999999904</v>
      </c>
      <c r="L1458">
        <f t="shared" si="353"/>
        <v>15.11</v>
      </c>
      <c r="M1458">
        <f t="shared" si="354"/>
        <v>0.6</v>
      </c>
      <c r="N1458">
        <f t="shared" si="348"/>
        <v>0.5950000000000002</v>
      </c>
      <c r="Q1458" t="str" cm="1">
        <f t="array" ref="Q1458:R1458">_xlfn.TEXTSPLIT(E1458," ")</f>
        <v>28.10.2023</v>
      </c>
      <c r="R1458" t="str">
        <v>00:18:22</v>
      </c>
      <c r="S1458">
        <f t="shared" si="361"/>
        <v>24.249999999999904</v>
      </c>
      <c r="T1458">
        <f t="shared" si="352"/>
        <v>25.620000000000005</v>
      </c>
      <c r="U1458">
        <f t="shared" si="355"/>
        <v>0.75</v>
      </c>
      <c r="V1458">
        <f t="shared" si="349"/>
        <v>1.0149999999999999</v>
      </c>
    </row>
    <row r="1459" spans="1:22" x14ac:dyDescent="0.25">
      <c r="A1459" t="s">
        <v>3415</v>
      </c>
      <c r="B1459">
        <v>0.45</v>
      </c>
      <c r="C1459">
        <v>29.44</v>
      </c>
      <c r="E1459" t="s">
        <v>3415</v>
      </c>
      <c r="F1459">
        <v>0.75</v>
      </c>
      <c r="G1459">
        <v>104.24</v>
      </c>
      <c r="I1459" t="str" cm="1">
        <f t="array" ref="I1459:J1459">_xlfn.TEXTSPLIT(A1459," ")</f>
        <v>28.10.2023</v>
      </c>
      <c r="J1459" t="str">
        <v>00:19:22</v>
      </c>
      <c r="K1459">
        <f t="shared" si="360"/>
        <v>24.26666666666657</v>
      </c>
      <c r="L1459">
        <f t="shared" si="353"/>
        <v>15.120000000000001</v>
      </c>
      <c r="M1459">
        <f t="shared" si="354"/>
        <v>0.45</v>
      </c>
      <c r="N1459">
        <f t="shared" si="348"/>
        <v>0.5950000000000002</v>
      </c>
      <c r="Q1459" t="str" cm="1">
        <f t="array" ref="Q1459:R1459">_xlfn.TEXTSPLIT(E1459," ")</f>
        <v>28.10.2023</v>
      </c>
      <c r="R1459" t="str">
        <v>00:19:22</v>
      </c>
      <c r="S1459">
        <f t="shared" si="361"/>
        <v>24.26666666666657</v>
      </c>
      <c r="T1459">
        <f t="shared" si="352"/>
        <v>25.64</v>
      </c>
      <c r="U1459">
        <f t="shared" si="355"/>
        <v>0.75</v>
      </c>
      <c r="V1459">
        <f t="shared" si="349"/>
        <v>1.0149999999999999</v>
      </c>
    </row>
    <row r="1460" spans="1:22" x14ac:dyDescent="0.25">
      <c r="A1460" t="s">
        <v>3416</v>
      </c>
      <c r="B1460">
        <v>0.3</v>
      </c>
      <c r="C1460">
        <v>29.45</v>
      </c>
      <c r="E1460" t="s">
        <v>3416</v>
      </c>
      <c r="F1460">
        <v>1.2</v>
      </c>
      <c r="G1460">
        <v>104.25</v>
      </c>
      <c r="I1460" t="str" cm="1">
        <f t="array" ref="I1460:J1460">_xlfn.TEXTSPLIT(A1460," ")</f>
        <v>28.10.2023</v>
      </c>
      <c r="J1460" t="str">
        <v>00:20:23</v>
      </c>
      <c r="K1460">
        <f t="shared" si="360"/>
        <v>24.283333333333236</v>
      </c>
      <c r="L1460">
        <f t="shared" si="353"/>
        <v>15.129999999999999</v>
      </c>
      <c r="M1460">
        <f t="shared" si="354"/>
        <v>0.3</v>
      </c>
      <c r="N1460">
        <f t="shared" si="348"/>
        <v>0.59250000000000003</v>
      </c>
      <c r="Q1460" t="str" cm="1">
        <f t="array" ref="Q1460:R1460">_xlfn.TEXTSPLIT(E1460," ")</f>
        <v>28.10.2023</v>
      </c>
      <c r="R1460" t="str">
        <v>00:20:23</v>
      </c>
      <c r="S1460">
        <f t="shared" si="361"/>
        <v>24.283333333333236</v>
      </c>
      <c r="T1460">
        <f t="shared" si="352"/>
        <v>25.650000000000006</v>
      </c>
      <c r="U1460">
        <f t="shared" si="355"/>
        <v>1.2</v>
      </c>
      <c r="V1460">
        <f t="shared" si="349"/>
        <v>1.0225</v>
      </c>
    </row>
    <row r="1461" spans="1:22" x14ac:dyDescent="0.25">
      <c r="A1461" t="s">
        <v>3417</v>
      </c>
      <c r="B1461">
        <v>0.45</v>
      </c>
      <c r="C1461">
        <v>29.45</v>
      </c>
      <c r="E1461" t="s">
        <v>3417</v>
      </c>
      <c r="F1461">
        <v>0.15</v>
      </c>
      <c r="G1461">
        <v>104.25</v>
      </c>
      <c r="I1461" t="str" cm="1">
        <f t="array" ref="I1461:J1461">_xlfn.TEXTSPLIT(A1461," ")</f>
        <v>28.10.2023</v>
      </c>
      <c r="J1461" t="str">
        <v>00:21:23</v>
      </c>
      <c r="K1461">
        <f t="shared" si="360"/>
        <v>24.299999999999901</v>
      </c>
      <c r="L1461">
        <f t="shared" si="353"/>
        <v>15.129999999999999</v>
      </c>
      <c r="M1461">
        <f t="shared" si="354"/>
        <v>0.45</v>
      </c>
      <c r="N1461">
        <f t="shared" si="348"/>
        <v>0.59250000000000003</v>
      </c>
      <c r="Q1461" t="str" cm="1">
        <f t="array" ref="Q1461:R1461">_xlfn.TEXTSPLIT(E1461," ")</f>
        <v>28.10.2023</v>
      </c>
      <c r="R1461" t="str">
        <v>00:21:23</v>
      </c>
      <c r="S1461">
        <f t="shared" si="361"/>
        <v>24.299999999999901</v>
      </c>
      <c r="T1461">
        <f t="shared" si="352"/>
        <v>25.650000000000006</v>
      </c>
      <c r="U1461">
        <f t="shared" si="355"/>
        <v>0.15</v>
      </c>
      <c r="V1461">
        <f t="shared" si="349"/>
        <v>1.0225</v>
      </c>
    </row>
    <row r="1462" spans="1:22" x14ac:dyDescent="0.25">
      <c r="A1462" t="s">
        <v>3418</v>
      </c>
      <c r="B1462">
        <v>0.3</v>
      </c>
      <c r="C1462">
        <v>29.46</v>
      </c>
      <c r="E1462" t="s">
        <v>3418</v>
      </c>
      <c r="F1462">
        <v>0</v>
      </c>
      <c r="G1462">
        <v>104.25</v>
      </c>
      <c r="I1462" t="str" cm="1">
        <f t="array" ref="I1462:J1462">_xlfn.TEXTSPLIT(A1462," ")</f>
        <v>28.10.2023</v>
      </c>
      <c r="J1462" t="str">
        <v>00:22:23</v>
      </c>
      <c r="K1462">
        <f t="shared" si="360"/>
        <v>24.316666666666567</v>
      </c>
      <c r="L1462">
        <f t="shared" si="353"/>
        <v>15.14</v>
      </c>
      <c r="M1462">
        <f t="shared" si="354"/>
        <v>0.3</v>
      </c>
      <c r="N1462">
        <f t="shared" si="348"/>
        <v>0.59000000000000008</v>
      </c>
      <c r="Q1462" t="str" cm="1">
        <f t="array" ref="Q1462:R1462">_xlfn.TEXTSPLIT(E1462," ")</f>
        <v>28.10.2023</v>
      </c>
      <c r="R1462" t="str">
        <v>00:22:23</v>
      </c>
      <c r="S1462">
        <f t="shared" si="361"/>
        <v>24.316666666666567</v>
      </c>
      <c r="T1462">
        <f t="shared" si="352"/>
        <v>25.650000000000006</v>
      </c>
      <c r="U1462">
        <f t="shared" si="355"/>
        <v>0</v>
      </c>
      <c r="V1462">
        <f t="shared" si="349"/>
        <v>1.02</v>
      </c>
    </row>
    <row r="1463" spans="1:22" x14ac:dyDescent="0.25">
      <c r="A1463" t="s">
        <v>3419</v>
      </c>
      <c r="B1463">
        <v>0</v>
      </c>
      <c r="C1463">
        <v>29.46</v>
      </c>
      <c r="E1463" t="s">
        <v>3419</v>
      </c>
      <c r="F1463">
        <v>0.45</v>
      </c>
      <c r="G1463">
        <v>104.26</v>
      </c>
      <c r="I1463" t="str" cm="1">
        <f t="array" ref="I1463:J1463">_xlfn.TEXTSPLIT(A1463," ")</f>
        <v>28.10.2023</v>
      </c>
      <c r="J1463" t="str">
        <v>00:23:23</v>
      </c>
      <c r="K1463">
        <f t="shared" si="360"/>
        <v>24.333333333333233</v>
      </c>
      <c r="L1463">
        <f t="shared" si="353"/>
        <v>15.14</v>
      </c>
      <c r="M1463">
        <f t="shared" si="354"/>
        <v>0</v>
      </c>
      <c r="N1463">
        <f t="shared" si="348"/>
        <v>0.59000000000000008</v>
      </c>
      <c r="Q1463" t="str" cm="1">
        <f t="array" ref="Q1463:R1463">_xlfn.TEXTSPLIT(E1463," ")</f>
        <v>28.10.2023</v>
      </c>
      <c r="R1463" t="str">
        <v>00:23:23</v>
      </c>
      <c r="S1463">
        <f t="shared" si="361"/>
        <v>24.333333333333233</v>
      </c>
      <c r="T1463">
        <f t="shared" si="352"/>
        <v>25.660000000000011</v>
      </c>
      <c r="U1463">
        <f t="shared" si="355"/>
        <v>0.45</v>
      </c>
      <c r="V1463">
        <f t="shared" si="349"/>
        <v>1.0225</v>
      </c>
    </row>
    <row r="1464" spans="1:22" x14ac:dyDescent="0.25">
      <c r="A1464" t="s">
        <v>3420</v>
      </c>
      <c r="B1464">
        <v>0</v>
      </c>
      <c r="C1464">
        <v>29.46</v>
      </c>
      <c r="E1464" t="s">
        <v>3420</v>
      </c>
      <c r="F1464">
        <v>0.6</v>
      </c>
      <c r="G1464">
        <v>104.27</v>
      </c>
      <c r="I1464" t="str" cm="1">
        <f t="array" ref="I1464:J1464">_xlfn.TEXTSPLIT(A1464," ")</f>
        <v>28.10.2023</v>
      </c>
      <c r="J1464" t="str">
        <v>00:24:23</v>
      </c>
      <c r="K1464">
        <f t="shared" si="360"/>
        <v>24.349999999999898</v>
      </c>
      <c r="L1464">
        <f t="shared" si="353"/>
        <v>15.14</v>
      </c>
      <c r="M1464">
        <f t="shared" si="354"/>
        <v>0</v>
      </c>
      <c r="N1464">
        <f t="shared" si="348"/>
        <v>0.59000000000000008</v>
      </c>
      <c r="Q1464" t="str" cm="1">
        <f t="array" ref="Q1464:R1464">_xlfn.TEXTSPLIT(E1464," ")</f>
        <v>28.10.2023</v>
      </c>
      <c r="R1464" t="str">
        <v>00:24:23</v>
      </c>
      <c r="S1464">
        <f t="shared" si="361"/>
        <v>24.349999999999898</v>
      </c>
      <c r="T1464">
        <f t="shared" si="352"/>
        <v>25.67</v>
      </c>
      <c r="U1464">
        <f t="shared" si="355"/>
        <v>0.6</v>
      </c>
      <c r="V1464">
        <f t="shared" si="349"/>
        <v>1.0275000000000001</v>
      </c>
    </row>
    <row r="1465" spans="1:22" x14ac:dyDescent="0.25">
      <c r="A1465" t="s">
        <v>3421</v>
      </c>
      <c r="B1465">
        <v>0</v>
      </c>
      <c r="C1465">
        <v>29.46</v>
      </c>
      <c r="E1465" t="s">
        <v>3421</v>
      </c>
      <c r="F1465">
        <v>0.6</v>
      </c>
      <c r="G1465">
        <v>104.28</v>
      </c>
      <c r="I1465" t="str" cm="1">
        <f t="array" ref="I1465:J1465">_xlfn.TEXTSPLIT(A1465," ")</f>
        <v>28.10.2023</v>
      </c>
      <c r="J1465" t="str">
        <v>00:25:23</v>
      </c>
      <c r="K1465">
        <f t="shared" si="360"/>
        <v>24.366666666666564</v>
      </c>
      <c r="L1465">
        <f t="shared" si="353"/>
        <v>15.14</v>
      </c>
      <c r="M1465">
        <f t="shared" si="354"/>
        <v>0</v>
      </c>
      <c r="N1465">
        <f t="shared" si="348"/>
        <v>0.59000000000000008</v>
      </c>
      <c r="Q1465" t="str" cm="1">
        <f t="array" ref="Q1465:R1465">_xlfn.TEXTSPLIT(E1465," ")</f>
        <v>28.10.2023</v>
      </c>
      <c r="R1465" t="str">
        <v>00:25:23</v>
      </c>
      <c r="S1465">
        <f t="shared" si="361"/>
        <v>24.366666666666564</v>
      </c>
      <c r="T1465">
        <f t="shared" si="352"/>
        <v>25.680000000000007</v>
      </c>
      <c r="U1465">
        <f t="shared" si="355"/>
        <v>0.6</v>
      </c>
      <c r="V1465">
        <f t="shared" si="349"/>
        <v>1.03</v>
      </c>
    </row>
    <row r="1466" spans="1:22" x14ac:dyDescent="0.25">
      <c r="A1466" t="s">
        <v>3422</v>
      </c>
      <c r="B1466">
        <v>0</v>
      </c>
      <c r="C1466">
        <v>29.46</v>
      </c>
      <c r="E1466" t="s">
        <v>3422</v>
      </c>
      <c r="F1466">
        <v>0.75</v>
      </c>
      <c r="G1466">
        <v>104.29</v>
      </c>
      <c r="I1466" t="str" cm="1">
        <f t="array" ref="I1466:J1466">_xlfn.TEXTSPLIT(A1466," ")</f>
        <v>28.10.2023</v>
      </c>
      <c r="J1466" t="str">
        <v>00:26:23</v>
      </c>
      <c r="K1466">
        <f t="shared" si="360"/>
        <v>24.38333333333323</v>
      </c>
      <c r="L1466">
        <f t="shared" si="353"/>
        <v>15.14</v>
      </c>
      <c r="M1466">
        <f t="shared" si="354"/>
        <v>0</v>
      </c>
      <c r="N1466">
        <f t="shared" si="348"/>
        <v>0.59000000000000008</v>
      </c>
      <c r="Q1466" t="str" cm="1">
        <f t="array" ref="Q1466:R1466">_xlfn.TEXTSPLIT(E1466," ")</f>
        <v>28.10.2023</v>
      </c>
      <c r="R1466" t="str">
        <v>00:26:23</v>
      </c>
      <c r="S1466">
        <f t="shared" si="361"/>
        <v>24.38333333333323</v>
      </c>
      <c r="T1466">
        <f t="shared" si="352"/>
        <v>25.690000000000012</v>
      </c>
      <c r="U1466">
        <f t="shared" si="355"/>
        <v>0.75</v>
      </c>
      <c r="V1466">
        <f t="shared" si="349"/>
        <v>1.0325</v>
      </c>
    </row>
    <row r="1467" spans="1:22" x14ac:dyDescent="0.25">
      <c r="A1467" t="s">
        <v>3423</v>
      </c>
      <c r="B1467">
        <v>0</v>
      </c>
      <c r="C1467">
        <v>29.46</v>
      </c>
      <c r="E1467" t="s">
        <v>3423</v>
      </c>
      <c r="F1467">
        <v>0.6</v>
      </c>
      <c r="G1467">
        <v>104.31</v>
      </c>
      <c r="I1467" t="str" cm="1">
        <f t="array" ref="I1467:J1467">_xlfn.TEXTSPLIT(A1467," ")</f>
        <v>28.10.2023</v>
      </c>
      <c r="J1467" t="str">
        <v>00:27:23</v>
      </c>
      <c r="K1467">
        <f t="shared" si="360"/>
        <v>24.399999999999896</v>
      </c>
      <c r="L1467">
        <f t="shared" si="353"/>
        <v>15.14</v>
      </c>
      <c r="M1467">
        <f t="shared" si="354"/>
        <v>0</v>
      </c>
      <c r="N1467">
        <f t="shared" si="348"/>
        <v>0.59000000000000008</v>
      </c>
      <c r="Q1467" t="str" cm="1">
        <f t="array" ref="Q1467:R1467">_xlfn.TEXTSPLIT(E1467," ")</f>
        <v>28.10.2023</v>
      </c>
      <c r="R1467" t="str">
        <v>00:27:23</v>
      </c>
      <c r="S1467">
        <f t="shared" si="361"/>
        <v>24.399999999999896</v>
      </c>
      <c r="T1467">
        <f t="shared" si="352"/>
        <v>25.710000000000008</v>
      </c>
      <c r="U1467">
        <f t="shared" si="355"/>
        <v>0.6</v>
      </c>
      <c r="V1467">
        <f t="shared" si="349"/>
        <v>1.03</v>
      </c>
    </row>
    <row r="1468" spans="1:22" x14ac:dyDescent="0.25">
      <c r="A1468" t="s">
        <v>3424</v>
      </c>
      <c r="B1468">
        <v>0</v>
      </c>
      <c r="C1468">
        <v>29.46</v>
      </c>
      <c r="E1468" t="s">
        <v>3424</v>
      </c>
      <c r="F1468">
        <v>0.45</v>
      </c>
      <c r="G1468">
        <v>104.31</v>
      </c>
      <c r="I1468" t="str" cm="1">
        <f t="array" ref="I1468:J1468">_xlfn.TEXTSPLIT(A1468," ")</f>
        <v>28.10.2023</v>
      </c>
      <c r="J1468" t="str">
        <v>00:28:23</v>
      </c>
      <c r="K1468">
        <f t="shared" si="360"/>
        <v>24.416666666666561</v>
      </c>
      <c r="L1468">
        <f t="shared" si="353"/>
        <v>15.14</v>
      </c>
      <c r="M1468">
        <f t="shared" si="354"/>
        <v>0</v>
      </c>
      <c r="N1468">
        <f t="shared" si="348"/>
        <v>0.59000000000000008</v>
      </c>
      <c r="Q1468" t="str" cm="1">
        <f t="array" ref="Q1468:R1468">_xlfn.TEXTSPLIT(E1468," ")</f>
        <v>28.10.2023</v>
      </c>
      <c r="R1468" t="str">
        <v>00:28:23</v>
      </c>
      <c r="S1468">
        <f t="shared" si="361"/>
        <v>24.416666666666561</v>
      </c>
      <c r="T1468">
        <f t="shared" si="352"/>
        <v>25.710000000000008</v>
      </c>
      <c r="U1468">
        <f t="shared" si="355"/>
        <v>0.45</v>
      </c>
      <c r="V1468">
        <f t="shared" si="349"/>
        <v>1.02</v>
      </c>
    </row>
    <row r="1469" spans="1:22" x14ac:dyDescent="0.25">
      <c r="A1469" t="s">
        <v>3425</v>
      </c>
      <c r="B1469">
        <v>0</v>
      </c>
      <c r="C1469">
        <v>29.46</v>
      </c>
      <c r="E1469" t="s">
        <v>3425</v>
      </c>
      <c r="F1469">
        <v>0.6</v>
      </c>
      <c r="G1469">
        <v>104.32</v>
      </c>
      <c r="I1469" t="str" cm="1">
        <f t="array" ref="I1469:J1469">_xlfn.TEXTSPLIT(A1469," ")</f>
        <v>28.10.2023</v>
      </c>
      <c r="J1469" t="str">
        <v>00:29:23</v>
      </c>
      <c r="K1469">
        <f t="shared" si="360"/>
        <v>24.433333333333227</v>
      </c>
      <c r="L1469">
        <f t="shared" si="353"/>
        <v>15.14</v>
      </c>
      <c r="M1469">
        <f t="shared" si="354"/>
        <v>0</v>
      </c>
      <c r="N1469">
        <f t="shared" si="348"/>
        <v>0.59000000000000008</v>
      </c>
      <c r="Q1469" t="str" cm="1">
        <f t="array" ref="Q1469:R1469">_xlfn.TEXTSPLIT(E1469," ")</f>
        <v>28.10.2023</v>
      </c>
      <c r="R1469" t="str">
        <v>00:29:23</v>
      </c>
      <c r="S1469">
        <f t="shared" si="361"/>
        <v>24.433333333333227</v>
      </c>
      <c r="T1469">
        <f t="shared" si="352"/>
        <v>25.72</v>
      </c>
      <c r="U1469">
        <f t="shared" si="355"/>
        <v>0.6</v>
      </c>
      <c r="V1469">
        <f t="shared" si="349"/>
        <v>1.01</v>
      </c>
    </row>
    <row r="1470" spans="1:22" x14ac:dyDescent="0.25">
      <c r="A1470" t="s">
        <v>3426</v>
      </c>
      <c r="B1470">
        <v>0.15</v>
      </c>
      <c r="C1470">
        <v>29.46</v>
      </c>
      <c r="E1470" t="s">
        <v>3426</v>
      </c>
      <c r="F1470">
        <v>0.45</v>
      </c>
      <c r="G1470">
        <v>104.33</v>
      </c>
      <c r="I1470" t="str" cm="1">
        <f t="array" ref="I1470:J1470">_xlfn.TEXTSPLIT(A1470," ")</f>
        <v>28.10.2023</v>
      </c>
      <c r="J1470" t="str">
        <v>00:30:24</v>
      </c>
      <c r="K1470">
        <f t="shared" si="360"/>
        <v>24.449999999999893</v>
      </c>
      <c r="L1470">
        <f t="shared" si="353"/>
        <v>15.14</v>
      </c>
      <c r="M1470">
        <f t="shared" si="354"/>
        <v>0.15</v>
      </c>
      <c r="N1470">
        <f t="shared" si="348"/>
        <v>0.59000000000000008</v>
      </c>
      <c r="Q1470" t="str" cm="1">
        <f t="array" ref="Q1470:R1470">_xlfn.TEXTSPLIT(E1470," ")</f>
        <v>28.10.2023</v>
      </c>
      <c r="R1470" t="str">
        <v>00:30:24</v>
      </c>
      <c r="S1470">
        <f t="shared" si="361"/>
        <v>24.449999999999893</v>
      </c>
      <c r="T1470">
        <f t="shared" si="352"/>
        <v>25.730000000000004</v>
      </c>
      <c r="U1470">
        <f t="shared" si="355"/>
        <v>0.45</v>
      </c>
      <c r="V1470">
        <f t="shared" si="349"/>
        <v>1.0050000000000001</v>
      </c>
    </row>
    <row r="1471" spans="1:22" x14ac:dyDescent="0.25">
      <c r="A1471" t="s">
        <v>3427</v>
      </c>
      <c r="B1471">
        <v>0.15</v>
      </c>
      <c r="C1471">
        <v>29.47</v>
      </c>
      <c r="E1471" t="s">
        <v>3427</v>
      </c>
      <c r="F1471">
        <v>0.75</v>
      </c>
      <c r="G1471">
        <v>104.35</v>
      </c>
      <c r="I1471" t="str" cm="1">
        <f t="array" ref="I1471:J1471">_xlfn.TEXTSPLIT(A1471," ")</f>
        <v>28.10.2023</v>
      </c>
      <c r="J1471" t="str">
        <v>00:31:24</v>
      </c>
      <c r="K1471">
        <f t="shared" si="360"/>
        <v>24.466666666666558</v>
      </c>
      <c r="L1471">
        <f t="shared" si="353"/>
        <v>15.149999999999999</v>
      </c>
      <c r="M1471">
        <f t="shared" si="354"/>
        <v>0.15</v>
      </c>
      <c r="N1471">
        <f t="shared" ref="N1471:N1534" si="364">AVERAGE(M1412:M1471)</f>
        <v>0.58750000000000002</v>
      </c>
      <c r="Q1471" t="str" cm="1">
        <f t="array" ref="Q1471:R1471">_xlfn.TEXTSPLIT(E1471," ")</f>
        <v>28.10.2023</v>
      </c>
      <c r="R1471" t="str">
        <v>00:31:24</v>
      </c>
      <c r="S1471">
        <f t="shared" si="361"/>
        <v>24.466666666666558</v>
      </c>
      <c r="T1471">
        <f t="shared" si="352"/>
        <v>25.75</v>
      </c>
      <c r="U1471">
        <f t="shared" si="355"/>
        <v>0.75</v>
      </c>
      <c r="V1471">
        <f t="shared" ref="V1471:V1534" si="365">AVERAGE(U1412:U1471)</f>
        <v>1.0075000000000001</v>
      </c>
    </row>
    <row r="1472" spans="1:22" x14ac:dyDescent="0.25">
      <c r="A1472" t="s">
        <v>3428</v>
      </c>
      <c r="B1472">
        <v>0.3</v>
      </c>
      <c r="C1472">
        <v>29.47</v>
      </c>
      <c r="E1472" t="s">
        <v>3428</v>
      </c>
      <c r="F1472">
        <v>0.75</v>
      </c>
      <c r="G1472">
        <v>104.36</v>
      </c>
      <c r="I1472" t="str" cm="1">
        <f t="array" ref="I1472:J1472">_xlfn.TEXTSPLIT(A1472," ")</f>
        <v>28.10.2023</v>
      </c>
      <c r="J1472" t="str">
        <v>00:32:24</v>
      </c>
      <c r="K1472">
        <f t="shared" si="360"/>
        <v>24.483333333333224</v>
      </c>
      <c r="L1472">
        <f t="shared" si="353"/>
        <v>15.149999999999999</v>
      </c>
      <c r="M1472">
        <f t="shared" si="354"/>
        <v>0.3</v>
      </c>
      <c r="N1472">
        <f t="shared" si="364"/>
        <v>0.58750000000000002</v>
      </c>
      <c r="Q1472" t="str" cm="1">
        <f t="array" ref="Q1472:R1472">_xlfn.TEXTSPLIT(E1472," ")</f>
        <v>28.10.2023</v>
      </c>
      <c r="R1472" t="str">
        <v>00:32:24</v>
      </c>
      <c r="S1472">
        <f t="shared" si="361"/>
        <v>24.483333333333224</v>
      </c>
      <c r="T1472">
        <f t="shared" si="352"/>
        <v>25.760000000000005</v>
      </c>
      <c r="U1472">
        <f t="shared" si="355"/>
        <v>0.75</v>
      </c>
      <c r="V1472">
        <f t="shared" si="365"/>
        <v>1.0075000000000001</v>
      </c>
    </row>
    <row r="1473" spans="1:22" x14ac:dyDescent="0.25">
      <c r="A1473" t="s">
        <v>3429</v>
      </c>
      <c r="B1473">
        <v>0.45</v>
      </c>
      <c r="C1473">
        <v>29.48</v>
      </c>
      <c r="E1473" t="s">
        <v>3429</v>
      </c>
      <c r="F1473">
        <v>1.05</v>
      </c>
      <c r="G1473">
        <v>104.38</v>
      </c>
      <c r="I1473" t="str" cm="1">
        <f t="array" ref="I1473:J1473">_xlfn.TEXTSPLIT(A1473," ")</f>
        <v>28.10.2023</v>
      </c>
      <c r="J1473" t="str">
        <v>00:33:24</v>
      </c>
      <c r="K1473">
        <f t="shared" si="360"/>
        <v>24.49999999999989</v>
      </c>
      <c r="L1473">
        <f t="shared" si="353"/>
        <v>15.16</v>
      </c>
      <c r="M1473">
        <f t="shared" si="354"/>
        <v>0.45</v>
      </c>
      <c r="N1473">
        <f t="shared" si="364"/>
        <v>0.59250000000000003</v>
      </c>
      <c r="Q1473" t="str" cm="1">
        <f t="array" ref="Q1473:R1473">_xlfn.TEXTSPLIT(E1473," ")</f>
        <v>28.10.2023</v>
      </c>
      <c r="R1473" t="str">
        <v>00:33:24</v>
      </c>
      <c r="S1473">
        <f t="shared" si="361"/>
        <v>24.49999999999989</v>
      </c>
      <c r="T1473">
        <f t="shared" si="352"/>
        <v>25.78</v>
      </c>
      <c r="U1473">
        <f t="shared" si="355"/>
        <v>1.05</v>
      </c>
      <c r="V1473">
        <f t="shared" si="365"/>
        <v>1.0125000000000002</v>
      </c>
    </row>
    <row r="1474" spans="1:22" x14ac:dyDescent="0.25">
      <c r="A1474" t="s">
        <v>3430</v>
      </c>
      <c r="B1474">
        <v>0.45</v>
      </c>
      <c r="C1474">
        <v>29.48</v>
      </c>
      <c r="E1474" t="s">
        <v>3430</v>
      </c>
      <c r="F1474">
        <v>1.05</v>
      </c>
      <c r="G1474">
        <v>104.4</v>
      </c>
      <c r="I1474" t="str" cm="1">
        <f t="array" ref="I1474:J1474">_xlfn.TEXTSPLIT(A1474," ")</f>
        <v>28.10.2023</v>
      </c>
      <c r="J1474" t="str">
        <v>00:34:24</v>
      </c>
      <c r="K1474">
        <f t="shared" si="360"/>
        <v>24.516666666666556</v>
      </c>
      <c r="L1474">
        <f t="shared" si="353"/>
        <v>15.16</v>
      </c>
      <c r="M1474">
        <f t="shared" si="354"/>
        <v>0.45</v>
      </c>
      <c r="N1474">
        <f t="shared" si="364"/>
        <v>0.59249999999999992</v>
      </c>
      <c r="Q1474" t="str" cm="1">
        <f t="array" ref="Q1474:R1474">_xlfn.TEXTSPLIT(E1474," ")</f>
        <v>28.10.2023</v>
      </c>
      <c r="R1474" t="str">
        <v>00:34:24</v>
      </c>
      <c r="S1474">
        <f t="shared" si="361"/>
        <v>24.516666666666556</v>
      </c>
      <c r="T1474">
        <f t="shared" si="352"/>
        <v>25.800000000000011</v>
      </c>
      <c r="U1474">
        <f t="shared" si="355"/>
        <v>1.05</v>
      </c>
      <c r="V1474">
        <f t="shared" si="365"/>
        <v>1.02</v>
      </c>
    </row>
    <row r="1475" spans="1:22" x14ac:dyDescent="0.25">
      <c r="A1475" t="s">
        <v>3431</v>
      </c>
      <c r="B1475">
        <v>0.3</v>
      </c>
      <c r="C1475">
        <v>29.49</v>
      </c>
      <c r="E1475" t="s">
        <v>3431</v>
      </c>
      <c r="F1475">
        <v>1.2</v>
      </c>
      <c r="G1475">
        <v>104.42</v>
      </c>
      <c r="I1475" t="str" cm="1">
        <f t="array" ref="I1475:J1475">_xlfn.TEXTSPLIT(A1475," ")</f>
        <v>28.10.2023</v>
      </c>
      <c r="J1475" t="str">
        <v>00:35:24</v>
      </c>
      <c r="K1475">
        <f t="shared" si="360"/>
        <v>24.533333333333221</v>
      </c>
      <c r="L1475">
        <f t="shared" si="353"/>
        <v>15.169999999999998</v>
      </c>
      <c r="M1475">
        <f t="shared" si="354"/>
        <v>0.3</v>
      </c>
      <c r="N1475">
        <f t="shared" si="364"/>
        <v>0.58749999999999991</v>
      </c>
      <c r="Q1475" t="str" cm="1">
        <f t="array" ref="Q1475:R1475">_xlfn.TEXTSPLIT(E1475," ")</f>
        <v>28.10.2023</v>
      </c>
      <c r="R1475" t="str">
        <v>00:35:24</v>
      </c>
      <c r="S1475">
        <f t="shared" si="361"/>
        <v>24.533333333333221</v>
      </c>
      <c r="T1475">
        <f t="shared" ref="T1475:T1538" si="366">G1475-78.6</f>
        <v>25.820000000000007</v>
      </c>
      <c r="U1475">
        <f t="shared" si="355"/>
        <v>1.2</v>
      </c>
      <c r="V1475">
        <f t="shared" si="365"/>
        <v>1.0275000000000001</v>
      </c>
    </row>
    <row r="1476" spans="1:22" x14ac:dyDescent="0.25">
      <c r="A1476" t="s">
        <v>3432</v>
      </c>
      <c r="B1476">
        <v>0.45</v>
      </c>
      <c r="C1476">
        <v>29.5</v>
      </c>
      <c r="E1476" t="s">
        <v>3432</v>
      </c>
      <c r="F1476">
        <v>1.95</v>
      </c>
      <c r="G1476">
        <v>104.46</v>
      </c>
      <c r="I1476" t="str" cm="1">
        <f t="array" ref="I1476:J1476">_xlfn.TEXTSPLIT(A1476," ")</f>
        <v>28.10.2023</v>
      </c>
      <c r="J1476" t="str">
        <v>00:36:24</v>
      </c>
      <c r="K1476">
        <f t="shared" si="360"/>
        <v>24.549999999999887</v>
      </c>
      <c r="L1476">
        <f t="shared" ref="L1476:L1539" si="367">C1476-14.32</f>
        <v>15.18</v>
      </c>
      <c r="M1476">
        <f t="shared" ref="M1476:M1539" si="368">B1476</f>
        <v>0.45</v>
      </c>
      <c r="N1476">
        <f t="shared" si="364"/>
        <v>0.58750000000000002</v>
      </c>
      <c r="Q1476" t="str" cm="1">
        <f t="array" ref="Q1476:R1476">_xlfn.TEXTSPLIT(E1476," ")</f>
        <v>28.10.2023</v>
      </c>
      <c r="R1476" t="str">
        <v>00:36:24</v>
      </c>
      <c r="S1476">
        <f t="shared" si="361"/>
        <v>24.549999999999887</v>
      </c>
      <c r="T1476">
        <f t="shared" si="366"/>
        <v>25.86</v>
      </c>
      <c r="U1476">
        <f t="shared" ref="U1476:U1539" si="369">F1476</f>
        <v>1.95</v>
      </c>
      <c r="V1476">
        <f t="shared" si="365"/>
        <v>1.0100000000000005</v>
      </c>
    </row>
    <row r="1477" spans="1:22" x14ac:dyDescent="0.25">
      <c r="A1477" t="s">
        <v>3433</v>
      </c>
      <c r="B1477">
        <v>0.75</v>
      </c>
      <c r="C1477">
        <v>29.52</v>
      </c>
      <c r="E1477" t="s">
        <v>3433</v>
      </c>
      <c r="F1477">
        <v>2.4</v>
      </c>
      <c r="G1477">
        <v>104.5</v>
      </c>
      <c r="I1477" t="str" cm="1">
        <f t="array" ref="I1477:J1477">_xlfn.TEXTSPLIT(A1477," ")</f>
        <v>28.10.2023</v>
      </c>
      <c r="J1477" t="str">
        <v>00:37:24</v>
      </c>
      <c r="K1477">
        <f t="shared" ref="K1477:K1540" si="370">1/60+K1476</f>
        <v>24.566666666666553</v>
      </c>
      <c r="L1477">
        <f t="shared" si="367"/>
        <v>15.2</v>
      </c>
      <c r="M1477">
        <f t="shared" si="368"/>
        <v>0.75</v>
      </c>
      <c r="N1477">
        <f t="shared" si="364"/>
        <v>0.58250000000000002</v>
      </c>
      <c r="Q1477" t="str" cm="1">
        <f t="array" ref="Q1477:R1477">_xlfn.TEXTSPLIT(E1477," ")</f>
        <v>28.10.2023</v>
      </c>
      <c r="R1477" t="str">
        <v>00:37:24</v>
      </c>
      <c r="S1477">
        <f t="shared" ref="S1477:S1540" si="371">1/60+S1476</f>
        <v>24.566666666666553</v>
      </c>
      <c r="T1477">
        <f t="shared" si="366"/>
        <v>25.900000000000006</v>
      </c>
      <c r="U1477">
        <f t="shared" si="369"/>
        <v>2.4</v>
      </c>
      <c r="V1477">
        <f t="shared" si="365"/>
        <v>1.0075000000000003</v>
      </c>
    </row>
    <row r="1478" spans="1:22" x14ac:dyDescent="0.25">
      <c r="A1478" t="s">
        <v>3434</v>
      </c>
      <c r="B1478">
        <v>2.5499999999999998</v>
      </c>
      <c r="C1478">
        <v>29.57</v>
      </c>
      <c r="E1478" t="s">
        <v>3434</v>
      </c>
      <c r="F1478">
        <v>2.5499999999999998</v>
      </c>
      <c r="G1478">
        <v>104.54</v>
      </c>
      <c r="I1478" t="str" cm="1">
        <f t="array" ref="I1478:J1478">_xlfn.TEXTSPLIT(A1478," ")</f>
        <v>28.10.2023</v>
      </c>
      <c r="J1478" t="str">
        <v>00:38:25</v>
      </c>
      <c r="K1478">
        <f t="shared" si="370"/>
        <v>24.583333333333218</v>
      </c>
      <c r="L1478">
        <f t="shared" si="367"/>
        <v>15.25</v>
      </c>
      <c r="M1478">
        <f t="shared" si="368"/>
        <v>2.5499999999999998</v>
      </c>
      <c r="N1478">
        <f t="shared" si="364"/>
        <v>0.58750000000000002</v>
      </c>
      <c r="Q1478" t="str" cm="1">
        <f t="array" ref="Q1478:R1478">_xlfn.TEXTSPLIT(E1478," ")</f>
        <v>28.10.2023</v>
      </c>
      <c r="R1478" t="str">
        <v>00:38:25</v>
      </c>
      <c r="S1478">
        <f t="shared" si="371"/>
        <v>24.583333333333218</v>
      </c>
      <c r="T1478">
        <f t="shared" si="366"/>
        <v>25.940000000000012</v>
      </c>
      <c r="U1478">
        <f t="shared" si="369"/>
        <v>2.5499999999999998</v>
      </c>
      <c r="V1478">
        <f t="shared" si="365"/>
        <v>1.0175000000000003</v>
      </c>
    </row>
    <row r="1479" spans="1:22" x14ac:dyDescent="0.25">
      <c r="A1479" t="s">
        <v>3435</v>
      </c>
      <c r="B1479">
        <v>1.8</v>
      </c>
      <c r="C1479">
        <v>29.59</v>
      </c>
      <c r="E1479" t="s">
        <v>3435</v>
      </c>
      <c r="F1479">
        <v>1.65</v>
      </c>
      <c r="G1479">
        <v>104.56</v>
      </c>
      <c r="I1479" t="str" cm="1">
        <f t="array" ref="I1479:J1479">_xlfn.TEXTSPLIT(A1479," ")</f>
        <v>28.10.2023</v>
      </c>
      <c r="J1479" t="str">
        <v>00:39:25</v>
      </c>
      <c r="K1479">
        <f t="shared" si="370"/>
        <v>24.599999999999884</v>
      </c>
      <c r="L1479">
        <f t="shared" si="367"/>
        <v>15.27</v>
      </c>
      <c r="M1479">
        <f t="shared" si="368"/>
        <v>1.8</v>
      </c>
      <c r="N1479">
        <f t="shared" si="364"/>
        <v>0.57999999999999996</v>
      </c>
      <c r="Q1479" t="str" cm="1">
        <f t="array" ref="Q1479:R1479">_xlfn.TEXTSPLIT(E1479," ")</f>
        <v>28.10.2023</v>
      </c>
      <c r="R1479" t="str">
        <v>00:39:25</v>
      </c>
      <c r="S1479">
        <f t="shared" si="371"/>
        <v>24.599999999999884</v>
      </c>
      <c r="T1479">
        <f t="shared" si="366"/>
        <v>25.960000000000008</v>
      </c>
      <c r="U1479">
        <f t="shared" si="369"/>
        <v>1.65</v>
      </c>
      <c r="V1479">
        <f t="shared" si="365"/>
        <v>1.0025000000000004</v>
      </c>
    </row>
    <row r="1480" spans="1:22" x14ac:dyDescent="0.25">
      <c r="A1480" t="s">
        <v>3436</v>
      </c>
      <c r="B1480">
        <v>1.2</v>
      </c>
      <c r="C1480">
        <v>29.61</v>
      </c>
      <c r="E1480" t="s">
        <v>3436</v>
      </c>
      <c r="F1480">
        <v>1.05</v>
      </c>
      <c r="G1480">
        <v>104.58</v>
      </c>
      <c r="I1480" t="str" cm="1">
        <f t="array" ref="I1480:J1480">_xlfn.TEXTSPLIT(A1480," ")</f>
        <v>28.10.2023</v>
      </c>
      <c r="J1480" t="str">
        <v>00:40:25</v>
      </c>
      <c r="K1480">
        <f t="shared" si="370"/>
        <v>24.61666666666655</v>
      </c>
      <c r="L1480">
        <f t="shared" si="367"/>
        <v>15.29</v>
      </c>
      <c r="M1480">
        <f t="shared" si="368"/>
        <v>1.2</v>
      </c>
      <c r="N1480">
        <f t="shared" si="364"/>
        <v>0.57750000000000012</v>
      </c>
      <c r="Q1480" t="str" cm="1">
        <f t="array" ref="Q1480:R1480">_xlfn.TEXTSPLIT(E1480," ")</f>
        <v>28.10.2023</v>
      </c>
      <c r="R1480" t="str">
        <v>00:40:25</v>
      </c>
      <c r="S1480">
        <f t="shared" si="371"/>
        <v>24.61666666666655</v>
      </c>
      <c r="T1480">
        <f t="shared" si="366"/>
        <v>25.980000000000004</v>
      </c>
      <c r="U1480">
        <f t="shared" si="369"/>
        <v>1.05</v>
      </c>
      <c r="V1480">
        <f t="shared" si="365"/>
        <v>0.99250000000000016</v>
      </c>
    </row>
    <row r="1481" spans="1:22" x14ac:dyDescent="0.25">
      <c r="A1481" t="s">
        <v>3437</v>
      </c>
      <c r="B1481">
        <v>0.75</v>
      </c>
      <c r="C1481">
        <v>29.63</v>
      </c>
      <c r="E1481" t="s">
        <v>3437</v>
      </c>
      <c r="F1481">
        <v>1.05</v>
      </c>
      <c r="G1481">
        <v>104.59</v>
      </c>
      <c r="I1481" t="str" cm="1">
        <f t="array" ref="I1481:J1481">_xlfn.TEXTSPLIT(A1481," ")</f>
        <v>28.10.2023</v>
      </c>
      <c r="J1481" t="str">
        <v>00:41:25</v>
      </c>
      <c r="K1481">
        <f t="shared" si="370"/>
        <v>24.633333333333216</v>
      </c>
      <c r="L1481">
        <f t="shared" si="367"/>
        <v>15.309999999999999</v>
      </c>
      <c r="M1481">
        <f t="shared" si="368"/>
        <v>0.75</v>
      </c>
      <c r="N1481">
        <f t="shared" si="364"/>
        <v>0.56499999999999995</v>
      </c>
      <c r="Q1481" t="str" cm="1">
        <f t="array" ref="Q1481:R1481">_xlfn.TEXTSPLIT(E1481," ")</f>
        <v>28.10.2023</v>
      </c>
      <c r="R1481" t="str">
        <v>00:41:25</v>
      </c>
      <c r="S1481">
        <f t="shared" si="371"/>
        <v>24.633333333333216</v>
      </c>
      <c r="T1481">
        <f t="shared" si="366"/>
        <v>25.990000000000009</v>
      </c>
      <c r="U1481">
        <f t="shared" si="369"/>
        <v>1.05</v>
      </c>
      <c r="V1481">
        <f t="shared" si="365"/>
        <v>0.98750000000000016</v>
      </c>
    </row>
    <row r="1482" spans="1:22" x14ac:dyDescent="0.25">
      <c r="A1482" t="s">
        <v>3438</v>
      </c>
      <c r="B1482">
        <v>1.05</v>
      </c>
      <c r="C1482">
        <v>29.64</v>
      </c>
      <c r="E1482" t="s">
        <v>3438</v>
      </c>
      <c r="F1482">
        <v>0.9</v>
      </c>
      <c r="G1482">
        <v>104.61</v>
      </c>
      <c r="I1482" t="str" cm="1">
        <f t="array" ref="I1482:J1482">_xlfn.TEXTSPLIT(A1482," ")</f>
        <v>28.10.2023</v>
      </c>
      <c r="J1482" t="str">
        <v>00:42:25</v>
      </c>
      <c r="K1482">
        <f t="shared" si="370"/>
        <v>24.649999999999881</v>
      </c>
      <c r="L1482">
        <f t="shared" si="367"/>
        <v>15.32</v>
      </c>
      <c r="M1482">
        <f t="shared" si="368"/>
        <v>1.05</v>
      </c>
      <c r="N1482">
        <f t="shared" si="364"/>
        <v>0.5675</v>
      </c>
      <c r="Q1482" t="str" cm="1">
        <f t="array" ref="Q1482:R1482">_xlfn.TEXTSPLIT(E1482," ")</f>
        <v>28.10.2023</v>
      </c>
      <c r="R1482" t="str">
        <v>00:42:25</v>
      </c>
      <c r="S1482">
        <f t="shared" si="371"/>
        <v>24.649999999999881</v>
      </c>
      <c r="T1482">
        <f t="shared" si="366"/>
        <v>26.010000000000005</v>
      </c>
      <c r="U1482">
        <f t="shared" si="369"/>
        <v>0.9</v>
      </c>
      <c r="V1482">
        <f t="shared" si="365"/>
        <v>0.98000000000000009</v>
      </c>
    </row>
    <row r="1483" spans="1:22" x14ac:dyDescent="0.25">
      <c r="A1483" t="s">
        <v>3439</v>
      </c>
      <c r="B1483">
        <v>0.9</v>
      </c>
      <c r="C1483">
        <v>29.65</v>
      </c>
      <c r="E1483" t="s">
        <v>3439</v>
      </c>
      <c r="F1483">
        <v>0.9</v>
      </c>
      <c r="G1483">
        <v>104.63</v>
      </c>
      <c r="I1483" t="str" cm="1">
        <f t="array" ref="I1483:J1483">_xlfn.TEXTSPLIT(A1483," ")</f>
        <v>28.10.2023</v>
      </c>
      <c r="J1483" t="str">
        <v>00:43:25</v>
      </c>
      <c r="K1483">
        <f t="shared" si="370"/>
        <v>24.666666666666547</v>
      </c>
      <c r="L1483">
        <f t="shared" si="367"/>
        <v>15.329999999999998</v>
      </c>
      <c r="M1483">
        <f t="shared" si="368"/>
        <v>0.9</v>
      </c>
      <c r="N1483">
        <f t="shared" si="364"/>
        <v>0.56499999999999995</v>
      </c>
      <c r="Q1483" t="str" cm="1">
        <f t="array" ref="Q1483:R1483">_xlfn.TEXTSPLIT(E1483," ")</f>
        <v>28.10.2023</v>
      </c>
      <c r="R1483" t="str">
        <v>00:43:25</v>
      </c>
      <c r="S1483">
        <f t="shared" si="371"/>
        <v>24.666666666666547</v>
      </c>
      <c r="T1483">
        <f t="shared" si="366"/>
        <v>26.03</v>
      </c>
      <c r="U1483">
        <f t="shared" si="369"/>
        <v>0.9</v>
      </c>
      <c r="V1483">
        <f t="shared" si="365"/>
        <v>0.97000000000000008</v>
      </c>
    </row>
    <row r="1484" spans="1:22" x14ac:dyDescent="0.25">
      <c r="A1484" t="s">
        <v>3440</v>
      </c>
      <c r="B1484">
        <v>0.75</v>
      </c>
      <c r="C1484">
        <v>29.66</v>
      </c>
      <c r="E1484" t="s">
        <v>3440</v>
      </c>
      <c r="F1484">
        <v>1.2</v>
      </c>
      <c r="G1484">
        <v>104.65</v>
      </c>
      <c r="I1484" t="str" cm="1">
        <f t="array" ref="I1484:J1484">_xlfn.TEXTSPLIT(A1484," ")</f>
        <v>28.10.2023</v>
      </c>
      <c r="J1484" t="str">
        <v>00:44:25</v>
      </c>
      <c r="K1484">
        <f t="shared" si="370"/>
        <v>24.683333333333213</v>
      </c>
      <c r="L1484">
        <f t="shared" si="367"/>
        <v>15.34</v>
      </c>
      <c r="M1484">
        <f t="shared" si="368"/>
        <v>0.75</v>
      </c>
      <c r="N1484">
        <f t="shared" si="364"/>
        <v>0.5625</v>
      </c>
      <c r="Q1484" t="str" cm="1">
        <f t="array" ref="Q1484:R1484">_xlfn.TEXTSPLIT(E1484," ")</f>
        <v>28.10.2023</v>
      </c>
      <c r="R1484" t="str">
        <v>00:44:25</v>
      </c>
      <c r="S1484">
        <f t="shared" si="371"/>
        <v>24.683333333333213</v>
      </c>
      <c r="T1484">
        <f t="shared" si="366"/>
        <v>26.050000000000011</v>
      </c>
      <c r="U1484">
        <f t="shared" si="369"/>
        <v>1.2</v>
      </c>
      <c r="V1484">
        <f t="shared" si="365"/>
        <v>0.96500000000000008</v>
      </c>
    </row>
    <row r="1485" spans="1:22" x14ac:dyDescent="0.25">
      <c r="A1485" t="s">
        <v>3441</v>
      </c>
      <c r="B1485">
        <v>0.45</v>
      </c>
      <c r="C1485">
        <v>29.67</v>
      </c>
      <c r="E1485" t="s">
        <v>3441</v>
      </c>
      <c r="F1485">
        <v>1.05</v>
      </c>
      <c r="G1485">
        <v>104.67</v>
      </c>
      <c r="I1485" t="str" cm="1">
        <f t="array" ref="I1485:J1485">_xlfn.TEXTSPLIT(A1485," ")</f>
        <v>28.10.2023</v>
      </c>
      <c r="J1485" t="str">
        <v>00:45:25</v>
      </c>
      <c r="K1485">
        <f t="shared" si="370"/>
        <v>24.699999999999878</v>
      </c>
      <c r="L1485">
        <f t="shared" si="367"/>
        <v>15.350000000000001</v>
      </c>
      <c r="M1485">
        <f t="shared" si="368"/>
        <v>0.45</v>
      </c>
      <c r="N1485">
        <f t="shared" si="364"/>
        <v>0.55500000000000005</v>
      </c>
      <c r="Q1485" t="str" cm="1">
        <f t="array" ref="Q1485:R1485">_xlfn.TEXTSPLIT(E1485," ")</f>
        <v>28.10.2023</v>
      </c>
      <c r="R1485" t="str">
        <v>00:45:25</v>
      </c>
      <c r="S1485">
        <f t="shared" si="371"/>
        <v>24.699999999999878</v>
      </c>
      <c r="T1485">
        <f t="shared" si="366"/>
        <v>26.070000000000007</v>
      </c>
      <c r="U1485">
        <f t="shared" si="369"/>
        <v>1.05</v>
      </c>
      <c r="V1485">
        <f t="shared" si="365"/>
        <v>0.96499999999999997</v>
      </c>
    </row>
    <row r="1486" spans="1:22" x14ac:dyDescent="0.25">
      <c r="A1486" t="s">
        <v>3442</v>
      </c>
      <c r="B1486">
        <v>0.3</v>
      </c>
      <c r="C1486">
        <v>29.68</v>
      </c>
      <c r="E1486" t="s">
        <v>3442</v>
      </c>
      <c r="F1486">
        <v>1.05</v>
      </c>
      <c r="G1486">
        <v>104.68</v>
      </c>
      <c r="I1486" t="str" cm="1">
        <f t="array" ref="I1486:J1486">_xlfn.TEXTSPLIT(A1486," ")</f>
        <v>28.10.2023</v>
      </c>
      <c r="J1486" t="str">
        <v>00:46:25</v>
      </c>
      <c r="K1486">
        <f t="shared" si="370"/>
        <v>24.716666666666544</v>
      </c>
      <c r="L1486">
        <f t="shared" si="367"/>
        <v>15.36</v>
      </c>
      <c r="M1486">
        <f t="shared" si="368"/>
        <v>0.3</v>
      </c>
      <c r="N1486">
        <f t="shared" si="364"/>
        <v>0.54249999999999998</v>
      </c>
      <c r="Q1486" t="str" cm="1">
        <f t="array" ref="Q1486:R1486">_xlfn.TEXTSPLIT(E1486," ")</f>
        <v>28.10.2023</v>
      </c>
      <c r="R1486" t="str">
        <v>00:46:25</v>
      </c>
      <c r="S1486">
        <f t="shared" si="371"/>
        <v>24.716666666666544</v>
      </c>
      <c r="T1486">
        <f t="shared" si="366"/>
        <v>26.080000000000013</v>
      </c>
      <c r="U1486">
        <f t="shared" si="369"/>
        <v>1.05</v>
      </c>
      <c r="V1486">
        <f t="shared" si="365"/>
        <v>0.97000000000000008</v>
      </c>
    </row>
    <row r="1487" spans="1:22" x14ac:dyDescent="0.25">
      <c r="A1487" t="s">
        <v>3443</v>
      </c>
      <c r="B1487">
        <v>0.3</v>
      </c>
      <c r="C1487">
        <v>29.68</v>
      </c>
      <c r="E1487" t="s">
        <v>3443</v>
      </c>
      <c r="F1487">
        <v>0.6</v>
      </c>
      <c r="G1487">
        <v>104.69</v>
      </c>
      <c r="I1487" t="str" cm="1">
        <f t="array" ref="I1487:J1487">_xlfn.TEXTSPLIT(A1487," ")</f>
        <v>28.10.2023</v>
      </c>
      <c r="J1487" t="str">
        <v>00:47:26</v>
      </c>
      <c r="K1487">
        <f t="shared" si="370"/>
        <v>24.73333333333321</v>
      </c>
      <c r="L1487">
        <f t="shared" si="367"/>
        <v>15.36</v>
      </c>
      <c r="M1487">
        <f t="shared" si="368"/>
        <v>0.3</v>
      </c>
      <c r="N1487">
        <f t="shared" si="364"/>
        <v>0.52999999999999992</v>
      </c>
      <c r="Q1487" t="str" cm="1">
        <f t="array" ref="Q1487:R1487">_xlfn.TEXTSPLIT(E1487," ")</f>
        <v>28.10.2023</v>
      </c>
      <c r="R1487" t="str">
        <v>00:47:26</v>
      </c>
      <c r="S1487">
        <f t="shared" si="371"/>
        <v>24.73333333333321</v>
      </c>
      <c r="T1487">
        <f t="shared" si="366"/>
        <v>26.090000000000003</v>
      </c>
      <c r="U1487">
        <f t="shared" si="369"/>
        <v>0.6</v>
      </c>
      <c r="V1487">
        <f t="shared" si="365"/>
        <v>0.96499999999999997</v>
      </c>
    </row>
    <row r="1488" spans="1:22" x14ac:dyDescent="0.25">
      <c r="A1488" t="s">
        <v>3444</v>
      </c>
      <c r="B1488">
        <v>0.3</v>
      </c>
      <c r="C1488">
        <v>29.69</v>
      </c>
      <c r="E1488" t="s">
        <v>3444</v>
      </c>
      <c r="F1488">
        <v>0.75</v>
      </c>
      <c r="G1488">
        <v>104.7</v>
      </c>
      <c r="I1488" t="str" cm="1">
        <f t="array" ref="I1488:J1488">_xlfn.TEXTSPLIT(A1488," ")</f>
        <v>28.10.2023</v>
      </c>
      <c r="J1488" t="str">
        <v>00:48:26</v>
      </c>
      <c r="K1488">
        <f t="shared" si="370"/>
        <v>24.749999999999876</v>
      </c>
      <c r="L1488">
        <f t="shared" si="367"/>
        <v>15.370000000000001</v>
      </c>
      <c r="M1488">
        <f t="shared" si="368"/>
        <v>0.3</v>
      </c>
      <c r="N1488">
        <f t="shared" si="364"/>
        <v>0.52749999999999997</v>
      </c>
      <c r="Q1488" t="str" cm="1">
        <f t="array" ref="Q1488:R1488">_xlfn.TEXTSPLIT(E1488," ")</f>
        <v>28.10.2023</v>
      </c>
      <c r="R1488" t="str">
        <v>00:48:26</v>
      </c>
      <c r="S1488">
        <f t="shared" si="371"/>
        <v>24.749999999999876</v>
      </c>
      <c r="T1488">
        <f t="shared" si="366"/>
        <v>26.100000000000009</v>
      </c>
      <c r="U1488">
        <f t="shared" si="369"/>
        <v>0.75</v>
      </c>
      <c r="V1488">
        <f t="shared" si="365"/>
        <v>0.96499999999999986</v>
      </c>
    </row>
    <row r="1489" spans="1:22" x14ac:dyDescent="0.25">
      <c r="A1489" t="s">
        <v>3445</v>
      </c>
      <c r="B1489">
        <v>0.45</v>
      </c>
      <c r="C1489">
        <v>29.69</v>
      </c>
      <c r="E1489" t="s">
        <v>3445</v>
      </c>
      <c r="F1489">
        <v>0.75</v>
      </c>
      <c r="G1489">
        <v>104.71</v>
      </c>
      <c r="I1489" t="str" cm="1">
        <f t="array" ref="I1489:J1489">_xlfn.TEXTSPLIT(A1489," ")</f>
        <v>28.10.2023</v>
      </c>
      <c r="J1489" t="str">
        <v>00:49:26</v>
      </c>
      <c r="K1489">
        <f t="shared" si="370"/>
        <v>24.766666666666541</v>
      </c>
      <c r="L1489">
        <f t="shared" si="367"/>
        <v>15.370000000000001</v>
      </c>
      <c r="M1489">
        <f t="shared" si="368"/>
        <v>0.45</v>
      </c>
      <c r="N1489">
        <f t="shared" si="364"/>
        <v>0.52499999999999991</v>
      </c>
      <c r="Q1489" t="str" cm="1">
        <f t="array" ref="Q1489:R1489">_xlfn.TEXTSPLIT(E1489," ")</f>
        <v>28.10.2023</v>
      </c>
      <c r="R1489" t="str">
        <v>00:49:26</v>
      </c>
      <c r="S1489">
        <f t="shared" si="371"/>
        <v>24.766666666666541</v>
      </c>
      <c r="T1489">
        <f t="shared" si="366"/>
        <v>26.11</v>
      </c>
      <c r="U1489">
        <f t="shared" si="369"/>
        <v>0.75</v>
      </c>
      <c r="V1489">
        <f t="shared" si="365"/>
        <v>0.95999999999999985</v>
      </c>
    </row>
    <row r="1490" spans="1:22" x14ac:dyDescent="0.25">
      <c r="A1490" t="s">
        <v>3446</v>
      </c>
      <c r="B1490">
        <v>0.3</v>
      </c>
      <c r="C1490">
        <v>29.7</v>
      </c>
      <c r="E1490" t="s">
        <v>3446</v>
      </c>
      <c r="F1490">
        <v>0.9</v>
      </c>
      <c r="G1490">
        <v>104.72</v>
      </c>
      <c r="I1490" t="str" cm="1">
        <f t="array" ref="I1490:J1490">_xlfn.TEXTSPLIT(A1490," ")</f>
        <v>28.10.2023</v>
      </c>
      <c r="J1490" t="str">
        <v>00:50:26</v>
      </c>
      <c r="K1490">
        <f t="shared" si="370"/>
        <v>24.783333333333207</v>
      </c>
      <c r="L1490">
        <f t="shared" si="367"/>
        <v>15.379999999999999</v>
      </c>
      <c r="M1490">
        <f t="shared" si="368"/>
        <v>0.3</v>
      </c>
      <c r="N1490">
        <f t="shared" si="364"/>
        <v>0.51749999999999985</v>
      </c>
      <c r="Q1490" t="str" cm="1">
        <f t="array" ref="Q1490:R1490">_xlfn.TEXTSPLIT(E1490," ")</f>
        <v>28.10.2023</v>
      </c>
      <c r="R1490" t="str">
        <v>00:50:26</v>
      </c>
      <c r="S1490">
        <f t="shared" si="371"/>
        <v>24.783333333333207</v>
      </c>
      <c r="T1490">
        <f t="shared" si="366"/>
        <v>26.120000000000005</v>
      </c>
      <c r="U1490">
        <f t="shared" si="369"/>
        <v>0.9</v>
      </c>
      <c r="V1490">
        <f t="shared" si="365"/>
        <v>0.9524999999999999</v>
      </c>
    </row>
    <row r="1491" spans="1:22" x14ac:dyDescent="0.25">
      <c r="A1491" t="s">
        <v>3447</v>
      </c>
      <c r="B1491">
        <v>0.45</v>
      </c>
      <c r="C1491">
        <v>29.71</v>
      </c>
      <c r="E1491" t="s">
        <v>3447</v>
      </c>
      <c r="F1491">
        <v>0.15</v>
      </c>
      <c r="G1491">
        <v>104.72</v>
      </c>
      <c r="I1491" t="str" cm="1">
        <f t="array" ref="I1491:J1491">_xlfn.TEXTSPLIT(A1491," ")</f>
        <v>28.10.2023</v>
      </c>
      <c r="J1491" t="str">
        <v>00:51:26</v>
      </c>
      <c r="K1491">
        <f t="shared" si="370"/>
        <v>24.799999999999873</v>
      </c>
      <c r="L1491">
        <f t="shared" si="367"/>
        <v>15.39</v>
      </c>
      <c r="M1491">
        <f t="shared" si="368"/>
        <v>0.45</v>
      </c>
      <c r="N1491">
        <f t="shared" si="364"/>
        <v>0.51749999999999996</v>
      </c>
      <c r="Q1491" t="str" cm="1">
        <f t="array" ref="Q1491:R1491">_xlfn.TEXTSPLIT(E1491," ")</f>
        <v>28.10.2023</v>
      </c>
      <c r="R1491" t="str">
        <v>00:51:26</v>
      </c>
      <c r="S1491">
        <f t="shared" si="371"/>
        <v>24.799999999999873</v>
      </c>
      <c r="T1491">
        <f t="shared" si="366"/>
        <v>26.120000000000005</v>
      </c>
      <c r="U1491">
        <f t="shared" si="369"/>
        <v>0.15</v>
      </c>
      <c r="V1491">
        <f t="shared" si="365"/>
        <v>0.94999999999999984</v>
      </c>
    </row>
    <row r="1492" spans="1:22" x14ac:dyDescent="0.25">
      <c r="A1492" t="s">
        <v>3448</v>
      </c>
      <c r="B1492">
        <v>0.3</v>
      </c>
      <c r="C1492">
        <v>29.71</v>
      </c>
      <c r="E1492" t="s">
        <v>3448</v>
      </c>
      <c r="F1492">
        <v>0</v>
      </c>
      <c r="G1492">
        <v>104.73</v>
      </c>
      <c r="I1492" t="str" cm="1">
        <f t="array" ref="I1492:J1492">_xlfn.TEXTSPLIT(A1492," ")</f>
        <v>28.10.2023</v>
      </c>
      <c r="J1492" t="str">
        <v>00:52:26</v>
      </c>
      <c r="K1492">
        <f t="shared" si="370"/>
        <v>24.816666666666539</v>
      </c>
      <c r="L1492">
        <f t="shared" si="367"/>
        <v>15.39</v>
      </c>
      <c r="M1492">
        <f t="shared" si="368"/>
        <v>0.3</v>
      </c>
      <c r="N1492">
        <f t="shared" si="364"/>
        <v>0.51749999999999985</v>
      </c>
      <c r="Q1492" t="str" cm="1">
        <f t="array" ref="Q1492:R1492">_xlfn.TEXTSPLIT(E1492," ")</f>
        <v>28.10.2023</v>
      </c>
      <c r="R1492" t="str">
        <v>00:52:26</v>
      </c>
      <c r="S1492">
        <f t="shared" si="371"/>
        <v>24.816666666666539</v>
      </c>
      <c r="T1492">
        <f t="shared" si="366"/>
        <v>26.13000000000001</v>
      </c>
      <c r="U1492">
        <f t="shared" si="369"/>
        <v>0</v>
      </c>
      <c r="V1492">
        <f t="shared" si="365"/>
        <v>0.9474999999999999</v>
      </c>
    </row>
    <row r="1493" spans="1:22" x14ac:dyDescent="0.25">
      <c r="A1493" t="s">
        <v>3449</v>
      </c>
      <c r="B1493">
        <v>0</v>
      </c>
      <c r="C1493">
        <v>29.71</v>
      </c>
      <c r="E1493" t="s">
        <v>3449</v>
      </c>
      <c r="F1493">
        <v>0.45</v>
      </c>
      <c r="G1493">
        <v>104.74</v>
      </c>
      <c r="I1493" t="str" cm="1">
        <f t="array" ref="I1493:J1493">_xlfn.TEXTSPLIT(A1493," ")</f>
        <v>28.10.2023</v>
      </c>
      <c r="J1493" t="str">
        <v>00:53:26</v>
      </c>
      <c r="K1493">
        <f t="shared" si="370"/>
        <v>24.833333333333204</v>
      </c>
      <c r="L1493">
        <f t="shared" si="367"/>
        <v>15.39</v>
      </c>
      <c r="M1493">
        <f t="shared" si="368"/>
        <v>0</v>
      </c>
      <c r="N1493">
        <f t="shared" si="364"/>
        <v>0.51749999999999985</v>
      </c>
      <c r="Q1493" t="str" cm="1">
        <f t="array" ref="Q1493:R1493">_xlfn.TEXTSPLIT(E1493," ")</f>
        <v>28.10.2023</v>
      </c>
      <c r="R1493" t="str">
        <v>00:53:26</v>
      </c>
      <c r="S1493">
        <f t="shared" si="371"/>
        <v>24.833333333333204</v>
      </c>
      <c r="T1493">
        <f t="shared" si="366"/>
        <v>26.14</v>
      </c>
      <c r="U1493">
        <f t="shared" si="369"/>
        <v>0.45</v>
      </c>
      <c r="V1493">
        <f t="shared" si="365"/>
        <v>0.94749999999999979</v>
      </c>
    </row>
    <row r="1494" spans="1:22" x14ac:dyDescent="0.25">
      <c r="A1494" t="s">
        <v>3450</v>
      </c>
      <c r="B1494">
        <v>0</v>
      </c>
      <c r="C1494">
        <v>29.71</v>
      </c>
      <c r="E1494" t="s">
        <v>3450</v>
      </c>
      <c r="F1494">
        <v>0.3</v>
      </c>
      <c r="G1494">
        <v>104.74</v>
      </c>
      <c r="I1494" t="str" cm="1">
        <f t="array" ref="I1494:J1494">_xlfn.TEXTSPLIT(A1494," ")</f>
        <v>28.10.2023</v>
      </c>
      <c r="J1494" t="str">
        <v>00:54:26</v>
      </c>
      <c r="K1494">
        <f t="shared" si="370"/>
        <v>24.84999999999987</v>
      </c>
      <c r="L1494">
        <f t="shared" si="367"/>
        <v>15.39</v>
      </c>
      <c r="M1494">
        <f t="shared" si="368"/>
        <v>0</v>
      </c>
      <c r="N1494">
        <f t="shared" si="364"/>
        <v>0.51749999999999985</v>
      </c>
      <c r="Q1494" t="str" cm="1">
        <f t="array" ref="Q1494:R1494">_xlfn.TEXTSPLIT(E1494," ")</f>
        <v>28.10.2023</v>
      </c>
      <c r="R1494" t="str">
        <v>00:54:26</v>
      </c>
      <c r="S1494">
        <f t="shared" si="371"/>
        <v>24.84999999999987</v>
      </c>
      <c r="T1494">
        <f t="shared" si="366"/>
        <v>26.14</v>
      </c>
      <c r="U1494">
        <f t="shared" si="369"/>
        <v>0.3</v>
      </c>
      <c r="V1494">
        <f t="shared" si="365"/>
        <v>0.93999999999999972</v>
      </c>
    </row>
    <row r="1495" spans="1:22" x14ac:dyDescent="0.25">
      <c r="A1495" t="s">
        <v>3451</v>
      </c>
      <c r="B1495">
        <v>0</v>
      </c>
      <c r="C1495">
        <v>29.71</v>
      </c>
      <c r="E1495" t="s">
        <v>3451</v>
      </c>
      <c r="F1495">
        <v>0.6</v>
      </c>
      <c r="G1495">
        <v>104.75</v>
      </c>
      <c r="I1495" t="str" cm="1">
        <f t="array" ref="I1495:J1495">_xlfn.TEXTSPLIT(A1495," ")</f>
        <v>28.10.2023</v>
      </c>
      <c r="J1495" t="str">
        <v>00:55:27</v>
      </c>
      <c r="K1495">
        <f t="shared" si="370"/>
        <v>24.866666666666536</v>
      </c>
      <c r="L1495">
        <f t="shared" si="367"/>
        <v>15.39</v>
      </c>
      <c r="M1495">
        <f t="shared" si="368"/>
        <v>0</v>
      </c>
      <c r="N1495">
        <f t="shared" si="364"/>
        <v>0.51749999999999985</v>
      </c>
      <c r="Q1495" t="str" cm="1">
        <f t="array" ref="Q1495:R1495">_xlfn.TEXTSPLIT(E1495," ")</f>
        <v>28.10.2023</v>
      </c>
      <c r="R1495" t="str">
        <v>00:55:27</v>
      </c>
      <c r="S1495">
        <f t="shared" si="371"/>
        <v>24.866666666666536</v>
      </c>
      <c r="T1495">
        <f t="shared" si="366"/>
        <v>26.150000000000006</v>
      </c>
      <c r="U1495">
        <f t="shared" si="369"/>
        <v>0.6</v>
      </c>
      <c r="V1495">
        <f t="shared" si="365"/>
        <v>0.94499999999999984</v>
      </c>
    </row>
    <row r="1496" spans="1:22" x14ac:dyDescent="0.25">
      <c r="A1496" t="s">
        <v>3452</v>
      </c>
      <c r="B1496">
        <v>0</v>
      </c>
      <c r="C1496">
        <v>29.71</v>
      </c>
      <c r="E1496" t="s">
        <v>3452</v>
      </c>
      <c r="F1496">
        <v>0.6</v>
      </c>
      <c r="G1496">
        <v>104.77</v>
      </c>
      <c r="I1496" t="str" cm="1">
        <f t="array" ref="I1496:J1496">_xlfn.TEXTSPLIT(A1496," ")</f>
        <v>28.10.2023</v>
      </c>
      <c r="J1496" t="str">
        <v>00:56:27</v>
      </c>
      <c r="K1496">
        <f t="shared" si="370"/>
        <v>24.883333333333201</v>
      </c>
      <c r="L1496">
        <f t="shared" si="367"/>
        <v>15.39</v>
      </c>
      <c r="M1496">
        <f t="shared" si="368"/>
        <v>0</v>
      </c>
      <c r="N1496">
        <f t="shared" si="364"/>
        <v>0.51749999999999985</v>
      </c>
      <c r="Q1496" t="str" cm="1">
        <f t="array" ref="Q1496:R1496">_xlfn.TEXTSPLIT(E1496," ")</f>
        <v>28.10.2023</v>
      </c>
      <c r="R1496" t="str">
        <v>00:56:27</v>
      </c>
      <c r="S1496">
        <f t="shared" si="371"/>
        <v>24.883333333333201</v>
      </c>
      <c r="T1496">
        <f t="shared" si="366"/>
        <v>26.17</v>
      </c>
      <c r="U1496">
        <f t="shared" si="369"/>
        <v>0.6</v>
      </c>
      <c r="V1496">
        <f t="shared" si="365"/>
        <v>0.94749999999999979</v>
      </c>
    </row>
    <row r="1497" spans="1:22" x14ac:dyDescent="0.25">
      <c r="A1497" t="s">
        <v>3453</v>
      </c>
      <c r="B1497">
        <v>0</v>
      </c>
      <c r="C1497">
        <v>29.71</v>
      </c>
      <c r="E1497" t="s">
        <v>3453</v>
      </c>
      <c r="F1497">
        <v>0.75</v>
      </c>
      <c r="G1497">
        <v>104.78</v>
      </c>
      <c r="I1497" t="str" cm="1">
        <f t="array" ref="I1497:J1497">_xlfn.TEXTSPLIT(A1497," ")</f>
        <v>28.10.2023</v>
      </c>
      <c r="J1497" t="str">
        <v>00:57:27</v>
      </c>
      <c r="K1497">
        <f t="shared" si="370"/>
        <v>24.899999999999867</v>
      </c>
      <c r="L1497">
        <f t="shared" si="367"/>
        <v>15.39</v>
      </c>
      <c r="M1497">
        <f t="shared" si="368"/>
        <v>0</v>
      </c>
      <c r="N1497">
        <f t="shared" si="364"/>
        <v>0.51749999999999985</v>
      </c>
      <c r="Q1497" t="str" cm="1">
        <f t="array" ref="Q1497:R1497">_xlfn.TEXTSPLIT(E1497," ")</f>
        <v>28.10.2023</v>
      </c>
      <c r="R1497" t="str">
        <v>00:57:27</v>
      </c>
      <c r="S1497">
        <f t="shared" si="371"/>
        <v>24.899999999999867</v>
      </c>
      <c r="T1497">
        <f t="shared" si="366"/>
        <v>26.180000000000007</v>
      </c>
      <c r="U1497">
        <f t="shared" si="369"/>
        <v>0.75</v>
      </c>
      <c r="V1497">
        <f t="shared" si="365"/>
        <v>0.94999999999999973</v>
      </c>
    </row>
    <row r="1498" spans="1:22" x14ac:dyDescent="0.25">
      <c r="A1498" t="s">
        <v>3454</v>
      </c>
      <c r="B1498">
        <v>0</v>
      </c>
      <c r="C1498">
        <v>29.71</v>
      </c>
      <c r="E1498" t="s">
        <v>3454</v>
      </c>
      <c r="F1498">
        <v>0.9</v>
      </c>
      <c r="G1498">
        <v>104.79</v>
      </c>
      <c r="I1498" t="str" cm="1">
        <f t="array" ref="I1498:J1498">_xlfn.TEXTSPLIT(A1498," ")</f>
        <v>28.10.2023</v>
      </c>
      <c r="J1498" t="str">
        <v>00:58:27</v>
      </c>
      <c r="K1498">
        <f t="shared" si="370"/>
        <v>24.916666666666533</v>
      </c>
      <c r="L1498">
        <f t="shared" si="367"/>
        <v>15.39</v>
      </c>
      <c r="M1498">
        <f t="shared" si="368"/>
        <v>0</v>
      </c>
      <c r="N1498">
        <f t="shared" si="364"/>
        <v>0.51749999999999985</v>
      </c>
      <c r="Q1498" t="str" cm="1">
        <f t="array" ref="Q1498:R1498">_xlfn.TEXTSPLIT(E1498," ")</f>
        <v>28.10.2023</v>
      </c>
      <c r="R1498" t="str">
        <v>00:58:27</v>
      </c>
      <c r="S1498">
        <f t="shared" si="371"/>
        <v>24.916666666666533</v>
      </c>
      <c r="T1498">
        <f t="shared" si="366"/>
        <v>26.190000000000012</v>
      </c>
      <c r="U1498">
        <f t="shared" si="369"/>
        <v>0.9</v>
      </c>
      <c r="V1498">
        <f t="shared" si="365"/>
        <v>0.9574999999999998</v>
      </c>
    </row>
    <row r="1499" spans="1:22" x14ac:dyDescent="0.25">
      <c r="A1499" t="s">
        <v>3455</v>
      </c>
      <c r="B1499">
        <v>0</v>
      </c>
      <c r="C1499">
        <v>29.71</v>
      </c>
      <c r="E1499" t="s">
        <v>3455</v>
      </c>
      <c r="F1499">
        <v>0.6</v>
      </c>
      <c r="G1499">
        <v>104.8</v>
      </c>
      <c r="I1499" t="str" cm="1">
        <f t="array" ref="I1499:J1499">_xlfn.TEXTSPLIT(A1499," ")</f>
        <v>28.10.2023</v>
      </c>
      <c r="J1499" t="str">
        <v>00:59:27</v>
      </c>
      <c r="K1499">
        <f t="shared" si="370"/>
        <v>24.933333333333199</v>
      </c>
      <c r="L1499">
        <f t="shared" si="367"/>
        <v>15.39</v>
      </c>
      <c r="M1499">
        <f t="shared" si="368"/>
        <v>0</v>
      </c>
      <c r="N1499">
        <f t="shared" si="364"/>
        <v>0.51749999999999985</v>
      </c>
      <c r="Q1499" t="str" cm="1">
        <f t="array" ref="Q1499:R1499">_xlfn.TEXTSPLIT(E1499," ")</f>
        <v>28.10.2023</v>
      </c>
      <c r="R1499" t="str">
        <v>00:59:27</v>
      </c>
      <c r="S1499">
        <f t="shared" si="371"/>
        <v>24.933333333333199</v>
      </c>
      <c r="T1499">
        <f t="shared" si="366"/>
        <v>26.200000000000003</v>
      </c>
      <c r="U1499">
        <f t="shared" si="369"/>
        <v>0.6</v>
      </c>
      <c r="V1499">
        <f t="shared" si="365"/>
        <v>0.9574999999999998</v>
      </c>
    </row>
    <row r="1500" spans="1:22" x14ac:dyDescent="0.25">
      <c r="A1500" t="s">
        <v>3456</v>
      </c>
      <c r="B1500">
        <v>0</v>
      </c>
      <c r="C1500">
        <v>29.71</v>
      </c>
      <c r="E1500" t="s">
        <v>3456</v>
      </c>
      <c r="F1500">
        <v>0.6</v>
      </c>
      <c r="G1500">
        <v>104.81</v>
      </c>
      <c r="I1500" t="str" cm="1">
        <f t="array" ref="I1500:J1500">_xlfn.TEXTSPLIT(A1500," ")</f>
        <v>28.10.2023</v>
      </c>
      <c r="J1500" t="str">
        <v>01:00:27</v>
      </c>
      <c r="K1500">
        <f t="shared" si="370"/>
        <v>24.949999999999864</v>
      </c>
      <c r="L1500">
        <f t="shared" si="367"/>
        <v>15.39</v>
      </c>
      <c r="M1500">
        <f t="shared" si="368"/>
        <v>0</v>
      </c>
      <c r="N1500">
        <f t="shared" si="364"/>
        <v>0.51249999999999996</v>
      </c>
      <c r="Q1500" t="str" cm="1">
        <f t="array" ref="Q1500:R1500">_xlfn.TEXTSPLIT(E1500," ")</f>
        <v>28.10.2023</v>
      </c>
      <c r="R1500" t="str">
        <v>01:00:27</v>
      </c>
      <c r="S1500">
        <f t="shared" si="371"/>
        <v>24.949999999999864</v>
      </c>
      <c r="T1500">
        <f t="shared" si="366"/>
        <v>26.210000000000008</v>
      </c>
      <c r="U1500">
        <f t="shared" si="369"/>
        <v>0.6</v>
      </c>
      <c r="V1500">
        <f t="shared" si="365"/>
        <v>0.95499999999999985</v>
      </c>
    </row>
    <row r="1501" spans="1:22" x14ac:dyDescent="0.25">
      <c r="A1501" t="s">
        <v>3457</v>
      </c>
      <c r="B1501">
        <v>0.15</v>
      </c>
      <c r="C1501">
        <v>29.71</v>
      </c>
      <c r="E1501" t="s">
        <v>3457</v>
      </c>
      <c r="F1501">
        <v>0.75</v>
      </c>
      <c r="G1501">
        <v>104.82</v>
      </c>
      <c r="I1501" t="str" cm="1">
        <f t="array" ref="I1501:J1501">_xlfn.TEXTSPLIT(A1501," ")</f>
        <v>28.10.2023</v>
      </c>
      <c r="J1501" t="str">
        <v>01:01:27</v>
      </c>
      <c r="K1501">
        <f t="shared" si="370"/>
        <v>24.96666666666653</v>
      </c>
      <c r="L1501">
        <f t="shared" si="367"/>
        <v>15.39</v>
      </c>
      <c r="M1501">
        <f t="shared" si="368"/>
        <v>0.15</v>
      </c>
      <c r="N1501">
        <f t="shared" si="364"/>
        <v>0.51249999999999996</v>
      </c>
      <c r="Q1501" t="str" cm="1">
        <f t="array" ref="Q1501:R1501">_xlfn.TEXTSPLIT(E1501," ")</f>
        <v>28.10.2023</v>
      </c>
      <c r="R1501" t="str">
        <v>01:01:27</v>
      </c>
      <c r="S1501">
        <f t="shared" si="371"/>
        <v>24.96666666666653</v>
      </c>
      <c r="T1501">
        <f t="shared" si="366"/>
        <v>26.22</v>
      </c>
      <c r="U1501">
        <f t="shared" si="369"/>
        <v>0.75</v>
      </c>
      <c r="V1501">
        <f t="shared" si="365"/>
        <v>0.9574999999999998</v>
      </c>
    </row>
    <row r="1502" spans="1:22" x14ac:dyDescent="0.25">
      <c r="A1502" t="s">
        <v>3458</v>
      </c>
      <c r="B1502">
        <v>0</v>
      </c>
      <c r="C1502">
        <v>29.72</v>
      </c>
      <c r="E1502" t="s">
        <v>3458</v>
      </c>
      <c r="F1502">
        <v>0.6</v>
      </c>
      <c r="G1502">
        <v>104.83</v>
      </c>
      <c r="I1502" t="str" cm="1">
        <f t="array" ref="I1502:J1502">_xlfn.TEXTSPLIT(A1502," ")</f>
        <v>28.10.2023</v>
      </c>
      <c r="J1502" t="str">
        <v>01:02:27</v>
      </c>
      <c r="K1502">
        <f t="shared" si="370"/>
        <v>24.983333333333196</v>
      </c>
      <c r="L1502">
        <f t="shared" si="367"/>
        <v>15.399999999999999</v>
      </c>
      <c r="M1502">
        <f t="shared" si="368"/>
        <v>0</v>
      </c>
      <c r="N1502">
        <f t="shared" si="364"/>
        <v>0.51</v>
      </c>
      <c r="Q1502" t="str" cm="1">
        <f t="array" ref="Q1502:R1502">_xlfn.TEXTSPLIT(E1502," ")</f>
        <v>28.10.2023</v>
      </c>
      <c r="R1502" t="str">
        <v>01:02:27</v>
      </c>
      <c r="S1502">
        <f t="shared" si="371"/>
        <v>24.983333333333196</v>
      </c>
      <c r="T1502">
        <f t="shared" si="366"/>
        <v>26.230000000000004</v>
      </c>
      <c r="U1502">
        <f t="shared" si="369"/>
        <v>0.6</v>
      </c>
      <c r="V1502">
        <f t="shared" si="365"/>
        <v>0.94999999999999984</v>
      </c>
    </row>
    <row r="1503" spans="1:22" x14ac:dyDescent="0.25">
      <c r="A1503" t="s">
        <v>3459</v>
      </c>
      <c r="B1503">
        <v>0.3</v>
      </c>
      <c r="C1503">
        <v>29.72</v>
      </c>
      <c r="E1503" t="s">
        <v>3459</v>
      </c>
      <c r="F1503">
        <v>0.75</v>
      </c>
      <c r="G1503">
        <v>104.85</v>
      </c>
      <c r="I1503" t="str" cm="1">
        <f t="array" ref="I1503:J1503">_xlfn.TEXTSPLIT(A1503," ")</f>
        <v>28.10.2023</v>
      </c>
      <c r="J1503" t="str">
        <v>01:03:28</v>
      </c>
      <c r="K1503">
        <f t="shared" si="370"/>
        <v>24.999999999999861</v>
      </c>
      <c r="L1503">
        <f t="shared" si="367"/>
        <v>15.399999999999999</v>
      </c>
      <c r="M1503">
        <f t="shared" si="368"/>
        <v>0.3</v>
      </c>
      <c r="N1503">
        <f t="shared" si="364"/>
        <v>0.51249999999999996</v>
      </c>
      <c r="Q1503" t="str" cm="1">
        <f t="array" ref="Q1503:R1503">_xlfn.TEXTSPLIT(E1503," ")</f>
        <v>28.10.2023</v>
      </c>
      <c r="R1503" t="str">
        <v>01:03:28</v>
      </c>
      <c r="S1503">
        <f t="shared" si="371"/>
        <v>24.999999999999861</v>
      </c>
      <c r="T1503">
        <f t="shared" si="366"/>
        <v>26.25</v>
      </c>
      <c r="U1503">
        <f t="shared" si="369"/>
        <v>0.75</v>
      </c>
      <c r="V1503">
        <f t="shared" si="365"/>
        <v>0.93999999999999984</v>
      </c>
    </row>
    <row r="1504" spans="1:22" x14ac:dyDescent="0.25">
      <c r="A1504" t="s">
        <v>3460</v>
      </c>
      <c r="B1504">
        <v>0.45</v>
      </c>
      <c r="C1504">
        <v>29.72</v>
      </c>
      <c r="E1504" t="s">
        <v>3460</v>
      </c>
      <c r="F1504">
        <v>0.9</v>
      </c>
      <c r="G1504">
        <v>104.86</v>
      </c>
      <c r="I1504" t="str" cm="1">
        <f t="array" ref="I1504:J1504">_xlfn.TEXTSPLIT(A1504," ")</f>
        <v>28.10.2023</v>
      </c>
      <c r="J1504" t="str">
        <v>01:04:28</v>
      </c>
      <c r="K1504">
        <f t="shared" si="370"/>
        <v>25.016666666666527</v>
      </c>
      <c r="L1504">
        <f t="shared" si="367"/>
        <v>15.399999999999999</v>
      </c>
      <c r="M1504">
        <f t="shared" si="368"/>
        <v>0.45</v>
      </c>
      <c r="N1504">
        <f t="shared" si="364"/>
        <v>0.51249999999999996</v>
      </c>
      <c r="Q1504" t="str" cm="1">
        <f t="array" ref="Q1504:R1504">_xlfn.TEXTSPLIT(E1504," ")</f>
        <v>28.10.2023</v>
      </c>
      <c r="R1504" t="str">
        <v>01:04:28</v>
      </c>
      <c r="S1504">
        <f t="shared" si="371"/>
        <v>25.016666666666527</v>
      </c>
      <c r="T1504">
        <f t="shared" si="366"/>
        <v>26.260000000000005</v>
      </c>
      <c r="U1504">
        <f t="shared" si="369"/>
        <v>0.9</v>
      </c>
      <c r="V1504">
        <f t="shared" si="365"/>
        <v>0.93749999999999989</v>
      </c>
    </row>
    <row r="1505" spans="1:22" x14ac:dyDescent="0.25">
      <c r="A1505" t="s">
        <v>3461</v>
      </c>
      <c r="B1505">
        <v>0.45</v>
      </c>
      <c r="C1505">
        <v>29.73</v>
      </c>
      <c r="E1505" t="s">
        <v>3461</v>
      </c>
      <c r="F1505">
        <v>1.05</v>
      </c>
      <c r="G1505">
        <v>104.9</v>
      </c>
      <c r="I1505" t="str" cm="1">
        <f t="array" ref="I1505:J1505">_xlfn.TEXTSPLIT(A1505," ")</f>
        <v>28.10.2023</v>
      </c>
      <c r="J1505" t="str">
        <v>01:05:28</v>
      </c>
      <c r="K1505">
        <f t="shared" si="370"/>
        <v>25.033333333333193</v>
      </c>
      <c r="L1505">
        <f t="shared" si="367"/>
        <v>15.41</v>
      </c>
      <c r="M1505">
        <f t="shared" si="368"/>
        <v>0.45</v>
      </c>
      <c r="N1505">
        <f t="shared" si="364"/>
        <v>0.51249999999999996</v>
      </c>
      <c r="Q1505" t="str" cm="1">
        <f t="array" ref="Q1505:R1505">_xlfn.TEXTSPLIT(E1505," ")</f>
        <v>28.10.2023</v>
      </c>
      <c r="R1505" t="str">
        <v>01:05:28</v>
      </c>
      <c r="S1505">
        <f t="shared" si="371"/>
        <v>25.033333333333193</v>
      </c>
      <c r="T1505">
        <f t="shared" si="366"/>
        <v>26.300000000000011</v>
      </c>
      <c r="U1505">
        <f t="shared" si="369"/>
        <v>1.05</v>
      </c>
      <c r="V1505">
        <f t="shared" si="365"/>
        <v>0.93749999999999978</v>
      </c>
    </row>
    <row r="1506" spans="1:22" x14ac:dyDescent="0.25">
      <c r="A1506" t="s">
        <v>3462</v>
      </c>
      <c r="B1506">
        <v>0.3</v>
      </c>
      <c r="C1506">
        <v>29.74</v>
      </c>
      <c r="E1506" t="s">
        <v>3462</v>
      </c>
      <c r="F1506">
        <v>2.85</v>
      </c>
      <c r="G1506">
        <v>104.94</v>
      </c>
      <c r="I1506" t="str" cm="1">
        <f t="array" ref="I1506:J1506">_xlfn.TEXTSPLIT(A1506," ")</f>
        <v>28.10.2023</v>
      </c>
      <c r="J1506" t="str">
        <v>01:06:28</v>
      </c>
      <c r="K1506">
        <f t="shared" si="370"/>
        <v>25.049999999999859</v>
      </c>
      <c r="L1506">
        <f t="shared" si="367"/>
        <v>15.419999999999998</v>
      </c>
      <c r="M1506">
        <f t="shared" si="368"/>
        <v>0.3</v>
      </c>
      <c r="N1506">
        <f t="shared" si="364"/>
        <v>0.51249999999999996</v>
      </c>
      <c r="Q1506" t="str" cm="1">
        <f t="array" ref="Q1506:R1506">_xlfn.TEXTSPLIT(E1506," ")</f>
        <v>28.10.2023</v>
      </c>
      <c r="R1506" t="str">
        <v>01:06:28</v>
      </c>
      <c r="S1506">
        <f t="shared" si="371"/>
        <v>25.049999999999859</v>
      </c>
      <c r="T1506">
        <f t="shared" si="366"/>
        <v>26.340000000000003</v>
      </c>
      <c r="U1506">
        <f t="shared" si="369"/>
        <v>2.85</v>
      </c>
      <c r="V1506">
        <f t="shared" si="365"/>
        <v>0.95499999999999985</v>
      </c>
    </row>
    <row r="1507" spans="1:22" x14ac:dyDescent="0.25">
      <c r="A1507" t="s">
        <v>3463</v>
      </c>
      <c r="B1507">
        <v>0.45</v>
      </c>
      <c r="C1507">
        <v>29.77</v>
      </c>
      <c r="E1507" t="s">
        <v>3463</v>
      </c>
      <c r="F1507">
        <v>2.1</v>
      </c>
      <c r="G1507">
        <v>104.97</v>
      </c>
      <c r="I1507" t="str" cm="1">
        <f t="array" ref="I1507:J1507">_xlfn.TEXTSPLIT(A1507," ")</f>
        <v>28.10.2023</v>
      </c>
      <c r="J1507" t="str">
        <v>01:07:28</v>
      </c>
      <c r="K1507">
        <f t="shared" si="370"/>
        <v>25.066666666666524</v>
      </c>
      <c r="L1507">
        <f t="shared" si="367"/>
        <v>15.45</v>
      </c>
      <c r="M1507">
        <f t="shared" si="368"/>
        <v>0.45</v>
      </c>
      <c r="N1507">
        <f t="shared" si="364"/>
        <v>0.49749999999999994</v>
      </c>
      <c r="Q1507" t="str" cm="1">
        <f t="array" ref="Q1507:R1507">_xlfn.TEXTSPLIT(E1507," ")</f>
        <v>28.10.2023</v>
      </c>
      <c r="R1507" t="str">
        <v>01:07:28</v>
      </c>
      <c r="S1507">
        <f t="shared" si="371"/>
        <v>25.066666666666524</v>
      </c>
      <c r="T1507">
        <f t="shared" si="366"/>
        <v>26.370000000000005</v>
      </c>
      <c r="U1507">
        <f t="shared" si="369"/>
        <v>2.1</v>
      </c>
      <c r="V1507">
        <f t="shared" si="365"/>
        <v>0.94999999999999984</v>
      </c>
    </row>
    <row r="1508" spans="1:22" x14ac:dyDescent="0.25">
      <c r="A1508" t="s">
        <v>3464</v>
      </c>
      <c r="B1508">
        <v>2.7</v>
      </c>
      <c r="C1508">
        <v>29.81</v>
      </c>
      <c r="E1508" t="s">
        <v>3464</v>
      </c>
      <c r="F1508">
        <v>1.95</v>
      </c>
      <c r="G1508">
        <v>105</v>
      </c>
      <c r="I1508" t="str" cm="1">
        <f t="array" ref="I1508:J1508">_xlfn.TEXTSPLIT(A1508," ")</f>
        <v>28.10.2023</v>
      </c>
      <c r="J1508" t="str">
        <v>01:08:28</v>
      </c>
      <c r="K1508">
        <f t="shared" si="370"/>
        <v>25.08333333333319</v>
      </c>
      <c r="L1508">
        <f t="shared" si="367"/>
        <v>15.489999999999998</v>
      </c>
      <c r="M1508">
        <f t="shared" si="368"/>
        <v>2.7</v>
      </c>
      <c r="N1508">
        <f t="shared" si="364"/>
        <v>0.49249999999999994</v>
      </c>
      <c r="Q1508" t="str" cm="1">
        <f t="array" ref="Q1508:R1508">_xlfn.TEXTSPLIT(E1508," ")</f>
        <v>28.10.2023</v>
      </c>
      <c r="R1508" t="str">
        <v>01:08:28</v>
      </c>
      <c r="S1508">
        <f t="shared" si="371"/>
        <v>25.08333333333319</v>
      </c>
      <c r="T1508">
        <f t="shared" si="366"/>
        <v>26.400000000000006</v>
      </c>
      <c r="U1508">
        <f t="shared" si="369"/>
        <v>1.95</v>
      </c>
      <c r="V1508">
        <f t="shared" si="365"/>
        <v>0.93499999999999994</v>
      </c>
    </row>
    <row r="1509" spans="1:22" x14ac:dyDescent="0.25">
      <c r="A1509" t="s">
        <v>3465</v>
      </c>
      <c r="B1509">
        <v>1.65</v>
      </c>
      <c r="C1509">
        <v>29.83</v>
      </c>
      <c r="E1509" t="s">
        <v>3465</v>
      </c>
      <c r="F1509">
        <v>1.95</v>
      </c>
      <c r="G1509">
        <v>105.03</v>
      </c>
      <c r="I1509" t="str" cm="1">
        <f t="array" ref="I1509:J1509">_xlfn.TEXTSPLIT(A1509," ")</f>
        <v>28.10.2023</v>
      </c>
      <c r="J1509" t="str">
        <v>01:09:28</v>
      </c>
      <c r="K1509">
        <f t="shared" si="370"/>
        <v>25.099999999999856</v>
      </c>
      <c r="L1509">
        <f t="shared" si="367"/>
        <v>15.509999999999998</v>
      </c>
      <c r="M1509">
        <f t="shared" si="368"/>
        <v>1.65</v>
      </c>
      <c r="N1509">
        <f t="shared" si="364"/>
        <v>0.48999999999999994</v>
      </c>
      <c r="Q1509" t="str" cm="1">
        <f t="array" ref="Q1509:R1509">_xlfn.TEXTSPLIT(E1509," ")</f>
        <v>28.10.2023</v>
      </c>
      <c r="R1509" t="str">
        <v>01:09:28</v>
      </c>
      <c r="S1509">
        <f t="shared" si="371"/>
        <v>25.099999999999856</v>
      </c>
      <c r="T1509">
        <f t="shared" si="366"/>
        <v>26.430000000000007</v>
      </c>
      <c r="U1509">
        <f t="shared" si="369"/>
        <v>1.95</v>
      </c>
      <c r="V1509">
        <f t="shared" si="365"/>
        <v>0.94250000000000012</v>
      </c>
    </row>
    <row r="1510" spans="1:22" x14ac:dyDescent="0.25">
      <c r="A1510" t="s">
        <v>3466</v>
      </c>
      <c r="B1510">
        <v>1.35</v>
      </c>
      <c r="C1510">
        <v>29.85</v>
      </c>
      <c r="E1510" t="s">
        <v>3466</v>
      </c>
      <c r="F1510">
        <v>1.35</v>
      </c>
      <c r="G1510">
        <v>105.05</v>
      </c>
      <c r="I1510" t="str" cm="1">
        <f t="array" ref="I1510:J1510">_xlfn.TEXTSPLIT(A1510," ")</f>
        <v>28.10.2023</v>
      </c>
      <c r="J1510" t="str">
        <v>01:10:28</v>
      </c>
      <c r="K1510">
        <f t="shared" si="370"/>
        <v>25.116666666666521</v>
      </c>
      <c r="L1510">
        <f t="shared" si="367"/>
        <v>15.530000000000001</v>
      </c>
      <c r="M1510">
        <f t="shared" si="368"/>
        <v>1.35</v>
      </c>
      <c r="N1510">
        <f t="shared" si="364"/>
        <v>0.49249999999999994</v>
      </c>
      <c r="Q1510" t="str" cm="1">
        <f t="array" ref="Q1510:R1510">_xlfn.TEXTSPLIT(E1510," ")</f>
        <v>28.10.2023</v>
      </c>
      <c r="R1510" t="str">
        <v>01:10:28</v>
      </c>
      <c r="S1510">
        <f t="shared" si="371"/>
        <v>25.116666666666521</v>
      </c>
      <c r="T1510">
        <f t="shared" si="366"/>
        <v>26.450000000000003</v>
      </c>
      <c r="U1510">
        <f t="shared" si="369"/>
        <v>1.35</v>
      </c>
      <c r="V1510">
        <f t="shared" si="365"/>
        <v>0.9474999999999999</v>
      </c>
    </row>
    <row r="1511" spans="1:22" x14ac:dyDescent="0.25">
      <c r="A1511" t="s">
        <v>3467</v>
      </c>
      <c r="B1511">
        <v>1.05</v>
      </c>
      <c r="C1511">
        <v>29.87</v>
      </c>
      <c r="E1511" t="s">
        <v>3467</v>
      </c>
      <c r="F1511">
        <v>0.9</v>
      </c>
      <c r="G1511">
        <v>105.06</v>
      </c>
      <c r="I1511" t="str" cm="1">
        <f t="array" ref="I1511:J1511">_xlfn.TEXTSPLIT(A1511," ")</f>
        <v>28.10.2023</v>
      </c>
      <c r="J1511" t="str">
        <v>01:11:29</v>
      </c>
      <c r="K1511">
        <f t="shared" si="370"/>
        <v>25.133333333333187</v>
      </c>
      <c r="L1511">
        <f t="shared" si="367"/>
        <v>15.55</v>
      </c>
      <c r="M1511">
        <f t="shared" si="368"/>
        <v>1.05</v>
      </c>
      <c r="N1511">
        <f t="shared" si="364"/>
        <v>0.495</v>
      </c>
      <c r="Q1511" t="str" cm="1">
        <f t="array" ref="Q1511:R1511">_xlfn.TEXTSPLIT(E1511," ")</f>
        <v>28.10.2023</v>
      </c>
      <c r="R1511" t="str">
        <v>01:11:29</v>
      </c>
      <c r="S1511">
        <f t="shared" si="371"/>
        <v>25.133333333333187</v>
      </c>
      <c r="T1511">
        <f t="shared" si="366"/>
        <v>26.460000000000008</v>
      </c>
      <c r="U1511">
        <f t="shared" si="369"/>
        <v>0.9</v>
      </c>
      <c r="V1511">
        <f t="shared" si="365"/>
        <v>0.9425</v>
      </c>
    </row>
    <row r="1512" spans="1:22" x14ac:dyDescent="0.25">
      <c r="A1512" t="s">
        <v>3468</v>
      </c>
      <c r="B1512">
        <v>1.2</v>
      </c>
      <c r="C1512">
        <v>29.89</v>
      </c>
      <c r="E1512" t="s">
        <v>3468</v>
      </c>
      <c r="F1512">
        <v>0.9</v>
      </c>
      <c r="G1512">
        <v>105.08</v>
      </c>
      <c r="I1512" t="str" cm="1">
        <f t="array" ref="I1512:J1512">_xlfn.TEXTSPLIT(A1512," ")</f>
        <v>28.10.2023</v>
      </c>
      <c r="J1512" t="str">
        <v>01:12:29</v>
      </c>
      <c r="K1512">
        <f t="shared" si="370"/>
        <v>25.149999999999853</v>
      </c>
      <c r="L1512">
        <f t="shared" si="367"/>
        <v>15.57</v>
      </c>
      <c r="M1512">
        <f t="shared" si="368"/>
        <v>1.2</v>
      </c>
      <c r="N1512">
        <f t="shared" si="364"/>
        <v>0.50249999999999995</v>
      </c>
      <c r="Q1512" t="str" cm="1">
        <f t="array" ref="Q1512:R1512">_xlfn.TEXTSPLIT(E1512," ")</f>
        <v>28.10.2023</v>
      </c>
      <c r="R1512" t="str">
        <v>01:12:29</v>
      </c>
      <c r="S1512">
        <f t="shared" si="371"/>
        <v>25.149999999999853</v>
      </c>
      <c r="T1512">
        <f t="shared" si="366"/>
        <v>26.480000000000004</v>
      </c>
      <c r="U1512">
        <f t="shared" si="369"/>
        <v>0.9</v>
      </c>
      <c r="V1512">
        <f t="shared" si="365"/>
        <v>0.94</v>
      </c>
    </row>
    <row r="1513" spans="1:22" x14ac:dyDescent="0.25">
      <c r="A1513" t="s">
        <v>3469</v>
      </c>
      <c r="B1513">
        <v>0.6</v>
      </c>
      <c r="C1513">
        <v>29.9</v>
      </c>
      <c r="E1513" t="s">
        <v>3469</v>
      </c>
      <c r="F1513">
        <v>0.9</v>
      </c>
      <c r="G1513">
        <v>105.1</v>
      </c>
      <c r="I1513" t="str" cm="1">
        <f t="array" ref="I1513:J1513">_xlfn.TEXTSPLIT(A1513," ")</f>
        <v>28.10.2023</v>
      </c>
      <c r="J1513" t="str">
        <v>01:13:29</v>
      </c>
      <c r="K1513">
        <f t="shared" si="370"/>
        <v>25.166666666666519</v>
      </c>
      <c r="L1513">
        <f t="shared" si="367"/>
        <v>15.579999999999998</v>
      </c>
      <c r="M1513">
        <f t="shared" si="368"/>
        <v>0.6</v>
      </c>
      <c r="N1513">
        <f t="shared" si="364"/>
        <v>0.4975</v>
      </c>
      <c r="Q1513" t="str" cm="1">
        <f t="array" ref="Q1513:R1513">_xlfn.TEXTSPLIT(E1513," ")</f>
        <v>28.10.2023</v>
      </c>
      <c r="R1513" t="str">
        <v>01:13:29</v>
      </c>
      <c r="S1513">
        <f t="shared" si="371"/>
        <v>25.166666666666519</v>
      </c>
      <c r="T1513">
        <f t="shared" si="366"/>
        <v>26.5</v>
      </c>
      <c r="U1513">
        <f t="shared" si="369"/>
        <v>0.9</v>
      </c>
      <c r="V1513">
        <f t="shared" si="365"/>
        <v>0.9375</v>
      </c>
    </row>
    <row r="1514" spans="1:22" x14ac:dyDescent="0.25">
      <c r="A1514" t="s">
        <v>3470</v>
      </c>
      <c r="B1514">
        <v>0.75</v>
      </c>
      <c r="C1514">
        <v>29.91</v>
      </c>
      <c r="E1514" t="s">
        <v>3470</v>
      </c>
      <c r="F1514">
        <v>1.05</v>
      </c>
      <c r="G1514">
        <v>105.11</v>
      </c>
      <c r="I1514" t="str" cm="1">
        <f t="array" ref="I1514:J1514">_xlfn.TEXTSPLIT(A1514," ")</f>
        <v>28.10.2023</v>
      </c>
      <c r="J1514" t="str">
        <v>01:14:29</v>
      </c>
      <c r="K1514">
        <f t="shared" si="370"/>
        <v>25.183333333333184</v>
      </c>
      <c r="L1514">
        <f t="shared" si="367"/>
        <v>15.59</v>
      </c>
      <c r="M1514">
        <f t="shared" si="368"/>
        <v>0.75</v>
      </c>
      <c r="N1514">
        <f t="shared" si="364"/>
        <v>0.50000000000000011</v>
      </c>
      <c r="Q1514" t="str" cm="1">
        <f t="array" ref="Q1514:R1514">_xlfn.TEXTSPLIT(E1514," ")</f>
        <v>28.10.2023</v>
      </c>
      <c r="R1514" t="str">
        <v>01:14:29</v>
      </c>
      <c r="S1514">
        <f t="shared" si="371"/>
        <v>25.183333333333184</v>
      </c>
      <c r="T1514">
        <f t="shared" si="366"/>
        <v>26.510000000000005</v>
      </c>
      <c r="U1514">
        <f t="shared" si="369"/>
        <v>1.05</v>
      </c>
      <c r="V1514">
        <f t="shared" si="365"/>
        <v>0.93500000000000005</v>
      </c>
    </row>
    <row r="1515" spans="1:22" x14ac:dyDescent="0.25">
      <c r="A1515" t="s">
        <v>3471</v>
      </c>
      <c r="B1515">
        <v>0.6</v>
      </c>
      <c r="C1515">
        <v>29.92</v>
      </c>
      <c r="E1515" t="s">
        <v>3471</v>
      </c>
      <c r="F1515">
        <v>1.05</v>
      </c>
      <c r="G1515">
        <v>105.13</v>
      </c>
      <c r="I1515" t="str" cm="1">
        <f t="array" ref="I1515:J1515">_xlfn.TEXTSPLIT(A1515," ")</f>
        <v>28.10.2023</v>
      </c>
      <c r="J1515" t="str">
        <v>01:15:29</v>
      </c>
      <c r="K1515">
        <f t="shared" si="370"/>
        <v>25.19999999999985</v>
      </c>
      <c r="L1515">
        <f t="shared" si="367"/>
        <v>15.600000000000001</v>
      </c>
      <c r="M1515">
        <f t="shared" si="368"/>
        <v>0.6</v>
      </c>
      <c r="N1515">
        <f t="shared" si="364"/>
        <v>0.5</v>
      </c>
      <c r="Q1515" t="str" cm="1">
        <f t="array" ref="Q1515:R1515">_xlfn.TEXTSPLIT(E1515," ")</f>
        <v>28.10.2023</v>
      </c>
      <c r="R1515" t="str">
        <v>01:15:29</v>
      </c>
      <c r="S1515">
        <f t="shared" si="371"/>
        <v>25.19999999999985</v>
      </c>
      <c r="T1515">
        <f t="shared" si="366"/>
        <v>26.53</v>
      </c>
      <c r="U1515">
        <f t="shared" si="369"/>
        <v>1.05</v>
      </c>
      <c r="V1515">
        <f t="shared" si="365"/>
        <v>0.94</v>
      </c>
    </row>
    <row r="1516" spans="1:22" x14ac:dyDescent="0.25">
      <c r="A1516" t="s">
        <v>3472</v>
      </c>
      <c r="B1516">
        <v>0.45</v>
      </c>
      <c r="C1516">
        <v>29.92</v>
      </c>
      <c r="E1516" t="s">
        <v>3472</v>
      </c>
      <c r="F1516">
        <v>1.2</v>
      </c>
      <c r="G1516">
        <v>105.15</v>
      </c>
      <c r="I1516" t="str" cm="1">
        <f t="array" ref="I1516:J1516">_xlfn.TEXTSPLIT(A1516," ")</f>
        <v>28.10.2023</v>
      </c>
      <c r="J1516" t="str">
        <v>01:16:29</v>
      </c>
      <c r="K1516">
        <f t="shared" si="370"/>
        <v>25.216666666666516</v>
      </c>
      <c r="L1516">
        <f t="shared" si="367"/>
        <v>15.600000000000001</v>
      </c>
      <c r="M1516">
        <f t="shared" si="368"/>
        <v>0.45</v>
      </c>
      <c r="N1516">
        <f t="shared" si="364"/>
        <v>0.4975</v>
      </c>
      <c r="Q1516" t="str" cm="1">
        <f t="array" ref="Q1516:R1516">_xlfn.TEXTSPLIT(E1516," ")</f>
        <v>28.10.2023</v>
      </c>
      <c r="R1516" t="str">
        <v>01:16:29</v>
      </c>
      <c r="S1516">
        <f t="shared" si="371"/>
        <v>25.216666666666516</v>
      </c>
      <c r="T1516">
        <f t="shared" si="366"/>
        <v>26.550000000000011</v>
      </c>
      <c r="U1516">
        <f t="shared" si="369"/>
        <v>1.2</v>
      </c>
      <c r="V1516">
        <f t="shared" si="365"/>
        <v>0.94499999999999995</v>
      </c>
    </row>
    <row r="1517" spans="1:22" x14ac:dyDescent="0.25">
      <c r="A1517" t="s">
        <v>3473</v>
      </c>
      <c r="B1517">
        <v>0.3</v>
      </c>
      <c r="C1517">
        <v>29.93</v>
      </c>
      <c r="E1517" t="s">
        <v>3473</v>
      </c>
      <c r="F1517">
        <v>0.9</v>
      </c>
      <c r="G1517">
        <v>105.17</v>
      </c>
      <c r="I1517" t="str" cm="1">
        <f t="array" ref="I1517:J1517">_xlfn.TEXTSPLIT(A1517," ")</f>
        <v>28.10.2023</v>
      </c>
      <c r="J1517" t="str">
        <v>01:17:29</v>
      </c>
      <c r="K1517">
        <f t="shared" si="370"/>
        <v>25.233333333333182</v>
      </c>
      <c r="L1517">
        <f t="shared" si="367"/>
        <v>15.61</v>
      </c>
      <c r="M1517">
        <f t="shared" si="368"/>
        <v>0.3</v>
      </c>
      <c r="N1517">
        <f t="shared" si="364"/>
        <v>0.495</v>
      </c>
      <c r="Q1517" t="str" cm="1">
        <f t="array" ref="Q1517:R1517">_xlfn.TEXTSPLIT(E1517," ")</f>
        <v>28.10.2023</v>
      </c>
      <c r="R1517" t="str">
        <v>01:17:29</v>
      </c>
      <c r="S1517">
        <f t="shared" si="371"/>
        <v>25.233333333333182</v>
      </c>
      <c r="T1517">
        <f t="shared" si="366"/>
        <v>26.570000000000007</v>
      </c>
      <c r="U1517">
        <f t="shared" si="369"/>
        <v>0.9</v>
      </c>
      <c r="V1517">
        <f t="shared" si="365"/>
        <v>0.95</v>
      </c>
    </row>
    <row r="1518" spans="1:22" x14ac:dyDescent="0.25">
      <c r="A1518" t="s">
        <v>3474</v>
      </c>
      <c r="B1518">
        <v>0.45</v>
      </c>
      <c r="C1518">
        <v>29.93</v>
      </c>
      <c r="E1518" t="s">
        <v>3474</v>
      </c>
      <c r="F1518">
        <v>0.6</v>
      </c>
      <c r="G1518">
        <v>105.17</v>
      </c>
      <c r="I1518" t="str" cm="1">
        <f t="array" ref="I1518:J1518">_xlfn.TEXTSPLIT(A1518," ")</f>
        <v>28.10.2023</v>
      </c>
      <c r="J1518" t="str">
        <v>01:18:29</v>
      </c>
      <c r="K1518">
        <f t="shared" si="370"/>
        <v>25.249999999999847</v>
      </c>
      <c r="L1518">
        <f t="shared" si="367"/>
        <v>15.61</v>
      </c>
      <c r="M1518">
        <f t="shared" si="368"/>
        <v>0.45</v>
      </c>
      <c r="N1518">
        <f t="shared" si="364"/>
        <v>0.49249999999999999</v>
      </c>
      <c r="Q1518" t="str" cm="1">
        <f t="array" ref="Q1518:R1518">_xlfn.TEXTSPLIT(E1518," ")</f>
        <v>28.10.2023</v>
      </c>
      <c r="R1518" t="str">
        <v>01:18:29</v>
      </c>
      <c r="S1518">
        <f t="shared" si="371"/>
        <v>25.249999999999847</v>
      </c>
      <c r="T1518">
        <f t="shared" si="366"/>
        <v>26.570000000000007</v>
      </c>
      <c r="U1518">
        <f t="shared" si="369"/>
        <v>0.6</v>
      </c>
      <c r="V1518">
        <f t="shared" si="365"/>
        <v>0.94750000000000001</v>
      </c>
    </row>
    <row r="1519" spans="1:22" x14ac:dyDescent="0.25">
      <c r="A1519" t="s">
        <v>3475</v>
      </c>
      <c r="B1519">
        <v>0.3</v>
      </c>
      <c r="C1519">
        <v>29.94</v>
      </c>
      <c r="E1519" t="s">
        <v>3475</v>
      </c>
      <c r="F1519">
        <v>0.75</v>
      </c>
      <c r="G1519">
        <v>105.18</v>
      </c>
      <c r="I1519" t="str" cm="1">
        <f t="array" ref="I1519:J1519">_xlfn.TEXTSPLIT(A1519," ")</f>
        <v>28.10.2023</v>
      </c>
      <c r="J1519" t="str">
        <v>01:19:30</v>
      </c>
      <c r="K1519">
        <f t="shared" si="370"/>
        <v>25.266666666666513</v>
      </c>
      <c r="L1519">
        <f t="shared" si="367"/>
        <v>15.620000000000001</v>
      </c>
      <c r="M1519">
        <f t="shared" si="368"/>
        <v>0.3</v>
      </c>
      <c r="N1519">
        <f t="shared" si="364"/>
        <v>0.49000000000000005</v>
      </c>
      <c r="Q1519" t="str" cm="1">
        <f t="array" ref="Q1519:R1519">_xlfn.TEXTSPLIT(E1519," ")</f>
        <v>28.10.2023</v>
      </c>
      <c r="R1519" t="str">
        <v>01:19:30</v>
      </c>
      <c r="S1519">
        <f t="shared" si="371"/>
        <v>25.266666666666513</v>
      </c>
      <c r="T1519">
        <f t="shared" si="366"/>
        <v>26.580000000000013</v>
      </c>
      <c r="U1519">
        <f t="shared" si="369"/>
        <v>0.75</v>
      </c>
      <c r="V1519">
        <f t="shared" si="365"/>
        <v>0.94750000000000001</v>
      </c>
    </row>
    <row r="1520" spans="1:22" x14ac:dyDescent="0.25">
      <c r="A1520" t="s">
        <v>3476</v>
      </c>
      <c r="B1520">
        <v>0.45</v>
      </c>
      <c r="C1520">
        <v>29.95</v>
      </c>
      <c r="E1520" t="s">
        <v>3476</v>
      </c>
      <c r="F1520">
        <v>0.75</v>
      </c>
      <c r="G1520">
        <v>105.19</v>
      </c>
      <c r="I1520" t="str" cm="1">
        <f t="array" ref="I1520:J1520">_xlfn.TEXTSPLIT(A1520," ")</f>
        <v>28.10.2023</v>
      </c>
      <c r="J1520" t="str">
        <v>01:20:30</v>
      </c>
      <c r="K1520">
        <f t="shared" si="370"/>
        <v>25.283333333333179</v>
      </c>
      <c r="L1520">
        <f t="shared" si="367"/>
        <v>15.629999999999999</v>
      </c>
      <c r="M1520">
        <f t="shared" si="368"/>
        <v>0.45</v>
      </c>
      <c r="N1520">
        <f t="shared" si="364"/>
        <v>0.49249999999999999</v>
      </c>
      <c r="Q1520" t="str" cm="1">
        <f t="array" ref="Q1520:R1520">_xlfn.TEXTSPLIT(E1520," ")</f>
        <v>28.10.2023</v>
      </c>
      <c r="R1520" t="str">
        <v>01:20:30</v>
      </c>
      <c r="S1520">
        <f t="shared" si="371"/>
        <v>25.283333333333179</v>
      </c>
      <c r="T1520">
        <f t="shared" si="366"/>
        <v>26.590000000000003</v>
      </c>
      <c r="U1520">
        <f t="shared" si="369"/>
        <v>0.75</v>
      </c>
      <c r="V1520">
        <f t="shared" si="365"/>
        <v>0.94</v>
      </c>
    </row>
    <row r="1521" spans="1:22" x14ac:dyDescent="0.25">
      <c r="A1521" t="s">
        <v>3477</v>
      </c>
      <c r="B1521">
        <v>0.3</v>
      </c>
      <c r="C1521">
        <v>29.96</v>
      </c>
      <c r="E1521" t="s">
        <v>3477</v>
      </c>
      <c r="F1521">
        <v>0.15</v>
      </c>
      <c r="G1521">
        <v>105.19</v>
      </c>
      <c r="I1521" t="str" cm="1">
        <f t="array" ref="I1521:J1521">_xlfn.TEXTSPLIT(A1521," ")</f>
        <v>28.10.2023</v>
      </c>
      <c r="J1521" t="str">
        <v>01:21:30</v>
      </c>
      <c r="K1521">
        <f t="shared" si="370"/>
        <v>25.299999999999844</v>
      </c>
      <c r="L1521">
        <f t="shared" si="367"/>
        <v>15.64</v>
      </c>
      <c r="M1521">
        <f t="shared" si="368"/>
        <v>0.3</v>
      </c>
      <c r="N1521">
        <f t="shared" si="364"/>
        <v>0.4900000000000001</v>
      </c>
      <c r="Q1521" t="str" cm="1">
        <f t="array" ref="Q1521:R1521">_xlfn.TEXTSPLIT(E1521," ")</f>
        <v>28.10.2023</v>
      </c>
      <c r="R1521" t="str">
        <v>01:21:30</v>
      </c>
      <c r="S1521">
        <f t="shared" si="371"/>
        <v>25.299999999999844</v>
      </c>
      <c r="T1521">
        <f t="shared" si="366"/>
        <v>26.590000000000003</v>
      </c>
      <c r="U1521">
        <f t="shared" si="369"/>
        <v>0.15</v>
      </c>
      <c r="V1521">
        <f t="shared" si="365"/>
        <v>0.94</v>
      </c>
    </row>
    <row r="1522" spans="1:22" x14ac:dyDescent="0.25">
      <c r="A1522" t="s">
        <v>3478</v>
      </c>
      <c r="B1522">
        <v>0.3</v>
      </c>
      <c r="C1522">
        <v>29.96</v>
      </c>
      <c r="E1522" t="s">
        <v>3478</v>
      </c>
      <c r="F1522">
        <v>0</v>
      </c>
      <c r="G1522">
        <v>105.19</v>
      </c>
      <c r="I1522" t="str" cm="1">
        <f t="array" ref="I1522:J1522">_xlfn.TEXTSPLIT(A1522," ")</f>
        <v>28.10.2023</v>
      </c>
      <c r="J1522" t="str">
        <v>01:22:30</v>
      </c>
      <c r="K1522">
        <f t="shared" si="370"/>
        <v>25.31666666666651</v>
      </c>
      <c r="L1522">
        <f t="shared" si="367"/>
        <v>15.64</v>
      </c>
      <c r="M1522">
        <f t="shared" si="368"/>
        <v>0.3</v>
      </c>
      <c r="N1522">
        <f t="shared" si="364"/>
        <v>0.4900000000000001</v>
      </c>
      <c r="Q1522" t="str" cm="1">
        <f t="array" ref="Q1522:R1522">_xlfn.TEXTSPLIT(E1522," ")</f>
        <v>28.10.2023</v>
      </c>
      <c r="R1522" t="str">
        <v>01:22:30</v>
      </c>
      <c r="S1522">
        <f t="shared" si="371"/>
        <v>25.31666666666651</v>
      </c>
      <c r="T1522">
        <f t="shared" si="366"/>
        <v>26.590000000000003</v>
      </c>
      <c r="U1522">
        <f t="shared" si="369"/>
        <v>0</v>
      </c>
      <c r="V1522">
        <f t="shared" si="365"/>
        <v>0.94</v>
      </c>
    </row>
    <row r="1523" spans="1:22" x14ac:dyDescent="0.25">
      <c r="A1523" t="s">
        <v>3479</v>
      </c>
      <c r="B1523">
        <v>0</v>
      </c>
      <c r="C1523">
        <v>29.96</v>
      </c>
      <c r="E1523" t="s">
        <v>3479</v>
      </c>
      <c r="F1523">
        <v>0.3</v>
      </c>
      <c r="G1523">
        <v>105.2</v>
      </c>
      <c r="I1523" t="str" cm="1">
        <f t="array" ref="I1523:J1523">_xlfn.TEXTSPLIT(A1523," ")</f>
        <v>28.10.2023</v>
      </c>
      <c r="J1523" t="str">
        <v>01:23:30</v>
      </c>
      <c r="K1523">
        <f t="shared" si="370"/>
        <v>25.333333333333176</v>
      </c>
      <c r="L1523">
        <f t="shared" si="367"/>
        <v>15.64</v>
      </c>
      <c r="M1523">
        <f t="shared" si="368"/>
        <v>0</v>
      </c>
      <c r="N1523">
        <f t="shared" si="364"/>
        <v>0.4900000000000001</v>
      </c>
      <c r="Q1523" t="str" cm="1">
        <f t="array" ref="Q1523:R1523">_xlfn.TEXTSPLIT(E1523," ")</f>
        <v>28.10.2023</v>
      </c>
      <c r="R1523" t="str">
        <v>01:23:30</v>
      </c>
      <c r="S1523">
        <f t="shared" si="371"/>
        <v>25.333333333333176</v>
      </c>
      <c r="T1523">
        <f t="shared" si="366"/>
        <v>26.600000000000009</v>
      </c>
      <c r="U1523">
        <f t="shared" si="369"/>
        <v>0.3</v>
      </c>
      <c r="V1523">
        <f t="shared" si="365"/>
        <v>0.93749999999999989</v>
      </c>
    </row>
    <row r="1524" spans="1:22" x14ac:dyDescent="0.25">
      <c r="A1524" t="s">
        <v>3480</v>
      </c>
      <c r="B1524">
        <v>0</v>
      </c>
      <c r="C1524">
        <v>29.96</v>
      </c>
      <c r="E1524" t="s">
        <v>3480</v>
      </c>
      <c r="F1524">
        <v>0.3</v>
      </c>
      <c r="G1524">
        <v>105.21</v>
      </c>
      <c r="I1524" t="str" cm="1">
        <f t="array" ref="I1524:J1524">_xlfn.TEXTSPLIT(A1524," ")</f>
        <v>28.10.2023</v>
      </c>
      <c r="J1524" t="str">
        <v>01:24:30</v>
      </c>
      <c r="K1524">
        <f t="shared" si="370"/>
        <v>25.349999999999842</v>
      </c>
      <c r="L1524">
        <f t="shared" si="367"/>
        <v>15.64</v>
      </c>
      <c r="M1524">
        <f t="shared" si="368"/>
        <v>0</v>
      </c>
      <c r="N1524">
        <f t="shared" si="364"/>
        <v>0.4900000000000001</v>
      </c>
      <c r="Q1524" t="str" cm="1">
        <f t="array" ref="Q1524:R1524">_xlfn.TEXTSPLIT(E1524," ")</f>
        <v>28.10.2023</v>
      </c>
      <c r="R1524" t="str">
        <v>01:24:30</v>
      </c>
      <c r="S1524">
        <f t="shared" si="371"/>
        <v>25.349999999999842</v>
      </c>
      <c r="T1524">
        <f t="shared" si="366"/>
        <v>26.61</v>
      </c>
      <c r="U1524">
        <f t="shared" si="369"/>
        <v>0.3</v>
      </c>
      <c r="V1524">
        <f t="shared" si="365"/>
        <v>0.93249999999999988</v>
      </c>
    </row>
    <row r="1525" spans="1:22" x14ac:dyDescent="0.25">
      <c r="A1525" t="s">
        <v>3481</v>
      </c>
      <c r="B1525">
        <v>0</v>
      </c>
      <c r="C1525">
        <v>29.96</v>
      </c>
      <c r="E1525" t="s">
        <v>3481</v>
      </c>
      <c r="F1525">
        <v>0.45</v>
      </c>
      <c r="G1525">
        <v>105.21</v>
      </c>
      <c r="I1525" t="str" cm="1">
        <f t="array" ref="I1525:J1525">_xlfn.TEXTSPLIT(A1525," ")</f>
        <v>28.10.2023</v>
      </c>
      <c r="J1525" t="str">
        <v>01:25:30</v>
      </c>
      <c r="K1525">
        <f t="shared" si="370"/>
        <v>25.366666666666507</v>
      </c>
      <c r="L1525">
        <f t="shared" si="367"/>
        <v>15.64</v>
      </c>
      <c r="M1525">
        <f t="shared" si="368"/>
        <v>0</v>
      </c>
      <c r="N1525">
        <f t="shared" si="364"/>
        <v>0.4900000000000001</v>
      </c>
      <c r="Q1525" t="str" cm="1">
        <f t="array" ref="Q1525:R1525">_xlfn.TEXTSPLIT(E1525," ")</f>
        <v>28.10.2023</v>
      </c>
      <c r="R1525" t="str">
        <v>01:25:30</v>
      </c>
      <c r="S1525">
        <f t="shared" si="371"/>
        <v>25.366666666666507</v>
      </c>
      <c r="T1525">
        <f t="shared" si="366"/>
        <v>26.61</v>
      </c>
      <c r="U1525">
        <f t="shared" si="369"/>
        <v>0.45</v>
      </c>
      <c r="V1525">
        <f t="shared" si="365"/>
        <v>0.92999999999999994</v>
      </c>
    </row>
    <row r="1526" spans="1:22" x14ac:dyDescent="0.25">
      <c r="A1526" t="s">
        <v>3482</v>
      </c>
      <c r="B1526">
        <v>0</v>
      </c>
      <c r="C1526">
        <v>29.96</v>
      </c>
      <c r="E1526" t="s">
        <v>3482</v>
      </c>
      <c r="F1526">
        <v>0.6</v>
      </c>
      <c r="G1526">
        <v>105.22</v>
      </c>
      <c r="I1526" t="str" cm="1">
        <f t="array" ref="I1526:J1526">_xlfn.TEXTSPLIT(A1526," ")</f>
        <v>28.10.2023</v>
      </c>
      <c r="J1526" t="str">
        <v>01:26:30</v>
      </c>
      <c r="K1526">
        <f t="shared" si="370"/>
        <v>25.383333333333173</v>
      </c>
      <c r="L1526">
        <f t="shared" si="367"/>
        <v>15.64</v>
      </c>
      <c r="M1526">
        <f t="shared" si="368"/>
        <v>0</v>
      </c>
      <c r="N1526">
        <f t="shared" si="364"/>
        <v>0.4900000000000001</v>
      </c>
      <c r="Q1526" t="str" cm="1">
        <f t="array" ref="Q1526:R1526">_xlfn.TEXTSPLIT(E1526," ")</f>
        <v>28.10.2023</v>
      </c>
      <c r="R1526" t="str">
        <v>01:26:30</v>
      </c>
      <c r="S1526">
        <f t="shared" si="371"/>
        <v>25.383333333333173</v>
      </c>
      <c r="T1526">
        <f t="shared" si="366"/>
        <v>26.620000000000005</v>
      </c>
      <c r="U1526">
        <f t="shared" si="369"/>
        <v>0.6</v>
      </c>
      <c r="V1526">
        <f t="shared" si="365"/>
        <v>0.92749999999999999</v>
      </c>
    </row>
    <row r="1527" spans="1:22" x14ac:dyDescent="0.25">
      <c r="A1527" t="s">
        <v>3483</v>
      </c>
      <c r="B1527">
        <v>0</v>
      </c>
      <c r="C1527">
        <v>29.96</v>
      </c>
      <c r="E1527" t="s">
        <v>3483</v>
      </c>
      <c r="F1527">
        <v>0.6</v>
      </c>
      <c r="G1527">
        <v>105.23</v>
      </c>
      <c r="I1527" t="str" cm="1">
        <f t="array" ref="I1527:J1527">_xlfn.TEXTSPLIT(A1527," ")</f>
        <v>28.10.2023</v>
      </c>
      <c r="J1527" t="str">
        <v>01:27:31</v>
      </c>
      <c r="K1527">
        <f t="shared" si="370"/>
        <v>25.399999999999839</v>
      </c>
      <c r="L1527">
        <f t="shared" si="367"/>
        <v>15.64</v>
      </c>
      <c r="M1527">
        <f t="shared" si="368"/>
        <v>0</v>
      </c>
      <c r="N1527">
        <f t="shared" si="364"/>
        <v>0.4900000000000001</v>
      </c>
      <c r="Q1527" t="str" cm="1">
        <f t="array" ref="Q1527:R1527">_xlfn.TEXTSPLIT(E1527," ")</f>
        <v>28.10.2023</v>
      </c>
      <c r="R1527" t="str">
        <v>01:27:31</v>
      </c>
      <c r="S1527">
        <f t="shared" si="371"/>
        <v>25.399999999999839</v>
      </c>
      <c r="T1527">
        <f t="shared" si="366"/>
        <v>26.63000000000001</v>
      </c>
      <c r="U1527">
        <f t="shared" si="369"/>
        <v>0.6</v>
      </c>
      <c r="V1527">
        <f t="shared" si="365"/>
        <v>0.92749999999999999</v>
      </c>
    </row>
    <row r="1528" spans="1:22" x14ac:dyDescent="0.25">
      <c r="A1528" t="s">
        <v>3484</v>
      </c>
      <c r="B1528">
        <v>0</v>
      </c>
      <c r="C1528">
        <v>29.96</v>
      </c>
      <c r="E1528" t="s">
        <v>3484</v>
      </c>
      <c r="F1528">
        <v>0.9</v>
      </c>
      <c r="G1528">
        <v>105.25</v>
      </c>
      <c r="I1528" t="str" cm="1">
        <f t="array" ref="I1528:J1528">_xlfn.TEXTSPLIT(A1528," ")</f>
        <v>28.10.2023</v>
      </c>
      <c r="J1528" t="str">
        <v>01:28:31</v>
      </c>
      <c r="K1528">
        <f t="shared" si="370"/>
        <v>25.416666666666504</v>
      </c>
      <c r="L1528">
        <f t="shared" si="367"/>
        <v>15.64</v>
      </c>
      <c r="M1528">
        <f t="shared" si="368"/>
        <v>0</v>
      </c>
      <c r="N1528">
        <f t="shared" si="364"/>
        <v>0.4900000000000001</v>
      </c>
      <c r="Q1528" t="str" cm="1">
        <f t="array" ref="Q1528:R1528">_xlfn.TEXTSPLIT(E1528," ")</f>
        <v>28.10.2023</v>
      </c>
      <c r="R1528" t="str">
        <v>01:28:31</v>
      </c>
      <c r="S1528">
        <f t="shared" si="371"/>
        <v>25.416666666666504</v>
      </c>
      <c r="T1528">
        <f t="shared" si="366"/>
        <v>26.650000000000006</v>
      </c>
      <c r="U1528">
        <f t="shared" si="369"/>
        <v>0.9</v>
      </c>
      <c r="V1528">
        <f t="shared" si="365"/>
        <v>0.93500000000000005</v>
      </c>
    </row>
    <row r="1529" spans="1:22" x14ac:dyDescent="0.25">
      <c r="A1529" t="s">
        <v>3485</v>
      </c>
      <c r="B1529">
        <v>0</v>
      </c>
      <c r="C1529">
        <v>29.96</v>
      </c>
      <c r="E1529" t="s">
        <v>3485</v>
      </c>
      <c r="F1529">
        <v>1.2</v>
      </c>
      <c r="G1529">
        <v>105.27</v>
      </c>
      <c r="I1529" t="str" cm="1">
        <f t="array" ref="I1529:J1529">_xlfn.TEXTSPLIT(A1529," ")</f>
        <v>28.10.2023</v>
      </c>
      <c r="J1529" t="str">
        <v>01:29:31</v>
      </c>
      <c r="K1529">
        <f t="shared" si="370"/>
        <v>25.43333333333317</v>
      </c>
      <c r="L1529">
        <f t="shared" si="367"/>
        <v>15.64</v>
      </c>
      <c r="M1529">
        <f t="shared" si="368"/>
        <v>0</v>
      </c>
      <c r="N1529">
        <f t="shared" si="364"/>
        <v>0.4900000000000001</v>
      </c>
      <c r="Q1529" t="str" cm="1">
        <f t="array" ref="Q1529:R1529">_xlfn.TEXTSPLIT(E1529," ")</f>
        <v>28.10.2023</v>
      </c>
      <c r="R1529" t="str">
        <v>01:29:31</v>
      </c>
      <c r="S1529">
        <f t="shared" si="371"/>
        <v>25.43333333333317</v>
      </c>
      <c r="T1529">
        <f t="shared" si="366"/>
        <v>26.67</v>
      </c>
      <c r="U1529">
        <f t="shared" si="369"/>
        <v>1.2</v>
      </c>
      <c r="V1529">
        <f t="shared" si="365"/>
        <v>0.94500000000000006</v>
      </c>
    </row>
    <row r="1530" spans="1:22" x14ac:dyDescent="0.25">
      <c r="A1530" t="s">
        <v>3486</v>
      </c>
      <c r="B1530">
        <v>0</v>
      </c>
      <c r="C1530">
        <v>29.96</v>
      </c>
      <c r="E1530" t="s">
        <v>3486</v>
      </c>
      <c r="F1530">
        <v>0.9</v>
      </c>
      <c r="G1530">
        <v>105.28</v>
      </c>
      <c r="I1530" t="str" cm="1">
        <f t="array" ref="I1530:J1530">_xlfn.TEXTSPLIT(A1530," ")</f>
        <v>28.10.2023</v>
      </c>
      <c r="J1530" t="str">
        <v>01:30:31</v>
      </c>
      <c r="K1530">
        <f t="shared" si="370"/>
        <v>25.449999999999836</v>
      </c>
      <c r="L1530">
        <f t="shared" si="367"/>
        <v>15.64</v>
      </c>
      <c r="M1530">
        <f t="shared" si="368"/>
        <v>0</v>
      </c>
      <c r="N1530">
        <f t="shared" si="364"/>
        <v>0.4875000000000001</v>
      </c>
      <c r="Q1530" t="str" cm="1">
        <f t="array" ref="Q1530:R1530">_xlfn.TEXTSPLIT(E1530," ")</f>
        <v>28.10.2023</v>
      </c>
      <c r="R1530" t="str">
        <v>01:30:31</v>
      </c>
      <c r="S1530">
        <f t="shared" si="371"/>
        <v>25.449999999999836</v>
      </c>
      <c r="T1530">
        <f t="shared" si="366"/>
        <v>26.680000000000007</v>
      </c>
      <c r="U1530">
        <f t="shared" si="369"/>
        <v>0.9</v>
      </c>
      <c r="V1530">
        <f t="shared" si="365"/>
        <v>0.95250000000000012</v>
      </c>
    </row>
    <row r="1531" spans="1:22" x14ac:dyDescent="0.25">
      <c r="A1531" t="s">
        <v>3487</v>
      </c>
      <c r="B1531">
        <v>0.15</v>
      </c>
      <c r="C1531">
        <v>29.96</v>
      </c>
      <c r="E1531" t="s">
        <v>3487</v>
      </c>
      <c r="F1531">
        <v>0.45</v>
      </c>
      <c r="G1531">
        <v>105.29</v>
      </c>
      <c r="I1531" t="str" cm="1">
        <f t="array" ref="I1531:J1531">_xlfn.TEXTSPLIT(A1531," ")</f>
        <v>28.10.2023</v>
      </c>
      <c r="J1531" t="str">
        <v>01:31:31</v>
      </c>
      <c r="K1531">
        <f t="shared" si="370"/>
        <v>25.466666666666502</v>
      </c>
      <c r="L1531">
        <f t="shared" si="367"/>
        <v>15.64</v>
      </c>
      <c r="M1531">
        <f t="shared" si="368"/>
        <v>0.15</v>
      </c>
      <c r="N1531">
        <f t="shared" si="364"/>
        <v>0.48750000000000004</v>
      </c>
      <c r="Q1531" t="str" cm="1">
        <f t="array" ref="Q1531:R1531">_xlfn.TEXTSPLIT(E1531," ")</f>
        <v>28.10.2023</v>
      </c>
      <c r="R1531" t="str">
        <v>01:31:31</v>
      </c>
      <c r="S1531">
        <f t="shared" si="371"/>
        <v>25.466666666666502</v>
      </c>
      <c r="T1531">
        <f t="shared" si="366"/>
        <v>26.690000000000012</v>
      </c>
      <c r="U1531">
        <f t="shared" si="369"/>
        <v>0.45</v>
      </c>
      <c r="V1531">
        <f t="shared" si="365"/>
        <v>0.94750000000000012</v>
      </c>
    </row>
    <row r="1532" spans="1:22" x14ac:dyDescent="0.25">
      <c r="A1532" t="s">
        <v>3488</v>
      </c>
      <c r="B1532">
        <v>0.15</v>
      </c>
      <c r="C1532">
        <v>29.96</v>
      </c>
      <c r="E1532" t="s">
        <v>3488</v>
      </c>
      <c r="F1532">
        <v>0.75</v>
      </c>
      <c r="G1532">
        <v>105.3</v>
      </c>
      <c r="I1532" t="str" cm="1">
        <f t="array" ref="I1532:J1532">_xlfn.TEXTSPLIT(A1532," ")</f>
        <v>28.10.2023</v>
      </c>
      <c r="J1532" t="str">
        <v>01:32:31</v>
      </c>
      <c r="K1532">
        <f t="shared" si="370"/>
        <v>25.483333333333167</v>
      </c>
      <c r="L1532">
        <f t="shared" si="367"/>
        <v>15.64</v>
      </c>
      <c r="M1532">
        <f t="shared" si="368"/>
        <v>0.15</v>
      </c>
      <c r="N1532">
        <f t="shared" si="364"/>
        <v>0.48500000000000004</v>
      </c>
      <c r="Q1532" t="str" cm="1">
        <f t="array" ref="Q1532:R1532">_xlfn.TEXTSPLIT(E1532," ")</f>
        <v>28.10.2023</v>
      </c>
      <c r="R1532" t="str">
        <v>01:32:31</v>
      </c>
      <c r="S1532">
        <f t="shared" si="371"/>
        <v>25.483333333333167</v>
      </c>
      <c r="T1532">
        <f t="shared" si="366"/>
        <v>26.700000000000003</v>
      </c>
      <c r="U1532">
        <f t="shared" si="369"/>
        <v>0.75</v>
      </c>
      <c r="V1532">
        <f t="shared" si="365"/>
        <v>0.94750000000000012</v>
      </c>
    </row>
    <row r="1533" spans="1:22" x14ac:dyDescent="0.25">
      <c r="A1533" t="s">
        <v>3489</v>
      </c>
      <c r="B1533">
        <v>0.45</v>
      </c>
      <c r="C1533">
        <v>29.97</v>
      </c>
      <c r="E1533" t="s">
        <v>3489</v>
      </c>
      <c r="F1533">
        <v>0.6</v>
      </c>
      <c r="G1533">
        <v>105.31</v>
      </c>
      <c r="I1533" t="str" cm="1">
        <f t="array" ref="I1533:J1533">_xlfn.TEXTSPLIT(A1533," ")</f>
        <v>28.10.2023</v>
      </c>
      <c r="J1533" t="str">
        <v>01:33:31</v>
      </c>
      <c r="K1533">
        <f t="shared" si="370"/>
        <v>25.499999999999833</v>
      </c>
      <c r="L1533">
        <f t="shared" si="367"/>
        <v>15.649999999999999</v>
      </c>
      <c r="M1533">
        <f t="shared" si="368"/>
        <v>0.45</v>
      </c>
      <c r="N1533">
        <f t="shared" si="364"/>
        <v>0.48500000000000004</v>
      </c>
      <c r="Q1533" t="str" cm="1">
        <f t="array" ref="Q1533:R1533">_xlfn.TEXTSPLIT(E1533," ")</f>
        <v>28.10.2023</v>
      </c>
      <c r="R1533" t="str">
        <v>01:33:31</v>
      </c>
      <c r="S1533">
        <f t="shared" si="371"/>
        <v>25.499999999999833</v>
      </c>
      <c r="T1533">
        <f t="shared" si="366"/>
        <v>26.710000000000008</v>
      </c>
      <c r="U1533">
        <f t="shared" si="369"/>
        <v>0.6</v>
      </c>
      <c r="V1533">
        <f t="shared" si="365"/>
        <v>0.94000000000000006</v>
      </c>
    </row>
    <row r="1534" spans="1:22" x14ac:dyDescent="0.25">
      <c r="A1534" t="s">
        <v>3490</v>
      </c>
      <c r="B1534">
        <v>0.15</v>
      </c>
      <c r="C1534">
        <v>29.98</v>
      </c>
      <c r="E1534" t="s">
        <v>3490</v>
      </c>
      <c r="F1534">
        <v>0.75</v>
      </c>
      <c r="G1534">
        <v>105.32</v>
      </c>
      <c r="I1534" t="str" cm="1">
        <f t="array" ref="I1534:J1534">_xlfn.TEXTSPLIT(A1534," ")</f>
        <v>28.10.2023</v>
      </c>
      <c r="J1534" t="str">
        <v>01:34:32</v>
      </c>
      <c r="K1534">
        <f t="shared" si="370"/>
        <v>25.516666666666499</v>
      </c>
      <c r="L1534">
        <f t="shared" si="367"/>
        <v>15.66</v>
      </c>
      <c r="M1534">
        <f t="shared" si="368"/>
        <v>0.15</v>
      </c>
      <c r="N1534">
        <f t="shared" si="364"/>
        <v>0.48000000000000004</v>
      </c>
      <c r="Q1534" t="str" cm="1">
        <f t="array" ref="Q1534:R1534">_xlfn.TEXTSPLIT(E1534," ")</f>
        <v>28.10.2023</v>
      </c>
      <c r="R1534" t="str">
        <v>01:34:32</v>
      </c>
      <c r="S1534">
        <f t="shared" si="371"/>
        <v>25.516666666666499</v>
      </c>
      <c r="T1534">
        <f t="shared" si="366"/>
        <v>26.72</v>
      </c>
      <c r="U1534">
        <f t="shared" si="369"/>
        <v>0.75</v>
      </c>
      <c r="V1534">
        <f t="shared" si="365"/>
        <v>0.93500000000000016</v>
      </c>
    </row>
    <row r="1535" spans="1:22" x14ac:dyDescent="0.25">
      <c r="A1535" t="s">
        <v>3491</v>
      </c>
      <c r="B1535">
        <v>0.45</v>
      </c>
      <c r="C1535">
        <v>29.98</v>
      </c>
      <c r="E1535" t="s">
        <v>3491</v>
      </c>
      <c r="F1535">
        <v>0.6</v>
      </c>
      <c r="G1535">
        <v>105.35</v>
      </c>
      <c r="I1535" t="str" cm="1">
        <f t="array" ref="I1535:J1535">_xlfn.TEXTSPLIT(A1535," ")</f>
        <v>28.10.2023</v>
      </c>
      <c r="J1535" t="str">
        <v>01:35:32</v>
      </c>
      <c r="K1535">
        <f t="shared" si="370"/>
        <v>25.533333333333164</v>
      </c>
      <c r="L1535">
        <f t="shared" si="367"/>
        <v>15.66</v>
      </c>
      <c r="M1535">
        <f t="shared" si="368"/>
        <v>0.45</v>
      </c>
      <c r="N1535">
        <f t="shared" ref="N1535:N1598" si="372">AVERAGE(M1476:M1535)</f>
        <v>0.48249999999999998</v>
      </c>
      <c r="Q1535" t="str" cm="1">
        <f t="array" ref="Q1535:R1535">_xlfn.TEXTSPLIT(E1535," ")</f>
        <v>28.10.2023</v>
      </c>
      <c r="R1535" t="str">
        <v>01:35:32</v>
      </c>
      <c r="S1535">
        <f t="shared" si="371"/>
        <v>25.533333333333164</v>
      </c>
      <c r="T1535">
        <f t="shared" si="366"/>
        <v>26.75</v>
      </c>
      <c r="U1535">
        <f t="shared" si="369"/>
        <v>0.6</v>
      </c>
      <c r="V1535">
        <f t="shared" ref="V1535:V1598" si="373">AVERAGE(U1476:U1535)</f>
        <v>0.92500000000000016</v>
      </c>
    </row>
    <row r="1536" spans="1:22" x14ac:dyDescent="0.25">
      <c r="A1536" t="s">
        <v>3492</v>
      </c>
      <c r="B1536">
        <v>0.3</v>
      </c>
      <c r="C1536">
        <v>29.99</v>
      </c>
      <c r="E1536" t="s">
        <v>3492</v>
      </c>
      <c r="F1536">
        <v>2.5499999999999998</v>
      </c>
      <c r="G1536">
        <v>105.4</v>
      </c>
      <c r="I1536" t="str" cm="1">
        <f t="array" ref="I1536:J1536">_xlfn.TEXTSPLIT(A1536," ")</f>
        <v>28.10.2023</v>
      </c>
      <c r="J1536" t="str">
        <v>01:36:32</v>
      </c>
      <c r="K1536">
        <f t="shared" si="370"/>
        <v>25.54999999999983</v>
      </c>
      <c r="L1536">
        <f t="shared" si="367"/>
        <v>15.669999999999998</v>
      </c>
      <c r="M1536">
        <f t="shared" si="368"/>
        <v>0.3</v>
      </c>
      <c r="N1536">
        <f t="shared" si="372"/>
        <v>0.48000000000000004</v>
      </c>
      <c r="Q1536" t="str" cm="1">
        <f t="array" ref="Q1536:R1536">_xlfn.TEXTSPLIT(E1536," ")</f>
        <v>28.10.2023</v>
      </c>
      <c r="R1536" t="str">
        <v>01:36:32</v>
      </c>
      <c r="S1536">
        <f t="shared" si="371"/>
        <v>25.54999999999983</v>
      </c>
      <c r="T1536">
        <f t="shared" si="366"/>
        <v>26.800000000000011</v>
      </c>
      <c r="U1536">
        <f t="shared" si="369"/>
        <v>2.5499999999999998</v>
      </c>
      <c r="V1536">
        <f t="shared" si="373"/>
        <v>0.93500000000000016</v>
      </c>
    </row>
    <row r="1537" spans="1:22" x14ac:dyDescent="0.25">
      <c r="A1537" t="s">
        <v>3493</v>
      </c>
      <c r="B1537">
        <v>0.75</v>
      </c>
      <c r="C1537">
        <v>30.02</v>
      </c>
      <c r="E1537" t="s">
        <v>3493</v>
      </c>
      <c r="F1537">
        <v>2.5499999999999998</v>
      </c>
      <c r="G1537">
        <v>105.43</v>
      </c>
      <c r="I1537" t="str" cm="1">
        <f t="array" ref="I1537:J1537">_xlfn.TEXTSPLIT(A1537," ")</f>
        <v>28.10.2023</v>
      </c>
      <c r="J1537" t="str">
        <v>01:37:32</v>
      </c>
      <c r="K1537">
        <f t="shared" si="370"/>
        <v>25.566666666666496</v>
      </c>
      <c r="L1537">
        <f t="shared" si="367"/>
        <v>15.7</v>
      </c>
      <c r="M1537">
        <f t="shared" si="368"/>
        <v>0.75</v>
      </c>
      <c r="N1537">
        <f t="shared" si="372"/>
        <v>0.48000000000000004</v>
      </c>
      <c r="Q1537" t="str" cm="1">
        <f t="array" ref="Q1537:R1537">_xlfn.TEXTSPLIT(E1537," ")</f>
        <v>28.10.2023</v>
      </c>
      <c r="R1537" t="str">
        <v>01:37:32</v>
      </c>
      <c r="S1537">
        <f t="shared" si="371"/>
        <v>25.566666666666496</v>
      </c>
      <c r="T1537">
        <f t="shared" si="366"/>
        <v>26.830000000000013</v>
      </c>
      <c r="U1537">
        <f t="shared" si="369"/>
        <v>2.5499999999999998</v>
      </c>
      <c r="V1537">
        <f t="shared" si="373"/>
        <v>0.9375</v>
      </c>
    </row>
    <row r="1538" spans="1:22" x14ac:dyDescent="0.25">
      <c r="A1538" t="s">
        <v>3494</v>
      </c>
      <c r="B1538">
        <v>2.5499999999999998</v>
      </c>
      <c r="C1538">
        <v>30.06</v>
      </c>
      <c r="E1538" t="s">
        <v>3494</v>
      </c>
      <c r="F1538">
        <v>1.65</v>
      </c>
      <c r="G1538">
        <v>105.46</v>
      </c>
      <c r="I1538" t="str" cm="1">
        <f t="array" ref="I1538:J1538">_xlfn.TEXTSPLIT(A1538," ")</f>
        <v>28.10.2023</v>
      </c>
      <c r="J1538" t="str">
        <v>01:38:32</v>
      </c>
      <c r="K1538">
        <f t="shared" si="370"/>
        <v>25.583333333333162</v>
      </c>
      <c r="L1538">
        <f t="shared" si="367"/>
        <v>15.739999999999998</v>
      </c>
      <c r="M1538">
        <f t="shared" si="368"/>
        <v>2.5499999999999998</v>
      </c>
      <c r="N1538">
        <f t="shared" si="372"/>
        <v>0.48000000000000004</v>
      </c>
      <c r="Q1538" t="str" cm="1">
        <f t="array" ref="Q1538:R1538">_xlfn.TEXTSPLIT(E1538," ")</f>
        <v>28.10.2023</v>
      </c>
      <c r="R1538" t="str">
        <v>01:38:32</v>
      </c>
      <c r="S1538">
        <f t="shared" si="371"/>
        <v>25.583333333333162</v>
      </c>
      <c r="T1538">
        <f t="shared" si="366"/>
        <v>26.86</v>
      </c>
      <c r="U1538">
        <f t="shared" si="369"/>
        <v>1.65</v>
      </c>
      <c r="V1538">
        <f t="shared" si="373"/>
        <v>0.92249999999999999</v>
      </c>
    </row>
    <row r="1539" spans="1:22" x14ac:dyDescent="0.25">
      <c r="A1539" t="s">
        <v>3495</v>
      </c>
      <c r="B1539">
        <v>1.5</v>
      </c>
      <c r="C1539">
        <v>30.07</v>
      </c>
      <c r="E1539" t="s">
        <v>3495</v>
      </c>
      <c r="F1539">
        <v>1.35</v>
      </c>
      <c r="G1539">
        <v>105.49</v>
      </c>
      <c r="I1539" t="str" cm="1">
        <f t="array" ref="I1539:J1539">_xlfn.TEXTSPLIT(A1539," ")</f>
        <v>28.10.2023</v>
      </c>
      <c r="J1539" t="str">
        <v>01:39:32</v>
      </c>
      <c r="K1539">
        <f t="shared" si="370"/>
        <v>25.599999999999827</v>
      </c>
      <c r="L1539">
        <f t="shared" si="367"/>
        <v>15.75</v>
      </c>
      <c r="M1539">
        <f t="shared" si="368"/>
        <v>1.5</v>
      </c>
      <c r="N1539">
        <f t="shared" si="372"/>
        <v>0.47499999999999998</v>
      </c>
      <c r="Q1539" t="str" cm="1">
        <f t="array" ref="Q1539:R1539">_xlfn.TEXTSPLIT(E1539," ")</f>
        <v>28.10.2023</v>
      </c>
      <c r="R1539" t="str">
        <v>01:39:32</v>
      </c>
      <c r="S1539">
        <f t="shared" si="371"/>
        <v>25.599999999999827</v>
      </c>
      <c r="T1539">
        <f t="shared" ref="T1539:T1602" si="374">G1539-78.6</f>
        <v>26.89</v>
      </c>
      <c r="U1539">
        <f t="shared" si="369"/>
        <v>1.35</v>
      </c>
      <c r="V1539">
        <f t="shared" si="373"/>
        <v>0.91749999999999998</v>
      </c>
    </row>
    <row r="1540" spans="1:22" x14ac:dyDescent="0.25">
      <c r="A1540" t="s">
        <v>3496</v>
      </c>
      <c r="B1540">
        <v>1.05</v>
      </c>
      <c r="C1540">
        <v>30.09</v>
      </c>
      <c r="E1540" t="s">
        <v>3496</v>
      </c>
      <c r="F1540">
        <v>1.8</v>
      </c>
      <c r="G1540">
        <v>105.51</v>
      </c>
      <c r="I1540" t="str" cm="1">
        <f t="array" ref="I1540:J1540">_xlfn.TEXTSPLIT(A1540," ")</f>
        <v>28.10.2023</v>
      </c>
      <c r="J1540" t="str">
        <v>01:40:32</v>
      </c>
      <c r="K1540">
        <f t="shared" si="370"/>
        <v>25.616666666666493</v>
      </c>
      <c r="L1540">
        <f t="shared" ref="L1540:L1603" si="375">C1540-14.32</f>
        <v>15.77</v>
      </c>
      <c r="M1540">
        <f t="shared" ref="M1540:M1603" si="376">B1540</f>
        <v>1.05</v>
      </c>
      <c r="N1540">
        <f t="shared" si="372"/>
        <v>0.47250000000000003</v>
      </c>
      <c r="Q1540" t="str" cm="1">
        <f t="array" ref="Q1540:R1540">_xlfn.TEXTSPLIT(E1540," ")</f>
        <v>28.10.2023</v>
      </c>
      <c r="R1540" t="str">
        <v>01:40:32</v>
      </c>
      <c r="S1540">
        <f t="shared" si="371"/>
        <v>25.616666666666493</v>
      </c>
      <c r="T1540">
        <f t="shared" si="374"/>
        <v>26.910000000000011</v>
      </c>
      <c r="U1540">
        <f t="shared" ref="U1540:U1603" si="377">F1540</f>
        <v>1.8</v>
      </c>
      <c r="V1540">
        <f t="shared" si="373"/>
        <v>0.92999999999999983</v>
      </c>
    </row>
    <row r="1541" spans="1:22" x14ac:dyDescent="0.25">
      <c r="A1541" t="s">
        <v>3497</v>
      </c>
      <c r="B1541">
        <v>0.9</v>
      </c>
      <c r="C1541">
        <v>30.1</v>
      </c>
      <c r="E1541" t="s">
        <v>3497</v>
      </c>
      <c r="F1541">
        <v>1.2</v>
      </c>
      <c r="G1541">
        <v>105.52</v>
      </c>
      <c r="I1541" t="str" cm="1">
        <f t="array" ref="I1541:J1541">_xlfn.TEXTSPLIT(A1541," ")</f>
        <v>28.10.2023</v>
      </c>
      <c r="J1541" t="str">
        <v>01:41:33</v>
      </c>
      <c r="K1541">
        <f t="shared" ref="K1541:K1604" si="378">1/60+K1540</f>
        <v>25.633333333333159</v>
      </c>
      <c r="L1541">
        <f t="shared" si="375"/>
        <v>15.780000000000001</v>
      </c>
      <c r="M1541">
        <f t="shared" si="376"/>
        <v>0.9</v>
      </c>
      <c r="N1541">
        <f t="shared" si="372"/>
        <v>0.47499999999999998</v>
      </c>
      <c r="Q1541" t="str" cm="1">
        <f t="array" ref="Q1541:R1541">_xlfn.TEXTSPLIT(E1541," ")</f>
        <v>28.10.2023</v>
      </c>
      <c r="R1541" t="str">
        <v>01:41:33</v>
      </c>
      <c r="S1541">
        <f t="shared" ref="S1541:S1604" si="379">1/60+S1540</f>
        <v>25.633333333333159</v>
      </c>
      <c r="T1541">
        <f t="shared" si="374"/>
        <v>26.92</v>
      </c>
      <c r="U1541">
        <f t="shared" si="377"/>
        <v>1.2</v>
      </c>
      <c r="V1541">
        <f t="shared" si="373"/>
        <v>0.93249999999999988</v>
      </c>
    </row>
    <row r="1542" spans="1:22" x14ac:dyDescent="0.25">
      <c r="A1542" t="s">
        <v>3498</v>
      </c>
      <c r="B1542">
        <v>0.75</v>
      </c>
      <c r="C1542">
        <v>30.12</v>
      </c>
      <c r="E1542" t="s">
        <v>3498</v>
      </c>
      <c r="F1542">
        <v>0.75</v>
      </c>
      <c r="G1542">
        <v>105.54</v>
      </c>
      <c r="I1542" t="str" cm="1">
        <f t="array" ref="I1542:J1542">_xlfn.TEXTSPLIT(A1542," ")</f>
        <v>28.10.2023</v>
      </c>
      <c r="J1542" t="str">
        <v>01:42:33</v>
      </c>
      <c r="K1542">
        <f t="shared" si="378"/>
        <v>25.649999999999824</v>
      </c>
      <c r="L1542">
        <f t="shared" si="375"/>
        <v>15.8</v>
      </c>
      <c r="M1542">
        <f t="shared" si="376"/>
        <v>0.75</v>
      </c>
      <c r="N1542">
        <f t="shared" si="372"/>
        <v>0.46999999999999992</v>
      </c>
      <c r="Q1542" t="str" cm="1">
        <f t="array" ref="Q1542:R1542">_xlfn.TEXTSPLIT(E1542," ")</f>
        <v>28.10.2023</v>
      </c>
      <c r="R1542" t="str">
        <v>01:42:33</v>
      </c>
      <c r="S1542">
        <f t="shared" si="379"/>
        <v>25.649999999999824</v>
      </c>
      <c r="T1542">
        <f t="shared" si="374"/>
        <v>26.940000000000012</v>
      </c>
      <c r="U1542">
        <f t="shared" si="377"/>
        <v>0.75</v>
      </c>
      <c r="V1542">
        <f t="shared" si="373"/>
        <v>0.92999999999999994</v>
      </c>
    </row>
    <row r="1543" spans="1:22" x14ac:dyDescent="0.25">
      <c r="A1543" t="s">
        <v>3499</v>
      </c>
      <c r="B1543">
        <v>0.75</v>
      </c>
      <c r="C1543">
        <v>30.13</v>
      </c>
      <c r="E1543" t="s">
        <v>3499</v>
      </c>
      <c r="F1543">
        <v>1.05</v>
      </c>
      <c r="G1543">
        <v>105.56</v>
      </c>
      <c r="I1543" t="str" cm="1">
        <f t="array" ref="I1543:J1543">_xlfn.TEXTSPLIT(A1543," ")</f>
        <v>28.10.2023</v>
      </c>
      <c r="J1543" t="str">
        <v>01:43:33</v>
      </c>
      <c r="K1543">
        <f t="shared" si="378"/>
        <v>25.66666666666649</v>
      </c>
      <c r="L1543">
        <f t="shared" si="375"/>
        <v>15.809999999999999</v>
      </c>
      <c r="M1543">
        <f t="shared" si="376"/>
        <v>0.75</v>
      </c>
      <c r="N1543">
        <f t="shared" si="372"/>
        <v>0.46749999999999997</v>
      </c>
      <c r="Q1543" t="str" cm="1">
        <f t="array" ref="Q1543:R1543">_xlfn.TEXTSPLIT(E1543," ")</f>
        <v>28.10.2023</v>
      </c>
      <c r="R1543" t="str">
        <v>01:43:33</v>
      </c>
      <c r="S1543">
        <f t="shared" si="379"/>
        <v>25.66666666666649</v>
      </c>
      <c r="T1543">
        <f t="shared" si="374"/>
        <v>26.960000000000008</v>
      </c>
      <c r="U1543">
        <f t="shared" si="377"/>
        <v>1.05</v>
      </c>
      <c r="V1543">
        <f t="shared" si="373"/>
        <v>0.93249999999999988</v>
      </c>
    </row>
    <row r="1544" spans="1:22" x14ac:dyDescent="0.25">
      <c r="A1544" t="s">
        <v>3500</v>
      </c>
      <c r="B1544">
        <v>0.9</v>
      </c>
      <c r="C1544">
        <v>30.14</v>
      </c>
      <c r="E1544" t="s">
        <v>3500</v>
      </c>
      <c r="F1544">
        <v>0.9</v>
      </c>
      <c r="G1544">
        <v>105.57</v>
      </c>
      <c r="I1544" t="str" cm="1">
        <f t="array" ref="I1544:J1544">_xlfn.TEXTSPLIT(A1544," ")</f>
        <v>28.10.2023</v>
      </c>
      <c r="J1544" t="str">
        <v>01:44:33</v>
      </c>
      <c r="K1544">
        <f t="shared" si="378"/>
        <v>25.683333333333156</v>
      </c>
      <c r="L1544">
        <f t="shared" si="375"/>
        <v>15.82</v>
      </c>
      <c r="M1544">
        <f t="shared" si="376"/>
        <v>0.9</v>
      </c>
      <c r="N1544">
        <f t="shared" si="372"/>
        <v>0.46999999999999992</v>
      </c>
      <c r="Q1544" t="str" cm="1">
        <f t="array" ref="Q1544:R1544">_xlfn.TEXTSPLIT(E1544," ")</f>
        <v>28.10.2023</v>
      </c>
      <c r="R1544" t="str">
        <v>01:44:33</v>
      </c>
      <c r="S1544">
        <f t="shared" si="379"/>
        <v>25.683333333333156</v>
      </c>
      <c r="T1544">
        <f t="shared" si="374"/>
        <v>26.97</v>
      </c>
      <c r="U1544">
        <f t="shared" si="377"/>
        <v>0.9</v>
      </c>
      <c r="V1544">
        <f t="shared" si="373"/>
        <v>0.92749999999999988</v>
      </c>
    </row>
    <row r="1545" spans="1:22" x14ac:dyDescent="0.25">
      <c r="A1545" t="s">
        <v>3501</v>
      </c>
      <c r="B1545">
        <v>0.6</v>
      </c>
      <c r="C1545">
        <v>30.15</v>
      </c>
      <c r="E1545" t="s">
        <v>3501</v>
      </c>
      <c r="F1545">
        <v>0.75</v>
      </c>
      <c r="G1545">
        <v>105.58</v>
      </c>
      <c r="I1545" t="str" cm="1">
        <f t="array" ref="I1545:J1545">_xlfn.TEXTSPLIT(A1545," ")</f>
        <v>28.10.2023</v>
      </c>
      <c r="J1545" t="str">
        <v>01:45:33</v>
      </c>
      <c r="K1545">
        <f t="shared" si="378"/>
        <v>25.699999999999822</v>
      </c>
      <c r="L1545">
        <f t="shared" si="375"/>
        <v>15.829999999999998</v>
      </c>
      <c r="M1545">
        <f t="shared" si="376"/>
        <v>0.6</v>
      </c>
      <c r="N1545">
        <f t="shared" si="372"/>
        <v>0.47249999999999992</v>
      </c>
      <c r="Q1545" t="str" cm="1">
        <f t="array" ref="Q1545:R1545">_xlfn.TEXTSPLIT(E1545," ")</f>
        <v>28.10.2023</v>
      </c>
      <c r="R1545" t="str">
        <v>01:45:33</v>
      </c>
      <c r="S1545">
        <f t="shared" si="379"/>
        <v>25.699999999999822</v>
      </c>
      <c r="T1545">
        <f t="shared" si="374"/>
        <v>26.980000000000004</v>
      </c>
      <c r="U1545">
        <f t="shared" si="377"/>
        <v>0.75</v>
      </c>
      <c r="V1545">
        <f t="shared" si="373"/>
        <v>0.92249999999999988</v>
      </c>
    </row>
    <row r="1546" spans="1:22" x14ac:dyDescent="0.25">
      <c r="A1546" t="s">
        <v>3502</v>
      </c>
      <c r="B1546">
        <v>0.45</v>
      </c>
      <c r="C1546">
        <v>30.16</v>
      </c>
      <c r="E1546" t="s">
        <v>3502</v>
      </c>
      <c r="F1546">
        <v>1.05</v>
      </c>
      <c r="G1546">
        <v>105.6</v>
      </c>
      <c r="I1546" t="str" cm="1">
        <f t="array" ref="I1546:J1546">_xlfn.TEXTSPLIT(A1546," ")</f>
        <v>28.10.2023</v>
      </c>
      <c r="J1546" t="str">
        <v>01:46:33</v>
      </c>
      <c r="K1546">
        <f t="shared" si="378"/>
        <v>25.716666666666487</v>
      </c>
      <c r="L1546">
        <f t="shared" si="375"/>
        <v>15.84</v>
      </c>
      <c r="M1546">
        <f t="shared" si="376"/>
        <v>0.45</v>
      </c>
      <c r="N1546">
        <f t="shared" si="372"/>
        <v>0.47499999999999992</v>
      </c>
      <c r="Q1546" t="str" cm="1">
        <f t="array" ref="Q1546:R1546">_xlfn.TEXTSPLIT(E1546," ")</f>
        <v>28.10.2023</v>
      </c>
      <c r="R1546" t="str">
        <v>01:46:33</v>
      </c>
      <c r="S1546">
        <f t="shared" si="379"/>
        <v>25.716666666666487</v>
      </c>
      <c r="T1546">
        <f t="shared" si="374"/>
        <v>27</v>
      </c>
      <c r="U1546">
        <f t="shared" si="377"/>
        <v>1.05</v>
      </c>
      <c r="V1546">
        <f t="shared" si="373"/>
        <v>0.92249999999999988</v>
      </c>
    </row>
    <row r="1547" spans="1:22" x14ac:dyDescent="0.25">
      <c r="A1547" t="s">
        <v>3503</v>
      </c>
      <c r="B1547">
        <v>0.45</v>
      </c>
      <c r="C1547">
        <v>30.16</v>
      </c>
      <c r="E1547" t="s">
        <v>3503</v>
      </c>
      <c r="F1547">
        <v>0.9</v>
      </c>
      <c r="G1547">
        <v>105.62</v>
      </c>
      <c r="I1547" t="str" cm="1">
        <f t="array" ref="I1547:J1547">_xlfn.TEXTSPLIT(A1547," ")</f>
        <v>28.10.2023</v>
      </c>
      <c r="J1547" t="str">
        <v>01:47:33</v>
      </c>
      <c r="K1547">
        <f t="shared" si="378"/>
        <v>25.733333333333153</v>
      </c>
      <c r="L1547">
        <f t="shared" si="375"/>
        <v>15.84</v>
      </c>
      <c r="M1547">
        <f t="shared" si="376"/>
        <v>0.45</v>
      </c>
      <c r="N1547">
        <f t="shared" si="372"/>
        <v>0.47749999999999987</v>
      </c>
      <c r="Q1547" t="str" cm="1">
        <f t="array" ref="Q1547:R1547">_xlfn.TEXTSPLIT(E1547," ")</f>
        <v>28.10.2023</v>
      </c>
      <c r="R1547" t="str">
        <v>01:47:33</v>
      </c>
      <c r="S1547">
        <f t="shared" si="379"/>
        <v>25.733333333333153</v>
      </c>
      <c r="T1547">
        <f t="shared" si="374"/>
        <v>27.02000000000001</v>
      </c>
      <c r="U1547">
        <f t="shared" si="377"/>
        <v>0.9</v>
      </c>
      <c r="V1547">
        <f t="shared" si="373"/>
        <v>0.92749999999999988</v>
      </c>
    </row>
    <row r="1548" spans="1:22" x14ac:dyDescent="0.25">
      <c r="A1548" t="s">
        <v>3504</v>
      </c>
      <c r="B1548">
        <v>0.45</v>
      </c>
      <c r="C1548">
        <v>30.17</v>
      </c>
      <c r="E1548" t="s">
        <v>3504</v>
      </c>
      <c r="F1548">
        <v>1.2</v>
      </c>
      <c r="G1548">
        <v>105.63</v>
      </c>
      <c r="I1548" t="str" cm="1">
        <f t="array" ref="I1548:J1548">_xlfn.TEXTSPLIT(A1548," ")</f>
        <v>28.10.2023</v>
      </c>
      <c r="J1548" t="str">
        <v>01:48:34</v>
      </c>
      <c r="K1548">
        <f t="shared" si="378"/>
        <v>25.749999999999819</v>
      </c>
      <c r="L1548">
        <f t="shared" si="375"/>
        <v>15.850000000000001</v>
      </c>
      <c r="M1548">
        <f t="shared" si="376"/>
        <v>0.45</v>
      </c>
      <c r="N1548">
        <f t="shared" si="372"/>
        <v>0.47999999999999987</v>
      </c>
      <c r="Q1548" t="str" cm="1">
        <f t="array" ref="Q1548:R1548">_xlfn.TEXTSPLIT(E1548," ")</f>
        <v>28.10.2023</v>
      </c>
      <c r="R1548" t="str">
        <v>01:48:34</v>
      </c>
      <c r="S1548">
        <f t="shared" si="379"/>
        <v>25.749999999999819</v>
      </c>
      <c r="T1548">
        <f t="shared" si="374"/>
        <v>27.03</v>
      </c>
      <c r="U1548">
        <f t="shared" si="377"/>
        <v>1.2</v>
      </c>
      <c r="V1548">
        <f t="shared" si="373"/>
        <v>0.93499999999999994</v>
      </c>
    </row>
    <row r="1549" spans="1:22" x14ac:dyDescent="0.25">
      <c r="A1549" t="s">
        <v>3505</v>
      </c>
      <c r="B1549">
        <v>0.3</v>
      </c>
      <c r="C1549">
        <v>30.17</v>
      </c>
      <c r="E1549" t="s">
        <v>3505</v>
      </c>
      <c r="F1549">
        <v>0.9</v>
      </c>
      <c r="G1549">
        <v>105.65</v>
      </c>
      <c r="I1549" t="str" cm="1">
        <f t="array" ref="I1549:J1549">_xlfn.TEXTSPLIT(A1549," ")</f>
        <v>28.10.2023</v>
      </c>
      <c r="J1549" t="str">
        <v>01:49:34</v>
      </c>
      <c r="K1549">
        <f t="shared" si="378"/>
        <v>25.766666666666485</v>
      </c>
      <c r="L1549">
        <f t="shared" si="375"/>
        <v>15.850000000000001</v>
      </c>
      <c r="M1549">
        <f t="shared" si="376"/>
        <v>0.3</v>
      </c>
      <c r="N1549">
        <f t="shared" si="372"/>
        <v>0.47749999999999998</v>
      </c>
      <c r="Q1549" t="str" cm="1">
        <f t="array" ref="Q1549:R1549">_xlfn.TEXTSPLIT(E1549," ")</f>
        <v>28.10.2023</v>
      </c>
      <c r="R1549" t="str">
        <v>01:49:34</v>
      </c>
      <c r="S1549">
        <f t="shared" si="379"/>
        <v>25.766666666666485</v>
      </c>
      <c r="T1549">
        <f t="shared" si="374"/>
        <v>27.050000000000011</v>
      </c>
      <c r="U1549">
        <f t="shared" si="377"/>
        <v>0.9</v>
      </c>
      <c r="V1549">
        <f t="shared" si="373"/>
        <v>0.93749999999999989</v>
      </c>
    </row>
    <row r="1550" spans="1:22" x14ac:dyDescent="0.25">
      <c r="A1550" t="s">
        <v>3506</v>
      </c>
      <c r="B1550">
        <v>0.3</v>
      </c>
      <c r="C1550">
        <v>30.18</v>
      </c>
      <c r="E1550" t="s">
        <v>3506</v>
      </c>
      <c r="F1550">
        <v>0.45</v>
      </c>
      <c r="G1550">
        <v>105.65</v>
      </c>
      <c r="I1550" t="str" cm="1">
        <f t="array" ref="I1550:J1550">_xlfn.TEXTSPLIT(A1550," ")</f>
        <v>28.10.2023</v>
      </c>
      <c r="J1550" t="str">
        <v>01:50:34</v>
      </c>
      <c r="K1550">
        <f t="shared" si="378"/>
        <v>25.78333333333315</v>
      </c>
      <c r="L1550">
        <f t="shared" si="375"/>
        <v>15.86</v>
      </c>
      <c r="M1550">
        <f t="shared" si="376"/>
        <v>0.3</v>
      </c>
      <c r="N1550">
        <f t="shared" si="372"/>
        <v>0.47749999999999998</v>
      </c>
      <c r="Q1550" t="str" cm="1">
        <f t="array" ref="Q1550:R1550">_xlfn.TEXTSPLIT(E1550," ")</f>
        <v>28.10.2023</v>
      </c>
      <c r="R1550" t="str">
        <v>01:50:34</v>
      </c>
      <c r="S1550">
        <f t="shared" si="379"/>
        <v>25.78333333333315</v>
      </c>
      <c r="T1550">
        <f t="shared" si="374"/>
        <v>27.050000000000011</v>
      </c>
      <c r="U1550">
        <f t="shared" si="377"/>
        <v>0.45</v>
      </c>
      <c r="V1550">
        <f t="shared" si="373"/>
        <v>0.92999999999999983</v>
      </c>
    </row>
    <row r="1551" spans="1:22" x14ac:dyDescent="0.25">
      <c r="A1551" t="s">
        <v>3507</v>
      </c>
      <c r="B1551">
        <v>0.45</v>
      </c>
      <c r="C1551">
        <v>30.19</v>
      </c>
      <c r="E1551" t="s">
        <v>3507</v>
      </c>
      <c r="F1551">
        <v>0.15</v>
      </c>
      <c r="G1551">
        <v>105.65</v>
      </c>
      <c r="I1551" t="str" cm="1">
        <f t="array" ref="I1551:J1551">_xlfn.TEXTSPLIT(A1551," ")</f>
        <v>28.10.2023</v>
      </c>
      <c r="J1551" t="str">
        <v>01:51:34</v>
      </c>
      <c r="K1551">
        <f t="shared" si="378"/>
        <v>25.799999999999816</v>
      </c>
      <c r="L1551">
        <f t="shared" si="375"/>
        <v>15.870000000000001</v>
      </c>
      <c r="M1551">
        <f t="shared" si="376"/>
        <v>0.45</v>
      </c>
      <c r="N1551">
        <f t="shared" si="372"/>
        <v>0.47749999999999998</v>
      </c>
      <c r="Q1551" t="str" cm="1">
        <f t="array" ref="Q1551:R1551">_xlfn.TEXTSPLIT(E1551," ")</f>
        <v>28.10.2023</v>
      </c>
      <c r="R1551" t="str">
        <v>01:51:34</v>
      </c>
      <c r="S1551">
        <f t="shared" si="379"/>
        <v>25.799999999999816</v>
      </c>
      <c r="T1551">
        <f t="shared" si="374"/>
        <v>27.050000000000011</v>
      </c>
      <c r="U1551">
        <f t="shared" si="377"/>
        <v>0.15</v>
      </c>
      <c r="V1551">
        <f t="shared" si="373"/>
        <v>0.92999999999999983</v>
      </c>
    </row>
    <row r="1552" spans="1:22" x14ac:dyDescent="0.25">
      <c r="A1552" t="s">
        <v>3508</v>
      </c>
      <c r="B1552">
        <v>0.15</v>
      </c>
      <c r="C1552">
        <v>30.19</v>
      </c>
      <c r="E1552" t="s">
        <v>3508</v>
      </c>
      <c r="F1552">
        <v>0</v>
      </c>
      <c r="G1552">
        <v>105.66</v>
      </c>
      <c r="I1552" t="str" cm="1">
        <f t="array" ref="I1552:J1552">_xlfn.TEXTSPLIT(A1552," ")</f>
        <v>28.10.2023</v>
      </c>
      <c r="J1552" t="str">
        <v>01:52:34</v>
      </c>
      <c r="K1552">
        <f t="shared" si="378"/>
        <v>25.816666666666482</v>
      </c>
      <c r="L1552">
        <f t="shared" si="375"/>
        <v>15.870000000000001</v>
      </c>
      <c r="M1552">
        <f t="shared" si="376"/>
        <v>0.15</v>
      </c>
      <c r="N1552">
        <f t="shared" si="372"/>
        <v>0.47499999999999992</v>
      </c>
      <c r="Q1552" t="str" cm="1">
        <f t="array" ref="Q1552:R1552">_xlfn.TEXTSPLIT(E1552," ")</f>
        <v>28.10.2023</v>
      </c>
      <c r="R1552" t="str">
        <v>01:52:34</v>
      </c>
      <c r="S1552">
        <f t="shared" si="379"/>
        <v>25.816666666666482</v>
      </c>
      <c r="T1552">
        <f t="shared" si="374"/>
        <v>27.060000000000002</v>
      </c>
      <c r="U1552">
        <f t="shared" si="377"/>
        <v>0</v>
      </c>
      <c r="V1552">
        <f t="shared" si="373"/>
        <v>0.92999999999999983</v>
      </c>
    </row>
    <row r="1553" spans="1:22" x14ac:dyDescent="0.25">
      <c r="A1553" t="s">
        <v>3509</v>
      </c>
      <c r="B1553">
        <v>0</v>
      </c>
      <c r="C1553">
        <v>30.19</v>
      </c>
      <c r="E1553" t="s">
        <v>3509</v>
      </c>
      <c r="F1553">
        <v>0.3</v>
      </c>
      <c r="G1553">
        <v>105.66</v>
      </c>
      <c r="I1553" t="str" cm="1">
        <f t="array" ref="I1553:J1553">_xlfn.TEXTSPLIT(A1553," ")</f>
        <v>28.10.2023</v>
      </c>
      <c r="J1553" t="str">
        <v>01:53:34</v>
      </c>
      <c r="K1553">
        <f t="shared" si="378"/>
        <v>25.833333333333147</v>
      </c>
      <c r="L1553">
        <f t="shared" si="375"/>
        <v>15.870000000000001</v>
      </c>
      <c r="M1553">
        <f t="shared" si="376"/>
        <v>0</v>
      </c>
      <c r="N1553">
        <f t="shared" si="372"/>
        <v>0.47499999999999992</v>
      </c>
      <c r="Q1553" t="str" cm="1">
        <f t="array" ref="Q1553:R1553">_xlfn.TEXTSPLIT(E1553," ")</f>
        <v>28.10.2023</v>
      </c>
      <c r="R1553" t="str">
        <v>01:53:34</v>
      </c>
      <c r="S1553">
        <f t="shared" si="379"/>
        <v>25.833333333333147</v>
      </c>
      <c r="T1553">
        <f t="shared" si="374"/>
        <v>27.060000000000002</v>
      </c>
      <c r="U1553">
        <f t="shared" si="377"/>
        <v>0.3</v>
      </c>
      <c r="V1553">
        <f t="shared" si="373"/>
        <v>0.92749999999999988</v>
      </c>
    </row>
    <row r="1554" spans="1:22" x14ac:dyDescent="0.25">
      <c r="A1554" t="s">
        <v>3510</v>
      </c>
      <c r="B1554">
        <v>0</v>
      </c>
      <c r="C1554">
        <v>30.19</v>
      </c>
      <c r="E1554" t="s">
        <v>3510</v>
      </c>
      <c r="F1554">
        <v>0.3</v>
      </c>
      <c r="G1554">
        <v>105.67</v>
      </c>
      <c r="I1554" t="str" cm="1">
        <f t="array" ref="I1554:J1554">_xlfn.TEXTSPLIT(A1554," ")</f>
        <v>28.10.2023</v>
      </c>
      <c r="J1554" t="str">
        <v>01:54:34</v>
      </c>
      <c r="K1554">
        <f t="shared" si="378"/>
        <v>25.849999999999813</v>
      </c>
      <c r="L1554">
        <f t="shared" si="375"/>
        <v>15.870000000000001</v>
      </c>
      <c r="M1554">
        <f t="shared" si="376"/>
        <v>0</v>
      </c>
      <c r="N1554">
        <f t="shared" si="372"/>
        <v>0.47499999999999992</v>
      </c>
      <c r="Q1554" t="str" cm="1">
        <f t="array" ref="Q1554:R1554">_xlfn.TEXTSPLIT(E1554," ")</f>
        <v>28.10.2023</v>
      </c>
      <c r="R1554" t="str">
        <v>01:54:34</v>
      </c>
      <c r="S1554">
        <f t="shared" si="379"/>
        <v>25.849999999999813</v>
      </c>
      <c r="T1554">
        <f t="shared" si="374"/>
        <v>27.070000000000007</v>
      </c>
      <c r="U1554">
        <f t="shared" si="377"/>
        <v>0.3</v>
      </c>
      <c r="V1554">
        <f t="shared" si="373"/>
        <v>0.92749999999999977</v>
      </c>
    </row>
    <row r="1555" spans="1:22" x14ac:dyDescent="0.25">
      <c r="A1555" t="s">
        <v>3511</v>
      </c>
      <c r="B1555">
        <v>0</v>
      </c>
      <c r="C1555">
        <v>30.19</v>
      </c>
      <c r="E1555" t="s">
        <v>3511</v>
      </c>
      <c r="F1555">
        <v>0.3</v>
      </c>
      <c r="G1555">
        <v>105.67</v>
      </c>
      <c r="I1555" t="str" cm="1">
        <f t="array" ref="I1555:J1555">_xlfn.TEXTSPLIT(A1555," ")</f>
        <v>28.10.2023</v>
      </c>
      <c r="J1555" t="str">
        <v>01:55:34</v>
      </c>
      <c r="K1555">
        <f t="shared" si="378"/>
        <v>25.866666666666479</v>
      </c>
      <c r="L1555">
        <f t="shared" si="375"/>
        <v>15.870000000000001</v>
      </c>
      <c r="M1555">
        <f t="shared" si="376"/>
        <v>0</v>
      </c>
      <c r="N1555">
        <f t="shared" si="372"/>
        <v>0.47499999999999992</v>
      </c>
      <c r="Q1555" t="str" cm="1">
        <f t="array" ref="Q1555:R1555">_xlfn.TEXTSPLIT(E1555," ")</f>
        <v>28.10.2023</v>
      </c>
      <c r="R1555" t="str">
        <v>01:55:34</v>
      </c>
      <c r="S1555">
        <f t="shared" si="379"/>
        <v>25.866666666666479</v>
      </c>
      <c r="T1555">
        <f t="shared" si="374"/>
        <v>27.070000000000007</v>
      </c>
      <c r="U1555">
        <f t="shared" si="377"/>
        <v>0.3</v>
      </c>
      <c r="V1555">
        <f t="shared" si="373"/>
        <v>0.92249999999999965</v>
      </c>
    </row>
    <row r="1556" spans="1:22" x14ac:dyDescent="0.25">
      <c r="A1556" t="s">
        <v>3512</v>
      </c>
      <c r="B1556">
        <v>0</v>
      </c>
      <c r="C1556">
        <v>30.19</v>
      </c>
      <c r="E1556" t="s">
        <v>3512</v>
      </c>
      <c r="F1556">
        <v>0.45</v>
      </c>
      <c r="G1556">
        <v>105.68</v>
      </c>
      <c r="I1556" t="str" cm="1">
        <f t="array" ref="I1556:J1556">_xlfn.TEXTSPLIT(A1556," ")</f>
        <v>28.10.2023</v>
      </c>
      <c r="J1556" t="str">
        <v>01:56:35</v>
      </c>
      <c r="K1556">
        <f t="shared" si="378"/>
        <v>25.883333333333145</v>
      </c>
      <c r="L1556">
        <f t="shared" si="375"/>
        <v>15.870000000000001</v>
      </c>
      <c r="M1556">
        <f t="shared" si="376"/>
        <v>0</v>
      </c>
      <c r="N1556">
        <f t="shared" si="372"/>
        <v>0.47499999999999992</v>
      </c>
      <c r="Q1556" t="str" cm="1">
        <f t="array" ref="Q1556:R1556">_xlfn.TEXTSPLIT(E1556," ")</f>
        <v>28.10.2023</v>
      </c>
      <c r="R1556" t="str">
        <v>01:56:35</v>
      </c>
      <c r="S1556">
        <f t="shared" si="379"/>
        <v>25.883333333333145</v>
      </c>
      <c r="T1556">
        <f t="shared" si="374"/>
        <v>27.080000000000013</v>
      </c>
      <c r="U1556">
        <f t="shared" si="377"/>
        <v>0.45</v>
      </c>
      <c r="V1556">
        <f t="shared" si="373"/>
        <v>0.9199999999999996</v>
      </c>
    </row>
    <row r="1557" spans="1:22" x14ac:dyDescent="0.25">
      <c r="A1557" t="s">
        <v>3513</v>
      </c>
      <c r="B1557">
        <v>0</v>
      </c>
      <c r="C1557">
        <v>30.19</v>
      </c>
      <c r="E1557" t="s">
        <v>3513</v>
      </c>
      <c r="F1557">
        <v>0.45</v>
      </c>
      <c r="G1557">
        <v>105.69</v>
      </c>
      <c r="I1557" t="str" cm="1">
        <f t="array" ref="I1557:J1557">_xlfn.TEXTSPLIT(A1557," ")</f>
        <v>28.10.2023</v>
      </c>
      <c r="J1557" t="str">
        <v>01:57:35</v>
      </c>
      <c r="K1557">
        <f t="shared" si="378"/>
        <v>25.89999999999981</v>
      </c>
      <c r="L1557">
        <f t="shared" si="375"/>
        <v>15.870000000000001</v>
      </c>
      <c r="M1557">
        <f t="shared" si="376"/>
        <v>0</v>
      </c>
      <c r="N1557">
        <f t="shared" si="372"/>
        <v>0.47499999999999992</v>
      </c>
      <c r="Q1557" t="str" cm="1">
        <f t="array" ref="Q1557:R1557">_xlfn.TEXTSPLIT(E1557," ")</f>
        <v>28.10.2023</v>
      </c>
      <c r="R1557" t="str">
        <v>01:57:35</v>
      </c>
      <c r="S1557">
        <f t="shared" si="379"/>
        <v>25.89999999999981</v>
      </c>
      <c r="T1557">
        <f t="shared" si="374"/>
        <v>27.090000000000003</v>
      </c>
      <c r="U1557">
        <f t="shared" si="377"/>
        <v>0.45</v>
      </c>
      <c r="V1557">
        <f t="shared" si="373"/>
        <v>0.91499999999999959</v>
      </c>
    </row>
    <row r="1558" spans="1:22" x14ac:dyDescent="0.25">
      <c r="A1558" t="s">
        <v>3514</v>
      </c>
      <c r="B1558">
        <v>0</v>
      </c>
      <c r="C1558">
        <v>30.19</v>
      </c>
      <c r="E1558" t="s">
        <v>3514</v>
      </c>
      <c r="F1558">
        <v>0.45</v>
      </c>
      <c r="G1558">
        <v>105.7</v>
      </c>
      <c r="I1558" t="str" cm="1">
        <f t="array" ref="I1558:J1558">_xlfn.TEXTSPLIT(A1558," ")</f>
        <v>28.10.2023</v>
      </c>
      <c r="J1558" t="str">
        <v>01:58:35</v>
      </c>
      <c r="K1558">
        <f t="shared" si="378"/>
        <v>25.916666666666476</v>
      </c>
      <c r="L1558">
        <f t="shared" si="375"/>
        <v>15.870000000000001</v>
      </c>
      <c r="M1558">
        <f t="shared" si="376"/>
        <v>0</v>
      </c>
      <c r="N1558">
        <f t="shared" si="372"/>
        <v>0.47499999999999992</v>
      </c>
      <c r="Q1558" t="str" cm="1">
        <f t="array" ref="Q1558:R1558">_xlfn.TEXTSPLIT(E1558," ")</f>
        <v>28.10.2023</v>
      </c>
      <c r="R1558" t="str">
        <v>01:58:35</v>
      </c>
      <c r="S1558">
        <f t="shared" si="379"/>
        <v>25.916666666666476</v>
      </c>
      <c r="T1558">
        <f t="shared" si="374"/>
        <v>27.100000000000009</v>
      </c>
      <c r="U1558">
        <f t="shared" si="377"/>
        <v>0.45</v>
      </c>
      <c r="V1558">
        <f t="shared" si="373"/>
        <v>0.90749999999999964</v>
      </c>
    </row>
    <row r="1559" spans="1:22" x14ac:dyDescent="0.25">
      <c r="A1559" t="s">
        <v>3515</v>
      </c>
      <c r="B1559">
        <v>0</v>
      </c>
      <c r="C1559">
        <v>30.19</v>
      </c>
      <c r="E1559" t="s">
        <v>3515</v>
      </c>
      <c r="F1559">
        <v>0.75</v>
      </c>
      <c r="G1559">
        <v>105.71</v>
      </c>
      <c r="I1559" t="str" cm="1">
        <f t="array" ref="I1559:J1559">_xlfn.TEXTSPLIT(A1559," ")</f>
        <v>28.10.2023</v>
      </c>
      <c r="J1559" t="str">
        <v>01:59:35</v>
      </c>
      <c r="K1559">
        <f t="shared" si="378"/>
        <v>25.933333333333142</v>
      </c>
      <c r="L1559">
        <f t="shared" si="375"/>
        <v>15.870000000000001</v>
      </c>
      <c r="M1559">
        <f t="shared" si="376"/>
        <v>0</v>
      </c>
      <c r="N1559">
        <f t="shared" si="372"/>
        <v>0.47499999999999992</v>
      </c>
      <c r="Q1559" t="str" cm="1">
        <f t="array" ref="Q1559:R1559">_xlfn.TEXTSPLIT(E1559," ")</f>
        <v>28.10.2023</v>
      </c>
      <c r="R1559" t="str">
        <v>01:59:35</v>
      </c>
      <c r="S1559">
        <f t="shared" si="379"/>
        <v>25.933333333333142</v>
      </c>
      <c r="T1559">
        <f t="shared" si="374"/>
        <v>27.11</v>
      </c>
      <c r="U1559">
        <f t="shared" si="377"/>
        <v>0.75</v>
      </c>
      <c r="V1559">
        <f t="shared" si="373"/>
        <v>0.90999999999999981</v>
      </c>
    </row>
    <row r="1560" spans="1:22" x14ac:dyDescent="0.25">
      <c r="A1560" t="s">
        <v>3516</v>
      </c>
      <c r="B1560">
        <v>0</v>
      </c>
      <c r="C1560">
        <v>30.19</v>
      </c>
      <c r="E1560" t="s">
        <v>3516</v>
      </c>
      <c r="F1560">
        <v>1.05</v>
      </c>
      <c r="G1560">
        <v>105.73</v>
      </c>
      <c r="I1560" t="str" cm="1">
        <f t="array" ref="I1560:J1560">_xlfn.TEXTSPLIT(A1560," ")</f>
        <v>28.10.2023</v>
      </c>
      <c r="J1560" t="str">
        <v>02:00:35</v>
      </c>
      <c r="K1560">
        <f t="shared" si="378"/>
        <v>25.949999999999807</v>
      </c>
      <c r="L1560">
        <f t="shared" si="375"/>
        <v>15.870000000000001</v>
      </c>
      <c r="M1560">
        <f t="shared" si="376"/>
        <v>0</v>
      </c>
      <c r="N1560">
        <f t="shared" si="372"/>
        <v>0.47499999999999992</v>
      </c>
      <c r="Q1560" t="str" cm="1">
        <f t="array" ref="Q1560:R1560">_xlfn.TEXTSPLIT(E1560," ")</f>
        <v>28.10.2023</v>
      </c>
      <c r="R1560" t="str">
        <v>02:00:35</v>
      </c>
      <c r="S1560">
        <f t="shared" si="379"/>
        <v>25.949999999999807</v>
      </c>
      <c r="T1560">
        <f t="shared" si="374"/>
        <v>27.13000000000001</v>
      </c>
      <c r="U1560">
        <f t="shared" si="377"/>
        <v>1.05</v>
      </c>
      <c r="V1560">
        <f t="shared" si="373"/>
        <v>0.91749999999999976</v>
      </c>
    </row>
    <row r="1561" spans="1:22" x14ac:dyDescent="0.25">
      <c r="A1561" t="s">
        <v>3517</v>
      </c>
      <c r="B1561">
        <v>0</v>
      </c>
      <c r="C1561">
        <v>30.19</v>
      </c>
      <c r="E1561" t="s">
        <v>3517</v>
      </c>
      <c r="F1561">
        <v>1.2</v>
      </c>
      <c r="G1561">
        <v>105.75</v>
      </c>
      <c r="I1561" t="str" cm="1">
        <f t="array" ref="I1561:J1561">_xlfn.TEXTSPLIT(A1561," ")</f>
        <v>28.10.2023</v>
      </c>
      <c r="J1561" t="str">
        <v>02:01:35</v>
      </c>
      <c r="K1561">
        <f t="shared" si="378"/>
        <v>25.966666666666473</v>
      </c>
      <c r="L1561">
        <f t="shared" si="375"/>
        <v>15.870000000000001</v>
      </c>
      <c r="M1561">
        <f t="shared" si="376"/>
        <v>0</v>
      </c>
      <c r="N1561">
        <f t="shared" si="372"/>
        <v>0.47249999999999998</v>
      </c>
      <c r="Q1561" t="str" cm="1">
        <f t="array" ref="Q1561:R1561">_xlfn.TEXTSPLIT(E1561," ")</f>
        <v>28.10.2023</v>
      </c>
      <c r="R1561" t="str">
        <v>02:01:35</v>
      </c>
      <c r="S1561">
        <f t="shared" si="379"/>
        <v>25.966666666666473</v>
      </c>
      <c r="T1561">
        <f t="shared" si="374"/>
        <v>27.150000000000006</v>
      </c>
      <c r="U1561">
        <f t="shared" si="377"/>
        <v>1.2</v>
      </c>
      <c r="V1561">
        <f t="shared" si="373"/>
        <v>0.92499999999999993</v>
      </c>
    </row>
    <row r="1562" spans="1:22" x14ac:dyDescent="0.25">
      <c r="A1562" t="s">
        <v>3518</v>
      </c>
      <c r="B1562">
        <v>0.15</v>
      </c>
      <c r="C1562">
        <v>30.19</v>
      </c>
      <c r="E1562" t="s">
        <v>3518</v>
      </c>
      <c r="F1562">
        <v>1.05</v>
      </c>
      <c r="G1562">
        <v>105.76</v>
      </c>
      <c r="I1562" t="str" cm="1">
        <f t="array" ref="I1562:J1562">_xlfn.TEXTSPLIT(A1562," ")</f>
        <v>28.10.2023</v>
      </c>
      <c r="J1562" t="str">
        <v>02:02:35</v>
      </c>
      <c r="K1562">
        <f t="shared" si="378"/>
        <v>25.983333333333139</v>
      </c>
      <c r="L1562">
        <f t="shared" si="375"/>
        <v>15.870000000000001</v>
      </c>
      <c r="M1562">
        <f t="shared" si="376"/>
        <v>0.15</v>
      </c>
      <c r="N1562">
        <f t="shared" si="372"/>
        <v>0.47499999999999992</v>
      </c>
      <c r="Q1562" t="str" cm="1">
        <f t="array" ref="Q1562:R1562">_xlfn.TEXTSPLIT(E1562," ")</f>
        <v>28.10.2023</v>
      </c>
      <c r="R1562" t="str">
        <v>02:02:35</v>
      </c>
      <c r="S1562">
        <f t="shared" si="379"/>
        <v>25.983333333333139</v>
      </c>
      <c r="T1562">
        <f t="shared" si="374"/>
        <v>27.160000000000011</v>
      </c>
      <c r="U1562">
        <f t="shared" si="377"/>
        <v>1.05</v>
      </c>
      <c r="V1562">
        <f t="shared" si="373"/>
        <v>0.93249999999999977</v>
      </c>
    </row>
    <row r="1563" spans="1:22" x14ac:dyDescent="0.25">
      <c r="A1563" t="s">
        <v>3519</v>
      </c>
      <c r="B1563">
        <v>0.3</v>
      </c>
      <c r="C1563">
        <v>30.19</v>
      </c>
      <c r="E1563" t="s">
        <v>3519</v>
      </c>
      <c r="F1563">
        <v>0.45</v>
      </c>
      <c r="G1563">
        <v>105.77</v>
      </c>
      <c r="I1563" t="str" cm="1">
        <f t="array" ref="I1563:J1563">_xlfn.TEXTSPLIT(A1563," ")</f>
        <v>28.10.2023</v>
      </c>
      <c r="J1563" t="str">
        <v>02:03:36</v>
      </c>
      <c r="K1563">
        <f t="shared" si="378"/>
        <v>25.999999999999805</v>
      </c>
      <c r="L1563">
        <f t="shared" si="375"/>
        <v>15.870000000000001</v>
      </c>
      <c r="M1563">
        <f t="shared" si="376"/>
        <v>0.3</v>
      </c>
      <c r="N1563">
        <f t="shared" si="372"/>
        <v>0.47499999999999992</v>
      </c>
      <c r="Q1563" t="str" cm="1">
        <f t="array" ref="Q1563:R1563">_xlfn.TEXTSPLIT(E1563," ")</f>
        <v>28.10.2023</v>
      </c>
      <c r="R1563" t="str">
        <v>02:03:36</v>
      </c>
      <c r="S1563">
        <f t="shared" si="379"/>
        <v>25.999999999999805</v>
      </c>
      <c r="T1563">
        <f t="shared" si="374"/>
        <v>27.17</v>
      </c>
      <c r="U1563">
        <f t="shared" si="377"/>
        <v>0.45</v>
      </c>
      <c r="V1563">
        <f t="shared" si="373"/>
        <v>0.92749999999999988</v>
      </c>
    </row>
    <row r="1564" spans="1:22" x14ac:dyDescent="0.25">
      <c r="A1564" t="s">
        <v>3520</v>
      </c>
      <c r="B1564">
        <v>0.3</v>
      </c>
      <c r="C1564">
        <v>30.2</v>
      </c>
      <c r="E1564" t="s">
        <v>3520</v>
      </c>
      <c r="F1564">
        <v>0.75</v>
      </c>
      <c r="G1564">
        <v>105.78</v>
      </c>
      <c r="I1564" t="str" cm="1">
        <f t="array" ref="I1564:J1564">_xlfn.TEXTSPLIT(A1564," ")</f>
        <v>28.10.2023</v>
      </c>
      <c r="J1564" t="str">
        <v>02:04:36</v>
      </c>
      <c r="K1564">
        <f t="shared" si="378"/>
        <v>26.01666666666647</v>
      </c>
      <c r="L1564">
        <f t="shared" si="375"/>
        <v>15.879999999999999</v>
      </c>
      <c r="M1564">
        <f t="shared" si="376"/>
        <v>0.3</v>
      </c>
      <c r="N1564">
        <f t="shared" si="372"/>
        <v>0.47249999999999998</v>
      </c>
      <c r="Q1564" t="str" cm="1">
        <f t="array" ref="Q1564:R1564">_xlfn.TEXTSPLIT(E1564," ")</f>
        <v>28.10.2023</v>
      </c>
      <c r="R1564" t="str">
        <v>02:04:36</v>
      </c>
      <c r="S1564">
        <f t="shared" si="379"/>
        <v>26.01666666666647</v>
      </c>
      <c r="T1564">
        <f t="shared" si="374"/>
        <v>27.180000000000007</v>
      </c>
      <c r="U1564">
        <f t="shared" si="377"/>
        <v>0.75</v>
      </c>
      <c r="V1564">
        <f t="shared" si="373"/>
        <v>0.92499999999999993</v>
      </c>
    </row>
    <row r="1565" spans="1:22" x14ac:dyDescent="0.25">
      <c r="A1565" t="s">
        <v>3521</v>
      </c>
      <c r="B1565">
        <v>0.15</v>
      </c>
      <c r="C1565">
        <v>30.21</v>
      </c>
      <c r="E1565" t="s">
        <v>3521</v>
      </c>
      <c r="F1565">
        <v>0.6</v>
      </c>
      <c r="G1565">
        <v>105.81</v>
      </c>
      <c r="I1565" t="str" cm="1">
        <f t="array" ref="I1565:J1565">_xlfn.TEXTSPLIT(A1565," ")</f>
        <v>28.10.2023</v>
      </c>
      <c r="J1565" t="str">
        <v>02:05:36</v>
      </c>
      <c r="K1565">
        <f t="shared" si="378"/>
        <v>26.033333333333136</v>
      </c>
      <c r="L1565">
        <f t="shared" si="375"/>
        <v>15.89</v>
      </c>
      <c r="M1565">
        <f t="shared" si="376"/>
        <v>0.15</v>
      </c>
      <c r="N1565">
        <f t="shared" si="372"/>
        <v>0.46749999999999992</v>
      </c>
      <c r="Q1565" t="str" cm="1">
        <f t="array" ref="Q1565:R1565">_xlfn.TEXTSPLIT(E1565," ")</f>
        <v>28.10.2023</v>
      </c>
      <c r="R1565" t="str">
        <v>02:05:36</v>
      </c>
      <c r="S1565">
        <f t="shared" si="379"/>
        <v>26.033333333333136</v>
      </c>
      <c r="T1565">
        <f t="shared" si="374"/>
        <v>27.210000000000008</v>
      </c>
      <c r="U1565">
        <f t="shared" si="377"/>
        <v>0.6</v>
      </c>
      <c r="V1565">
        <f t="shared" si="373"/>
        <v>0.91749999999999998</v>
      </c>
    </row>
    <row r="1566" spans="1:22" x14ac:dyDescent="0.25">
      <c r="A1566" t="s">
        <v>3522</v>
      </c>
      <c r="B1566">
        <v>0.45</v>
      </c>
      <c r="C1566">
        <v>30.21</v>
      </c>
      <c r="E1566" t="s">
        <v>3522</v>
      </c>
      <c r="F1566">
        <v>2.1</v>
      </c>
      <c r="G1566">
        <v>105.86</v>
      </c>
      <c r="I1566" t="str" cm="1">
        <f t="array" ref="I1566:J1566">_xlfn.TEXTSPLIT(A1566," ")</f>
        <v>28.10.2023</v>
      </c>
      <c r="J1566" t="str">
        <v>02:06:36</v>
      </c>
      <c r="K1566">
        <f t="shared" si="378"/>
        <v>26.049999999999802</v>
      </c>
      <c r="L1566">
        <f t="shared" si="375"/>
        <v>15.89</v>
      </c>
      <c r="M1566">
        <f t="shared" si="376"/>
        <v>0.45</v>
      </c>
      <c r="N1566">
        <f t="shared" si="372"/>
        <v>0.46999999999999992</v>
      </c>
      <c r="Q1566" t="str" cm="1">
        <f t="array" ref="Q1566:R1566">_xlfn.TEXTSPLIT(E1566," ")</f>
        <v>28.10.2023</v>
      </c>
      <c r="R1566" t="str">
        <v>02:06:36</v>
      </c>
      <c r="S1566">
        <f t="shared" si="379"/>
        <v>26.049999999999802</v>
      </c>
      <c r="T1566">
        <f t="shared" si="374"/>
        <v>27.260000000000005</v>
      </c>
      <c r="U1566">
        <f t="shared" si="377"/>
        <v>2.1</v>
      </c>
      <c r="V1566">
        <f t="shared" si="373"/>
        <v>0.90499999999999992</v>
      </c>
    </row>
    <row r="1567" spans="1:22" x14ac:dyDescent="0.25">
      <c r="A1567" t="s">
        <v>3523</v>
      </c>
      <c r="B1567">
        <v>1.5</v>
      </c>
      <c r="C1567">
        <v>30.25</v>
      </c>
      <c r="E1567" t="s">
        <v>3523</v>
      </c>
      <c r="F1567">
        <v>3.45</v>
      </c>
      <c r="G1567">
        <v>105.9</v>
      </c>
      <c r="I1567" t="str" cm="1">
        <f t="array" ref="I1567:J1567">_xlfn.TEXTSPLIT(A1567," ")</f>
        <v>28.10.2023</v>
      </c>
      <c r="J1567" t="str">
        <v>02:07:36</v>
      </c>
      <c r="K1567">
        <f t="shared" si="378"/>
        <v>26.066666666666467</v>
      </c>
      <c r="L1567">
        <f t="shared" si="375"/>
        <v>15.93</v>
      </c>
      <c r="M1567">
        <f t="shared" si="376"/>
        <v>1.5</v>
      </c>
      <c r="N1567">
        <f t="shared" si="372"/>
        <v>0.48749999999999988</v>
      </c>
      <c r="Q1567" t="str" cm="1">
        <f t="array" ref="Q1567:R1567">_xlfn.TEXTSPLIT(E1567," ")</f>
        <v>28.10.2023</v>
      </c>
      <c r="R1567" t="str">
        <v>02:07:36</v>
      </c>
      <c r="S1567">
        <f t="shared" si="379"/>
        <v>26.066666666666467</v>
      </c>
      <c r="T1567">
        <f t="shared" si="374"/>
        <v>27.300000000000011</v>
      </c>
      <c r="U1567">
        <f t="shared" si="377"/>
        <v>3.45</v>
      </c>
      <c r="V1567">
        <f t="shared" si="373"/>
        <v>0.9275000000000001</v>
      </c>
    </row>
    <row r="1568" spans="1:22" x14ac:dyDescent="0.25">
      <c r="A1568" t="s">
        <v>3524</v>
      </c>
      <c r="B1568">
        <v>2.25</v>
      </c>
      <c r="C1568">
        <v>30.29</v>
      </c>
      <c r="E1568" t="s">
        <v>3524</v>
      </c>
      <c r="F1568">
        <v>1.8</v>
      </c>
      <c r="G1568">
        <v>105.92</v>
      </c>
      <c r="I1568" t="str" cm="1">
        <f t="array" ref="I1568:J1568">_xlfn.TEXTSPLIT(A1568," ")</f>
        <v>28.10.2023</v>
      </c>
      <c r="J1568" t="str">
        <v>02:08:36</v>
      </c>
      <c r="K1568">
        <f t="shared" si="378"/>
        <v>26.083333333333133</v>
      </c>
      <c r="L1568">
        <f t="shared" si="375"/>
        <v>15.969999999999999</v>
      </c>
      <c r="M1568">
        <f t="shared" si="376"/>
        <v>2.25</v>
      </c>
      <c r="N1568">
        <f t="shared" si="372"/>
        <v>0.47999999999999987</v>
      </c>
      <c r="Q1568" t="str" cm="1">
        <f t="array" ref="Q1568:R1568">_xlfn.TEXTSPLIT(E1568," ")</f>
        <v>28.10.2023</v>
      </c>
      <c r="R1568" t="str">
        <v>02:08:36</v>
      </c>
      <c r="S1568">
        <f t="shared" si="379"/>
        <v>26.083333333333133</v>
      </c>
      <c r="T1568">
        <f t="shared" si="374"/>
        <v>27.320000000000007</v>
      </c>
      <c r="U1568">
        <f t="shared" si="377"/>
        <v>1.8</v>
      </c>
      <c r="V1568">
        <f t="shared" si="373"/>
        <v>0.92500000000000004</v>
      </c>
    </row>
    <row r="1569" spans="1:22" x14ac:dyDescent="0.25">
      <c r="A1569" t="s">
        <v>3525</v>
      </c>
      <c r="B1569">
        <v>1.65</v>
      </c>
      <c r="C1569">
        <v>30.31</v>
      </c>
      <c r="E1569" t="s">
        <v>3525</v>
      </c>
      <c r="F1569">
        <v>1.65</v>
      </c>
      <c r="G1569">
        <v>105.95</v>
      </c>
      <c r="I1569" t="str" cm="1">
        <f t="array" ref="I1569:J1569">_xlfn.TEXTSPLIT(A1569," ")</f>
        <v>28.10.2023</v>
      </c>
      <c r="J1569" t="str">
        <v>02:09:36</v>
      </c>
      <c r="K1569">
        <f t="shared" si="378"/>
        <v>26.099999999999799</v>
      </c>
      <c r="L1569">
        <f t="shared" si="375"/>
        <v>15.989999999999998</v>
      </c>
      <c r="M1569">
        <f t="shared" si="376"/>
        <v>1.65</v>
      </c>
      <c r="N1569">
        <f t="shared" si="372"/>
        <v>0.47999999999999987</v>
      </c>
      <c r="Q1569" t="str" cm="1">
        <f t="array" ref="Q1569:R1569">_xlfn.TEXTSPLIT(E1569," ")</f>
        <v>28.10.2023</v>
      </c>
      <c r="R1569" t="str">
        <v>02:09:36</v>
      </c>
      <c r="S1569">
        <f t="shared" si="379"/>
        <v>26.099999999999799</v>
      </c>
      <c r="T1569">
        <f t="shared" si="374"/>
        <v>27.350000000000009</v>
      </c>
      <c r="U1569">
        <f t="shared" si="377"/>
        <v>1.65</v>
      </c>
      <c r="V1569">
        <f t="shared" si="373"/>
        <v>0.92</v>
      </c>
    </row>
    <row r="1570" spans="1:22" x14ac:dyDescent="0.25">
      <c r="A1570" t="s">
        <v>3526</v>
      </c>
      <c r="B1570">
        <v>1.5</v>
      </c>
      <c r="C1570">
        <v>30.33</v>
      </c>
      <c r="E1570" t="s">
        <v>3526</v>
      </c>
      <c r="F1570">
        <v>1.95</v>
      </c>
      <c r="G1570">
        <v>105.99</v>
      </c>
      <c r="I1570" t="str" cm="1">
        <f t="array" ref="I1570:J1570">_xlfn.TEXTSPLIT(A1570," ")</f>
        <v>28.10.2023</v>
      </c>
      <c r="J1570" t="str">
        <v>02:10:37</v>
      </c>
      <c r="K1570">
        <f t="shared" si="378"/>
        <v>26.116666666666465</v>
      </c>
      <c r="L1570">
        <f t="shared" si="375"/>
        <v>16.009999999999998</v>
      </c>
      <c r="M1570">
        <f t="shared" si="376"/>
        <v>1.5</v>
      </c>
      <c r="N1570">
        <f t="shared" si="372"/>
        <v>0.48249999999999998</v>
      </c>
      <c r="Q1570" t="str" cm="1">
        <f t="array" ref="Q1570:R1570">_xlfn.TEXTSPLIT(E1570," ")</f>
        <v>28.10.2023</v>
      </c>
      <c r="R1570" t="str">
        <v>02:10:37</v>
      </c>
      <c r="S1570">
        <f t="shared" si="379"/>
        <v>26.116666666666465</v>
      </c>
      <c r="T1570">
        <f t="shared" si="374"/>
        <v>27.39</v>
      </c>
      <c r="U1570">
        <f t="shared" si="377"/>
        <v>1.95</v>
      </c>
      <c r="V1570">
        <f t="shared" si="373"/>
        <v>0.93</v>
      </c>
    </row>
    <row r="1571" spans="1:22" x14ac:dyDescent="0.25">
      <c r="A1571" t="s">
        <v>3527</v>
      </c>
      <c r="B1571">
        <v>1.5</v>
      </c>
      <c r="C1571">
        <v>30.36</v>
      </c>
      <c r="E1571" t="s">
        <v>3527</v>
      </c>
      <c r="F1571">
        <v>1.95</v>
      </c>
      <c r="G1571">
        <v>106.01</v>
      </c>
      <c r="I1571" t="str" cm="1">
        <f t="array" ref="I1571:J1571">_xlfn.TEXTSPLIT(A1571," ")</f>
        <v>28.10.2023</v>
      </c>
      <c r="J1571" t="str">
        <v>02:11:37</v>
      </c>
      <c r="K1571">
        <f t="shared" si="378"/>
        <v>26.13333333333313</v>
      </c>
      <c r="L1571">
        <f t="shared" si="375"/>
        <v>16.04</v>
      </c>
      <c r="M1571">
        <f t="shared" si="376"/>
        <v>1.5</v>
      </c>
      <c r="N1571">
        <f t="shared" si="372"/>
        <v>0.49</v>
      </c>
      <c r="Q1571" t="str" cm="1">
        <f t="array" ref="Q1571:R1571">_xlfn.TEXTSPLIT(E1571," ")</f>
        <v>28.10.2023</v>
      </c>
      <c r="R1571" t="str">
        <v>02:11:37</v>
      </c>
      <c r="S1571">
        <f t="shared" si="379"/>
        <v>26.13333333333313</v>
      </c>
      <c r="T1571">
        <f t="shared" si="374"/>
        <v>27.410000000000011</v>
      </c>
      <c r="U1571">
        <f t="shared" si="377"/>
        <v>1.95</v>
      </c>
      <c r="V1571">
        <f t="shared" si="373"/>
        <v>0.94750000000000012</v>
      </c>
    </row>
    <row r="1572" spans="1:22" x14ac:dyDescent="0.25">
      <c r="A1572" t="s">
        <v>3528</v>
      </c>
      <c r="B1572">
        <v>1.5</v>
      </c>
      <c r="C1572">
        <v>30.38</v>
      </c>
      <c r="E1572" t="s">
        <v>3528</v>
      </c>
      <c r="F1572">
        <v>1.2</v>
      </c>
      <c r="G1572">
        <v>106.03</v>
      </c>
      <c r="I1572" t="str" cm="1">
        <f t="array" ref="I1572:J1572">_xlfn.TEXTSPLIT(A1572," ")</f>
        <v>28.10.2023</v>
      </c>
      <c r="J1572" t="str">
        <v>02:12:37</v>
      </c>
      <c r="K1572">
        <f t="shared" si="378"/>
        <v>26.149999999999796</v>
      </c>
      <c r="L1572">
        <f t="shared" si="375"/>
        <v>16.059999999999999</v>
      </c>
      <c r="M1572">
        <f t="shared" si="376"/>
        <v>1.5</v>
      </c>
      <c r="N1572">
        <f t="shared" si="372"/>
        <v>0.49499999999999994</v>
      </c>
      <c r="Q1572" t="str" cm="1">
        <f t="array" ref="Q1572:R1572">_xlfn.TEXTSPLIT(E1572," ")</f>
        <v>28.10.2023</v>
      </c>
      <c r="R1572" t="str">
        <v>02:12:37</v>
      </c>
      <c r="S1572">
        <f t="shared" si="379"/>
        <v>26.149999999999796</v>
      </c>
      <c r="T1572">
        <f t="shared" si="374"/>
        <v>27.430000000000007</v>
      </c>
      <c r="U1572">
        <f t="shared" si="377"/>
        <v>1.2</v>
      </c>
      <c r="V1572">
        <f t="shared" si="373"/>
        <v>0.95250000000000024</v>
      </c>
    </row>
    <row r="1573" spans="1:22" x14ac:dyDescent="0.25">
      <c r="A1573" t="s">
        <v>3529</v>
      </c>
      <c r="B1573">
        <v>1.2</v>
      </c>
      <c r="C1573">
        <v>30.4</v>
      </c>
      <c r="E1573" t="s">
        <v>3529</v>
      </c>
      <c r="F1573">
        <v>1.2</v>
      </c>
      <c r="G1573">
        <v>106.05</v>
      </c>
      <c r="I1573" t="str" cm="1">
        <f t="array" ref="I1573:J1573">_xlfn.TEXTSPLIT(A1573," ")</f>
        <v>28.10.2023</v>
      </c>
      <c r="J1573" t="str">
        <v>02:13:37</v>
      </c>
      <c r="K1573">
        <f t="shared" si="378"/>
        <v>26.166666666666462</v>
      </c>
      <c r="L1573">
        <f t="shared" si="375"/>
        <v>16.079999999999998</v>
      </c>
      <c r="M1573">
        <f t="shared" si="376"/>
        <v>1.2</v>
      </c>
      <c r="N1573">
        <f t="shared" si="372"/>
        <v>0.505</v>
      </c>
      <c r="Q1573" t="str" cm="1">
        <f t="array" ref="Q1573:R1573">_xlfn.TEXTSPLIT(E1573," ")</f>
        <v>28.10.2023</v>
      </c>
      <c r="R1573" t="str">
        <v>02:13:37</v>
      </c>
      <c r="S1573">
        <f t="shared" si="379"/>
        <v>26.166666666666462</v>
      </c>
      <c r="T1573">
        <f t="shared" si="374"/>
        <v>27.450000000000003</v>
      </c>
      <c r="U1573">
        <f t="shared" si="377"/>
        <v>1.2</v>
      </c>
      <c r="V1573">
        <f t="shared" si="373"/>
        <v>0.95750000000000013</v>
      </c>
    </row>
    <row r="1574" spans="1:22" x14ac:dyDescent="0.25">
      <c r="A1574" t="s">
        <v>3530</v>
      </c>
      <c r="B1574">
        <v>0.75</v>
      </c>
      <c r="C1574">
        <v>30.41</v>
      </c>
      <c r="E1574" t="s">
        <v>3530</v>
      </c>
      <c r="F1574">
        <v>1.2</v>
      </c>
      <c r="G1574">
        <v>106.07</v>
      </c>
      <c r="I1574" t="str" cm="1">
        <f t="array" ref="I1574:J1574">_xlfn.TEXTSPLIT(A1574," ")</f>
        <v>28.10.2023</v>
      </c>
      <c r="J1574" t="str">
        <v>02:14:37</v>
      </c>
      <c r="K1574">
        <f t="shared" si="378"/>
        <v>26.183333333333128</v>
      </c>
      <c r="L1574">
        <f t="shared" si="375"/>
        <v>16.09</v>
      </c>
      <c r="M1574">
        <f t="shared" si="376"/>
        <v>0.75</v>
      </c>
      <c r="N1574">
        <f t="shared" si="372"/>
        <v>0.50499999999999989</v>
      </c>
      <c r="Q1574" t="str" cm="1">
        <f t="array" ref="Q1574:R1574">_xlfn.TEXTSPLIT(E1574," ")</f>
        <v>28.10.2023</v>
      </c>
      <c r="R1574" t="str">
        <v>02:14:37</v>
      </c>
      <c r="S1574">
        <f t="shared" si="379"/>
        <v>26.183333333333128</v>
      </c>
      <c r="T1574">
        <f t="shared" si="374"/>
        <v>27.47</v>
      </c>
      <c r="U1574">
        <f t="shared" si="377"/>
        <v>1.2</v>
      </c>
      <c r="V1574">
        <f t="shared" si="373"/>
        <v>0.9600000000000003</v>
      </c>
    </row>
    <row r="1575" spans="1:22" x14ac:dyDescent="0.25">
      <c r="A1575" t="s">
        <v>3531</v>
      </c>
      <c r="B1575">
        <v>0.75</v>
      </c>
      <c r="C1575">
        <v>30.42</v>
      </c>
      <c r="E1575" t="s">
        <v>3531</v>
      </c>
      <c r="F1575">
        <v>1.2</v>
      </c>
      <c r="G1575">
        <v>106.1</v>
      </c>
      <c r="I1575" t="str" cm="1">
        <f t="array" ref="I1575:J1575">_xlfn.TEXTSPLIT(A1575," ")</f>
        <v>28.10.2023</v>
      </c>
      <c r="J1575" t="str">
        <v>02:15:37</v>
      </c>
      <c r="K1575">
        <f t="shared" si="378"/>
        <v>26.199999999999793</v>
      </c>
      <c r="L1575">
        <f t="shared" si="375"/>
        <v>16.100000000000001</v>
      </c>
      <c r="M1575">
        <f t="shared" si="376"/>
        <v>0.75</v>
      </c>
      <c r="N1575">
        <f t="shared" si="372"/>
        <v>0.50749999999999995</v>
      </c>
      <c r="Q1575" t="str" cm="1">
        <f t="array" ref="Q1575:R1575">_xlfn.TEXTSPLIT(E1575," ")</f>
        <v>28.10.2023</v>
      </c>
      <c r="R1575" t="str">
        <v>02:15:37</v>
      </c>
      <c r="S1575">
        <f t="shared" si="379"/>
        <v>26.199999999999793</v>
      </c>
      <c r="T1575">
        <f t="shared" si="374"/>
        <v>27.5</v>
      </c>
      <c r="U1575">
        <f t="shared" si="377"/>
        <v>1.2</v>
      </c>
      <c r="V1575">
        <f t="shared" si="373"/>
        <v>0.96250000000000024</v>
      </c>
    </row>
    <row r="1576" spans="1:22" x14ac:dyDescent="0.25">
      <c r="A1576" t="s">
        <v>3532</v>
      </c>
      <c r="B1576">
        <v>0.6</v>
      </c>
      <c r="C1576">
        <v>30.43</v>
      </c>
      <c r="E1576" t="s">
        <v>3532</v>
      </c>
      <c r="F1576">
        <v>1.05</v>
      </c>
      <c r="G1576">
        <v>106.11</v>
      </c>
      <c r="I1576" t="str" cm="1">
        <f t="array" ref="I1576:J1576">_xlfn.TEXTSPLIT(A1576," ")</f>
        <v>28.10.2023</v>
      </c>
      <c r="J1576" t="str">
        <v>02:16:37</v>
      </c>
      <c r="K1576">
        <f t="shared" si="378"/>
        <v>26.216666666666459</v>
      </c>
      <c r="L1576">
        <f t="shared" si="375"/>
        <v>16.11</v>
      </c>
      <c r="M1576">
        <f t="shared" si="376"/>
        <v>0.6</v>
      </c>
      <c r="N1576">
        <f t="shared" si="372"/>
        <v>0.51</v>
      </c>
      <c r="Q1576" t="str" cm="1">
        <f t="array" ref="Q1576:R1576">_xlfn.TEXTSPLIT(E1576," ")</f>
        <v>28.10.2023</v>
      </c>
      <c r="R1576" t="str">
        <v>02:16:37</v>
      </c>
      <c r="S1576">
        <f t="shared" si="379"/>
        <v>26.216666666666459</v>
      </c>
      <c r="T1576">
        <f t="shared" si="374"/>
        <v>27.510000000000005</v>
      </c>
      <c r="U1576">
        <f t="shared" si="377"/>
        <v>1.05</v>
      </c>
      <c r="V1576">
        <f t="shared" si="373"/>
        <v>0.9600000000000003</v>
      </c>
    </row>
    <row r="1577" spans="1:22" x14ac:dyDescent="0.25">
      <c r="A1577" t="s">
        <v>3533</v>
      </c>
      <c r="B1577">
        <v>0.45</v>
      </c>
      <c r="C1577">
        <v>30.44</v>
      </c>
      <c r="E1577" t="s">
        <v>3533</v>
      </c>
      <c r="F1577">
        <v>1.2</v>
      </c>
      <c r="G1577">
        <v>106.13</v>
      </c>
      <c r="I1577" t="str" cm="1">
        <f t="array" ref="I1577:J1577">_xlfn.TEXTSPLIT(A1577," ")</f>
        <v>28.10.2023</v>
      </c>
      <c r="J1577" t="str">
        <v>02:17:38</v>
      </c>
      <c r="K1577">
        <f t="shared" si="378"/>
        <v>26.233333333333125</v>
      </c>
      <c r="L1577">
        <f t="shared" si="375"/>
        <v>16.12</v>
      </c>
      <c r="M1577">
        <f t="shared" si="376"/>
        <v>0.45</v>
      </c>
      <c r="N1577">
        <f t="shared" si="372"/>
        <v>0.51249999999999996</v>
      </c>
      <c r="Q1577" t="str" cm="1">
        <f t="array" ref="Q1577:R1577">_xlfn.TEXTSPLIT(E1577," ")</f>
        <v>28.10.2023</v>
      </c>
      <c r="R1577" t="str">
        <v>02:17:38</v>
      </c>
      <c r="S1577">
        <f t="shared" si="379"/>
        <v>26.233333333333125</v>
      </c>
      <c r="T1577">
        <f t="shared" si="374"/>
        <v>27.53</v>
      </c>
      <c r="U1577">
        <f t="shared" si="377"/>
        <v>1.2</v>
      </c>
      <c r="V1577">
        <f t="shared" si="373"/>
        <v>0.96500000000000019</v>
      </c>
    </row>
    <row r="1578" spans="1:22" x14ac:dyDescent="0.25">
      <c r="A1578" t="s">
        <v>3534</v>
      </c>
      <c r="B1578">
        <v>0.6</v>
      </c>
      <c r="C1578">
        <v>30.45</v>
      </c>
      <c r="E1578" t="s">
        <v>3534</v>
      </c>
      <c r="F1578">
        <v>0.9</v>
      </c>
      <c r="G1578">
        <v>106.14</v>
      </c>
      <c r="I1578" t="str" cm="1">
        <f t="array" ref="I1578:J1578">_xlfn.TEXTSPLIT(A1578," ")</f>
        <v>28.10.2023</v>
      </c>
      <c r="J1578" t="str">
        <v>02:18:38</v>
      </c>
      <c r="K1578">
        <f t="shared" si="378"/>
        <v>26.24999999999979</v>
      </c>
      <c r="L1578">
        <f t="shared" si="375"/>
        <v>16.13</v>
      </c>
      <c r="M1578">
        <f t="shared" si="376"/>
        <v>0.6</v>
      </c>
      <c r="N1578">
        <f t="shared" si="372"/>
        <v>0.51500000000000001</v>
      </c>
      <c r="Q1578" t="str" cm="1">
        <f t="array" ref="Q1578:R1578">_xlfn.TEXTSPLIT(E1578," ")</f>
        <v>28.10.2023</v>
      </c>
      <c r="R1578" t="str">
        <v>02:18:38</v>
      </c>
      <c r="S1578">
        <f t="shared" si="379"/>
        <v>26.24999999999979</v>
      </c>
      <c r="T1578">
        <f t="shared" si="374"/>
        <v>27.540000000000006</v>
      </c>
      <c r="U1578">
        <f t="shared" si="377"/>
        <v>0.9</v>
      </c>
      <c r="V1578">
        <f t="shared" si="373"/>
        <v>0.97000000000000031</v>
      </c>
    </row>
    <row r="1579" spans="1:22" x14ac:dyDescent="0.25">
      <c r="A1579" t="s">
        <v>3535</v>
      </c>
      <c r="B1579">
        <v>0.6</v>
      </c>
      <c r="C1579">
        <v>30.46</v>
      </c>
      <c r="E1579" t="s">
        <v>3535</v>
      </c>
      <c r="F1579">
        <v>0.6</v>
      </c>
      <c r="G1579">
        <v>106.16</v>
      </c>
      <c r="I1579" t="str" cm="1">
        <f t="array" ref="I1579:J1579">_xlfn.TEXTSPLIT(A1579," ")</f>
        <v>28.10.2023</v>
      </c>
      <c r="J1579" t="str">
        <v>02:19:38</v>
      </c>
      <c r="K1579">
        <f t="shared" si="378"/>
        <v>26.266666666666456</v>
      </c>
      <c r="L1579">
        <f t="shared" si="375"/>
        <v>16.14</v>
      </c>
      <c r="M1579">
        <f t="shared" si="376"/>
        <v>0.6</v>
      </c>
      <c r="N1579">
        <f t="shared" si="372"/>
        <v>0.52</v>
      </c>
      <c r="Q1579" t="str" cm="1">
        <f t="array" ref="Q1579:R1579">_xlfn.TEXTSPLIT(E1579," ")</f>
        <v>28.10.2023</v>
      </c>
      <c r="R1579" t="str">
        <v>02:19:38</v>
      </c>
      <c r="S1579">
        <f t="shared" si="379"/>
        <v>26.266666666666456</v>
      </c>
      <c r="T1579">
        <f t="shared" si="374"/>
        <v>27.560000000000002</v>
      </c>
      <c r="U1579">
        <f t="shared" si="377"/>
        <v>0.6</v>
      </c>
      <c r="V1579">
        <f t="shared" si="373"/>
        <v>0.96750000000000014</v>
      </c>
    </row>
    <row r="1580" spans="1:22" x14ac:dyDescent="0.25">
      <c r="A1580" t="s">
        <v>3536</v>
      </c>
      <c r="B1580">
        <v>0.45</v>
      </c>
      <c r="C1580">
        <v>30.47</v>
      </c>
      <c r="E1580" t="s">
        <v>3536</v>
      </c>
      <c r="F1580">
        <v>0.9</v>
      </c>
      <c r="G1580">
        <v>106.17</v>
      </c>
      <c r="I1580" t="str" cm="1">
        <f t="array" ref="I1580:J1580">_xlfn.TEXTSPLIT(A1580," ")</f>
        <v>28.10.2023</v>
      </c>
      <c r="J1580" t="str">
        <v>02:20:38</v>
      </c>
      <c r="K1580">
        <f t="shared" si="378"/>
        <v>26.283333333333122</v>
      </c>
      <c r="L1580">
        <f t="shared" si="375"/>
        <v>16.149999999999999</v>
      </c>
      <c r="M1580">
        <f t="shared" si="376"/>
        <v>0.45</v>
      </c>
      <c r="N1580">
        <f t="shared" si="372"/>
        <v>0.52</v>
      </c>
      <c r="Q1580" t="str" cm="1">
        <f t="array" ref="Q1580:R1580">_xlfn.TEXTSPLIT(E1580," ")</f>
        <v>28.10.2023</v>
      </c>
      <c r="R1580" t="str">
        <v>02:20:38</v>
      </c>
      <c r="S1580">
        <f t="shared" si="379"/>
        <v>26.283333333333122</v>
      </c>
      <c r="T1580">
        <f t="shared" si="374"/>
        <v>27.570000000000007</v>
      </c>
      <c r="U1580">
        <f t="shared" si="377"/>
        <v>0.9</v>
      </c>
      <c r="V1580">
        <f t="shared" si="373"/>
        <v>0.97000000000000031</v>
      </c>
    </row>
    <row r="1581" spans="1:22" x14ac:dyDescent="0.25">
      <c r="A1581" t="s">
        <v>3537</v>
      </c>
      <c r="B1581">
        <v>0.45</v>
      </c>
      <c r="C1581">
        <v>30.48</v>
      </c>
      <c r="E1581" t="s">
        <v>3537</v>
      </c>
      <c r="F1581">
        <v>0</v>
      </c>
      <c r="G1581">
        <v>106.17</v>
      </c>
      <c r="I1581" t="str" cm="1">
        <f t="array" ref="I1581:J1581">_xlfn.TEXTSPLIT(A1581," ")</f>
        <v>28.10.2023</v>
      </c>
      <c r="J1581" t="str">
        <v>02:21:38</v>
      </c>
      <c r="K1581">
        <f t="shared" si="378"/>
        <v>26.299999999999788</v>
      </c>
      <c r="L1581">
        <f t="shared" si="375"/>
        <v>16.16</v>
      </c>
      <c r="M1581">
        <f t="shared" si="376"/>
        <v>0.45</v>
      </c>
      <c r="N1581">
        <f t="shared" si="372"/>
        <v>0.52250000000000008</v>
      </c>
      <c r="Q1581" t="str" cm="1">
        <f t="array" ref="Q1581:R1581">_xlfn.TEXTSPLIT(E1581," ")</f>
        <v>28.10.2023</v>
      </c>
      <c r="R1581" t="str">
        <v>02:21:38</v>
      </c>
      <c r="S1581">
        <f t="shared" si="379"/>
        <v>26.299999999999788</v>
      </c>
      <c r="T1581">
        <f t="shared" si="374"/>
        <v>27.570000000000007</v>
      </c>
      <c r="U1581">
        <f t="shared" si="377"/>
        <v>0</v>
      </c>
      <c r="V1581">
        <f t="shared" si="373"/>
        <v>0.96750000000000014</v>
      </c>
    </row>
    <row r="1582" spans="1:22" x14ac:dyDescent="0.25">
      <c r="A1582" t="s">
        <v>3538</v>
      </c>
      <c r="B1582">
        <v>0.45</v>
      </c>
      <c r="C1582">
        <v>30.48</v>
      </c>
      <c r="E1582" t="s">
        <v>3538</v>
      </c>
      <c r="F1582">
        <v>0.15</v>
      </c>
      <c r="G1582">
        <v>106.17</v>
      </c>
      <c r="I1582" t="str" cm="1">
        <f t="array" ref="I1582:J1582">_xlfn.TEXTSPLIT(A1582," ")</f>
        <v>28.10.2023</v>
      </c>
      <c r="J1582" t="str">
        <v>02:22:38</v>
      </c>
      <c r="K1582">
        <f t="shared" si="378"/>
        <v>26.316666666666453</v>
      </c>
      <c r="L1582">
        <f t="shared" si="375"/>
        <v>16.16</v>
      </c>
      <c r="M1582">
        <f t="shared" si="376"/>
        <v>0.45</v>
      </c>
      <c r="N1582">
        <f t="shared" si="372"/>
        <v>0.52500000000000002</v>
      </c>
      <c r="Q1582" t="str" cm="1">
        <f t="array" ref="Q1582:R1582">_xlfn.TEXTSPLIT(E1582," ")</f>
        <v>28.10.2023</v>
      </c>
      <c r="R1582" t="str">
        <v>02:22:38</v>
      </c>
      <c r="S1582">
        <f t="shared" si="379"/>
        <v>26.316666666666453</v>
      </c>
      <c r="T1582">
        <f t="shared" si="374"/>
        <v>27.570000000000007</v>
      </c>
      <c r="U1582">
        <f t="shared" si="377"/>
        <v>0.15</v>
      </c>
      <c r="V1582">
        <f t="shared" si="373"/>
        <v>0.9700000000000002</v>
      </c>
    </row>
    <row r="1583" spans="1:22" x14ac:dyDescent="0.25">
      <c r="A1583" t="s">
        <v>3539</v>
      </c>
      <c r="B1583">
        <v>0</v>
      </c>
      <c r="C1583">
        <v>30.48</v>
      </c>
      <c r="E1583" t="s">
        <v>3539</v>
      </c>
      <c r="F1583">
        <v>0.3</v>
      </c>
      <c r="G1583">
        <v>106.17</v>
      </c>
      <c r="I1583" t="str" cm="1">
        <f t="array" ref="I1583:J1583">_xlfn.TEXTSPLIT(A1583," ")</f>
        <v>28.10.2023</v>
      </c>
      <c r="J1583" t="str">
        <v>02:23:38</v>
      </c>
      <c r="K1583">
        <f t="shared" si="378"/>
        <v>26.333333333333119</v>
      </c>
      <c r="L1583">
        <f t="shared" si="375"/>
        <v>16.16</v>
      </c>
      <c r="M1583">
        <f t="shared" si="376"/>
        <v>0</v>
      </c>
      <c r="N1583">
        <f t="shared" si="372"/>
        <v>0.52500000000000002</v>
      </c>
      <c r="Q1583" t="str" cm="1">
        <f t="array" ref="Q1583:R1583">_xlfn.TEXTSPLIT(E1583," ")</f>
        <v>28.10.2023</v>
      </c>
      <c r="R1583" t="str">
        <v>02:23:38</v>
      </c>
      <c r="S1583">
        <f t="shared" si="379"/>
        <v>26.333333333333119</v>
      </c>
      <c r="T1583">
        <f t="shared" si="374"/>
        <v>27.570000000000007</v>
      </c>
      <c r="U1583">
        <f t="shared" si="377"/>
        <v>0.3</v>
      </c>
      <c r="V1583">
        <f t="shared" si="373"/>
        <v>0.9700000000000002</v>
      </c>
    </row>
    <row r="1584" spans="1:22" x14ac:dyDescent="0.25">
      <c r="A1584" t="s">
        <v>3540</v>
      </c>
      <c r="B1584">
        <v>0</v>
      </c>
      <c r="C1584">
        <v>30.48</v>
      </c>
      <c r="E1584" t="s">
        <v>3540</v>
      </c>
      <c r="F1584">
        <v>0.3</v>
      </c>
      <c r="G1584">
        <v>106.18</v>
      </c>
      <c r="I1584" t="str" cm="1">
        <f t="array" ref="I1584:J1584">_xlfn.TEXTSPLIT(A1584," ")</f>
        <v>28.10.2023</v>
      </c>
      <c r="J1584" t="str">
        <v>02:24:39</v>
      </c>
      <c r="K1584">
        <f t="shared" si="378"/>
        <v>26.349999999999785</v>
      </c>
      <c r="L1584">
        <f t="shared" si="375"/>
        <v>16.16</v>
      </c>
      <c r="M1584">
        <f t="shared" si="376"/>
        <v>0</v>
      </c>
      <c r="N1584">
        <f t="shared" si="372"/>
        <v>0.52500000000000002</v>
      </c>
      <c r="Q1584" t="str" cm="1">
        <f t="array" ref="Q1584:R1584">_xlfn.TEXTSPLIT(E1584," ")</f>
        <v>28.10.2023</v>
      </c>
      <c r="R1584" t="str">
        <v>02:24:39</v>
      </c>
      <c r="S1584">
        <f t="shared" si="379"/>
        <v>26.349999999999785</v>
      </c>
      <c r="T1584">
        <f t="shared" si="374"/>
        <v>27.580000000000013</v>
      </c>
      <c r="U1584">
        <f t="shared" si="377"/>
        <v>0.3</v>
      </c>
      <c r="V1584">
        <f t="shared" si="373"/>
        <v>0.97000000000000008</v>
      </c>
    </row>
    <row r="1585" spans="1:22" x14ac:dyDescent="0.25">
      <c r="A1585" t="s">
        <v>3541</v>
      </c>
      <c r="B1585">
        <v>0</v>
      </c>
      <c r="C1585">
        <v>30.48</v>
      </c>
      <c r="E1585" t="s">
        <v>3541</v>
      </c>
      <c r="F1585">
        <v>0.3</v>
      </c>
      <c r="G1585">
        <v>106.19</v>
      </c>
      <c r="I1585" t="str" cm="1">
        <f t="array" ref="I1585:J1585">_xlfn.TEXTSPLIT(A1585," ")</f>
        <v>28.10.2023</v>
      </c>
      <c r="J1585" t="str">
        <v>02:25:39</v>
      </c>
      <c r="K1585">
        <f t="shared" si="378"/>
        <v>26.36666666666645</v>
      </c>
      <c r="L1585">
        <f t="shared" si="375"/>
        <v>16.16</v>
      </c>
      <c r="M1585">
        <f t="shared" si="376"/>
        <v>0</v>
      </c>
      <c r="N1585">
        <f t="shared" si="372"/>
        <v>0.52500000000000002</v>
      </c>
      <c r="Q1585" t="str" cm="1">
        <f t="array" ref="Q1585:R1585">_xlfn.TEXTSPLIT(E1585," ")</f>
        <v>28.10.2023</v>
      </c>
      <c r="R1585" t="str">
        <v>02:25:39</v>
      </c>
      <c r="S1585">
        <f t="shared" si="379"/>
        <v>26.36666666666645</v>
      </c>
      <c r="T1585">
        <f t="shared" si="374"/>
        <v>27.590000000000003</v>
      </c>
      <c r="U1585">
        <f t="shared" si="377"/>
        <v>0.3</v>
      </c>
      <c r="V1585">
        <f t="shared" si="373"/>
        <v>0.96750000000000003</v>
      </c>
    </row>
    <row r="1586" spans="1:22" x14ac:dyDescent="0.25">
      <c r="A1586" t="s">
        <v>3542</v>
      </c>
      <c r="B1586">
        <v>0</v>
      </c>
      <c r="C1586">
        <v>30.48</v>
      </c>
      <c r="E1586" t="s">
        <v>3542</v>
      </c>
      <c r="F1586">
        <v>0.6</v>
      </c>
      <c r="G1586">
        <v>106.2</v>
      </c>
      <c r="I1586" t="str" cm="1">
        <f t="array" ref="I1586:J1586">_xlfn.TEXTSPLIT(A1586," ")</f>
        <v>28.10.2023</v>
      </c>
      <c r="J1586" t="str">
        <v>02:26:39</v>
      </c>
      <c r="K1586">
        <f t="shared" si="378"/>
        <v>26.383333333333116</v>
      </c>
      <c r="L1586">
        <f t="shared" si="375"/>
        <v>16.16</v>
      </c>
      <c r="M1586">
        <f t="shared" si="376"/>
        <v>0</v>
      </c>
      <c r="N1586">
        <f t="shared" si="372"/>
        <v>0.52500000000000002</v>
      </c>
      <c r="Q1586" t="str" cm="1">
        <f t="array" ref="Q1586:R1586">_xlfn.TEXTSPLIT(E1586," ")</f>
        <v>28.10.2023</v>
      </c>
      <c r="R1586" t="str">
        <v>02:26:39</v>
      </c>
      <c r="S1586">
        <f t="shared" si="379"/>
        <v>26.383333333333116</v>
      </c>
      <c r="T1586">
        <f t="shared" si="374"/>
        <v>27.600000000000009</v>
      </c>
      <c r="U1586">
        <f t="shared" si="377"/>
        <v>0.6</v>
      </c>
      <c r="V1586">
        <f t="shared" si="373"/>
        <v>0.96750000000000003</v>
      </c>
    </row>
    <row r="1587" spans="1:22" x14ac:dyDescent="0.25">
      <c r="A1587" t="s">
        <v>3543</v>
      </c>
      <c r="B1587">
        <v>0</v>
      </c>
      <c r="C1587">
        <v>30.48</v>
      </c>
      <c r="E1587" t="s">
        <v>3543</v>
      </c>
      <c r="F1587">
        <v>0.45</v>
      </c>
      <c r="G1587">
        <v>106.21</v>
      </c>
      <c r="I1587" t="str" cm="1">
        <f t="array" ref="I1587:J1587">_xlfn.TEXTSPLIT(A1587," ")</f>
        <v>28.10.2023</v>
      </c>
      <c r="J1587" t="str">
        <v>02:27:39</v>
      </c>
      <c r="K1587">
        <f t="shared" si="378"/>
        <v>26.399999999999782</v>
      </c>
      <c r="L1587">
        <f t="shared" si="375"/>
        <v>16.16</v>
      </c>
      <c r="M1587">
        <f t="shared" si="376"/>
        <v>0</v>
      </c>
      <c r="N1587">
        <f t="shared" si="372"/>
        <v>0.52500000000000002</v>
      </c>
      <c r="Q1587" t="str" cm="1">
        <f t="array" ref="Q1587:R1587">_xlfn.TEXTSPLIT(E1587," ")</f>
        <v>28.10.2023</v>
      </c>
      <c r="R1587" t="str">
        <v>02:27:39</v>
      </c>
      <c r="S1587">
        <f t="shared" si="379"/>
        <v>26.399999999999782</v>
      </c>
      <c r="T1587">
        <f t="shared" si="374"/>
        <v>27.61</v>
      </c>
      <c r="U1587">
        <f t="shared" si="377"/>
        <v>0.45</v>
      </c>
      <c r="V1587">
        <f t="shared" si="373"/>
        <v>0.96500000000000008</v>
      </c>
    </row>
    <row r="1588" spans="1:22" x14ac:dyDescent="0.25">
      <c r="A1588" t="s">
        <v>3544</v>
      </c>
      <c r="B1588">
        <v>0</v>
      </c>
      <c r="C1588">
        <v>30.48</v>
      </c>
      <c r="E1588" t="s">
        <v>3544</v>
      </c>
      <c r="F1588">
        <v>0.75</v>
      </c>
      <c r="G1588">
        <v>106.22</v>
      </c>
      <c r="I1588" t="str" cm="1">
        <f t="array" ref="I1588:J1588">_xlfn.TEXTSPLIT(A1588," ")</f>
        <v>28.10.2023</v>
      </c>
      <c r="J1588" t="str">
        <v>02:28:39</v>
      </c>
      <c r="K1588">
        <f t="shared" si="378"/>
        <v>26.416666666666448</v>
      </c>
      <c r="L1588">
        <f t="shared" si="375"/>
        <v>16.16</v>
      </c>
      <c r="M1588">
        <f t="shared" si="376"/>
        <v>0</v>
      </c>
      <c r="N1588">
        <f t="shared" si="372"/>
        <v>0.52500000000000002</v>
      </c>
      <c r="Q1588" t="str" cm="1">
        <f t="array" ref="Q1588:R1588">_xlfn.TEXTSPLIT(E1588," ")</f>
        <v>28.10.2023</v>
      </c>
      <c r="R1588" t="str">
        <v>02:28:39</v>
      </c>
      <c r="S1588">
        <f t="shared" si="379"/>
        <v>26.416666666666448</v>
      </c>
      <c r="T1588">
        <f t="shared" si="374"/>
        <v>27.620000000000005</v>
      </c>
      <c r="U1588">
        <f t="shared" si="377"/>
        <v>0.75</v>
      </c>
      <c r="V1588">
        <f t="shared" si="373"/>
        <v>0.96250000000000013</v>
      </c>
    </row>
    <row r="1589" spans="1:22" x14ac:dyDescent="0.25">
      <c r="A1589" t="s">
        <v>3545</v>
      </c>
      <c r="B1589">
        <v>0</v>
      </c>
      <c r="C1589">
        <v>30.48</v>
      </c>
      <c r="E1589" t="s">
        <v>3545</v>
      </c>
      <c r="F1589">
        <v>1.2</v>
      </c>
      <c r="G1589">
        <v>106.24</v>
      </c>
      <c r="I1589" t="str" cm="1">
        <f t="array" ref="I1589:J1589">_xlfn.TEXTSPLIT(A1589," ")</f>
        <v>28.10.2023</v>
      </c>
      <c r="J1589" t="str">
        <v>02:29:39</v>
      </c>
      <c r="K1589">
        <f t="shared" si="378"/>
        <v>26.433333333333113</v>
      </c>
      <c r="L1589">
        <f t="shared" si="375"/>
        <v>16.16</v>
      </c>
      <c r="M1589">
        <f t="shared" si="376"/>
        <v>0</v>
      </c>
      <c r="N1589">
        <f t="shared" si="372"/>
        <v>0.52500000000000002</v>
      </c>
      <c r="Q1589" t="str" cm="1">
        <f t="array" ref="Q1589:R1589">_xlfn.TEXTSPLIT(E1589," ")</f>
        <v>28.10.2023</v>
      </c>
      <c r="R1589" t="str">
        <v>02:29:39</v>
      </c>
      <c r="S1589">
        <f t="shared" si="379"/>
        <v>26.433333333333113</v>
      </c>
      <c r="T1589">
        <f t="shared" si="374"/>
        <v>27.64</v>
      </c>
      <c r="U1589">
        <f t="shared" si="377"/>
        <v>1.2</v>
      </c>
      <c r="V1589">
        <f t="shared" si="373"/>
        <v>0.96250000000000013</v>
      </c>
    </row>
    <row r="1590" spans="1:22" x14ac:dyDescent="0.25">
      <c r="A1590" t="s">
        <v>3546</v>
      </c>
      <c r="B1590">
        <v>0</v>
      </c>
      <c r="C1590">
        <v>30.48</v>
      </c>
      <c r="E1590" t="s">
        <v>3546</v>
      </c>
      <c r="F1590">
        <v>0.9</v>
      </c>
      <c r="G1590">
        <v>106.25</v>
      </c>
      <c r="I1590" t="str" cm="1">
        <f t="array" ref="I1590:J1590">_xlfn.TEXTSPLIT(A1590," ")</f>
        <v>28.10.2023</v>
      </c>
      <c r="J1590" t="str">
        <v>02:30:40</v>
      </c>
      <c r="K1590">
        <f t="shared" si="378"/>
        <v>26.449999999999779</v>
      </c>
      <c r="L1590">
        <f t="shared" si="375"/>
        <v>16.16</v>
      </c>
      <c r="M1590">
        <f t="shared" si="376"/>
        <v>0</v>
      </c>
      <c r="N1590">
        <f t="shared" si="372"/>
        <v>0.52500000000000002</v>
      </c>
      <c r="Q1590" t="str" cm="1">
        <f t="array" ref="Q1590:R1590">_xlfn.TEXTSPLIT(E1590," ")</f>
        <v>28.10.2023</v>
      </c>
      <c r="R1590" t="str">
        <v>02:30:40</v>
      </c>
      <c r="S1590">
        <f t="shared" si="379"/>
        <v>26.449999999999779</v>
      </c>
      <c r="T1590">
        <f t="shared" si="374"/>
        <v>27.650000000000006</v>
      </c>
      <c r="U1590">
        <f t="shared" si="377"/>
        <v>0.9</v>
      </c>
      <c r="V1590">
        <f t="shared" si="373"/>
        <v>0.96250000000000013</v>
      </c>
    </row>
    <row r="1591" spans="1:22" x14ac:dyDescent="0.25">
      <c r="A1591" t="s">
        <v>3547</v>
      </c>
      <c r="B1591">
        <v>0.3</v>
      </c>
      <c r="C1591">
        <v>30.49</v>
      </c>
      <c r="E1591" t="s">
        <v>3547</v>
      </c>
      <c r="F1591">
        <v>0.6</v>
      </c>
      <c r="G1591">
        <v>106.26</v>
      </c>
      <c r="I1591" t="str" cm="1">
        <f t="array" ref="I1591:J1591">_xlfn.TEXTSPLIT(A1591," ")</f>
        <v>28.10.2023</v>
      </c>
      <c r="J1591" t="str">
        <v>02:31:40</v>
      </c>
      <c r="K1591">
        <f t="shared" si="378"/>
        <v>26.466666666666445</v>
      </c>
      <c r="L1591">
        <f t="shared" si="375"/>
        <v>16.169999999999998</v>
      </c>
      <c r="M1591">
        <f t="shared" si="376"/>
        <v>0.3</v>
      </c>
      <c r="N1591">
        <f t="shared" si="372"/>
        <v>0.52749999999999997</v>
      </c>
      <c r="Q1591" t="str" cm="1">
        <f t="array" ref="Q1591:R1591">_xlfn.TEXTSPLIT(E1591," ")</f>
        <v>28.10.2023</v>
      </c>
      <c r="R1591" t="str">
        <v>02:31:40</v>
      </c>
      <c r="S1591">
        <f t="shared" si="379"/>
        <v>26.466666666666445</v>
      </c>
      <c r="T1591">
        <f t="shared" si="374"/>
        <v>27.660000000000011</v>
      </c>
      <c r="U1591">
        <f t="shared" si="377"/>
        <v>0.6</v>
      </c>
      <c r="V1591">
        <f t="shared" si="373"/>
        <v>0.96500000000000008</v>
      </c>
    </row>
    <row r="1592" spans="1:22" x14ac:dyDescent="0.25">
      <c r="A1592" t="s">
        <v>3548</v>
      </c>
      <c r="B1592">
        <v>0.45</v>
      </c>
      <c r="C1592">
        <v>30.5</v>
      </c>
      <c r="E1592" t="s">
        <v>3548</v>
      </c>
      <c r="F1592">
        <v>0.75</v>
      </c>
      <c r="G1592">
        <v>106.28</v>
      </c>
      <c r="I1592" t="str" cm="1">
        <f t="array" ref="I1592:J1592">_xlfn.TEXTSPLIT(A1592," ")</f>
        <v>28.10.2023</v>
      </c>
      <c r="J1592" t="str">
        <v>02:32:40</v>
      </c>
      <c r="K1592">
        <f t="shared" si="378"/>
        <v>26.48333333333311</v>
      </c>
      <c r="L1592">
        <f t="shared" si="375"/>
        <v>16.18</v>
      </c>
      <c r="M1592">
        <f t="shared" si="376"/>
        <v>0.45</v>
      </c>
      <c r="N1592">
        <f t="shared" si="372"/>
        <v>0.53249999999999997</v>
      </c>
      <c r="Q1592" t="str" cm="1">
        <f t="array" ref="Q1592:R1592">_xlfn.TEXTSPLIT(E1592," ")</f>
        <v>28.10.2023</v>
      </c>
      <c r="R1592" t="str">
        <v>02:32:40</v>
      </c>
      <c r="S1592">
        <f t="shared" si="379"/>
        <v>26.48333333333311</v>
      </c>
      <c r="T1592">
        <f t="shared" si="374"/>
        <v>27.680000000000007</v>
      </c>
      <c r="U1592">
        <f t="shared" si="377"/>
        <v>0.75</v>
      </c>
      <c r="V1592">
        <f t="shared" si="373"/>
        <v>0.96500000000000008</v>
      </c>
    </row>
    <row r="1593" spans="1:22" x14ac:dyDescent="0.25">
      <c r="A1593" t="s">
        <v>3549</v>
      </c>
      <c r="B1593">
        <v>0.6</v>
      </c>
      <c r="C1593">
        <v>30.5</v>
      </c>
      <c r="E1593" t="s">
        <v>3549</v>
      </c>
      <c r="F1593">
        <v>0.45</v>
      </c>
      <c r="G1593">
        <v>106.29</v>
      </c>
      <c r="I1593" t="str" cm="1">
        <f t="array" ref="I1593:J1593">_xlfn.TEXTSPLIT(A1593," ")</f>
        <v>28.10.2023</v>
      </c>
      <c r="J1593" t="str">
        <v>02:33:40</v>
      </c>
      <c r="K1593">
        <f t="shared" si="378"/>
        <v>26.499999999999776</v>
      </c>
      <c r="L1593">
        <f t="shared" si="375"/>
        <v>16.18</v>
      </c>
      <c r="M1593">
        <f t="shared" si="376"/>
        <v>0.6</v>
      </c>
      <c r="N1593">
        <f t="shared" si="372"/>
        <v>0.53499999999999992</v>
      </c>
      <c r="Q1593" t="str" cm="1">
        <f t="array" ref="Q1593:R1593">_xlfn.TEXTSPLIT(E1593," ")</f>
        <v>28.10.2023</v>
      </c>
      <c r="R1593" t="str">
        <v>02:33:40</v>
      </c>
      <c r="S1593">
        <f t="shared" si="379"/>
        <v>26.499999999999776</v>
      </c>
      <c r="T1593">
        <f t="shared" si="374"/>
        <v>27.690000000000012</v>
      </c>
      <c r="U1593">
        <f t="shared" si="377"/>
        <v>0.45</v>
      </c>
      <c r="V1593">
        <f t="shared" si="373"/>
        <v>0.96250000000000013</v>
      </c>
    </row>
    <row r="1594" spans="1:22" x14ac:dyDescent="0.25">
      <c r="A1594" t="s">
        <v>3550</v>
      </c>
      <c r="B1594">
        <v>0.45</v>
      </c>
      <c r="C1594">
        <v>30.51</v>
      </c>
      <c r="E1594" t="s">
        <v>3550</v>
      </c>
      <c r="F1594">
        <v>0.75</v>
      </c>
      <c r="G1594">
        <v>106.3</v>
      </c>
      <c r="I1594" t="str" cm="1">
        <f t="array" ref="I1594:J1594">_xlfn.TEXTSPLIT(A1594," ")</f>
        <v>28.10.2023</v>
      </c>
      <c r="J1594" t="str">
        <v>02:34:40</v>
      </c>
      <c r="K1594">
        <f t="shared" si="378"/>
        <v>26.516666666666442</v>
      </c>
      <c r="L1594">
        <f t="shared" si="375"/>
        <v>16.190000000000001</v>
      </c>
      <c r="M1594">
        <f t="shared" si="376"/>
        <v>0.45</v>
      </c>
      <c r="N1594">
        <f t="shared" si="372"/>
        <v>0.53999999999999992</v>
      </c>
      <c r="Q1594" t="str" cm="1">
        <f t="array" ref="Q1594:R1594">_xlfn.TEXTSPLIT(E1594," ")</f>
        <v>28.10.2023</v>
      </c>
      <c r="R1594" t="str">
        <v>02:34:40</v>
      </c>
      <c r="S1594">
        <f t="shared" si="379"/>
        <v>26.516666666666442</v>
      </c>
      <c r="T1594">
        <f t="shared" si="374"/>
        <v>27.700000000000003</v>
      </c>
      <c r="U1594">
        <f t="shared" si="377"/>
        <v>0.75</v>
      </c>
      <c r="V1594">
        <f t="shared" si="373"/>
        <v>0.96250000000000013</v>
      </c>
    </row>
    <row r="1595" spans="1:22" x14ac:dyDescent="0.25">
      <c r="A1595" t="s">
        <v>3551</v>
      </c>
      <c r="B1595">
        <v>0.45</v>
      </c>
      <c r="C1595">
        <v>30.52</v>
      </c>
      <c r="E1595" t="s">
        <v>3551</v>
      </c>
      <c r="F1595">
        <v>0.75</v>
      </c>
      <c r="G1595">
        <v>106.33</v>
      </c>
      <c r="I1595" t="str" cm="1">
        <f t="array" ref="I1595:J1595">_xlfn.TEXTSPLIT(A1595," ")</f>
        <v>28.10.2023</v>
      </c>
      <c r="J1595" t="str">
        <v>02:35:40</v>
      </c>
      <c r="K1595">
        <f t="shared" si="378"/>
        <v>26.533333333333108</v>
      </c>
      <c r="L1595">
        <f t="shared" si="375"/>
        <v>16.2</v>
      </c>
      <c r="M1595">
        <f t="shared" si="376"/>
        <v>0.45</v>
      </c>
      <c r="N1595">
        <f t="shared" si="372"/>
        <v>0.54000000000000015</v>
      </c>
      <c r="Q1595" t="str" cm="1">
        <f t="array" ref="Q1595:R1595">_xlfn.TEXTSPLIT(E1595," ")</f>
        <v>28.10.2023</v>
      </c>
      <c r="R1595" t="str">
        <v>02:35:40</v>
      </c>
      <c r="S1595">
        <f t="shared" si="379"/>
        <v>26.533333333333108</v>
      </c>
      <c r="T1595">
        <f t="shared" si="374"/>
        <v>27.730000000000004</v>
      </c>
      <c r="U1595">
        <f t="shared" si="377"/>
        <v>0.75</v>
      </c>
      <c r="V1595">
        <f t="shared" si="373"/>
        <v>0.96500000000000019</v>
      </c>
    </row>
    <row r="1596" spans="1:22" x14ac:dyDescent="0.25">
      <c r="A1596" t="s">
        <v>3552</v>
      </c>
      <c r="B1596">
        <v>0.45</v>
      </c>
      <c r="C1596">
        <v>30.52</v>
      </c>
      <c r="E1596" t="s">
        <v>3552</v>
      </c>
      <c r="F1596">
        <v>2.7</v>
      </c>
      <c r="G1596">
        <v>106.38</v>
      </c>
      <c r="I1596" t="str" cm="1">
        <f t="array" ref="I1596:J1596">_xlfn.TEXTSPLIT(A1596," ")</f>
        <v>28.10.2023</v>
      </c>
      <c r="J1596" t="str">
        <v>02:36:40</v>
      </c>
      <c r="K1596">
        <f t="shared" si="378"/>
        <v>26.549999999999773</v>
      </c>
      <c r="L1596">
        <f t="shared" si="375"/>
        <v>16.2</v>
      </c>
      <c r="M1596">
        <f t="shared" si="376"/>
        <v>0.45</v>
      </c>
      <c r="N1596">
        <f t="shared" si="372"/>
        <v>0.54250000000000009</v>
      </c>
      <c r="Q1596" t="str" cm="1">
        <f t="array" ref="Q1596:R1596">_xlfn.TEXTSPLIT(E1596," ")</f>
        <v>28.10.2023</v>
      </c>
      <c r="R1596" t="str">
        <v>02:36:40</v>
      </c>
      <c r="S1596">
        <f t="shared" si="379"/>
        <v>26.549999999999773</v>
      </c>
      <c r="T1596">
        <f t="shared" si="374"/>
        <v>27.78</v>
      </c>
      <c r="U1596">
        <f t="shared" si="377"/>
        <v>2.7</v>
      </c>
      <c r="V1596">
        <f t="shared" si="373"/>
        <v>0.96750000000000036</v>
      </c>
    </row>
    <row r="1597" spans="1:22" x14ac:dyDescent="0.25">
      <c r="A1597" t="s">
        <v>3553</v>
      </c>
      <c r="B1597">
        <v>1.05</v>
      </c>
      <c r="C1597">
        <v>30.56</v>
      </c>
      <c r="E1597" t="s">
        <v>3553</v>
      </c>
      <c r="F1597">
        <v>2.5499999999999998</v>
      </c>
      <c r="G1597">
        <v>106.41</v>
      </c>
      <c r="I1597" t="str" cm="1">
        <f t="array" ref="I1597:J1597">_xlfn.TEXTSPLIT(A1597," ")</f>
        <v>28.10.2023</v>
      </c>
      <c r="J1597" t="str">
        <v>02:37:41</v>
      </c>
      <c r="K1597">
        <f t="shared" si="378"/>
        <v>26.566666666666439</v>
      </c>
      <c r="L1597">
        <f t="shared" si="375"/>
        <v>16.239999999999998</v>
      </c>
      <c r="M1597">
        <f t="shared" si="376"/>
        <v>1.05</v>
      </c>
      <c r="N1597">
        <f t="shared" si="372"/>
        <v>0.54749999999999988</v>
      </c>
      <c r="Q1597" t="str" cm="1">
        <f t="array" ref="Q1597:R1597">_xlfn.TEXTSPLIT(E1597," ")</f>
        <v>28.10.2023</v>
      </c>
      <c r="R1597" t="str">
        <v>02:37:41</v>
      </c>
      <c r="S1597">
        <f t="shared" si="379"/>
        <v>26.566666666666439</v>
      </c>
      <c r="T1597">
        <f t="shared" si="374"/>
        <v>27.810000000000002</v>
      </c>
      <c r="U1597">
        <f t="shared" si="377"/>
        <v>2.5499999999999998</v>
      </c>
      <c r="V1597">
        <f t="shared" si="373"/>
        <v>0.96750000000000036</v>
      </c>
    </row>
    <row r="1598" spans="1:22" x14ac:dyDescent="0.25">
      <c r="A1598" t="s">
        <v>3554</v>
      </c>
      <c r="B1598">
        <v>2.25</v>
      </c>
      <c r="C1598">
        <v>30.6</v>
      </c>
      <c r="E1598" t="s">
        <v>3554</v>
      </c>
      <c r="F1598">
        <v>1.8</v>
      </c>
      <c r="G1598">
        <v>106.44</v>
      </c>
      <c r="I1598" t="str" cm="1">
        <f t="array" ref="I1598:J1598">_xlfn.TEXTSPLIT(A1598," ")</f>
        <v>28.10.2023</v>
      </c>
      <c r="J1598" t="str">
        <v>02:38:41</v>
      </c>
      <c r="K1598">
        <f t="shared" si="378"/>
        <v>26.583333333333105</v>
      </c>
      <c r="L1598">
        <f t="shared" si="375"/>
        <v>16.28</v>
      </c>
      <c r="M1598">
        <f t="shared" si="376"/>
        <v>2.25</v>
      </c>
      <c r="N1598">
        <f t="shared" si="372"/>
        <v>0.54249999999999998</v>
      </c>
      <c r="Q1598" t="str" cm="1">
        <f t="array" ref="Q1598:R1598">_xlfn.TEXTSPLIT(E1598," ")</f>
        <v>28.10.2023</v>
      </c>
      <c r="R1598" t="str">
        <v>02:38:41</v>
      </c>
      <c r="S1598">
        <f t="shared" si="379"/>
        <v>26.583333333333105</v>
      </c>
      <c r="T1598">
        <f t="shared" si="374"/>
        <v>27.840000000000003</v>
      </c>
      <c r="U1598">
        <f t="shared" si="377"/>
        <v>1.8</v>
      </c>
      <c r="V1598">
        <f t="shared" si="373"/>
        <v>0.9700000000000002</v>
      </c>
    </row>
    <row r="1599" spans="1:22" x14ac:dyDescent="0.25">
      <c r="A1599" t="s">
        <v>3555</v>
      </c>
      <c r="B1599">
        <v>2.5499999999999998</v>
      </c>
      <c r="C1599">
        <v>30.63</v>
      </c>
      <c r="E1599" t="s">
        <v>3555</v>
      </c>
      <c r="F1599">
        <v>1.5</v>
      </c>
      <c r="G1599">
        <v>106.47</v>
      </c>
      <c r="I1599" t="str" cm="1">
        <f t="array" ref="I1599:J1599">_xlfn.TEXTSPLIT(A1599," ")</f>
        <v>28.10.2023</v>
      </c>
      <c r="J1599" t="str">
        <v>02:39:41</v>
      </c>
      <c r="K1599">
        <f t="shared" si="378"/>
        <v>26.59999999999977</v>
      </c>
      <c r="L1599">
        <f t="shared" si="375"/>
        <v>16.309999999999999</v>
      </c>
      <c r="M1599">
        <f t="shared" si="376"/>
        <v>2.5499999999999998</v>
      </c>
      <c r="N1599">
        <f t="shared" ref="N1599:N1662" si="380">AVERAGE(M1540:M1599)</f>
        <v>0.56000000000000005</v>
      </c>
      <c r="Q1599" t="str" cm="1">
        <f t="array" ref="Q1599:R1599">_xlfn.TEXTSPLIT(E1599," ")</f>
        <v>28.10.2023</v>
      </c>
      <c r="R1599" t="str">
        <v>02:39:41</v>
      </c>
      <c r="S1599">
        <f t="shared" si="379"/>
        <v>26.59999999999977</v>
      </c>
      <c r="T1599">
        <f t="shared" si="374"/>
        <v>27.870000000000005</v>
      </c>
      <c r="U1599">
        <f t="shared" si="377"/>
        <v>1.5</v>
      </c>
      <c r="V1599">
        <f t="shared" ref="V1599:V1662" si="381">AVERAGE(U1540:U1599)</f>
        <v>0.97250000000000014</v>
      </c>
    </row>
    <row r="1600" spans="1:22" x14ac:dyDescent="0.25">
      <c r="A1600" t="s">
        <v>3556</v>
      </c>
      <c r="B1600">
        <v>1.05</v>
      </c>
      <c r="C1600">
        <v>30.64</v>
      </c>
      <c r="E1600" t="s">
        <v>3556</v>
      </c>
      <c r="F1600">
        <v>1.8</v>
      </c>
      <c r="G1600">
        <v>106.49</v>
      </c>
      <c r="I1600" t="str" cm="1">
        <f t="array" ref="I1600:J1600">_xlfn.TEXTSPLIT(A1600," ")</f>
        <v>28.10.2023</v>
      </c>
      <c r="J1600" t="str">
        <v>02:40:41</v>
      </c>
      <c r="K1600">
        <f t="shared" si="378"/>
        <v>26.616666666666436</v>
      </c>
      <c r="L1600">
        <f t="shared" si="375"/>
        <v>16.32</v>
      </c>
      <c r="M1600">
        <f t="shared" si="376"/>
        <v>1.05</v>
      </c>
      <c r="N1600">
        <f t="shared" si="380"/>
        <v>0.56000000000000005</v>
      </c>
      <c r="Q1600" t="str" cm="1">
        <f t="array" ref="Q1600:R1600">_xlfn.TEXTSPLIT(E1600," ")</f>
        <v>28.10.2023</v>
      </c>
      <c r="R1600" t="str">
        <v>02:40:41</v>
      </c>
      <c r="S1600">
        <f t="shared" si="379"/>
        <v>26.616666666666436</v>
      </c>
      <c r="T1600">
        <f t="shared" si="374"/>
        <v>27.89</v>
      </c>
      <c r="U1600">
        <f t="shared" si="377"/>
        <v>1.8</v>
      </c>
      <c r="V1600">
        <f t="shared" si="381"/>
        <v>0.97250000000000003</v>
      </c>
    </row>
    <row r="1601" spans="1:22" x14ac:dyDescent="0.25">
      <c r="A1601" t="s">
        <v>3557</v>
      </c>
      <c r="B1601">
        <v>0.9</v>
      </c>
      <c r="C1601">
        <v>30.66</v>
      </c>
      <c r="E1601" t="s">
        <v>3557</v>
      </c>
      <c r="F1601">
        <v>1.2</v>
      </c>
      <c r="G1601">
        <v>106.51</v>
      </c>
      <c r="I1601" t="str" cm="1">
        <f t="array" ref="I1601:J1601">_xlfn.TEXTSPLIT(A1601," ")</f>
        <v>28.10.2023</v>
      </c>
      <c r="J1601" t="str">
        <v>02:41:41</v>
      </c>
      <c r="K1601">
        <f t="shared" si="378"/>
        <v>26.633333333333102</v>
      </c>
      <c r="L1601">
        <f t="shared" si="375"/>
        <v>16.34</v>
      </c>
      <c r="M1601">
        <f t="shared" si="376"/>
        <v>0.9</v>
      </c>
      <c r="N1601">
        <f t="shared" si="380"/>
        <v>0.56000000000000005</v>
      </c>
      <c r="Q1601" t="str" cm="1">
        <f t="array" ref="Q1601:R1601">_xlfn.TEXTSPLIT(E1601," ")</f>
        <v>28.10.2023</v>
      </c>
      <c r="R1601" t="str">
        <v>02:41:41</v>
      </c>
      <c r="S1601">
        <f t="shared" si="379"/>
        <v>26.633333333333102</v>
      </c>
      <c r="T1601">
        <f t="shared" si="374"/>
        <v>27.910000000000011</v>
      </c>
      <c r="U1601">
        <f t="shared" si="377"/>
        <v>1.2</v>
      </c>
      <c r="V1601">
        <f t="shared" si="381"/>
        <v>0.97250000000000003</v>
      </c>
    </row>
    <row r="1602" spans="1:22" x14ac:dyDescent="0.25">
      <c r="A1602" t="s">
        <v>3558</v>
      </c>
      <c r="B1602">
        <v>0.6</v>
      </c>
      <c r="C1602">
        <v>30.66</v>
      </c>
      <c r="E1602" t="s">
        <v>3558</v>
      </c>
      <c r="F1602">
        <v>0.9</v>
      </c>
      <c r="G1602">
        <v>106.52</v>
      </c>
      <c r="I1602" t="str" cm="1">
        <f t="array" ref="I1602:J1602">_xlfn.TEXTSPLIT(A1602," ")</f>
        <v>28.10.2023</v>
      </c>
      <c r="J1602" t="str">
        <v>02:42:41</v>
      </c>
      <c r="K1602">
        <f t="shared" si="378"/>
        <v>26.649999999999768</v>
      </c>
      <c r="L1602">
        <f t="shared" si="375"/>
        <v>16.34</v>
      </c>
      <c r="M1602">
        <f t="shared" si="376"/>
        <v>0.6</v>
      </c>
      <c r="N1602">
        <f t="shared" si="380"/>
        <v>0.55750000000000022</v>
      </c>
      <c r="Q1602" t="str" cm="1">
        <f t="array" ref="Q1602:R1602">_xlfn.TEXTSPLIT(E1602," ")</f>
        <v>28.10.2023</v>
      </c>
      <c r="R1602" t="str">
        <v>02:42:41</v>
      </c>
      <c r="S1602">
        <f t="shared" si="379"/>
        <v>26.649999999999768</v>
      </c>
      <c r="T1602">
        <f t="shared" si="374"/>
        <v>27.92</v>
      </c>
      <c r="U1602">
        <f t="shared" si="377"/>
        <v>0.9</v>
      </c>
      <c r="V1602">
        <f t="shared" si="381"/>
        <v>0.97499999999999987</v>
      </c>
    </row>
    <row r="1603" spans="1:22" x14ac:dyDescent="0.25">
      <c r="A1603" t="s">
        <v>3559</v>
      </c>
      <c r="B1603">
        <v>0.45</v>
      </c>
      <c r="C1603">
        <v>30.67</v>
      </c>
      <c r="E1603" t="s">
        <v>3559</v>
      </c>
      <c r="F1603">
        <v>0.75</v>
      </c>
      <c r="G1603">
        <v>106.53</v>
      </c>
      <c r="I1603" t="str" cm="1">
        <f t="array" ref="I1603:J1603">_xlfn.TEXTSPLIT(A1603," ")</f>
        <v>28.10.2023</v>
      </c>
      <c r="J1603" t="str">
        <v>02:43:41</v>
      </c>
      <c r="K1603">
        <f t="shared" si="378"/>
        <v>26.666666666666433</v>
      </c>
      <c r="L1603">
        <f t="shared" si="375"/>
        <v>16.350000000000001</v>
      </c>
      <c r="M1603">
        <f t="shared" si="376"/>
        <v>0.45</v>
      </c>
      <c r="N1603">
        <f t="shared" si="380"/>
        <v>0.5525000000000001</v>
      </c>
      <c r="Q1603" t="str" cm="1">
        <f t="array" ref="Q1603:R1603">_xlfn.TEXTSPLIT(E1603," ")</f>
        <v>28.10.2023</v>
      </c>
      <c r="R1603" t="str">
        <v>02:43:41</v>
      </c>
      <c r="S1603">
        <f t="shared" si="379"/>
        <v>26.666666666666433</v>
      </c>
      <c r="T1603">
        <f t="shared" ref="T1603:T1666" si="382">G1603-78.6</f>
        <v>27.930000000000007</v>
      </c>
      <c r="U1603">
        <f t="shared" si="377"/>
        <v>0.75</v>
      </c>
      <c r="V1603">
        <f t="shared" si="381"/>
        <v>0.96999999999999986</v>
      </c>
    </row>
    <row r="1604" spans="1:22" x14ac:dyDescent="0.25">
      <c r="A1604" t="s">
        <v>3560</v>
      </c>
      <c r="B1604">
        <v>0.45</v>
      </c>
      <c r="C1604">
        <v>30.68</v>
      </c>
      <c r="E1604" t="s">
        <v>3560</v>
      </c>
      <c r="F1604">
        <v>0.75</v>
      </c>
      <c r="G1604">
        <v>106.55</v>
      </c>
      <c r="I1604" t="str" cm="1">
        <f t="array" ref="I1604:J1604">_xlfn.TEXTSPLIT(A1604," ")</f>
        <v>28.10.2023</v>
      </c>
      <c r="J1604" t="str">
        <v>02:44:42</v>
      </c>
      <c r="K1604">
        <f t="shared" si="378"/>
        <v>26.683333333333099</v>
      </c>
      <c r="L1604">
        <f t="shared" ref="L1604:L1667" si="383">C1604-14.32</f>
        <v>16.36</v>
      </c>
      <c r="M1604">
        <f t="shared" ref="M1604:M1667" si="384">B1604</f>
        <v>0.45</v>
      </c>
      <c r="N1604">
        <f t="shared" si="380"/>
        <v>0.54500000000000015</v>
      </c>
      <c r="Q1604" t="str" cm="1">
        <f t="array" ref="Q1604:R1604">_xlfn.TEXTSPLIT(E1604," ")</f>
        <v>28.10.2023</v>
      </c>
      <c r="R1604" t="str">
        <v>02:44:42</v>
      </c>
      <c r="S1604">
        <f t="shared" si="379"/>
        <v>26.683333333333099</v>
      </c>
      <c r="T1604">
        <f t="shared" si="382"/>
        <v>27.950000000000003</v>
      </c>
      <c r="U1604">
        <f t="shared" ref="U1604:U1667" si="385">F1604</f>
        <v>0.75</v>
      </c>
      <c r="V1604">
        <f t="shared" si="381"/>
        <v>0.9674999999999998</v>
      </c>
    </row>
    <row r="1605" spans="1:22" x14ac:dyDescent="0.25">
      <c r="A1605" t="s">
        <v>3561</v>
      </c>
      <c r="B1605">
        <v>0.3</v>
      </c>
      <c r="C1605">
        <v>30.69</v>
      </c>
      <c r="E1605" t="s">
        <v>3561</v>
      </c>
      <c r="F1605">
        <v>1.05</v>
      </c>
      <c r="G1605">
        <v>106.56</v>
      </c>
      <c r="I1605" t="str" cm="1">
        <f t="array" ref="I1605:J1605">_xlfn.TEXTSPLIT(A1605," ")</f>
        <v>28.10.2023</v>
      </c>
      <c r="J1605" t="str">
        <v>02:45:42</v>
      </c>
      <c r="K1605">
        <f t="shared" ref="K1605:K1668" si="386">1/60+K1604</f>
        <v>26.699999999999765</v>
      </c>
      <c r="L1605">
        <f t="shared" si="383"/>
        <v>16.37</v>
      </c>
      <c r="M1605">
        <f t="shared" si="384"/>
        <v>0.3</v>
      </c>
      <c r="N1605">
        <f t="shared" si="380"/>
        <v>0.53999999999999992</v>
      </c>
      <c r="Q1605" t="str" cm="1">
        <f t="array" ref="Q1605:R1605">_xlfn.TEXTSPLIT(E1605," ")</f>
        <v>28.10.2023</v>
      </c>
      <c r="R1605" t="str">
        <v>02:45:42</v>
      </c>
      <c r="S1605">
        <f t="shared" ref="S1605:S1668" si="387">1/60+S1604</f>
        <v>26.699999999999765</v>
      </c>
      <c r="T1605">
        <f t="shared" si="382"/>
        <v>27.960000000000008</v>
      </c>
      <c r="U1605">
        <f t="shared" si="385"/>
        <v>1.05</v>
      </c>
      <c r="V1605">
        <f t="shared" si="381"/>
        <v>0.97249999999999981</v>
      </c>
    </row>
    <row r="1606" spans="1:22" x14ac:dyDescent="0.25">
      <c r="A1606" t="s">
        <v>3562</v>
      </c>
      <c r="B1606">
        <v>0.45</v>
      </c>
      <c r="C1606">
        <v>30.69</v>
      </c>
      <c r="E1606" t="s">
        <v>3562</v>
      </c>
      <c r="F1606">
        <v>0.75</v>
      </c>
      <c r="G1606">
        <v>106.58</v>
      </c>
      <c r="I1606" t="str" cm="1">
        <f t="array" ref="I1606:J1606">_xlfn.TEXTSPLIT(A1606," ")</f>
        <v>28.10.2023</v>
      </c>
      <c r="J1606" t="str">
        <v>02:46:42</v>
      </c>
      <c r="K1606">
        <f t="shared" si="386"/>
        <v>26.716666666666431</v>
      </c>
      <c r="L1606">
        <f t="shared" si="383"/>
        <v>16.37</v>
      </c>
      <c r="M1606">
        <f t="shared" si="384"/>
        <v>0.45</v>
      </c>
      <c r="N1606">
        <f t="shared" si="380"/>
        <v>0.53999999999999992</v>
      </c>
      <c r="Q1606" t="str" cm="1">
        <f t="array" ref="Q1606:R1606">_xlfn.TEXTSPLIT(E1606," ")</f>
        <v>28.10.2023</v>
      </c>
      <c r="R1606" t="str">
        <v>02:46:42</v>
      </c>
      <c r="S1606">
        <f t="shared" si="387"/>
        <v>26.716666666666431</v>
      </c>
      <c r="T1606">
        <f t="shared" si="382"/>
        <v>27.980000000000004</v>
      </c>
      <c r="U1606">
        <f t="shared" si="385"/>
        <v>0.75</v>
      </c>
      <c r="V1606">
        <f t="shared" si="381"/>
        <v>0.9674999999999998</v>
      </c>
    </row>
    <row r="1607" spans="1:22" x14ac:dyDescent="0.25">
      <c r="A1607" t="s">
        <v>3563</v>
      </c>
      <c r="B1607">
        <v>0.6</v>
      </c>
      <c r="C1607">
        <v>30.7</v>
      </c>
      <c r="E1607" t="s">
        <v>3563</v>
      </c>
      <c r="F1607">
        <v>1.2</v>
      </c>
      <c r="G1607">
        <v>106.6</v>
      </c>
      <c r="I1607" t="str" cm="1">
        <f t="array" ref="I1607:J1607">_xlfn.TEXTSPLIT(A1607," ")</f>
        <v>28.10.2023</v>
      </c>
      <c r="J1607" t="str">
        <v>02:47:42</v>
      </c>
      <c r="K1607">
        <f t="shared" si="386"/>
        <v>26.733333333333096</v>
      </c>
      <c r="L1607">
        <f t="shared" si="383"/>
        <v>16.38</v>
      </c>
      <c r="M1607">
        <f t="shared" si="384"/>
        <v>0.6</v>
      </c>
      <c r="N1607">
        <f t="shared" si="380"/>
        <v>0.54249999999999998</v>
      </c>
      <c r="Q1607" t="str" cm="1">
        <f t="array" ref="Q1607:R1607">_xlfn.TEXTSPLIT(E1607," ")</f>
        <v>28.10.2023</v>
      </c>
      <c r="R1607" t="str">
        <v>02:47:42</v>
      </c>
      <c r="S1607">
        <f t="shared" si="387"/>
        <v>26.733333333333096</v>
      </c>
      <c r="T1607">
        <f t="shared" si="382"/>
        <v>28</v>
      </c>
      <c r="U1607">
        <f t="shared" si="385"/>
        <v>1.2</v>
      </c>
      <c r="V1607">
        <f t="shared" si="381"/>
        <v>0.97249999999999981</v>
      </c>
    </row>
    <row r="1608" spans="1:22" x14ac:dyDescent="0.25">
      <c r="A1608" t="s">
        <v>3564</v>
      </c>
      <c r="B1608">
        <v>0.3</v>
      </c>
      <c r="C1608">
        <v>30.71</v>
      </c>
      <c r="E1608" t="s">
        <v>3564</v>
      </c>
      <c r="F1608">
        <v>0.9</v>
      </c>
      <c r="G1608">
        <v>106.61</v>
      </c>
      <c r="I1608" t="str" cm="1">
        <f t="array" ref="I1608:J1608">_xlfn.TEXTSPLIT(A1608," ")</f>
        <v>28.10.2023</v>
      </c>
      <c r="J1608" t="str">
        <v>02:48:42</v>
      </c>
      <c r="K1608">
        <f t="shared" si="386"/>
        <v>26.749999999999762</v>
      </c>
      <c r="L1608">
        <f t="shared" si="383"/>
        <v>16.39</v>
      </c>
      <c r="M1608">
        <f t="shared" si="384"/>
        <v>0.3</v>
      </c>
      <c r="N1608">
        <f t="shared" si="380"/>
        <v>0.53999999999999992</v>
      </c>
      <c r="Q1608" t="str" cm="1">
        <f t="array" ref="Q1608:R1608">_xlfn.TEXTSPLIT(E1608," ")</f>
        <v>28.10.2023</v>
      </c>
      <c r="R1608" t="str">
        <v>02:48:42</v>
      </c>
      <c r="S1608">
        <f t="shared" si="387"/>
        <v>26.749999999999762</v>
      </c>
      <c r="T1608">
        <f t="shared" si="382"/>
        <v>28.010000000000005</v>
      </c>
      <c r="U1608">
        <f t="shared" si="385"/>
        <v>0.9</v>
      </c>
      <c r="V1608">
        <f t="shared" si="381"/>
        <v>0.9674999999999998</v>
      </c>
    </row>
    <row r="1609" spans="1:22" x14ac:dyDescent="0.25">
      <c r="A1609" t="s">
        <v>3565</v>
      </c>
      <c r="B1609">
        <v>0.75</v>
      </c>
      <c r="C1609">
        <v>30.72</v>
      </c>
      <c r="E1609" t="s">
        <v>3565</v>
      </c>
      <c r="F1609">
        <v>0.9</v>
      </c>
      <c r="G1609">
        <v>106.62</v>
      </c>
      <c r="I1609" t="str" cm="1">
        <f t="array" ref="I1609:J1609">_xlfn.TEXTSPLIT(A1609," ")</f>
        <v>28.10.2023</v>
      </c>
      <c r="J1609" t="str">
        <v>02:49:42</v>
      </c>
      <c r="K1609">
        <f t="shared" si="386"/>
        <v>26.766666666666428</v>
      </c>
      <c r="L1609">
        <f t="shared" si="383"/>
        <v>16.399999999999999</v>
      </c>
      <c r="M1609">
        <f t="shared" si="384"/>
        <v>0.75</v>
      </c>
      <c r="N1609">
        <f t="shared" si="380"/>
        <v>0.54749999999999999</v>
      </c>
      <c r="Q1609" t="str" cm="1">
        <f t="array" ref="Q1609:R1609">_xlfn.TEXTSPLIT(E1609," ")</f>
        <v>28.10.2023</v>
      </c>
      <c r="R1609" t="str">
        <v>02:49:42</v>
      </c>
      <c r="S1609">
        <f t="shared" si="387"/>
        <v>26.766666666666428</v>
      </c>
      <c r="T1609">
        <f t="shared" si="382"/>
        <v>28.02000000000001</v>
      </c>
      <c r="U1609">
        <f t="shared" si="385"/>
        <v>0.9</v>
      </c>
      <c r="V1609">
        <f t="shared" si="381"/>
        <v>0.96749999999999992</v>
      </c>
    </row>
    <row r="1610" spans="1:22" x14ac:dyDescent="0.25">
      <c r="A1610" t="s">
        <v>3566</v>
      </c>
      <c r="B1610">
        <v>0.45</v>
      </c>
      <c r="C1610">
        <v>30.72</v>
      </c>
      <c r="E1610" t="s">
        <v>3566</v>
      </c>
      <c r="F1610">
        <v>0.75</v>
      </c>
      <c r="G1610">
        <v>106.63</v>
      </c>
      <c r="I1610" t="str" cm="1">
        <f t="array" ref="I1610:J1610">_xlfn.TEXTSPLIT(A1610," ")</f>
        <v>28.10.2023</v>
      </c>
      <c r="J1610" t="str">
        <v>02:50:42</v>
      </c>
      <c r="K1610">
        <f t="shared" si="386"/>
        <v>26.783333333333093</v>
      </c>
      <c r="L1610">
        <f t="shared" si="383"/>
        <v>16.399999999999999</v>
      </c>
      <c r="M1610">
        <f t="shared" si="384"/>
        <v>0.45</v>
      </c>
      <c r="N1610">
        <f t="shared" si="380"/>
        <v>0.55000000000000004</v>
      </c>
      <c r="Q1610" t="str" cm="1">
        <f t="array" ref="Q1610:R1610">_xlfn.TEXTSPLIT(E1610," ")</f>
        <v>28.10.2023</v>
      </c>
      <c r="R1610" t="str">
        <v>02:50:42</v>
      </c>
      <c r="S1610">
        <f t="shared" si="387"/>
        <v>26.783333333333093</v>
      </c>
      <c r="T1610">
        <f t="shared" si="382"/>
        <v>28.03</v>
      </c>
      <c r="U1610">
        <f t="shared" si="385"/>
        <v>0.75</v>
      </c>
      <c r="V1610">
        <f t="shared" si="381"/>
        <v>0.97249999999999992</v>
      </c>
    </row>
    <row r="1611" spans="1:22" x14ac:dyDescent="0.25">
      <c r="A1611" t="s">
        <v>3567</v>
      </c>
      <c r="B1611">
        <v>0</v>
      </c>
      <c r="C1611">
        <v>30.73</v>
      </c>
      <c r="E1611" t="s">
        <v>3567</v>
      </c>
      <c r="F1611">
        <v>0</v>
      </c>
      <c r="G1611">
        <v>106.63</v>
      </c>
      <c r="I1611" t="str" cm="1">
        <f t="array" ref="I1611:J1611">_xlfn.TEXTSPLIT(A1611," ")</f>
        <v>28.10.2023</v>
      </c>
      <c r="J1611" t="str">
        <v>02:51:43</v>
      </c>
      <c r="K1611">
        <f t="shared" si="386"/>
        <v>26.799999999999759</v>
      </c>
      <c r="L1611">
        <f t="shared" si="383"/>
        <v>16.41</v>
      </c>
      <c r="M1611">
        <f t="shared" si="384"/>
        <v>0</v>
      </c>
      <c r="N1611">
        <f t="shared" si="380"/>
        <v>0.54249999999999998</v>
      </c>
      <c r="Q1611" t="str" cm="1">
        <f t="array" ref="Q1611:R1611">_xlfn.TEXTSPLIT(E1611," ")</f>
        <v>28.10.2023</v>
      </c>
      <c r="R1611" t="str">
        <v>02:51:43</v>
      </c>
      <c r="S1611">
        <f t="shared" si="387"/>
        <v>26.799999999999759</v>
      </c>
      <c r="T1611">
        <f t="shared" si="382"/>
        <v>28.03</v>
      </c>
      <c r="U1611">
        <f t="shared" si="385"/>
        <v>0</v>
      </c>
      <c r="V1611">
        <f t="shared" si="381"/>
        <v>0.97</v>
      </c>
    </row>
    <row r="1612" spans="1:22" x14ac:dyDescent="0.25">
      <c r="A1612" t="s">
        <v>3568</v>
      </c>
      <c r="B1612">
        <v>0.3</v>
      </c>
      <c r="C1612">
        <v>30.73</v>
      </c>
      <c r="E1612" t="s">
        <v>3568</v>
      </c>
      <c r="F1612">
        <v>0</v>
      </c>
      <c r="G1612">
        <v>106.63</v>
      </c>
      <c r="I1612" t="str" cm="1">
        <f t="array" ref="I1612:J1612">_xlfn.TEXTSPLIT(A1612," ")</f>
        <v>28.10.2023</v>
      </c>
      <c r="J1612" t="str">
        <v>02:52:43</v>
      </c>
      <c r="K1612">
        <f t="shared" si="386"/>
        <v>26.816666666666425</v>
      </c>
      <c r="L1612">
        <f t="shared" si="383"/>
        <v>16.41</v>
      </c>
      <c r="M1612">
        <f t="shared" si="384"/>
        <v>0.3</v>
      </c>
      <c r="N1612">
        <f t="shared" si="380"/>
        <v>0.54499999999999993</v>
      </c>
      <c r="Q1612" t="str" cm="1">
        <f t="array" ref="Q1612:R1612">_xlfn.TEXTSPLIT(E1612," ")</f>
        <v>28.10.2023</v>
      </c>
      <c r="R1612" t="str">
        <v>02:52:43</v>
      </c>
      <c r="S1612">
        <f t="shared" si="387"/>
        <v>26.816666666666425</v>
      </c>
      <c r="T1612">
        <f t="shared" si="382"/>
        <v>28.03</v>
      </c>
      <c r="U1612">
        <f t="shared" si="385"/>
        <v>0</v>
      </c>
      <c r="V1612">
        <f t="shared" si="381"/>
        <v>0.97</v>
      </c>
    </row>
    <row r="1613" spans="1:22" x14ac:dyDescent="0.25">
      <c r="A1613" t="s">
        <v>3569</v>
      </c>
      <c r="B1613">
        <v>0</v>
      </c>
      <c r="C1613">
        <v>30.73</v>
      </c>
      <c r="E1613" t="s">
        <v>3569</v>
      </c>
      <c r="F1613">
        <v>0.3</v>
      </c>
      <c r="G1613">
        <v>106.63</v>
      </c>
      <c r="I1613" t="str" cm="1">
        <f t="array" ref="I1613:J1613">_xlfn.TEXTSPLIT(A1613," ")</f>
        <v>28.10.2023</v>
      </c>
      <c r="J1613" t="str">
        <v>02:53:43</v>
      </c>
      <c r="K1613">
        <f t="shared" si="386"/>
        <v>26.833333333333091</v>
      </c>
      <c r="L1613">
        <f t="shared" si="383"/>
        <v>16.41</v>
      </c>
      <c r="M1613">
        <f t="shared" si="384"/>
        <v>0</v>
      </c>
      <c r="N1613">
        <f t="shared" si="380"/>
        <v>0.54499999999999993</v>
      </c>
      <c r="Q1613" t="str" cm="1">
        <f t="array" ref="Q1613:R1613">_xlfn.TEXTSPLIT(E1613," ")</f>
        <v>28.10.2023</v>
      </c>
      <c r="R1613" t="str">
        <v>02:53:43</v>
      </c>
      <c r="S1613">
        <f t="shared" si="387"/>
        <v>26.833333333333091</v>
      </c>
      <c r="T1613">
        <f t="shared" si="382"/>
        <v>28.03</v>
      </c>
      <c r="U1613">
        <f t="shared" si="385"/>
        <v>0.3</v>
      </c>
      <c r="V1613">
        <f t="shared" si="381"/>
        <v>0.97</v>
      </c>
    </row>
    <row r="1614" spans="1:22" x14ac:dyDescent="0.25">
      <c r="A1614" t="s">
        <v>3570</v>
      </c>
      <c r="B1614">
        <v>0</v>
      </c>
      <c r="C1614">
        <v>30.73</v>
      </c>
      <c r="E1614" t="s">
        <v>3570</v>
      </c>
      <c r="F1614">
        <v>0.3</v>
      </c>
      <c r="G1614">
        <v>106.64</v>
      </c>
      <c r="I1614" t="str" cm="1">
        <f t="array" ref="I1614:J1614">_xlfn.TEXTSPLIT(A1614," ")</f>
        <v>28.10.2023</v>
      </c>
      <c r="J1614" t="str">
        <v>02:54:43</v>
      </c>
      <c r="K1614">
        <f t="shared" si="386"/>
        <v>26.849999999999756</v>
      </c>
      <c r="L1614">
        <f t="shared" si="383"/>
        <v>16.41</v>
      </c>
      <c r="M1614">
        <f t="shared" si="384"/>
        <v>0</v>
      </c>
      <c r="N1614">
        <f t="shared" si="380"/>
        <v>0.54499999999999993</v>
      </c>
      <c r="Q1614" t="str" cm="1">
        <f t="array" ref="Q1614:R1614">_xlfn.TEXTSPLIT(E1614," ")</f>
        <v>28.10.2023</v>
      </c>
      <c r="R1614" t="str">
        <v>02:54:43</v>
      </c>
      <c r="S1614">
        <f t="shared" si="387"/>
        <v>26.849999999999756</v>
      </c>
      <c r="T1614">
        <f t="shared" si="382"/>
        <v>28.040000000000006</v>
      </c>
      <c r="U1614">
        <f t="shared" si="385"/>
        <v>0.3</v>
      </c>
      <c r="V1614">
        <f t="shared" si="381"/>
        <v>0.96999999999999986</v>
      </c>
    </row>
    <row r="1615" spans="1:22" x14ac:dyDescent="0.25">
      <c r="A1615" t="s">
        <v>3571</v>
      </c>
      <c r="B1615">
        <v>0</v>
      </c>
      <c r="C1615">
        <v>30.73</v>
      </c>
      <c r="E1615" t="s">
        <v>3571</v>
      </c>
      <c r="F1615">
        <v>0.3</v>
      </c>
      <c r="G1615">
        <v>106.65</v>
      </c>
      <c r="I1615" t="str" cm="1">
        <f t="array" ref="I1615:J1615">_xlfn.TEXTSPLIT(A1615," ")</f>
        <v>28.10.2023</v>
      </c>
      <c r="J1615" t="str">
        <v>02:55:43</v>
      </c>
      <c r="K1615">
        <f t="shared" si="386"/>
        <v>26.866666666666422</v>
      </c>
      <c r="L1615">
        <f t="shared" si="383"/>
        <v>16.41</v>
      </c>
      <c r="M1615">
        <f t="shared" si="384"/>
        <v>0</v>
      </c>
      <c r="N1615">
        <f t="shared" si="380"/>
        <v>0.54499999999999993</v>
      </c>
      <c r="Q1615" t="str" cm="1">
        <f t="array" ref="Q1615:R1615">_xlfn.TEXTSPLIT(E1615," ")</f>
        <v>28.10.2023</v>
      </c>
      <c r="R1615" t="str">
        <v>02:55:43</v>
      </c>
      <c r="S1615">
        <f t="shared" si="387"/>
        <v>26.866666666666422</v>
      </c>
      <c r="T1615">
        <f t="shared" si="382"/>
        <v>28.050000000000011</v>
      </c>
      <c r="U1615">
        <f t="shared" si="385"/>
        <v>0.3</v>
      </c>
      <c r="V1615">
        <f t="shared" si="381"/>
        <v>0.96999999999999964</v>
      </c>
    </row>
    <row r="1616" spans="1:22" x14ac:dyDescent="0.25">
      <c r="A1616" t="s">
        <v>3572</v>
      </c>
      <c r="B1616">
        <v>0</v>
      </c>
      <c r="C1616">
        <v>30.73</v>
      </c>
      <c r="E1616" t="s">
        <v>3572</v>
      </c>
      <c r="F1616">
        <v>0.45</v>
      </c>
      <c r="G1616">
        <v>106.65</v>
      </c>
      <c r="I1616" t="str" cm="1">
        <f t="array" ref="I1616:J1616">_xlfn.TEXTSPLIT(A1616," ")</f>
        <v>28.10.2023</v>
      </c>
      <c r="J1616" t="str">
        <v>02:56:43</v>
      </c>
      <c r="K1616">
        <f t="shared" si="386"/>
        <v>26.883333333333088</v>
      </c>
      <c r="L1616">
        <f t="shared" si="383"/>
        <v>16.41</v>
      </c>
      <c r="M1616">
        <f t="shared" si="384"/>
        <v>0</v>
      </c>
      <c r="N1616">
        <f t="shared" si="380"/>
        <v>0.54499999999999993</v>
      </c>
      <c r="Q1616" t="str" cm="1">
        <f t="array" ref="Q1616:R1616">_xlfn.TEXTSPLIT(E1616," ")</f>
        <v>28.10.2023</v>
      </c>
      <c r="R1616" t="str">
        <v>02:56:43</v>
      </c>
      <c r="S1616">
        <f t="shared" si="387"/>
        <v>26.883333333333088</v>
      </c>
      <c r="T1616">
        <f t="shared" si="382"/>
        <v>28.050000000000011</v>
      </c>
      <c r="U1616">
        <f t="shared" si="385"/>
        <v>0.45</v>
      </c>
      <c r="V1616">
        <f t="shared" si="381"/>
        <v>0.96999999999999986</v>
      </c>
    </row>
    <row r="1617" spans="1:22" x14ac:dyDescent="0.25">
      <c r="A1617" t="s">
        <v>3573</v>
      </c>
      <c r="B1617">
        <v>0</v>
      </c>
      <c r="C1617">
        <v>30.73</v>
      </c>
      <c r="E1617" t="s">
        <v>3573</v>
      </c>
      <c r="F1617">
        <v>0.45</v>
      </c>
      <c r="G1617">
        <v>106.66</v>
      </c>
      <c r="I1617" t="str" cm="1">
        <f t="array" ref="I1617:J1617">_xlfn.TEXTSPLIT(A1617," ")</f>
        <v>28.10.2023</v>
      </c>
      <c r="J1617" t="str">
        <v>02:57:44</v>
      </c>
      <c r="K1617">
        <f t="shared" si="386"/>
        <v>26.899999999999753</v>
      </c>
      <c r="L1617">
        <f t="shared" si="383"/>
        <v>16.41</v>
      </c>
      <c r="M1617">
        <f t="shared" si="384"/>
        <v>0</v>
      </c>
      <c r="N1617">
        <f t="shared" si="380"/>
        <v>0.54499999999999993</v>
      </c>
      <c r="Q1617" t="str" cm="1">
        <f t="array" ref="Q1617:R1617">_xlfn.TEXTSPLIT(E1617," ")</f>
        <v>28.10.2023</v>
      </c>
      <c r="R1617" t="str">
        <v>02:57:44</v>
      </c>
      <c r="S1617">
        <f t="shared" si="387"/>
        <v>26.899999999999753</v>
      </c>
      <c r="T1617">
        <f t="shared" si="382"/>
        <v>28.060000000000002</v>
      </c>
      <c r="U1617">
        <f t="shared" si="385"/>
        <v>0.45</v>
      </c>
      <c r="V1617">
        <f t="shared" si="381"/>
        <v>0.97</v>
      </c>
    </row>
    <row r="1618" spans="1:22" x14ac:dyDescent="0.25">
      <c r="A1618" t="s">
        <v>3574</v>
      </c>
      <c r="B1618">
        <v>0</v>
      </c>
      <c r="C1618">
        <v>30.73</v>
      </c>
      <c r="E1618" t="s">
        <v>3574</v>
      </c>
      <c r="F1618">
        <v>0.6</v>
      </c>
      <c r="G1618">
        <v>106.67</v>
      </c>
      <c r="I1618" t="str" cm="1">
        <f t="array" ref="I1618:J1618">_xlfn.TEXTSPLIT(A1618," ")</f>
        <v>28.10.2023</v>
      </c>
      <c r="J1618" t="str">
        <v>02:58:44</v>
      </c>
      <c r="K1618">
        <f t="shared" si="386"/>
        <v>26.916666666666419</v>
      </c>
      <c r="L1618">
        <f t="shared" si="383"/>
        <v>16.41</v>
      </c>
      <c r="M1618">
        <f t="shared" si="384"/>
        <v>0</v>
      </c>
      <c r="N1618">
        <f t="shared" si="380"/>
        <v>0.54499999999999993</v>
      </c>
      <c r="Q1618" t="str" cm="1">
        <f t="array" ref="Q1618:R1618">_xlfn.TEXTSPLIT(E1618," ")</f>
        <v>28.10.2023</v>
      </c>
      <c r="R1618" t="str">
        <v>02:58:44</v>
      </c>
      <c r="S1618">
        <f t="shared" si="387"/>
        <v>26.916666666666419</v>
      </c>
      <c r="T1618">
        <f t="shared" si="382"/>
        <v>28.070000000000007</v>
      </c>
      <c r="U1618">
        <f t="shared" si="385"/>
        <v>0.6</v>
      </c>
      <c r="V1618">
        <f t="shared" si="381"/>
        <v>0.97249999999999992</v>
      </c>
    </row>
    <row r="1619" spans="1:22" x14ac:dyDescent="0.25">
      <c r="A1619" t="s">
        <v>3575</v>
      </c>
      <c r="B1619">
        <v>0</v>
      </c>
      <c r="C1619">
        <v>30.73</v>
      </c>
      <c r="E1619" t="s">
        <v>3575</v>
      </c>
      <c r="F1619">
        <v>0.6</v>
      </c>
      <c r="G1619">
        <v>106.69</v>
      </c>
      <c r="I1619" t="str" cm="1">
        <f t="array" ref="I1619:J1619">_xlfn.TEXTSPLIT(A1619," ")</f>
        <v>28.10.2023</v>
      </c>
      <c r="J1619" t="str">
        <v>02:59:44</v>
      </c>
      <c r="K1619">
        <f t="shared" si="386"/>
        <v>26.933333333333085</v>
      </c>
      <c r="L1619">
        <f t="shared" si="383"/>
        <v>16.41</v>
      </c>
      <c r="M1619">
        <f t="shared" si="384"/>
        <v>0</v>
      </c>
      <c r="N1619">
        <f t="shared" si="380"/>
        <v>0.54499999999999993</v>
      </c>
      <c r="Q1619" t="str" cm="1">
        <f t="array" ref="Q1619:R1619">_xlfn.TEXTSPLIT(E1619," ")</f>
        <v>28.10.2023</v>
      </c>
      <c r="R1619" t="str">
        <v>02:59:44</v>
      </c>
      <c r="S1619">
        <f t="shared" si="387"/>
        <v>26.933333333333085</v>
      </c>
      <c r="T1619">
        <f t="shared" si="382"/>
        <v>28.090000000000003</v>
      </c>
      <c r="U1619">
        <f t="shared" si="385"/>
        <v>0.6</v>
      </c>
      <c r="V1619">
        <f t="shared" si="381"/>
        <v>0.97</v>
      </c>
    </row>
    <row r="1620" spans="1:22" x14ac:dyDescent="0.25">
      <c r="A1620" t="s">
        <v>3576</v>
      </c>
      <c r="B1620">
        <v>0.3</v>
      </c>
      <c r="C1620">
        <v>30.74</v>
      </c>
      <c r="E1620" t="s">
        <v>3576</v>
      </c>
      <c r="F1620">
        <v>0.75</v>
      </c>
      <c r="G1620">
        <v>106.7</v>
      </c>
      <c r="I1620" t="str" cm="1">
        <f t="array" ref="I1620:J1620">_xlfn.TEXTSPLIT(A1620," ")</f>
        <v>28.10.2023</v>
      </c>
      <c r="J1620" t="str">
        <v>03:00:44</v>
      </c>
      <c r="K1620">
        <f t="shared" si="386"/>
        <v>26.949999999999751</v>
      </c>
      <c r="L1620">
        <f t="shared" si="383"/>
        <v>16.419999999999998</v>
      </c>
      <c r="M1620">
        <f t="shared" si="384"/>
        <v>0.3</v>
      </c>
      <c r="N1620">
        <f t="shared" si="380"/>
        <v>0.54999999999999993</v>
      </c>
      <c r="Q1620" t="str" cm="1">
        <f t="array" ref="Q1620:R1620">_xlfn.TEXTSPLIT(E1620," ")</f>
        <v>28.10.2023</v>
      </c>
      <c r="R1620" t="str">
        <v>03:00:44</v>
      </c>
      <c r="S1620">
        <f t="shared" si="387"/>
        <v>26.949999999999751</v>
      </c>
      <c r="T1620">
        <f t="shared" si="382"/>
        <v>28.100000000000009</v>
      </c>
      <c r="U1620">
        <f t="shared" si="385"/>
        <v>0.75</v>
      </c>
      <c r="V1620">
        <f t="shared" si="381"/>
        <v>0.96499999999999997</v>
      </c>
    </row>
    <row r="1621" spans="1:22" x14ac:dyDescent="0.25">
      <c r="A1621" t="s">
        <v>3577</v>
      </c>
      <c r="B1621">
        <v>0.6</v>
      </c>
      <c r="C1621">
        <v>30.75</v>
      </c>
      <c r="E1621" t="s">
        <v>3577</v>
      </c>
      <c r="F1621">
        <v>1.2</v>
      </c>
      <c r="G1621">
        <v>106.72</v>
      </c>
      <c r="I1621" t="str" cm="1">
        <f t="array" ref="I1621:J1621">_xlfn.TEXTSPLIT(A1621," ")</f>
        <v>28.10.2023</v>
      </c>
      <c r="J1621" t="str">
        <v>03:01:44</v>
      </c>
      <c r="K1621">
        <f t="shared" si="386"/>
        <v>26.966666666666416</v>
      </c>
      <c r="L1621">
        <f t="shared" si="383"/>
        <v>16.43</v>
      </c>
      <c r="M1621">
        <f t="shared" si="384"/>
        <v>0.6</v>
      </c>
      <c r="N1621">
        <f t="shared" si="380"/>
        <v>0.55999999999999994</v>
      </c>
      <c r="Q1621" t="str" cm="1">
        <f t="array" ref="Q1621:R1621">_xlfn.TEXTSPLIT(E1621," ")</f>
        <v>28.10.2023</v>
      </c>
      <c r="R1621" t="str">
        <v>03:01:44</v>
      </c>
      <c r="S1621">
        <f t="shared" si="387"/>
        <v>26.966666666666416</v>
      </c>
      <c r="T1621">
        <f t="shared" si="382"/>
        <v>28.120000000000005</v>
      </c>
      <c r="U1621">
        <f t="shared" si="385"/>
        <v>1.2</v>
      </c>
      <c r="V1621">
        <f t="shared" si="381"/>
        <v>0.96499999999999986</v>
      </c>
    </row>
    <row r="1622" spans="1:22" x14ac:dyDescent="0.25">
      <c r="A1622" t="s">
        <v>3578</v>
      </c>
      <c r="B1622">
        <v>0.3</v>
      </c>
      <c r="C1622">
        <v>30.76</v>
      </c>
      <c r="E1622" t="s">
        <v>3578</v>
      </c>
      <c r="F1622">
        <v>1.2</v>
      </c>
      <c r="G1622">
        <v>106.74</v>
      </c>
      <c r="I1622" t="str" cm="1">
        <f t="array" ref="I1622:J1622">_xlfn.TEXTSPLIT(A1622," ")</f>
        <v>28.10.2023</v>
      </c>
      <c r="J1622" t="str">
        <v>03:02:44</v>
      </c>
      <c r="K1622">
        <f t="shared" si="386"/>
        <v>26.983333333333082</v>
      </c>
      <c r="L1622">
        <f t="shared" si="383"/>
        <v>16.440000000000001</v>
      </c>
      <c r="M1622">
        <f t="shared" si="384"/>
        <v>0.3</v>
      </c>
      <c r="N1622">
        <f t="shared" si="380"/>
        <v>0.56249999999999989</v>
      </c>
      <c r="Q1622" t="str" cm="1">
        <f t="array" ref="Q1622:R1622">_xlfn.TEXTSPLIT(E1622," ")</f>
        <v>28.10.2023</v>
      </c>
      <c r="R1622" t="str">
        <v>03:02:44</v>
      </c>
      <c r="S1622">
        <f t="shared" si="387"/>
        <v>26.983333333333082</v>
      </c>
      <c r="T1622">
        <f t="shared" si="382"/>
        <v>28.14</v>
      </c>
      <c r="U1622">
        <f t="shared" si="385"/>
        <v>1.2</v>
      </c>
      <c r="V1622">
        <f t="shared" si="381"/>
        <v>0.9674999999999998</v>
      </c>
    </row>
    <row r="1623" spans="1:22" x14ac:dyDescent="0.25">
      <c r="A1623" t="s">
        <v>3579</v>
      </c>
      <c r="B1623">
        <v>0.45</v>
      </c>
      <c r="C1623">
        <v>30.76</v>
      </c>
      <c r="E1623" t="s">
        <v>3579</v>
      </c>
      <c r="F1623">
        <v>0.9</v>
      </c>
      <c r="G1623">
        <v>106.75</v>
      </c>
      <c r="I1623" t="str" cm="1">
        <f t="array" ref="I1623:J1623">_xlfn.TEXTSPLIT(A1623," ")</f>
        <v>28.10.2023</v>
      </c>
      <c r="J1623" t="str">
        <v>03:03:44</v>
      </c>
      <c r="K1623">
        <f t="shared" si="386"/>
        <v>26.999999999999748</v>
      </c>
      <c r="L1623">
        <f t="shared" si="383"/>
        <v>16.440000000000001</v>
      </c>
      <c r="M1623">
        <f t="shared" si="384"/>
        <v>0.45</v>
      </c>
      <c r="N1623">
        <f t="shared" si="380"/>
        <v>0.56499999999999995</v>
      </c>
      <c r="Q1623" t="str" cm="1">
        <f t="array" ref="Q1623:R1623">_xlfn.TEXTSPLIT(E1623," ")</f>
        <v>28.10.2023</v>
      </c>
      <c r="R1623" t="str">
        <v>03:03:44</v>
      </c>
      <c r="S1623">
        <f t="shared" si="387"/>
        <v>26.999999999999748</v>
      </c>
      <c r="T1623">
        <f t="shared" si="382"/>
        <v>28.150000000000006</v>
      </c>
      <c r="U1623">
        <f t="shared" si="385"/>
        <v>0.9</v>
      </c>
      <c r="V1623">
        <f t="shared" si="381"/>
        <v>0.97499999999999987</v>
      </c>
    </row>
    <row r="1624" spans="1:22" x14ac:dyDescent="0.25">
      <c r="A1624" t="s">
        <v>3580</v>
      </c>
      <c r="B1624">
        <v>0.6</v>
      </c>
      <c r="C1624">
        <v>30.77</v>
      </c>
      <c r="E1624" t="s">
        <v>3580</v>
      </c>
      <c r="F1624">
        <v>0.6</v>
      </c>
      <c r="G1624">
        <v>106.76</v>
      </c>
      <c r="I1624" t="str" cm="1">
        <f t="array" ref="I1624:J1624">_xlfn.TEXTSPLIT(A1624," ")</f>
        <v>28.10.2023</v>
      </c>
      <c r="J1624" t="str">
        <v>03:04:45</v>
      </c>
      <c r="K1624">
        <f t="shared" si="386"/>
        <v>27.016666666666413</v>
      </c>
      <c r="L1624">
        <f t="shared" si="383"/>
        <v>16.45</v>
      </c>
      <c r="M1624">
        <f t="shared" si="384"/>
        <v>0.6</v>
      </c>
      <c r="N1624">
        <f t="shared" si="380"/>
        <v>0.57000000000000006</v>
      </c>
      <c r="Q1624" t="str" cm="1">
        <f t="array" ref="Q1624:R1624">_xlfn.TEXTSPLIT(E1624," ")</f>
        <v>28.10.2023</v>
      </c>
      <c r="R1624" t="str">
        <v>03:04:45</v>
      </c>
      <c r="S1624">
        <f t="shared" si="387"/>
        <v>27.016666666666413</v>
      </c>
      <c r="T1624">
        <f t="shared" si="382"/>
        <v>28.160000000000011</v>
      </c>
      <c r="U1624">
        <f t="shared" si="385"/>
        <v>0.6</v>
      </c>
      <c r="V1624">
        <f t="shared" si="381"/>
        <v>0.97249999999999992</v>
      </c>
    </row>
    <row r="1625" spans="1:22" x14ac:dyDescent="0.25">
      <c r="A1625" t="s">
        <v>3581</v>
      </c>
      <c r="B1625">
        <v>0.3</v>
      </c>
      <c r="C1625">
        <v>30.78</v>
      </c>
      <c r="E1625" t="s">
        <v>3581</v>
      </c>
      <c r="F1625">
        <v>0.75</v>
      </c>
      <c r="G1625">
        <v>106.78</v>
      </c>
      <c r="I1625" t="str" cm="1">
        <f t="array" ref="I1625:J1625">_xlfn.TEXTSPLIT(A1625," ")</f>
        <v>28.10.2023</v>
      </c>
      <c r="J1625" t="str">
        <v>03:05:45</v>
      </c>
      <c r="K1625">
        <f t="shared" si="386"/>
        <v>27.033333333333079</v>
      </c>
      <c r="L1625">
        <f t="shared" si="383"/>
        <v>16.46</v>
      </c>
      <c r="M1625">
        <f t="shared" si="384"/>
        <v>0.3</v>
      </c>
      <c r="N1625">
        <f t="shared" si="380"/>
        <v>0.5724999999999999</v>
      </c>
      <c r="Q1625" t="str" cm="1">
        <f t="array" ref="Q1625:R1625">_xlfn.TEXTSPLIT(E1625," ")</f>
        <v>28.10.2023</v>
      </c>
      <c r="R1625" t="str">
        <v>03:05:45</v>
      </c>
      <c r="S1625">
        <f t="shared" si="387"/>
        <v>27.033333333333079</v>
      </c>
      <c r="T1625">
        <f t="shared" si="382"/>
        <v>28.180000000000007</v>
      </c>
      <c r="U1625">
        <f t="shared" si="385"/>
        <v>0.75</v>
      </c>
      <c r="V1625">
        <f t="shared" si="381"/>
        <v>0.97499999999999987</v>
      </c>
    </row>
    <row r="1626" spans="1:22" x14ac:dyDescent="0.25">
      <c r="A1626" t="s">
        <v>3582</v>
      </c>
      <c r="B1626">
        <v>0.45</v>
      </c>
      <c r="C1626">
        <v>30.79</v>
      </c>
      <c r="E1626" t="s">
        <v>3582</v>
      </c>
      <c r="F1626">
        <v>1.65</v>
      </c>
      <c r="G1626">
        <v>106.84</v>
      </c>
      <c r="I1626" t="str" cm="1">
        <f t="array" ref="I1626:J1626">_xlfn.TEXTSPLIT(A1626," ")</f>
        <v>28.10.2023</v>
      </c>
      <c r="J1626" t="str">
        <v>03:06:45</v>
      </c>
      <c r="K1626">
        <f t="shared" si="386"/>
        <v>27.049999999999745</v>
      </c>
      <c r="L1626">
        <f t="shared" si="383"/>
        <v>16.47</v>
      </c>
      <c r="M1626">
        <f t="shared" si="384"/>
        <v>0.45</v>
      </c>
      <c r="N1626">
        <f t="shared" si="380"/>
        <v>0.57250000000000001</v>
      </c>
      <c r="Q1626" t="str" cm="1">
        <f t="array" ref="Q1626:R1626">_xlfn.TEXTSPLIT(E1626," ")</f>
        <v>28.10.2023</v>
      </c>
      <c r="R1626" t="str">
        <v>03:06:45</v>
      </c>
      <c r="S1626">
        <f t="shared" si="387"/>
        <v>27.049999999999745</v>
      </c>
      <c r="T1626">
        <f t="shared" si="382"/>
        <v>28.240000000000009</v>
      </c>
      <c r="U1626">
        <f t="shared" si="385"/>
        <v>1.65</v>
      </c>
      <c r="V1626">
        <f t="shared" si="381"/>
        <v>0.9674999999999998</v>
      </c>
    </row>
    <row r="1627" spans="1:22" x14ac:dyDescent="0.25">
      <c r="A1627" t="s">
        <v>3583</v>
      </c>
      <c r="B1627">
        <v>1.2</v>
      </c>
      <c r="C1627">
        <v>30.83</v>
      </c>
      <c r="E1627" t="s">
        <v>3583</v>
      </c>
      <c r="F1627">
        <v>3.6</v>
      </c>
      <c r="G1627">
        <v>106.87</v>
      </c>
      <c r="I1627" t="str" cm="1">
        <f t="array" ref="I1627:J1627">_xlfn.TEXTSPLIT(A1627," ")</f>
        <v>28.10.2023</v>
      </c>
      <c r="J1627" t="str">
        <v>03:07:45</v>
      </c>
      <c r="K1627">
        <f t="shared" si="386"/>
        <v>27.066666666666411</v>
      </c>
      <c r="L1627">
        <f t="shared" si="383"/>
        <v>16.509999999999998</v>
      </c>
      <c r="M1627">
        <f t="shared" si="384"/>
        <v>1.2</v>
      </c>
      <c r="N1627">
        <f t="shared" si="380"/>
        <v>0.56750000000000012</v>
      </c>
      <c r="Q1627" t="str" cm="1">
        <f t="array" ref="Q1627:R1627">_xlfn.TEXTSPLIT(E1627," ")</f>
        <v>28.10.2023</v>
      </c>
      <c r="R1627" t="str">
        <v>03:07:45</v>
      </c>
      <c r="S1627">
        <f t="shared" si="387"/>
        <v>27.066666666666411</v>
      </c>
      <c r="T1627">
        <f t="shared" si="382"/>
        <v>28.27000000000001</v>
      </c>
      <c r="U1627">
        <f t="shared" si="385"/>
        <v>3.6</v>
      </c>
      <c r="V1627">
        <f t="shared" si="381"/>
        <v>0.97</v>
      </c>
    </row>
    <row r="1628" spans="1:22" x14ac:dyDescent="0.25">
      <c r="A1628" t="s">
        <v>3584</v>
      </c>
      <c r="B1628">
        <v>2.25</v>
      </c>
      <c r="C1628">
        <v>30.86</v>
      </c>
      <c r="E1628" t="s">
        <v>3584</v>
      </c>
      <c r="F1628">
        <v>1.5</v>
      </c>
      <c r="G1628">
        <v>106.89</v>
      </c>
      <c r="I1628" t="str" cm="1">
        <f t="array" ref="I1628:J1628">_xlfn.TEXTSPLIT(A1628," ")</f>
        <v>28.10.2023</v>
      </c>
      <c r="J1628" t="str">
        <v>03:08:46</v>
      </c>
      <c r="K1628">
        <f t="shared" si="386"/>
        <v>27.083333333333076</v>
      </c>
      <c r="L1628">
        <f t="shared" si="383"/>
        <v>16.54</v>
      </c>
      <c r="M1628">
        <f t="shared" si="384"/>
        <v>2.25</v>
      </c>
      <c r="N1628">
        <f t="shared" si="380"/>
        <v>0.5675</v>
      </c>
      <c r="Q1628" t="str" cm="1">
        <f t="array" ref="Q1628:R1628">_xlfn.TEXTSPLIT(E1628," ")</f>
        <v>28.10.2023</v>
      </c>
      <c r="R1628" t="str">
        <v>03:08:46</v>
      </c>
      <c r="S1628">
        <f t="shared" si="387"/>
        <v>27.083333333333076</v>
      </c>
      <c r="T1628">
        <f t="shared" si="382"/>
        <v>28.290000000000006</v>
      </c>
      <c r="U1628">
        <f t="shared" si="385"/>
        <v>1.5</v>
      </c>
      <c r="V1628">
        <f t="shared" si="381"/>
        <v>0.96500000000000008</v>
      </c>
    </row>
    <row r="1629" spans="1:22" x14ac:dyDescent="0.25">
      <c r="A1629" t="s">
        <v>3585</v>
      </c>
      <c r="B1629">
        <v>1.8</v>
      </c>
      <c r="C1629">
        <v>30.89</v>
      </c>
      <c r="E1629" t="s">
        <v>3585</v>
      </c>
      <c r="F1629">
        <v>1.2</v>
      </c>
      <c r="G1629">
        <v>106.91</v>
      </c>
      <c r="I1629" t="str" cm="1">
        <f t="array" ref="I1629:J1629">_xlfn.TEXTSPLIT(A1629," ")</f>
        <v>28.10.2023</v>
      </c>
      <c r="J1629" t="str">
        <v>03:09:46</v>
      </c>
      <c r="K1629">
        <f t="shared" si="386"/>
        <v>27.099999999999742</v>
      </c>
      <c r="L1629">
        <f t="shared" si="383"/>
        <v>16.57</v>
      </c>
      <c r="M1629">
        <f t="shared" si="384"/>
        <v>1.8</v>
      </c>
      <c r="N1629">
        <f t="shared" si="380"/>
        <v>0.57000000000000006</v>
      </c>
      <c r="Q1629" t="str" cm="1">
        <f t="array" ref="Q1629:R1629">_xlfn.TEXTSPLIT(E1629," ")</f>
        <v>28.10.2023</v>
      </c>
      <c r="R1629" t="str">
        <v>03:09:46</v>
      </c>
      <c r="S1629">
        <f t="shared" si="387"/>
        <v>27.099999999999742</v>
      </c>
      <c r="T1629">
        <f t="shared" si="382"/>
        <v>28.310000000000002</v>
      </c>
      <c r="U1629">
        <f t="shared" si="385"/>
        <v>1.2</v>
      </c>
      <c r="V1629">
        <f t="shared" si="381"/>
        <v>0.95750000000000013</v>
      </c>
    </row>
    <row r="1630" spans="1:22" x14ac:dyDescent="0.25">
      <c r="A1630" t="s">
        <v>3586</v>
      </c>
      <c r="B1630">
        <v>1.2</v>
      </c>
      <c r="C1630">
        <v>30.9</v>
      </c>
      <c r="E1630" t="s">
        <v>3586</v>
      </c>
      <c r="F1630">
        <v>0.75</v>
      </c>
      <c r="G1630">
        <v>106.92</v>
      </c>
      <c r="I1630" t="str" cm="1">
        <f t="array" ref="I1630:J1630">_xlfn.TEXTSPLIT(A1630," ")</f>
        <v>28.10.2023</v>
      </c>
      <c r="J1630" t="str">
        <v>03:10:46</v>
      </c>
      <c r="K1630">
        <f t="shared" si="386"/>
        <v>27.116666666666408</v>
      </c>
      <c r="L1630">
        <f t="shared" si="383"/>
        <v>16.579999999999998</v>
      </c>
      <c r="M1630">
        <f t="shared" si="384"/>
        <v>1.2</v>
      </c>
      <c r="N1630">
        <f t="shared" si="380"/>
        <v>0.56499999999999995</v>
      </c>
      <c r="Q1630" t="str" cm="1">
        <f t="array" ref="Q1630:R1630">_xlfn.TEXTSPLIT(E1630," ")</f>
        <v>28.10.2023</v>
      </c>
      <c r="R1630" t="str">
        <v>03:10:46</v>
      </c>
      <c r="S1630">
        <f t="shared" si="387"/>
        <v>27.116666666666408</v>
      </c>
      <c r="T1630">
        <f t="shared" si="382"/>
        <v>28.320000000000007</v>
      </c>
      <c r="U1630">
        <f t="shared" si="385"/>
        <v>0.75</v>
      </c>
      <c r="V1630">
        <f t="shared" si="381"/>
        <v>0.93750000000000011</v>
      </c>
    </row>
    <row r="1631" spans="1:22" x14ac:dyDescent="0.25">
      <c r="A1631" t="s">
        <v>3587</v>
      </c>
      <c r="B1631">
        <v>0.9</v>
      </c>
      <c r="C1631">
        <v>30.91</v>
      </c>
      <c r="E1631" t="s">
        <v>3587</v>
      </c>
      <c r="F1631">
        <v>1.2</v>
      </c>
      <c r="G1631">
        <v>106.95</v>
      </c>
      <c r="I1631" t="str" cm="1">
        <f t="array" ref="I1631:J1631">_xlfn.TEXTSPLIT(A1631," ")</f>
        <v>28.10.2023</v>
      </c>
      <c r="J1631" t="str">
        <v>03:11:46</v>
      </c>
      <c r="K1631">
        <f t="shared" si="386"/>
        <v>27.133333333333074</v>
      </c>
      <c r="L1631">
        <f t="shared" si="383"/>
        <v>16.59</v>
      </c>
      <c r="M1631">
        <f t="shared" si="384"/>
        <v>0.9</v>
      </c>
      <c r="N1631">
        <f t="shared" si="380"/>
        <v>0.55500000000000005</v>
      </c>
      <c r="Q1631" t="str" cm="1">
        <f t="array" ref="Q1631:R1631">_xlfn.TEXTSPLIT(E1631," ")</f>
        <v>28.10.2023</v>
      </c>
      <c r="R1631" t="str">
        <v>03:11:46</v>
      </c>
      <c r="S1631">
        <f t="shared" si="387"/>
        <v>27.133333333333074</v>
      </c>
      <c r="T1631">
        <f t="shared" si="382"/>
        <v>28.350000000000009</v>
      </c>
      <c r="U1631">
        <f t="shared" si="385"/>
        <v>1.2</v>
      </c>
      <c r="V1631">
        <f t="shared" si="381"/>
        <v>0.92500000000000027</v>
      </c>
    </row>
    <row r="1632" spans="1:22" x14ac:dyDescent="0.25">
      <c r="A1632" t="s">
        <v>3588</v>
      </c>
      <c r="B1632">
        <v>0.45</v>
      </c>
      <c r="C1632">
        <v>30.92</v>
      </c>
      <c r="E1632" t="s">
        <v>3588</v>
      </c>
      <c r="F1632">
        <v>1.2</v>
      </c>
      <c r="G1632">
        <v>106.97</v>
      </c>
      <c r="I1632" t="str" cm="1">
        <f t="array" ref="I1632:J1632">_xlfn.TEXTSPLIT(A1632," ")</f>
        <v>28.10.2023</v>
      </c>
      <c r="J1632" t="str">
        <v>03:12:46</v>
      </c>
      <c r="K1632">
        <f t="shared" si="386"/>
        <v>27.149999999999739</v>
      </c>
      <c r="L1632">
        <f t="shared" si="383"/>
        <v>16.600000000000001</v>
      </c>
      <c r="M1632">
        <f t="shared" si="384"/>
        <v>0.45</v>
      </c>
      <c r="N1632">
        <f t="shared" si="380"/>
        <v>0.53749999999999998</v>
      </c>
      <c r="Q1632" t="str" cm="1">
        <f t="array" ref="Q1632:R1632">_xlfn.TEXTSPLIT(E1632," ")</f>
        <v>28.10.2023</v>
      </c>
      <c r="R1632" t="str">
        <v>03:12:46</v>
      </c>
      <c r="S1632">
        <f t="shared" si="387"/>
        <v>27.149999999999739</v>
      </c>
      <c r="T1632">
        <f t="shared" si="382"/>
        <v>28.370000000000005</v>
      </c>
      <c r="U1632">
        <f t="shared" si="385"/>
        <v>1.2</v>
      </c>
      <c r="V1632">
        <f t="shared" si="381"/>
        <v>0.92500000000000027</v>
      </c>
    </row>
    <row r="1633" spans="1:22" x14ac:dyDescent="0.25">
      <c r="A1633" t="s">
        <v>3589</v>
      </c>
      <c r="B1633">
        <v>0.75</v>
      </c>
      <c r="C1633">
        <v>30.93</v>
      </c>
      <c r="E1633" t="s">
        <v>3589</v>
      </c>
      <c r="F1633">
        <v>1.2</v>
      </c>
      <c r="G1633">
        <v>106.99</v>
      </c>
      <c r="I1633" t="str" cm="1">
        <f t="array" ref="I1633:J1633">_xlfn.TEXTSPLIT(A1633," ")</f>
        <v>28.10.2023</v>
      </c>
      <c r="J1633" t="str">
        <v>03:13:46</v>
      </c>
      <c r="K1633">
        <f t="shared" si="386"/>
        <v>27.166666666666405</v>
      </c>
      <c r="L1633">
        <f t="shared" si="383"/>
        <v>16.61</v>
      </c>
      <c r="M1633">
        <f t="shared" si="384"/>
        <v>0.75</v>
      </c>
      <c r="N1633">
        <f t="shared" si="380"/>
        <v>0.53</v>
      </c>
      <c r="Q1633" t="str" cm="1">
        <f t="array" ref="Q1633:R1633">_xlfn.TEXTSPLIT(E1633," ")</f>
        <v>28.10.2023</v>
      </c>
      <c r="R1633" t="str">
        <v>03:13:46</v>
      </c>
      <c r="S1633">
        <f t="shared" si="387"/>
        <v>27.166666666666405</v>
      </c>
      <c r="T1633">
        <f t="shared" si="382"/>
        <v>28.39</v>
      </c>
      <c r="U1633">
        <f t="shared" si="385"/>
        <v>1.2</v>
      </c>
      <c r="V1633">
        <f t="shared" si="381"/>
        <v>0.92500000000000027</v>
      </c>
    </row>
    <row r="1634" spans="1:22" x14ac:dyDescent="0.25">
      <c r="A1634" t="s">
        <v>3590</v>
      </c>
      <c r="B1634">
        <v>0.3</v>
      </c>
      <c r="C1634">
        <v>30.94</v>
      </c>
      <c r="E1634" t="s">
        <v>3590</v>
      </c>
      <c r="F1634">
        <v>0.9</v>
      </c>
      <c r="G1634">
        <v>107</v>
      </c>
      <c r="I1634" t="str" cm="1">
        <f t="array" ref="I1634:J1634">_xlfn.TEXTSPLIT(A1634," ")</f>
        <v>28.10.2023</v>
      </c>
      <c r="J1634" t="str">
        <v>03:14:46</v>
      </c>
      <c r="K1634">
        <f t="shared" si="386"/>
        <v>27.183333333333071</v>
      </c>
      <c r="L1634">
        <f t="shared" si="383"/>
        <v>16.62</v>
      </c>
      <c r="M1634">
        <f t="shared" si="384"/>
        <v>0.3</v>
      </c>
      <c r="N1634">
        <f t="shared" si="380"/>
        <v>0.52250000000000008</v>
      </c>
      <c r="Q1634" t="str" cm="1">
        <f t="array" ref="Q1634:R1634">_xlfn.TEXTSPLIT(E1634," ")</f>
        <v>28.10.2023</v>
      </c>
      <c r="R1634" t="str">
        <v>03:14:46</v>
      </c>
      <c r="S1634">
        <f t="shared" si="387"/>
        <v>27.183333333333071</v>
      </c>
      <c r="T1634">
        <f t="shared" si="382"/>
        <v>28.400000000000006</v>
      </c>
      <c r="U1634">
        <f t="shared" si="385"/>
        <v>0.9</v>
      </c>
      <c r="V1634">
        <f t="shared" si="381"/>
        <v>0.92000000000000015</v>
      </c>
    </row>
    <row r="1635" spans="1:22" x14ac:dyDescent="0.25">
      <c r="A1635" t="s">
        <v>3591</v>
      </c>
      <c r="B1635">
        <v>0.45</v>
      </c>
      <c r="C1635">
        <v>30.94</v>
      </c>
      <c r="E1635" t="s">
        <v>3591</v>
      </c>
      <c r="F1635">
        <v>0.75</v>
      </c>
      <c r="G1635">
        <v>107.01</v>
      </c>
      <c r="I1635" t="str" cm="1">
        <f t="array" ref="I1635:J1635">_xlfn.TEXTSPLIT(A1635," ")</f>
        <v>28.10.2023</v>
      </c>
      <c r="J1635" t="str">
        <v>03:15:46</v>
      </c>
      <c r="K1635">
        <f t="shared" si="386"/>
        <v>27.199999999999736</v>
      </c>
      <c r="L1635">
        <f t="shared" si="383"/>
        <v>16.62</v>
      </c>
      <c r="M1635">
        <f t="shared" si="384"/>
        <v>0.45</v>
      </c>
      <c r="N1635">
        <f t="shared" si="380"/>
        <v>0.51750000000000007</v>
      </c>
      <c r="Q1635" t="str" cm="1">
        <f t="array" ref="Q1635:R1635">_xlfn.TEXTSPLIT(E1635," ")</f>
        <v>28.10.2023</v>
      </c>
      <c r="R1635" t="str">
        <v>03:15:46</v>
      </c>
      <c r="S1635">
        <f t="shared" si="387"/>
        <v>27.199999999999736</v>
      </c>
      <c r="T1635">
        <f t="shared" si="382"/>
        <v>28.410000000000011</v>
      </c>
      <c r="U1635">
        <f t="shared" si="385"/>
        <v>0.75</v>
      </c>
      <c r="V1635">
        <f t="shared" si="381"/>
        <v>0.91250000000000009</v>
      </c>
    </row>
    <row r="1636" spans="1:22" x14ac:dyDescent="0.25">
      <c r="A1636" t="s">
        <v>3592</v>
      </c>
      <c r="B1636">
        <v>0.6</v>
      </c>
      <c r="C1636">
        <v>30.95</v>
      </c>
      <c r="E1636" t="s">
        <v>3592</v>
      </c>
      <c r="F1636">
        <v>0.75</v>
      </c>
      <c r="G1636">
        <v>107.02</v>
      </c>
      <c r="I1636" t="str" cm="1">
        <f t="array" ref="I1636:J1636">_xlfn.TEXTSPLIT(A1636," ")</f>
        <v>28.10.2023</v>
      </c>
      <c r="J1636" t="str">
        <v>03:16:46</v>
      </c>
      <c r="K1636">
        <f t="shared" si="386"/>
        <v>27.216666666666402</v>
      </c>
      <c r="L1636">
        <f t="shared" si="383"/>
        <v>16.63</v>
      </c>
      <c r="M1636">
        <f t="shared" si="384"/>
        <v>0.6</v>
      </c>
      <c r="N1636">
        <f t="shared" si="380"/>
        <v>0.51750000000000007</v>
      </c>
      <c r="Q1636" t="str" cm="1">
        <f t="array" ref="Q1636:R1636">_xlfn.TEXTSPLIT(E1636," ")</f>
        <v>28.10.2023</v>
      </c>
      <c r="R1636" t="str">
        <v>03:16:46</v>
      </c>
      <c r="S1636">
        <f t="shared" si="387"/>
        <v>27.216666666666402</v>
      </c>
      <c r="T1636">
        <f t="shared" si="382"/>
        <v>28.42</v>
      </c>
      <c r="U1636">
        <f t="shared" si="385"/>
        <v>0.75</v>
      </c>
      <c r="V1636">
        <f t="shared" si="381"/>
        <v>0.90750000000000031</v>
      </c>
    </row>
    <row r="1637" spans="1:22" x14ac:dyDescent="0.25">
      <c r="A1637" t="s">
        <v>3593</v>
      </c>
      <c r="B1637">
        <v>0.6</v>
      </c>
      <c r="C1637">
        <v>30.96</v>
      </c>
      <c r="E1637" t="s">
        <v>3593</v>
      </c>
      <c r="F1637">
        <v>0.75</v>
      </c>
      <c r="G1637">
        <v>107.04</v>
      </c>
      <c r="I1637" t="str" cm="1">
        <f t="array" ref="I1637:J1637">_xlfn.TEXTSPLIT(A1637," ")</f>
        <v>28.10.2023</v>
      </c>
      <c r="J1637" t="str">
        <v>03:17:47</v>
      </c>
      <c r="K1637">
        <f t="shared" si="386"/>
        <v>27.233333333333068</v>
      </c>
      <c r="L1637">
        <f t="shared" si="383"/>
        <v>16.64</v>
      </c>
      <c r="M1637">
        <f t="shared" si="384"/>
        <v>0.6</v>
      </c>
      <c r="N1637">
        <f t="shared" si="380"/>
        <v>0.52</v>
      </c>
      <c r="Q1637" t="str" cm="1">
        <f t="array" ref="Q1637:R1637">_xlfn.TEXTSPLIT(E1637," ")</f>
        <v>28.10.2023</v>
      </c>
      <c r="R1637" t="str">
        <v>03:17:47</v>
      </c>
      <c r="S1637">
        <f t="shared" si="387"/>
        <v>27.233333333333068</v>
      </c>
      <c r="T1637">
        <f t="shared" si="382"/>
        <v>28.440000000000012</v>
      </c>
      <c r="U1637">
        <f t="shared" si="385"/>
        <v>0.75</v>
      </c>
      <c r="V1637">
        <f t="shared" si="381"/>
        <v>0.90000000000000024</v>
      </c>
    </row>
    <row r="1638" spans="1:22" x14ac:dyDescent="0.25">
      <c r="A1638" t="s">
        <v>3594</v>
      </c>
      <c r="B1638">
        <v>0.45</v>
      </c>
      <c r="C1638">
        <v>30.97</v>
      </c>
      <c r="E1638" t="s">
        <v>3594</v>
      </c>
      <c r="F1638">
        <v>1.05</v>
      </c>
      <c r="G1638">
        <v>107.05</v>
      </c>
      <c r="I1638" t="str" cm="1">
        <f t="array" ref="I1638:J1638">_xlfn.TEXTSPLIT(A1638," ")</f>
        <v>28.10.2023</v>
      </c>
      <c r="J1638" t="str">
        <v>03:18:47</v>
      </c>
      <c r="K1638">
        <f t="shared" si="386"/>
        <v>27.249999999999734</v>
      </c>
      <c r="L1638">
        <f t="shared" si="383"/>
        <v>16.649999999999999</v>
      </c>
      <c r="M1638">
        <f t="shared" si="384"/>
        <v>0.45</v>
      </c>
      <c r="N1638">
        <f t="shared" si="380"/>
        <v>0.51750000000000007</v>
      </c>
      <c r="Q1638" t="str" cm="1">
        <f t="array" ref="Q1638:R1638">_xlfn.TEXTSPLIT(E1638," ")</f>
        <v>28.10.2023</v>
      </c>
      <c r="R1638" t="str">
        <v>03:18:47</v>
      </c>
      <c r="S1638">
        <f t="shared" si="387"/>
        <v>27.249999999999734</v>
      </c>
      <c r="T1638">
        <f t="shared" si="382"/>
        <v>28.450000000000003</v>
      </c>
      <c r="U1638">
        <f t="shared" si="385"/>
        <v>1.05</v>
      </c>
      <c r="V1638">
        <f t="shared" si="381"/>
        <v>0.90250000000000019</v>
      </c>
    </row>
    <row r="1639" spans="1:22" x14ac:dyDescent="0.25">
      <c r="A1639" t="s">
        <v>3595</v>
      </c>
      <c r="B1639">
        <v>0.45</v>
      </c>
      <c r="C1639">
        <v>30.97</v>
      </c>
      <c r="E1639" t="s">
        <v>3595</v>
      </c>
      <c r="F1639">
        <v>1.05</v>
      </c>
      <c r="G1639">
        <v>107.07</v>
      </c>
      <c r="I1639" t="str" cm="1">
        <f t="array" ref="I1639:J1639">_xlfn.TEXTSPLIT(A1639," ")</f>
        <v>28.10.2023</v>
      </c>
      <c r="J1639" t="str">
        <v>03:19:47</v>
      </c>
      <c r="K1639">
        <f t="shared" si="386"/>
        <v>27.266666666666399</v>
      </c>
      <c r="L1639">
        <f t="shared" si="383"/>
        <v>16.649999999999999</v>
      </c>
      <c r="M1639">
        <f t="shared" si="384"/>
        <v>0.45</v>
      </c>
      <c r="N1639">
        <f t="shared" si="380"/>
        <v>0.51500000000000001</v>
      </c>
      <c r="Q1639" t="str" cm="1">
        <f t="array" ref="Q1639:R1639">_xlfn.TEXTSPLIT(E1639," ")</f>
        <v>28.10.2023</v>
      </c>
      <c r="R1639" t="str">
        <v>03:19:47</v>
      </c>
      <c r="S1639">
        <f t="shared" si="387"/>
        <v>27.266666666666399</v>
      </c>
      <c r="T1639">
        <f t="shared" si="382"/>
        <v>28.47</v>
      </c>
      <c r="U1639">
        <f t="shared" si="385"/>
        <v>1.05</v>
      </c>
      <c r="V1639">
        <f t="shared" si="381"/>
        <v>0.91000000000000025</v>
      </c>
    </row>
    <row r="1640" spans="1:22" x14ac:dyDescent="0.25">
      <c r="A1640" t="s">
        <v>3596</v>
      </c>
      <c r="B1640">
        <v>0.15</v>
      </c>
      <c r="C1640">
        <v>30.98</v>
      </c>
      <c r="E1640" t="s">
        <v>3596</v>
      </c>
      <c r="F1640">
        <v>0.9</v>
      </c>
      <c r="G1640">
        <v>107.08</v>
      </c>
      <c r="I1640" t="str" cm="1">
        <f t="array" ref="I1640:J1640">_xlfn.TEXTSPLIT(A1640," ")</f>
        <v>28.10.2023</v>
      </c>
      <c r="J1640" t="str">
        <v>03:20:47</v>
      </c>
      <c r="K1640">
        <f t="shared" si="386"/>
        <v>27.283333333333065</v>
      </c>
      <c r="L1640">
        <f t="shared" si="383"/>
        <v>16.66</v>
      </c>
      <c r="M1640">
        <f t="shared" si="384"/>
        <v>0.15</v>
      </c>
      <c r="N1640">
        <f t="shared" si="380"/>
        <v>0.51</v>
      </c>
      <c r="Q1640" t="str" cm="1">
        <f t="array" ref="Q1640:R1640">_xlfn.TEXTSPLIT(E1640," ")</f>
        <v>28.10.2023</v>
      </c>
      <c r="R1640" t="str">
        <v>03:20:47</v>
      </c>
      <c r="S1640">
        <f t="shared" si="387"/>
        <v>27.283333333333065</v>
      </c>
      <c r="T1640">
        <f t="shared" si="382"/>
        <v>28.480000000000004</v>
      </c>
      <c r="U1640">
        <f t="shared" si="385"/>
        <v>0.9</v>
      </c>
      <c r="V1640">
        <f t="shared" si="381"/>
        <v>0.91000000000000014</v>
      </c>
    </row>
    <row r="1641" spans="1:22" x14ac:dyDescent="0.25">
      <c r="A1641" t="s">
        <v>3597</v>
      </c>
      <c r="B1641">
        <v>0.75</v>
      </c>
      <c r="C1641">
        <v>30.99</v>
      </c>
      <c r="E1641" t="s">
        <v>3597</v>
      </c>
      <c r="F1641">
        <v>0.15</v>
      </c>
      <c r="G1641">
        <v>107.08</v>
      </c>
      <c r="I1641" t="str" cm="1">
        <f t="array" ref="I1641:J1641">_xlfn.TEXTSPLIT(A1641," ")</f>
        <v>28.10.2023</v>
      </c>
      <c r="J1641" t="str">
        <v>03:21:47</v>
      </c>
      <c r="K1641">
        <f t="shared" si="386"/>
        <v>27.299999999999731</v>
      </c>
      <c r="L1641">
        <f t="shared" si="383"/>
        <v>16.669999999999998</v>
      </c>
      <c r="M1641">
        <f t="shared" si="384"/>
        <v>0.75</v>
      </c>
      <c r="N1641">
        <f t="shared" si="380"/>
        <v>0.51500000000000001</v>
      </c>
      <c r="Q1641" t="str" cm="1">
        <f t="array" ref="Q1641:R1641">_xlfn.TEXTSPLIT(E1641," ")</f>
        <v>28.10.2023</v>
      </c>
      <c r="R1641" t="str">
        <v>03:21:47</v>
      </c>
      <c r="S1641">
        <f t="shared" si="387"/>
        <v>27.299999999999731</v>
      </c>
      <c r="T1641">
        <f t="shared" si="382"/>
        <v>28.480000000000004</v>
      </c>
      <c r="U1641">
        <f t="shared" si="385"/>
        <v>0.15</v>
      </c>
      <c r="V1641">
        <f t="shared" si="381"/>
        <v>0.91250000000000009</v>
      </c>
    </row>
    <row r="1642" spans="1:22" x14ac:dyDescent="0.25">
      <c r="A1642" t="s">
        <v>3598</v>
      </c>
      <c r="B1642">
        <v>0.3</v>
      </c>
      <c r="C1642">
        <v>30.99</v>
      </c>
      <c r="E1642" t="s">
        <v>3598</v>
      </c>
      <c r="F1642">
        <v>0.3</v>
      </c>
      <c r="G1642">
        <v>107.09</v>
      </c>
      <c r="I1642" t="str" cm="1">
        <f t="array" ref="I1642:J1642">_xlfn.TEXTSPLIT(A1642," ")</f>
        <v>28.10.2023</v>
      </c>
      <c r="J1642" t="str">
        <v>03:22:47</v>
      </c>
      <c r="K1642">
        <f t="shared" si="386"/>
        <v>27.316666666666396</v>
      </c>
      <c r="L1642">
        <f t="shared" si="383"/>
        <v>16.669999999999998</v>
      </c>
      <c r="M1642">
        <f t="shared" si="384"/>
        <v>0.3</v>
      </c>
      <c r="N1642">
        <f t="shared" si="380"/>
        <v>0.51249999999999996</v>
      </c>
      <c r="Q1642" t="str" cm="1">
        <f t="array" ref="Q1642:R1642">_xlfn.TEXTSPLIT(E1642," ")</f>
        <v>28.10.2023</v>
      </c>
      <c r="R1642" t="str">
        <v>03:22:47</v>
      </c>
      <c r="S1642">
        <f t="shared" si="387"/>
        <v>27.316666666666396</v>
      </c>
      <c r="T1642">
        <f t="shared" si="382"/>
        <v>28.490000000000009</v>
      </c>
      <c r="U1642">
        <f t="shared" si="385"/>
        <v>0.3</v>
      </c>
      <c r="V1642">
        <f t="shared" si="381"/>
        <v>0.91500000000000015</v>
      </c>
    </row>
    <row r="1643" spans="1:22" x14ac:dyDescent="0.25">
      <c r="A1643" t="s">
        <v>3599</v>
      </c>
      <c r="B1643">
        <v>0</v>
      </c>
      <c r="C1643">
        <v>30.99</v>
      </c>
      <c r="E1643" t="s">
        <v>3599</v>
      </c>
      <c r="F1643">
        <v>0.45</v>
      </c>
      <c r="G1643">
        <v>107.1</v>
      </c>
      <c r="I1643" t="str" cm="1">
        <f t="array" ref="I1643:J1643">_xlfn.TEXTSPLIT(A1643," ")</f>
        <v>28.10.2023</v>
      </c>
      <c r="J1643" t="str">
        <v>03:23:47</v>
      </c>
      <c r="K1643">
        <f t="shared" si="386"/>
        <v>27.333333333333062</v>
      </c>
      <c r="L1643">
        <f t="shared" si="383"/>
        <v>16.669999999999998</v>
      </c>
      <c r="M1643">
        <f t="shared" si="384"/>
        <v>0</v>
      </c>
      <c r="N1643">
        <f t="shared" si="380"/>
        <v>0.51249999999999996</v>
      </c>
      <c r="Q1643" t="str" cm="1">
        <f t="array" ref="Q1643:R1643">_xlfn.TEXTSPLIT(E1643," ")</f>
        <v>28.10.2023</v>
      </c>
      <c r="R1643" t="str">
        <v>03:23:47</v>
      </c>
      <c r="S1643">
        <f t="shared" si="387"/>
        <v>27.333333333333062</v>
      </c>
      <c r="T1643">
        <f t="shared" si="382"/>
        <v>28.5</v>
      </c>
      <c r="U1643">
        <f t="shared" si="385"/>
        <v>0.45</v>
      </c>
      <c r="V1643">
        <f t="shared" si="381"/>
        <v>0.91750000000000009</v>
      </c>
    </row>
    <row r="1644" spans="1:22" x14ac:dyDescent="0.25">
      <c r="A1644" t="s">
        <v>3600</v>
      </c>
      <c r="B1644">
        <v>0</v>
      </c>
      <c r="C1644">
        <v>30.99</v>
      </c>
      <c r="E1644" t="s">
        <v>3600</v>
      </c>
      <c r="F1644">
        <v>0.3</v>
      </c>
      <c r="G1644">
        <v>107.1</v>
      </c>
      <c r="I1644" t="str" cm="1">
        <f t="array" ref="I1644:J1644">_xlfn.TEXTSPLIT(A1644," ")</f>
        <v>28.10.2023</v>
      </c>
      <c r="J1644" t="str">
        <v>03:24:47</v>
      </c>
      <c r="K1644">
        <f t="shared" si="386"/>
        <v>27.349999999999728</v>
      </c>
      <c r="L1644">
        <f t="shared" si="383"/>
        <v>16.669999999999998</v>
      </c>
      <c r="M1644">
        <f t="shared" si="384"/>
        <v>0</v>
      </c>
      <c r="N1644">
        <f t="shared" si="380"/>
        <v>0.51249999999999996</v>
      </c>
      <c r="Q1644" t="str" cm="1">
        <f t="array" ref="Q1644:R1644">_xlfn.TEXTSPLIT(E1644," ")</f>
        <v>28.10.2023</v>
      </c>
      <c r="R1644" t="str">
        <v>03:24:47</v>
      </c>
      <c r="S1644">
        <f t="shared" si="387"/>
        <v>27.349999999999728</v>
      </c>
      <c r="T1644">
        <f t="shared" si="382"/>
        <v>28.5</v>
      </c>
      <c r="U1644">
        <f t="shared" si="385"/>
        <v>0.3</v>
      </c>
      <c r="V1644">
        <f t="shared" si="381"/>
        <v>0.91749999999999998</v>
      </c>
    </row>
    <row r="1645" spans="1:22" x14ac:dyDescent="0.25">
      <c r="A1645" t="s">
        <v>3601</v>
      </c>
      <c r="B1645">
        <v>0</v>
      </c>
      <c r="C1645">
        <v>30.99</v>
      </c>
      <c r="E1645" t="s">
        <v>3601</v>
      </c>
      <c r="F1645">
        <v>0.45</v>
      </c>
      <c r="G1645">
        <v>107.11</v>
      </c>
      <c r="I1645" t="str" cm="1">
        <f t="array" ref="I1645:J1645">_xlfn.TEXTSPLIT(A1645," ")</f>
        <v>28.10.2023</v>
      </c>
      <c r="J1645" t="str">
        <v>03:25:47</v>
      </c>
      <c r="K1645">
        <f t="shared" si="386"/>
        <v>27.366666666666394</v>
      </c>
      <c r="L1645">
        <f t="shared" si="383"/>
        <v>16.669999999999998</v>
      </c>
      <c r="M1645">
        <f t="shared" si="384"/>
        <v>0</v>
      </c>
      <c r="N1645">
        <f t="shared" si="380"/>
        <v>0.51249999999999996</v>
      </c>
      <c r="Q1645" t="str" cm="1">
        <f t="array" ref="Q1645:R1645">_xlfn.TEXTSPLIT(E1645," ")</f>
        <v>28.10.2023</v>
      </c>
      <c r="R1645" t="str">
        <v>03:25:47</v>
      </c>
      <c r="S1645">
        <f t="shared" si="387"/>
        <v>27.366666666666394</v>
      </c>
      <c r="T1645">
        <f t="shared" si="382"/>
        <v>28.510000000000005</v>
      </c>
      <c r="U1645">
        <f t="shared" si="385"/>
        <v>0.45</v>
      </c>
      <c r="V1645">
        <f t="shared" si="381"/>
        <v>0.92</v>
      </c>
    </row>
    <row r="1646" spans="1:22" x14ac:dyDescent="0.25">
      <c r="A1646" t="s">
        <v>3602</v>
      </c>
      <c r="B1646">
        <v>0</v>
      </c>
      <c r="C1646">
        <v>30.99</v>
      </c>
      <c r="E1646" t="s">
        <v>3602</v>
      </c>
      <c r="F1646">
        <v>0.45</v>
      </c>
      <c r="G1646">
        <v>107.11</v>
      </c>
      <c r="I1646" t="str" cm="1">
        <f t="array" ref="I1646:J1646">_xlfn.TEXTSPLIT(A1646," ")</f>
        <v>28.10.2023</v>
      </c>
      <c r="J1646" t="str">
        <v>03:26:47</v>
      </c>
      <c r="K1646">
        <f t="shared" si="386"/>
        <v>27.383333333333059</v>
      </c>
      <c r="L1646">
        <f t="shared" si="383"/>
        <v>16.669999999999998</v>
      </c>
      <c r="M1646">
        <f t="shared" si="384"/>
        <v>0</v>
      </c>
      <c r="N1646">
        <f t="shared" si="380"/>
        <v>0.51249999999999996</v>
      </c>
      <c r="Q1646" t="str" cm="1">
        <f t="array" ref="Q1646:R1646">_xlfn.TEXTSPLIT(E1646," ")</f>
        <v>28.10.2023</v>
      </c>
      <c r="R1646" t="str">
        <v>03:26:47</v>
      </c>
      <c r="S1646">
        <f t="shared" si="387"/>
        <v>27.383333333333059</v>
      </c>
      <c r="T1646">
        <f t="shared" si="382"/>
        <v>28.510000000000005</v>
      </c>
      <c r="U1646">
        <f t="shared" si="385"/>
        <v>0.45</v>
      </c>
      <c r="V1646">
        <f t="shared" si="381"/>
        <v>0.91750000000000009</v>
      </c>
    </row>
    <row r="1647" spans="1:22" x14ac:dyDescent="0.25">
      <c r="A1647" t="s">
        <v>3603</v>
      </c>
      <c r="B1647">
        <v>0</v>
      </c>
      <c r="C1647">
        <v>30.99</v>
      </c>
      <c r="E1647" t="s">
        <v>3603</v>
      </c>
      <c r="F1647">
        <v>0.3</v>
      </c>
      <c r="G1647">
        <v>107.12</v>
      </c>
      <c r="I1647" t="str" cm="1">
        <f t="array" ref="I1647:J1647">_xlfn.TEXTSPLIT(A1647," ")</f>
        <v>28.10.2023</v>
      </c>
      <c r="J1647" t="str">
        <v>03:27:48</v>
      </c>
      <c r="K1647">
        <f t="shared" si="386"/>
        <v>27.399999999999725</v>
      </c>
      <c r="L1647">
        <f t="shared" si="383"/>
        <v>16.669999999999998</v>
      </c>
      <c r="M1647">
        <f t="shared" si="384"/>
        <v>0</v>
      </c>
      <c r="N1647">
        <f t="shared" si="380"/>
        <v>0.51249999999999996</v>
      </c>
      <c r="Q1647" t="str" cm="1">
        <f t="array" ref="Q1647:R1647">_xlfn.TEXTSPLIT(E1647," ")</f>
        <v>28.10.2023</v>
      </c>
      <c r="R1647" t="str">
        <v>03:27:48</v>
      </c>
      <c r="S1647">
        <f t="shared" si="387"/>
        <v>27.399999999999725</v>
      </c>
      <c r="T1647">
        <f t="shared" si="382"/>
        <v>28.52000000000001</v>
      </c>
      <c r="U1647">
        <f t="shared" si="385"/>
        <v>0.3</v>
      </c>
      <c r="V1647">
        <f t="shared" si="381"/>
        <v>0.91500000000000015</v>
      </c>
    </row>
    <row r="1648" spans="1:22" x14ac:dyDescent="0.25">
      <c r="A1648" t="s">
        <v>3604</v>
      </c>
      <c r="B1648">
        <v>0</v>
      </c>
      <c r="C1648">
        <v>30.99</v>
      </c>
      <c r="E1648" t="s">
        <v>3604</v>
      </c>
      <c r="F1648">
        <v>0.6</v>
      </c>
      <c r="G1648">
        <v>107.13</v>
      </c>
      <c r="I1648" t="str" cm="1">
        <f t="array" ref="I1648:J1648">_xlfn.TEXTSPLIT(A1648," ")</f>
        <v>28.10.2023</v>
      </c>
      <c r="J1648" t="str">
        <v>03:28:48</v>
      </c>
      <c r="K1648">
        <f t="shared" si="386"/>
        <v>27.416666666666391</v>
      </c>
      <c r="L1648">
        <f t="shared" si="383"/>
        <v>16.669999999999998</v>
      </c>
      <c r="M1648">
        <f t="shared" si="384"/>
        <v>0</v>
      </c>
      <c r="N1648">
        <f t="shared" si="380"/>
        <v>0.51249999999999996</v>
      </c>
      <c r="Q1648" t="str" cm="1">
        <f t="array" ref="Q1648:R1648">_xlfn.TEXTSPLIT(E1648," ")</f>
        <v>28.10.2023</v>
      </c>
      <c r="R1648" t="str">
        <v>03:28:48</v>
      </c>
      <c r="S1648">
        <f t="shared" si="387"/>
        <v>27.416666666666391</v>
      </c>
      <c r="T1648">
        <f t="shared" si="382"/>
        <v>28.53</v>
      </c>
      <c r="U1648">
        <f t="shared" si="385"/>
        <v>0.6</v>
      </c>
      <c r="V1648">
        <f t="shared" si="381"/>
        <v>0.91249999999999998</v>
      </c>
    </row>
    <row r="1649" spans="1:22" x14ac:dyDescent="0.25">
      <c r="A1649" t="s">
        <v>3605</v>
      </c>
      <c r="B1649">
        <v>0.15</v>
      </c>
      <c r="C1649">
        <v>30.99</v>
      </c>
      <c r="E1649" t="s">
        <v>3605</v>
      </c>
      <c r="F1649">
        <v>0.45</v>
      </c>
      <c r="G1649">
        <v>107.14</v>
      </c>
      <c r="I1649" t="str" cm="1">
        <f t="array" ref="I1649:J1649">_xlfn.TEXTSPLIT(A1649," ")</f>
        <v>28.10.2023</v>
      </c>
      <c r="J1649" t="str">
        <v>03:29:48</v>
      </c>
      <c r="K1649">
        <f t="shared" si="386"/>
        <v>27.433333333333056</v>
      </c>
      <c r="L1649">
        <f t="shared" si="383"/>
        <v>16.669999999999998</v>
      </c>
      <c r="M1649">
        <f t="shared" si="384"/>
        <v>0.15</v>
      </c>
      <c r="N1649">
        <f t="shared" si="380"/>
        <v>0.51500000000000001</v>
      </c>
      <c r="Q1649" t="str" cm="1">
        <f t="array" ref="Q1649:R1649">_xlfn.TEXTSPLIT(E1649," ")</f>
        <v>28.10.2023</v>
      </c>
      <c r="R1649" t="str">
        <v>03:29:48</v>
      </c>
      <c r="S1649">
        <f t="shared" si="387"/>
        <v>27.433333333333056</v>
      </c>
      <c r="T1649">
        <f t="shared" si="382"/>
        <v>28.540000000000006</v>
      </c>
      <c r="U1649">
        <f t="shared" si="385"/>
        <v>0.45</v>
      </c>
      <c r="V1649">
        <f t="shared" si="381"/>
        <v>0.9</v>
      </c>
    </row>
    <row r="1650" spans="1:22" x14ac:dyDescent="0.25">
      <c r="A1650" t="s">
        <v>3606</v>
      </c>
      <c r="B1650">
        <v>0.15</v>
      </c>
      <c r="C1650">
        <v>31</v>
      </c>
      <c r="E1650" t="s">
        <v>3606</v>
      </c>
      <c r="F1650">
        <v>0.6</v>
      </c>
      <c r="G1650">
        <v>107.15</v>
      </c>
      <c r="I1650" t="str" cm="1">
        <f t="array" ref="I1650:J1650">_xlfn.TEXTSPLIT(A1650," ")</f>
        <v>28.10.2023</v>
      </c>
      <c r="J1650" t="str">
        <v>03:30:48</v>
      </c>
      <c r="K1650">
        <f t="shared" si="386"/>
        <v>27.449999999999722</v>
      </c>
      <c r="L1650">
        <f t="shared" si="383"/>
        <v>16.68</v>
      </c>
      <c r="M1650">
        <f t="shared" si="384"/>
        <v>0.15</v>
      </c>
      <c r="N1650">
        <f t="shared" si="380"/>
        <v>0.51749999999999996</v>
      </c>
      <c r="Q1650" t="str" cm="1">
        <f t="array" ref="Q1650:R1650">_xlfn.TEXTSPLIT(E1650," ")</f>
        <v>28.10.2023</v>
      </c>
      <c r="R1650" t="str">
        <v>03:30:48</v>
      </c>
      <c r="S1650">
        <f t="shared" si="387"/>
        <v>27.449999999999722</v>
      </c>
      <c r="T1650">
        <f t="shared" si="382"/>
        <v>28.550000000000011</v>
      </c>
      <c r="U1650">
        <f t="shared" si="385"/>
        <v>0.6</v>
      </c>
      <c r="V1650">
        <f t="shared" si="381"/>
        <v>0.89500000000000013</v>
      </c>
    </row>
    <row r="1651" spans="1:22" x14ac:dyDescent="0.25">
      <c r="A1651" t="s">
        <v>3607</v>
      </c>
      <c r="B1651">
        <v>0.3</v>
      </c>
      <c r="C1651">
        <v>31</v>
      </c>
      <c r="E1651" t="s">
        <v>3607</v>
      </c>
      <c r="F1651">
        <v>0.6</v>
      </c>
      <c r="G1651">
        <v>107.16</v>
      </c>
      <c r="I1651" t="str" cm="1">
        <f t="array" ref="I1651:J1651">_xlfn.TEXTSPLIT(A1651," ")</f>
        <v>28.10.2023</v>
      </c>
      <c r="J1651" t="str">
        <v>03:31:48</v>
      </c>
      <c r="K1651">
        <f t="shared" si="386"/>
        <v>27.466666666666388</v>
      </c>
      <c r="L1651">
        <f t="shared" si="383"/>
        <v>16.68</v>
      </c>
      <c r="M1651">
        <f t="shared" si="384"/>
        <v>0.3</v>
      </c>
      <c r="N1651">
        <f t="shared" si="380"/>
        <v>0.51749999999999996</v>
      </c>
      <c r="Q1651" t="str" cm="1">
        <f t="array" ref="Q1651:R1651">_xlfn.TEXTSPLIT(E1651," ")</f>
        <v>28.10.2023</v>
      </c>
      <c r="R1651" t="str">
        <v>03:31:48</v>
      </c>
      <c r="S1651">
        <f t="shared" si="387"/>
        <v>27.466666666666388</v>
      </c>
      <c r="T1651">
        <f t="shared" si="382"/>
        <v>28.560000000000002</v>
      </c>
      <c r="U1651">
        <f t="shared" si="385"/>
        <v>0.6</v>
      </c>
      <c r="V1651">
        <f t="shared" si="381"/>
        <v>0.89500000000000013</v>
      </c>
    </row>
    <row r="1652" spans="1:22" x14ac:dyDescent="0.25">
      <c r="A1652" t="s">
        <v>3608</v>
      </c>
      <c r="B1652">
        <v>0.6</v>
      </c>
      <c r="C1652">
        <v>31.01</v>
      </c>
      <c r="E1652" t="s">
        <v>3608</v>
      </c>
      <c r="F1652">
        <v>0.75</v>
      </c>
      <c r="G1652">
        <v>107.17</v>
      </c>
      <c r="I1652" t="str" cm="1">
        <f t="array" ref="I1652:J1652">_xlfn.TEXTSPLIT(A1652," ")</f>
        <v>28.10.2023</v>
      </c>
      <c r="J1652" t="str">
        <v>03:32:48</v>
      </c>
      <c r="K1652">
        <f t="shared" si="386"/>
        <v>27.483333333333054</v>
      </c>
      <c r="L1652">
        <f t="shared" si="383"/>
        <v>16.690000000000001</v>
      </c>
      <c r="M1652">
        <f t="shared" si="384"/>
        <v>0.6</v>
      </c>
      <c r="N1652">
        <f t="shared" si="380"/>
        <v>0.52</v>
      </c>
      <c r="Q1652" t="str" cm="1">
        <f t="array" ref="Q1652:R1652">_xlfn.TEXTSPLIT(E1652," ")</f>
        <v>28.10.2023</v>
      </c>
      <c r="R1652" t="str">
        <v>03:32:48</v>
      </c>
      <c r="S1652">
        <f t="shared" si="387"/>
        <v>27.483333333333054</v>
      </c>
      <c r="T1652">
        <f t="shared" si="382"/>
        <v>28.570000000000007</v>
      </c>
      <c r="U1652">
        <f t="shared" si="385"/>
        <v>0.75</v>
      </c>
      <c r="V1652">
        <f t="shared" si="381"/>
        <v>0.89500000000000002</v>
      </c>
    </row>
    <row r="1653" spans="1:22" x14ac:dyDescent="0.25">
      <c r="A1653" t="s">
        <v>3609</v>
      </c>
      <c r="B1653">
        <v>0.15</v>
      </c>
      <c r="C1653">
        <v>31.02</v>
      </c>
      <c r="E1653" t="s">
        <v>3609</v>
      </c>
      <c r="F1653">
        <v>0.75</v>
      </c>
      <c r="G1653">
        <v>107.19</v>
      </c>
      <c r="I1653" t="str" cm="1">
        <f t="array" ref="I1653:J1653">_xlfn.TEXTSPLIT(A1653," ")</f>
        <v>28.10.2023</v>
      </c>
      <c r="J1653" t="str">
        <v>03:33:48</v>
      </c>
      <c r="K1653">
        <f t="shared" si="386"/>
        <v>27.499999999999719</v>
      </c>
      <c r="L1653">
        <f t="shared" si="383"/>
        <v>16.7</v>
      </c>
      <c r="M1653">
        <f t="shared" si="384"/>
        <v>0.15</v>
      </c>
      <c r="N1653">
        <f t="shared" si="380"/>
        <v>0.51249999999999996</v>
      </c>
      <c r="Q1653" t="str" cm="1">
        <f t="array" ref="Q1653:R1653">_xlfn.TEXTSPLIT(E1653," ")</f>
        <v>28.10.2023</v>
      </c>
      <c r="R1653" t="str">
        <v>03:33:48</v>
      </c>
      <c r="S1653">
        <f t="shared" si="387"/>
        <v>27.499999999999719</v>
      </c>
      <c r="T1653">
        <f t="shared" si="382"/>
        <v>28.590000000000003</v>
      </c>
      <c r="U1653">
        <f t="shared" si="385"/>
        <v>0.75</v>
      </c>
      <c r="V1653">
        <f t="shared" si="381"/>
        <v>0.90000000000000013</v>
      </c>
    </row>
    <row r="1654" spans="1:22" x14ac:dyDescent="0.25">
      <c r="A1654" t="s">
        <v>3610</v>
      </c>
      <c r="B1654">
        <v>0.45</v>
      </c>
      <c r="C1654">
        <v>31.02</v>
      </c>
      <c r="E1654" t="s">
        <v>3610</v>
      </c>
      <c r="F1654">
        <v>1.05</v>
      </c>
      <c r="G1654">
        <v>107.21</v>
      </c>
      <c r="I1654" t="str" cm="1">
        <f t="array" ref="I1654:J1654">_xlfn.TEXTSPLIT(A1654," ")</f>
        <v>28.10.2023</v>
      </c>
      <c r="J1654" t="str">
        <v>03:34:48</v>
      </c>
      <c r="K1654">
        <f t="shared" si="386"/>
        <v>27.516666666666385</v>
      </c>
      <c r="L1654">
        <f t="shared" si="383"/>
        <v>16.7</v>
      </c>
      <c r="M1654">
        <f t="shared" si="384"/>
        <v>0.45</v>
      </c>
      <c r="N1654">
        <f t="shared" si="380"/>
        <v>0.51249999999999984</v>
      </c>
      <c r="Q1654" t="str" cm="1">
        <f t="array" ref="Q1654:R1654">_xlfn.TEXTSPLIT(E1654," ")</f>
        <v>28.10.2023</v>
      </c>
      <c r="R1654" t="str">
        <v>03:34:48</v>
      </c>
      <c r="S1654">
        <f t="shared" si="387"/>
        <v>27.516666666666385</v>
      </c>
      <c r="T1654">
        <f t="shared" si="382"/>
        <v>28.61</v>
      </c>
      <c r="U1654">
        <f t="shared" si="385"/>
        <v>1.05</v>
      </c>
      <c r="V1654">
        <f t="shared" si="381"/>
        <v>0.90500000000000003</v>
      </c>
    </row>
    <row r="1655" spans="1:22" x14ac:dyDescent="0.25">
      <c r="A1655" t="s">
        <v>3611</v>
      </c>
      <c r="B1655">
        <v>0.3</v>
      </c>
      <c r="C1655">
        <v>31.03</v>
      </c>
      <c r="E1655" t="s">
        <v>3611</v>
      </c>
      <c r="F1655">
        <v>1.2</v>
      </c>
      <c r="G1655">
        <v>107.24</v>
      </c>
      <c r="I1655" t="str" cm="1">
        <f t="array" ref="I1655:J1655">_xlfn.TEXTSPLIT(A1655," ")</f>
        <v>28.10.2023</v>
      </c>
      <c r="J1655" t="str">
        <v>03:35:48</v>
      </c>
      <c r="K1655">
        <f t="shared" si="386"/>
        <v>27.533333333333051</v>
      </c>
      <c r="L1655">
        <f t="shared" si="383"/>
        <v>16.71</v>
      </c>
      <c r="M1655">
        <f t="shared" si="384"/>
        <v>0.3</v>
      </c>
      <c r="N1655">
        <f t="shared" si="380"/>
        <v>0.5099999999999999</v>
      </c>
      <c r="Q1655" t="str" cm="1">
        <f t="array" ref="Q1655:R1655">_xlfn.TEXTSPLIT(E1655," ")</f>
        <v>28.10.2023</v>
      </c>
      <c r="R1655" t="str">
        <v>03:35:48</v>
      </c>
      <c r="S1655">
        <f t="shared" si="387"/>
        <v>27.533333333333051</v>
      </c>
      <c r="T1655">
        <f t="shared" si="382"/>
        <v>28.64</v>
      </c>
      <c r="U1655">
        <f t="shared" si="385"/>
        <v>1.2</v>
      </c>
      <c r="V1655">
        <f t="shared" si="381"/>
        <v>0.91250000000000009</v>
      </c>
    </row>
    <row r="1656" spans="1:22" x14ac:dyDescent="0.25">
      <c r="A1656" t="s">
        <v>3612</v>
      </c>
      <c r="B1656">
        <v>0.3</v>
      </c>
      <c r="C1656">
        <v>31.04</v>
      </c>
      <c r="E1656" t="s">
        <v>3612</v>
      </c>
      <c r="F1656">
        <v>2.1</v>
      </c>
      <c r="G1656">
        <v>107.28</v>
      </c>
      <c r="I1656" t="str" cm="1">
        <f t="array" ref="I1656:J1656">_xlfn.TEXTSPLIT(A1656," ")</f>
        <v>28.10.2023</v>
      </c>
      <c r="J1656" t="str">
        <v>03:36:48</v>
      </c>
      <c r="K1656">
        <f t="shared" si="386"/>
        <v>27.549999999999716</v>
      </c>
      <c r="L1656">
        <f t="shared" si="383"/>
        <v>16.72</v>
      </c>
      <c r="M1656">
        <f t="shared" si="384"/>
        <v>0.3</v>
      </c>
      <c r="N1656">
        <f t="shared" si="380"/>
        <v>0.50749999999999995</v>
      </c>
      <c r="Q1656" t="str" cm="1">
        <f t="array" ref="Q1656:R1656">_xlfn.TEXTSPLIT(E1656," ")</f>
        <v>28.10.2023</v>
      </c>
      <c r="R1656" t="str">
        <v>03:36:48</v>
      </c>
      <c r="S1656">
        <f t="shared" si="387"/>
        <v>27.549999999999716</v>
      </c>
      <c r="T1656">
        <f t="shared" si="382"/>
        <v>28.680000000000007</v>
      </c>
      <c r="U1656">
        <f t="shared" si="385"/>
        <v>2.1</v>
      </c>
      <c r="V1656">
        <f t="shared" si="381"/>
        <v>0.90250000000000019</v>
      </c>
    </row>
    <row r="1657" spans="1:22" x14ac:dyDescent="0.25">
      <c r="A1657" t="s">
        <v>3613</v>
      </c>
      <c r="B1657">
        <v>1.05</v>
      </c>
      <c r="C1657">
        <v>31.08</v>
      </c>
      <c r="E1657" t="s">
        <v>3613</v>
      </c>
      <c r="F1657">
        <v>2.1</v>
      </c>
      <c r="G1657">
        <v>107.32</v>
      </c>
      <c r="I1657" t="str" cm="1">
        <f t="array" ref="I1657:J1657">_xlfn.TEXTSPLIT(A1657," ")</f>
        <v>28.10.2023</v>
      </c>
      <c r="J1657" t="str">
        <v>03:37:49</v>
      </c>
      <c r="K1657">
        <f t="shared" si="386"/>
        <v>27.566666666666382</v>
      </c>
      <c r="L1657">
        <f t="shared" si="383"/>
        <v>16.759999999999998</v>
      </c>
      <c r="M1657">
        <f t="shared" si="384"/>
        <v>1.05</v>
      </c>
      <c r="N1657">
        <f t="shared" si="380"/>
        <v>0.50749999999999995</v>
      </c>
      <c r="Q1657" t="str" cm="1">
        <f t="array" ref="Q1657:R1657">_xlfn.TEXTSPLIT(E1657," ")</f>
        <v>28.10.2023</v>
      </c>
      <c r="R1657" t="str">
        <v>03:37:49</v>
      </c>
      <c r="S1657">
        <f t="shared" si="387"/>
        <v>27.566666666666382</v>
      </c>
      <c r="T1657">
        <f t="shared" si="382"/>
        <v>28.72</v>
      </c>
      <c r="U1657">
        <f t="shared" si="385"/>
        <v>2.1</v>
      </c>
      <c r="V1657">
        <f t="shared" si="381"/>
        <v>0.89500000000000013</v>
      </c>
    </row>
    <row r="1658" spans="1:22" x14ac:dyDescent="0.25">
      <c r="A1658" t="s">
        <v>3614</v>
      </c>
      <c r="B1658">
        <v>2.25</v>
      </c>
      <c r="C1658">
        <v>31.12</v>
      </c>
      <c r="E1658" t="s">
        <v>3614</v>
      </c>
      <c r="F1658">
        <v>2.4</v>
      </c>
      <c r="G1658">
        <v>107.35</v>
      </c>
      <c r="I1658" t="str" cm="1">
        <f t="array" ref="I1658:J1658">_xlfn.TEXTSPLIT(A1658," ")</f>
        <v>28.10.2023</v>
      </c>
      <c r="J1658" t="str">
        <v>03:38:49</v>
      </c>
      <c r="K1658">
        <f t="shared" si="386"/>
        <v>27.583333333333048</v>
      </c>
      <c r="L1658">
        <f t="shared" si="383"/>
        <v>16.8</v>
      </c>
      <c r="M1658">
        <f t="shared" si="384"/>
        <v>2.25</v>
      </c>
      <c r="N1658">
        <f t="shared" si="380"/>
        <v>0.50749999999999995</v>
      </c>
      <c r="Q1658" t="str" cm="1">
        <f t="array" ref="Q1658:R1658">_xlfn.TEXTSPLIT(E1658," ")</f>
        <v>28.10.2023</v>
      </c>
      <c r="R1658" t="str">
        <v>03:38:49</v>
      </c>
      <c r="S1658">
        <f t="shared" si="387"/>
        <v>27.583333333333048</v>
      </c>
      <c r="T1658">
        <f t="shared" si="382"/>
        <v>28.75</v>
      </c>
      <c r="U1658">
        <f t="shared" si="385"/>
        <v>2.4</v>
      </c>
      <c r="V1658">
        <f t="shared" si="381"/>
        <v>0.90499999999999992</v>
      </c>
    </row>
    <row r="1659" spans="1:22" x14ac:dyDescent="0.25">
      <c r="A1659" t="s">
        <v>3615</v>
      </c>
      <c r="B1659">
        <v>2.25</v>
      </c>
      <c r="C1659">
        <v>31.14</v>
      </c>
      <c r="E1659" t="s">
        <v>3615</v>
      </c>
      <c r="F1659">
        <v>1.65</v>
      </c>
      <c r="G1659">
        <v>107.37</v>
      </c>
      <c r="I1659" t="str" cm="1">
        <f t="array" ref="I1659:J1659">_xlfn.TEXTSPLIT(A1659," ")</f>
        <v>28.10.2023</v>
      </c>
      <c r="J1659" t="str">
        <v>03:39:49</v>
      </c>
      <c r="K1659">
        <f t="shared" si="386"/>
        <v>27.599999999999714</v>
      </c>
      <c r="L1659">
        <f t="shared" si="383"/>
        <v>16.82</v>
      </c>
      <c r="M1659">
        <f t="shared" si="384"/>
        <v>2.25</v>
      </c>
      <c r="N1659">
        <f t="shared" si="380"/>
        <v>0.50249999999999995</v>
      </c>
      <c r="Q1659" t="str" cm="1">
        <f t="array" ref="Q1659:R1659">_xlfn.TEXTSPLIT(E1659," ")</f>
        <v>28.10.2023</v>
      </c>
      <c r="R1659" t="str">
        <v>03:39:49</v>
      </c>
      <c r="S1659">
        <f t="shared" si="387"/>
        <v>27.599999999999714</v>
      </c>
      <c r="T1659">
        <f t="shared" si="382"/>
        <v>28.77000000000001</v>
      </c>
      <c r="U1659">
        <f t="shared" si="385"/>
        <v>1.65</v>
      </c>
      <c r="V1659">
        <f t="shared" si="381"/>
        <v>0.90749999999999997</v>
      </c>
    </row>
    <row r="1660" spans="1:22" x14ac:dyDescent="0.25">
      <c r="A1660" t="s">
        <v>3616</v>
      </c>
      <c r="B1660">
        <v>1.2</v>
      </c>
      <c r="C1660">
        <v>31.15</v>
      </c>
      <c r="E1660" t="s">
        <v>3616</v>
      </c>
      <c r="F1660">
        <v>1.2</v>
      </c>
      <c r="G1660">
        <v>107.38</v>
      </c>
      <c r="I1660" t="str" cm="1">
        <f t="array" ref="I1660:J1660">_xlfn.TEXTSPLIT(A1660," ")</f>
        <v>28.10.2023</v>
      </c>
      <c r="J1660" t="str">
        <v>03:40:49</v>
      </c>
      <c r="K1660">
        <f t="shared" si="386"/>
        <v>27.616666666666379</v>
      </c>
      <c r="L1660">
        <f t="shared" si="383"/>
        <v>16.829999999999998</v>
      </c>
      <c r="M1660">
        <f t="shared" si="384"/>
        <v>1.2</v>
      </c>
      <c r="N1660">
        <f t="shared" si="380"/>
        <v>0.505</v>
      </c>
      <c r="Q1660" t="str" cm="1">
        <f t="array" ref="Q1660:R1660">_xlfn.TEXTSPLIT(E1660," ")</f>
        <v>28.10.2023</v>
      </c>
      <c r="R1660" t="str">
        <v>03:40:49</v>
      </c>
      <c r="S1660">
        <f t="shared" si="387"/>
        <v>27.616666666666379</v>
      </c>
      <c r="T1660">
        <f t="shared" si="382"/>
        <v>28.78</v>
      </c>
      <c r="U1660">
        <f t="shared" si="385"/>
        <v>1.2</v>
      </c>
      <c r="V1660">
        <f t="shared" si="381"/>
        <v>0.89750000000000008</v>
      </c>
    </row>
    <row r="1661" spans="1:22" x14ac:dyDescent="0.25">
      <c r="A1661" t="s">
        <v>3617</v>
      </c>
      <c r="B1661">
        <v>0.75</v>
      </c>
      <c r="C1661">
        <v>31.16</v>
      </c>
      <c r="E1661" t="s">
        <v>3617</v>
      </c>
      <c r="F1661">
        <v>0.75</v>
      </c>
      <c r="G1661">
        <v>107.39</v>
      </c>
      <c r="I1661" t="str" cm="1">
        <f t="array" ref="I1661:J1661">_xlfn.TEXTSPLIT(A1661," ")</f>
        <v>28.10.2023</v>
      </c>
      <c r="J1661" t="str">
        <v>03:41:49</v>
      </c>
      <c r="K1661">
        <f t="shared" si="386"/>
        <v>27.633333333333045</v>
      </c>
      <c r="L1661">
        <f t="shared" si="383"/>
        <v>16.84</v>
      </c>
      <c r="M1661">
        <f t="shared" si="384"/>
        <v>0.75</v>
      </c>
      <c r="N1661">
        <f t="shared" si="380"/>
        <v>0.50249999999999995</v>
      </c>
      <c r="Q1661" t="str" cm="1">
        <f t="array" ref="Q1661:R1661">_xlfn.TEXTSPLIT(E1661," ")</f>
        <v>28.10.2023</v>
      </c>
      <c r="R1661" t="str">
        <v>03:41:49</v>
      </c>
      <c r="S1661">
        <f t="shared" si="387"/>
        <v>27.633333333333045</v>
      </c>
      <c r="T1661">
        <f t="shared" si="382"/>
        <v>28.790000000000006</v>
      </c>
      <c r="U1661">
        <f t="shared" si="385"/>
        <v>0.75</v>
      </c>
      <c r="V1661">
        <f t="shared" si="381"/>
        <v>0.89</v>
      </c>
    </row>
    <row r="1662" spans="1:22" x14ac:dyDescent="0.25">
      <c r="A1662" t="s">
        <v>3618</v>
      </c>
      <c r="B1662">
        <v>0.45</v>
      </c>
      <c r="C1662">
        <v>31.17</v>
      </c>
      <c r="E1662" t="s">
        <v>3618</v>
      </c>
      <c r="F1662">
        <v>0.75</v>
      </c>
      <c r="G1662">
        <v>107.41</v>
      </c>
      <c r="I1662" t="str" cm="1">
        <f t="array" ref="I1662:J1662">_xlfn.TEXTSPLIT(A1662," ")</f>
        <v>28.10.2023</v>
      </c>
      <c r="J1662" t="str">
        <v>03:42:49</v>
      </c>
      <c r="K1662">
        <f t="shared" si="386"/>
        <v>27.649999999999711</v>
      </c>
      <c r="L1662">
        <f t="shared" si="383"/>
        <v>16.850000000000001</v>
      </c>
      <c r="M1662">
        <f t="shared" si="384"/>
        <v>0.45</v>
      </c>
      <c r="N1662">
        <f t="shared" si="380"/>
        <v>0.49999999999999994</v>
      </c>
      <c r="Q1662" t="str" cm="1">
        <f t="array" ref="Q1662:R1662">_xlfn.TEXTSPLIT(E1662," ")</f>
        <v>28.10.2023</v>
      </c>
      <c r="R1662" t="str">
        <v>03:42:49</v>
      </c>
      <c r="S1662">
        <f t="shared" si="387"/>
        <v>27.649999999999711</v>
      </c>
      <c r="T1662">
        <f t="shared" si="382"/>
        <v>28.810000000000002</v>
      </c>
      <c r="U1662">
        <f t="shared" si="385"/>
        <v>0.75</v>
      </c>
      <c r="V1662">
        <f t="shared" si="381"/>
        <v>0.88749999999999996</v>
      </c>
    </row>
    <row r="1663" spans="1:22" x14ac:dyDescent="0.25">
      <c r="A1663" t="s">
        <v>3619</v>
      </c>
      <c r="B1663">
        <v>0.45</v>
      </c>
      <c r="C1663">
        <v>31.18</v>
      </c>
      <c r="E1663" t="s">
        <v>3619</v>
      </c>
      <c r="F1663">
        <v>0.6</v>
      </c>
      <c r="G1663">
        <v>107.42</v>
      </c>
      <c r="I1663" t="str" cm="1">
        <f t="array" ref="I1663:J1663">_xlfn.TEXTSPLIT(A1663," ")</f>
        <v>28.10.2023</v>
      </c>
      <c r="J1663" t="str">
        <v>03:43:49</v>
      </c>
      <c r="K1663">
        <f t="shared" si="386"/>
        <v>27.666666666666377</v>
      </c>
      <c r="L1663">
        <f t="shared" si="383"/>
        <v>16.86</v>
      </c>
      <c r="M1663">
        <f t="shared" si="384"/>
        <v>0.45</v>
      </c>
      <c r="N1663">
        <f t="shared" ref="N1663:N1726" si="388">AVERAGE(M1604:M1663)</f>
        <v>0.49999999999999994</v>
      </c>
      <c r="Q1663" t="str" cm="1">
        <f t="array" ref="Q1663:R1663">_xlfn.TEXTSPLIT(E1663," ")</f>
        <v>28.10.2023</v>
      </c>
      <c r="R1663" t="str">
        <v>03:43:49</v>
      </c>
      <c r="S1663">
        <f t="shared" si="387"/>
        <v>27.666666666666377</v>
      </c>
      <c r="T1663">
        <f t="shared" si="382"/>
        <v>28.820000000000007</v>
      </c>
      <c r="U1663">
        <f t="shared" si="385"/>
        <v>0.6</v>
      </c>
      <c r="V1663">
        <f t="shared" ref="V1663:V1726" si="389">AVERAGE(U1604:U1663)</f>
        <v>0.88500000000000001</v>
      </c>
    </row>
    <row r="1664" spans="1:22" x14ac:dyDescent="0.25">
      <c r="A1664" t="s">
        <v>3620</v>
      </c>
      <c r="B1664">
        <v>0.45</v>
      </c>
      <c r="C1664">
        <v>31.18</v>
      </c>
      <c r="E1664" t="s">
        <v>3620</v>
      </c>
      <c r="F1664">
        <v>1.05</v>
      </c>
      <c r="G1664">
        <v>107.44</v>
      </c>
      <c r="I1664" t="str" cm="1">
        <f t="array" ref="I1664:J1664">_xlfn.TEXTSPLIT(A1664," ")</f>
        <v>28.10.2023</v>
      </c>
      <c r="J1664" t="str">
        <v>03:44:49</v>
      </c>
      <c r="K1664">
        <f t="shared" si="386"/>
        <v>27.683333333333042</v>
      </c>
      <c r="L1664">
        <f t="shared" si="383"/>
        <v>16.86</v>
      </c>
      <c r="M1664">
        <f t="shared" si="384"/>
        <v>0.45</v>
      </c>
      <c r="N1664">
        <f t="shared" si="388"/>
        <v>0.49999999999999994</v>
      </c>
      <c r="Q1664" t="str" cm="1">
        <f t="array" ref="Q1664:R1664">_xlfn.TEXTSPLIT(E1664," ")</f>
        <v>28.10.2023</v>
      </c>
      <c r="R1664" t="str">
        <v>03:44:49</v>
      </c>
      <c r="S1664">
        <f t="shared" si="387"/>
        <v>27.683333333333042</v>
      </c>
      <c r="T1664">
        <f t="shared" si="382"/>
        <v>28.840000000000003</v>
      </c>
      <c r="U1664">
        <f t="shared" si="385"/>
        <v>1.05</v>
      </c>
      <c r="V1664">
        <f t="shared" si="389"/>
        <v>0.89000000000000012</v>
      </c>
    </row>
    <row r="1665" spans="1:22" x14ac:dyDescent="0.25">
      <c r="A1665" t="s">
        <v>3621</v>
      </c>
      <c r="B1665">
        <v>0.3</v>
      </c>
      <c r="C1665">
        <v>31.19</v>
      </c>
      <c r="E1665" t="s">
        <v>3621</v>
      </c>
      <c r="F1665">
        <v>1.35</v>
      </c>
      <c r="G1665">
        <v>107.46</v>
      </c>
      <c r="I1665" t="str" cm="1">
        <f t="array" ref="I1665:J1665">_xlfn.TEXTSPLIT(A1665," ")</f>
        <v>28.10.2023</v>
      </c>
      <c r="J1665" t="str">
        <v>03:45:49</v>
      </c>
      <c r="K1665">
        <f t="shared" si="386"/>
        <v>27.699999999999708</v>
      </c>
      <c r="L1665">
        <f t="shared" si="383"/>
        <v>16.87</v>
      </c>
      <c r="M1665">
        <f t="shared" si="384"/>
        <v>0.3</v>
      </c>
      <c r="N1665">
        <f t="shared" si="388"/>
        <v>0.49999999999999994</v>
      </c>
      <c r="Q1665" t="str" cm="1">
        <f t="array" ref="Q1665:R1665">_xlfn.TEXTSPLIT(E1665," ")</f>
        <v>28.10.2023</v>
      </c>
      <c r="R1665" t="str">
        <v>03:45:49</v>
      </c>
      <c r="S1665">
        <f t="shared" si="387"/>
        <v>27.699999999999708</v>
      </c>
      <c r="T1665">
        <f t="shared" si="382"/>
        <v>28.86</v>
      </c>
      <c r="U1665">
        <f t="shared" si="385"/>
        <v>1.35</v>
      </c>
      <c r="V1665">
        <f t="shared" si="389"/>
        <v>0.89500000000000002</v>
      </c>
    </row>
    <row r="1666" spans="1:22" x14ac:dyDescent="0.25">
      <c r="A1666" t="s">
        <v>3622</v>
      </c>
      <c r="B1666">
        <v>0.45</v>
      </c>
      <c r="C1666">
        <v>31.2</v>
      </c>
      <c r="E1666" t="s">
        <v>3622</v>
      </c>
      <c r="F1666">
        <v>1.05</v>
      </c>
      <c r="G1666">
        <v>107.48</v>
      </c>
      <c r="I1666" t="str" cm="1">
        <f t="array" ref="I1666:J1666">_xlfn.TEXTSPLIT(A1666," ")</f>
        <v>28.10.2023</v>
      </c>
      <c r="J1666" t="str">
        <v>03:46:49</v>
      </c>
      <c r="K1666">
        <f t="shared" si="386"/>
        <v>27.716666666666374</v>
      </c>
      <c r="L1666">
        <f t="shared" si="383"/>
        <v>16.88</v>
      </c>
      <c r="M1666">
        <f t="shared" si="384"/>
        <v>0.45</v>
      </c>
      <c r="N1666">
        <f t="shared" si="388"/>
        <v>0.49999999999999989</v>
      </c>
      <c r="Q1666" t="str" cm="1">
        <f t="array" ref="Q1666:R1666">_xlfn.TEXTSPLIT(E1666," ")</f>
        <v>28.10.2023</v>
      </c>
      <c r="R1666" t="str">
        <v>03:46:49</v>
      </c>
      <c r="S1666">
        <f t="shared" si="387"/>
        <v>27.716666666666374</v>
      </c>
      <c r="T1666">
        <f t="shared" si="382"/>
        <v>28.88000000000001</v>
      </c>
      <c r="U1666">
        <f t="shared" si="385"/>
        <v>1.05</v>
      </c>
      <c r="V1666">
        <f t="shared" si="389"/>
        <v>0.9</v>
      </c>
    </row>
    <row r="1667" spans="1:22" x14ac:dyDescent="0.25">
      <c r="A1667" t="s">
        <v>3623</v>
      </c>
      <c r="B1667">
        <v>0.75</v>
      </c>
      <c r="C1667">
        <v>31.21</v>
      </c>
      <c r="E1667" t="s">
        <v>3623</v>
      </c>
      <c r="F1667">
        <v>1.05</v>
      </c>
      <c r="G1667">
        <v>107.49</v>
      </c>
      <c r="I1667" t="str" cm="1">
        <f t="array" ref="I1667:J1667">_xlfn.TEXTSPLIT(A1667," ")</f>
        <v>28.10.2023</v>
      </c>
      <c r="J1667" t="str">
        <v>03:47:50</v>
      </c>
      <c r="K1667">
        <f t="shared" si="386"/>
        <v>27.733333333333039</v>
      </c>
      <c r="L1667">
        <f t="shared" si="383"/>
        <v>16.89</v>
      </c>
      <c r="M1667">
        <f t="shared" si="384"/>
        <v>0.75</v>
      </c>
      <c r="N1667">
        <f t="shared" si="388"/>
        <v>0.50249999999999995</v>
      </c>
      <c r="Q1667" t="str" cm="1">
        <f t="array" ref="Q1667:R1667">_xlfn.TEXTSPLIT(E1667," ")</f>
        <v>28.10.2023</v>
      </c>
      <c r="R1667" t="str">
        <v>03:47:50</v>
      </c>
      <c r="S1667">
        <f t="shared" si="387"/>
        <v>27.733333333333039</v>
      </c>
      <c r="T1667">
        <f t="shared" ref="T1667:T1730" si="390">G1667-78.6</f>
        <v>28.89</v>
      </c>
      <c r="U1667">
        <f t="shared" si="385"/>
        <v>1.05</v>
      </c>
      <c r="V1667">
        <f t="shared" si="389"/>
        <v>0.89749999999999985</v>
      </c>
    </row>
    <row r="1668" spans="1:22" x14ac:dyDescent="0.25">
      <c r="A1668" t="s">
        <v>3624</v>
      </c>
      <c r="B1668">
        <v>0.45</v>
      </c>
      <c r="C1668">
        <v>31.22</v>
      </c>
      <c r="E1668" t="s">
        <v>3624</v>
      </c>
      <c r="F1668">
        <v>0.6</v>
      </c>
      <c r="G1668">
        <v>107.5</v>
      </c>
      <c r="I1668" t="str" cm="1">
        <f t="array" ref="I1668:J1668">_xlfn.TEXTSPLIT(A1668," ")</f>
        <v>28.10.2023</v>
      </c>
      <c r="J1668" t="str">
        <v>03:48:50</v>
      </c>
      <c r="K1668">
        <f t="shared" si="386"/>
        <v>27.749999999999705</v>
      </c>
      <c r="L1668">
        <f t="shared" ref="L1668:L1731" si="391">C1668-14.32</f>
        <v>16.899999999999999</v>
      </c>
      <c r="M1668">
        <f t="shared" ref="M1668:M1731" si="392">B1668</f>
        <v>0.45</v>
      </c>
      <c r="N1668">
        <f t="shared" si="388"/>
        <v>0.50499999999999989</v>
      </c>
      <c r="Q1668" t="str" cm="1">
        <f t="array" ref="Q1668:R1668">_xlfn.TEXTSPLIT(E1668," ")</f>
        <v>28.10.2023</v>
      </c>
      <c r="R1668" t="str">
        <v>03:48:50</v>
      </c>
      <c r="S1668">
        <f t="shared" si="387"/>
        <v>27.749999999999705</v>
      </c>
      <c r="T1668">
        <f t="shared" si="390"/>
        <v>28.900000000000006</v>
      </c>
      <c r="U1668">
        <f t="shared" ref="U1668:U1731" si="393">F1668</f>
        <v>0.6</v>
      </c>
      <c r="V1668">
        <f t="shared" si="389"/>
        <v>0.89249999999999985</v>
      </c>
    </row>
    <row r="1669" spans="1:22" x14ac:dyDescent="0.25">
      <c r="A1669" t="s">
        <v>3625</v>
      </c>
      <c r="B1669">
        <v>0.45</v>
      </c>
      <c r="C1669">
        <v>31.22</v>
      </c>
      <c r="E1669" t="s">
        <v>3625</v>
      </c>
      <c r="F1669">
        <v>0.75</v>
      </c>
      <c r="G1669">
        <v>107.52</v>
      </c>
      <c r="I1669" t="str" cm="1">
        <f t="array" ref="I1669:J1669">_xlfn.TEXTSPLIT(A1669," ")</f>
        <v>28.10.2023</v>
      </c>
      <c r="J1669" t="str">
        <v>03:49:50</v>
      </c>
      <c r="K1669">
        <f t="shared" ref="K1669:K1732" si="394">1/60+K1668</f>
        <v>27.766666666666371</v>
      </c>
      <c r="L1669">
        <f t="shared" si="391"/>
        <v>16.899999999999999</v>
      </c>
      <c r="M1669">
        <f t="shared" si="392"/>
        <v>0.45</v>
      </c>
      <c r="N1669">
        <f t="shared" si="388"/>
        <v>0.49999999999999989</v>
      </c>
      <c r="Q1669" t="str" cm="1">
        <f t="array" ref="Q1669:R1669">_xlfn.TEXTSPLIT(E1669," ")</f>
        <v>28.10.2023</v>
      </c>
      <c r="R1669" t="str">
        <v>03:49:50</v>
      </c>
      <c r="S1669">
        <f t="shared" ref="S1669:S1732" si="395">1/60+S1668</f>
        <v>27.766666666666371</v>
      </c>
      <c r="T1669">
        <f t="shared" si="390"/>
        <v>28.92</v>
      </c>
      <c r="U1669">
        <f t="shared" si="393"/>
        <v>0.75</v>
      </c>
      <c r="V1669">
        <f t="shared" si="389"/>
        <v>0.89</v>
      </c>
    </row>
    <row r="1670" spans="1:22" x14ac:dyDescent="0.25">
      <c r="A1670" t="s">
        <v>3626</v>
      </c>
      <c r="B1670">
        <v>0</v>
      </c>
      <c r="C1670">
        <v>31.22</v>
      </c>
      <c r="E1670" t="s">
        <v>3626</v>
      </c>
      <c r="F1670">
        <v>0.6</v>
      </c>
      <c r="G1670">
        <v>107.52</v>
      </c>
      <c r="I1670" t="str" cm="1">
        <f t="array" ref="I1670:J1670">_xlfn.TEXTSPLIT(A1670," ")</f>
        <v>28.10.2023</v>
      </c>
      <c r="J1670" t="str">
        <v>03:50:50</v>
      </c>
      <c r="K1670">
        <f t="shared" si="394"/>
        <v>27.783333333333037</v>
      </c>
      <c r="L1670">
        <f t="shared" si="391"/>
        <v>16.899999999999999</v>
      </c>
      <c r="M1670">
        <f t="shared" si="392"/>
        <v>0</v>
      </c>
      <c r="N1670">
        <f t="shared" si="388"/>
        <v>0.49249999999999988</v>
      </c>
      <c r="Q1670" t="str" cm="1">
        <f t="array" ref="Q1670:R1670">_xlfn.TEXTSPLIT(E1670," ")</f>
        <v>28.10.2023</v>
      </c>
      <c r="R1670" t="str">
        <v>03:50:50</v>
      </c>
      <c r="S1670">
        <f t="shared" si="395"/>
        <v>27.783333333333037</v>
      </c>
      <c r="T1670">
        <f t="shared" si="390"/>
        <v>28.92</v>
      </c>
      <c r="U1670">
        <f t="shared" si="393"/>
        <v>0.6</v>
      </c>
      <c r="V1670">
        <f t="shared" si="389"/>
        <v>0.88749999999999996</v>
      </c>
    </row>
    <row r="1671" spans="1:22" x14ac:dyDescent="0.25">
      <c r="A1671" t="s">
        <v>3627</v>
      </c>
      <c r="B1671">
        <v>0.45</v>
      </c>
      <c r="C1671">
        <v>31.23</v>
      </c>
      <c r="E1671" t="s">
        <v>3627</v>
      </c>
      <c r="F1671">
        <v>0.15</v>
      </c>
      <c r="G1671">
        <v>107.52</v>
      </c>
      <c r="I1671" t="str" cm="1">
        <f t="array" ref="I1671:J1671">_xlfn.TEXTSPLIT(A1671," ")</f>
        <v>28.10.2023</v>
      </c>
      <c r="J1671" t="str">
        <v>03:51:50</v>
      </c>
      <c r="K1671">
        <f t="shared" si="394"/>
        <v>27.799999999999702</v>
      </c>
      <c r="L1671">
        <f t="shared" si="391"/>
        <v>16.91</v>
      </c>
      <c r="M1671">
        <f t="shared" si="392"/>
        <v>0.45</v>
      </c>
      <c r="N1671">
        <f t="shared" si="388"/>
        <v>0.49999999999999989</v>
      </c>
      <c r="Q1671" t="str" cm="1">
        <f t="array" ref="Q1671:R1671">_xlfn.TEXTSPLIT(E1671," ")</f>
        <v>28.10.2023</v>
      </c>
      <c r="R1671" t="str">
        <v>03:51:50</v>
      </c>
      <c r="S1671">
        <f t="shared" si="395"/>
        <v>27.799999999999702</v>
      </c>
      <c r="T1671">
        <f t="shared" si="390"/>
        <v>28.92</v>
      </c>
      <c r="U1671">
        <f t="shared" si="393"/>
        <v>0.15</v>
      </c>
      <c r="V1671">
        <f t="shared" si="389"/>
        <v>0.89</v>
      </c>
    </row>
    <row r="1672" spans="1:22" x14ac:dyDescent="0.25">
      <c r="A1672" t="s">
        <v>3628</v>
      </c>
      <c r="B1672">
        <v>0.45</v>
      </c>
      <c r="C1672">
        <v>31.23</v>
      </c>
      <c r="E1672" t="s">
        <v>3628</v>
      </c>
      <c r="F1672">
        <v>0.15</v>
      </c>
      <c r="G1672">
        <v>107.53</v>
      </c>
      <c r="I1672" t="str" cm="1">
        <f t="array" ref="I1672:J1672">_xlfn.TEXTSPLIT(A1672," ")</f>
        <v>28.10.2023</v>
      </c>
      <c r="J1672" t="str">
        <v>03:52:50</v>
      </c>
      <c r="K1672">
        <f t="shared" si="394"/>
        <v>27.816666666666368</v>
      </c>
      <c r="L1672">
        <f t="shared" si="391"/>
        <v>16.91</v>
      </c>
      <c r="M1672">
        <f t="shared" si="392"/>
        <v>0.45</v>
      </c>
      <c r="N1672">
        <f t="shared" si="388"/>
        <v>0.50249999999999995</v>
      </c>
      <c r="Q1672" t="str" cm="1">
        <f t="array" ref="Q1672:R1672">_xlfn.TEXTSPLIT(E1672," ")</f>
        <v>28.10.2023</v>
      </c>
      <c r="R1672" t="str">
        <v>03:52:50</v>
      </c>
      <c r="S1672">
        <f t="shared" si="395"/>
        <v>27.816666666666368</v>
      </c>
      <c r="T1672">
        <f t="shared" si="390"/>
        <v>28.930000000000007</v>
      </c>
      <c r="U1672">
        <f t="shared" si="393"/>
        <v>0.15</v>
      </c>
      <c r="V1672">
        <f t="shared" si="389"/>
        <v>0.89249999999999996</v>
      </c>
    </row>
    <row r="1673" spans="1:22" x14ac:dyDescent="0.25">
      <c r="A1673" t="s">
        <v>3629</v>
      </c>
      <c r="B1673">
        <v>0</v>
      </c>
      <c r="C1673">
        <v>31.23</v>
      </c>
      <c r="E1673" t="s">
        <v>3629</v>
      </c>
      <c r="F1673">
        <v>0.3</v>
      </c>
      <c r="G1673">
        <v>107.54</v>
      </c>
      <c r="I1673" t="str" cm="1">
        <f t="array" ref="I1673:J1673">_xlfn.TEXTSPLIT(A1673," ")</f>
        <v>28.10.2023</v>
      </c>
      <c r="J1673" t="str">
        <v>03:53:50</v>
      </c>
      <c r="K1673">
        <f t="shared" si="394"/>
        <v>27.833333333333034</v>
      </c>
      <c r="L1673">
        <f t="shared" si="391"/>
        <v>16.91</v>
      </c>
      <c r="M1673">
        <f t="shared" si="392"/>
        <v>0</v>
      </c>
      <c r="N1673">
        <f t="shared" si="388"/>
        <v>0.50249999999999995</v>
      </c>
      <c r="Q1673" t="str" cm="1">
        <f t="array" ref="Q1673:R1673">_xlfn.TEXTSPLIT(E1673," ")</f>
        <v>28.10.2023</v>
      </c>
      <c r="R1673" t="str">
        <v>03:53:50</v>
      </c>
      <c r="S1673">
        <f t="shared" si="395"/>
        <v>27.833333333333034</v>
      </c>
      <c r="T1673">
        <f t="shared" si="390"/>
        <v>28.940000000000012</v>
      </c>
      <c r="U1673">
        <f t="shared" si="393"/>
        <v>0.3</v>
      </c>
      <c r="V1673">
        <f t="shared" si="389"/>
        <v>0.89249999999999996</v>
      </c>
    </row>
    <row r="1674" spans="1:22" x14ac:dyDescent="0.25">
      <c r="A1674" t="s">
        <v>3630</v>
      </c>
      <c r="B1674">
        <v>0</v>
      </c>
      <c r="C1674">
        <v>31.23</v>
      </c>
      <c r="E1674" t="s">
        <v>3630</v>
      </c>
      <c r="F1674">
        <v>0.3</v>
      </c>
      <c r="G1674">
        <v>107.54</v>
      </c>
      <c r="I1674" t="str" cm="1">
        <f t="array" ref="I1674:J1674">_xlfn.TEXTSPLIT(A1674," ")</f>
        <v>28.10.2023</v>
      </c>
      <c r="J1674" t="str">
        <v>03:54:50</v>
      </c>
      <c r="K1674">
        <f t="shared" si="394"/>
        <v>27.849999999999699</v>
      </c>
      <c r="L1674">
        <f t="shared" si="391"/>
        <v>16.91</v>
      </c>
      <c r="M1674">
        <f t="shared" si="392"/>
        <v>0</v>
      </c>
      <c r="N1674">
        <f t="shared" si="388"/>
        <v>0.50249999999999995</v>
      </c>
      <c r="Q1674" t="str" cm="1">
        <f t="array" ref="Q1674:R1674">_xlfn.TEXTSPLIT(E1674," ")</f>
        <v>28.10.2023</v>
      </c>
      <c r="R1674" t="str">
        <v>03:54:50</v>
      </c>
      <c r="S1674">
        <f t="shared" si="395"/>
        <v>27.849999999999699</v>
      </c>
      <c r="T1674">
        <f t="shared" si="390"/>
        <v>28.940000000000012</v>
      </c>
      <c r="U1674">
        <f t="shared" si="393"/>
        <v>0.3</v>
      </c>
      <c r="V1674">
        <f t="shared" si="389"/>
        <v>0.89249999999999985</v>
      </c>
    </row>
    <row r="1675" spans="1:22" x14ac:dyDescent="0.25">
      <c r="A1675" t="s">
        <v>3631</v>
      </c>
      <c r="B1675">
        <v>0</v>
      </c>
      <c r="C1675">
        <v>31.23</v>
      </c>
      <c r="E1675" t="s">
        <v>3631</v>
      </c>
      <c r="F1675">
        <v>0.45</v>
      </c>
      <c r="G1675">
        <v>107.55</v>
      </c>
      <c r="I1675" t="str" cm="1">
        <f t="array" ref="I1675:J1675">_xlfn.TEXTSPLIT(A1675," ")</f>
        <v>28.10.2023</v>
      </c>
      <c r="J1675" t="str">
        <v>03:55:50</v>
      </c>
      <c r="K1675">
        <f t="shared" si="394"/>
        <v>27.866666666666365</v>
      </c>
      <c r="L1675">
        <f t="shared" si="391"/>
        <v>16.91</v>
      </c>
      <c r="M1675">
        <f t="shared" si="392"/>
        <v>0</v>
      </c>
      <c r="N1675">
        <f t="shared" si="388"/>
        <v>0.50249999999999995</v>
      </c>
      <c r="Q1675" t="str" cm="1">
        <f t="array" ref="Q1675:R1675">_xlfn.TEXTSPLIT(E1675," ")</f>
        <v>28.10.2023</v>
      </c>
      <c r="R1675" t="str">
        <v>03:55:50</v>
      </c>
      <c r="S1675">
        <f t="shared" si="395"/>
        <v>27.866666666666365</v>
      </c>
      <c r="T1675">
        <f t="shared" si="390"/>
        <v>28.950000000000003</v>
      </c>
      <c r="U1675">
        <f t="shared" si="393"/>
        <v>0.45</v>
      </c>
      <c r="V1675">
        <f t="shared" si="389"/>
        <v>0.8949999999999998</v>
      </c>
    </row>
    <row r="1676" spans="1:22" x14ac:dyDescent="0.25">
      <c r="A1676" t="s">
        <v>3632</v>
      </c>
      <c r="B1676">
        <v>0</v>
      </c>
      <c r="C1676">
        <v>31.23</v>
      </c>
      <c r="E1676" t="s">
        <v>3632</v>
      </c>
      <c r="F1676">
        <v>0.45</v>
      </c>
      <c r="G1676">
        <v>107.56</v>
      </c>
      <c r="I1676" t="str" cm="1">
        <f t="array" ref="I1676:J1676">_xlfn.TEXTSPLIT(A1676," ")</f>
        <v>28.10.2023</v>
      </c>
      <c r="J1676" t="str">
        <v>03:56:50</v>
      </c>
      <c r="K1676">
        <f t="shared" si="394"/>
        <v>27.883333333333031</v>
      </c>
      <c r="L1676">
        <f t="shared" si="391"/>
        <v>16.91</v>
      </c>
      <c r="M1676">
        <f t="shared" si="392"/>
        <v>0</v>
      </c>
      <c r="N1676">
        <f t="shared" si="388"/>
        <v>0.50249999999999995</v>
      </c>
      <c r="Q1676" t="str" cm="1">
        <f t="array" ref="Q1676:R1676">_xlfn.TEXTSPLIT(E1676," ")</f>
        <v>28.10.2023</v>
      </c>
      <c r="R1676" t="str">
        <v>03:56:50</v>
      </c>
      <c r="S1676">
        <f t="shared" si="395"/>
        <v>27.883333333333031</v>
      </c>
      <c r="T1676">
        <f t="shared" si="390"/>
        <v>28.960000000000008</v>
      </c>
      <c r="U1676">
        <f t="shared" si="393"/>
        <v>0.45</v>
      </c>
      <c r="V1676">
        <f t="shared" si="389"/>
        <v>0.89499999999999991</v>
      </c>
    </row>
    <row r="1677" spans="1:22" x14ac:dyDescent="0.25">
      <c r="A1677" t="s">
        <v>3633</v>
      </c>
      <c r="B1677">
        <v>0</v>
      </c>
      <c r="C1677">
        <v>31.23</v>
      </c>
      <c r="E1677" t="s">
        <v>3633</v>
      </c>
      <c r="F1677">
        <v>0.6</v>
      </c>
      <c r="G1677">
        <v>107.57</v>
      </c>
      <c r="I1677" t="str" cm="1">
        <f t="array" ref="I1677:J1677">_xlfn.TEXTSPLIT(A1677," ")</f>
        <v>28.10.2023</v>
      </c>
      <c r="J1677" t="str">
        <v>03:57:51</v>
      </c>
      <c r="K1677">
        <f t="shared" si="394"/>
        <v>27.899999999999697</v>
      </c>
      <c r="L1677">
        <f t="shared" si="391"/>
        <v>16.91</v>
      </c>
      <c r="M1677">
        <f t="shared" si="392"/>
        <v>0</v>
      </c>
      <c r="N1677">
        <f t="shared" si="388"/>
        <v>0.50249999999999995</v>
      </c>
      <c r="Q1677" t="str" cm="1">
        <f t="array" ref="Q1677:R1677">_xlfn.TEXTSPLIT(E1677," ")</f>
        <v>28.10.2023</v>
      </c>
      <c r="R1677" t="str">
        <v>03:57:51</v>
      </c>
      <c r="S1677">
        <f t="shared" si="395"/>
        <v>27.899999999999697</v>
      </c>
      <c r="T1677">
        <f t="shared" si="390"/>
        <v>28.97</v>
      </c>
      <c r="U1677">
        <f t="shared" si="393"/>
        <v>0.6</v>
      </c>
      <c r="V1677">
        <f t="shared" si="389"/>
        <v>0.89750000000000008</v>
      </c>
    </row>
    <row r="1678" spans="1:22" x14ac:dyDescent="0.25">
      <c r="A1678" t="s">
        <v>3634</v>
      </c>
      <c r="B1678">
        <v>0</v>
      </c>
      <c r="C1678">
        <v>31.24</v>
      </c>
      <c r="E1678" t="s">
        <v>3634</v>
      </c>
      <c r="F1678">
        <v>0.75</v>
      </c>
      <c r="G1678">
        <v>107.58</v>
      </c>
      <c r="I1678" t="str" cm="1">
        <f t="array" ref="I1678:J1678">_xlfn.TEXTSPLIT(A1678," ")</f>
        <v>28.10.2023</v>
      </c>
      <c r="J1678" t="str">
        <v>03:58:51</v>
      </c>
      <c r="K1678">
        <f t="shared" si="394"/>
        <v>27.916666666666362</v>
      </c>
      <c r="L1678">
        <f t="shared" si="391"/>
        <v>16.919999999999998</v>
      </c>
      <c r="M1678">
        <f t="shared" si="392"/>
        <v>0</v>
      </c>
      <c r="N1678">
        <f t="shared" si="388"/>
        <v>0.50249999999999995</v>
      </c>
      <c r="Q1678" t="str" cm="1">
        <f t="array" ref="Q1678:R1678">_xlfn.TEXTSPLIT(E1678," ")</f>
        <v>28.10.2023</v>
      </c>
      <c r="R1678" t="str">
        <v>03:58:51</v>
      </c>
      <c r="S1678">
        <f t="shared" si="395"/>
        <v>27.916666666666362</v>
      </c>
      <c r="T1678">
        <f t="shared" si="390"/>
        <v>28.980000000000004</v>
      </c>
      <c r="U1678">
        <f t="shared" si="393"/>
        <v>0.75</v>
      </c>
      <c r="V1678">
        <f t="shared" si="389"/>
        <v>0.9</v>
      </c>
    </row>
    <row r="1679" spans="1:22" x14ac:dyDescent="0.25">
      <c r="A1679" t="s">
        <v>3635</v>
      </c>
      <c r="B1679">
        <v>0.15</v>
      </c>
      <c r="C1679">
        <v>31.24</v>
      </c>
      <c r="E1679" t="s">
        <v>3635</v>
      </c>
      <c r="F1679">
        <v>0.75</v>
      </c>
      <c r="G1679">
        <v>107.6</v>
      </c>
      <c r="I1679" t="str" cm="1">
        <f t="array" ref="I1679:J1679">_xlfn.TEXTSPLIT(A1679," ")</f>
        <v>28.10.2023</v>
      </c>
      <c r="J1679" t="str">
        <v>03:59:51</v>
      </c>
      <c r="K1679">
        <f t="shared" si="394"/>
        <v>27.933333333333028</v>
      </c>
      <c r="L1679">
        <f t="shared" si="391"/>
        <v>16.919999999999998</v>
      </c>
      <c r="M1679">
        <f t="shared" si="392"/>
        <v>0.15</v>
      </c>
      <c r="N1679">
        <f t="shared" si="388"/>
        <v>0.50499999999999989</v>
      </c>
      <c r="Q1679" t="str" cm="1">
        <f t="array" ref="Q1679:R1679">_xlfn.TEXTSPLIT(E1679," ")</f>
        <v>28.10.2023</v>
      </c>
      <c r="R1679" t="str">
        <v>03:59:51</v>
      </c>
      <c r="S1679">
        <f t="shared" si="395"/>
        <v>27.933333333333028</v>
      </c>
      <c r="T1679">
        <f t="shared" si="390"/>
        <v>29</v>
      </c>
      <c r="U1679">
        <f t="shared" si="393"/>
        <v>0.75</v>
      </c>
      <c r="V1679">
        <f t="shared" si="389"/>
        <v>0.90249999999999997</v>
      </c>
    </row>
    <row r="1680" spans="1:22" x14ac:dyDescent="0.25">
      <c r="A1680" t="s">
        <v>3636</v>
      </c>
      <c r="B1680">
        <v>0.45</v>
      </c>
      <c r="C1680">
        <v>31.25</v>
      </c>
      <c r="E1680" t="s">
        <v>3636</v>
      </c>
      <c r="F1680">
        <v>0.6</v>
      </c>
      <c r="G1680">
        <v>107.6</v>
      </c>
      <c r="I1680" t="str" cm="1">
        <f t="array" ref="I1680:J1680">_xlfn.TEXTSPLIT(A1680," ")</f>
        <v>28.10.2023</v>
      </c>
      <c r="J1680" t="str">
        <v>04:00:51</v>
      </c>
      <c r="K1680">
        <f t="shared" si="394"/>
        <v>27.949999999999694</v>
      </c>
      <c r="L1680">
        <f t="shared" si="391"/>
        <v>16.93</v>
      </c>
      <c r="M1680">
        <f t="shared" si="392"/>
        <v>0.45</v>
      </c>
      <c r="N1680">
        <f t="shared" si="388"/>
        <v>0.50749999999999984</v>
      </c>
      <c r="Q1680" t="str" cm="1">
        <f t="array" ref="Q1680:R1680">_xlfn.TEXTSPLIT(E1680," ")</f>
        <v>28.10.2023</v>
      </c>
      <c r="R1680" t="str">
        <v>04:00:51</v>
      </c>
      <c r="S1680">
        <f t="shared" si="395"/>
        <v>27.949999999999694</v>
      </c>
      <c r="T1680">
        <f t="shared" si="390"/>
        <v>29</v>
      </c>
      <c r="U1680">
        <f t="shared" si="393"/>
        <v>0.6</v>
      </c>
      <c r="V1680">
        <f t="shared" si="389"/>
        <v>0.9</v>
      </c>
    </row>
    <row r="1681" spans="1:22" x14ac:dyDescent="0.25">
      <c r="A1681" t="s">
        <v>3637</v>
      </c>
      <c r="B1681">
        <v>0.45</v>
      </c>
      <c r="C1681">
        <v>31.25</v>
      </c>
      <c r="E1681" t="s">
        <v>3637</v>
      </c>
      <c r="F1681">
        <v>0.6</v>
      </c>
      <c r="G1681">
        <v>107.62</v>
      </c>
      <c r="I1681" t="str" cm="1">
        <f t="array" ref="I1681:J1681">_xlfn.TEXTSPLIT(A1681," ")</f>
        <v>28.10.2023</v>
      </c>
      <c r="J1681" t="str">
        <v>04:01:51</v>
      </c>
      <c r="K1681">
        <f t="shared" si="394"/>
        <v>27.966666666666359</v>
      </c>
      <c r="L1681">
        <f t="shared" si="391"/>
        <v>16.93</v>
      </c>
      <c r="M1681">
        <f t="shared" si="392"/>
        <v>0.45</v>
      </c>
      <c r="N1681">
        <f t="shared" si="388"/>
        <v>0.50499999999999978</v>
      </c>
      <c r="Q1681" t="str" cm="1">
        <f t="array" ref="Q1681:R1681">_xlfn.TEXTSPLIT(E1681," ")</f>
        <v>28.10.2023</v>
      </c>
      <c r="R1681" t="str">
        <v>04:01:51</v>
      </c>
      <c r="S1681">
        <f t="shared" si="395"/>
        <v>27.966666666666359</v>
      </c>
      <c r="T1681">
        <f t="shared" si="390"/>
        <v>29.02000000000001</v>
      </c>
      <c r="U1681">
        <f t="shared" si="393"/>
        <v>0.6</v>
      </c>
      <c r="V1681">
        <f t="shared" si="389"/>
        <v>0.89</v>
      </c>
    </row>
    <row r="1682" spans="1:22" x14ac:dyDescent="0.25">
      <c r="A1682" t="s">
        <v>3638</v>
      </c>
      <c r="B1682">
        <v>0.3</v>
      </c>
      <c r="C1682">
        <v>31.26</v>
      </c>
      <c r="E1682" t="s">
        <v>3638</v>
      </c>
      <c r="F1682">
        <v>0.6</v>
      </c>
      <c r="G1682">
        <v>107.63</v>
      </c>
      <c r="I1682" t="str" cm="1">
        <f t="array" ref="I1682:J1682">_xlfn.TEXTSPLIT(A1682," ")</f>
        <v>28.10.2023</v>
      </c>
      <c r="J1682" t="str">
        <v>04:02:51</v>
      </c>
      <c r="K1682">
        <f t="shared" si="394"/>
        <v>27.983333333333025</v>
      </c>
      <c r="L1682">
        <f t="shared" si="391"/>
        <v>16.940000000000001</v>
      </c>
      <c r="M1682">
        <f t="shared" si="392"/>
        <v>0.3</v>
      </c>
      <c r="N1682">
        <f t="shared" si="388"/>
        <v>0.50499999999999989</v>
      </c>
      <c r="Q1682" t="str" cm="1">
        <f t="array" ref="Q1682:R1682">_xlfn.TEXTSPLIT(E1682," ")</f>
        <v>28.10.2023</v>
      </c>
      <c r="R1682" t="str">
        <v>04:02:51</v>
      </c>
      <c r="S1682">
        <f t="shared" si="395"/>
        <v>27.983333333333025</v>
      </c>
      <c r="T1682">
        <f t="shared" si="390"/>
        <v>29.03</v>
      </c>
      <c r="U1682">
        <f t="shared" si="393"/>
        <v>0.6</v>
      </c>
      <c r="V1682">
        <f t="shared" si="389"/>
        <v>0.88</v>
      </c>
    </row>
    <row r="1683" spans="1:22" x14ac:dyDescent="0.25">
      <c r="A1683" t="s">
        <v>3639</v>
      </c>
      <c r="B1683">
        <v>0.45</v>
      </c>
      <c r="C1683">
        <v>31.27</v>
      </c>
      <c r="E1683" t="s">
        <v>3639</v>
      </c>
      <c r="F1683">
        <v>0.6</v>
      </c>
      <c r="G1683">
        <v>107.64</v>
      </c>
      <c r="I1683" t="str" cm="1">
        <f t="array" ref="I1683:J1683">_xlfn.TEXTSPLIT(A1683," ")</f>
        <v>28.10.2023</v>
      </c>
      <c r="J1683" t="str">
        <v>04:03:51</v>
      </c>
      <c r="K1683">
        <f t="shared" si="394"/>
        <v>27.999999999999691</v>
      </c>
      <c r="L1683">
        <f t="shared" si="391"/>
        <v>16.95</v>
      </c>
      <c r="M1683">
        <f t="shared" si="392"/>
        <v>0.45</v>
      </c>
      <c r="N1683">
        <f t="shared" si="388"/>
        <v>0.50499999999999978</v>
      </c>
      <c r="Q1683" t="str" cm="1">
        <f t="array" ref="Q1683:R1683">_xlfn.TEXTSPLIT(E1683," ")</f>
        <v>28.10.2023</v>
      </c>
      <c r="R1683" t="str">
        <v>04:03:51</v>
      </c>
      <c r="S1683">
        <f t="shared" si="395"/>
        <v>27.999999999999691</v>
      </c>
      <c r="T1683">
        <f t="shared" si="390"/>
        <v>29.040000000000006</v>
      </c>
      <c r="U1683">
        <f t="shared" si="393"/>
        <v>0.6</v>
      </c>
      <c r="V1683">
        <f t="shared" si="389"/>
        <v>0.875</v>
      </c>
    </row>
    <row r="1684" spans="1:22" x14ac:dyDescent="0.25">
      <c r="A1684" t="s">
        <v>3640</v>
      </c>
      <c r="B1684">
        <v>0.3</v>
      </c>
      <c r="C1684">
        <v>31.27</v>
      </c>
      <c r="E1684" t="s">
        <v>3640</v>
      </c>
      <c r="F1684">
        <v>0.75</v>
      </c>
      <c r="G1684">
        <v>107.65</v>
      </c>
      <c r="I1684" t="str" cm="1">
        <f t="array" ref="I1684:J1684">_xlfn.TEXTSPLIT(A1684," ")</f>
        <v>28.10.2023</v>
      </c>
      <c r="J1684" t="str">
        <v>04:04:51</v>
      </c>
      <c r="K1684">
        <f t="shared" si="394"/>
        <v>28.016666666666357</v>
      </c>
      <c r="L1684">
        <f t="shared" si="391"/>
        <v>16.95</v>
      </c>
      <c r="M1684">
        <f t="shared" si="392"/>
        <v>0.3</v>
      </c>
      <c r="N1684">
        <f t="shared" si="388"/>
        <v>0.49999999999999989</v>
      </c>
      <c r="Q1684" t="str" cm="1">
        <f t="array" ref="Q1684:R1684">_xlfn.TEXTSPLIT(E1684," ")</f>
        <v>28.10.2023</v>
      </c>
      <c r="R1684" t="str">
        <v>04:04:51</v>
      </c>
      <c r="S1684">
        <f t="shared" si="395"/>
        <v>28.016666666666357</v>
      </c>
      <c r="T1684">
        <f t="shared" si="390"/>
        <v>29.050000000000011</v>
      </c>
      <c r="U1684">
        <f t="shared" si="393"/>
        <v>0.75</v>
      </c>
      <c r="V1684">
        <f t="shared" si="389"/>
        <v>0.87750000000000006</v>
      </c>
    </row>
    <row r="1685" spans="1:22" x14ac:dyDescent="0.25">
      <c r="A1685" t="s">
        <v>3641</v>
      </c>
      <c r="B1685">
        <v>0.45</v>
      </c>
      <c r="C1685">
        <v>31.28</v>
      </c>
      <c r="E1685" t="s">
        <v>3641</v>
      </c>
      <c r="F1685">
        <v>0.6</v>
      </c>
      <c r="G1685">
        <v>107.68</v>
      </c>
      <c r="I1685" t="str" cm="1">
        <f t="array" ref="I1685:J1685">_xlfn.TEXTSPLIT(A1685," ")</f>
        <v>28.10.2023</v>
      </c>
      <c r="J1685" t="str">
        <v>04:05:51</v>
      </c>
      <c r="K1685">
        <f t="shared" si="394"/>
        <v>28.033333333333022</v>
      </c>
      <c r="L1685">
        <f t="shared" si="391"/>
        <v>16.96</v>
      </c>
      <c r="M1685">
        <f t="shared" si="392"/>
        <v>0.45</v>
      </c>
      <c r="N1685">
        <f t="shared" si="388"/>
        <v>0.50249999999999984</v>
      </c>
      <c r="Q1685" t="str" cm="1">
        <f t="array" ref="Q1685:R1685">_xlfn.TEXTSPLIT(E1685," ")</f>
        <v>28.10.2023</v>
      </c>
      <c r="R1685" t="str">
        <v>04:05:51</v>
      </c>
      <c r="S1685">
        <f t="shared" si="395"/>
        <v>28.033333333333022</v>
      </c>
      <c r="T1685">
        <f t="shared" si="390"/>
        <v>29.080000000000013</v>
      </c>
      <c r="U1685">
        <f t="shared" si="393"/>
        <v>0.6</v>
      </c>
      <c r="V1685">
        <f t="shared" si="389"/>
        <v>0.87500000000000011</v>
      </c>
    </row>
    <row r="1686" spans="1:22" x14ac:dyDescent="0.25">
      <c r="A1686" t="s">
        <v>3642</v>
      </c>
      <c r="B1686">
        <v>0.3</v>
      </c>
      <c r="C1686">
        <v>31.3</v>
      </c>
      <c r="E1686" t="s">
        <v>3642</v>
      </c>
      <c r="F1686">
        <v>2.85</v>
      </c>
      <c r="G1686">
        <v>107.74</v>
      </c>
      <c r="I1686" t="str" cm="1">
        <f t="array" ref="I1686:J1686">_xlfn.TEXTSPLIT(A1686," ")</f>
        <v>28.10.2023</v>
      </c>
      <c r="J1686" t="str">
        <v>04:06:52</v>
      </c>
      <c r="K1686">
        <f t="shared" si="394"/>
        <v>28.049999999999688</v>
      </c>
      <c r="L1686">
        <f t="shared" si="391"/>
        <v>16.98</v>
      </c>
      <c r="M1686">
        <f t="shared" si="392"/>
        <v>0.3</v>
      </c>
      <c r="N1686">
        <f t="shared" si="388"/>
        <v>0.49999999999999989</v>
      </c>
      <c r="Q1686" t="str" cm="1">
        <f t="array" ref="Q1686:R1686">_xlfn.TEXTSPLIT(E1686," ")</f>
        <v>28.10.2023</v>
      </c>
      <c r="R1686" t="str">
        <v>04:06:52</v>
      </c>
      <c r="S1686">
        <f t="shared" si="395"/>
        <v>28.049999999999688</v>
      </c>
      <c r="T1686">
        <f t="shared" si="390"/>
        <v>29.14</v>
      </c>
      <c r="U1686">
        <f t="shared" si="393"/>
        <v>2.85</v>
      </c>
      <c r="V1686">
        <f t="shared" si="389"/>
        <v>0.89500000000000013</v>
      </c>
    </row>
    <row r="1687" spans="1:22" x14ac:dyDescent="0.25">
      <c r="A1687" t="s">
        <v>3643</v>
      </c>
      <c r="B1687">
        <v>1.05</v>
      </c>
      <c r="C1687">
        <v>31.33</v>
      </c>
      <c r="E1687" t="s">
        <v>3643</v>
      </c>
      <c r="F1687">
        <v>2.5499999999999998</v>
      </c>
      <c r="G1687">
        <v>107.76</v>
      </c>
      <c r="I1687" t="str" cm="1">
        <f t="array" ref="I1687:J1687">_xlfn.TEXTSPLIT(A1687," ")</f>
        <v>28.10.2023</v>
      </c>
      <c r="J1687" t="str">
        <v>04:07:52</v>
      </c>
      <c r="K1687">
        <f t="shared" si="394"/>
        <v>28.066666666666354</v>
      </c>
      <c r="L1687">
        <f t="shared" si="391"/>
        <v>17.009999999999998</v>
      </c>
      <c r="M1687">
        <f t="shared" si="392"/>
        <v>1.05</v>
      </c>
      <c r="N1687">
        <f t="shared" si="388"/>
        <v>0.49749999999999989</v>
      </c>
      <c r="Q1687" t="str" cm="1">
        <f t="array" ref="Q1687:R1687">_xlfn.TEXTSPLIT(E1687," ")</f>
        <v>28.10.2023</v>
      </c>
      <c r="R1687" t="str">
        <v>04:07:52</v>
      </c>
      <c r="S1687">
        <f t="shared" si="395"/>
        <v>28.066666666666354</v>
      </c>
      <c r="T1687">
        <f t="shared" si="390"/>
        <v>29.160000000000011</v>
      </c>
      <c r="U1687">
        <f t="shared" si="393"/>
        <v>2.5499999999999998</v>
      </c>
      <c r="V1687">
        <f t="shared" si="389"/>
        <v>0.87750000000000006</v>
      </c>
    </row>
    <row r="1688" spans="1:22" x14ac:dyDescent="0.25">
      <c r="A1688" t="s">
        <v>3644</v>
      </c>
      <c r="B1688">
        <v>2.25</v>
      </c>
      <c r="C1688">
        <v>31.36</v>
      </c>
      <c r="E1688" t="s">
        <v>3644</v>
      </c>
      <c r="F1688">
        <v>1.65</v>
      </c>
      <c r="G1688">
        <v>107.79</v>
      </c>
      <c r="I1688" t="str" cm="1">
        <f t="array" ref="I1688:J1688">_xlfn.TEXTSPLIT(A1688," ")</f>
        <v>28.10.2023</v>
      </c>
      <c r="J1688" t="str">
        <v>04:08:52</v>
      </c>
      <c r="K1688">
        <f t="shared" si="394"/>
        <v>28.08333333333302</v>
      </c>
      <c r="L1688">
        <f t="shared" si="391"/>
        <v>17.04</v>
      </c>
      <c r="M1688">
        <f t="shared" si="392"/>
        <v>2.25</v>
      </c>
      <c r="N1688">
        <f t="shared" si="388"/>
        <v>0.49749999999999989</v>
      </c>
      <c r="Q1688" t="str" cm="1">
        <f t="array" ref="Q1688:R1688">_xlfn.TEXTSPLIT(E1688," ")</f>
        <v>28.10.2023</v>
      </c>
      <c r="R1688" t="str">
        <v>04:08:52</v>
      </c>
      <c r="S1688">
        <f t="shared" si="395"/>
        <v>28.08333333333302</v>
      </c>
      <c r="T1688">
        <f t="shared" si="390"/>
        <v>29.190000000000012</v>
      </c>
      <c r="U1688">
        <f t="shared" si="393"/>
        <v>1.65</v>
      </c>
      <c r="V1688">
        <f t="shared" si="389"/>
        <v>0.88000000000000012</v>
      </c>
    </row>
    <row r="1689" spans="1:22" x14ac:dyDescent="0.25">
      <c r="A1689" t="s">
        <v>3645</v>
      </c>
      <c r="B1689">
        <v>1.95</v>
      </c>
      <c r="C1689">
        <v>31.38</v>
      </c>
      <c r="E1689" t="s">
        <v>3645</v>
      </c>
      <c r="F1689">
        <v>1.35</v>
      </c>
      <c r="G1689">
        <v>107.81</v>
      </c>
      <c r="I1689" t="str" cm="1">
        <f t="array" ref="I1689:J1689">_xlfn.TEXTSPLIT(A1689," ")</f>
        <v>28.10.2023</v>
      </c>
      <c r="J1689" t="str">
        <v>04:09:52</v>
      </c>
      <c r="K1689">
        <f t="shared" si="394"/>
        <v>28.099999999999685</v>
      </c>
      <c r="L1689">
        <f t="shared" si="391"/>
        <v>17.059999999999999</v>
      </c>
      <c r="M1689">
        <f t="shared" si="392"/>
        <v>1.95</v>
      </c>
      <c r="N1689">
        <f t="shared" si="388"/>
        <v>0.49999999999999994</v>
      </c>
      <c r="Q1689" t="str" cm="1">
        <f t="array" ref="Q1689:R1689">_xlfn.TEXTSPLIT(E1689," ")</f>
        <v>28.10.2023</v>
      </c>
      <c r="R1689" t="str">
        <v>04:09:52</v>
      </c>
      <c r="S1689">
        <f t="shared" si="395"/>
        <v>28.099999999999685</v>
      </c>
      <c r="T1689">
        <f t="shared" si="390"/>
        <v>29.210000000000008</v>
      </c>
      <c r="U1689">
        <f t="shared" si="393"/>
        <v>1.35</v>
      </c>
      <c r="V1689">
        <f t="shared" si="389"/>
        <v>0.88250000000000006</v>
      </c>
    </row>
    <row r="1690" spans="1:22" x14ac:dyDescent="0.25">
      <c r="A1690" t="s">
        <v>3646</v>
      </c>
      <c r="B1690">
        <v>1.2</v>
      </c>
      <c r="C1690">
        <v>31.39</v>
      </c>
      <c r="E1690" t="s">
        <v>3646</v>
      </c>
      <c r="F1690">
        <v>1.65</v>
      </c>
      <c r="G1690">
        <v>107.83</v>
      </c>
      <c r="I1690" t="str" cm="1">
        <f t="array" ref="I1690:J1690">_xlfn.TEXTSPLIT(A1690," ")</f>
        <v>28.10.2023</v>
      </c>
      <c r="J1690" t="str">
        <v>04:10:52</v>
      </c>
      <c r="K1690">
        <f t="shared" si="394"/>
        <v>28.116666666666351</v>
      </c>
      <c r="L1690">
        <f t="shared" si="391"/>
        <v>17.07</v>
      </c>
      <c r="M1690">
        <f t="shared" si="392"/>
        <v>1.2</v>
      </c>
      <c r="N1690">
        <f t="shared" si="388"/>
        <v>0.49999999999999994</v>
      </c>
      <c r="Q1690" t="str" cm="1">
        <f t="array" ref="Q1690:R1690">_xlfn.TEXTSPLIT(E1690," ")</f>
        <v>28.10.2023</v>
      </c>
      <c r="R1690" t="str">
        <v>04:10:52</v>
      </c>
      <c r="S1690">
        <f t="shared" si="395"/>
        <v>28.116666666666351</v>
      </c>
      <c r="T1690">
        <f t="shared" si="390"/>
        <v>29.230000000000004</v>
      </c>
      <c r="U1690">
        <f t="shared" si="393"/>
        <v>1.65</v>
      </c>
      <c r="V1690">
        <f t="shared" si="389"/>
        <v>0.89750000000000008</v>
      </c>
    </row>
    <row r="1691" spans="1:22" x14ac:dyDescent="0.25">
      <c r="A1691" t="s">
        <v>3647</v>
      </c>
      <c r="B1691">
        <v>0.75</v>
      </c>
      <c r="C1691">
        <v>31.4</v>
      </c>
      <c r="E1691" t="s">
        <v>3647</v>
      </c>
      <c r="F1691">
        <v>1.5</v>
      </c>
      <c r="G1691">
        <v>107.85</v>
      </c>
      <c r="I1691" t="str" cm="1">
        <f t="array" ref="I1691:J1691">_xlfn.TEXTSPLIT(A1691," ")</f>
        <v>28.10.2023</v>
      </c>
      <c r="J1691" t="str">
        <v>04:11:52</v>
      </c>
      <c r="K1691">
        <f t="shared" si="394"/>
        <v>28.133333333333017</v>
      </c>
      <c r="L1691">
        <f t="shared" si="391"/>
        <v>17.079999999999998</v>
      </c>
      <c r="M1691">
        <f t="shared" si="392"/>
        <v>0.75</v>
      </c>
      <c r="N1691">
        <f t="shared" si="388"/>
        <v>0.49749999999999989</v>
      </c>
      <c r="Q1691" t="str" cm="1">
        <f t="array" ref="Q1691:R1691">_xlfn.TEXTSPLIT(E1691," ")</f>
        <v>28.10.2023</v>
      </c>
      <c r="R1691" t="str">
        <v>04:11:52</v>
      </c>
      <c r="S1691">
        <f t="shared" si="395"/>
        <v>28.133333333333017</v>
      </c>
      <c r="T1691">
        <f t="shared" si="390"/>
        <v>29.25</v>
      </c>
      <c r="U1691">
        <f t="shared" si="393"/>
        <v>1.5</v>
      </c>
      <c r="V1691">
        <f t="shared" si="389"/>
        <v>0.90250000000000008</v>
      </c>
    </row>
    <row r="1692" spans="1:22" x14ac:dyDescent="0.25">
      <c r="A1692" t="s">
        <v>3648</v>
      </c>
      <c r="B1692">
        <v>0.6</v>
      </c>
      <c r="C1692">
        <v>31.41</v>
      </c>
      <c r="E1692" t="s">
        <v>3648</v>
      </c>
      <c r="F1692">
        <v>0.75</v>
      </c>
      <c r="G1692">
        <v>107.86</v>
      </c>
      <c r="I1692" t="str" cm="1">
        <f t="array" ref="I1692:J1692">_xlfn.TEXTSPLIT(A1692," ")</f>
        <v>28.10.2023</v>
      </c>
      <c r="J1692" t="str">
        <v>04:12:52</v>
      </c>
      <c r="K1692">
        <f t="shared" si="394"/>
        <v>28.149999999999682</v>
      </c>
      <c r="L1692">
        <f t="shared" si="391"/>
        <v>17.09</v>
      </c>
      <c r="M1692">
        <f t="shared" si="392"/>
        <v>0.6</v>
      </c>
      <c r="N1692">
        <f t="shared" si="388"/>
        <v>0.49999999999999989</v>
      </c>
      <c r="Q1692" t="str" cm="1">
        <f t="array" ref="Q1692:R1692">_xlfn.TEXTSPLIT(E1692," ")</f>
        <v>28.10.2023</v>
      </c>
      <c r="R1692" t="str">
        <v>04:12:52</v>
      </c>
      <c r="S1692">
        <f t="shared" si="395"/>
        <v>28.149999999999682</v>
      </c>
      <c r="T1692">
        <f t="shared" si="390"/>
        <v>29.260000000000005</v>
      </c>
      <c r="U1692">
        <f t="shared" si="393"/>
        <v>0.75</v>
      </c>
      <c r="V1692">
        <f t="shared" si="389"/>
        <v>0.89500000000000002</v>
      </c>
    </row>
    <row r="1693" spans="1:22" x14ac:dyDescent="0.25">
      <c r="A1693" t="s">
        <v>3649</v>
      </c>
      <c r="B1693">
        <v>0.3</v>
      </c>
      <c r="C1693">
        <v>31.41</v>
      </c>
      <c r="E1693" t="s">
        <v>3649</v>
      </c>
      <c r="F1693">
        <v>0.75</v>
      </c>
      <c r="G1693">
        <v>107.87</v>
      </c>
      <c r="I1693" t="str" cm="1">
        <f t="array" ref="I1693:J1693">_xlfn.TEXTSPLIT(A1693," ")</f>
        <v>28.10.2023</v>
      </c>
      <c r="J1693" t="str">
        <v>04:13:52</v>
      </c>
      <c r="K1693">
        <f t="shared" si="394"/>
        <v>28.166666666666348</v>
      </c>
      <c r="L1693">
        <f t="shared" si="391"/>
        <v>17.09</v>
      </c>
      <c r="M1693">
        <f t="shared" si="392"/>
        <v>0.3</v>
      </c>
      <c r="N1693">
        <f t="shared" si="388"/>
        <v>0.49249999999999988</v>
      </c>
      <c r="Q1693" t="str" cm="1">
        <f t="array" ref="Q1693:R1693">_xlfn.TEXTSPLIT(E1693," ")</f>
        <v>28.10.2023</v>
      </c>
      <c r="R1693" t="str">
        <v>04:13:52</v>
      </c>
      <c r="S1693">
        <f t="shared" si="395"/>
        <v>28.166666666666348</v>
      </c>
      <c r="T1693">
        <f t="shared" si="390"/>
        <v>29.27000000000001</v>
      </c>
      <c r="U1693">
        <f t="shared" si="393"/>
        <v>0.75</v>
      </c>
      <c r="V1693">
        <f t="shared" si="389"/>
        <v>0.88750000000000007</v>
      </c>
    </row>
    <row r="1694" spans="1:22" x14ac:dyDescent="0.25">
      <c r="A1694" t="s">
        <v>3650</v>
      </c>
      <c r="B1694">
        <v>0.6</v>
      </c>
      <c r="C1694">
        <v>31.42</v>
      </c>
      <c r="E1694" t="s">
        <v>3650</v>
      </c>
      <c r="F1694">
        <v>0.6</v>
      </c>
      <c r="G1694">
        <v>107.88</v>
      </c>
      <c r="I1694" t="str" cm="1">
        <f t="array" ref="I1694:J1694">_xlfn.TEXTSPLIT(A1694," ")</f>
        <v>28.10.2023</v>
      </c>
      <c r="J1694" t="str">
        <v>04:14:52</v>
      </c>
      <c r="K1694">
        <f t="shared" si="394"/>
        <v>28.183333333333014</v>
      </c>
      <c r="L1694">
        <f t="shared" si="391"/>
        <v>17.100000000000001</v>
      </c>
      <c r="M1694">
        <f t="shared" si="392"/>
        <v>0.6</v>
      </c>
      <c r="N1694">
        <f t="shared" si="388"/>
        <v>0.49749999999999989</v>
      </c>
      <c r="Q1694" t="str" cm="1">
        <f t="array" ref="Q1694:R1694">_xlfn.TEXTSPLIT(E1694," ")</f>
        <v>28.10.2023</v>
      </c>
      <c r="R1694" t="str">
        <v>04:14:52</v>
      </c>
      <c r="S1694">
        <f t="shared" si="395"/>
        <v>28.183333333333014</v>
      </c>
      <c r="T1694">
        <f t="shared" si="390"/>
        <v>29.28</v>
      </c>
      <c r="U1694">
        <f t="shared" si="393"/>
        <v>0.6</v>
      </c>
      <c r="V1694">
        <f t="shared" si="389"/>
        <v>0.88250000000000017</v>
      </c>
    </row>
    <row r="1695" spans="1:22" x14ac:dyDescent="0.25">
      <c r="A1695" t="s">
        <v>3651</v>
      </c>
      <c r="B1695">
        <v>0.3</v>
      </c>
      <c r="C1695">
        <v>31.43</v>
      </c>
      <c r="E1695" t="s">
        <v>3651</v>
      </c>
      <c r="F1695">
        <v>0.6</v>
      </c>
      <c r="G1695">
        <v>107.89</v>
      </c>
      <c r="I1695" t="str" cm="1">
        <f t="array" ref="I1695:J1695">_xlfn.TEXTSPLIT(A1695," ")</f>
        <v>28.10.2023</v>
      </c>
      <c r="J1695" t="str">
        <v>04:15:52</v>
      </c>
      <c r="K1695">
        <f t="shared" si="394"/>
        <v>28.19999999999968</v>
      </c>
      <c r="L1695">
        <f t="shared" si="391"/>
        <v>17.11</v>
      </c>
      <c r="M1695">
        <f t="shared" si="392"/>
        <v>0.3</v>
      </c>
      <c r="N1695">
        <f t="shared" si="388"/>
        <v>0.49499999999999994</v>
      </c>
      <c r="Q1695" t="str" cm="1">
        <f t="array" ref="Q1695:R1695">_xlfn.TEXTSPLIT(E1695," ")</f>
        <v>28.10.2023</v>
      </c>
      <c r="R1695" t="str">
        <v>04:15:52</v>
      </c>
      <c r="S1695">
        <f t="shared" si="395"/>
        <v>28.19999999999968</v>
      </c>
      <c r="T1695">
        <f t="shared" si="390"/>
        <v>29.290000000000006</v>
      </c>
      <c r="U1695">
        <f t="shared" si="393"/>
        <v>0.6</v>
      </c>
      <c r="V1695">
        <f t="shared" si="389"/>
        <v>0.88000000000000034</v>
      </c>
    </row>
    <row r="1696" spans="1:22" x14ac:dyDescent="0.25">
      <c r="A1696" t="s">
        <v>3652</v>
      </c>
      <c r="B1696">
        <v>0.45</v>
      </c>
      <c r="C1696">
        <v>31.44</v>
      </c>
      <c r="E1696" t="s">
        <v>3652</v>
      </c>
      <c r="F1696">
        <v>0.75</v>
      </c>
      <c r="G1696">
        <v>107.91</v>
      </c>
      <c r="I1696" t="str" cm="1">
        <f t="array" ref="I1696:J1696">_xlfn.TEXTSPLIT(A1696," ")</f>
        <v>28.10.2023</v>
      </c>
      <c r="J1696" t="str">
        <v>04:16:53</v>
      </c>
      <c r="K1696">
        <f t="shared" si="394"/>
        <v>28.216666666666345</v>
      </c>
      <c r="L1696">
        <f t="shared" si="391"/>
        <v>17.12</v>
      </c>
      <c r="M1696">
        <f t="shared" si="392"/>
        <v>0.45</v>
      </c>
      <c r="N1696">
        <f t="shared" si="388"/>
        <v>0.49249999999999988</v>
      </c>
      <c r="Q1696" t="str" cm="1">
        <f t="array" ref="Q1696:R1696">_xlfn.TEXTSPLIT(E1696," ")</f>
        <v>28.10.2023</v>
      </c>
      <c r="R1696" t="str">
        <v>04:16:53</v>
      </c>
      <c r="S1696">
        <f t="shared" si="395"/>
        <v>28.216666666666345</v>
      </c>
      <c r="T1696">
        <f t="shared" si="390"/>
        <v>29.310000000000002</v>
      </c>
      <c r="U1696">
        <f t="shared" si="393"/>
        <v>0.75</v>
      </c>
      <c r="V1696">
        <f t="shared" si="389"/>
        <v>0.88000000000000023</v>
      </c>
    </row>
    <row r="1697" spans="1:22" x14ac:dyDescent="0.25">
      <c r="A1697" t="s">
        <v>3653</v>
      </c>
      <c r="B1697">
        <v>0.75</v>
      </c>
      <c r="C1697">
        <v>31.45</v>
      </c>
      <c r="E1697" t="s">
        <v>3653</v>
      </c>
      <c r="F1697">
        <v>0.9</v>
      </c>
      <c r="G1697">
        <v>107.93</v>
      </c>
      <c r="I1697" t="str" cm="1">
        <f t="array" ref="I1697:J1697">_xlfn.TEXTSPLIT(A1697," ")</f>
        <v>28.10.2023</v>
      </c>
      <c r="J1697" t="str">
        <v>04:17:53</v>
      </c>
      <c r="K1697">
        <f t="shared" si="394"/>
        <v>28.233333333333011</v>
      </c>
      <c r="L1697">
        <f t="shared" si="391"/>
        <v>17.13</v>
      </c>
      <c r="M1697">
        <f t="shared" si="392"/>
        <v>0.75</v>
      </c>
      <c r="N1697">
        <f t="shared" si="388"/>
        <v>0.49499999999999994</v>
      </c>
      <c r="Q1697" t="str" cm="1">
        <f t="array" ref="Q1697:R1697">_xlfn.TEXTSPLIT(E1697," ")</f>
        <v>28.10.2023</v>
      </c>
      <c r="R1697" t="str">
        <v>04:17:53</v>
      </c>
      <c r="S1697">
        <f t="shared" si="395"/>
        <v>28.233333333333011</v>
      </c>
      <c r="T1697">
        <f t="shared" si="390"/>
        <v>29.330000000000013</v>
      </c>
      <c r="U1697">
        <f t="shared" si="393"/>
        <v>0.9</v>
      </c>
      <c r="V1697">
        <f t="shared" si="389"/>
        <v>0.88250000000000006</v>
      </c>
    </row>
    <row r="1698" spans="1:22" x14ac:dyDescent="0.25">
      <c r="A1698" t="s">
        <v>3654</v>
      </c>
      <c r="B1698">
        <v>0.45</v>
      </c>
      <c r="C1698">
        <v>31.46</v>
      </c>
      <c r="E1698" t="s">
        <v>3654</v>
      </c>
      <c r="F1698">
        <v>1.2</v>
      </c>
      <c r="G1698">
        <v>107.95</v>
      </c>
      <c r="I1698" t="str" cm="1">
        <f t="array" ref="I1698:J1698">_xlfn.TEXTSPLIT(A1698," ")</f>
        <v>28.10.2023</v>
      </c>
      <c r="J1698" t="str">
        <v>04:18:53</v>
      </c>
      <c r="K1698">
        <f t="shared" si="394"/>
        <v>28.249999999999677</v>
      </c>
      <c r="L1698">
        <f t="shared" si="391"/>
        <v>17.14</v>
      </c>
      <c r="M1698">
        <f t="shared" si="392"/>
        <v>0.45</v>
      </c>
      <c r="N1698">
        <f t="shared" si="388"/>
        <v>0.49499999999999994</v>
      </c>
      <c r="Q1698" t="str" cm="1">
        <f t="array" ref="Q1698:R1698">_xlfn.TEXTSPLIT(E1698," ")</f>
        <v>28.10.2023</v>
      </c>
      <c r="R1698" t="str">
        <v>04:18:53</v>
      </c>
      <c r="S1698">
        <f t="shared" si="395"/>
        <v>28.249999999999677</v>
      </c>
      <c r="T1698">
        <f t="shared" si="390"/>
        <v>29.350000000000009</v>
      </c>
      <c r="U1698">
        <f t="shared" si="393"/>
        <v>1.2</v>
      </c>
      <c r="V1698">
        <f t="shared" si="389"/>
        <v>0.88500000000000012</v>
      </c>
    </row>
    <row r="1699" spans="1:22" x14ac:dyDescent="0.25">
      <c r="A1699" t="s">
        <v>3655</v>
      </c>
      <c r="B1699">
        <v>0.3</v>
      </c>
      <c r="C1699">
        <v>31.46</v>
      </c>
      <c r="E1699" t="s">
        <v>3655</v>
      </c>
      <c r="F1699">
        <v>1.35</v>
      </c>
      <c r="G1699">
        <v>107.96</v>
      </c>
      <c r="I1699" t="str" cm="1">
        <f t="array" ref="I1699:J1699">_xlfn.TEXTSPLIT(A1699," ")</f>
        <v>28.10.2023</v>
      </c>
      <c r="J1699" t="str">
        <v>04:19:53</v>
      </c>
      <c r="K1699">
        <f t="shared" si="394"/>
        <v>28.266666666666342</v>
      </c>
      <c r="L1699">
        <f t="shared" si="391"/>
        <v>17.14</v>
      </c>
      <c r="M1699">
        <f t="shared" si="392"/>
        <v>0.3</v>
      </c>
      <c r="N1699">
        <f t="shared" si="388"/>
        <v>0.49249999999999994</v>
      </c>
      <c r="Q1699" t="str" cm="1">
        <f t="array" ref="Q1699:R1699">_xlfn.TEXTSPLIT(E1699," ")</f>
        <v>28.10.2023</v>
      </c>
      <c r="R1699" t="str">
        <v>04:19:53</v>
      </c>
      <c r="S1699">
        <f t="shared" si="395"/>
        <v>28.266666666666342</v>
      </c>
      <c r="T1699">
        <f t="shared" si="390"/>
        <v>29.36</v>
      </c>
      <c r="U1699">
        <f t="shared" si="393"/>
        <v>1.35</v>
      </c>
      <c r="V1699">
        <f t="shared" si="389"/>
        <v>0.89000000000000024</v>
      </c>
    </row>
    <row r="1700" spans="1:22" x14ac:dyDescent="0.25">
      <c r="A1700" t="s">
        <v>3656</v>
      </c>
      <c r="B1700">
        <v>0</v>
      </c>
      <c r="C1700">
        <v>31.46</v>
      </c>
      <c r="E1700" t="s">
        <v>3656</v>
      </c>
      <c r="F1700">
        <v>0.9</v>
      </c>
      <c r="G1700">
        <v>107.97</v>
      </c>
      <c r="I1700" t="str" cm="1">
        <f t="array" ref="I1700:J1700">_xlfn.TEXTSPLIT(A1700," ")</f>
        <v>28.10.2023</v>
      </c>
      <c r="J1700" t="str">
        <v>04:20:53</v>
      </c>
      <c r="K1700">
        <f t="shared" si="394"/>
        <v>28.283333333333008</v>
      </c>
      <c r="L1700">
        <f t="shared" si="391"/>
        <v>17.14</v>
      </c>
      <c r="M1700">
        <f t="shared" si="392"/>
        <v>0</v>
      </c>
      <c r="N1700">
        <f t="shared" si="388"/>
        <v>0.49</v>
      </c>
      <c r="Q1700" t="str" cm="1">
        <f t="array" ref="Q1700:R1700">_xlfn.TEXTSPLIT(E1700," ")</f>
        <v>28.10.2023</v>
      </c>
      <c r="R1700" t="str">
        <v>04:20:53</v>
      </c>
      <c r="S1700">
        <f t="shared" si="395"/>
        <v>28.283333333333008</v>
      </c>
      <c r="T1700">
        <f t="shared" si="390"/>
        <v>29.370000000000005</v>
      </c>
      <c r="U1700">
        <f t="shared" si="393"/>
        <v>0.9</v>
      </c>
      <c r="V1700">
        <f t="shared" si="389"/>
        <v>0.89000000000000024</v>
      </c>
    </row>
    <row r="1701" spans="1:22" x14ac:dyDescent="0.25">
      <c r="A1701" t="s">
        <v>3657</v>
      </c>
      <c r="B1701">
        <v>0.3</v>
      </c>
      <c r="C1701">
        <v>31.47</v>
      </c>
      <c r="E1701" t="s">
        <v>3657</v>
      </c>
      <c r="F1701">
        <v>0.15</v>
      </c>
      <c r="G1701">
        <v>107.97</v>
      </c>
      <c r="I1701" t="str" cm="1">
        <f t="array" ref="I1701:J1701">_xlfn.TEXTSPLIT(A1701," ")</f>
        <v>28.10.2023</v>
      </c>
      <c r="J1701" t="str">
        <v>04:21:53</v>
      </c>
      <c r="K1701">
        <f t="shared" si="394"/>
        <v>28.299999999999674</v>
      </c>
      <c r="L1701">
        <f t="shared" si="391"/>
        <v>17.149999999999999</v>
      </c>
      <c r="M1701">
        <f t="shared" si="392"/>
        <v>0.3</v>
      </c>
      <c r="N1701">
        <f t="shared" si="388"/>
        <v>0.48249999999999993</v>
      </c>
      <c r="Q1701" t="str" cm="1">
        <f t="array" ref="Q1701:R1701">_xlfn.TEXTSPLIT(E1701," ")</f>
        <v>28.10.2023</v>
      </c>
      <c r="R1701" t="str">
        <v>04:21:53</v>
      </c>
      <c r="S1701">
        <f t="shared" si="395"/>
        <v>28.299999999999674</v>
      </c>
      <c r="T1701">
        <f t="shared" si="390"/>
        <v>29.370000000000005</v>
      </c>
      <c r="U1701">
        <f t="shared" si="393"/>
        <v>0.15</v>
      </c>
      <c r="V1701">
        <f t="shared" si="389"/>
        <v>0.89000000000000024</v>
      </c>
    </row>
    <row r="1702" spans="1:22" x14ac:dyDescent="0.25">
      <c r="A1702" t="s">
        <v>3658</v>
      </c>
      <c r="B1702">
        <v>0.45</v>
      </c>
      <c r="C1702">
        <v>31.47</v>
      </c>
      <c r="E1702" t="s">
        <v>3658</v>
      </c>
      <c r="F1702">
        <v>0.3</v>
      </c>
      <c r="G1702">
        <v>107.98</v>
      </c>
      <c r="I1702" t="str" cm="1">
        <f t="array" ref="I1702:J1702">_xlfn.TEXTSPLIT(A1702," ")</f>
        <v>28.10.2023</v>
      </c>
      <c r="J1702" t="str">
        <v>04:22:53</v>
      </c>
      <c r="K1702">
        <f t="shared" si="394"/>
        <v>28.31666666666634</v>
      </c>
      <c r="L1702">
        <f t="shared" si="391"/>
        <v>17.149999999999999</v>
      </c>
      <c r="M1702">
        <f t="shared" si="392"/>
        <v>0.45</v>
      </c>
      <c r="N1702">
        <f t="shared" si="388"/>
        <v>0.48499999999999999</v>
      </c>
      <c r="Q1702" t="str" cm="1">
        <f t="array" ref="Q1702:R1702">_xlfn.TEXTSPLIT(E1702," ")</f>
        <v>28.10.2023</v>
      </c>
      <c r="R1702" t="str">
        <v>04:22:53</v>
      </c>
      <c r="S1702">
        <f t="shared" si="395"/>
        <v>28.31666666666634</v>
      </c>
      <c r="T1702">
        <f t="shared" si="390"/>
        <v>29.38000000000001</v>
      </c>
      <c r="U1702">
        <f t="shared" si="393"/>
        <v>0.3</v>
      </c>
      <c r="V1702">
        <f t="shared" si="389"/>
        <v>0.89000000000000012</v>
      </c>
    </row>
    <row r="1703" spans="1:22" x14ac:dyDescent="0.25">
      <c r="A1703" t="s">
        <v>3659</v>
      </c>
      <c r="B1703">
        <v>0</v>
      </c>
      <c r="C1703">
        <v>31.47</v>
      </c>
      <c r="E1703" t="s">
        <v>3659</v>
      </c>
      <c r="F1703">
        <v>0.15</v>
      </c>
      <c r="G1703">
        <v>107.98</v>
      </c>
      <c r="I1703" t="str" cm="1">
        <f t="array" ref="I1703:J1703">_xlfn.TEXTSPLIT(A1703," ")</f>
        <v>28.10.2023</v>
      </c>
      <c r="J1703" t="str">
        <v>04:23:53</v>
      </c>
      <c r="K1703">
        <f t="shared" si="394"/>
        <v>28.333333333333005</v>
      </c>
      <c r="L1703">
        <f t="shared" si="391"/>
        <v>17.149999999999999</v>
      </c>
      <c r="M1703">
        <f t="shared" si="392"/>
        <v>0</v>
      </c>
      <c r="N1703">
        <f t="shared" si="388"/>
        <v>0.48499999999999999</v>
      </c>
      <c r="Q1703" t="str" cm="1">
        <f t="array" ref="Q1703:R1703">_xlfn.TEXTSPLIT(E1703," ")</f>
        <v>28.10.2023</v>
      </c>
      <c r="R1703" t="str">
        <v>04:23:53</v>
      </c>
      <c r="S1703">
        <f t="shared" si="395"/>
        <v>28.333333333333005</v>
      </c>
      <c r="T1703">
        <f t="shared" si="390"/>
        <v>29.38000000000001</v>
      </c>
      <c r="U1703">
        <f t="shared" si="393"/>
        <v>0.15</v>
      </c>
      <c r="V1703">
        <f t="shared" si="389"/>
        <v>0.88500000000000012</v>
      </c>
    </row>
    <row r="1704" spans="1:22" x14ac:dyDescent="0.25">
      <c r="A1704" t="s">
        <v>3660</v>
      </c>
      <c r="B1704">
        <v>0</v>
      </c>
      <c r="C1704">
        <v>31.47</v>
      </c>
      <c r="E1704" t="s">
        <v>3660</v>
      </c>
      <c r="F1704">
        <v>0.3</v>
      </c>
      <c r="G1704">
        <v>107.99</v>
      </c>
      <c r="I1704" t="str" cm="1">
        <f t="array" ref="I1704:J1704">_xlfn.TEXTSPLIT(A1704," ")</f>
        <v>28.10.2023</v>
      </c>
      <c r="J1704" t="str">
        <v>04:24:53</v>
      </c>
      <c r="K1704">
        <f t="shared" si="394"/>
        <v>28.349999999999671</v>
      </c>
      <c r="L1704">
        <f t="shared" si="391"/>
        <v>17.149999999999999</v>
      </c>
      <c r="M1704">
        <f t="shared" si="392"/>
        <v>0</v>
      </c>
      <c r="N1704">
        <f t="shared" si="388"/>
        <v>0.48499999999999999</v>
      </c>
      <c r="Q1704" t="str" cm="1">
        <f t="array" ref="Q1704:R1704">_xlfn.TEXTSPLIT(E1704," ")</f>
        <v>28.10.2023</v>
      </c>
      <c r="R1704" t="str">
        <v>04:24:53</v>
      </c>
      <c r="S1704">
        <f t="shared" si="395"/>
        <v>28.349999999999671</v>
      </c>
      <c r="T1704">
        <f t="shared" si="390"/>
        <v>29.39</v>
      </c>
      <c r="U1704">
        <f t="shared" si="393"/>
        <v>0.3</v>
      </c>
      <c r="V1704">
        <f t="shared" si="389"/>
        <v>0.88500000000000012</v>
      </c>
    </row>
    <row r="1705" spans="1:22" x14ac:dyDescent="0.25">
      <c r="A1705" t="s">
        <v>3661</v>
      </c>
      <c r="B1705">
        <v>0</v>
      </c>
      <c r="C1705">
        <v>31.47</v>
      </c>
      <c r="E1705" t="s">
        <v>3661</v>
      </c>
      <c r="F1705">
        <v>0.3</v>
      </c>
      <c r="G1705">
        <v>107.99</v>
      </c>
      <c r="I1705" t="str" cm="1">
        <f t="array" ref="I1705:J1705">_xlfn.TEXTSPLIT(A1705," ")</f>
        <v>28.10.2023</v>
      </c>
      <c r="J1705" t="str">
        <v>04:25:54</v>
      </c>
      <c r="K1705">
        <f t="shared" si="394"/>
        <v>28.366666666666337</v>
      </c>
      <c r="L1705">
        <f t="shared" si="391"/>
        <v>17.149999999999999</v>
      </c>
      <c r="M1705">
        <f t="shared" si="392"/>
        <v>0</v>
      </c>
      <c r="N1705">
        <f t="shared" si="388"/>
        <v>0.48499999999999999</v>
      </c>
      <c r="Q1705" t="str" cm="1">
        <f t="array" ref="Q1705:R1705">_xlfn.TEXTSPLIT(E1705," ")</f>
        <v>28.10.2023</v>
      </c>
      <c r="R1705" t="str">
        <v>04:25:54</v>
      </c>
      <c r="S1705">
        <f t="shared" si="395"/>
        <v>28.366666666666337</v>
      </c>
      <c r="T1705">
        <f t="shared" si="390"/>
        <v>29.39</v>
      </c>
      <c r="U1705">
        <f t="shared" si="393"/>
        <v>0.3</v>
      </c>
      <c r="V1705">
        <f t="shared" si="389"/>
        <v>0.88250000000000006</v>
      </c>
    </row>
    <row r="1706" spans="1:22" x14ac:dyDescent="0.25">
      <c r="A1706" t="s">
        <v>3662</v>
      </c>
      <c r="B1706">
        <v>0</v>
      </c>
      <c r="C1706">
        <v>31.47</v>
      </c>
      <c r="E1706" t="s">
        <v>3662</v>
      </c>
      <c r="F1706">
        <v>0.45</v>
      </c>
      <c r="G1706">
        <v>108</v>
      </c>
      <c r="I1706" t="str" cm="1">
        <f t="array" ref="I1706:J1706">_xlfn.TEXTSPLIT(A1706," ")</f>
        <v>28.10.2023</v>
      </c>
      <c r="J1706" t="str">
        <v>04:26:54</v>
      </c>
      <c r="K1706">
        <f t="shared" si="394"/>
        <v>28.383333333333002</v>
      </c>
      <c r="L1706">
        <f t="shared" si="391"/>
        <v>17.149999999999999</v>
      </c>
      <c r="M1706">
        <f t="shared" si="392"/>
        <v>0</v>
      </c>
      <c r="N1706">
        <f t="shared" si="388"/>
        <v>0.48499999999999999</v>
      </c>
      <c r="Q1706" t="str" cm="1">
        <f t="array" ref="Q1706:R1706">_xlfn.TEXTSPLIT(E1706," ")</f>
        <v>28.10.2023</v>
      </c>
      <c r="R1706" t="str">
        <v>04:26:54</v>
      </c>
      <c r="S1706">
        <f t="shared" si="395"/>
        <v>28.383333333333002</v>
      </c>
      <c r="T1706">
        <f t="shared" si="390"/>
        <v>29.400000000000006</v>
      </c>
      <c r="U1706">
        <f t="shared" si="393"/>
        <v>0.45</v>
      </c>
      <c r="V1706">
        <f t="shared" si="389"/>
        <v>0.88250000000000006</v>
      </c>
    </row>
    <row r="1707" spans="1:22" x14ac:dyDescent="0.25">
      <c r="A1707" t="s">
        <v>3663</v>
      </c>
      <c r="B1707">
        <v>0</v>
      </c>
      <c r="C1707">
        <v>31.47</v>
      </c>
      <c r="E1707" t="s">
        <v>3663</v>
      </c>
      <c r="F1707">
        <v>0.45</v>
      </c>
      <c r="G1707">
        <v>108</v>
      </c>
      <c r="I1707" t="str" cm="1">
        <f t="array" ref="I1707:J1707">_xlfn.TEXTSPLIT(A1707," ")</f>
        <v>28.10.2023</v>
      </c>
      <c r="J1707" t="str">
        <v>04:27:54</v>
      </c>
      <c r="K1707">
        <f t="shared" si="394"/>
        <v>28.399999999999668</v>
      </c>
      <c r="L1707">
        <f t="shared" si="391"/>
        <v>17.149999999999999</v>
      </c>
      <c r="M1707">
        <f t="shared" si="392"/>
        <v>0</v>
      </c>
      <c r="N1707">
        <f t="shared" si="388"/>
        <v>0.48499999999999999</v>
      </c>
      <c r="Q1707" t="str" cm="1">
        <f t="array" ref="Q1707:R1707">_xlfn.TEXTSPLIT(E1707," ")</f>
        <v>28.10.2023</v>
      </c>
      <c r="R1707" t="str">
        <v>04:27:54</v>
      </c>
      <c r="S1707">
        <f t="shared" si="395"/>
        <v>28.399999999999668</v>
      </c>
      <c r="T1707">
        <f t="shared" si="390"/>
        <v>29.400000000000006</v>
      </c>
      <c r="U1707">
        <f t="shared" si="393"/>
        <v>0.45</v>
      </c>
      <c r="V1707">
        <f t="shared" si="389"/>
        <v>0.88500000000000012</v>
      </c>
    </row>
    <row r="1708" spans="1:22" x14ac:dyDescent="0.25">
      <c r="A1708" t="s">
        <v>3664</v>
      </c>
      <c r="B1708">
        <v>0</v>
      </c>
      <c r="C1708">
        <v>31.47</v>
      </c>
      <c r="E1708" t="s">
        <v>3664</v>
      </c>
      <c r="F1708">
        <v>0.3</v>
      </c>
      <c r="G1708">
        <v>108.02</v>
      </c>
      <c r="I1708" t="str" cm="1">
        <f t="array" ref="I1708:J1708">_xlfn.TEXTSPLIT(A1708," ")</f>
        <v>28.10.2023</v>
      </c>
      <c r="J1708" t="str">
        <v>04:28:54</v>
      </c>
      <c r="K1708">
        <f t="shared" si="394"/>
        <v>28.416666666666334</v>
      </c>
      <c r="L1708">
        <f t="shared" si="391"/>
        <v>17.149999999999999</v>
      </c>
      <c r="M1708">
        <f t="shared" si="392"/>
        <v>0</v>
      </c>
      <c r="N1708">
        <f t="shared" si="388"/>
        <v>0.48499999999999999</v>
      </c>
      <c r="Q1708" t="str" cm="1">
        <f t="array" ref="Q1708:R1708">_xlfn.TEXTSPLIT(E1708," ")</f>
        <v>28.10.2023</v>
      </c>
      <c r="R1708" t="str">
        <v>04:28:54</v>
      </c>
      <c r="S1708">
        <f t="shared" si="395"/>
        <v>28.416666666666334</v>
      </c>
      <c r="T1708">
        <f t="shared" si="390"/>
        <v>29.42</v>
      </c>
      <c r="U1708">
        <f t="shared" si="393"/>
        <v>0.3</v>
      </c>
      <c r="V1708">
        <f t="shared" si="389"/>
        <v>0.88000000000000012</v>
      </c>
    </row>
    <row r="1709" spans="1:22" x14ac:dyDescent="0.25">
      <c r="A1709" t="s">
        <v>3665</v>
      </c>
      <c r="B1709">
        <v>0</v>
      </c>
      <c r="C1709">
        <v>31.47</v>
      </c>
      <c r="E1709" t="s">
        <v>3665</v>
      </c>
      <c r="F1709">
        <v>0.6</v>
      </c>
      <c r="G1709">
        <v>108.03</v>
      </c>
      <c r="I1709" t="str" cm="1">
        <f t="array" ref="I1709:J1709">_xlfn.TEXTSPLIT(A1709," ")</f>
        <v>28.10.2023</v>
      </c>
      <c r="J1709" t="str">
        <v>04:29:54</v>
      </c>
      <c r="K1709">
        <f t="shared" si="394"/>
        <v>28.433333333333</v>
      </c>
      <c r="L1709">
        <f t="shared" si="391"/>
        <v>17.149999999999999</v>
      </c>
      <c r="M1709">
        <f t="shared" si="392"/>
        <v>0</v>
      </c>
      <c r="N1709">
        <f t="shared" si="388"/>
        <v>0.48249999999999998</v>
      </c>
      <c r="Q1709" t="str" cm="1">
        <f t="array" ref="Q1709:R1709">_xlfn.TEXTSPLIT(E1709," ")</f>
        <v>28.10.2023</v>
      </c>
      <c r="R1709" t="str">
        <v>04:29:54</v>
      </c>
      <c r="S1709">
        <f t="shared" si="395"/>
        <v>28.433333333333</v>
      </c>
      <c r="T1709">
        <f t="shared" si="390"/>
        <v>29.430000000000007</v>
      </c>
      <c r="U1709">
        <f t="shared" si="393"/>
        <v>0.6</v>
      </c>
      <c r="V1709">
        <f t="shared" si="389"/>
        <v>0.88250000000000006</v>
      </c>
    </row>
    <row r="1710" spans="1:22" x14ac:dyDescent="0.25">
      <c r="A1710" t="s">
        <v>3666</v>
      </c>
      <c r="B1710">
        <v>0.3</v>
      </c>
      <c r="C1710">
        <v>31.48</v>
      </c>
      <c r="E1710" t="s">
        <v>3666</v>
      </c>
      <c r="F1710">
        <v>0.75</v>
      </c>
      <c r="G1710">
        <v>108.04</v>
      </c>
      <c r="I1710" t="str" cm="1">
        <f t="array" ref="I1710:J1710">_xlfn.TEXTSPLIT(A1710," ")</f>
        <v>28.10.2023</v>
      </c>
      <c r="J1710" t="str">
        <v>04:30:54</v>
      </c>
      <c r="K1710">
        <f t="shared" si="394"/>
        <v>28.449999999999665</v>
      </c>
      <c r="L1710">
        <f t="shared" si="391"/>
        <v>17.16</v>
      </c>
      <c r="M1710">
        <f t="shared" si="392"/>
        <v>0.3</v>
      </c>
      <c r="N1710">
        <f t="shared" si="388"/>
        <v>0.48499999999999999</v>
      </c>
      <c r="Q1710" t="str" cm="1">
        <f t="array" ref="Q1710:R1710">_xlfn.TEXTSPLIT(E1710," ")</f>
        <v>28.10.2023</v>
      </c>
      <c r="R1710" t="str">
        <v>04:30:54</v>
      </c>
      <c r="S1710">
        <f t="shared" si="395"/>
        <v>28.449999999999665</v>
      </c>
      <c r="T1710">
        <f t="shared" si="390"/>
        <v>29.440000000000012</v>
      </c>
      <c r="U1710">
        <f t="shared" si="393"/>
        <v>0.75</v>
      </c>
      <c r="V1710">
        <f t="shared" si="389"/>
        <v>0.88500000000000001</v>
      </c>
    </row>
    <row r="1711" spans="1:22" x14ac:dyDescent="0.25">
      <c r="A1711" t="s">
        <v>3667</v>
      </c>
      <c r="B1711">
        <v>0.15</v>
      </c>
      <c r="C1711">
        <v>31.48</v>
      </c>
      <c r="E1711" t="s">
        <v>3667</v>
      </c>
      <c r="F1711">
        <v>0.9</v>
      </c>
      <c r="G1711">
        <v>108.06</v>
      </c>
      <c r="I1711" t="str" cm="1">
        <f t="array" ref="I1711:J1711">_xlfn.TEXTSPLIT(A1711," ")</f>
        <v>28.10.2023</v>
      </c>
      <c r="J1711" t="str">
        <v>04:31:54</v>
      </c>
      <c r="K1711">
        <f t="shared" si="394"/>
        <v>28.466666666666331</v>
      </c>
      <c r="L1711">
        <f t="shared" si="391"/>
        <v>17.16</v>
      </c>
      <c r="M1711">
        <f t="shared" si="392"/>
        <v>0.15</v>
      </c>
      <c r="N1711">
        <f t="shared" si="388"/>
        <v>0.48249999999999993</v>
      </c>
      <c r="Q1711" t="str" cm="1">
        <f t="array" ref="Q1711:R1711">_xlfn.TEXTSPLIT(E1711," ")</f>
        <v>28.10.2023</v>
      </c>
      <c r="R1711" t="str">
        <v>04:31:54</v>
      </c>
      <c r="S1711">
        <f t="shared" si="395"/>
        <v>28.466666666666331</v>
      </c>
      <c r="T1711">
        <f t="shared" si="390"/>
        <v>29.460000000000008</v>
      </c>
      <c r="U1711">
        <f t="shared" si="393"/>
        <v>0.9</v>
      </c>
      <c r="V1711">
        <f t="shared" si="389"/>
        <v>0.89</v>
      </c>
    </row>
    <row r="1712" spans="1:22" x14ac:dyDescent="0.25">
      <c r="A1712" t="s">
        <v>3668</v>
      </c>
      <c r="B1712">
        <v>0.45</v>
      </c>
      <c r="C1712">
        <v>31.49</v>
      </c>
      <c r="E1712" t="s">
        <v>3668</v>
      </c>
      <c r="F1712">
        <v>0.9</v>
      </c>
      <c r="G1712">
        <v>108.07</v>
      </c>
      <c r="I1712" t="str" cm="1">
        <f t="array" ref="I1712:J1712">_xlfn.TEXTSPLIT(A1712," ")</f>
        <v>28.10.2023</v>
      </c>
      <c r="J1712" t="str">
        <v>04:32:54</v>
      </c>
      <c r="K1712">
        <f t="shared" si="394"/>
        <v>28.483333333332997</v>
      </c>
      <c r="L1712">
        <f t="shared" si="391"/>
        <v>17.169999999999998</v>
      </c>
      <c r="M1712">
        <f t="shared" si="392"/>
        <v>0.45</v>
      </c>
      <c r="N1712">
        <f t="shared" si="388"/>
        <v>0.47999999999999987</v>
      </c>
      <c r="Q1712" t="str" cm="1">
        <f t="array" ref="Q1712:R1712">_xlfn.TEXTSPLIT(E1712," ")</f>
        <v>28.10.2023</v>
      </c>
      <c r="R1712" t="str">
        <v>04:32:54</v>
      </c>
      <c r="S1712">
        <f t="shared" si="395"/>
        <v>28.483333333332997</v>
      </c>
      <c r="T1712">
        <f t="shared" si="390"/>
        <v>29.47</v>
      </c>
      <c r="U1712">
        <f t="shared" si="393"/>
        <v>0.9</v>
      </c>
      <c r="V1712">
        <f t="shared" si="389"/>
        <v>0.89250000000000007</v>
      </c>
    </row>
    <row r="1713" spans="1:22" x14ac:dyDescent="0.25">
      <c r="A1713" t="s">
        <v>3669</v>
      </c>
      <c r="B1713">
        <v>0.45</v>
      </c>
      <c r="C1713">
        <v>31.5</v>
      </c>
      <c r="E1713" t="s">
        <v>3669</v>
      </c>
      <c r="F1713">
        <v>1.05</v>
      </c>
      <c r="G1713">
        <v>108.08</v>
      </c>
      <c r="I1713" t="str" cm="1">
        <f t="array" ref="I1713:J1713">_xlfn.TEXTSPLIT(A1713," ")</f>
        <v>28.10.2023</v>
      </c>
      <c r="J1713" t="str">
        <v>04:33:54</v>
      </c>
      <c r="K1713">
        <f t="shared" si="394"/>
        <v>28.499999999999662</v>
      </c>
      <c r="L1713">
        <f t="shared" si="391"/>
        <v>17.18</v>
      </c>
      <c r="M1713">
        <f t="shared" si="392"/>
        <v>0.45</v>
      </c>
      <c r="N1713">
        <f t="shared" si="388"/>
        <v>0.48499999999999993</v>
      </c>
      <c r="Q1713" t="str" cm="1">
        <f t="array" ref="Q1713:R1713">_xlfn.TEXTSPLIT(E1713," ")</f>
        <v>28.10.2023</v>
      </c>
      <c r="R1713" t="str">
        <v>04:33:54</v>
      </c>
      <c r="S1713">
        <f t="shared" si="395"/>
        <v>28.499999999999662</v>
      </c>
      <c r="T1713">
        <f t="shared" si="390"/>
        <v>29.480000000000004</v>
      </c>
      <c r="U1713">
        <f t="shared" si="393"/>
        <v>1.05</v>
      </c>
      <c r="V1713">
        <f t="shared" si="389"/>
        <v>0.89750000000000008</v>
      </c>
    </row>
    <row r="1714" spans="1:22" x14ac:dyDescent="0.25">
      <c r="A1714" t="s">
        <v>3670</v>
      </c>
      <c r="B1714">
        <v>0.45</v>
      </c>
      <c r="C1714">
        <v>31.5</v>
      </c>
      <c r="E1714" t="s">
        <v>3670</v>
      </c>
      <c r="F1714">
        <v>0.75</v>
      </c>
      <c r="G1714">
        <v>108.1</v>
      </c>
      <c r="I1714" t="str" cm="1">
        <f t="array" ref="I1714:J1714">_xlfn.TEXTSPLIT(A1714," ")</f>
        <v>28.10.2023</v>
      </c>
      <c r="J1714" t="str">
        <v>04:34:54</v>
      </c>
      <c r="K1714">
        <f t="shared" si="394"/>
        <v>28.516666666666328</v>
      </c>
      <c r="L1714">
        <f t="shared" si="391"/>
        <v>17.18</v>
      </c>
      <c r="M1714">
        <f t="shared" si="392"/>
        <v>0.45</v>
      </c>
      <c r="N1714">
        <f t="shared" si="388"/>
        <v>0.48499999999999993</v>
      </c>
      <c r="Q1714" t="str" cm="1">
        <f t="array" ref="Q1714:R1714">_xlfn.TEXTSPLIT(E1714," ")</f>
        <v>28.10.2023</v>
      </c>
      <c r="R1714" t="str">
        <v>04:34:54</v>
      </c>
      <c r="S1714">
        <f t="shared" si="395"/>
        <v>28.516666666666328</v>
      </c>
      <c r="T1714">
        <f t="shared" si="390"/>
        <v>29.5</v>
      </c>
      <c r="U1714">
        <f t="shared" si="393"/>
        <v>0.75</v>
      </c>
      <c r="V1714">
        <f t="shared" si="389"/>
        <v>0.89249999999999996</v>
      </c>
    </row>
    <row r="1715" spans="1:22" x14ac:dyDescent="0.25">
      <c r="A1715" t="s">
        <v>3671</v>
      </c>
      <c r="B1715">
        <v>0.3</v>
      </c>
      <c r="C1715">
        <v>31.51</v>
      </c>
      <c r="E1715" t="s">
        <v>3671</v>
      </c>
      <c r="F1715">
        <v>0.6</v>
      </c>
      <c r="G1715">
        <v>108.12</v>
      </c>
      <c r="I1715" t="str" cm="1">
        <f t="array" ref="I1715:J1715">_xlfn.TEXTSPLIT(A1715," ")</f>
        <v>28.10.2023</v>
      </c>
      <c r="J1715" t="str">
        <v>04:35:55</v>
      </c>
      <c r="K1715">
        <f t="shared" si="394"/>
        <v>28.533333333332994</v>
      </c>
      <c r="L1715">
        <f t="shared" si="391"/>
        <v>17.190000000000001</v>
      </c>
      <c r="M1715">
        <f t="shared" si="392"/>
        <v>0.3</v>
      </c>
      <c r="N1715">
        <f t="shared" si="388"/>
        <v>0.48499999999999993</v>
      </c>
      <c r="Q1715" t="str" cm="1">
        <f t="array" ref="Q1715:R1715">_xlfn.TEXTSPLIT(E1715," ")</f>
        <v>28.10.2023</v>
      </c>
      <c r="R1715" t="str">
        <v>04:35:55</v>
      </c>
      <c r="S1715">
        <f t="shared" si="395"/>
        <v>28.533333333332994</v>
      </c>
      <c r="T1715">
        <f t="shared" si="390"/>
        <v>29.52000000000001</v>
      </c>
      <c r="U1715">
        <f t="shared" si="393"/>
        <v>0.6</v>
      </c>
      <c r="V1715">
        <f t="shared" si="389"/>
        <v>0.88250000000000006</v>
      </c>
    </row>
    <row r="1716" spans="1:22" x14ac:dyDescent="0.25">
      <c r="A1716" t="s">
        <v>3672</v>
      </c>
      <c r="B1716">
        <v>0.15</v>
      </c>
      <c r="C1716">
        <v>31.52</v>
      </c>
      <c r="E1716" t="s">
        <v>3672</v>
      </c>
      <c r="F1716">
        <v>1.95</v>
      </c>
      <c r="G1716">
        <v>108.17</v>
      </c>
      <c r="I1716" t="str" cm="1">
        <f t="array" ref="I1716:J1716">_xlfn.TEXTSPLIT(A1716," ")</f>
        <v>28.10.2023</v>
      </c>
      <c r="J1716" t="str">
        <v>04:36:55</v>
      </c>
      <c r="K1716">
        <f t="shared" si="394"/>
        <v>28.54999999999966</v>
      </c>
      <c r="L1716">
        <f t="shared" si="391"/>
        <v>17.2</v>
      </c>
      <c r="M1716">
        <f t="shared" si="392"/>
        <v>0.15</v>
      </c>
      <c r="N1716">
        <f t="shared" si="388"/>
        <v>0.48249999999999993</v>
      </c>
      <c r="Q1716" t="str" cm="1">
        <f t="array" ref="Q1716:R1716">_xlfn.TEXTSPLIT(E1716," ")</f>
        <v>28.10.2023</v>
      </c>
      <c r="R1716" t="str">
        <v>04:36:55</v>
      </c>
      <c r="S1716">
        <f t="shared" si="395"/>
        <v>28.54999999999966</v>
      </c>
      <c r="T1716">
        <f t="shared" si="390"/>
        <v>29.570000000000007</v>
      </c>
      <c r="U1716">
        <f t="shared" si="393"/>
        <v>1.95</v>
      </c>
      <c r="V1716">
        <f t="shared" si="389"/>
        <v>0.88000000000000012</v>
      </c>
    </row>
    <row r="1717" spans="1:22" x14ac:dyDescent="0.25">
      <c r="A1717" t="s">
        <v>3673</v>
      </c>
      <c r="B1717">
        <v>1.05</v>
      </c>
      <c r="C1717">
        <v>31.56</v>
      </c>
      <c r="E1717" t="s">
        <v>3673</v>
      </c>
      <c r="F1717">
        <v>2.85</v>
      </c>
      <c r="G1717">
        <v>108.21</v>
      </c>
      <c r="I1717" t="str" cm="1">
        <f t="array" ref="I1717:J1717">_xlfn.TEXTSPLIT(A1717," ")</f>
        <v>28.10.2023</v>
      </c>
      <c r="J1717" t="str">
        <v>04:37:55</v>
      </c>
      <c r="K1717">
        <f t="shared" si="394"/>
        <v>28.566666666666325</v>
      </c>
      <c r="L1717">
        <f t="shared" si="391"/>
        <v>17.239999999999998</v>
      </c>
      <c r="M1717">
        <f t="shared" si="392"/>
        <v>1.05</v>
      </c>
      <c r="N1717">
        <f t="shared" si="388"/>
        <v>0.48249999999999998</v>
      </c>
      <c r="Q1717" t="str" cm="1">
        <f t="array" ref="Q1717:R1717">_xlfn.TEXTSPLIT(E1717," ")</f>
        <v>28.10.2023</v>
      </c>
      <c r="R1717" t="str">
        <v>04:37:55</v>
      </c>
      <c r="S1717">
        <f t="shared" si="395"/>
        <v>28.566666666666325</v>
      </c>
      <c r="T1717">
        <f t="shared" si="390"/>
        <v>29.61</v>
      </c>
      <c r="U1717">
        <f t="shared" si="393"/>
        <v>2.85</v>
      </c>
      <c r="V1717">
        <f t="shared" si="389"/>
        <v>0.89250000000000018</v>
      </c>
    </row>
    <row r="1718" spans="1:22" x14ac:dyDescent="0.25">
      <c r="A1718" t="s">
        <v>3674</v>
      </c>
      <c r="B1718">
        <v>2.1</v>
      </c>
      <c r="C1718">
        <v>31.59</v>
      </c>
      <c r="E1718" t="s">
        <v>3674</v>
      </c>
      <c r="F1718">
        <v>2.1</v>
      </c>
      <c r="G1718">
        <v>108.24</v>
      </c>
      <c r="I1718" t="str" cm="1">
        <f t="array" ref="I1718:J1718">_xlfn.TEXTSPLIT(A1718," ")</f>
        <v>28.10.2023</v>
      </c>
      <c r="J1718" t="str">
        <v>04:38:55</v>
      </c>
      <c r="K1718">
        <f t="shared" si="394"/>
        <v>28.583333333332991</v>
      </c>
      <c r="L1718">
        <f t="shared" si="391"/>
        <v>17.27</v>
      </c>
      <c r="M1718">
        <f t="shared" si="392"/>
        <v>2.1</v>
      </c>
      <c r="N1718">
        <f t="shared" si="388"/>
        <v>0.48000000000000004</v>
      </c>
      <c r="Q1718" t="str" cm="1">
        <f t="array" ref="Q1718:R1718">_xlfn.TEXTSPLIT(E1718," ")</f>
        <v>28.10.2023</v>
      </c>
      <c r="R1718" t="str">
        <v>04:38:55</v>
      </c>
      <c r="S1718">
        <f t="shared" si="395"/>
        <v>28.583333333332991</v>
      </c>
      <c r="T1718">
        <f t="shared" si="390"/>
        <v>29.64</v>
      </c>
      <c r="U1718">
        <f t="shared" si="393"/>
        <v>2.1</v>
      </c>
      <c r="V1718">
        <f t="shared" si="389"/>
        <v>0.88750000000000007</v>
      </c>
    </row>
    <row r="1719" spans="1:22" x14ac:dyDescent="0.25">
      <c r="A1719" t="s">
        <v>3675</v>
      </c>
      <c r="B1719">
        <v>1.95</v>
      </c>
      <c r="C1719">
        <v>31.62</v>
      </c>
      <c r="E1719" t="s">
        <v>3675</v>
      </c>
      <c r="F1719">
        <v>1.35</v>
      </c>
      <c r="G1719">
        <v>108.26</v>
      </c>
      <c r="I1719" t="str" cm="1">
        <f t="array" ref="I1719:J1719">_xlfn.TEXTSPLIT(A1719," ")</f>
        <v>28.10.2023</v>
      </c>
      <c r="J1719" t="str">
        <v>04:39:55</v>
      </c>
      <c r="K1719">
        <f t="shared" si="394"/>
        <v>28.599999999999657</v>
      </c>
      <c r="L1719">
        <f t="shared" si="391"/>
        <v>17.3</v>
      </c>
      <c r="M1719">
        <f t="shared" si="392"/>
        <v>1.95</v>
      </c>
      <c r="N1719">
        <f t="shared" si="388"/>
        <v>0.47499999999999998</v>
      </c>
      <c r="Q1719" t="str" cm="1">
        <f t="array" ref="Q1719:R1719">_xlfn.TEXTSPLIT(E1719," ")</f>
        <v>28.10.2023</v>
      </c>
      <c r="R1719" t="str">
        <v>04:39:55</v>
      </c>
      <c r="S1719">
        <f t="shared" si="395"/>
        <v>28.599999999999657</v>
      </c>
      <c r="T1719">
        <f t="shared" si="390"/>
        <v>29.660000000000011</v>
      </c>
      <c r="U1719">
        <f t="shared" si="393"/>
        <v>1.35</v>
      </c>
      <c r="V1719">
        <f t="shared" si="389"/>
        <v>0.88250000000000006</v>
      </c>
    </row>
    <row r="1720" spans="1:22" x14ac:dyDescent="0.25">
      <c r="A1720" t="s">
        <v>3676</v>
      </c>
      <c r="B1720">
        <v>1.5</v>
      </c>
      <c r="C1720">
        <v>31.64</v>
      </c>
      <c r="E1720" t="s">
        <v>3676</v>
      </c>
      <c r="F1720">
        <v>1.5</v>
      </c>
      <c r="G1720">
        <v>108.29</v>
      </c>
      <c r="I1720" t="str" cm="1">
        <f t="array" ref="I1720:J1720">_xlfn.TEXTSPLIT(A1720," ")</f>
        <v>28.10.2023</v>
      </c>
      <c r="J1720" t="str">
        <v>04:40:55</v>
      </c>
      <c r="K1720">
        <f t="shared" si="394"/>
        <v>28.616666666666323</v>
      </c>
      <c r="L1720">
        <f t="shared" si="391"/>
        <v>17.32</v>
      </c>
      <c r="M1720">
        <f t="shared" si="392"/>
        <v>1.5</v>
      </c>
      <c r="N1720">
        <f t="shared" si="388"/>
        <v>0.48000000000000004</v>
      </c>
      <c r="Q1720" t="str" cm="1">
        <f t="array" ref="Q1720:R1720">_xlfn.TEXTSPLIT(E1720," ")</f>
        <v>28.10.2023</v>
      </c>
      <c r="R1720" t="str">
        <v>04:40:55</v>
      </c>
      <c r="S1720">
        <f t="shared" si="395"/>
        <v>28.616666666666323</v>
      </c>
      <c r="T1720">
        <f t="shared" si="390"/>
        <v>29.690000000000012</v>
      </c>
      <c r="U1720">
        <f t="shared" si="393"/>
        <v>1.5</v>
      </c>
      <c r="V1720">
        <f t="shared" si="389"/>
        <v>0.88749999999999996</v>
      </c>
    </row>
    <row r="1721" spans="1:22" x14ac:dyDescent="0.25">
      <c r="A1721" t="s">
        <v>3677</v>
      </c>
      <c r="B1721">
        <v>1.2</v>
      </c>
      <c r="C1721">
        <v>31.65</v>
      </c>
      <c r="E1721" t="s">
        <v>3677</v>
      </c>
      <c r="F1721">
        <v>1.65</v>
      </c>
      <c r="G1721">
        <v>108.32</v>
      </c>
      <c r="I1721" t="str" cm="1">
        <f t="array" ref="I1721:J1721">_xlfn.TEXTSPLIT(A1721," ")</f>
        <v>28.10.2023</v>
      </c>
      <c r="J1721" t="str">
        <v>04:41:55</v>
      </c>
      <c r="K1721">
        <f t="shared" si="394"/>
        <v>28.633333333332988</v>
      </c>
      <c r="L1721">
        <f t="shared" si="391"/>
        <v>17.329999999999998</v>
      </c>
      <c r="M1721">
        <f t="shared" si="392"/>
        <v>1.2</v>
      </c>
      <c r="N1721">
        <f t="shared" si="388"/>
        <v>0.48749999999999993</v>
      </c>
      <c r="Q1721" t="str" cm="1">
        <f t="array" ref="Q1721:R1721">_xlfn.TEXTSPLIT(E1721," ")</f>
        <v>28.10.2023</v>
      </c>
      <c r="R1721" t="str">
        <v>04:41:55</v>
      </c>
      <c r="S1721">
        <f t="shared" si="395"/>
        <v>28.633333333332988</v>
      </c>
      <c r="T1721">
        <f t="shared" si="390"/>
        <v>29.72</v>
      </c>
      <c r="U1721">
        <f t="shared" si="393"/>
        <v>1.65</v>
      </c>
      <c r="V1721">
        <f t="shared" si="389"/>
        <v>0.90249999999999986</v>
      </c>
    </row>
    <row r="1722" spans="1:22" x14ac:dyDescent="0.25">
      <c r="A1722" t="s">
        <v>3678</v>
      </c>
      <c r="B1722">
        <v>0.75</v>
      </c>
      <c r="C1722">
        <v>31.67</v>
      </c>
      <c r="E1722" t="s">
        <v>3678</v>
      </c>
      <c r="F1722">
        <v>1.8</v>
      </c>
      <c r="G1722">
        <v>108.34</v>
      </c>
      <c r="I1722" t="str" cm="1">
        <f t="array" ref="I1722:J1722">_xlfn.TEXTSPLIT(A1722," ")</f>
        <v>28.10.2023</v>
      </c>
      <c r="J1722" t="str">
        <v>04:42:55</v>
      </c>
      <c r="K1722">
        <f t="shared" si="394"/>
        <v>28.649999999999654</v>
      </c>
      <c r="L1722">
        <f t="shared" si="391"/>
        <v>17.350000000000001</v>
      </c>
      <c r="M1722">
        <f t="shared" si="392"/>
        <v>0.75</v>
      </c>
      <c r="N1722">
        <f t="shared" si="388"/>
        <v>0.49249999999999994</v>
      </c>
      <c r="Q1722" t="str" cm="1">
        <f t="array" ref="Q1722:R1722">_xlfn.TEXTSPLIT(E1722," ")</f>
        <v>28.10.2023</v>
      </c>
      <c r="R1722" t="str">
        <v>04:42:55</v>
      </c>
      <c r="S1722">
        <f t="shared" si="395"/>
        <v>28.649999999999654</v>
      </c>
      <c r="T1722">
        <f t="shared" si="390"/>
        <v>29.740000000000009</v>
      </c>
      <c r="U1722">
        <f t="shared" si="393"/>
        <v>1.8</v>
      </c>
      <c r="V1722">
        <f t="shared" si="389"/>
        <v>0.91999999999999982</v>
      </c>
    </row>
    <row r="1723" spans="1:22" x14ac:dyDescent="0.25">
      <c r="A1723" t="s">
        <v>3679</v>
      </c>
      <c r="B1723">
        <v>0.75</v>
      </c>
      <c r="C1723">
        <v>31.69</v>
      </c>
      <c r="E1723" t="s">
        <v>3679</v>
      </c>
      <c r="F1723">
        <v>1.05</v>
      </c>
      <c r="G1723">
        <v>108.36</v>
      </c>
      <c r="I1723" t="str" cm="1">
        <f t="array" ref="I1723:J1723">_xlfn.TEXTSPLIT(A1723," ")</f>
        <v>28.10.2023</v>
      </c>
      <c r="J1723" t="str">
        <v>04:43:55</v>
      </c>
      <c r="K1723">
        <f t="shared" si="394"/>
        <v>28.66666666666632</v>
      </c>
      <c r="L1723">
        <f t="shared" si="391"/>
        <v>17.37</v>
      </c>
      <c r="M1723">
        <f t="shared" si="392"/>
        <v>0.75</v>
      </c>
      <c r="N1723">
        <f t="shared" si="388"/>
        <v>0.49749999999999994</v>
      </c>
      <c r="Q1723" t="str" cm="1">
        <f t="array" ref="Q1723:R1723">_xlfn.TEXTSPLIT(E1723," ")</f>
        <v>28.10.2023</v>
      </c>
      <c r="R1723" t="str">
        <v>04:43:55</v>
      </c>
      <c r="S1723">
        <f t="shared" si="395"/>
        <v>28.66666666666632</v>
      </c>
      <c r="T1723">
        <f t="shared" si="390"/>
        <v>29.760000000000005</v>
      </c>
      <c r="U1723">
        <f t="shared" si="393"/>
        <v>1.05</v>
      </c>
      <c r="V1723">
        <f t="shared" si="389"/>
        <v>0.92749999999999977</v>
      </c>
    </row>
    <row r="1724" spans="1:22" x14ac:dyDescent="0.25">
      <c r="A1724" t="s">
        <v>3680</v>
      </c>
      <c r="B1724">
        <v>1.2</v>
      </c>
      <c r="C1724">
        <v>31.71</v>
      </c>
      <c r="E1724" t="s">
        <v>3680</v>
      </c>
      <c r="F1724">
        <v>1.05</v>
      </c>
      <c r="G1724">
        <v>108.37</v>
      </c>
      <c r="I1724" t="str" cm="1">
        <f t="array" ref="I1724:J1724">_xlfn.TEXTSPLIT(A1724," ")</f>
        <v>28.10.2023</v>
      </c>
      <c r="J1724" t="str">
        <v>04:44:56</v>
      </c>
      <c r="K1724">
        <f t="shared" si="394"/>
        <v>28.683333333332985</v>
      </c>
      <c r="L1724">
        <f t="shared" si="391"/>
        <v>17.39</v>
      </c>
      <c r="M1724">
        <f t="shared" si="392"/>
        <v>1.2</v>
      </c>
      <c r="N1724">
        <f t="shared" si="388"/>
        <v>0.5099999999999999</v>
      </c>
      <c r="Q1724" t="str" cm="1">
        <f t="array" ref="Q1724:R1724">_xlfn.TEXTSPLIT(E1724," ")</f>
        <v>28.10.2023</v>
      </c>
      <c r="R1724" t="str">
        <v>04:44:56</v>
      </c>
      <c r="S1724">
        <f t="shared" si="395"/>
        <v>28.683333333332985</v>
      </c>
      <c r="T1724">
        <f t="shared" si="390"/>
        <v>29.77000000000001</v>
      </c>
      <c r="U1724">
        <f t="shared" si="393"/>
        <v>1.05</v>
      </c>
      <c r="V1724">
        <f t="shared" si="389"/>
        <v>0.92749999999999977</v>
      </c>
    </row>
    <row r="1725" spans="1:22" x14ac:dyDescent="0.25">
      <c r="A1725" t="s">
        <v>3681</v>
      </c>
      <c r="B1725">
        <v>1.05</v>
      </c>
      <c r="C1725">
        <v>31.71</v>
      </c>
      <c r="E1725" t="s">
        <v>3681</v>
      </c>
      <c r="F1725">
        <v>0.6</v>
      </c>
      <c r="G1725">
        <v>108.38</v>
      </c>
      <c r="I1725" t="str" cm="1">
        <f t="array" ref="I1725:J1725">_xlfn.TEXTSPLIT(A1725," ")</f>
        <v>28.10.2023</v>
      </c>
      <c r="J1725" t="str">
        <v>04:45:56</v>
      </c>
      <c r="K1725">
        <f t="shared" si="394"/>
        <v>28.699999999999651</v>
      </c>
      <c r="L1725">
        <f t="shared" si="391"/>
        <v>17.39</v>
      </c>
      <c r="M1725">
        <f t="shared" si="392"/>
        <v>1.05</v>
      </c>
      <c r="N1725">
        <f t="shared" si="388"/>
        <v>0.52249999999999985</v>
      </c>
      <c r="Q1725" t="str" cm="1">
        <f t="array" ref="Q1725:R1725">_xlfn.TEXTSPLIT(E1725," ")</f>
        <v>28.10.2023</v>
      </c>
      <c r="R1725" t="str">
        <v>04:45:56</v>
      </c>
      <c r="S1725">
        <f t="shared" si="395"/>
        <v>28.699999999999651</v>
      </c>
      <c r="T1725">
        <f t="shared" si="390"/>
        <v>29.78</v>
      </c>
      <c r="U1725">
        <f t="shared" si="393"/>
        <v>0.6</v>
      </c>
      <c r="V1725">
        <f t="shared" si="389"/>
        <v>0.91499999999999981</v>
      </c>
    </row>
    <row r="1726" spans="1:22" x14ac:dyDescent="0.25">
      <c r="A1726" t="s">
        <v>3682</v>
      </c>
      <c r="B1726">
        <v>0.3</v>
      </c>
      <c r="C1726">
        <v>31.73</v>
      </c>
      <c r="E1726" t="s">
        <v>3682</v>
      </c>
      <c r="F1726">
        <v>0.75</v>
      </c>
      <c r="G1726">
        <v>108.4</v>
      </c>
      <c r="I1726" t="str" cm="1">
        <f t="array" ref="I1726:J1726">_xlfn.TEXTSPLIT(A1726," ")</f>
        <v>28.10.2023</v>
      </c>
      <c r="J1726" t="str">
        <v>04:46:56</v>
      </c>
      <c r="K1726">
        <f t="shared" si="394"/>
        <v>28.716666666666317</v>
      </c>
      <c r="L1726">
        <f t="shared" si="391"/>
        <v>17.41</v>
      </c>
      <c r="M1726">
        <f t="shared" si="392"/>
        <v>0.3</v>
      </c>
      <c r="N1726">
        <f t="shared" si="388"/>
        <v>0.51999999999999991</v>
      </c>
      <c r="Q1726" t="str" cm="1">
        <f t="array" ref="Q1726:R1726">_xlfn.TEXTSPLIT(E1726," ")</f>
        <v>28.10.2023</v>
      </c>
      <c r="R1726" t="str">
        <v>04:46:56</v>
      </c>
      <c r="S1726">
        <f t="shared" si="395"/>
        <v>28.716666666666317</v>
      </c>
      <c r="T1726">
        <f t="shared" si="390"/>
        <v>29.800000000000011</v>
      </c>
      <c r="U1726">
        <f t="shared" si="393"/>
        <v>0.75</v>
      </c>
      <c r="V1726">
        <f t="shared" si="389"/>
        <v>0.90999999999999981</v>
      </c>
    </row>
    <row r="1727" spans="1:22" x14ac:dyDescent="0.25">
      <c r="A1727" t="s">
        <v>3683</v>
      </c>
      <c r="B1727">
        <v>0.9</v>
      </c>
      <c r="C1727">
        <v>31.74</v>
      </c>
      <c r="E1727" t="s">
        <v>3683</v>
      </c>
      <c r="F1727">
        <v>1.05</v>
      </c>
      <c r="G1727">
        <v>108.42</v>
      </c>
      <c r="I1727" t="str" cm="1">
        <f t="array" ref="I1727:J1727">_xlfn.TEXTSPLIT(A1727," ")</f>
        <v>28.10.2023</v>
      </c>
      <c r="J1727" t="str">
        <v>04:47:56</v>
      </c>
      <c r="K1727">
        <f t="shared" si="394"/>
        <v>28.733333333332983</v>
      </c>
      <c r="L1727">
        <f t="shared" si="391"/>
        <v>17.419999999999998</v>
      </c>
      <c r="M1727">
        <f t="shared" si="392"/>
        <v>0.9</v>
      </c>
      <c r="N1727">
        <f t="shared" ref="N1727:N1790" si="396">AVERAGE(M1668:M1727)</f>
        <v>0.52249999999999985</v>
      </c>
      <c r="Q1727" t="str" cm="1">
        <f t="array" ref="Q1727:R1727">_xlfn.TEXTSPLIT(E1727," ")</f>
        <v>28.10.2023</v>
      </c>
      <c r="R1727" t="str">
        <v>04:47:56</v>
      </c>
      <c r="S1727">
        <f t="shared" si="395"/>
        <v>28.733333333332983</v>
      </c>
      <c r="T1727">
        <f t="shared" si="390"/>
        <v>29.820000000000007</v>
      </c>
      <c r="U1727">
        <f t="shared" si="393"/>
        <v>1.05</v>
      </c>
      <c r="V1727">
        <f t="shared" ref="V1727:V1790" si="397">AVERAGE(U1668:U1727)</f>
        <v>0.90999999999999981</v>
      </c>
    </row>
    <row r="1728" spans="1:22" x14ac:dyDescent="0.25">
      <c r="A1728" t="s">
        <v>3684</v>
      </c>
      <c r="B1728">
        <v>0.9</v>
      </c>
      <c r="C1728">
        <v>31.75</v>
      </c>
      <c r="E1728" t="s">
        <v>3684</v>
      </c>
      <c r="F1728">
        <v>1.35</v>
      </c>
      <c r="G1728">
        <v>108.44</v>
      </c>
      <c r="I1728" t="str" cm="1">
        <f t="array" ref="I1728:J1728">_xlfn.TEXTSPLIT(A1728," ")</f>
        <v>28.10.2023</v>
      </c>
      <c r="J1728" t="str">
        <v>04:48:56</v>
      </c>
      <c r="K1728">
        <f t="shared" si="394"/>
        <v>28.749999999999648</v>
      </c>
      <c r="L1728">
        <f t="shared" si="391"/>
        <v>17.43</v>
      </c>
      <c r="M1728">
        <f t="shared" si="392"/>
        <v>0.9</v>
      </c>
      <c r="N1728">
        <f t="shared" si="396"/>
        <v>0.52999999999999992</v>
      </c>
      <c r="Q1728" t="str" cm="1">
        <f t="array" ref="Q1728:R1728">_xlfn.TEXTSPLIT(E1728," ")</f>
        <v>28.10.2023</v>
      </c>
      <c r="R1728" t="str">
        <v>04:48:56</v>
      </c>
      <c r="S1728">
        <f t="shared" si="395"/>
        <v>28.749999999999648</v>
      </c>
      <c r="T1728">
        <f t="shared" si="390"/>
        <v>29.840000000000003</v>
      </c>
      <c r="U1728">
        <f t="shared" si="393"/>
        <v>1.35</v>
      </c>
      <c r="V1728">
        <f t="shared" si="397"/>
        <v>0.92249999999999976</v>
      </c>
    </row>
    <row r="1729" spans="1:22" x14ac:dyDescent="0.25">
      <c r="A1729" t="s">
        <v>3685</v>
      </c>
      <c r="B1729">
        <v>0.6</v>
      </c>
      <c r="C1729">
        <v>31.76</v>
      </c>
      <c r="E1729" t="s">
        <v>3685</v>
      </c>
      <c r="F1729">
        <v>1.2</v>
      </c>
      <c r="G1729">
        <v>108.46</v>
      </c>
      <c r="I1729" t="str" cm="1">
        <f t="array" ref="I1729:J1729">_xlfn.TEXTSPLIT(A1729," ")</f>
        <v>28.10.2023</v>
      </c>
      <c r="J1729" t="str">
        <v>04:49:56</v>
      </c>
      <c r="K1729">
        <f t="shared" si="394"/>
        <v>28.766666666666314</v>
      </c>
      <c r="L1729">
        <f t="shared" si="391"/>
        <v>17.440000000000001</v>
      </c>
      <c r="M1729">
        <f t="shared" si="392"/>
        <v>0.6</v>
      </c>
      <c r="N1729">
        <f t="shared" si="396"/>
        <v>0.53249999999999997</v>
      </c>
      <c r="Q1729" t="str" cm="1">
        <f t="array" ref="Q1729:R1729">_xlfn.TEXTSPLIT(E1729," ")</f>
        <v>28.10.2023</v>
      </c>
      <c r="R1729" t="str">
        <v>04:49:56</v>
      </c>
      <c r="S1729">
        <f t="shared" si="395"/>
        <v>28.766666666666314</v>
      </c>
      <c r="T1729">
        <f t="shared" si="390"/>
        <v>29.86</v>
      </c>
      <c r="U1729">
        <f t="shared" si="393"/>
        <v>1.2</v>
      </c>
      <c r="V1729">
        <f t="shared" si="397"/>
        <v>0.92999999999999994</v>
      </c>
    </row>
    <row r="1730" spans="1:22" x14ac:dyDescent="0.25">
      <c r="A1730" t="s">
        <v>3686</v>
      </c>
      <c r="B1730">
        <v>0.45</v>
      </c>
      <c r="C1730">
        <v>31.77</v>
      </c>
      <c r="E1730" t="s">
        <v>3686</v>
      </c>
      <c r="F1730">
        <v>1.2</v>
      </c>
      <c r="G1730">
        <v>108.46</v>
      </c>
      <c r="I1730" t="str" cm="1">
        <f t="array" ref="I1730:J1730">_xlfn.TEXTSPLIT(A1730," ")</f>
        <v>28.10.2023</v>
      </c>
      <c r="J1730" t="str">
        <v>04:50:56</v>
      </c>
      <c r="K1730">
        <f t="shared" si="394"/>
        <v>28.78333333333298</v>
      </c>
      <c r="L1730">
        <f t="shared" si="391"/>
        <v>17.45</v>
      </c>
      <c r="M1730">
        <f t="shared" si="392"/>
        <v>0.45</v>
      </c>
      <c r="N1730">
        <f t="shared" si="396"/>
        <v>0.53999999999999992</v>
      </c>
      <c r="Q1730" t="str" cm="1">
        <f t="array" ref="Q1730:R1730">_xlfn.TEXTSPLIT(E1730," ")</f>
        <v>28.10.2023</v>
      </c>
      <c r="R1730" t="str">
        <v>04:50:56</v>
      </c>
      <c r="S1730">
        <f t="shared" si="395"/>
        <v>28.78333333333298</v>
      </c>
      <c r="T1730">
        <f t="shared" si="390"/>
        <v>29.86</v>
      </c>
      <c r="U1730">
        <f t="shared" si="393"/>
        <v>1.2</v>
      </c>
      <c r="V1730">
        <f t="shared" si="397"/>
        <v>0.94</v>
      </c>
    </row>
    <row r="1731" spans="1:22" x14ac:dyDescent="0.25">
      <c r="A1731" t="s">
        <v>3687</v>
      </c>
      <c r="B1731">
        <v>0.6</v>
      </c>
      <c r="C1731">
        <v>31.77</v>
      </c>
      <c r="E1731" t="s">
        <v>3687</v>
      </c>
      <c r="F1731">
        <v>0</v>
      </c>
      <c r="G1731">
        <v>108.47</v>
      </c>
      <c r="I1731" t="str" cm="1">
        <f t="array" ref="I1731:J1731">_xlfn.TEXTSPLIT(A1731," ")</f>
        <v>28.10.2023</v>
      </c>
      <c r="J1731" t="str">
        <v>04:51:56</v>
      </c>
      <c r="K1731">
        <f t="shared" si="394"/>
        <v>28.799999999999645</v>
      </c>
      <c r="L1731">
        <f t="shared" si="391"/>
        <v>17.45</v>
      </c>
      <c r="M1731">
        <f t="shared" si="392"/>
        <v>0.6</v>
      </c>
      <c r="N1731">
        <f t="shared" si="396"/>
        <v>0.54249999999999998</v>
      </c>
      <c r="Q1731" t="str" cm="1">
        <f t="array" ref="Q1731:R1731">_xlfn.TEXTSPLIT(E1731," ")</f>
        <v>28.10.2023</v>
      </c>
      <c r="R1731" t="str">
        <v>04:51:56</v>
      </c>
      <c r="S1731">
        <f t="shared" si="395"/>
        <v>28.799999999999645</v>
      </c>
      <c r="T1731">
        <f t="shared" ref="T1731:T1794" si="398">G1731-78.6</f>
        <v>29.870000000000005</v>
      </c>
      <c r="U1731">
        <f t="shared" si="393"/>
        <v>0</v>
      </c>
      <c r="V1731">
        <f t="shared" si="397"/>
        <v>0.9375</v>
      </c>
    </row>
    <row r="1732" spans="1:22" x14ac:dyDescent="0.25">
      <c r="A1732" t="s">
        <v>3688</v>
      </c>
      <c r="B1732">
        <v>0.15</v>
      </c>
      <c r="C1732">
        <v>31.77</v>
      </c>
      <c r="E1732" t="s">
        <v>3688</v>
      </c>
      <c r="F1732">
        <v>0.15</v>
      </c>
      <c r="G1732">
        <v>108.47</v>
      </c>
      <c r="I1732" t="str" cm="1">
        <f t="array" ref="I1732:J1732">_xlfn.TEXTSPLIT(A1732," ")</f>
        <v>28.10.2023</v>
      </c>
      <c r="J1732" t="str">
        <v>04:52:57</v>
      </c>
      <c r="K1732">
        <f t="shared" si="394"/>
        <v>28.816666666666311</v>
      </c>
      <c r="L1732">
        <f t="shared" ref="L1732:L1795" si="399">C1732-14.32</f>
        <v>17.45</v>
      </c>
      <c r="M1732">
        <f t="shared" ref="M1732:M1795" si="400">B1732</f>
        <v>0.15</v>
      </c>
      <c r="N1732">
        <f t="shared" si="396"/>
        <v>0.53749999999999987</v>
      </c>
      <c r="Q1732" t="str" cm="1">
        <f t="array" ref="Q1732:R1732">_xlfn.TEXTSPLIT(E1732," ")</f>
        <v>28.10.2023</v>
      </c>
      <c r="R1732" t="str">
        <v>04:52:57</v>
      </c>
      <c r="S1732">
        <f t="shared" si="395"/>
        <v>28.816666666666311</v>
      </c>
      <c r="T1732">
        <f t="shared" si="398"/>
        <v>29.870000000000005</v>
      </c>
      <c r="U1732">
        <f t="shared" ref="U1732:U1795" si="401">F1732</f>
        <v>0.15</v>
      </c>
      <c r="V1732">
        <f t="shared" si="397"/>
        <v>0.9375</v>
      </c>
    </row>
    <row r="1733" spans="1:22" x14ac:dyDescent="0.25">
      <c r="A1733" t="s">
        <v>3689</v>
      </c>
      <c r="B1733">
        <v>0</v>
      </c>
      <c r="C1733">
        <v>31.77</v>
      </c>
      <c r="E1733" t="s">
        <v>3689</v>
      </c>
      <c r="F1733">
        <v>0.3</v>
      </c>
      <c r="G1733">
        <v>108.48</v>
      </c>
      <c r="I1733" t="str" cm="1">
        <f t="array" ref="I1733:J1733">_xlfn.TEXTSPLIT(A1733," ")</f>
        <v>28.10.2023</v>
      </c>
      <c r="J1733" t="str">
        <v>04:53:57</v>
      </c>
      <c r="K1733">
        <f t="shared" ref="K1733:K1796" si="402">1/60+K1732</f>
        <v>28.833333333332977</v>
      </c>
      <c r="L1733">
        <f t="shared" si="399"/>
        <v>17.45</v>
      </c>
      <c r="M1733">
        <f t="shared" si="400"/>
        <v>0</v>
      </c>
      <c r="N1733">
        <f t="shared" si="396"/>
        <v>0.53749999999999987</v>
      </c>
      <c r="Q1733" t="str" cm="1">
        <f t="array" ref="Q1733:R1733">_xlfn.TEXTSPLIT(E1733," ")</f>
        <v>28.10.2023</v>
      </c>
      <c r="R1733" t="str">
        <v>04:53:57</v>
      </c>
      <c r="S1733">
        <f t="shared" ref="S1733:S1796" si="403">1/60+S1732</f>
        <v>28.833333333332977</v>
      </c>
      <c r="T1733">
        <f t="shared" si="398"/>
        <v>29.88000000000001</v>
      </c>
      <c r="U1733">
        <f t="shared" si="401"/>
        <v>0.3</v>
      </c>
      <c r="V1733">
        <f t="shared" si="397"/>
        <v>0.93749999999999989</v>
      </c>
    </row>
    <row r="1734" spans="1:22" x14ac:dyDescent="0.25">
      <c r="A1734" t="s">
        <v>3690</v>
      </c>
      <c r="B1734">
        <v>0</v>
      </c>
      <c r="C1734">
        <v>31.77</v>
      </c>
      <c r="E1734" t="s">
        <v>3690</v>
      </c>
      <c r="F1734">
        <v>0.3</v>
      </c>
      <c r="G1734">
        <v>108.48</v>
      </c>
      <c r="I1734" t="str" cm="1">
        <f t="array" ref="I1734:J1734">_xlfn.TEXTSPLIT(A1734," ")</f>
        <v>28.10.2023</v>
      </c>
      <c r="J1734" t="str">
        <v>04:54:57</v>
      </c>
      <c r="K1734">
        <f t="shared" si="402"/>
        <v>28.849999999999643</v>
      </c>
      <c r="L1734">
        <f t="shared" si="399"/>
        <v>17.45</v>
      </c>
      <c r="M1734">
        <f t="shared" si="400"/>
        <v>0</v>
      </c>
      <c r="N1734">
        <f t="shared" si="396"/>
        <v>0.53749999999999987</v>
      </c>
      <c r="Q1734" t="str" cm="1">
        <f t="array" ref="Q1734:R1734">_xlfn.TEXTSPLIT(E1734," ")</f>
        <v>28.10.2023</v>
      </c>
      <c r="R1734" t="str">
        <v>04:54:57</v>
      </c>
      <c r="S1734">
        <f t="shared" si="403"/>
        <v>28.849999999999643</v>
      </c>
      <c r="T1734">
        <f t="shared" si="398"/>
        <v>29.88000000000001</v>
      </c>
      <c r="U1734">
        <f t="shared" si="401"/>
        <v>0.3</v>
      </c>
      <c r="V1734">
        <f t="shared" si="397"/>
        <v>0.93749999999999989</v>
      </c>
    </row>
    <row r="1735" spans="1:22" x14ac:dyDescent="0.25">
      <c r="A1735" t="s">
        <v>3691</v>
      </c>
      <c r="B1735">
        <v>0</v>
      </c>
      <c r="C1735">
        <v>31.77</v>
      </c>
      <c r="E1735" t="s">
        <v>3691</v>
      </c>
      <c r="F1735">
        <v>0.3</v>
      </c>
      <c r="G1735">
        <v>108.49</v>
      </c>
      <c r="I1735" t="str" cm="1">
        <f t="array" ref="I1735:J1735">_xlfn.TEXTSPLIT(A1735," ")</f>
        <v>28.10.2023</v>
      </c>
      <c r="J1735" t="str">
        <v>04:55:57</v>
      </c>
      <c r="K1735">
        <f t="shared" si="402"/>
        <v>28.866666666666308</v>
      </c>
      <c r="L1735">
        <f t="shared" si="399"/>
        <v>17.45</v>
      </c>
      <c r="M1735">
        <f t="shared" si="400"/>
        <v>0</v>
      </c>
      <c r="N1735">
        <f t="shared" si="396"/>
        <v>0.53749999999999987</v>
      </c>
      <c r="Q1735" t="str" cm="1">
        <f t="array" ref="Q1735:R1735">_xlfn.TEXTSPLIT(E1735," ")</f>
        <v>28.10.2023</v>
      </c>
      <c r="R1735" t="str">
        <v>04:55:57</v>
      </c>
      <c r="S1735">
        <f t="shared" si="403"/>
        <v>28.866666666666308</v>
      </c>
      <c r="T1735">
        <f t="shared" si="398"/>
        <v>29.89</v>
      </c>
      <c r="U1735">
        <f t="shared" si="401"/>
        <v>0.3</v>
      </c>
      <c r="V1735">
        <f t="shared" si="397"/>
        <v>0.93499999999999983</v>
      </c>
    </row>
    <row r="1736" spans="1:22" x14ac:dyDescent="0.25">
      <c r="A1736" t="s">
        <v>3692</v>
      </c>
      <c r="B1736">
        <v>0</v>
      </c>
      <c r="C1736">
        <v>31.77</v>
      </c>
      <c r="E1736" t="s">
        <v>3692</v>
      </c>
      <c r="F1736">
        <v>0.45</v>
      </c>
      <c r="G1736">
        <v>108.5</v>
      </c>
      <c r="I1736" t="str" cm="1">
        <f t="array" ref="I1736:J1736">_xlfn.TEXTSPLIT(A1736," ")</f>
        <v>28.10.2023</v>
      </c>
      <c r="J1736" t="str">
        <v>04:56:57</v>
      </c>
      <c r="K1736">
        <f t="shared" si="402"/>
        <v>28.883333333332974</v>
      </c>
      <c r="L1736">
        <f t="shared" si="399"/>
        <v>17.45</v>
      </c>
      <c r="M1736">
        <f t="shared" si="400"/>
        <v>0</v>
      </c>
      <c r="N1736">
        <f t="shared" si="396"/>
        <v>0.53749999999999987</v>
      </c>
      <c r="Q1736" t="str" cm="1">
        <f t="array" ref="Q1736:R1736">_xlfn.TEXTSPLIT(E1736," ")</f>
        <v>28.10.2023</v>
      </c>
      <c r="R1736" t="str">
        <v>04:56:57</v>
      </c>
      <c r="S1736">
        <f t="shared" si="403"/>
        <v>28.883333333332974</v>
      </c>
      <c r="T1736">
        <f t="shared" si="398"/>
        <v>29.900000000000006</v>
      </c>
      <c r="U1736">
        <f t="shared" si="401"/>
        <v>0.45</v>
      </c>
      <c r="V1736">
        <f t="shared" si="397"/>
        <v>0.93499999999999994</v>
      </c>
    </row>
    <row r="1737" spans="1:22" x14ac:dyDescent="0.25">
      <c r="A1737" t="s">
        <v>3693</v>
      </c>
      <c r="B1737">
        <v>0</v>
      </c>
      <c r="C1737">
        <v>31.77</v>
      </c>
      <c r="E1737" t="s">
        <v>3693</v>
      </c>
      <c r="F1737">
        <v>0.45</v>
      </c>
      <c r="G1737">
        <v>108.5</v>
      </c>
      <c r="I1737" t="str" cm="1">
        <f t="array" ref="I1737:J1737">_xlfn.TEXTSPLIT(A1737," ")</f>
        <v>28.10.2023</v>
      </c>
      <c r="J1737" t="str">
        <v>04:57:57</v>
      </c>
      <c r="K1737">
        <f t="shared" si="402"/>
        <v>28.89999999999964</v>
      </c>
      <c r="L1737">
        <f t="shared" si="399"/>
        <v>17.45</v>
      </c>
      <c r="M1737">
        <f t="shared" si="400"/>
        <v>0</v>
      </c>
      <c r="N1737">
        <f t="shared" si="396"/>
        <v>0.53749999999999987</v>
      </c>
      <c r="Q1737" t="str" cm="1">
        <f t="array" ref="Q1737:R1737">_xlfn.TEXTSPLIT(E1737," ")</f>
        <v>28.10.2023</v>
      </c>
      <c r="R1737" t="str">
        <v>04:57:57</v>
      </c>
      <c r="S1737">
        <f t="shared" si="403"/>
        <v>28.89999999999964</v>
      </c>
      <c r="T1737">
        <f t="shared" si="398"/>
        <v>29.900000000000006</v>
      </c>
      <c r="U1737">
        <f t="shared" si="401"/>
        <v>0.45</v>
      </c>
      <c r="V1737">
        <f t="shared" si="397"/>
        <v>0.93249999999999988</v>
      </c>
    </row>
    <row r="1738" spans="1:22" x14ac:dyDescent="0.25">
      <c r="A1738" t="s">
        <v>3694</v>
      </c>
      <c r="B1738">
        <v>0</v>
      </c>
      <c r="C1738">
        <v>31.77</v>
      </c>
      <c r="E1738" t="s">
        <v>3694</v>
      </c>
      <c r="F1738">
        <v>0.3</v>
      </c>
      <c r="G1738">
        <v>108.51</v>
      </c>
      <c r="I1738" t="str" cm="1">
        <f t="array" ref="I1738:J1738">_xlfn.TEXTSPLIT(A1738," ")</f>
        <v>28.10.2023</v>
      </c>
      <c r="J1738" t="str">
        <v>04:58:57</v>
      </c>
      <c r="K1738">
        <f t="shared" si="402"/>
        <v>28.916666666666305</v>
      </c>
      <c r="L1738">
        <f t="shared" si="399"/>
        <v>17.45</v>
      </c>
      <c r="M1738">
        <f t="shared" si="400"/>
        <v>0</v>
      </c>
      <c r="N1738">
        <f t="shared" si="396"/>
        <v>0.53749999999999987</v>
      </c>
      <c r="Q1738" t="str" cm="1">
        <f t="array" ref="Q1738:R1738">_xlfn.TEXTSPLIT(E1738," ")</f>
        <v>28.10.2023</v>
      </c>
      <c r="R1738" t="str">
        <v>04:58:57</v>
      </c>
      <c r="S1738">
        <f t="shared" si="403"/>
        <v>28.916666666666305</v>
      </c>
      <c r="T1738">
        <f t="shared" si="398"/>
        <v>29.910000000000011</v>
      </c>
      <c r="U1738">
        <f t="shared" si="401"/>
        <v>0.3</v>
      </c>
      <c r="V1738">
        <f t="shared" si="397"/>
        <v>0.92499999999999993</v>
      </c>
    </row>
    <row r="1739" spans="1:22" x14ac:dyDescent="0.25">
      <c r="A1739" t="s">
        <v>3695</v>
      </c>
      <c r="B1739">
        <v>0.15</v>
      </c>
      <c r="C1739">
        <v>31.78</v>
      </c>
      <c r="E1739" t="s">
        <v>3695</v>
      </c>
      <c r="F1739">
        <v>0.45</v>
      </c>
      <c r="G1739">
        <v>108.52</v>
      </c>
      <c r="I1739" t="str" cm="1">
        <f t="array" ref="I1739:J1739">_xlfn.TEXTSPLIT(A1739," ")</f>
        <v>28.10.2023</v>
      </c>
      <c r="J1739" t="str">
        <v>04:59:57</v>
      </c>
      <c r="K1739">
        <f t="shared" si="402"/>
        <v>28.933333333332971</v>
      </c>
      <c r="L1739">
        <f t="shared" si="399"/>
        <v>17.46</v>
      </c>
      <c r="M1739">
        <f t="shared" si="400"/>
        <v>0.15</v>
      </c>
      <c r="N1739">
        <f t="shared" si="396"/>
        <v>0.53749999999999998</v>
      </c>
      <c r="Q1739" t="str" cm="1">
        <f t="array" ref="Q1739:R1739">_xlfn.TEXTSPLIT(E1739," ")</f>
        <v>28.10.2023</v>
      </c>
      <c r="R1739" t="str">
        <v>04:59:57</v>
      </c>
      <c r="S1739">
        <f t="shared" si="403"/>
        <v>28.933333333332971</v>
      </c>
      <c r="T1739">
        <f t="shared" si="398"/>
        <v>29.92</v>
      </c>
      <c r="U1739">
        <f t="shared" si="401"/>
        <v>0.45</v>
      </c>
      <c r="V1739">
        <f t="shared" si="397"/>
        <v>0.91999999999999993</v>
      </c>
    </row>
    <row r="1740" spans="1:22" x14ac:dyDescent="0.25">
      <c r="A1740" t="s">
        <v>3696</v>
      </c>
      <c r="B1740">
        <v>0.15</v>
      </c>
      <c r="C1740">
        <v>31.78</v>
      </c>
      <c r="E1740" t="s">
        <v>3696</v>
      </c>
      <c r="F1740">
        <v>0.75</v>
      </c>
      <c r="G1740">
        <v>108.54</v>
      </c>
      <c r="I1740" t="str" cm="1">
        <f t="array" ref="I1740:J1740">_xlfn.TEXTSPLIT(A1740," ")</f>
        <v>28.10.2023</v>
      </c>
      <c r="J1740" t="str">
        <v>05:00:57</v>
      </c>
      <c r="K1740">
        <f t="shared" si="402"/>
        <v>28.949999999999637</v>
      </c>
      <c r="L1740">
        <f t="shared" si="399"/>
        <v>17.46</v>
      </c>
      <c r="M1740">
        <f t="shared" si="400"/>
        <v>0.15</v>
      </c>
      <c r="N1740">
        <f t="shared" si="396"/>
        <v>0.53249999999999986</v>
      </c>
      <c r="Q1740" t="str" cm="1">
        <f t="array" ref="Q1740:R1740">_xlfn.TEXTSPLIT(E1740," ")</f>
        <v>28.10.2023</v>
      </c>
      <c r="R1740" t="str">
        <v>05:00:57</v>
      </c>
      <c r="S1740">
        <f t="shared" si="403"/>
        <v>28.949999999999637</v>
      </c>
      <c r="T1740">
        <f t="shared" si="398"/>
        <v>29.940000000000012</v>
      </c>
      <c r="U1740">
        <f t="shared" si="401"/>
        <v>0.75</v>
      </c>
      <c r="V1740">
        <f t="shared" si="397"/>
        <v>0.92249999999999999</v>
      </c>
    </row>
    <row r="1741" spans="1:22" x14ac:dyDescent="0.25">
      <c r="A1741" t="s">
        <v>3697</v>
      </c>
      <c r="B1741">
        <v>0.3</v>
      </c>
      <c r="C1741">
        <v>31.79</v>
      </c>
      <c r="E1741" t="s">
        <v>3697</v>
      </c>
      <c r="F1741">
        <v>0.9</v>
      </c>
      <c r="G1741">
        <v>108.56</v>
      </c>
      <c r="I1741" t="str" cm="1">
        <f t="array" ref="I1741:J1741">_xlfn.TEXTSPLIT(A1741," ")</f>
        <v>28.10.2023</v>
      </c>
      <c r="J1741" t="str">
        <v>05:01:57</v>
      </c>
      <c r="K1741">
        <f t="shared" si="402"/>
        <v>28.966666666666303</v>
      </c>
      <c r="L1741">
        <f t="shared" si="399"/>
        <v>17.47</v>
      </c>
      <c r="M1741">
        <f t="shared" si="400"/>
        <v>0.3</v>
      </c>
      <c r="N1741">
        <f t="shared" si="396"/>
        <v>0.52999999999999992</v>
      </c>
      <c r="Q1741" t="str" cm="1">
        <f t="array" ref="Q1741:R1741">_xlfn.TEXTSPLIT(E1741," ")</f>
        <v>28.10.2023</v>
      </c>
      <c r="R1741" t="str">
        <v>05:01:57</v>
      </c>
      <c r="S1741">
        <f t="shared" si="403"/>
        <v>28.966666666666303</v>
      </c>
      <c r="T1741">
        <f t="shared" si="398"/>
        <v>29.960000000000008</v>
      </c>
      <c r="U1741">
        <f t="shared" si="401"/>
        <v>0.9</v>
      </c>
      <c r="V1741">
        <f t="shared" si="397"/>
        <v>0.92749999999999988</v>
      </c>
    </row>
    <row r="1742" spans="1:22" x14ac:dyDescent="0.25">
      <c r="A1742" t="s">
        <v>3698</v>
      </c>
      <c r="B1742">
        <v>0.3</v>
      </c>
      <c r="C1742">
        <v>31.79</v>
      </c>
      <c r="E1742" t="s">
        <v>3698</v>
      </c>
      <c r="F1742">
        <v>0.9</v>
      </c>
      <c r="G1742">
        <v>108.57</v>
      </c>
      <c r="I1742" t="str" cm="1">
        <f t="array" ref="I1742:J1742">_xlfn.TEXTSPLIT(A1742," ")</f>
        <v>28.10.2023</v>
      </c>
      <c r="J1742" t="str">
        <v>05:02:58</v>
      </c>
      <c r="K1742">
        <f t="shared" si="402"/>
        <v>28.983333333332968</v>
      </c>
      <c r="L1742">
        <f t="shared" si="399"/>
        <v>17.47</v>
      </c>
      <c r="M1742">
        <f t="shared" si="400"/>
        <v>0.3</v>
      </c>
      <c r="N1742">
        <f t="shared" si="396"/>
        <v>0.52999999999999992</v>
      </c>
      <c r="Q1742" t="str" cm="1">
        <f t="array" ref="Q1742:R1742">_xlfn.TEXTSPLIT(E1742," ")</f>
        <v>28.10.2023</v>
      </c>
      <c r="R1742" t="str">
        <v>05:02:58</v>
      </c>
      <c r="S1742">
        <f t="shared" si="403"/>
        <v>28.983333333332968</v>
      </c>
      <c r="T1742">
        <f t="shared" si="398"/>
        <v>29.97</v>
      </c>
      <c r="U1742">
        <f t="shared" si="401"/>
        <v>0.9</v>
      </c>
      <c r="V1742">
        <f t="shared" si="397"/>
        <v>0.93249999999999977</v>
      </c>
    </row>
    <row r="1743" spans="1:22" x14ac:dyDescent="0.25">
      <c r="A1743" t="s">
        <v>3699</v>
      </c>
      <c r="B1743">
        <v>0.3</v>
      </c>
      <c r="C1743">
        <v>31.8</v>
      </c>
      <c r="E1743" t="s">
        <v>3699</v>
      </c>
      <c r="F1743">
        <v>1.2</v>
      </c>
      <c r="G1743">
        <v>108.58</v>
      </c>
      <c r="I1743" t="str" cm="1">
        <f t="array" ref="I1743:J1743">_xlfn.TEXTSPLIT(A1743," ")</f>
        <v>28.10.2023</v>
      </c>
      <c r="J1743" t="str">
        <v>05:03:58</v>
      </c>
      <c r="K1743">
        <f t="shared" si="402"/>
        <v>28.999999999999634</v>
      </c>
      <c r="L1743">
        <f t="shared" si="399"/>
        <v>17.48</v>
      </c>
      <c r="M1743">
        <f t="shared" si="400"/>
        <v>0.3</v>
      </c>
      <c r="N1743">
        <f t="shared" si="396"/>
        <v>0.52749999999999997</v>
      </c>
      <c r="Q1743" t="str" cm="1">
        <f t="array" ref="Q1743:R1743">_xlfn.TEXTSPLIT(E1743," ")</f>
        <v>28.10.2023</v>
      </c>
      <c r="R1743" t="str">
        <v>05:03:58</v>
      </c>
      <c r="S1743">
        <f t="shared" si="403"/>
        <v>28.999999999999634</v>
      </c>
      <c r="T1743">
        <f t="shared" si="398"/>
        <v>29.980000000000004</v>
      </c>
      <c r="U1743">
        <f t="shared" si="401"/>
        <v>1.2</v>
      </c>
      <c r="V1743">
        <f t="shared" si="397"/>
        <v>0.94249999999999978</v>
      </c>
    </row>
    <row r="1744" spans="1:22" x14ac:dyDescent="0.25">
      <c r="A1744" t="s">
        <v>3700</v>
      </c>
      <c r="B1744">
        <v>0.15</v>
      </c>
      <c r="C1744">
        <v>31.8</v>
      </c>
      <c r="E1744" t="s">
        <v>3700</v>
      </c>
      <c r="F1744">
        <v>0.6</v>
      </c>
      <c r="G1744">
        <v>108.6</v>
      </c>
      <c r="I1744" t="str" cm="1">
        <f t="array" ref="I1744:J1744">_xlfn.TEXTSPLIT(A1744," ")</f>
        <v>28.10.2023</v>
      </c>
      <c r="J1744" t="str">
        <v>05:04:58</v>
      </c>
      <c r="K1744">
        <f t="shared" si="402"/>
        <v>29.0166666666663</v>
      </c>
      <c r="L1744">
        <f t="shared" si="399"/>
        <v>17.48</v>
      </c>
      <c r="M1744">
        <f t="shared" si="400"/>
        <v>0.15</v>
      </c>
      <c r="N1744">
        <f t="shared" si="396"/>
        <v>0.52499999999999991</v>
      </c>
      <c r="Q1744" t="str" cm="1">
        <f t="array" ref="Q1744:R1744">_xlfn.TEXTSPLIT(E1744," ")</f>
        <v>28.10.2023</v>
      </c>
      <c r="R1744" t="str">
        <v>05:04:58</v>
      </c>
      <c r="S1744">
        <f t="shared" si="403"/>
        <v>29.0166666666663</v>
      </c>
      <c r="T1744">
        <f t="shared" si="398"/>
        <v>30</v>
      </c>
      <c r="U1744">
        <f t="shared" si="401"/>
        <v>0.6</v>
      </c>
      <c r="V1744">
        <f t="shared" si="397"/>
        <v>0.93999999999999984</v>
      </c>
    </row>
    <row r="1745" spans="1:22" x14ac:dyDescent="0.25">
      <c r="A1745" t="s">
        <v>3701</v>
      </c>
      <c r="B1745">
        <v>0.45</v>
      </c>
      <c r="C1745">
        <v>31.81</v>
      </c>
      <c r="E1745" t="s">
        <v>3701</v>
      </c>
      <c r="F1745">
        <v>0.6</v>
      </c>
      <c r="G1745">
        <v>108.63</v>
      </c>
      <c r="I1745" t="str" cm="1">
        <f t="array" ref="I1745:J1745">_xlfn.TEXTSPLIT(A1745," ")</f>
        <v>28.10.2023</v>
      </c>
      <c r="J1745" t="str">
        <v>05:05:58</v>
      </c>
      <c r="K1745">
        <f t="shared" si="402"/>
        <v>29.033333333332966</v>
      </c>
      <c r="L1745">
        <f t="shared" si="399"/>
        <v>17.489999999999998</v>
      </c>
      <c r="M1745">
        <f t="shared" si="400"/>
        <v>0.45</v>
      </c>
      <c r="N1745">
        <f t="shared" si="396"/>
        <v>0.52499999999999991</v>
      </c>
      <c r="Q1745" t="str" cm="1">
        <f t="array" ref="Q1745:R1745">_xlfn.TEXTSPLIT(E1745," ")</f>
        <v>28.10.2023</v>
      </c>
      <c r="R1745" t="str">
        <v>05:05:58</v>
      </c>
      <c r="S1745">
        <f t="shared" si="403"/>
        <v>29.033333333332966</v>
      </c>
      <c r="T1745">
        <f t="shared" si="398"/>
        <v>30.03</v>
      </c>
      <c r="U1745">
        <f t="shared" si="401"/>
        <v>0.6</v>
      </c>
      <c r="V1745">
        <f t="shared" si="397"/>
        <v>0.94</v>
      </c>
    </row>
    <row r="1746" spans="1:22" x14ac:dyDescent="0.25">
      <c r="A1746" t="s">
        <v>3702</v>
      </c>
      <c r="B1746">
        <v>0.45</v>
      </c>
      <c r="C1746">
        <v>31.83</v>
      </c>
      <c r="E1746" t="s">
        <v>3702</v>
      </c>
      <c r="F1746">
        <v>2.1</v>
      </c>
      <c r="G1746">
        <v>108.68</v>
      </c>
      <c r="I1746" t="str" cm="1">
        <f t="array" ref="I1746:J1746">_xlfn.TEXTSPLIT(A1746," ")</f>
        <v>28.10.2023</v>
      </c>
      <c r="J1746" t="str">
        <v>05:06:58</v>
      </c>
      <c r="K1746">
        <f t="shared" si="402"/>
        <v>29.049999999999631</v>
      </c>
      <c r="L1746">
        <f t="shared" si="399"/>
        <v>17.509999999999998</v>
      </c>
      <c r="M1746">
        <f t="shared" si="400"/>
        <v>0.45</v>
      </c>
      <c r="N1746">
        <f t="shared" si="396"/>
        <v>0.52749999999999997</v>
      </c>
      <c r="Q1746" t="str" cm="1">
        <f t="array" ref="Q1746:R1746">_xlfn.TEXTSPLIT(E1746," ")</f>
        <v>28.10.2023</v>
      </c>
      <c r="R1746" t="str">
        <v>05:06:58</v>
      </c>
      <c r="S1746">
        <f t="shared" si="403"/>
        <v>29.049999999999631</v>
      </c>
      <c r="T1746">
        <f t="shared" si="398"/>
        <v>30.080000000000013</v>
      </c>
      <c r="U1746">
        <f t="shared" si="401"/>
        <v>2.1</v>
      </c>
      <c r="V1746">
        <f t="shared" si="397"/>
        <v>0.92749999999999988</v>
      </c>
    </row>
    <row r="1747" spans="1:22" x14ac:dyDescent="0.25">
      <c r="A1747" t="s">
        <v>3703</v>
      </c>
      <c r="B1747">
        <v>1.5</v>
      </c>
      <c r="C1747">
        <v>31.87</v>
      </c>
      <c r="E1747" t="s">
        <v>3703</v>
      </c>
      <c r="F1747">
        <v>3.15</v>
      </c>
      <c r="G1747">
        <v>108.72</v>
      </c>
      <c r="I1747" t="str" cm="1">
        <f t="array" ref="I1747:J1747">_xlfn.TEXTSPLIT(A1747," ")</f>
        <v>28.10.2023</v>
      </c>
      <c r="J1747" t="str">
        <v>05:07:58</v>
      </c>
      <c r="K1747">
        <f t="shared" si="402"/>
        <v>29.066666666666297</v>
      </c>
      <c r="L1747">
        <f t="shared" si="399"/>
        <v>17.55</v>
      </c>
      <c r="M1747">
        <f t="shared" si="400"/>
        <v>1.5</v>
      </c>
      <c r="N1747">
        <f t="shared" si="396"/>
        <v>0.53499999999999992</v>
      </c>
      <c r="Q1747" t="str" cm="1">
        <f t="array" ref="Q1747:R1747">_xlfn.TEXTSPLIT(E1747," ")</f>
        <v>28.10.2023</v>
      </c>
      <c r="R1747" t="str">
        <v>05:07:58</v>
      </c>
      <c r="S1747">
        <f t="shared" si="403"/>
        <v>29.066666666666297</v>
      </c>
      <c r="T1747">
        <f t="shared" si="398"/>
        <v>30.120000000000005</v>
      </c>
      <c r="U1747">
        <f t="shared" si="401"/>
        <v>3.15</v>
      </c>
      <c r="V1747">
        <f t="shared" si="397"/>
        <v>0.9375</v>
      </c>
    </row>
    <row r="1748" spans="1:22" x14ac:dyDescent="0.25">
      <c r="A1748" t="s">
        <v>3704</v>
      </c>
      <c r="B1748">
        <v>2.25</v>
      </c>
      <c r="C1748">
        <v>31.9</v>
      </c>
      <c r="E1748" t="s">
        <v>3704</v>
      </c>
      <c r="F1748">
        <v>2.1</v>
      </c>
      <c r="G1748">
        <v>108.74</v>
      </c>
      <c r="I1748" t="str" cm="1">
        <f t="array" ref="I1748:J1748">_xlfn.TEXTSPLIT(A1748," ")</f>
        <v>28.10.2023</v>
      </c>
      <c r="J1748" t="str">
        <v>05:08:58</v>
      </c>
      <c r="K1748">
        <f t="shared" si="402"/>
        <v>29.083333333332963</v>
      </c>
      <c r="L1748">
        <f t="shared" si="399"/>
        <v>17.579999999999998</v>
      </c>
      <c r="M1748">
        <f t="shared" si="400"/>
        <v>2.25</v>
      </c>
      <c r="N1748">
        <f t="shared" si="396"/>
        <v>0.53499999999999992</v>
      </c>
      <c r="Q1748" t="str" cm="1">
        <f t="array" ref="Q1748:R1748">_xlfn.TEXTSPLIT(E1748," ")</f>
        <v>28.10.2023</v>
      </c>
      <c r="R1748" t="str">
        <v>05:08:58</v>
      </c>
      <c r="S1748">
        <f t="shared" si="403"/>
        <v>29.083333333332963</v>
      </c>
      <c r="T1748">
        <f t="shared" si="398"/>
        <v>30.14</v>
      </c>
      <c r="U1748">
        <f t="shared" si="401"/>
        <v>2.1</v>
      </c>
      <c r="V1748">
        <f t="shared" si="397"/>
        <v>0.94500000000000006</v>
      </c>
    </row>
    <row r="1749" spans="1:22" x14ac:dyDescent="0.25">
      <c r="A1749" t="s">
        <v>3705</v>
      </c>
      <c r="B1749">
        <v>1.5</v>
      </c>
      <c r="C1749">
        <v>31.91</v>
      </c>
      <c r="E1749" t="s">
        <v>3705</v>
      </c>
      <c r="F1749">
        <v>0.9</v>
      </c>
      <c r="G1749">
        <v>108.75</v>
      </c>
      <c r="I1749" t="str" cm="1">
        <f t="array" ref="I1749:J1749">_xlfn.TEXTSPLIT(A1749," ")</f>
        <v>28.10.2023</v>
      </c>
      <c r="J1749" t="str">
        <v>05:09:58</v>
      </c>
      <c r="K1749">
        <f t="shared" si="402"/>
        <v>29.099999999999628</v>
      </c>
      <c r="L1749">
        <f t="shared" si="399"/>
        <v>17.59</v>
      </c>
      <c r="M1749">
        <f t="shared" si="400"/>
        <v>1.5</v>
      </c>
      <c r="N1749">
        <f t="shared" si="396"/>
        <v>0.52749999999999997</v>
      </c>
      <c r="Q1749" t="str" cm="1">
        <f t="array" ref="Q1749:R1749">_xlfn.TEXTSPLIT(E1749," ")</f>
        <v>28.10.2023</v>
      </c>
      <c r="R1749" t="str">
        <v>05:09:58</v>
      </c>
      <c r="S1749">
        <f t="shared" si="403"/>
        <v>29.099999999999628</v>
      </c>
      <c r="T1749">
        <f t="shared" si="398"/>
        <v>30.150000000000006</v>
      </c>
      <c r="U1749">
        <f t="shared" si="401"/>
        <v>0.9</v>
      </c>
      <c r="V1749">
        <f t="shared" si="397"/>
        <v>0.9375</v>
      </c>
    </row>
    <row r="1750" spans="1:22" x14ac:dyDescent="0.25">
      <c r="A1750" t="s">
        <v>3706</v>
      </c>
      <c r="B1750">
        <v>0.9</v>
      </c>
      <c r="C1750">
        <v>31.93</v>
      </c>
      <c r="E1750" t="s">
        <v>3706</v>
      </c>
      <c r="F1750">
        <v>1.05</v>
      </c>
      <c r="G1750">
        <v>108.77</v>
      </c>
      <c r="I1750" t="str" cm="1">
        <f t="array" ref="I1750:J1750">_xlfn.TEXTSPLIT(A1750," ")</f>
        <v>28.10.2023</v>
      </c>
      <c r="J1750" t="str">
        <v>05:10:58</v>
      </c>
      <c r="K1750">
        <f t="shared" si="402"/>
        <v>29.116666666666294</v>
      </c>
      <c r="L1750">
        <f t="shared" si="399"/>
        <v>17.61</v>
      </c>
      <c r="M1750">
        <f t="shared" si="400"/>
        <v>0.9</v>
      </c>
      <c r="N1750">
        <f t="shared" si="396"/>
        <v>0.52249999999999985</v>
      </c>
      <c r="Q1750" t="str" cm="1">
        <f t="array" ref="Q1750:R1750">_xlfn.TEXTSPLIT(E1750," ")</f>
        <v>28.10.2023</v>
      </c>
      <c r="R1750" t="str">
        <v>05:10:58</v>
      </c>
      <c r="S1750">
        <f t="shared" si="403"/>
        <v>29.116666666666294</v>
      </c>
      <c r="T1750">
        <f t="shared" si="398"/>
        <v>30.17</v>
      </c>
      <c r="U1750">
        <f t="shared" si="401"/>
        <v>1.05</v>
      </c>
      <c r="V1750">
        <f t="shared" si="397"/>
        <v>0.92750000000000021</v>
      </c>
    </row>
    <row r="1751" spans="1:22" x14ac:dyDescent="0.25">
      <c r="A1751" t="s">
        <v>3707</v>
      </c>
      <c r="B1751">
        <v>0.6</v>
      </c>
      <c r="C1751">
        <v>31.94</v>
      </c>
      <c r="E1751" t="s">
        <v>3707</v>
      </c>
      <c r="F1751">
        <v>1.2</v>
      </c>
      <c r="G1751">
        <v>108.79</v>
      </c>
      <c r="I1751" t="str" cm="1">
        <f t="array" ref="I1751:J1751">_xlfn.TEXTSPLIT(A1751," ")</f>
        <v>28.10.2023</v>
      </c>
      <c r="J1751" t="str">
        <v>05:11:59</v>
      </c>
      <c r="K1751">
        <f t="shared" si="402"/>
        <v>29.13333333333296</v>
      </c>
      <c r="L1751">
        <f t="shared" si="399"/>
        <v>17.62</v>
      </c>
      <c r="M1751">
        <f t="shared" si="400"/>
        <v>0.6</v>
      </c>
      <c r="N1751">
        <f t="shared" si="396"/>
        <v>0.51999999999999991</v>
      </c>
      <c r="Q1751" t="str" cm="1">
        <f t="array" ref="Q1751:R1751">_xlfn.TEXTSPLIT(E1751," ")</f>
        <v>28.10.2023</v>
      </c>
      <c r="R1751" t="str">
        <v>05:11:59</v>
      </c>
      <c r="S1751">
        <f t="shared" si="403"/>
        <v>29.13333333333296</v>
      </c>
      <c r="T1751">
        <f t="shared" si="398"/>
        <v>30.190000000000012</v>
      </c>
      <c r="U1751">
        <f t="shared" si="401"/>
        <v>1.2</v>
      </c>
      <c r="V1751">
        <f t="shared" si="397"/>
        <v>0.9225000000000001</v>
      </c>
    </row>
    <row r="1752" spans="1:22" x14ac:dyDescent="0.25">
      <c r="A1752" t="s">
        <v>3708</v>
      </c>
      <c r="B1752">
        <v>1.05</v>
      </c>
      <c r="C1752">
        <v>31.95</v>
      </c>
      <c r="E1752" t="s">
        <v>3708</v>
      </c>
      <c r="F1752">
        <v>1.2</v>
      </c>
      <c r="G1752">
        <v>108.81</v>
      </c>
      <c r="I1752" t="str" cm="1">
        <f t="array" ref="I1752:J1752">_xlfn.TEXTSPLIT(A1752," ")</f>
        <v>28.10.2023</v>
      </c>
      <c r="J1752" t="str">
        <v>05:12:59</v>
      </c>
      <c r="K1752">
        <f t="shared" si="402"/>
        <v>29.149999999999626</v>
      </c>
      <c r="L1752">
        <f t="shared" si="399"/>
        <v>17.63</v>
      </c>
      <c r="M1752">
        <f t="shared" si="400"/>
        <v>1.05</v>
      </c>
      <c r="N1752">
        <f t="shared" si="396"/>
        <v>0.52749999999999997</v>
      </c>
      <c r="Q1752" t="str" cm="1">
        <f t="array" ref="Q1752:R1752">_xlfn.TEXTSPLIT(E1752," ")</f>
        <v>28.10.2023</v>
      </c>
      <c r="R1752" t="str">
        <v>05:12:59</v>
      </c>
      <c r="S1752">
        <f t="shared" si="403"/>
        <v>29.149999999999626</v>
      </c>
      <c r="T1752">
        <f t="shared" si="398"/>
        <v>30.210000000000008</v>
      </c>
      <c r="U1752">
        <f t="shared" si="401"/>
        <v>1.2</v>
      </c>
      <c r="V1752">
        <f t="shared" si="397"/>
        <v>0.93000000000000027</v>
      </c>
    </row>
    <row r="1753" spans="1:22" x14ac:dyDescent="0.25">
      <c r="A1753" t="s">
        <v>3709</v>
      </c>
      <c r="B1753">
        <v>0.6</v>
      </c>
      <c r="C1753">
        <v>31.95</v>
      </c>
      <c r="E1753" t="s">
        <v>3709</v>
      </c>
      <c r="F1753">
        <v>1.2</v>
      </c>
      <c r="G1753">
        <v>108.83</v>
      </c>
      <c r="I1753" t="str" cm="1">
        <f t="array" ref="I1753:J1753">_xlfn.TEXTSPLIT(A1753," ")</f>
        <v>28.10.2023</v>
      </c>
      <c r="J1753" t="str">
        <v>05:13:59</v>
      </c>
      <c r="K1753">
        <f t="shared" si="402"/>
        <v>29.166666666666291</v>
      </c>
      <c r="L1753">
        <f t="shared" si="399"/>
        <v>17.63</v>
      </c>
      <c r="M1753">
        <f t="shared" si="400"/>
        <v>0.6</v>
      </c>
      <c r="N1753">
        <f t="shared" si="396"/>
        <v>0.53249999999999997</v>
      </c>
      <c r="Q1753" t="str" cm="1">
        <f t="array" ref="Q1753:R1753">_xlfn.TEXTSPLIT(E1753," ")</f>
        <v>28.10.2023</v>
      </c>
      <c r="R1753" t="str">
        <v>05:13:59</v>
      </c>
      <c r="S1753">
        <f t="shared" si="403"/>
        <v>29.166666666666291</v>
      </c>
      <c r="T1753">
        <f t="shared" si="398"/>
        <v>30.230000000000004</v>
      </c>
      <c r="U1753">
        <f t="shared" si="401"/>
        <v>1.2</v>
      </c>
      <c r="V1753">
        <f t="shared" si="397"/>
        <v>0.93750000000000033</v>
      </c>
    </row>
    <row r="1754" spans="1:22" x14ac:dyDescent="0.25">
      <c r="A1754" t="s">
        <v>3710</v>
      </c>
      <c r="B1754">
        <v>0.15</v>
      </c>
      <c r="C1754">
        <v>31.96</v>
      </c>
      <c r="E1754" t="s">
        <v>3710</v>
      </c>
      <c r="F1754">
        <v>0.9</v>
      </c>
      <c r="G1754">
        <v>108.84</v>
      </c>
      <c r="I1754" t="str" cm="1">
        <f t="array" ref="I1754:J1754">_xlfn.TEXTSPLIT(A1754," ")</f>
        <v>28.10.2023</v>
      </c>
      <c r="J1754" t="str">
        <v>05:14:59</v>
      </c>
      <c r="K1754">
        <f t="shared" si="402"/>
        <v>29.183333333332957</v>
      </c>
      <c r="L1754">
        <f t="shared" si="399"/>
        <v>17.64</v>
      </c>
      <c r="M1754">
        <f t="shared" si="400"/>
        <v>0.15</v>
      </c>
      <c r="N1754">
        <f t="shared" si="396"/>
        <v>0.52499999999999991</v>
      </c>
      <c r="Q1754" t="str" cm="1">
        <f t="array" ref="Q1754:R1754">_xlfn.TEXTSPLIT(E1754," ")</f>
        <v>28.10.2023</v>
      </c>
      <c r="R1754" t="str">
        <v>05:14:59</v>
      </c>
      <c r="S1754">
        <f t="shared" si="403"/>
        <v>29.183333333332957</v>
      </c>
      <c r="T1754">
        <f t="shared" si="398"/>
        <v>30.240000000000009</v>
      </c>
      <c r="U1754">
        <f t="shared" si="401"/>
        <v>0.9</v>
      </c>
      <c r="V1754">
        <f t="shared" si="397"/>
        <v>0.94250000000000034</v>
      </c>
    </row>
    <row r="1755" spans="1:22" x14ac:dyDescent="0.25">
      <c r="A1755" t="s">
        <v>3711</v>
      </c>
      <c r="B1755">
        <v>0.45</v>
      </c>
      <c r="C1755">
        <v>31.97</v>
      </c>
      <c r="E1755" t="s">
        <v>3711</v>
      </c>
      <c r="F1755">
        <v>0.75</v>
      </c>
      <c r="G1755">
        <v>108.85</v>
      </c>
      <c r="I1755" t="str" cm="1">
        <f t="array" ref="I1755:J1755">_xlfn.TEXTSPLIT(A1755," ")</f>
        <v>28.10.2023</v>
      </c>
      <c r="J1755" t="str">
        <v>05:15:59</v>
      </c>
      <c r="K1755">
        <f t="shared" si="402"/>
        <v>29.199999999999623</v>
      </c>
      <c r="L1755">
        <f t="shared" si="399"/>
        <v>17.649999999999999</v>
      </c>
      <c r="M1755">
        <f t="shared" si="400"/>
        <v>0.45</v>
      </c>
      <c r="N1755">
        <f t="shared" si="396"/>
        <v>0.52749999999999986</v>
      </c>
      <c r="Q1755" t="str" cm="1">
        <f t="array" ref="Q1755:R1755">_xlfn.TEXTSPLIT(E1755," ")</f>
        <v>28.10.2023</v>
      </c>
      <c r="R1755" t="str">
        <v>05:15:59</v>
      </c>
      <c r="S1755">
        <f t="shared" si="403"/>
        <v>29.199999999999623</v>
      </c>
      <c r="T1755">
        <f t="shared" si="398"/>
        <v>30.25</v>
      </c>
      <c r="U1755">
        <f t="shared" si="401"/>
        <v>0.75</v>
      </c>
      <c r="V1755">
        <f t="shared" si="397"/>
        <v>0.94500000000000028</v>
      </c>
    </row>
    <row r="1756" spans="1:22" x14ac:dyDescent="0.25">
      <c r="A1756" t="s">
        <v>3712</v>
      </c>
      <c r="B1756">
        <v>0.75</v>
      </c>
      <c r="C1756">
        <v>31.98</v>
      </c>
      <c r="E1756" t="s">
        <v>3712</v>
      </c>
      <c r="F1756">
        <v>0.6</v>
      </c>
      <c r="G1756">
        <v>108.86</v>
      </c>
      <c r="I1756" t="str" cm="1">
        <f t="array" ref="I1756:J1756">_xlfn.TEXTSPLIT(A1756," ")</f>
        <v>28.10.2023</v>
      </c>
      <c r="J1756" t="str">
        <v>05:16:59</v>
      </c>
      <c r="K1756">
        <f t="shared" si="402"/>
        <v>29.216666666666288</v>
      </c>
      <c r="L1756">
        <f t="shared" si="399"/>
        <v>17.66</v>
      </c>
      <c r="M1756">
        <f t="shared" si="400"/>
        <v>0.75</v>
      </c>
      <c r="N1756">
        <f t="shared" si="396"/>
        <v>0.53249999999999986</v>
      </c>
      <c r="Q1756" t="str" cm="1">
        <f t="array" ref="Q1756:R1756">_xlfn.TEXTSPLIT(E1756," ")</f>
        <v>28.10.2023</v>
      </c>
      <c r="R1756" t="str">
        <v>05:16:59</v>
      </c>
      <c r="S1756">
        <f t="shared" si="403"/>
        <v>29.216666666666288</v>
      </c>
      <c r="T1756">
        <f t="shared" si="398"/>
        <v>30.260000000000005</v>
      </c>
      <c r="U1756">
        <f t="shared" si="401"/>
        <v>0.6</v>
      </c>
      <c r="V1756">
        <f t="shared" si="397"/>
        <v>0.94250000000000034</v>
      </c>
    </row>
    <row r="1757" spans="1:22" x14ac:dyDescent="0.25">
      <c r="A1757" t="s">
        <v>3713</v>
      </c>
      <c r="B1757">
        <v>0.45</v>
      </c>
      <c r="C1757">
        <v>31.99</v>
      </c>
      <c r="E1757" t="s">
        <v>3713</v>
      </c>
      <c r="F1757">
        <v>0.75</v>
      </c>
      <c r="G1757">
        <v>108.87</v>
      </c>
      <c r="I1757" t="str" cm="1">
        <f t="array" ref="I1757:J1757">_xlfn.TEXTSPLIT(A1757," ")</f>
        <v>28.10.2023</v>
      </c>
      <c r="J1757" t="str">
        <v>05:17:59</v>
      </c>
      <c r="K1757">
        <f t="shared" si="402"/>
        <v>29.233333333332954</v>
      </c>
      <c r="L1757">
        <f t="shared" si="399"/>
        <v>17.669999999999998</v>
      </c>
      <c r="M1757">
        <f t="shared" si="400"/>
        <v>0.45</v>
      </c>
      <c r="N1757">
        <f t="shared" si="396"/>
        <v>0.52749999999999997</v>
      </c>
      <c r="Q1757" t="str" cm="1">
        <f t="array" ref="Q1757:R1757">_xlfn.TEXTSPLIT(E1757," ")</f>
        <v>28.10.2023</v>
      </c>
      <c r="R1757" t="str">
        <v>05:17:59</v>
      </c>
      <c r="S1757">
        <f t="shared" si="403"/>
        <v>29.233333333332954</v>
      </c>
      <c r="T1757">
        <f t="shared" si="398"/>
        <v>30.27000000000001</v>
      </c>
      <c r="U1757">
        <f t="shared" si="401"/>
        <v>0.75</v>
      </c>
      <c r="V1757">
        <f t="shared" si="397"/>
        <v>0.94000000000000017</v>
      </c>
    </row>
    <row r="1758" spans="1:22" x14ac:dyDescent="0.25">
      <c r="A1758" t="s">
        <v>3714</v>
      </c>
      <c r="B1758">
        <v>0.6</v>
      </c>
      <c r="C1758">
        <v>32</v>
      </c>
      <c r="E1758" t="s">
        <v>3714</v>
      </c>
      <c r="F1758">
        <v>0.45</v>
      </c>
      <c r="G1758">
        <v>108.89</v>
      </c>
      <c r="I1758" t="str" cm="1">
        <f t="array" ref="I1758:J1758">_xlfn.TEXTSPLIT(A1758," ")</f>
        <v>28.10.2023</v>
      </c>
      <c r="J1758" t="str">
        <v>05:18:59</v>
      </c>
      <c r="K1758">
        <f t="shared" si="402"/>
        <v>29.24999999999962</v>
      </c>
      <c r="L1758">
        <f t="shared" si="399"/>
        <v>17.68</v>
      </c>
      <c r="M1758">
        <f t="shared" si="400"/>
        <v>0.6</v>
      </c>
      <c r="N1758">
        <f t="shared" si="396"/>
        <v>0.52999999999999992</v>
      </c>
      <c r="Q1758" t="str" cm="1">
        <f t="array" ref="Q1758:R1758">_xlfn.TEXTSPLIT(E1758," ")</f>
        <v>28.10.2023</v>
      </c>
      <c r="R1758" t="str">
        <v>05:18:59</v>
      </c>
      <c r="S1758">
        <f t="shared" si="403"/>
        <v>29.24999999999962</v>
      </c>
      <c r="T1758">
        <f t="shared" si="398"/>
        <v>30.290000000000006</v>
      </c>
      <c r="U1758">
        <f t="shared" si="401"/>
        <v>0.45</v>
      </c>
      <c r="V1758">
        <f t="shared" si="397"/>
        <v>0.92750000000000021</v>
      </c>
    </row>
    <row r="1759" spans="1:22" x14ac:dyDescent="0.25">
      <c r="A1759" t="s">
        <v>3715</v>
      </c>
      <c r="B1759">
        <v>0.45</v>
      </c>
      <c r="C1759">
        <v>32</v>
      </c>
      <c r="E1759" t="s">
        <v>3715</v>
      </c>
      <c r="F1759">
        <v>0.6</v>
      </c>
      <c r="G1759">
        <v>108.9</v>
      </c>
      <c r="I1759" t="str" cm="1">
        <f t="array" ref="I1759:J1759">_xlfn.TEXTSPLIT(A1759," ")</f>
        <v>28.10.2023</v>
      </c>
      <c r="J1759" t="str">
        <v>05:20:00</v>
      </c>
      <c r="K1759">
        <f t="shared" si="402"/>
        <v>29.266666666666286</v>
      </c>
      <c r="L1759">
        <f t="shared" si="399"/>
        <v>17.68</v>
      </c>
      <c r="M1759">
        <f t="shared" si="400"/>
        <v>0.45</v>
      </c>
      <c r="N1759">
        <f t="shared" si="396"/>
        <v>0.53249999999999997</v>
      </c>
      <c r="Q1759" t="str" cm="1">
        <f t="array" ref="Q1759:R1759">_xlfn.TEXTSPLIT(E1759," ")</f>
        <v>28.10.2023</v>
      </c>
      <c r="R1759" t="str">
        <v>05:20:00</v>
      </c>
      <c r="S1759">
        <f t="shared" si="403"/>
        <v>29.266666666666286</v>
      </c>
      <c r="T1759">
        <f t="shared" si="398"/>
        <v>30.300000000000011</v>
      </c>
      <c r="U1759">
        <f t="shared" si="401"/>
        <v>0.6</v>
      </c>
      <c r="V1759">
        <f t="shared" si="397"/>
        <v>0.91500000000000026</v>
      </c>
    </row>
    <row r="1760" spans="1:22" x14ac:dyDescent="0.25">
      <c r="A1760" t="s">
        <v>3716</v>
      </c>
      <c r="B1760">
        <v>0.3</v>
      </c>
      <c r="C1760">
        <v>32.01</v>
      </c>
      <c r="E1760" t="s">
        <v>3716</v>
      </c>
      <c r="F1760">
        <v>0.9</v>
      </c>
      <c r="G1760">
        <v>108.9</v>
      </c>
      <c r="I1760" t="str" cm="1">
        <f t="array" ref="I1760:J1760">_xlfn.TEXTSPLIT(A1760," ")</f>
        <v>28.10.2023</v>
      </c>
      <c r="J1760" t="str">
        <v>05:21:00</v>
      </c>
      <c r="K1760">
        <f t="shared" si="402"/>
        <v>29.283333333332951</v>
      </c>
      <c r="L1760">
        <f t="shared" si="399"/>
        <v>17.689999999999998</v>
      </c>
      <c r="M1760">
        <f t="shared" si="400"/>
        <v>0.3</v>
      </c>
      <c r="N1760">
        <f t="shared" si="396"/>
        <v>0.53749999999999987</v>
      </c>
      <c r="Q1760" t="str" cm="1">
        <f t="array" ref="Q1760:R1760">_xlfn.TEXTSPLIT(E1760," ")</f>
        <v>28.10.2023</v>
      </c>
      <c r="R1760" t="str">
        <v>05:21:00</v>
      </c>
      <c r="S1760">
        <f t="shared" si="403"/>
        <v>29.283333333332951</v>
      </c>
      <c r="T1760">
        <f t="shared" si="398"/>
        <v>30.300000000000011</v>
      </c>
      <c r="U1760">
        <f t="shared" si="401"/>
        <v>0.9</v>
      </c>
      <c r="V1760">
        <f t="shared" si="397"/>
        <v>0.91500000000000026</v>
      </c>
    </row>
    <row r="1761" spans="1:22" x14ac:dyDescent="0.25">
      <c r="A1761" t="s">
        <v>3717</v>
      </c>
      <c r="B1761">
        <v>0.3</v>
      </c>
      <c r="C1761">
        <v>32.01</v>
      </c>
      <c r="E1761" t="s">
        <v>3717</v>
      </c>
      <c r="F1761">
        <v>0</v>
      </c>
      <c r="G1761">
        <v>108.9</v>
      </c>
      <c r="I1761" t="str" cm="1">
        <f t="array" ref="I1761:J1761">_xlfn.TEXTSPLIT(A1761," ")</f>
        <v>28.10.2023</v>
      </c>
      <c r="J1761" t="str">
        <v>05:22:00</v>
      </c>
      <c r="K1761">
        <f t="shared" si="402"/>
        <v>29.299999999999617</v>
      </c>
      <c r="L1761">
        <f t="shared" si="399"/>
        <v>17.689999999999998</v>
      </c>
      <c r="M1761">
        <f t="shared" si="400"/>
        <v>0.3</v>
      </c>
      <c r="N1761">
        <f t="shared" si="396"/>
        <v>0.53749999999999998</v>
      </c>
      <c r="Q1761" t="str" cm="1">
        <f t="array" ref="Q1761:R1761">_xlfn.TEXTSPLIT(E1761," ")</f>
        <v>28.10.2023</v>
      </c>
      <c r="R1761" t="str">
        <v>05:22:00</v>
      </c>
      <c r="S1761">
        <f t="shared" si="403"/>
        <v>29.299999999999617</v>
      </c>
      <c r="T1761">
        <f t="shared" si="398"/>
        <v>30.300000000000011</v>
      </c>
      <c r="U1761">
        <f t="shared" si="401"/>
        <v>0</v>
      </c>
      <c r="V1761">
        <f t="shared" si="397"/>
        <v>0.9125000000000002</v>
      </c>
    </row>
    <row r="1762" spans="1:22" x14ac:dyDescent="0.25">
      <c r="A1762" t="s">
        <v>3718</v>
      </c>
      <c r="B1762">
        <v>0.15</v>
      </c>
      <c r="C1762">
        <v>32.01</v>
      </c>
      <c r="E1762" t="s">
        <v>3718</v>
      </c>
      <c r="F1762">
        <v>0</v>
      </c>
      <c r="G1762">
        <v>108.91</v>
      </c>
      <c r="I1762" t="str" cm="1">
        <f t="array" ref="I1762:J1762">_xlfn.TEXTSPLIT(A1762," ")</f>
        <v>28.10.2023</v>
      </c>
      <c r="J1762" t="str">
        <v>05:23:00</v>
      </c>
      <c r="K1762">
        <f t="shared" si="402"/>
        <v>29.316666666666283</v>
      </c>
      <c r="L1762">
        <f t="shared" si="399"/>
        <v>17.689999999999998</v>
      </c>
      <c r="M1762">
        <f t="shared" si="400"/>
        <v>0.15</v>
      </c>
      <c r="N1762">
        <f t="shared" si="396"/>
        <v>0.53249999999999997</v>
      </c>
      <c r="Q1762" t="str" cm="1">
        <f t="array" ref="Q1762:R1762">_xlfn.TEXTSPLIT(E1762," ")</f>
        <v>28.10.2023</v>
      </c>
      <c r="R1762" t="str">
        <v>05:23:00</v>
      </c>
      <c r="S1762">
        <f t="shared" si="403"/>
        <v>29.316666666666283</v>
      </c>
      <c r="T1762">
        <f t="shared" si="398"/>
        <v>30.310000000000002</v>
      </c>
      <c r="U1762">
        <f t="shared" si="401"/>
        <v>0</v>
      </c>
      <c r="V1762">
        <f t="shared" si="397"/>
        <v>0.90750000000000031</v>
      </c>
    </row>
    <row r="1763" spans="1:22" x14ac:dyDescent="0.25">
      <c r="A1763" t="s">
        <v>3719</v>
      </c>
      <c r="B1763">
        <v>0</v>
      </c>
      <c r="C1763">
        <v>32.01</v>
      </c>
      <c r="E1763" t="s">
        <v>3719</v>
      </c>
      <c r="F1763">
        <v>0.3</v>
      </c>
      <c r="G1763">
        <v>108.92</v>
      </c>
      <c r="I1763" t="str" cm="1">
        <f t="array" ref="I1763:J1763">_xlfn.TEXTSPLIT(A1763," ")</f>
        <v>28.10.2023</v>
      </c>
      <c r="J1763" t="str">
        <v>05:24:00</v>
      </c>
      <c r="K1763">
        <f t="shared" si="402"/>
        <v>29.333333333332948</v>
      </c>
      <c r="L1763">
        <f t="shared" si="399"/>
        <v>17.689999999999998</v>
      </c>
      <c r="M1763">
        <f t="shared" si="400"/>
        <v>0</v>
      </c>
      <c r="N1763">
        <f t="shared" si="396"/>
        <v>0.53249999999999997</v>
      </c>
      <c r="Q1763" t="str" cm="1">
        <f t="array" ref="Q1763:R1763">_xlfn.TEXTSPLIT(E1763," ")</f>
        <v>28.10.2023</v>
      </c>
      <c r="R1763" t="str">
        <v>05:24:00</v>
      </c>
      <c r="S1763">
        <f t="shared" si="403"/>
        <v>29.333333333332948</v>
      </c>
      <c r="T1763">
        <f t="shared" si="398"/>
        <v>30.320000000000007</v>
      </c>
      <c r="U1763">
        <f t="shared" si="401"/>
        <v>0.3</v>
      </c>
      <c r="V1763">
        <f t="shared" si="397"/>
        <v>0.91000000000000014</v>
      </c>
    </row>
    <row r="1764" spans="1:22" x14ac:dyDescent="0.25">
      <c r="A1764" t="s">
        <v>3720</v>
      </c>
      <c r="B1764">
        <v>0</v>
      </c>
      <c r="C1764">
        <v>32.01</v>
      </c>
      <c r="E1764" t="s">
        <v>3720</v>
      </c>
      <c r="F1764">
        <v>0.6</v>
      </c>
      <c r="G1764">
        <v>108.92</v>
      </c>
      <c r="I1764" t="str" cm="1">
        <f t="array" ref="I1764:J1764">_xlfn.TEXTSPLIT(A1764," ")</f>
        <v>28.10.2023</v>
      </c>
      <c r="J1764" t="str">
        <v>05:25:00</v>
      </c>
      <c r="K1764">
        <f t="shared" si="402"/>
        <v>29.349999999999614</v>
      </c>
      <c r="L1764">
        <f t="shared" si="399"/>
        <v>17.689999999999998</v>
      </c>
      <c r="M1764">
        <f t="shared" si="400"/>
        <v>0</v>
      </c>
      <c r="N1764">
        <f t="shared" si="396"/>
        <v>0.53249999999999997</v>
      </c>
      <c r="Q1764" t="str" cm="1">
        <f t="array" ref="Q1764:R1764">_xlfn.TEXTSPLIT(E1764," ")</f>
        <v>28.10.2023</v>
      </c>
      <c r="R1764" t="str">
        <v>05:25:00</v>
      </c>
      <c r="S1764">
        <f t="shared" si="403"/>
        <v>29.349999999999614</v>
      </c>
      <c r="T1764">
        <f t="shared" si="398"/>
        <v>30.320000000000007</v>
      </c>
      <c r="U1764">
        <f t="shared" si="401"/>
        <v>0.6</v>
      </c>
      <c r="V1764">
        <f t="shared" si="397"/>
        <v>0.91500000000000026</v>
      </c>
    </row>
    <row r="1765" spans="1:22" x14ac:dyDescent="0.25">
      <c r="A1765" t="s">
        <v>3721</v>
      </c>
      <c r="B1765">
        <v>0</v>
      </c>
      <c r="C1765">
        <v>32.01</v>
      </c>
      <c r="E1765" t="s">
        <v>3721</v>
      </c>
      <c r="F1765">
        <v>0.6</v>
      </c>
      <c r="G1765">
        <v>108.93</v>
      </c>
      <c r="I1765" t="str" cm="1">
        <f t="array" ref="I1765:J1765">_xlfn.TEXTSPLIT(A1765," ")</f>
        <v>28.10.2023</v>
      </c>
      <c r="J1765" t="str">
        <v>05:26:00</v>
      </c>
      <c r="K1765">
        <f t="shared" si="402"/>
        <v>29.36666666666628</v>
      </c>
      <c r="L1765">
        <f t="shared" si="399"/>
        <v>17.689999999999998</v>
      </c>
      <c r="M1765">
        <f t="shared" si="400"/>
        <v>0</v>
      </c>
      <c r="N1765">
        <f t="shared" si="396"/>
        <v>0.53249999999999997</v>
      </c>
      <c r="Q1765" t="str" cm="1">
        <f t="array" ref="Q1765:R1765">_xlfn.TEXTSPLIT(E1765," ")</f>
        <v>28.10.2023</v>
      </c>
      <c r="R1765" t="str">
        <v>05:26:00</v>
      </c>
      <c r="S1765">
        <f t="shared" si="403"/>
        <v>29.36666666666628</v>
      </c>
      <c r="T1765">
        <f t="shared" si="398"/>
        <v>30.330000000000013</v>
      </c>
      <c r="U1765">
        <f t="shared" si="401"/>
        <v>0.6</v>
      </c>
      <c r="V1765">
        <f t="shared" si="397"/>
        <v>0.92000000000000026</v>
      </c>
    </row>
    <row r="1766" spans="1:22" x14ac:dyDescent="0.25">
      <c r="A1766" t="s">
        <v>3722</v>
      </c>
      <c r="B1766">
        <v>0</v>
      </c>
      <c r="C1766">
        <v>32.01</v>
      </c>
      <c r="E1766" t="s">
        <v>3722</v>
      </c>
      <c r="F1766">
        <v>0.6</v>
      </c>
      <c r="G1766">
        <v>108.94</v>
      </c>
      <c r="I1766" t="str" cm="1">
        <f t="array" ref="I1766:J1766">_xlfn.TEXTSPLIT(A1766," ")</f>
        <v>28.10.2023</v>
      </c>
      <c r="J1766" t="str">
        <v>05:27:00</v>
      </c>
      <c r="K1766">
        <f t="shared" si="402"/>
        <v>29.383333333332946</v>
      </c>
      <c r="L1766">
        <f t="shared" si="399"/>
        <v>17.689999999999998</v>
      </c>
      <c r="M1766">
        <f t="shared" si="400"/>
        <v>0</v>
      </c>
      <c r="N1766">
        <f t="shared" si="396"/>
        <v>0.53249999999999997</v>
      </c>
      <c r="Q1766" t="str" cm="1">
        <f t="array" ref="Q1766:R1766">_xlfn.TEXTSPLIT(E1766," ")</f>
        <v>28.10.2023</v>
      </c>
      <c r="R1766" t="str">
        <v>05:27:00</v>
      </c>
      <c r="S1766">
        <f t="shared" si="403"/>
        <v>29.383333333332946</v>
      </c>
      <c r="T1766">
        <f t="shared" si="398"/>
        <v>30.340000000000003</v>
      </c>
      <c r="U1766">
        <f t="shared" si="401"/>
        <v>0.6</v>
      </c>
      <c r="V1766">
        <f t="shared" si="397"/>
        <v>0.92250000000000021</v>
      </c>
    </row>
    <row r="1767" spans="1:22" x14ac:dyDescent="0.25">
      <c r="A1767" t="s">
        <v>3723</v>
      </c>
      <c r="B1767">
        <v>0</v>
      </c>
      <c r="C1767">
        <v>32.01</v>
      </c>
      <c r="E1767" t="s">
        <v>3723</v>
      </c>
      <c r="F1767">
        <v>0.75</v>
      </c>
      <c r="G1767">
        <v>108.95</v>
      </c>
      <c r="I1767" t="str" cm="1">
        <f t="array" ref="I1767:J1767">_xlfn.TEXTSPLIT(A1767," ")</f>
        <v>28.10.2023</v>
      </c>
      <c r="J1767" t="str">
        <v>05:28:00</v>
      </c>
      <c r="K1767">
        <f t="shared" si="402"/>
        <v>29.399999999999611</v>
      </c>
      <c r="L1767">
        <f t="shared" si="399"/>
        <v>17.689999999999998</v>
      </c>
      <c r="M1767">
        <f t="shared" si="400"/>
        <v>0</v>
      </c>
      <c r="N1767">
        <f t="shared" si="396"/>
        <v>0.53249999999999997</v>
      </c>
      <c r="Q1767" t="str" cm="1">
        <f t="array" ref="Q1767:R1767">_xlfn.TEXTSPLIT(E1767," ")</f>
        <v>28.10.2023</v>
      </c>
      <c r="R1767" t="str">
        <v>05:28:00</v>
      </c>
      <c r="S1767">
        <f t="shared" si="403"/>
        <v>29.399999999999611</v>
      </c>
      <c r="T1767">
        <f t="shared" si="398"/>
        <v>30.350000000000009</v>
      </c>
      <c r="U1767">
        <f t="shared" si="401"/>
        <v>0.75</v>
      </c>
      <c r="V1767">
        <f t="shared" si="397"/>
        <v>0.92750000000000032</v>
      </c>
    </row>
    <row r="1768" spans="1:22" x14ac:dyDescent="0.25">
      <c r="A1768" t="s">
        <v>3724</v>
      </c>
      <c r="B1768">
        <v>0</v>
      </c>
      <c r="C1768">
        <v>32.01</v>
      </c>
      <c r="E1768" t="s">
        <v>3724</v>
      </c>
      <c r="F1768">
        <v>0.45</v>
      </c>
      <c r="G1768">
        <v>108.96</v>
      </c>
      <c r="I1768" t="str" cm="1">
        <f t="array" ref="I1768:J1768">_xlfn.TEXTSPLIT(A1768," ")</f>
        <v>28.10.2023</v>
      </c>
      <c r="J1768" t="str">
        <v>05:29:00</v>
      </c>
      <c r="K1768">
        <f t="shared" si="402"/>
        <v>29.416666666666277</v>
      </c>
      <c r="L1768">
        <f t="shared" si="399"/>
        <v>17.689999999999998</v>
      </c>
      <c r="M1768">
        <f t="shared" si="400"/>
        <v>0</v>
      </c>
      <c r="N1768">
        <f t="shared" si="396"/>
        <v>0.53249999999999997</v>
      </c>
      <c r="Q1768" t="str" cm="1">
        <f t="array" ref="Q1768:R1768">_xlfn.TEXTSPLIT(E1768," ")</f>
        <v>28.10.2023</v>
      </c>
      <c r="R1768" t="str">
        <v>05:29:00</v>
      </c>
      <c r="S1768">
        <f t="shared" si="403"/>
        <v>29.416666666666277</v>
      </c>
      <c r="T1768">
        <f t="shared" si="398"/>
        <v>30.36</v>
      </c>
      <c r="U1768">
        <f t="shared" si="401"/>
        <v>0.45</v>
      </c>
      <c r="V1768">
        <f t="shared" si="397"/>
        <v>0.93000000000000027</v>
      </c>
    </row>
    <row r="1769" spans="1:22" x14ac:dyDescent="0.25">
      <c r="A1769" t="s">
        <v>3725</v>
      </c>
      <c r="B1769">
        <v>0</v>
      </c>
      <c r="C1769">
        <v>32.01</v>
      </c>
      <c r="E1769" t="s">
        <v>3725</v>
      </c>
      <c r="F1769">
        <v>0.6</v>
      </c>
      <c r="G1769">
        <v>108.97</v>
      </c>
      <c r="I1769" t="str" cm="1">
        <f t="array" ref="I1769:J1769">_xlfn.TEXTSPLIT(A1769," ")</f>
        <v>28.10.2023</v>
      </c>
      <c r="J1769" t="str">
        <v>05:30:01</v>
      </c>
      <c r="K1769">
        <f t="shared" si="402"/>
        <v>29.433333333332943</v>
      </c>
      <c r="L1769">
        <f t="shared" si="399"/>
        <v>17.689999999999998</v>
      </c>
      <c r="M1769">
        <f t="shared" si="400"/>
        <v>0</v>
      </c>
      <c r="N1769">
        <f t="shared" si="396"/>
        <v>0.53249999999999997</v>
      </c>
      <c r="Q1769" t="str" cm="1">
        <f t="array" ref="Q1769:R1769">_xlfn.TEXTSPLIT(E1769," ")</f>
        <v>28.10.2023</v>
      </c>
      <c r="R1769" t="str">
        <v>05:30:01</v>
      </c>
      <c r="S1769">
        <f t="shared" si="403"/>
        <v>29.433333333332943</v>
      </c>
      <c r="T1769">
        <f t="shared" si="398"/>
        <v>30.370000000000005</v>
      </c>
      <c r="U1769">
        <f t="shared" si="401"/>
        <v>0.6</v>
      </c>
      <c r="V1769">
        <f t="shared" si="397"/>
        <v>0.93000000000000027</v>
      </c>
    </row>
    <row r="1770" spans="1:22" x14ac:dyDescent="0.25">
      <c r="A1770" t="s">
        <v>3726</v>
      </c>
      <c r="B1770">
        <v>0.15</v>
      </c>
      <c r="C1770">
        <v>32.01</v>
      </c>
      <c r="E1770" t="s">
        <v>3726</v>
      </c>
      <c r="F1770">
        <v>0.6</v>
      </c>
      <c r="G1770">
        <v>108.98</v>
      </c>
      <c r="I1770" t="str" cm="1">
        <f t="array" ref="I1770:J1770">_xlfn.TEXTSPLIT(A1770," ")</f>
        <v>28.10.2023</v>
      </c>
      <c r="J1770" t="str">
        <v>05:31:01</v>
      </c>
      <c r="K1770">
        <f t="shared" si="402"/>
        <v>29.449999999999608</v>
      </c>
      <c r="L1770">
        <f t="shared" si="399"/>
        <v>17.689999999999998</v>
      </c>
      <c r="M1770">
        <f t="shared" si="400"/>
        <v>0.15</v>
      </c>
      <c r="N1770">
        <f t="shared" si="396"/>
        <v>0.52999999999999992</v>
      </c>
      <c r="Q1770" t="str" cm="1">
        <f t="array" ref="Q1770:R1770">_xlfn.TEXTSPLIT(E1770," ")</f>
        <v>28.10.2023</v>
      </c>
      <c r="R1770" t="str">
        <v>05:31:01</v>
      </c>
      <c r="S1770">
        <f t="shared" si="403"/>
        <v>29.449999999999608</v>
      </c>
      <c r="T1770">
        <f t="shared" si="398"/>
        <v>30.38000000000001</v>
      </c>
      <c r="U1770">
        <f t="shared" si="401"/>
        <v>0.6</v>
      </c>
      <c r="V1770">
        <f t="shared" si="397"/>
        <v>0.92750000000000032</v>
      </c>
    </row>
    <row r="1771" spans="1:22" x14ac:dyDescent="0.25">
      <c r="A1771" t="s">
        <v>3727</v>
      </c>
      <c r="B1771">
        <v>0.15</v>
      </c>
      <c r="C1771">
        <v>32.01</v>
      </c>
      <c r="E1771" t="s">
        <v>3727</v>
      </c>
      <c r="F1771">
        <v>0.6</v>
      </c>
      <c r="G1771">
        <v>108.99</v>
      </c>
      <c r="I1771" t="str" cm="1">
        <f t="array" ref="I1771:J1771">_xlfn.TEXTSPLIT(A1771," ")</f>
        <v>28.10.2023</v>
      </c>
      <c r="J1771" t="str">
        <v>05:32:01</v>
      </c>
      <c r="K1771">
        <f t="shared" si="402"/>
        <v>29.466666666666274</v>
      </c>
      <c r="L1771">
        <f t="shared" si="399"/>
        <v>17.689999999999998</v>
      </c>
      <c r="M1771">
        <f t="shared" si="400"/>
        <v>0.15</v>
      </c>
      <c r="N1771">
        <f t="shared" si="396"/>
        <v>0.52999999999999992</v>
      </c>
      <c r="Q1771" t="str" cm="1">
        <f t="array" ref="Q1771:R1771">_xlfn.TEXTSPLIT(E1771," ")</f>
        <v>28.10.2023</v>
      </c>
      <c r="R1771" t="str">
        <v>05:32:01</v>
      </c>
      <c r="S1771">
        <f t="shared" si="403"/>
        <v>29.466666666666274</v>
      </c>
      <c r="T1771">
        <f t="shared" si="398"/>
        <v>30.39</v>
      </c>
      <c r="U1771">
        <f t="shared" si="401"/>
        <v>0.6</v>
      </c>
      <c r="V1771">
        <f t="shared" si="397"/>
        <v>0.92250000000000021</v>
      </c>
    </row>
    <row r="1772" spans="1:22" x14ac:dyDescent="0.25">
      <c r="A1772" t="s">
        <v>3728</v>
      </c>
      <c r="B1772">
        <v>0.15</v>
      </c>
      <c r="C1772">
        <v>32.020000000000003</v>
      </c>
      <c r="E1772" t="s">
        <v>3728</v>
      </c>
      <c r="F1772">
        <v>0.75</v>
      </c>
      <c r="G1772">
        <v>109.01</v>
      </c>
      <c r="I1772" t="str" cm="1">
        <f t="array" ref="I1772:J1772">_xlfn.TEXTSPLIT(A1772," ")</f>
        <v>28.10.2023</v>
      </c>
      <c r="J1772" t="str">
        <v>05:33:01</v>
      </c>
      <c r="K1772">
        <f t="shared" si="402"/>
        <v>29.48333333333294</v>
      </c>
      <c r="L1772">
        <f t="shared" si="399"/>
        <v>17.700000000000003</v>
      </c>
      <c r="M1772">
        <f t="shared" si="400"/>
        <v>0.15</v>
      </c>
      <c r="N1772">
        <f t="shared" si="396"/>
        <v>0.52499999999999991</v>
      </c>
      <c r="Q1772" t="str" cm="1">
        <f t="array" ref="Q1772:R1772">_xlfn.TEXTSPLIT(E1772," ")</f>
        <v>28.10.2023</v>
      </c>
      <c r="R1772" t="str">
        <v>05:33:01</v>
      </c>
      <c r="S1772">
        <f t="shared" si="403"/>
        <v>29.48333333333294</v>
      </c>
      <c r="T1772">
        <f t="shared" si="398"/>
        <v>30.410000000000011</v>
      </c>
      <c r="U1772">
        <f t="shared" si="401"/>
        <v>0.75</v>
      </c>
      <c r="V1772">
        <f t="shared" si="397"/>
        <v>0.92000000000000026</v>
      </c>
    </row>
    <row r="1773" spans="1:22" x14ac:dyDescent="0.25">
      <c r="A1773" t="s">
        <v>3729</v>
      </c>
      <c r="B1773">
        <v>0.3</v>
      </c>
      <c r="C1773">
        <v>32.020000000000003</v>
      </c>
      <c r="E1773" t="s">
        <v>3729</v>
      </c>
      <c r="F1773">
        <v>0.75</v>
      </c>
      <c r="G1773">
        <v>109.02</v>
      </c>
      <c r="I1773" t="str" cm="1">
        <f t="array" ref="I1773:J1773">_xlfn.TEXTSPLIT(A1773," ")</f>
        <v>28.10.2023</v>
      </c>
      <c r="J1773" t="str">
        <v>05:34:01</v>
      </c>
      <c r="K1773">
        <f t="shared" si="402"/>
        <v>29.499999999999606</v>
      </c>
      <c r="L1773">
        <f t="shared" si="399"/>
        <v>17.700000000000003</v>
      </c>
      <c r="M1773">
        <f t="shared" si="400"/>
        <v>0.3</v>
      </c>
      <c r="N1773">
        <f t="shared" si="396"/>
        <v>0.52249999999999985</v>
      </c>
      <c r="Q1773" t="str" cm="1">
        <f t="array" ref="Q1773:R1773">_xlfn.TEXTSPLIT(E1773," ")</f>
        <v>28.10.2023</v>
      </c>
      <c r="R1773" t="str">
        <v>05:34:01</v>
      </c>
      <c r="S1773">
        <f t="shared" si="403"/>
        <v>29.499999999999606</v>
      </c>
      <c r="T1773">
        <f t="shared" si="398"/>
        <v>30.42</v>
      </c>
      <c r="U1773">
        <f t="shared" si="401"/>
        <v>0.75</v>
      </c>
      <c r="V1773">
        <f t="shared" si="397"/>
        <v>0.91500000000000037</v>
      </c>
    </row>
    <row r="1774" spans="1:22" x14ac:dyDescent="0.25">
      <c r="A1774" t="s">
        <v>3730</v>
      </c>
      <c r="B1774">
        <v>0.3</v>
      </c>
      <c r="C1774">
        <v>32.03</v>
      </c>
      <c r="E1774" t="s">
        <v>3730</v>
      </c>
      <c r="F1774">
        <v>1.05</v>
      </c>
      <c r="G1774">
        <v>109.03</v>
      </c>
      <c r="I1774" t="str" cm="1">
        <f t="array" ref="I1774:J1774">_xlfn.TEXTSPLIT(A1774," ")</f>
        <v>28.10.2023</v>
      </c>
      <c r="J1774" t="str">
        <v>05:35:01</v>
      </c>
      <c r="K1774">
        <f t="shared" si="402"/>
        <v>29.516666666666271</v>
      </c>
      <c r="L1774">
        <f t="shared" si="399"/>
        <v>17.71</v>
      </c>
      <c r="M1774">
        <f t="shared" si="400"/>
        <v>0.3</v>
      </c>
      <c r="N1774">
        <f t="shared" si="396"/>
        <v>0.51999999999999991</v>
      </c>
      <c r="Q1774" t="str" cm="1">
        <f t="array" ref="Q1774:R1774">_xlfn.TEXTSPLIT(E1774," ")</f>
        <v>28.10.2023</v>
      </c>
      <c r="R1774" t="str">
        <v>05:35:01</v>
      </c>
      <c r="S1774">
        <f t="shared" si="403"/>
        <v>29.516666666666271</v>
      </c>
      <c r="T1774">
        <f t="shared" si="398"/>
        <v>30.430000000000007</v>
      </c>
      <c r="U1774">
        <f t="shared" si="401"/>
        <v>1.05</v>
      </c>
      <c r="V1774">
        <f t="shared" si="397"/>
        <v>0.92000000000000026</v>
      </c>
    </row>
    <row r="1775" spans="1:22" x14ac:dyDescent="0.25">
      <c r="A1775" t="s">
        <v>3731</v>
      </c>
      <c r="B1775">
        <v>0.3</v>
      </c>
      <c r="C1775">
        <v>32.03</v>
      </c>
      <c r="E1775" t="s">
        <v>3731</v>
      </c>
      <c r="F1775">
        <v>2.4</v>
      </c>
      <c r="G1775">
        <v>109.08</v>
      </c>
      <c r="I1775" t="str" cm="1">
        <f t="array" ref="I1775:J1775">_xlfn.TEXTSPLIT(A1775," ")</f>
        <v>28.10.2023</v>
      </c>
      <c r="J1775" t="str">
        <v>05:36:01</v>
      </c>
      <c r="K1775">
        <f t="shared" si="402"/>
        <v>29.533333333332937</v>
      </c>
      <c r="L1775">
        <f t="shared" si="399"/>
        <v>17.71</v>
      </c>
      <c r="M1775">
        <f t="shared" si="400"/>
        <v>0.3</v>
      </c>
      <c r="N1775">
        <f t="shared" si="396"/>
        <v>0.51999999999999991</v>
      </c>
      <c r="Q1775" t="str" cm="1">
        <f t="array" ref="Q1775:R1775">_xlfn.TEXTSPLIT(E1775," ")</f>
        <v>28.10.2023</v>
      </c>
      <c r="R1775" t="str">
        <v>05:36:01</v>
      </c>
      <c r="S1775">
        <f t="shared" si="403"/>
        <v>29.533333333332937</v>
      </c>
      <c r="T1775">
        <f t="shared" si="398"/>
        <v>30.480000000000004</v>
      </c>
      <c r="U1775">
        <f t="shared" si="401"/>
        <v>2.4</v>
      </c>
      <c r="V1775">
        <f t="shared" si="397"/>
        <v>0.95000000000000029</v>
      </c>
    </row>
    <row r="1776" spans="1:22" x14ac:dyDescent="0.25">
      <c r="A1776" t="s">
        <v>3732</v>
      </c>
      <c r="B1776">
        <v>1.05</v>
      </c>
      <c r="C1776">
        <v>32.049999999999997</v>
      </c>
      <c r="E1776" t="s">
        <v>3732</v>
      </c>
      <c r="F1776">
        <v>1.95</v>
      </c>
      <c r="G1776">
        <v>109.11</v>
      </c>
      <c r="I1776" t="str" cm="1">
        <f t="array" ref="I1776:J1776">_xlfn.TEXTSPLIT(A1776," ")</f>
        <v>28.10.2023</v>
      </c>
      <c r="J1776" t="str">
        <v>05:37:01</v>
      </c>
      <c r="K1776">
        <f t="shared" si="402"/>
        <v>29.549999999999603</v>
      </c>
      <c r="L1776">
        <f t="shared" si="399"/>
        <v>17.729999999999997</v>
      </c>
      <c r="M1776">
        <f t="shared" si="400"/>
        <v>1.05</v>
      </c>
      <c r="N1776">
        <f t="shared" si="396"/>
        <v>0.53499999999999992</v>
      </c>
      <c r="Q1776" t="str" cm="1">
        <f t="array" ref="Q1776:R1776">_xlfn.TEXTSPLIT(E1776," ")</f>
        <v>28.10.2023</v>
      </c>
      <c r="R1776" t="str">
        <v>05:37:01</v>
      </c>
      <c r="S1776">
        <f t="shared" si="403"/>
        <v>29.549999999999603</v>
      </c>
      <c r="T1776">
        <f t="shared" si="398"/>
        <v>30.510000000000005</v>
      </c>
      <c r="U1776">
        <f t="shared" si="401"/>
        <v>1.95</v>
      </c>
      <c r="V1776">
        <f t="shared" si="397"/>
        <v>0.9500000000000004</v>
      </c>
    </row>
    <row r="1777" spans="1:22" x14ac:dyDescent="0.25">
      <c r="A1777" t="s">
        <v>3733</v>
      </c>
      <c r="B1777">
        <v>2.7</v>
      </c>
      <c r="C1777">
        <v>32.090000000000003</v>
      </c>
      <c r="E1777" t="s">
        <v>3733</v>
      </c>
      <c r="F1777">
        <v>1.8</v>
      </c>
      <c r="G1777">
        <v>109.14</v>
      </c>
      <c r="I1777" t="str" cm="1">
        <f t="array" ref="I1777:J1777">_xlfn.TEXTSPLIT(A1777," ")</f>
        <v>28.10.2023</v>
      </c>
      <c r="J1777" t="str">
        <v>05:38:01</v>
      </c>
      <c r="K1777">
        <f t="shared" si="402"/>
        <v>29.566666666666269</v>
      </c>
      <c r="L1777">
        <f t="shared" si="399"/>
        <v>17.770000000000003</v>
      </c>
      <c r="M1777">
        <f t="shared" si="400"/>
        <v>2.7</v>
      </c>
      <c r="N1777">
        <f t="shared" si="396"/>
        <v>0.5625</v>
      </c>
      <c r="Q1777" t="str" cm="1">
        <f t="array" ref="Q1777:R1777">_xlfn.TEXTSPLIT(E1777," ")</f>
        <v>28.10.2023</v>
      </c>
      <c r="R1777" t="str">
        <v>05:38:01</v>
      </c>
      <c r="S1777">
        <f t="shared" si="403"/>
        <v>29.566666666666269</v>
      </c>
      <c r="T1777">
        <f t="shared" si="398"/>
        <v>30.540000000000006</v>
      </c>
      <c r="U1777">
        <f t="shared" si="401"/>
        <v>1.8</v>
      </c>
      <c r="V1777">
        <f t="shared" si="397"/>
        <v>0.93250000000000033</v>
      </c>
    </row>
    <row r="1778" spans="1:22" x14ac:dyDescent="0.25">
      <c r="A1778" t="s">
        <v>3734</v>
      </c>
      <c r="B1778">
        <v>1.8</v>
      </c>
      <c r="C1778">
        <v>32.119999999999997</v>
      </c>
      <c r="E1778" t="s">
        <v>3734</v>
      </c>
      <c r="F1778">
        <v>2.1</v>
      </c>
      <c r="G1778">
        <v>109.17</v>
      </c>
      <c r="I1778" t="str" cm="1">
        <f t="array" ref="I1778:J1778">_xlfn.TEXTSPLIT(A1778," ")</f>
        <v>28.10.2023</v>
      </c>
      <c r="J1778" t="str">
        <v>05:39:02</v>
      </c>
      <c r="K1778">
        <f t="shared" si="402"/>
        <v>29.583333333332934</v>
      </c>
      <c r="L1778">
        <f t="shared" si="399"/>
        <v>17.799999999999997</v>
      </c>
      <c r="M1778">
        <f t="shared" si="400"/>
        <v>1.8</v>
      </c>
      <c r="N1778">
        <f t="shared" si="396"/>
        <v>0.5575</v>
      </c>
      <c r="Q1778" t="str" cm="1">
        <f t="array" ref="Q1778:R1778">_xlfn.TEXTSPLIT(E1778," ")</f>
        <v>28.10.2023</v>
      </c>
      <c r="R1778" t="str">
        <v>05:39:02</v>
      </c>
      <c r="S1778">
        <f t="shared" si="403"/>
        <v>29.583333333332934</v>
      </c>
      <c r="T1778">
        <f t="shared" si="398"/>
        <v>30.570000000000007</v>
      </c>
      <c r="U1778">
        <f t="shared" si="401"/>
        <v>2.1</v>
      </c>
      <c r="V1778">
        <f t="shared" si="397"/>
        <v>0.93250000000000033</v>
      </c>
    </row>
    <row r="1779" spans="1:22" x14ac:dyDescent="0.25">
      <c r="A1779" t="s">
        <v>3735</v>
      </c>
      <c r="B1779">
        <v>0.75</v>
      </c>
      <c r="C1779">
        <v>32.130000000000003</v>
      </c>
      <c r="E1779" t="s">
        <v>3735</v>
      </c>
      <c r="F1779">
        <v>1.35</v>
      </c>
      <c r="G1779">
        <v>109.2</v>
      </c>
      <c r="I1779" t="str" cm="1">
        <f t="array" ref="I1779:J1779">_xlfn.TEXTSPLIT(A1779," ")</f>
        <v>28.10.2023</v>
      </c>
      <c r="J1779" t="str">
        <v>05:40:02</v>
      </c>
      <c r="K1779">
        <f t="shared" si="402"/>
        <v>29.5999999999996</v>
      </c>
      <c r="L1779">
        <f t="shared" si="399"/>
        <v>17.810000000000002</v>
      </c>
      <c r="M1779">
        <f t="shared" si="400"/>
        <v>0.75</v>
      </c>
      <c r="N1779">
        <f t="shared" si="396"/>
        <v>0.53749999999999998</v>
      </c>
      <c r="Q1779" t="str" cm="1">
        <f t="array" ref="Q1779:R1779">_xlfn.TEXTSPLIT(E1779," ")</f>
        <v>28.10.2023</v>
      </c>
      <c r="R1779" t="str">
        <v>05:40:02</v>
      </c>
      <c r="S1779">
        <f t="shared" si="403"/>
        <v>29.5999999999996</v>
      </c>
      <c r="T1779">
        <f t="shared" si="398"/>
        <v>30.600000000000009</v>
      </c>
      <c r="U1779">
        <f t="shared" si="401"/>
        <v>1.35</v>
      </c>
      <c r="V1779">
        <f t="shared" si="397"/>
        <v>0.93250000000000022</v>
      </c>
    </row>
    <row r="1780" spans="1:22" x14ac:dyDescent="0.25">
      <c r="A1780" t="s">
        <v>3736</v>
      </c>
      <c r="B1780">
        <v>0.6</v>
      </c>
      <c r="C1780">
        <v>32.15</v>
      </c>
      <c r="E1780" t="s">
        <v>3736</v>
      </c>
      <c r="F1780">
        <v>0.75</v>
      </c>
      <c r="G1780">
        <v>109.21</v>
      </c>
      <c r="I1780" t="str" cm="1">
        <f t="array" ref="I1780:J1780">_xlfn.TEXTSPLIT(A1780," ")</f>
        <v>28.10.2023</v>
      </c>
      <c r="J1780" t="str">
        <v>05:41:02</v>
      </c>
      <c r="K1780">
        <f t="shared" si="402"/>
        <v>29.616666666666266</v>
      </c>
      <c r="L1780">
        <f t="shared" si="399"/>
        <v>17.829999999999998</v>
      </c>
      <c r="M1780">
        <f t="shared" si="400"/>
        <v>0.6</v>
      </c>
      <c r="N1780">
        <f t="shared" si="396"/>
        <v>0.52250000000000008</v>
      </c>
      <c r="Q1780" t="str" cm="1">
        <f t="array" ref="Q1780:R1780">_xlfn.TEXTSPLIT(E1780," ")</f>
        <v>28.10.2023</v>
      </c>
      <c r="R1780" t="str">
        <v>05:41:02</v>
      </c>
      <c r="S1780">
        <f t="shared" si="403"/>
        <v>29.616666666666266</v>
      </c>
      <c r="T1780">
        <f t="shared" si="398"/>
        <v>30.61</v>
      </c>
      <c r="U1780">
        <f t="shared" si="401"/>
        <v>0.75</v>
      </c>
      <c r="V1780">
        <f t="shared" si="397"/>
        <v>0.92000000000000015</v>
      </c>
    </row>
    <row r="1781" spans="1:22" x14ac:dyDescent="0.25">
      <c r="A1781" t="s">
        <v>3737</v>
      </c>
      <c r="B1781">
        <v>0.75</v>
      </c>
      <c r="C1781">
        <v>32.159999999999997</v>
      </c>
      <c r="E1781" t="s">
        <v>3737</v>
      </c>
      <c r="F1781">
        <v>0.9</v>
      </c>
      <c r="G1781">
        <v>109.22</v>
      </c>
      <c r="I1781" t="str" cm="1">
        <f t="array" ref="I1781:J1781">_xlfn.TEXTSPLIT(A1781," ")</f>
        <v>28.10.2023</v>
      </c>
      <c r="J1781" t="str">
        <v>05:42:02</v>
      </c>
      <c r="K1781">
        <f t="shared" si="402"/>
        <v>29.633333333332931</v>
      </c>
      <c r="L1781">
        <f t="shared" si="399"/>
        <v>17.839999999999996</v>
      </c>
      <c r="M1781">
        <f t="shared" si="400"/>
        <v>0.75</v>
      </c>
      <c r="N1781">
        <f t="shared" si="396"/>
        <v>0.51500000000000001</v>
      </c>
      <c r="Q1781" t="str" cm="1">
        <f t="array" ref="Q1781:R1781">_xlfn.TEXTSPLIT(E1781," ")</f>
        <v>28.10.2023</v>
      </c>
      <c r="R1781" t="str">
        <v>05:42:02</v>
      </c>
      <c r="S1781">
        <f t="shared" si="403"/>
        <v>29.633333333332931</v>
      </c>
      <c r="T1781">
        <f t="shared" si="398"/>
        <v>30.620000000000005</v>
      </c>
      <c r="U1781">
        <f t="shared" si="401"/>
        <v>0.9</v>
      </c>
      <c r="V1781">
        <f t="shared" si="397"/>
        <v>0.9075000000000002</v>
      </c>
    </row>
    <row r="1782" spans="1:22" x14ac:dyDescent="0.25">
      <c r="A1782" t="s">
        <v>3738</v>
      </c>
      <c r="B1782">
        <v>0.45</v>
      </c>
      <c r="C1782">
        <v>32.17</v>
      </c>
      <c r="E1782" t="s">
        <v>3738</v>
      </c>
      <c r="F1782">
        <v>0.75</v>
      </c>
      <c r="G1782">
        <v>109.24</v>
      </c>
      <c r="I1782" t="str" cm="1">
        <f t="array" ref="I1782:J1782">_xlfn.TEXTSPLIT(A1782," ")</f>
        <v>28.10.2023</v>
      </c>
      <c r="J1782" t="str">
        <v>05:43:02</v>
      </c>
      <c r="K1782">
        <f t="shared" si="402"/>
        <v>29.649999999999597</v>
      </c>
      <c r="L1782">
        <f t="shared" si="399"/>
        <v>17.850000000000001</v>
      </c>
      <c r="M1782">
        <f t="shared" si="400"/>
        <v>0.45</v>
      </c>
      <c r="N1782">
        <f t="shared" si="396"/>
        <v>0.51</v>
      </c>
      <c r="Q1782" t="str" cm="1">
        <f t="array" ref="Q1782:R1782">_xlfn.TEXTSPLIT(E1782," ")</f>
        <v>28.10.2023</v>
      </c>
      <c r="R1782" t="str">
        <v>05:43:02</v>
      </c>
      <c r="S1782">
        <f t="shared" si="403"/>
        <v>29.649999999999597</v>
      </c>
      <c r="T1782">
        <f t="shared" si="398"/>
        <v>30.64</v>
      </c>
      <c r="U1782">
        <f t="shared" si="401"/>
        <v>0.75</v>
      </c>
      <c r="V1782">
        <f t="shared" si="397"/>
        <v>0.89000000000000012</v>
      </c>
    </row>
    <row r="1783" spans="1:22" x14ac:dyDescent="0.25">
      <c r="A1783" t="s">
        <v>3739</v>
      </c>
      <c r="B1783">
        <v>0.75</v>
      </c>
      <c r="C1783">
        <v>32.18</v>
      </c>
      <c r="E1783" t="s">
        <v>3739</v>
      </c>
      <c r="F1783">
        <v>0.75</v>
      </c>
      <c r="G1783">
        <v>109.25</v>
      </c>
      <c r="I1783" t="str" cm="1">
        <f t="array" ref="I1783:J1783">_xlfn.TEXTSPLIT(A1783," ")</f>
        <v>28.10.2023</v>
      </c>
      <c r="J1783" t="str">
        <v>05:44:02</v>
      </c>
      <c r="K1783">
        <f t="shared" si="402"/>
        <v>29.666666666666263</v>
      </c>
      <c r="L1783">
        <f t="shared" si="399"/>
        <v>17.86</v>
      </c>
      <c r="M1783">
        <f t="shared" si="400"/>
        <v>0.75</v>
      </c>
      <c r="N1783">
        <f t="shared" si="396"/>
        <v>0.51</v>
      </c>
      <c r="Q1783" t="str" cm="1">
        <f t="array" ref="Q1783:R1783">_xlfn.TEXTSPLIT(E1783," ")</f>
        <v>28.10.2023</v>
      </c>
      <c r="R1783" t="str">
        <v>05:44:02</v>
      </c>
      <c r="S1783">
        <f t="shared" si="403"/>
        <v>29.666666666666263</v>
      </c>
      <c r="T1783">
        <f t="shared" si="398"/>
        <v>30.650000000000006</v>
      </c>
      <c r="U1783">
        <f t="shared" si="401"/>
        <v>0.75</v>
      </c>
      <c r="V1783">
        <f t="shared" si="397"/>
        <v>0.88500000000000001</v>
      </c>
    </row>
    <row r="1784" spans="1:22" x14ac:dyDescent="0.25">
      <c r="A1784" t="s">
        <v>3740</v>
      </c>
      <c r="B1784">
        <v>0.6</v>
      </c>
      <c r="C1784">
        <v>32.19</v>
      </c>
      <c r="E1784" t="s">
        <v>3740</v>
      </c>
      <c r="F1784">
        <v>0.9</v>
      </c>
      <c r="G1784">
        <v>109.26</v>
      </c>
      <c r="I1784" t="str" cm="1">
        <f t="array" ref="I1784:J1784">_xlfn.TEXTSPLIT(A1784," ")</f>
        <v>28.10.2023</v>
      </c>
      <c r="J1784" t="str">
        <v>05:45:02</v>
      </c>
      <c r="K1784">
        <f t="shared" si="402"/>
        <v>29.683333333332929</v>
      </c>
      <c r="L1784">
        <f t="shared" si="399"/>
        <v>17.869999999999997</v>
      </c>
      <c r="M1784">
        <f t="shared" si="400"/>
        <v>0.6</v>
      </c>
      <c r="N1784">
        <f t="shared" si="396"/>
        <v>0.50000000000000011</v>
      </c>
      <c r="Q1784" t="str" cm="1">
        <f t="array" ref="Q1784:R1784">_xlfn.TEXTSPLIT(E1784," ")</f>
        <v>28.10.2023</v>
      </c>
      <c r="R1784" t="str">
        <v>05:45:02</v>
      </c>
      <c r="S1784">
        <f t="shared" si="403"/>
        <v>29.683333333332929</v>
      </c>
      <c r="T1784">
        <f t="shared" si="398"/>
        <v>30.660000000000011</v>
      </c>
      <c r="U1784">
        <f t="shared" si="401"/>
        <v>0.9</v>
      </c>
      <c r="V1784">
        <f t="shared" si="397"/>
        <v>0.88250000000000006</v>
      </c>
    </row>
    <row r="1785" spans="1:22" x14ac:dyDescent="0.25">
      <c r="A1785" t="s">
        <v>3741</v>
      </c>
      <c r="B1785">
        <v>0.45</v>
      </c>
      <c r="C1785">
        <v>32.19</v>
      </c>
      <c r="E1785" t="s">
        <v>3741</v>
      </c>
      <c r="F1785">
        <v>1.05</v>
      </c>
      <c r="G1785">
        <v>109.28</v>
      </c>
      <c r="I1785" t="str" cm="1">
        <f t="array" ref="I1785:J1785">_xlfn.TEXTSPLIT(A1785," ")</f>
        <v>28.10.2023</v>
      </c>
      <c r="J1785" t="str">
        <v>05:46:02</v>
      </c>
      <c r="K1785">
        <f t="shared" si="402"/>
        <v>29.699999999999594</v>
      </c>
      <c r="L1785">
        <f t="shared" si="399"/>
        <v>17.869999999999997</v>
      </c>
      <c r="M1785">
        <f t="shared" si="400"/>
        <v>0.45</v>
      </c>
      <c r="N1785">
        <f t="shared" si="396"/>
        <v>0.49000000000000005</v>
      </c>
      <c r="Q1785" t="str" cm="1">
        <f t="array" ref="Q1785:R1785">_xlfn.TEXTSPLIT(E1785," ")</f>
        <v>28.10.2023</v>
      </c>
      <c r="R1785" t="str">
        <v>05:46:02</v>
      </c>
      <c r="S1785">
        <f t="shared" si="403"/>
        <v>29.699999999999594</v>
      </c>
      <c r="T1785">
        <f t="shared" si="398"/>
        <v>30.680000000000007</v>
      </c>
      <c r="U1785">
        <f t="shared" si="401"/>
        <v>1.05</v>
      </c>
      <c r="V1785">
        <f t="shared" si="397"/>
        <v>0.89</v>
      </c>
    </row>
    <row r="1786" spans="1:22" x14ac:dyDescent="0.25">
      <c r="A1786" t="s">
        <v>3742</v>
      </c>
      <c r="B1786">
        <v>0.45</v>
      </c>
      <c r="C1786">
        <v>32.200000000000003</v>
      </c>
      <c r="E1786" t="s">
        <v>3742</v>
      </c>
      <c r="F1786">
        <v>1.35</v>
      </c>
      <c r="G1786">
        <v>109.3</v>
      </c>
      <c r="I1786" t="str" cm="1">
        <f t="array" ref="I1786:J1786">_xlfn.TEXTSPLIT(A1786," ")</f>
        <v>28.10.2023</v>
      </c>
      <c r="J1786" t="str">
        <v>05:47:02</v>
      </c>
      <c r="K1786">
        <f t="shared" si="402"/>
        <v>29.71666666666626</v>
      </c>
      <c r="L1786">
        <f t="shared" si="399"/>
        <v>17.880000000000003</v>
      </c>
      <c r="M1786">
        <f t="shared" si="400"/>
        <v>0.45</v>
      </c>
      <c r="N1786">
        <f t="shared" si="396"/>
        <v>0.49249999999999999</v>
      </c>
      <c r="Q1786" t="str" cm="1">
        <f t="array" ref="Q1786:R1786">_xlfn.TEXTSPLIT(E1786," ")</f>
        <v>28.10.2023</v>
      </c>
      <c r="R1786" t="str">
        <v>05:47:02</v>
      </c>
      <c r="S1786">
        <f t="shared" si="403"/>
        <v>29.71666666666626</v>
      </c>
      <c r="T1786">
        <f t="shared" si="398"/>
        <v>30.700000000000003</v>
      </c>
      <c r="U1786">
        <f t="shared" si="401"/>
        <v>1.35</v>
      </c>
      <c r="V1786">
        <f t="shared" si="397"/>
        <v>0.9</v>
      </c>
    </row>
    <row r="1787" spans="1:22" x14ac:dyDescent="0.25">
      <c r="A1787" t="s">
        <v>3743</v>
      </c>
      <c r="B1787">
        <v>0.75</v>
      </c>
      <c r="C1787">
        <v>32.22</v>
      </c>
      <c r="E1787" t="s">
        <v>3743</v>
      </c>
      <c r="F1787">
        <v>0.75</v>
      </c>
      <c r="G1787">
        <v>109.31</v>
      </c>
      <c r="I1787" t="str" cm="1">
        <f t="array" ref="I1787:J1787">_xlfn.TEXTSPLIT(A1787," ")</f>
        <v>28.10.2023</v>
      </c>
      <c r="J1787" t="str">
        <v>05:48:03</v>
      </c>
      <c r="K1787">
        <f t="shared" si="402"/>
        <v>29.733333333332926</v>
      </c>
      <c r="L1787">
        <f t="shared" si="399"/>
        <v>17.899999999999999</v>
      </c>
      <c r="M1787">
        <f t="shared" si="400"/>
        <v>0.75</v>
      </c>
      <c r="N1787">
        <f t="shared" si="396"/>
        <v>0.49</v>
      </c>
      <c r="Q1787" t="str" cm="1">
        <f t="array" ref="Q1787:R1787">_xlfn.TEXTSPLIT(E1787," ")</f>
        <v>28.10.2023</v>
      </c>
      <c r="R1787" t="str">
        <v>05:48:03</v>
      </c>
      <c r="S1787">
        <f t="shared" si="403"/>
        <v>29.733333333332926</v>
      </c>
      <c r="T1787">
        <f t="shared" si="398"/>
        <v>30.710000000000008</v>
      </c>
      <c r="U1787">
        <f t="shared" si="401"/>
        <v>0.75</v>
      </c>
      <c r="V1787">
        <f t="shared" si="397"/>
        <v>0.89500000000000002</v>
      </c>
    </row>
    <row r="1788" spans="1:22" x14ac:dyDescent="0.25">
      <c r="A1788" t="s">
        <v>3744</v>
      </c>
      <c r="B1788">
        <v>0.6</v>
      </c>
      <c r="C1788">
        <v>32.22</v>
      </c>
      <c r="E1788" t="s">
        <v>3744</v>
      </c>
      <c r="F1788">
        <v>0.75</v>
      </c>
      <c r="G1788">
        <v>109.33</v>
      </c>
      <c r="I1788" t="str" cm="1">
        <f t="array" ref="I1788:J1788">_xlfn.TEXTSPLIT(A1788," ")</f>
        <v>28.10.2023</v>
      </c>
      <c r="J1788" t="str">
        <v>05:49:03</v>
      </c>
      <c r="K1788">
        <f t="shared" si="402"/>
        <v>29.749999999999591</v>
      </c>
      <c r="L1788">
        <f t="shared" si="399"/>
        <v>17.899999999999999</v>
      </c>
      <c r="M1788">
        <f t="shared" si="400"/>
        <v>0.6</v>
      </c>
      <c r="N1788">
        <f t="shared" si="396"/>
        <v>0.48499999999999999</v>
      </c>
      <c r="Q1788" t="str" cm="1">
        <f t="array" ref="Q1788:R1788">_xlfn.TEXTSPLIT(E1788," ")</f>
        <v>28.10.2023</v>
      </c>
      <c r="R1788" t="str">
        <v>05:49:03</v>
      </c>
      <c r="S1788">
        <f t="shared" si="403"/>
        <v>29.749999999999591</v>
      </c>
      <c r="T1788">
        <f t="shared" si="398"/>
        <v>30.730000000000004</v>
      </c>
      <c r="U1788">
        <f t="shared" si="401"/>
        <v>0.75</v>
      </c>
      <c r="V1788">
        <f t="shared" si="397"/>
        <v>0.8849999999999999</v>
      </c>
    </row>
    <row r="1789" spans="1:22" x14ac:dyDescent="0.25">
      <c r="A1789" t="s">
        <v>3745</v>
      </c>
      <c r="B1789">
        <v>0.6</v>
      </c>
      <c r="C1789">
        <v>32.24</v>
      </c>
      <c r="E1789" t="s">
        <v>3745</v>
      </c>
      <c r="F1789">
        <v>0.75</v>
      </c>
      <c r="G1789">
        <v>109.34</v>
      </c>
      <c r="I1789" t="str" cm="1">
        <f t="array" ref="I1789:J1789">_xlfn.TEXTSPLIT(A1789," ")</f>
        <v>28.10.2023</v>
      </c>
      <c r="J1789" t="str">
        <v>05:50:03</v>
      </c>
      <c r="K1789">
        <f t="shared" si="402"/>
        <v>29.766666666666257</v>
      </c>
      <c r="L1789">
        <f t="shared" si="399"/>
        <v>17.920000000000002</v>
      </c>
      <c r="M1789">
        <f t="shared" si="400"/>
        <v>0.6</v>
      </c>
      <c r="N1789">
        <f t="shared" si="396"/>
        <v>0.4850000000000001</v>
      </c>
      <c r="Q1789" t="str" cm="1">
        <f t="array" ref="Q1789:R1789">_xlfn.TEXTSPLIT(E1789," ")</f>
        <v>28.10.2023</v>
      </c>
      <c r="R1789" t="str">
        <v>05:50:03</v>
      </c>
      <c r="S1789">
        <f t="shared" si="403"/>
        <v>29.766666666666257</v>
      </c>
      <c r="T1789">
        <f t="shared" si="398"/>
        <v>30.740000000000009</v>
      </c>
      <c r="U1789">
        <f t="shared" si="401"/>
        <v>0.75</v>
      </c>
      <c r="V1789">
        <f t="shared" si="397"/>
        <v>0.87750000000000006</v>
      </c>
    </row>
    <row r="1790" spans="1:22" x14ac:dyDescent="0.25">
      <c r="A1790" t="s">
        <v>3746</v>
      </c>
      <c r="B1790">
        <v>0.6</v>
      </c>
      <c r="C1790">
        <v>32.25</v>
      </c>
      <c r="E1790" t="s">
        <v>3746</v>
      </c>
      <c r="F1790">
        <v>0</v>
      </c>
      <c r="G1790">
        <v>109.34</v>
      </c>
      <c r="I1790" t="str" cm="1">
        <f t="array" ref="I1790:J1790">_xlfn.TEXTSPLIT(A1790," ")</f>
        <v>28.10.2023</v>
      </c>
      <c r="J1790" t="str">
        <v>05:51:03</v>
      </c>
      <c r="K1790">
        <f t="shared" si="402"/>
        <v>29.783333333332923</v>
      </c>
      <c r="L1790">
        <f t="shared" si="399"/>
        <v>17.93</v>
      </c>
      <c r="M1790">
        <f t="shared" si="400"/>
        <v>0.6</v>
      </c>
      <c r="N1790">
        <f t="shared" si="396"/>
        <v>0.4875000000000001</v>
      </c>
      <c r="Q1790" t="str" cm="1">
        <f t="array" ref="Q1790:R1790">_xlfn.TEXTSPLIT(E1790," ")</f>
        <v>28.10.2023</v>
      </c>
      <c r="R1790" t="str">
        <v>05:51:03</v>
      </c>
      <c r="S1790">
        <f t="shared" si="403"/>
        <v>29.783333333332923</v>
      </c>
      <c r="T1790">
        <f t="shared" si="398"/>
        <v>30.740000000000009</v>
      </c>
      <c r="U1790">
        <f t="shared" si="401"/>
        <v>0</v>
      </c>
      <c r="V1790">
        <f t="shared" si="397"/>
        <v>0.85750000000000004</v>
      </c>
    </row>
    <row r="1791" spans="1:22" x14ac:dyDescent="0.25">
      <c r="A1791" t="s">
        <v>3747</v>
      </c>
      <c r="B1791">
        <v>0.3</v>
      </c>
      <c r="C1791">
        <v>32.25</v>
      </c>
      <c r="E1791" t="s">
        <v>3747</v>
      </c>
      <c r="F1791">
        <v>0</v>
      </c>
      <c r="G1791">
        <v>109.34</v>
      </c>
      <c r="I1791" t="str" cm="1">
        <f t="array" ref="I1791:J1791">_xlfn.TEXTSPLIT(A1791," ")</f>
        <v>28.10.2023</v>
      </c>
      <c r="J1791" t="str">
        <v>05:52:03</v>
      </c>
      <c r="K1791">
        <f t="shared" si="402"/>
        <v>29.799999999999589</v>
      </c>
      <c r="L1791">
        <f t="shared" si="399"/>
        <v>17.93</v>
      </c>
      <c r="M1791">
        <f t="shared" si="400"/>
        <v>0.3</v>
      </c>
      <c r="N1791">
        <f t="shared" ref="N1791:N1854" si="404">AVERAGE(M1732:M1791)</f>
        <v>0.48250000000000015</v>
      </c>
      <c r="Q1791" t="str" cm="1">
        <f t="array" ref="Q1791:R1791">_xlfn.TEXTSPLIT(E1791," ")</f>
        <v>28.10.2023</v>
      </c>
      <c r="R1791" t="str">
        <v>05:52:03</v>
      </c>
      <c r="S1791">
        <f t="shared" si="403"/>
        <v>29.799999999999589</v>
      </c>
      <c r="T1791">
        <f t="shared" si="398"/>
        <v>30.740000000000009</v>
      </c>
      <c r="U1791">
        <f t="shared" si="401"/>
        <v>0</v>
      </c>
      <c r="V1791">
        <f t="shared" ref="V1791:V1854" si="405">AVERAGE(U1732:U1791)</f>
        <v>0.85750000000000004</v>
      </c>
    </row>
    <row r="1792" spans="1:22" x14ac:dyDescent="0.25">
      <c r="A1792" t="s">
        <v>3748</v>
      </c>
      <c r="B1792">
        <v>0</v>
      </c>
      <c r="C1792">
        <v>32.25</v>
      </c>
      <c r="E1792" t="s">
        <v>3748</v>
      </c>
      <c r="F1792">
        <v>0.15</v>
      </c>
      <c r="G1792">
        <v>109.34</v>
      </c>
      <c r="I1792" t="str" cm="1">
        <f t="array" ref="I1792:J1792">_xlfn.TEXTSPLIT(A1792," ")</f>
        <v>28.10.2023</v>
      </c>
      <c r="J1792" t="str">
        <v>05:53:03</v>
      </c>
      <c r="K1792">
        <f t="shared" si="402"/>
        <v>29.816666666666254</v>
      </c>
      <c r="L1792">
        <f t="shared" si="399"/>
        <v>17.93</v>
      </c>
      <c r="M1792">
        <f t="shared" si="400"/>
        <v>0</v>
      </c>
      <c r="N1792">
        <f t="shared" si="404"/>
        <v>0.48000000000000015</v>
      </c>
      <c r="Q1792" t="str" cm="1">
        <f t="array" ref="Q1792:R1792">_xlfn.TEXTSPLIT(E1792," ")</f>
        <v>28.10.2023</v>
      </c>
      <c r="R1792" t="str">
        <v>05:53:03</v>
      </c>
      <c r="S1792">
        <f t="shared" si="403"/>
        <v>29.816666666666254</v>
      </c>
      <c r="T1792">
        <f t="shared" si="398"/>
        <v>30.740000000000009</v>
      </c>
      <c r="U1792">
        <f t="shared" si="401"/>
        <v>0.15</v>
      </c>
      <c r="V1792">
        <f t="shared" si="405"/>
        <v>0.85750000000000004</v>
      </c>
    </row>
    <row r="1793" spans="1:22" x14ac:dyDescent="0.25">
      <c r="A1793" t="s">
        <v>3749</v>
      </c>
      <c r="B1793">
        <v>0</v>
      </c>
      <c r="C1793">
        <v>32.25</v>
      </c>
      <c r="E1793" t="s">
        <v>3749</v>
      </c>
      <c r="F1793">
        <v>0.3</v>
      </c>
      <c r="G1793">
        <v>109.35</v>
      </c>
      <c r="I1793" t="str" cm="1">
        <f t="array" ref="I1793:J1793">_xlfn.TEXTSPLIT(A1793," ")</f>
        <v>28.10.2023</v>
      </c>
      <c r="J1793" t="str">
        <v>05:54:03</v>
      </c>
      <c r="K1793">
        <f t="shared" si="402"/>
        <v>29.83333333333292</v>
      </c>
      <c r="L1793">
        <f t="shared" si="399"/>
        <v>17.93</v>
      </c>
      <c r="M1793">
        <f t="shared" si="400"/>
        <v>0</v>
      </c>
      <c r="N1793">
        <f t="shared" si="404"/>
        <v>0.48000000000000015</v>
      </c>
      <c r="Q1793" t="str" cm="1">
        <f t="array" ref="Q1793:R1793">_xlfn.TEXTSPLIT(E1793," ")</f>
        <v>28.10.2023</v>
      </c>
      <c r="R1793" t="str">
        <v>05:54:03</v>
      </c>
      <c r="S1793">
        <f t="shared" si="403"/>
        <v>29.83333333333292</v>
      </c>
      <c r="T1793">
        <f t="shared" si="398"/>
        <v>30.75</v>
      </c>
      <c r="U1793">
        <f t="shared" si="401"/>
        <v>0.3</v>
      </c>
      <c r="V1793">
        <f t="shared" si="405"/>
        <v>0.85749999999999993</v>
      </c>
    </row>
    <row r="1794" spans="1:22" x14ac:dyDescent="0.25">
      <c r="A1794" t="s">
        <v>3750</v>
      </c>
      <c r="B1794">
        <v>0</v>
      </c>
      <c r="C1794">
        <v>32.25</v>
      </c>
      <c r="E1794" t="s">
        <v>3750</v>
      </c>
      <c r="F1794">
        <v>0.15</v>
      </c>
      <c r="G1794">
        <v>109.35</v>
      </c>
      <c r="I1794" t="str" cm="1">
        <f t="array" ref="I1794:J1794">_xlfn.TEXTSPLIT(A1794," ")</f>
        <v>28.10.2023</v>
      </c>
      <c r="J1794" t="str">
        <v>05:55:03</v>
      </c>
      <c r="K1794">
        <f t="shared" si="402"/>
        <v>29.849999999999586</v>
      </c>
      <c r="L1794">
        <f t="shared" si="399"/>
        <v>17.93</v>
      </c>
      <c r="M1794">
        <f t="shared" si="400"/>
        <v>0</v>
      </c>
      <c r="N1794">
        <f t="shared" si="404"/>
        <v>0.48000000000000015</v>
      </c>
      <c r="Q1794" t="str" cm="1">
        <f t="array" ref="Q1794:R1794">_xlfn.TEXTSPLIT(E1794," ")</f>
        <v>28.10.2023</v>
      </c>
      <c r="R1794" t="str">
        <v>05:55:03</v>
      </c>
      <c r="S1794">
        <f t="shared" si="403"/>
        <v>29.849999999999586</v>
      </c>
      <c r="T1794">
        <f t="shared" si="398"/>
        <v>30.75</v>
      </c>
      <c r="U1794">
        <f t="shared" si="401"/>
        <v>0.15</v>
      </c>
      <c r="V1794">
        <f t="shared" si="405"/>
        <v>0.85499999999999998</v>
      </c>
    </row>
    <row r="1795" spans="1:22" x14ac:dyDescent="0.25">
      <c r="A1795" t="s">
        <v>3751</v>
      </c>
      <c r="B1795">
        <v>0</v>
      </c>
      <c r="C1795">
        <v>32.25</v>
      </c>
      <c r="E1795" t="s">
        <v>3751</v>
      </c>
      <c r="F1795">
        <v>0.3</v>
      </c>
      <c r="G1795">
        <v>109.35</v>
      </c>
      <c r="I1795" t="str" cm="1">
        <f t="array" ref="I1795:J1795">_xlfn.TEXTSPLIT(A1795," ")</f>
        <v>28.10.2023</v>
      </c>
      <c r="J1795" t="str">
        <v>05:56:04</v>
      </c>
      <c r="K1795">
        <f t="shared" si="402"/>
        <v>29.866666666666251</v>
      </c>
      <c r="L1795">
        <f t="shared" si="399"/>
        <v>17.93</v>
      </c>
      <c r="M1795">
        <f t="shared" si="400"/>
        <v>0</v>
      </c>
      <c r="N1795">
        <f t="shared" si="404"/>
        <v>0.48000000000000015</v>
      </c>
      <c r="Q1795" t="str" cm="1">
        <f t="array" ref="Q1795:R1795">_xlfn.TEXTSPLIT(E1795," ")</f>
        <v>28.10.2023</v>
      </c>
      <c r="R1795" t="str">
        <v>05:56:04</v>
      </c>
      <c r="S1795">
        <f t="shared" si="403"/>
        <v>29.866666666666251</v>
      </c>
      <c r="T1795">
        <f t="shared" ref="T1795:T1858" si="406">G1795-78.6</f>
        <v>30.75</v>
      </c>
      <c r="U1795">
        <f t="shared" si="401"/>
        <v>0.3</v>
      </c>
      <c r="V1795">
        <f t="shared" si="405"/>
        <v>0.85499999999999998</v>
      </c>
    </row>
    <row r="1796" spans="1:22" x14ac:dyDescent="0.25">
      <c r="A1796" t="s">
        <v>3752</v>
      </c>
      <c r="B1796">
        <v>0</v>
      </c>
      <c r="C1796">
        <v>32.25</v>
      </c>
      <c r="E1796" t="s">
        <v>3752</v>
      </c>
      <c r="F1796">
        <v>0.45</v>
      </c>
      <c r="G1796">
        <v>109.36</v>
      </c>
      <c r="I1796" t="str" cm="1">
        <f t="array" ref="I1796:J1796">_xlfn.TEXTSPLIT(A1796," ")</f>
        <v>28.10.2023</v>
      </c>
      <c r="J1796" t="str">
        <v>05:57:04</v>
      </c>
      <c r="K1796">
        <f t="shared" si="402"/>
        <v>29.883333333332917</v>
      </c>
      <c r="L1796">
        <f t="shared" ref="L1796:L1859" si="407">C1796-14.32</f>
        <v>17.93</v>
      </c>
      <c r="M1796">
        <f t="shared" ref="M1796:M1859" si="408">B1796</f>
        <v>0</v>
      </c>
      <c r="N1796">
        <f t="shared" si="404"/>
        <v>0.48000000000000015</v>
      </c>
      <c r="Q1796" t="str" cm="1">
        <f t="array" ref="Q1796:R1796">_xlfn.TEXTSPLIT(E1796," ")</f>
        <v>28.10.2023</v>
      </c>
      <c r="R1796" t="str">
        <v>05:57:04</v>
      </c>
      <c r="S1796">
        <f t="shared" si="403"/>
        <v>29.883333333332917</v>
      </c>
      <c r="T1796">
        <f t="shared" si="406"/>
        <v>30.760000000000005</v>
      </c>
      <c r="U1796">
        <f t="shared" ref="U1796:U1859" si="409">F1796</f>
        <v>0.45</v>
      </c>
      <c r="V1796">
        <f t="shared" si="405"/>
        <v>0.85500000000000009</v>
      </c>
    </row>
    <row r="1797" spans="1:22" x14ac:dyDescent="0.25">
      <c r="A1797" t="s">
        <v>3753</v>
      </c>
      <c r="B1797">
        <v>0</v>
      </c>
      <c r="C1797">
        <v>32.25</v>
      </c>
      <c r="E1797" t="s">
        <v>3753</v>
      </c>
      <c r="F1797">
        <v>0.45</v>
      </c>
      <c r="G1797">
        <v>109.37</v>
      </c>
      <c r="I1797" t="str" cm="1">
        <f t="array" ref="I1797:J1797">_xlfn.TEXTSPLIT(A1797," ")</f>
        <v>28.10.2023</v>
      </c>
      <c r="J1797" t="str">
        <v>05:58:04</v>
      </c>
      <c r="K1797">
        <f t="shared" ref="K1797:K1860" si="410">1/60+K1796</f>
        <v>29.899999999999583</v>
      </c>
      <c r="L1797">
        <f t="shared" si="407"/>
        <v>17.93</v>
      </c>
      <c r="M1797">
        <f t="shared" si="408"/>
        <v>0</v>
      </c>
      <c r="N1797">
        <f t="shared" si="404"/>
        <v>0.48000000000000015</v>
      </c>
      <c r="Q1797" t="str" cm="1">
        <f t="array" ref="Q1797:R1797">_xlfn.TEXTSPLIT(E1797," ")</f>
        <v>28.10.2023</v>
      </c>
      <c r="R1797" t="str">
        <v>05:58:04</v>
      </c>
      <c r="S1797">
        <f t="shared" ref="S1797:S1860" si="411">1/60+S1796</f>
        <v>29.899999999999583</v>
      </c>
      <c r="T1797">
        <f t="shared" si="406"/>
        <v>30.77000000000001</v>
      </c>
      <c r="U1797">
        <f t="shared" si="409"/>
        <v>0.45</v>
      </c>
      <c r="V1797">
        <f t="shared" si="405"/>
        <v>0.85500000000000009</v>
      </c>
    </row>
    <row r="1798" spans="1:22" x14ac:dyDescent="0.25">
      <c r="A1798" t="s">
        <v>3754</v>
      </c>
      <c r="B1798">
        <v>0</v>
      </c>
      <c r="C1798">
        <v>32.25</v>
      </c>
      <c r="E1798" t="s">
        <v>3754</v>
      </c>
      <c r="F1798">
        <v>0.75</v>
      </c>
      <c r="G1798">
        <v>109.38</v>
      </c>
      <c r="I1798" t="str" cm="1">
        <f t="array" ref="I1798:J1798">_xlfn.TEXTSPLIT(A1798," ")</f>
        <v>28.10.2023</v>
      </c>
      <c r="J1798" t="str">
        <v>05:59:04</v>
      </c>
      <c r="K1798">
        <f t="shared" si="410"/>
        <v>29.916666666666249</v>
      </c>
      <c r="L1798">
        <f t="shared" si="407"/>
        <v>17.93</v>
      </c>
      <c r="M1798">
        <f t="shared" si="408"/>
        <v>0</v>
      </c>
      <c r="N1798">
        <f t="shared" si="404"/>
        <v>0.48000000000000015</v>
      </c>
      <c r="Q1798" t="str" cm="1">
        <f t="array" ref="Q1798:R1798">_xlfn.TEXTSPLIT(E1798," ")</f>
        <v>28.10.2023</v>
      </c>
      <c r="R1798" t="str">
        <v>05:59:04</v>
      </c>
      <c r="S1798">
        <f t="shared" si="411"/>
        <v>29.916666666666249</v>
      </c>
      <c r="T1798">
        <f t="shared" si="406"/>
        <v>30.78</v>
      </c>
      <c r="U1798">
        <f t="shared" si="409"/>
        <v>0.75</v>
      </c>
      <c r="V1798">
        <f t="shared" si="405"/>
        <v>0.86250000000000016</v>
      </c>
    </row>
    <row r="1799" spans="1:22" x14ac:dyDescent="0.25">
      <c r="A1799" t="s">
        <v>3755</v>
      </c>
      <c r="B1799">
        <v>0.15</v>
      </c>
      <c r="C1799">
        <v>32.25</v>
      </c>
      <c r="E1799" t="s">
        <v>3755</v>
      </c>
      <c r="F1799">
        <v>0.6</v>
      </c>
      <c r="G1799">
        <v>109.39</v>
      </c>
      <c r="I1799" t="str" cm="1">
        <f t="array" ref="I1799:J1799">_xlfn.TEXTSPLIT(A1799," ")</f>
        <v>28.10.2023</v>
      </c>
      <c r="J1799" t="str">
        <v>06:00:04</v>
      </c>
      <c r="K1799">
        <f t="shared" si="410"/>
        <v>29.933333333332914</v>
      </c>
      <c r="L1799">
        <f t="shared" si="407"/>
        <v>17.93</v>
      </c>
      <c r="M1799">
        <f t="shared" si="408"/>
        <v>0.15</v>
      </c>
      <c r="N1799">
        <f t="shared" si="404"/>
        <v>0.48000000000000015</v>
      </c>
      <c r="Q1799" t="str" cm="1">
        <f t="array" ref="Q1799:R1799">_xlfn.TEXTSPLIT(E1799," ")</f>
        <v>28.10.2023</v>
      </c>
      <c r="R1799" t="str">
        <v>06:00:04</v>
      </c>
      <c r="S1799">
        <f t="shared" si="411"/>
        <v>29.933333333332914</v>
      </c>
      <c r="T1799">
        <f t="shared" si="406"/>
        <v>30.790000000000006</v>
      </c>
      <c r="U1799">
        <f t="shared" si="409"/>
        <v>0.6</v>
      </c>
      <c r="V1799">
        <f t="shared" si="405"/>
        <v>0.8650000000000001</v>
      </c>
    </row>
    <row r="1800" spans="1:22" x14ac:dyDescent="0.25">
      <c r="A1800" t="s">
        <v>3756</v>
      </c>
      <c r="B1800">
        <v>0.3</v>
      </c>
      <c r="C1800">
        <v>32.26</v>
      </c>
      <c r="E1800" t="s">
        <v>3756</v>
      </c>
      <c r="F1800">
        <v>1.2</v>
      </c>
      <c r="G1800">
        <v>109.41</v>
      </c>
      <c r="I1800" t="str" cm="1">
        <f t="array" ref="I1800:J1800">_xlfn.TEXTSPLIT(A1800," ")</f>
        <v>28.10.2023</v>
      </c>
      <c r="J1800" t="str">
        <v>06:01:04</v>
      </c>
      <c r="K1800">
        <f t="shared" si="410"/>
        <v>29.94999999999958</v>
      </c>
      <c r="L1800">
        <f t="shared" si="407"/>
        <v>17.939999999999998</v>
      </c>
      <c r="M1800">
        <f t="shared" si="408"/>
        <v>0.3</v>
      </c>
      <c r="N1800">
        <f t="shared" si="404"/>
        <v>0.4825000000000001</v>
      </c>
      <c r="Q1800" t="str" cm="1">
        <f t="array" ref="Q1800:R1800">_xlfn.TEXTSPLIT(E1800," ")</f>
        <v>28.10.2023</v>
      </c>
      <c r="R1800" t="str">
        <v>06:01:04</v>
      </c>
      <c r="S1800">
        <f t="shared" si="411"/>
        <v>29.94999999999958</v>
      </c>
      <c r="T1800">
        <f t="shared" si="406"/>
        <v>30.810000000000002</v>
      </c>
      <c r="U1800">
        <f t="shared" si="409"/>
        <v>1.2</v>
      </c>
      <c r="V1800">
        <f t="shared" si="405"/>
        <v>0.87250000000000016</v>
      </c>
    </row>
    <row r="1801" spans="1:22" x14ac:dyDescent="0.25">
      <c r="A1801" t="s">
        <v>3757</v>
      </c>
      <c r="B1801">
        <v>0.3</v>
      </c>
      <c r="C1801">
        <v>32.26</v>
      </c>
      <c r="E1801" t="s">
        <v>3757</v>
      </c>
      <c r="F1801">
        <v>1.2</v>
      </c>
      <c r="G1801">
        <v>109.43</v>
      </c>
      <c r="I1801" t="str" cm="1">
        <f t="array" ref="I1801:J1801">_xlfn.TEXTSPLIT(A1801," ")</f>
        <v>28.10.2023</v>
      </c>
      <c r="J1801" t="str">
        <v>06:02:04</v>
      </c>
      <c r="K1801">
        <f t="shared" si="410"/>
        <v>29.966666666666246</v>
      </c>
      <c r="L1801">
        <f t="shared" si="407"/>
        <v>17.939999999999998</v>
      </c>
      <c r="M1801">
        <f t="shared" si="408"/>
        <v>0.3</v>
      </c>
      <c r="N1801">
        <f t="shared" si="404"/>
        <v>0.48250000000000015</v>
      </c>
      <c r="Q1801" t="str" cm="1">
        <f t="array" ref="Q1801:R1801">_xlfn.TEXTSPLIT(E1801," ")</f>
        <v>28.10.2023</v>
      </c>
      <c r="R1801" t="str">
        <v>06:02:04</v>
      </c>
      <c r="S1801">
        <f t="shared" si="411"/>
        <v>29.966666666666246</v>
      </c>
      <c r="T1801">
        <f t="shared" si="406"/>
        <v>30.830000000000013</v>
      </c>
      <c r="U1801">
        <f t="shared" si="409"/>
        <v>1.2</v>
      </c>
      <c r="V1801">
        <f t="shared" si="405"/>
        <v>0.87750000000000006</v>
      </c>
    </row>
    <row r="1802" spans="1:22" x14ac:dyDescent="0.25">
      <c r="A1802" t="s">
        <v>3758</v>
      </c>
      <c r="B1802">
        <v>0.3</v>
      </c>
      <c r="C1802">
        <v>32.270000000000003</v>
      </c>
      <c r="E1802" t="s">
        <v>3758</v>
      </c>
      <c r="F1802">
        <v>0.75</v>
      </c>
      <c r="G1802">
        <v>109.44</v>
      </c>
      <c r="I1802" t="str" cm="1">
        <f t="array" ref="I1802:J1802">_xlfn.TEXTSPLIT(A1802," ")</f>
        <v>28.10.2023</v>
      </c>
      <c r="J1802" t="str">
        <v>06:03:04</v>
      </c>
      <c r="K1802">
        <f t="shared" si="410"/>
        <v>29.983333333332912</v>
      </c>
      <c r="L1802">
        <f t="shared" si="407"/>
        <v>17.950000000000003</v>
      </c>
      <c r="M1802">
        <f t="shared" si="408"/>
        <v>0.3</v>
      </c>
      <c r="N1802">
        <f t="shared" si="404"/>
        <v>0.48250000000000015</v>
      </c>
      <c r="Q1802" t="str" cm="1">
        <f t="array" ref="Q1802:R1802">_xlfn.TEXTSPLIT(E1802," ")</f>
        <v>28.10.2023</v>
      </c>
      <c r="R1802" t="str">
        <v>06:03:04</v>
      </c>
      <c r="S1802">
        <f t="shared" si="411"/>
        <v>29.983333333332912</v>
      </c>
      <c r="T1802">
        <f t="shared" si="406"/>
        <v>30.840000000000003</v>
      </c>
      <c r="U1802">
        <f t="shared" si="409"/>
        <v>0.75</v>
      </c>
      <c r="V1802">
        <f t="shared" si="405"/>
        <v>0.87500000000000011</v>
      </c>
    </row>
    <row r="1803" spans="1:22" x14ac:dyDescent="0.25">
      <c r="A1803" t="s">
        <v>3759</v>
      </c>
      <c r="B1803">
        <v>0.45</v>
      </c>
      <c r="C1803">
        <v>32.270000000000003</v>
      </c>
      <c r="E1803" t="s">
        <v>3759</v>
      </c>
      <c r="F1803">
        <v>0.6</v>
      </c>
      <c r="G1803">
        <v>109.45</v>
      </c>
      <c r="I1803" t="str" cm="1">
        <f t="array" ref="I1803:J1803">_xlfn.TEXTSPLIT(A1803," ")</f>
        <v>28.10.2023</v>
      </c>
      <c r="J1803" t="str">
        <v>06:04:05</v>
      </c>
      <c r="K1803">
        <f t="shared" si="410"/>
        <v>29.999999999999577</v>
      </c>
      <c r="L1803">
        <f t="shared" si="407"/>
        <v>17.950000000000003</v>
      </c>
      <c r="M1803">
        <f t="shared" si="408"/>
        <v>0.45</v>
      </c>
      <c r="N1803">
        <f t="shared" si="404"/>
        <v>0.48500000000000015</v>
      </c>
      <c r="Q1803" t="str" cm="1">
        <f t="array" ref="Q1803:R1803">_xlfn.TEXTSPLIT(E1803," ")</f>
        <v>28.10.2023</v>
      </c>
      <c r="R1803" t="str">
        <v>06:04:05</v>
      </c>
      <c r="S1803">
        <f t="shared" si="411"/>
        <v>29.999999999999577</v>
      </c>
      <c r="T1803">
        <f t="shared" si="406"/>
        <v>30.850000000000009</v>
      </c>
      <c r="U1803">
        <f t="shared" si="409"/>
        <v>0.6</v>
      </c>
      <c r="V1803">
        <f t="shared" si="405"/>
        <v>0.8650000000000001</v>
      </c>
    </row>
    <row r="1804" spans="1:22" x14ac:dyDescent="0.25">
      <c r="A1804" t="s">
        <v>3760</v>
      </c>
      <c r="B1804">
        <v>0.15</v>
      </c>
      <c r="C1804">
        <v>32.28</v>
      </c>
      <c r="E1804" t="s">
        <v>3760</v>
      </c>
      <c r="F1804">
        <v>0.6</v>
      </c>
      <c r="G1804">
        <v>109.46</v>
      </c>
      <c r="I1804" t="str" cm="1">
        <f t="array" ref="I1804:J1804">_xlfn.TEXTSPLIT(A1804," ")</f>
        <v>28.10.2023</v>
      </c>
      <c r="J1804" t="str">
        <v>06:05:05</v>
      </c>
      <c r="K1804">
        <f t="shared" si="410"/>
        <v>30.016666666666243</v>
      </c>
      <c r="L1804">
        <f t="shared" si="407"/>
        <v>17.96</v>
      </c>
      <c r="M1804">
        <f t="shared" si="408"/>
        <v>0.15</v>
      </c>
      <c r="N1804">
        <f t="shared" si="404"/>
        <v>0.48500000000000015</v>
      </c>
      <c r="Q1804" t="str" cm="1">
        <f t="array" ref="Q1804:R1804">_xlfn.TEXTSPLIT(E1804," ")</f>
        <v>28.10.2023</v>
      </c>
      <c r="R1804" t="str">
        <v>06:05:05</v>
      </c>
      <c r="S1804">
        <f t="shared" si="411"/>
        <v>30.016666666666243</v>
      </c>
      <c r="T1804">
        <f t="shared" si="406"/>
        <v>30.86</v>
      </c>
      <c r="U1804">
        <f t="shared" si="409"/>
        <v>0.6</v>
      </c>
      <c r="V1804">
        <f t="shared" si="405"/>
        <v>0.86500000000000021</v>
      </c>
    </row>
    <row r="1805" spans="1:22" x14ac:dyDescent="0.25">
      <c r="A1805" t="s">
        <v>3761</v>
      </c>
      <c r="B1805">
        <v>0.15</v>
      </c>
      <c r="C1805">
        <v>32.28</v>
      </c>
      <c r="E1805" t="s">
        <v>3761</v>
      </c>
      <c r="F1805">
        <v>2.5499999999999998</v>
      </c>
      <c r="G1805">
        <v>109.5</v>
      </c>
      <c r="I1805" t="str" cm="1">
        <f t="array" ref="I1805:J1805">_xlfn.TEXTSPLIT(A1805," ")</f>
        <v>28.10.2023</v>
      </c>
      <c r="J1805" t="str">
        <v>06:06:05</v>
      </c>
      <c r="K1805">
        <f t="shared" si="410"/>
        <v>30.033333333332909</v>
      </c>
      <c r="L1805">
        <f t="shared" si="407"/>
        <v>17.96</v>
      </c>
      <c r="M1805">
        <f t="shared" si="408"/>
        <v>0.15</v>
      </c>
      <c r="N1805">
        <f t="shared" si="404"/>
        <v>0.48000000000000015</v>
      </c>
      <c r="Q1805" t="str" cm="1">
        <f t="array" ref="Q1805:R1805">_xlfn.TEXTSPLIT(E1805," ")</f>
        <v>28.10.2023</v>
      </c>
      <c r="R1805" t="str">
        <v>06:06:05</v>
      </c>
      <c r="S1805">
        <f t="shared" si="411"/>
        <v>30.033333333332909</v>
      </c>
      <c r="T1805">
        <f t="shared" si="406"/>
        <v>30.900000000000006</v>
      </c>
      <c r="U1805">
        <f t="shared" si="409"/>
        <v>2.5499999999999998</v>
      </c>
      <c r="V1805">
        <f t="shared" si="405"/>
        <v>0.89750000000000019</v>
      </c>
    </row>
    <row r="1806" spans="1:22" x14ac:dyDescent="0.25">
      <c r="A1806" t="s">
        <v>3762</v>
      </c>
      <c r="B1806">
        <v>1.2</v>
      </c>
      <c r="C1806">
        <v>32.31</v>
      </c>
      <c r="E1806" t="s">
        <v>3762</v>
      </c>
      <c r="F1806">
        <v>2.85</v>
      </c>
      <c r="G1806">
        <v>109.55</v>
      </c>
      <c r="I1806" t="str" cm="1">
        <f t="array" ref="I1806:J1806">_xlfn.TEXTSPLIT(A1806," ")</f>
        <v>28.10.2023</v>
      </c>
      <c r="J1806" t="str">
        <v>06:07:05</v>
      </c>
      <c r="K1806">
        <f t="shared" si="410"/>
        <v>30.049999999999574</v>
      </c>
      <c r="L1806">
        <f t="shared" si="407"/>
        <v>17.990000000000002</v>
      </c>
      <c r="M1806">
        <f t="shared" si="408"/>
        <v>1.2</v>
      </c>
      <c r="N1806">
        <f t="shared" si="404"/>
        <v>0.4925000000000001</v>
      </c>
      <c r="Q1806" t="str" cm="1">
        <f t="array" ref="Q1806:R1806">_xlfn.TEXTSPLIT(E1806," ")</f>
        <v>28.10.2023</v>
      </c>
      <c r="R1806" t="str">
        <v>06:07:05</v>
      </c>
      <c r="S1806">
        <f t="shared" si="411"/>
        <v>30.049999999999574</v>
      </c>
      <c r="T1806">
        <f t="shared" si="406"/>
        <v>30.950000000000003</v>
      </c>
      <c r="U1806">
        <f t="shared" si="409"/>
        <v>2.85</v>
      </c>
      <c r="V1806">
        <f t="shared" si="405"/>
        <v>0.91000000000000014</v>
      </c>
    </row>
    <row r="1807" spans="1:22" x14ac:dyDescent="0.25">
      <c r="A1807" t="s">
        <v>3763</v>
      </c>
      <c r="B1807">
        <v>2.7</v>
      </c>
      <c r="C1807">
        <v>32.35</v>
      </c>
      <c r="E1807" t="s">
        <v>3763</v>
      </c>
      <c r="F1807">
        <v>1.5</v>
      </c>
      <c r="G1807">
        <v>109.58</v>
      </c>
      <c r="I1807" t="str" cm="1">
        <f t="array" ref="I1807:J1807">_xlfn.TEXTSPLIT(A1807," ")</f>
        <v>28.10.2023</v>
      </c>
      <c r="J1807" t="str">
        <v>06:08:05</v>
      </c>
      <c r="K1807">
        <f t="shared" si="410"/>
        <v>30.06666666666624</v>
      </c>
      <c r="L1807">
        <f t="shared" si="407"/>
        <v>18.03</v>
      </c>
      <c r="M1807">
        <f t="shared" si="408"/>
        <v>2.7</v>
      </c>
      <c r="N1807">
        <f t="shared" si="404"/>
        <v>0.51250000000000007</v>
      </c>
      <c r="Q1807" t="str" cm="1">
        <f t="array" ref="Q1807:R1807">_xlfn.TEXTSPLIT(E1807," ")</f>
        <v>28.10.2023</v>
      </c>
      <c r="R1807" t="str">
        <v>06:08:05</v>
      </c>
      <c r="S1807">
        <f t="shared" si="411"/>
        <v>30.06666666666624</v>
      </c>
      <c r="T1807">
        <f t="shared" si="406"/>
        <v>30.980000000000004</v>
      </c>
      <c r="U1807">
        <f t="shared" si="409"/>
        <v>1.5</v>
      </c>
      <c r="V1807">
        <f t="shared" si="405"/>
        <v>0.88250000000000006</v>
      </c>
    </row>
    <row r="1808" spans="1:22" x14ac:dyDescent="0.25">
      <c r="A1808" t="s">
        <v>3764</v>
      </c>
      <c r="B1808">
        <v>1.65</v>
      </c>
      <c r="C1808">
        <v>32.369999999999997</v>
      </c>
      <c r="E1808" t="s">
        <v>3764</v>
      </c>
      <c r="F1808">
        <v>1.05</v>
      </c>
      <c r="G1808">
        <v>109.6</v>
      </c>
      <c r="I1808" t="str" cm="1">
        <f t="array" ref="I1808:J1808">_xlfn.TEXTSPLIT(A1808," ")</f>
        <v>28.10.2023</v>
      </c>
      <c r="J1808" t="str">
        <v>06:09:05</v>
      </c>
      <c r="K1808">
        <f t="shared" si="410"/>
        <v>30.083333333332906</v>
      </c>
      <c r="L1808">
        <f t="shared" si="407"/>
        <v>18.049999999999997</v>
      </c>
      <c r="M1808">
        <f t="shared" si="408"/>
        <v>1.65</v>
      </c>
      <c r="N1808">
        <f t="shared" si="404"/>
        <v>0.50250000000000006</v>
      </c>
      <c r="Q1808" t="str" cm="1">
        <f t="array" ref="Q1808:R1808">_xlfn.TEXTSPLIT(E1808," ")</f>
        <v>28.10.2023</v>
      </c>
      <c r="R1808" t="str">
        <v>06:09:05</v>
      </c>
      <c r="S1808">
        <f t="shared" si="411"/>
        <v>30.083333333332906</v>
      </c>
      <c r="T1808">
        <f t="shared" si="406"/>
        <v>31</v>
      </c>
      <c r="U1808">
        <f t="shared" si="409"/>
        <v>1.05</v>
      </c>
      <c r="V1808">
        <f t="shared" si="405"/>
        <v>0.86499999999999999</v>
      </c>
    </row>
    <row r="1809" spans="1:22" x14ac:dyDescent="0.25">
      <c r="A1809" t="s">
        <v>3765</v>
      </c>
      <c r="B1809">
        <v>1.05</v>
      </c>
      <c r="C1809">
        <v>32.39</v>
      </c>
      <c r="E1809" t="s">
        <v>3765</v>
      </c>
      <c r="F1809">
        <v>0.9</v>
      </c>
      <c r="G1809">
        <v>109.61</v>
      </c>
      <c r="I1809" t="str" cm="1">
        <f t="array" ref="I1809:J1809">_xlfn.TEXTSPLIT(A1809," ")</f>
        <v>28.10.2023</v>
      </c>
      <c r="J1809" t="str">
        <v>06:10:05</v>
      </c>
      <c r="K1809">
        <f t="shared" si="410"/>
        <v>30.099999999999572</v>
      </c>
      <c r="L1809">
        <f t="shared" si="407"/>
        <v>18.07</v>
      </c>
      <c r="M1809">
        <f t="shared" si="408"/>
        <v>1.05</v>
      </c>
      <c r="N1809">
        <f t="shared" si="404"/>
        <v>0.49500000000000005</v>
      </c>
      <c r="Q1809" t="str" cm="1">
        <f t="array" ref="Q1809:R1809">_xlfn.TEXTSPLIT(E1809," ")</f>
        <v>28.10.2023</v>
      </c>
      <c r="R1809" t="str">
        <v>06:10:05</v>
      </c>
      <c r="S1809">
        <f t="shared" si="411"/>
        <v>30.099999999999572</v>
      </c>
      <c r="T1809">
        <f t="shared" si="406"/>
        <v>31.010000000000005</v>
      </c>
      <c r="U1809">
        <f t="shared" si="409"/>
        <v>0.9</v>
      </c>
      <c r="V1809">
        <f t="shared" si="405"/>
        <v>0.86499999999999999</v>
      </c>
    </row>
    <row r="1810" spans="1:22" x14ac:dyDescent="0.25">
      <c r="A1810" t="s">
        <v>3766</v>
      </c>
      <c r="B1810">
        <v>0.6</v>
      </c>
      <c r="C1810">
        <v>32.4</v>
      </c>
      <c r="E1810" t="s">
        <v>3766</v>
      </c>
      <c r="F1810">
        <v>1.2</v>
      </c>
      <c r="G1810">
        <v>109.63</v>
      </c>
      <c r="I1810" t="str" cm="1">
        <f t="array" ref="I1810:J1810">_xlfn.TEXTSPLIT(A1810," ")</f>
        <v>28.10.2023</v>
      </c>
      <c r="J1810" t="str">
        <v>06:11:05</v>
      </c>
      <c r="K1810">
        <f t="shared" si="410"/>
        <v>30.116666666666237</v>
      </c>
      <c r="L1810">
        <f t="shared" si="407"/>
        <v>18.079999999999998</v>
      </c>
      <c r="M1810">
        <f t="shared" si="408"/>
        <v>0.6</v>
      </c>
      <c r="N1810">
        <f t="shared" si="404"/>
        <v>0.49</v>
      </c>
      <c r="Q1810" t="str" cm="1">
        <f t="array" ref="Q1810:R1810">_xlfn.TEXTSPLIT(E1810," ")</f>
        <v>28.10.2023</v>
      </c>
      <c r="R1810" t="str">
        <v>06:11:05</v>
      </c>
      <c r="S1810">
        <f t="shared" si="411"/>
        <v>30.116666666666237</v>
      </c>
      <c r="T1810">
        <f t="shared" si="406"/>
        <v>31.03</v>
      </c>
      <c r="U1810">
        <f t="shared" si="409"/>
        <v>1.2</v>
      </c>
      <c r="V1810">
        <f t="shared" si="405"/>
        <v>0.86749999999999994</v>
      </c>
    </row>
    <row r="1811" spans="1:22" x14ac:dyDescent="0.25">
      <c r="A1811" t="s">
        <v>3767</v>
      </c>
      <c r="B1811">
        <v>0.75</v>
      </c>
      <c r="C1811">
        <v>32.409999999999997</v>
      </c>
      <c r="E1811" t="s">
        <v>3767</v>
      </c>
      <c r="F1811">
        <v>1.05</v>
      </c>
      <c r="G1811">
        <v>109.65</v>
      </c>
      <c r="I1811" t="str" cm="1">
        <f t="array" ref="I1811:J1811">_xlfn.TEXTSPLIT(A1811," ")</f>
        <v>28.10.2023</v>
      </c>
      <c r="J1811" t="str">
        <v>06:12:06</v>
      </c>
      <c r="K1811">
        <f t="shared" si="410"/>
        <v>30.133333333332903</v>
      </c>
      <c r="L1811">
        <f t="shared" si="407"/>
        <v>18.089999999999996</v>
      </c>
      <c r="M1811">
        <f t="shared" si="408"/>
        <v>0.75</v>
      </c>
      <c r="N1811">
        <f t="shared" si="404"/>
        <v>0.49249999999999999</v>
      </c>
      <c r="Q1811" t="str" cm="1">
        <f t="array" ref="Q1811:R1811">_xlfn.TEXTSPLIT(E1811," ")</f>
        <v>28.10.2023</v>
      </c>
      <c r="R1811" t="str">
        <v>06:12:06</v>
      </c>
      <c r="S1811">
        <f t="shared" si="411"/>
        <v>30.133333333332903</v>
      </c>
      <c r="T1811">
        <f t="shared" si="406"/>
        <v>31.050000000000011</v>
      </c>
      <c r="U1811">
        <f t="shared" si="409"/>
        <v>1.05</v>
      </c>
      <c r="V1811">
        <f t="shared" si="405"/>
        <v>0.86499999999999999</v>
      </c>
    </row>
    <row r="1812" spans="1:22" x14ac:dyDescent="0.25">
      <c r="A1812" t="s">
        <v>3768</v>
      </c>
      <c r="B1812">
        <v>0.45</v>
      </c>
      <c r="C1812">
        <v>32.42</v>
      </c>
      <c r="E1812" t="s">
        <v>3768</v>
      </c>
      <c r="F1812">
        <v>1.5</v>
      </c>
      <c r="G1812">
        <v>109.67</v>
      </c>
      <c r="I1812" t="str" cm="1">
        <f t="array" ref="I1812:J1812">_xlfn.TEXTSPLIT(A1812," ")</f>
        <v>28.10.2023</v>
      </c>
      <c r="J1812" t="str">
        <v>06:13:06</v>
      </c>
      <c r="K1812">
        <f t="shared" si="410"/>
        <v>30.149999999999569</v>
      </c>
      <c r="L1812">
        <f t="shared" si="407"/>
        <v>18.100000000000001</v>
      </c>
      <c r="M1812">
        <f t="shared" si="408"/>
        <v>0.45</v>
      </c>
      <c r="N1812">
        <f t="shared" si="404"/>
        <v>0.48249999999999998</v>
      </c>
      <c r="Q1812" t="str" cm="1">
        <f t="array" ref="Q1812:R1812">_xlfn.TEXTSPLIT(E1812," ")</f>
        <v>28.10.2023</v>
      </c>
      <c r="R1812" t="str">
        <v>06:13:06</v>
      </c>
      <c r="S1812">
        <f t="shared" si="411"/>
        <v>30.149999999999569</v>
      </c>
      <c r="T1812">
        <f t="shared" si="406"/>
        <v>31.070000000000007</v>
      </c>
      <c r="U1812">
        <f t="shared" si="409"/>
        <v>1.5</v>
      </c>
      <c r="V1812">
        <f t="shared" si="405"/>
        <v>0.87</v>
      </c>
    </row>
    <row r="1813" spans="1:22" x14ac:dyDescent="0.25">
      <c r="A1813" t="s">
        <v>3769</v>
      </c>
      <c r="B1813">
        <v>0.45</v>
      </c>
      <c r="C1813">
        <v>32.43</v>
      </c>
      <c r="E1813" t="s">
        <v>3769</v>
      </c>
      <c r="F1813">
        <v>0.9</v>
      </c>
      <c r="G1813">
        <v>109.69</v>
      </c>
      <c r="I1813" t="str" cm="1">
        <f t="array" ref="I1813:J1813">_xlfn.TEXTSPLIT(A1813," ")</f>
        <v>28.10.2023</v>
      </c>
      <c r="J1813" t="str">
        <v>06:14:06</v>
      </c>
      <c r="K1813">
        <f t="shared" si="410"/>
        <v>30.166666666666234</v>
      </c>
      <c r="L1813">
        <f t="shared" si="407"/>
        <v>18.11</v>
      </c>
      <c r="M1813">
        <f t="shared" si="408"/>
        <v>0.45</v>
      </c>
      <c r="N1813">
        <f t="shared" si="404"/>
        <v>0.47999999999999993</v>
      </c>
      <c r="Q1813" t="str" cm="1">
        <f t="array" ref="Q1813:R1813">_xlfn.TEXTSPLIT(E1813," ")</f>
        <v>28.10.2023</v>
      </c>
      <c r="R1813" t="str">
        <v>06:14:06</v>
      </c>
      <c r="S1813">
        <f t="shared" si="411"/>
        <v>30.166666666666234</v>
      </c>
      <c r="T1813">
        <f t="shared" si="406"/>
        <v>31.090000000000003</v>
      </c>
      <c r="U1813">
        <f t="shared" si="409"/>
        <v>0.9</v>
      </c>
      <c r="V1813">
        <f t="shared" si="405"/>
        <v>0.8650000000000001</v>
      </c>
    </row>
    <row r="1814" spans="1:22" x14ac:dyDescent="0.25">
      <c r="A1814" t="s">
        <v>3770</v>
      </c>
      <c r="B1814">
        <v>0.75</v>
      </c>
      <c r="C1814">
        <v>32.44</v>
      </c>
      <c r="E1814" t="s">
        <v>3770</v>
      </c>
      <c r="F1814">
        <v>0.6</v>
      </c>
      <c r="G1814">
        <v>109.7</v>
      </c>
      <c r="I1814" t="str" cm="1">
        <f t="array" ref="I1814:J1814">_xlfn.TEXTSPLIT(A1814," ")</f>
        <v>28.10.2023</v>
      </c>
      <c r="J1814" t="str">
        <v>06:15:06</v>
      </c>
      <c r="K1814">
        <f t="shared" si="410"/>
        <v>30.1833333333329</v>
      </c>
      <c r="L1814">
        <f t="shared" si="407"/>
        <v>18.119999999999997</v>
      </c>
      <c r="M1814">
        <f t="shared" si="408"/>
        <v>0.75</v>
      </c>
      <c r="N1814">
        <f t="shared" si="404"/>
        <v>0.48999999999999994</v>
      </c>
      <c r="Q1814" t="str" cm="1">
        <f t="array" ref="Q1814:R1814">_xlfn.TEXTSPLIT(E1814," ")</f>
        <v>28.10.2023</v>
      </c>
      <c r="R1814" t="str">
        <v>06:15:06</v>
      </c>
      <c r="S1814">
        <f t="shared" si="411"/>
        <v>30.1833333333329</v>
      </c>
      <c r="T1814">
        <f t="shared" si="406"/>
        <v>31.100000000000009</v>
      </c>
      <c r="U1814">
        <f t="shared" si="409"/>
        <v>0.6</v>
      </c>
      <c r="V1814">
        <f t="shared" si="405"/>
        <v>0.86</v>
      </c>
    </row>
    <row r="1815" spans="1:22" x14ac:dyDescent="0.25">
      <c r="A1815" t="s">
        <v>3771</v>
      </c>
      <c r="B1815">
        <v>0</v>
      </c>
      <c r="C1815">
        <v>32.44</v>
      </c>
      <c r="E1815" t="s">
        <v>3771</v>
      </c>
      <c r="F1815">
        <v>0.75</v>
      </c>
      <c r="G1815">
        <v>109.71</v>
      </c>
      <c r="I1815" t="str" cm="1">
        <f t="array" ref="I1815:J1815">_xlfn.TEXTSPLIT(A1815," ")</f>
        <v>28.10.2023</v>
      </c>
      <c r="J1815" t="str">
        <v>06:16:06</v>
      </c>
      <c r="K1815">
        <f t="shared" si="410"/>
        <v>30.199999999999566</v>
      </c>
      <c r="L1815">
        <f t="shared" si="407"/>
        <v>18.119999999999997</v>
      </c>
      <c r="M1815">
        <f t="shared" si="408"/>
        <v>0</v>
      </c>
      <c r="N1815">
        <f t="shared" si="404"/>
        <v>0.48249999999999993</v>
      </c>
      <c r="Q1815" t="str" cm="1">
        <f t="array" ref="Q1815:R1815">_xlfn.TEXTSPLIT(E1815," ")</f>
        <v>28.10.2023</v>
      </c>
      <c r="R1815" t="str">
        <v>06:16:06</v>
      </c>
      <c r="S1815">
        <f t="shared" si="411"/>
        <v>30.199999999999566</v>
      </c>
      <c r="T1815">
        <f t="shared" si="406"/>
        <v>31.11</v>
      </c>
      <c r="U1815">
        <f t="shared" si="409"/>
        <v>0.75</v>
      </c>
      <c r="V1815">
        <f t="shared" si="405"/>
        <v>0.86</v>
      </c>
    </row>
    <row r="1816" spans="1:22" x14ac:dyDescent="0.25">
      <c r="A1816" t="s">
        <v>3772</v>
      </c>
      <c r="B1816">
        <v>0.15</v>
      </c>
      <c r="C1816">
        <v>32.44</v>
      </c>
      <c r="E1816" t="s">
        <v>3772</v>
      </c>
      <c r="F1816">
        <v>0.6</v>
      </c>
      <c r="G1816">
        <v>109.72</v>
      </c>
      <c r="I1816" t="str" cm="1">
        <f t="array" ref="I1816:J1816">_xlfn.TEXTSPLIT(A1816," ")</f>
        <v>28.10.2023</v>
      </c>
      <c r="J1816" t="str">
        <v>06:17:06</v>
      </c>
      <c r="K1816">
        <f t="shared" si="410"/>
        <v>30.216666666666232</v>
      </c>
      <c r="L1816">
        <f t="shared" si="407"/>
        <v>18.119999999999997</v>
      </c>
      <c r="M1816">
        <f t="shared" si="408"/>
        <v>0.15</v>
      </c>
      <c r="N1816">
        <f t="shared" si="404"/>
        <v>0.47249999999999986</v>
      </c>
      <c r="Q1816" t="str" cm="1">
        <f t="array" ref="Q1816:R1816">_xlfn.TEXTSPLIT(E1816," ")</f>
        <v>28.10.2023</v>
      </c>
      <c r="R1816" t="str">
        <v>06:17:06</v>
      </c>
      <c r="S1816">
        <f t="shared" si="411"/>
        <v>30.216666666666232</v>
      </c>
      <c r="T1816">
        <f t="shared" si="406"/>
        <v>31.120000000000005</v>
      </c>
      <c r="U1816">
        <f t="shared" si="409"/>
        <v>0.6</v>
      </c>
      <c r="V1816">
        <f t="shared" si="405"/>
        <v>0.86</v>
      </c>
    </row>
    <row r="1817" spans="1:22" x14ac:dyDescent="0.25">
      <c r="A1817" t="s">
        <v>3773</v>
      </c>
      <c r="B1817">
        <v>0.75</v>
      </c>
      <c r="C1817">
        <v>32.46</v>
      </c>
      <c r="E1817" t="s">
        <v>3773</v>
      </c>
      <c r="F1817">
        <v>0.75</v>
      </c>
      <c r="G1817">
        <v>109.73</v>
      </c>
      <c r="I1817" t="str" cm="1">
        <f t="array" ref="I1817:J1817">_xlfn.TEXTSPLIT(A1817," ")</f>
        <v>28.10.2023</v>
      </c>
      <c r="J1817" t="str">
        <v>06:18:06</v>
      </c>
      <c r="K1817">
        <f t="shared" si="410"/>
        <v>30.233333333332897</v>
      </c>
      <c r="L1817">
        <f t="shared" si="407"/>
        <v>18.14</v>
      </c>
      <c r="M1817">
        <f t="shared" si="408"/>
        <v>0.75</v>
      </c>
      <c r="N1817">
        <f t="shared" si="404"/>
        <v>0.47749999999999987</v>
      </c>
      <c r="Q1817" t="str" cm="1">
        <f t="array" ref="Q1817:R1817">_xlfn.TEXTSPLIT(E1817," ")</f>
        <v>28.10.2023</v>
      </c>
      <c r="R1817" t="str">
        <v>06:18:06</v>
      </c>
      <c r="S1817">
        <f t="shared" si="411"/>
        <v>30.233333333332897</v>
      </c>
      <c r="T1817">
        <f t="shared" si="406"/>
        <v>31.13000000000001</v>
      </c>
      <c r="U1817">
        <f t="shared" si="409"/>
        <v>0.75</v>
      </c>
      <c r="V1817">
        <f t="shared" si="405"/>
        <v>0.86</v>
      </c>
    </row>
    <row r="1818" spans="1:22" x14ac:dyDescent="0.25">
      <c r="A1818" t="s">
        <v>3774</v>
      </c>
      <c r="B1818">
        <v>0.6</v>
      </c>
      <c r="C1818">
        <v>32.47</v>
      </c>
      <c r="E1818" t="s">
        <v>3774</v>
      </c>
      <c r="F1818">
        <v>0.9</v>
      </c>
      <c r="G1818">
        <v>109.75</v>
      </c>
      <c r="I1818" t="str" cm="1">
        <f t="array" ref="I1818:J1818">_xlfn.TEXTSPLIT(A1818," ")</f>
        <v>28.10.2023</v>
      </c>
      <c r="J1818" t="str">
        <v>06:19:06</v>
      </c>
      <c r="K1818">
        <f t="shared" si="410"/>
        <v>30.249999999999563</v>
      </c>
      <c r="L1818">
        <f t="shared" si="407"/>
        <v>18.149999999999999</v>
      </c>
      <c r="M1818">
        <f t="shared" si="408"/>
        <v>0.6</v>
      </c>
      <c r="N1818">
        <f t="shared" si="404"/>
        <v>0.47749999999999987</v>
      </c>
      <c r="Q1818" t="str" cm="1">
        <f t="array" ref="Q1818:R1818">_xlfn.TEXTSPLIT(E1818," ")</f>
        <v>28.10.2023</v>
      </c>
      <c r="R1818" t="str">
        <v>06:19:06</v>
      </c>
      <c r="S1818">
        <f t="shared" si="411"/>
        <v>30.249999999999563</v>
      </c>
      <c r="T1818">
        <f t="shared" si="406"/>
        <v>31.150000000000006</v>
      </c>
      <c r="U1818">
        <f t="shared" si="409"/>
        <v>0.9</v>
      </c>
      <c r="V1818">
        <f t="shared" si="405"/>
        <v>0.86749999999999994</v>
      </c>
    </row>
    <row r="1819" spans="1:22" x14ac:dyDescent="0.25">
      <c r="A1819" t="s">
        <v>3775</v>
      </c>
      <c r="B1819">
        <v>0.45</v>
      </c>
      <c r="C1819">
        <v>32.47</v>
      </c>
      <c r="E1819" t="s">
        <v>3775</v>
      </c>
      <c r="F1819">
        <v>0.9</v>
      </c>
      <c r="G1819">
        <v>109.76</v>
      </c>
      <c r="I1819" t="str" cm="1">
        <f t="array" ref="I1819:J1819">_xlfn.TEXTSPLIT(A1819," ")</f>
        <v>28.10.2023</v>
      </c>
      <c r="J1819" t="str">
        <v>06:20:07</v>
      </c>
      <c r="K1819">
        <f t="shared" si="410"/>
        <v>30.266666666666229</v>
      </c>
      <c r="L1819">
        <f t="shared" si="407"/>
        <v>18.149999999999999</v>
      </c>
      <c r="M1819">
        <f t="shared" si="408"/>
        <v>0.45</v>
      </c>
      <c r="N1819">
        <f t="shared" si="404"/>
        <v>0.47749999999999987</v>
      </c>
      <c r="Q1819" t="str" cm="1">
        <f t="array" ref="Q1819:R1819">_xlfn.TEXTSPLIT(E1819," ")</f>
        <v>28.10.2023</v>
      </c>
      <c r="R1819" t="str">
        <v>06:20:07</v>
      </c>
      <c r="S1819">
        <f t="shared" si="411"/>
        <v>30.266666666666229</v>
      </c>
      <c r="T1819">
        <f t="shared" si="406"/>
        <v>31.160000000000011</v>
      </c>
      <c r="U1819">
        <f t="shared" si="409"/>
        <v>0.9</v>
      </c>
      <c r="V1819">
        <f t="shared" si="405"/>
        <v>0.87249999999999994</v>
      </c>
    </row>
    <row r="1820" spans="1:22" x14ac:dyDescent="0.25">
      <c r="A1820" t="s">
        <v>3776</v>
      </c>
      <c r="B1820">
        <v>0.45</v>
      </c>
      <c r="C1820">
        <v>32.479999999999997</v>
      </c>
      <c r="E1820" t="s">
        <v>3776</v>
      </c>
      <c r="F1820">
        <v>0</v>
      </c>
      <c r="G1820">
        <v>109.76</v>
      </c>
      <c r="I1820" t="str" cm="1">
        <f t="array" ref="I1820:J1820">_xlfn.TEXTSPLIT(A1820," ")</f>
        <v>28.10.2023</v>
      </c>
      <c r="J1820" t="str">
        <v>06:21:07</v>
      </c>
      <c r="K1820">
        <f t="shared" si="410"/>
        <v>30.283333333332894</v>
      </c>
      <c r="L1820">
        <f t="shared" si="407"/>
        <v>18.159999999999997</v>
      </c>
      <c r="M1820">
        <f t="shared" si="408"/>
        <v>0.45</v>
      </c>
      <c r="N1820">
        <f t="shared" si="404"/>
        <v>0.47999999999999987</v>
      </c>
      <c r="Q1820" t="str" cm="1">
        <f t="array" ref="Q1820:R1820">_xlfn.TEXTSPLIT(E1820," ")</f>
        <v>28.10.2023</v>
      </c>
      <c r="R1820" t="str">
        <v>06:21:07</v>
      </c>
      <c r="S1820">
        <f t="shared" si="411"/>
        <v>30.283333333332894</v>
      </c>
      <c r="T1820">
        <f t="shared" si="406"/>
        <v>31.160000000000011</v>
      </c>
      <c r="U1820">
        <f t="shared" si="409"/>
        <v>0</v>
      </c>
      <c r="V1820">
        <f t="shared" si="405"/>
        <v>0.85749999999999993</v>
      </c>
    </row>
    <row r="1821" spans="1:22" x14ac:dyDescent="0.25">
      <c r="A1821" t="s">
        <v>3777</v>
      </c>
      <c r="B1821">
        <v>0</v>
      </c>
      <c r="C1821">
        <v>32.479999999999997</v>
      </c>
      <c r="E1821" t="s">
        <v>3777</v>
      </c>
      <c r="F1821">
        <v>0</v>
      </c>
      <c r="G1821">
        <v>109.76</v>
      </c>
      <c r="I1821" t="str" cm="1">
        <f t="array" ref="I1821:J1821">_xlfn.TEXTSPLIT(A1821," ")</f>
        <v>28.10.2023</v>
      </c>
      <c r="J1821" t="str">
        <v>06:22:07</v>
      </c>
      <c r="K1821">
        <f t="shared" si="410"/>
        <v>30.29999999999956</v>
      </c>
      <c r="L1821">
        <f t="shared" si="407"/>
        <v>18.159999999999997</v>
      </c>
      <c r="M1821">
        <f t="shared" si="408"/>
        <v>0</v>
      </c>
      <c r="N1821">
        <f t="shared" si="404"/>
        <v>0.47499999999999987</v>
      </c>
      <c r="Q1821" t="str" cm="1">
        <f t="array" ref="Q1821:R1821">_xlfn.TEXTSPLIT(E1821," ")</f>
        <v>28.10.2023</v>
      </c>
      <c r="R1821" t="str">
        <v>06:22:07</v>
      </c>
      <c r="S1821">
        <f t="shared" si="411"/>
        <v>30.29999999999956</v>
      </c>
      <c r="T1821">
        <f t="shared" si="406"/>
        <v>31.160000000000011</v>
      </c>
      <c r="U1821">
        <f t="shared" si="409"/>
        <v>0</v>
      </c>
      <c r="V1821">
        <f t="shared" si="405"/>
        <v>0.85749999999999993</v>
      </c>
    </row>
    <row r="1822" spans="1:22" x14ac:dyDescent="0.25">
      <c r="A1822" t="s">
        <v>3778</v>
      </c>
      <c r="B1822">
        <v>0</v>
      </c>
      <c r="C1822">
        <v>32.479999999999997</v>
      </c>
      <c r="E1822" t="s">
        <v>3778</v>
      </c>
      <c r="F1822">
        <v>0.3</v>
      </c>
      <c r="G1822">
        <v>109.77</v>
      </c>
      <c r="I1822" t="str" cm="1">
        <f t="array" ref="I1822:J1822">_xlfn.TEXTSPLIT(A1822," ")</f>
        <v>28.10.2023</v>
      </c>
      <c r="J1822" t="str">
        <v>06:23:07</v>
      </c>
      <c r="K1822">
        <f t="shared" si="410"/>
        <v>30.316666666666226</v>
      </c>
      <c r="L1822">
        <f t="shared" si="407"/>
        <v>18.159999999999997</v>
      </c>
      <c r="M1822">
        <f t="shared" si="408"/>
        <v>0</v>
      </c>
      <c r="N1822">
        <f t="shared" si="404"/>
        <v>0.47249999999999992</v>
      </c>
      <c r="Q1822" t="str" cm="1">
        <f t="array" ref="Q1822:R1822">_xlfn.TEXTSPLIT(E1822," ")</f>
        <v>28.10.2023</v>
      </c>
      <c r="R1822" t="str">
        <v>06:23:07</v>
      </c>
      <c r="S1822">
        <f t="shared" si="411"/>
        <v>30.316666666666226</v>
      </c>
      <c r="T1822">
        <f t="shared" si="406"/>
        <v>31.17</v>
      </c>
      <c r="U1822">
        <f t="shared" si="409"/>
        <v>0.3</v>
      </c>
      <c r="V1822">
        <f t="shared" si="405"/>
        <v>0.86249999999999993</v>
      </c>
    </row>
    <row r="1823" spans="1:22" x14ac:dyDescent="0.25">
      <c r="A1823" t="s">
        <v>3779</v>
      </c>
      <c r="B1823">
        <v>0</v>
      </c>
      <c r="C1823">
        <v>32.479999999999997</v>
      </c>
      <c r="E1823" t="s">
        <v>3779</v>
      </c>
      <c r="F1823">
        <v>0.45</v>
      </c>
      <c r="G1823">
        <v>109.78</v>
      </c>
      <c r="I1823" t="str" cm="1">
        <f t="array" ref="I1823:J1823">_xlfn.TEXTSPLIT(A1823," ")</f>
        <v>28.10.2023</v>
      </c>
      <c r="J1823" t="str">
        <v>06:24:07</v>
      </c>
      <c r="K1823">
        <f t="shared" si="410"/>
        <v>30.333333333332892</v>
      </c>
      <c r="L1823">
        <f t="shared" si="407"/>
        <v>18.159999999999997</v>
      </c>
      <c r="M1823">
        <f t="shared" si="408"/>
        <v>0</v>
      </c>
      <c r="N1823">
        <f t="shared" si="404"/>
        <v>0.47249999999999992</v>
      </c>
      <c r="Q1823" t="str" cm="1">
        <f t="array" ref="Q1823:R1823">_xlfn.TEXTSPLIT(E1823," ")</f>
        <v>28.10.2023</v>
      </c>
      <c r="R1823" t="str">
        <v>06:24:07</v>
      </c>
      <c r="S1823">
        <f t="shared" si="411"/>
        <v>30.333333333332892</v>
      </c>
      <c r="T1823">
        <f t="shared" si="406"/>
        <v>31.180000000000007</v>
      </c>
      <c r="U1823">
        <f t="shared" si="409"/>
        <v>0.45</v>
      </c>
      <c r="V1823">
        <f t="shared" si="405"/>
        <v>0.86499999999999988</v>
      </c>
    </row>
    <row r="1824" spans="1:22" x14ac:dyDescent="0.25">
      <c r="A1824" t="s">
        <v>3780</v>
      </c>
      <c r="B1824">
        <v>0</v>
      </c>
      <c r="C1824">
        <v>32.479999999999997</v>
      </c>
      <c r="E1824" t="s">
        <v>3780</v>
      </c>
      <c r="F1824">
        <v>0.3</v>
      </c>
      <c r="G1824">
        <v>109.78</v>
      </c>
      <c r="I1824" t="str" cm="1">
        <f t="array" ref="I1824:J1824">_xlfn.TEXTSPLIT(A1824," ")</f>
        <v>28.10.2023</v>
      </c>
      <c r="J1824" t="str">
        <v>06:25:07</v>
      </c>
      <c r="K1824">
        <f t="shared" si="410"/>
        <v>30.349999999999557</v>
      </c>
      <c r="L1824">
        <f t="shared" si="407"/>
        <v>18.159999999999997</v>
      </c>
      <c r="M1824">
        <f t="shared" si="408"/>
        <v>0</v>
      </c>
      <c r="N1824">
        <f t="shared" si="404"/>
        <v>0.47249999999999992</v>
      </c>
      <c r="Q1824" t="str" cm="1">
        <f t="array" ref="Q1824:R1824">_xlfn.TEXTSPLIT(E1824," ")</f>
        <v>28.10.2023</v>
      </c>
      <c r="R1824" t="str">
        <v>06:25:07</v>
      </c>
      <c r="S1824">
        <f t="shared" si="411"/>
        <v>30.349999999999557</v>
      </c>
      <c r="T1824">
        <f t="shared" si="406"/>
        <v>31.180000000000007</v>
      </c>
      <c r="U1824">
        <f t="shared" si="409"/>
        <v>0.3</v>
      </c>
      <c r="V1824">
        <f t="shared" si="405"/>
        <v>0.85999999999999976</v>
      </c>
    </row>
    <row r="1825" spans="1:22" x14ac:dyDescent="0.25">
      <c r="A1825" t="s">
        <v>3781</v>
      </c>
      <c r="B1825">
        <v>0</v>
      </c>
      <c r="C1825">
        <v>32.479999999999997</v>
      </c>
      <c r="E1825" t="s">
        <v>3781</v>
      </c>
      <c r="F1825">
        <v>0.75</v>
      </c>
      <c r="G1825">
        <v>109.79</v>
      </c>
      <c r="I1825" t="str" cm="1">
        <f t="array" ref="I1825:J1825">_xlfn.TEXTSPLIT(A1825," ")</f>
        <v>28.10.2023</v>
      </c>
      <c r="J1825" t="str">
        <v>06:26:07</v>
      </c>
      <c r="K1825">
        <f t="shared" si="410"/>
        <v>30.366666666666223</v>
      </c>
      <c r="L1825">
        <f t="shared" si="407"/>
        <v>18.159999999999997</v>
      </c>
      <c r="M1825">
        <f t="shared" si="408"/>
        <v>0</v>
      </c>
      <c r="N1825">
        <f t="shared" si="404"/>
        <v>0.47249999999999992</v>
      </c>
      <c r="Q1825" t="str" cm="1">
        <f t="array" ref="Q1825:R1825">_xlfn.TEXTSPLIT(E1825," ")</f>
        <v>28.10.2023</v>
      </c>
      <c r="R1825" t="str">
        <v>06:26:07</v>
      </c>
      <c r="S1825">
        <f t="shared" si="411"/>
        <v>30.366666666666223</v>
      </c>
      <c r="T1825">
        <f t="shared" si="406"/>
        <v>31.190000000000012</v>
      </c>
      <c r="U1825">
        <f t="shared" si="409"/>
        <v>0.75</v>
      </c>
      <c r="V1825">
        <f t="shared" si="405"/>
        <v>0.86249999999999993</v>
      </c>
    </row>
    <row r="1826" spans="1:22" x14ac:dyDescent="0.25">
      <c r="A1826" t="s">
        <v>3782</v>
      </c>
      <c r="B1826">
        <v>0</v>
      </c>
      <c r="C1826">
        <v>32.479999999999997</v>
      </c>
      <c r="E1826" t="s">
        <v>3782</v>
      </c>
      <c r="F1826">
        <v>0.45</v>
      </c>
      <c r="G1826">
        <v>109.8</v>
      </c>
      <c r="I1826" t="str" cm="1">
        <f t="array" ref="I1826:J1826">_xlfn.TEXTSPLIT(A1826," ")</f>
        <v>28.10.2023</v>
      </c>
      <c r="J1826" t="str">
        <v>06:27:07</v>
      </c>
      <c r="K1826">
        <f t="shared" si="410"/>
        <v>30.383333333332889</v>
      </c>
      <c r="L1826">
        <f t="shared" si="407"/>
        <v>18.159999999999997</v>
      </c>
      <c r="M1826">
        <f t="shared" si="408"/>
        <v>0</v>
      </c>
      <c r="N1826">
        <f t="shared" si="404"/>
        <v>0.47249999999999992</v>
      </c>
      <c r="Q1826" t="str" cm="1">
        <f t="array" ref="Q1826:R1826">_xlfn.TEXTSPLIT(E1826," ")</f>
        <v>28.10.2023</v>
      </c>
      <c r="R1826" t="str">
        <v>06:27:07</v>
      </c>
      <c r="S1826">
        <f t="shared" si="411"/>
        <v>30.383333333332889</v>
      </c>
      <c r="T1826">
        <f t="shared" si="406"/>
        <v>31.200000000000003</v>
      </c>
      <c r="U1826">
        <f t="shared" si="409"/>
        <v>0.45</v>
      </c>
      <c r="V1826">
        <f t="shared" si="405"/>
        <v>0.85999999999999988</v>
      </c>
    </row>
    <row r="1827" spans="1:22" x14ac:dyDescent="0.25">
      <c r="A1827" t="s">
        <v>3783</v>
      </c>
      <c r="B1827">
        <v>0</v>
      </c>
      <c r="C1827">
        <v>32.479999999999997</v>
      </c>
      <c r="E1827" t="s">
        <v>3783</v>
      </c>
      <c r="F1827">
        <v>0.45</v>
      </c>
      <c r="G1827">
        <v>109.81</v>
      </c>
      <c r="I1827" t="str" cm="1">
        <f t="array" ref="I1827:J1827">_xlfn.TEXTSPLIT(A1827," ")</f>
        <v>28.10.2023</v>
      </c>
      <c r="J1827" t="str">
        <v>06:28:08</v>
      </c>
      <c r="K1827">
        <f t="shared" si="410"/>
        <v>30.399999999999554</v>
      </c>
      <c r="L1827">
        <f t="shared" si="407"/>
        <v>18.159999999999997</v>
      </c>
      <c r="M1827">
        <f t="shared" si="408"/>
        <v>0</v>
      </c>
      <c r="N1827">
        <f t="shared" si="404"/>
        <v>0.47249999999999992</v>
      </c>
      <c r="Q1827" t="str" cm="1">
        <f t="array" ref="Q1827:R1827">_xlfn.TEXTSPLIT(E1827," ")</f>
        <v>28.10.2023</v>
      </c>
      <c r="R1827" t="str">
        <v>06:28:08</v>
      </c>
      <c r="S1827">
        <f t="shared" si="411"/>
        <v>30.399999999999554</v>
      </c>
      <c r="T1827">
        <f t="shared" si="406"/>
        <v>31.210000000000008</v>
      </c>
      <c r="U1827">
        <f t="shared" si="409"/>
        <v>0.45</v>
      </c>
      <c r="V1827">
        <f t="shared" si="405"/>
        <v>0.85499999999999998</v>
      </c>
    </row>
    <row r="1828" spans="1:22" x14ac:dyDescent="0.25">
      <c r="A1828" t="s">
        <v>3784</v>
      </c>
      <c r="B1828">
        <v>0</v>
      </c>
      <c r="C1828">
        <v>32.479999999999997</v>
      </c>
      <c r="E1828" t="s">
        <v>3784</v>
      </c>
      <c r="F1828">
        <v>0.6</v>
      </c>
      <c r="G1828">
        <v>109.82</v>
      </c>
      <c r="I1828" t="str" cm="1">
        <f t="array" ref="I1828:J1828">_xlfn.TEXTSPLIT(A1828," ")</f>
        <v>28.10.2023</v>
      </c>
      <c r="J1828" t="str">
        <v>06:29:08</v>
      </c>
      <c r="K1828">
        <f t="shared" si="410"/>
        <v>30.41666666666622</v>
      </c>
      <c r="L1828">
        <f t="shared" si="407"/>
        <v>18.159999999999997</v>
      </c>
      <c r="M1828">
        <f t="shared" si="408"/>
        <v>0</v>
      </c>
      <c r="N1828">
        <f t="shared" si="404"/>
        <v>0.47249999999999992</v>
      </c>
      <c r="Q1828" t="str" cm="1">
        <f t="array" ref="Q1828:R1828">_xlfn.TEXTSPLIT(E1828," ")</f>
        <v>28.10.2023</v>
      </c>
      <c r="R1828" t="str">
        <v>06:29:08</v>
      </c>
      <c r="S1828">
        <f t="shared" si="411"/>
        <v>30.41666666666622</v>
      </c>
      <c r="T1828">
        <f t="shared" si="406"/>
        <v>31.22</v>
      </c>
      <c r="U1828">
        <f t="shared" si="409"/>
        <v>0.6</v>
      </c>
      <c r="V1828">
        <f t="shared" si="405"/>
        <v>0.85750000000000004</v>
      </c>
    </row>
    <row r="1829" spans="1:22" x14ac:dyDescent="0.25">
      <c r="A1829" t="s">
        <v>3785</v>
      </c>
      <c r="B1829">
        <v>0.15</v>
      </c>
      <c r="C1829">
        <v>32.49</v>
      </c>
      <c r="E1829" t="s">
        <v>3785</v>
      </c>
      <c r="F1829">
        <v>0.45</v>
      </c>
      <c r="G1829">
        <v>109.83</v>
      </c>
      <c r="I1829" t="str" cm="1">
        <f t="array" ref="I1829:J1829">_xlfn.TEXTSPLIT(A1829," ")</f>
        <v>28.10.2023</v>
      </c>
      <c r="J1829" t="str">
        <v>06:30:08</v>
      </c>
      <c r="K1829">
        <f t="shared" si="410"/>
        <v>30.433333333332886</v>
      </c>
      <c r="L1829">
        <f t="shared" si="407"/>
        <v>18.170000000000002</v>
      </c>
      <c r="M1829">
        <f t="shared" si="408"/>
        <v>0.15</v>
      </c>
      <c r="N1829">
        <f t="shared" si="404"/>
        <v>0.47499999999999987</v>
      </c>
      <c r="Q1829" t="str" cm="1">
        <f t="array" ref="Q1829:R1829">_xlfn.TEXTSPLIT(E1829," ")</f>
        <v>28.10.2023</v>
      </c>
      <c r="R1829" t="str">
        <v>06:30:08</v>
      </c>
      <c r="S1829">
        <f t="shared" si="411"/>
        <v>30.433333333332886</v>
      </c>
      <c r="T1829">
        <f t="shared" si="406"/>
        <v>31.230000000000004</v>
      </c>
      <c r="U1829">
        <f t="shared" si="409"/>
        <v>0.45</v>
      </c>
      <c r="V1829">
        <f t="shared" si="405"/>
        <v>0.85500000000000009</v>
      </c>
    </row>
    <row r="1830" spans="1:22" x14ac:dyDescent="0.25">
      <c r="A1830" t="s">
        <v>3786</v>
      </c>
      <c r="B1830">
        <v>0.15</v>
      </c>
      <c r="C1830">
        <v>32.49</v>
      </c>
      <c r="E1830" t="s">
        <v>3786</v>
      </c>
      <c r="F1830">
        <v>0.6</v>
      </c>
      <c r="G1830">
        <v>109.83</v>
      </c>
      <c r="I1830" t="str" cm="1">
        <f t="array" ref="I1830:J1830">_xlfn.TEXTSPLIT(A1830," ")</f>
        <v>28.10.2023</v>
      </c>
      <c r="J1830" t="str">
        <v>06:31:08</v>
      </c>
      <c r="K1830">
        <f t="shared" si="410"/>
        <v>30.449999999999552</v>
      </c>
      <c r="L1830">
        <f t="shared" si="407"/>
        <v>18.170000000000002</v>
      </c>
      <c r="M1830">
        <f t="shared" si="408"/>
        <v>0.15</v>
      </c>
      <c r="N1830">
        <f t="shared" si="404"/>
        <v>0.47499999999999981</v>
      </c>
      <c r="Q1830" t="str" cm="1">
        <f t="array" ref="Q1830:R1830">_xlfn.TEXTSPLIT(E1830," ")</f>
        <v>28.10.2023</v>
      </c>
      <c r="R1830" t="str">
        <v>06:31:08</v>
      </c>
      <c r="S1830">
        <f t="shared" si="411"/>
        <v>30.449999999999552</v>
      </c>
      <c r="T1830">
        <f t="shared" si="406"/>
        <v>31.230000000000004</v>
      </c>
      <c r="U1830">
        <f t="shared" si="409"/>
        <v>0.6</v>
      </c>
      <c r="V1830">
        <f t="shared" si="405"/>
        <v>0.85500000000000009</v>
      </c>
    </row>
    <row r="1831" spans="1:22" x14ac:dyDescent="0.25">
      <c r="A1831" t="s">
        <v>3787</v>
      </c>
      <c r="B1831">
        <v>0.3</v>
      </c>
      <c r="C1831">
        <v>32.49</v>
      </c>
      <c r="E1831" t="s">
        <v>3787</v>
      </c>
      <c r="F1831">
        <v>0.6</v>
      </c>
      <c r="G1831">
        <v>109.85</v>
      </c>
      <c r="I1831" t="str" cm="1">
        <f t="array" ref="I1831:J1831">_xlfn.TEXTSPLIT(A1831," ")</f>
        <v>28.10.2023</v>
      </c>
      <c r="J1831" t="str">
        <v>06:32:08</v>
      </c>
      <c r="K1831">
        <f t="shared" si="410"/>
        <v>30.466666666666217</v>
      </c>
      <c r="L1831">
        <f t="shared" si="407"/>
        <v>18.170000000000002</v>
      </c>
      <c r="M1831">
        <f t="shared" si="408"/>
        <v>0.3</v>
      </c>
      <c r="N1831">
        <f t="shared" si="404"/>
        <v>0.47749999999999987</v>
      </c>
      <c r="Q1831" t="str" cm="1">
        <f t="array" ref="Q1831:R1831">_xlfn.TEXTSPLIT(E1831," ")</f>
        <v>28.10.2023</v>
      </c>
      <c r="R1831" t="str">
        <v>06:32:08</v>
      </c>
      <c r="S1831">
        <f t="shared" si="411"/>
        <v>30.466666666666217</v>
      </c>
      <c r="T1831">
        <f t="shared" si="406"/>
        <v>31.25</v>
      </c>
      <c r="U1831">
        <f t="shared" si="409"/>
        <v>0.6</v>
      </c>
      <c r="V1831">
        <f t="shared" si="405"/>
        <v>0.85500000000000009</v>
      </c>
    </row>
    <row r="1832" spans="1:22" x14ac:dyDescent="0.25">
      <c r="A1832" t="s">
        <v>3788</v>
      </c>
      <c r="B1832">
        <v>0.15</v>
      </c>
      <c r="C1832">
        <v>32.49</v>
      </c>
      <c r="E1832" t="s">
        <v>3788</v>
      </c>
      <c r="F1832">
        <v>0.6</v>
      </c>
      <c r="G1832">
        <v>109.85</v>
      </c>
      <c r="I1832" t="str" cm="1">
        <f t="array" ref="I1832:J1832">_xlfn.TEXTSPLIT(A1832," ")</f>
        <v>28.10.2023</v>
      </c>
      <c r="J1832" t="str">
        <v>06:33:08</v>
      </c>
      <c r="K1832">
        <f t="shared" si="410"/>
        <v>30.483333333332883</v>
      </c>
      <c r="L1832">
        <f t="shared" si="407"/>
        <v>18.170000000000002</v>
      </c>
      <c r="M1832">
        <f t="shared" si="408"/>
        <v>0.15</v>
      </c>
      <c r="N1832">
        <f t="shared" si="404"/>
        <v>0.47749999999999992</v>
      </c>
      <c r="Q1832" t="str" cm="1">
        <f t="array" ref="Q1832:R1832">_xlfn.TEXTSPLIT(E1832," ")</f>
        <v>28.10.2023</v>
      </c>
      <c r="R1832" t="str">
        <v>06:33:08</v>
      </c>
      <c r="S1832">
        <f t="shared" si="411"/>
        <v>30.483333333332883</v>
      </c>
      <c r="T1832">
        <f t="shared" si="406"/>
        <v>31.25</v>
      </c>
      <c r="U1832">
        <f t="shared" si="409"/>
        <v>0.6</v>
      </c>
      <c r="V1832">
        <f t="shared" si="405"/>
        <v>0.85250000000000015</v>
      </c>
    </row>
    <row r="1833" spans="1:22" x14ac:dyDescent="0.25">
      <c r="A1833" t="s">
        <v>3789</v>
      </c>
      <c r="B1833">
        <v>0.15</v>
      </c>
      <c r="C1833">
        <v>32.5</v>
      </c>
      <c r="E1833" t="s">
        <v>3789</v>
      </c>
      <c r="F1833">
        <v>0.75</v>
      </c>
      <c r="G1833">
        <v>109.87</v>
      </c>
      <c r="I1833" t="str" cm="1">
        <f t="array" ref="I1833:J1833">_xlfn.TEXTSPLIT(A1833," ")</f>
        <v>28.10.2023</v>
      </c>
      <c r="J1833" t="str">
        <v>06:34:08</v>
      </c>
      <c r="K1833">
        <f t="shared" si="410"/>
        <v>30.499999999999549</v>
      </c>
      <c r="L1833">
        <f t="shared" si="407"/>
        <v>18.18</v>
      </c>
      <c r="M1833">
        <f t="shared" si="408"/>
        <v>0.15</v>
      </c>
      <c r="N1833">
        <f t="shared" si="404"/>
        <v>0.47499999999999987</v>
      </c>
      <c r="Q1833" t="str" cm="1">
        <f t="array" ref="Q1833:R1833">_xlfn.TEXTSPLIT(E1833," ")</f>
        <v>28.10.2023</v>
      </c>
      <c r="R1833" t="str">
        <v>06:34:08</v>
      </c>
      <c r="S1833">
        <f t="shared" si="411"/>
        <v>30.499999999999549</v>
      </c>
      <c r="T1833">
        <f t="shared" si="406"/>
        <v>31.27000000000001</v>
      </c>
      <c r="U1833">
        <f t="shared" si="409"/>
        <v>0.75</v>
      </c>
      <c r="V1833">
        <f t="shared" si="405"/>
        <v>0.85250000000000015</v>
      </c>
    </row>
    <row r="1834" spans="1:22" x14ac:dyDescent="0.25">
      <c r="A1834" t="s">
        <v>3790</v>
      </c>
      <c r="B1834">
        <v>0.3</v>
      </c>
      <c r="C1834">
        <v>32.5</v>
      </c>
      <c r="E1834" t="s">
        <v>3790</v>
      </c>
      <c r="F1834">
        <v>0.9</v>
      </c>
      <c r="G1834">
        <v>109.89</v>
      </c>
      <c r="I1834" t="str" cm="1">
        <f t="array" ref="I1834:J1834">_xlfn.TEXTSPLIT(A1834," ")</f>
        <v>28.10.2023</v>
      </c>
      <c r="J1834" t="str">
        <v>06:35:09</v>
      </c>
      <c r="K1834">
        <f t="shared" si="410"/>
        <v>30.516666666666215</v>
      </c>
      <c r="L1834">
        <f t="shared" si="407"/>
        <v>18.18</v>
      </c>
      <c r="M1834">
        <f t="shared" si="408"/>
        <v>0.3</v>
      </c>
      <c r="N1834">
        <f t="shared" si="404"/>
        <v>0.47499999999999987</v>
      </c>
      <c r="Q1834" t="str" cm="1">
        <f t="array" ref="Q1834:R1834">_xlfn.TEXTSPLIT(E1834," ")</f>
        <v>28.10.2023</v>
      </c>
      <c r="R1834" t="str">
        <v>06:35:09</v>
      </c>
      <c r="S1834">
        <f t="shared" si="411"/>
        <v>30.516666666666215</v>
      </c>
      <c r="T1834">
        <f t="shared" si="406"/>
        <v>31.290000000000006</v>
      </c>
      <c r="U1834">
        <f t="shared" si="409"/>
        <v>0.9</v>
      </c>
      <c r="V1834">
        <f t="shared" si="405"/>
        <v>0.85000000000000009</v>
      </c>
    </row>
    <row r="1835" spans="1:22" x14ac:dyDescent="0.25">
      <c r="A1835" t="s">
        <v>3791</v>
      </c>
      <c r="B1835">
        <v>0.15</v>
      </c>
      <c r="C1835">
        <v>32.51</v>
      </c>
      <c r="E1835" t="s">
        <v>3791</v>
      </c>
      <c r="F1835">
        <v>3.15</v>
      </c>
      <c r="G1835">
        <v>109.94</v>
      </c>
      <c r="I1835" t="str" cm="1">
        <f t="array" ref="I1835:J1835">_xlfn.TEXTSPLIT(A1835," ")</f>
        <v>28.10.2023</v>
      </c>
      <c r="J1835" t="str">
        <v>06:36:09</v>
      </c>
      <c r="K1835">
        <f t="shared" si="410"/>
        <v>30.53333333333288</v>
      </c>
      <c r="L1835">
        <f t="shared" si="407"/>
        <v>18.189999999999998</v>
      </c>
      <c r="M1835">
        <f t="shared" si="408"/>
        <v>0.15</v>
      </c>
      <c r="N1835">
        <f t="shared" si="404"/>
        <v>0.47249999999999986</v>
      </c>
      <c r="Q1835" t="str" cm="1">
        <f t="array" ref="Q1835:R1835">_xlfn.TEXTSPLIT(E1835," ")</f>
        <v>28.10.2023</v>
      </c>
      <c r="R1835" t="str">
        <v>06:36:09</v>
      </c>
      <c r="S1835">
        <f t="shared" si="411"/>
        <v>30.53333333333288</v>
      </c>
      <c r="T1835">
        <f t="shared" si="406"/>
        <v>31.340000000000003</v>
      </c>
      <c r="U1835">
        <f t="shared" si="409"/>
        <v>3.15</v>
      </c>
      <c r="V1835">
        <f t="shared" si="405"/>
        <v>0.86250000000000027</v>
      </c>
    </row>
    <row r="1836" spans="1:22" x14ac:dyDescent="0.25">
      <c r="A1836" t="s">
        <v>3792</v>
      </c>
      <c r="B1836">
        <v>1.05</v>
      </c>
      <c r="C1836">
        <v>32.53</v>
      </c>
      <c r="E1836" t="s">
        <v>3792</v>
      </c>
      <c r="F1836">
        <v>2.25</v>
      </c>
      <c r="G1836">
        <v>109.98</v>
      </c>
      <c r="I1836" t="str" cm="1">
        <f t="array" ref="I1836:J1836">_xlfn.TEXTSPLIT(A1836," ")</f>
        <v>28.10.2023</v>
      </c>
      <c r="J1836" t="str">
        <v>06:37:09</v>
      </c>
      <c r="K1836">
        <f t="shared" si="410"/>
        <v>30.549999999999546</v>
      </c>
      <c r="L1836">
        <f t="shared" si="407"/>
        <v>18.21</v>
      </c>
      <c r="M1836">
        <f t="shared" si="408"/>
        <v>1.05</v>
      </c>
      <c r="N1836">
        <f t="shared" si="404"/>
        <v>0.47249999999999992</v>
      </c>
      <c r="Q1836" t="str" cm="1">
        <f t="array" ref="Q1836:R1836">_xlfn.TEXTSPLIT(E1836," ")</f>
        <v>28.10.2023</v>
      </c>
      <c r="R1836" t="str">
        <v>06:37:09</v>
      </c>
      <c r="S1836">
        <f t="shared" si="411"/>
        <v>30.549999999999546</v>
      </c>
      <c r="T1836">
        <f t="shared" si="406"/>
        <v>31.38000000000001</v>
      </c>
      <c r="U1836">
        <f t="shared" si="409"/>
        <v>2.25</v>
      </c>
      <c r="V1836">
        <f t="shared" si="405"/>
        <v>0.86750000000000016</v>
      </c>
    </row>
    <row r="1837" spans="1:22" x14ac:dyDescent="0.25">
      <c r="A1837" t="s">
        <v>3793</v>
      </c>
      <c r="B1837">
        <v>2.4</v>
      </c>
      <c r="C1837">
        <v>32.58</v>
      </c>
      <c r="E1837" t="s">
        <v>3793</v>
      </c>
      <c r="F1837">
        <v>1.95</v>
      </c>
      <c r="G1837">
        <v>110.01</v>
      </c>
      <c r="I1837" t="str" cm="1">
        <f t="array" ref="I1837:J1837">_xlfn.TEXTSPLIT(A1837," ")</f>
        <v>28.10.2023</v>
      </c>
      <c r="J1837" t="str">
        <v>06:38:09</v>
      </c>
      <c r="K1837">
        <f t="shared" si="410"/>
        <v>30.566666666666212</v>
      </c>
      <c r="L1837">
        <f t="shared" si="407"/>
        <v>18.259999999999998</v>
      </c>
      <c r="M1837">
        <f t="shared" si="408"/>
        <v>2.4</v>
      </c>
      <c r="N1837">
        <f t="shared" si="404"/>
        <v>0.46749999999999992</v>
      </c>
      <c r="Q1837" t="str" cm="1">
        <f t="array" ref="Q1837:R1837">_xlfn.TEXTSPLIT(E1837," ")</f>
        <v>28.10.2023</v>
      </c>
      <c r="R1837" t="str">
        <v>06:38:09</v>
      </c>
      <c r="S1837">
        <f t="shared" si="411"/>
        <v>30.566666666666212</v>
      </c>
      <c r="T1837">
        <f t="shared" si="406"/>
        <v>31.410000000000011</v>
      </c>
      <c r="U1837">
        <f t="shared" si="409"/>
        <v>1.95</v>
      </c>
      <c r="V1837">
        <f t="shared" si="405"/>
        <v>0.87000000000000022</v>
      </c>
    </row>
    <row r="1838" spans="1:22" x14ac:dyDescent="0.25">
      <c r="A1838" t="s">
        <v>3794</v>
      </c>
      <c r="B1838">
        <v>1.95</v>
      </c>
      <c r="C1838">
        <v>32.6</v>
      </c>
      <c r="E1838" t="s">
        <v>3794</v>
      </c>
      <c r="F1838">
        <v>1.8</v>
      </c>
      <c r="G1838">
        <v>110.04</v>
      </c>
      <c r="I1838" t="str" cm="1">
        <f t="array" ref="I1838:J1838">_xlfn.TEXTSPLIT(A1838," ")</f>
        <v>28.10.2023</v>
      </c>
      <c r="J1838" t="str">
        <v>06:39:09</v>
      </c>
      <c r="K1838">
        <f t="shared" si="410"/>
        <v>30.583333333332877</v>
      </c>
      <c r="L1838">
        <f t="shared" si="407"/>
        <v>18.28</v>
      </c>
      <c r="M1838">
        <f t="shared" si="408"/>
        <v>1.95</v>
      </c>
      <c r="N1838">
        <f t="shared" si="404"/>
        <v>0.46999999999999986</v>
      </c>
      <c r="Q1838" t="str" cm="1">
        <f t="array" ref="Q1838:R1838">_xlfn.TEXTSPLIT(E1838," ")</f>
        <v>28.10.2023</v>
      </c>
      <c r="R1838" t="str">
        <v>06:39:09</v>
      </c>
      <c r="S1838">
        <f t="shared" si="411"/>
        <v>30.583333333332877</v>
      </c>
      <c r="T1838">
        <f t="shared" si="406"/>
        <v>31.440000000000012</v>
      </c>
      <c r="U1838">
        <f t="shared" si="409"/>
        <v>1.8</v>
      </c>
      <c r="V1838">
        <f t="shared" si="405"/>
        <v>0.86500000000000021</v>
      </c>
    </row>
    <row r="1839" spans="1:22" x14ac:dyDescent="0.25">
      <c r="A1839" t="s">
        <v>3795</v>
      </c>
      <c r="B1839">
        <v>0.9</v>
      </c>
      <c r="C1839">
        <v>32.619999999999997</v>
      </c>
      <c r="E1839" t="s">
        <v>3795</v>
      </c>
      <c r="F1839">
        <v>1.05</v>
      </c>
      <c r="G1839">
        <v>110.06</v>
      </c>
      <c r="I1839" t="str" cm="1">
        <f t="array" ref="I1839:J1839">_xlfn.TEXTSPLIT(A1839," ")</f>
        <v>28.10.2023</v>
      </c>
      <c r="J1839" t="str">
        <v>06:40:09</v>
      </c>
      <c r="K1839">
        <f t="shared" si="410"/>
        <v>30.599999999999543</v>
      </c>
      <c r="L1839">
        <f t="shared" si="407"/>
        <v>18.299999999999997</v>
      </c>
      <c r="M1839">
        <f t="shared" si="408"/>
        <v>0.9</v>
      </c>
      <c r="N1839">
        <f t="shared" si="404"/>
        <v>0.47249999999999981</v>
      </c>
      <c r="Q1839" t="str" cm="1">
        <f t="array" ref="Q1839:R1839">_xlfn.TEXTSPLIT(E1839," ")</f>
        <v>28.10.2023</v>
      </c>
      <c r="R1839" t="str">
        <v>06:40:09</v>
      </c>
      <c r="S1839">
        <f t="shared" si="411"/>
        <v>30.599999999999543</v>
      </c>
      <c r="T1839">
        <f t="shared" si="406"/>
        <v>31.460000000000008</v>
      </c>
      <c r="U1839">
        <f t="shared" si="409"/>
        <v>1.05</v>
      </c>
      <c r="V1839">
        <f t="shared" si="405"/>
        <v>0.8600000000000001</v>
      </c>
    </row>
    <row r="1840" spans="1:22" x14ac:dyDescent="0.25">
      <c r="A1840" t="s">
        <v>3796</v>
      </c>
      <c r="B1840">
        <v>0.6</v>
      </c>
      <c r="C1840">
        <v>32.630000000000003</v>
      </c>
      <c r="E1840" t="s">
        <v>3796</v>
      </c>
      <c r="F1840">
        <v>0.6</v>
      </c>
      <c r="G1840">
        <v>110.07</v>
      </c>
      <c r="I1840" t="str" cm="1">
        <f t="array" ref="I1840:J1840">_xlfn.TEXTSPLIT(A1840," ")</f>
        <v>28.10.2023</v>
      </c>
      <c r="J1840" t="str">
        <v>06:41:09</v>
      </c>
      <c r="K1840">
        <f t="shared" si="410"/>
        <v>30.616666666666209</v>
      </c>
      <c r="L1840">
        <f t="shared" si="407"/>
        <v>18.310000000000002</v>
      </c>
      <c r="M1840">
        <f t="shared" si="408"/>
        <v>0.6</v>
      </c>
      <c r="N1840">
        <f t="shared" si="404"/>
        <v>0.47249999999999986</v>
      </c>
      <c r="Q1840" t="str" cm="1">
        <f t="array" ref="Q1840:R1840">_xlfn.TEXTSPLIT(E1840," ")</f>
        <v>28.10.2023</v>
      </c>
      <c r="R1840" t="str">
        <v>06:41:09</v>
      </c>
      <c r="S1840">
        <f t="shared" si="411"/>
        <v>30.616666666666209</v>
      </c>
      <c r="T1840">
        <f t="shared" si="406"/>
        <v>31.47</v>
      </c>
      <c r="U1840">
        <f t="shared" si="409"/>
        <v>0.6</v>
      </c>
      <c r="V1840">
        <f t="shared" si="405"/>
        <v>0.85750000000000004</v>
      </c>
    </row>
    <row r="1841" spans="1:22" x14ac:dyDescent="0.25">
      <c r="A1841" t="s">
        <v>3797</v>
      </c>
      <c r="B1841">
        <v>0.6</v>
      </c>
      <c r="C1841">
        <v>32.630000000000003</v>
      </c>
      <c r="E1841" t="s">
        <v>3797</v>
      </c>
      <c r="F1841">
        <v>0.75</v>
      </c>
      <c r="G1841">
        <v>110.08</v>
      </c>
      <c r="I1841" t="str" cm="1">
        <f t="array" ref="I1841:J1841">_xlfn.TEXTSPLIT(A1841," ")</f>
        <v>28.10.2023</v>
      </c>
      <c r="J1841" t="str">
        <v>06:42:09</v>
      </c>
      <c r="K1841">
        <f t="shared" si="410"/>
        <v>30.633333333332875</v>
      </c>
      <c r="L1841">
        <f t="shared" si="407"/>
        <v>18.310000000000002</v>
      </c>
      <c r="M1841">
        <f t="shared" si="408"/>
        <v>0.6</v>
      </c>
      <c r="N1841">
        <f t="shared" si="404"/>
        <v>0.46999999999999986</v>
      </c>
      <c r="Q1841" t="str" cm="1">
        <f t="array" ref="Q1841:R1841">_xlfn.TEXTSPLIT(E1841," ")</f>
        <v>28.10.2023</v>
      </c>
      <c r="R1841" t="str">
        <v>06:42:09</v>
      </c>
      <c r="S1841">
        <f t="shared" si="411"/>
        <v>30.633333333332875</v>
      </c>
      <c r="T1841">
        <f t="shared" si="406"/>
        <v>31.480000000000004</v>
      </c>
      <c r="U1841">
        <f t="shared" si="409"/>
        <v>0.75</v>
      </c>
      <c r="V1841">
        <f t="shared" si="405"/>
        <v>0.85500000000000009</v>
      </c>
    </row>
    <row r="1842" spans="1:22" x14ac:dyDescent="0.25">
      <c r="A1842" t="s">
        <v>3798</v>
      </c>
      <c r="B1842">
        <v>0.45</v>
      </c>
      <c r="C1842">
        <v>32.64</v>
      </c>
      <c r="E1842" t="s">
        <v>3798</v>
      </c>
      <c r="F1842">
        <v>0.6</v>
      </c>
      <c r="G1842">
        <v>110.09</v>
      </c>
      <c r="I1842" t="str" cm="1">
        <f t="array" ref="I1842:J1842">_xlfn.TEXTSPLIT(A1842," ")</f>
        <v>28.10.2023</v>
      </c>
      <c r="J1842" t="str">
        <v>06:43:10</v>
      </c>
      <c r="K1842">
        <f t="shared" si="410"/>
        <v>30.64999999999954</v>
      </c>
      <c r="L1842">
        <f t="shared" si="407"/>
        <v>18.32</v>
      </c>
      <c r="M1842">
        <f t="shared" si="408"/>
        <v>0.45</v>
      </c>
      <c r="N1842">
        <f t="shared" si="404"/>
        <v>0.46999999999999986</v>
      </c>
      <c r="Q1842" t="str" cm="1">
        <f t="array" ref="Q1842:R1842">_xlfn.TEXTSPLIT(E1842," ")</f>
        <v>28.10.2023</v>
      </c>
      <c r="R1842" t="str">
        <v>06:43:10</v>
      </c>
      <c r="S1842">
        <f t="shared" si="411"/>
        <v>30.64999999999954</v>
      </c>
      <c r="T1842">
        <f t="shared" si="406"/>
        <v>31.490000000000009</v>
      </c>
      <c r="U1842">
        <f t="shared" si="409"/>
        <v>0.6</v>
      </c>
      <c r="V1842">
        <f t="shared" si="405"/>
        <v>0.85250000000000015</v>
      </c>
    </row>
    <row r="1843" spans="1:22" x14ac:dyDescent="0.25">
      <c r="A1843" t="s">
        <v>3799</v>
      </c>
      <c r="B1843">
        <v>0.3</v>
      </c>
      <c r="C1843">
        <v>32.65</v>
      </c>
      <c r="E1843" t="s">
        <v>3799</v>
      </c>
      <c r="F1843">
        <v>0.75</v>
      </c>
      <c r="G1843">
        <v>110.1</v>
      </c>
      <c r="I1843" t="str" cm="1">
        <f t="array" ref="I1843:J1843">_xlfn.TEXTSPLIT(A1843," ")</f>
        <v>28.10.2023</v>
      </c>
      <c r="J1843" t="str">
        <v>06:44:10</v>
      </c>
      <c r="K1843">
        <f t="shared" si="410"/>
        <v>30.666666666666206</v>
      </c>
      <c r="L1843">
        <f t="shared" si="407"/>
        <v>18.329999999999998</v>
      </c>
      <c r="M1843">
        <f t="shared" si="408"/>
        <v>0.3</v>
      </c>
      <c r="N1843">
        <f t="shared" si="404"/>
        <v>0.46249999999999986</v>
      </c>
      <c r="Q1843" t="str" cm="1">
        <f t="array" ref="Q1843:R1843">_xlfn.TEXTSPLIT(E1843," ")</f>
        <v>28.10.2023</v>
      </c>
      <c r="R1843" t="str">
        <v>06:44:10</v>
      </c>
      <c r="S1843">
        <f t="shared" si="411"/>
        <v>30.666666666666206</v>
      </c>
      <c r="T1843">
        <f t="shared" si="406"/>
        <v>31.5</v>
      </c>
      <c r="U1843">
        <f t="shared" si="409"/>
        <v>0.75</v>
      </c>
      <c r="V1843">
        <f t="shared" si="405"/>
        <v>0.85250000000000015</v>
      </c>
    </row>
    <row r="1844" spans="1:22" x14ac:dyDescent="0.25">
      <c r="A1844" t="s">
        <v>3800</v>
      </c>
      <c r="B1844">
        <v>0.3</v>
      </c>
      <c r="C1844">
        <v>32.65</v>
      </c>
      <c r="E1844" t="s">
        <v>3800</v>
      </c>
      <c r="F1844">
        <v>0.9</v>
      </c>
      <c r="G1844">
        <v>110.12</v>
      </c>
      <c r="I1844" t="str" cm="1">
        <f t="array" ref="I1844:J1844">_xlfn.TEXTSPLIT(A1844," ")</f>
        <v>28.10.2023</v>
      </c>
      <c r="J1844" t="str">
        <v>06:45:10</v>
      </c>
      <c r="K1844">
        <f t="shared" si="410"/>
        <v>30.683333333332872</v>
      </c>
      <c r="L1844">
        <f t="shared" si="407"/>
        <v>18.329999999999998</v>
      </c>
      <c r="M1844">
        <f t="shared" si="408"/>
        <v>0.3</v>
      </c>
      <c r="N1844">
        <f t="shared" si="404"/>
        <v>0.45749999999999991</v>
      </c>
      <c r="Q1844" t="str" cm="1">
        <f t="array" ref="Q1844:R1844">_xlfn.TEXTSPLIT(E1844," ")</f>
        <v>28.10.2023</v>
      </c>
      <c r="R1844" t="str">
        <v>06:45:10</v>
      </c>
      <c r="S1844">
        <f t="shared" si="411"/>
        <v>30.683333333332872</v>
      </c>
      <c r="T1844">
        <f t="shared" si="406"/>
        <v>31.52000000000001</v>
      </c>
      <c r="U1844">
        <f t="shared" si="409"/>
        <v>0.9</v>
      </c>
      <c r="V1844">
        <f t="shared" si="405"/>
        <v>0.85250000000000015</v>
      </c>
    </row>
    <row r="1845" spans="1:22" x14ac:dyDescent="0.25">
      <c r="A1845" t="s">
        <v>3801</v>
      </c>
      <c r="B1845">
        <v>0.45</v>
      </c>
      <c r="C1845">
        <v>32.67</v>
      </c>
      <c r="E1845" t="s">
        <v>3801</v>
      </c>
      <c r="F1845">
        <v>1.05</v>
      </c>
      <c r="G1845">
        <v>110.14</v>
      </c>
      <c r="I1845" t="str" cm="1">
        <f t="array" ref="I1845:J1845">_xlfn.TEXTSPLIT(A1845," ")</f>
        <v>28.10.2023</v>
      </c>
      <c r="J1845" t="str">
        <v>06:46:10</v>
      </c>
      <c r="K1845">
        <f t="shared" si="410"/>
        <v>30.699999999999537</v>
      </c>
      <c r="L1845">
        <f t="shared" si="407"/>
        <v>18.350000000000001</v>
      </c>
      <c r="M1845">
        <f t="shared" si="408"/>
        <v>0.45</v>
      </c>
      <c r="N1845">
        <f t="shared" si="404"/>
        <v>0.45749999999999985</v>
      </c>
      <c r="Q1845" t="str" cm="1">
        <f t="array" ref="Q1845:R1845">_xlfn.TEXTSPLIT(E1845," ")</f>
        <v>28.10.2023</v>
      </c>
      <c r="R1845" t="str">
        <v>06:46:10</v>
      </c>
      <c r="S1845">
        <f t="shared" si="411"/>
        <v>30.699999999999537</v>
      </c>
      <c r="T1845">
        <f t="shared" si="406"/>
        <v>31.540000000000006</v>
      </c>
      <c r="U1845">
        <f t="shared" si="409"/>
        <v>1.05</v>
      </c>
      <c r="V1845">
        <f t="shared" si="405"/>
        <v>0.85249999999999992</v>
      </c>
    </row>
    <row r="1846" spans="1:22" x14ac:dyDescent="0.25">
      <c r="A1846" t="s">
        <v>3802</v>
      </c>
      <c r="B1846">
        <v>0.45</v>
      </c>
      <c r="C1846">
        <v>32.67</v>
      </c>
      <c r="E1846" t="s">
        <v>3802</v>
      </c>
      <c r="F1846">
        <v>1.05</v>
      </c>
      <c r="G1846">
        <v>110.16</v>
      </c>
      <c r="I1846" t="str" cm="1">
        <f t="array" ref="I1846:J1846">_xlfn.TEXTSPLIT(A1846," ")</f>
        <v>28.10.2023</v>
      </c>
      <c r="J1846" t="str">
        <v>06:47:10</v>
      </c>
      <c r="K1846">
        <f t="shared" si="410"/>
        <v>30.716666666666203</v>
      </c>
      <c r="L1846">
        <f t="shared" si="407"/>
        <v>18.350000000000001</v>
      </c>
      <c r="M1846">
        <f t="shared" si="408"/>
        <v>0.45</v>
      </c>
      <c r="N1846">
        <f t="shared" si="404"/>
        <v>0.45749999999999985</v>
      </c>
      <c r="Q1846" t="str" cm="1">
        <f t="array" ref="Q1846:R1846">_xlfn.TEXTSPLIT(E1846," ")</f>
        <v>28.10.2023</v>
      </c>
      <c r="R1846" t="str">
        <v>06:47:10</v>
      </c>
      <c r="S1846">
        <f t="shared" si="411"/>
        <v>30.716666666666203</v>
      </c>
      <c r="T1846">
        <f t="shared" si="406"/>
        <v>31.560000000000002</v>
      </c>
      <c r="U1846">
        <f t="shared" si="409"/>
        <v>1.05</v>
      </c>
      <c r="V1846">
        <f t="shared" si="405"/>
        <v>0.84749999999999981</v>
      </c>
    </row>
    <row r="1847" spans="1:22" x14ac:dyDescent="0.25">
      <c r="A1847" t="s">
        <v>3803</v>
      </c>
      <c r="B1847">
        <v>0.45</v>
      </c>
      <c r="C1847">
        <v>32.68</v>
      </c>
      <c r="E1847" t="s">
        <v>3803</v>
      </c>
      <c r="F1847">
        <v>1.05</v>
      </c>
      <c r="G1847">
        <v>110.17</v>
      </c>
      <c r="I1847" t="str" cm="1">
        <f t="array" ref="I1847:J1847">_xlfn.TEXTSPLIT(A1847," ")</f>
        <v>28.10.2023</v>
      </c>
      <c r="J1847" t="str">
        <v>06:48:10</v>
      </c>
      <c r="K1847">
        <f t="shared" si="410"/>
        <v>30.733333333332869</v>
      </c>
      <c r="L1847">
        <f t="shared" si="407"/>
        <v>18.36</v>
      </c>
      <c r="M1847">
        <f t="shared" si="408"/>
        <v>0.45</v>
      </c>
      <c r="N1847">
        <f t="shared" si="404"/>
        <v>0.45249999999999985</v>
      </c>
      <c r="Q1847" t="str" cm="1">
        <f t="array" ref="Q1847:R1847">_xlfn.TEXTSPLIT(E1847," ")</f>
        <v>28.10.2023</v>
      </c>
      <c r="R1847" t="str">
        <v>06:48:10</v>
      </c>
      <c r="S1847">
        <f t="shared" si="411"/>
        <v>30.733333333332869</v>
      </c>
      <c r="T1847">
        <f t="shared" si="406"/>
        <v>31.570000000000007</v>
      </c>
      <c r="U1847">
        <f t="shared" si="409"/>
        <v>1.05</v>
      </c>
      <c r="V1847">
        <f t="shared" si="405"/>
        <v>0.8524999999999997</v>
      </c>
    </row>
    <row r="1848" spans="1:22" x14ac:dyDescent="0.25">
      <c r="A1848" t="s">
        <v>3804</v>
      </c>
      <c r="B1848">
        <v>0.6</v>
      </c>
      <c r="C1848">
        <v>32.69</v>
      </c>
      <c r="E1848" t="s">
        <v>3804</v>
      </c>
      <c r="F1848">
        <v>0.6</v>
      </c>
      <c r="G1848">
        <v>110.19</v>
      </c>
      <c r="I1848" t="str" cm="1">
        <f t="array" ref="I1848:J1848">_xlfn.TEXTSPLIT(A1848," ")</f>
        <v>28.10.2023</v>
      </c>
      <c r="J1848" t="str">
        <v>06:49:10</v>
      </c>
      <c r="K1848">
        <f t="shared" si="410"/>
        <v>30.749999999999535</v>
      </c>
      <c r="L1848">
        <f t="shared" si="407"/>
        <v>18.369999999999997</v>
      </c>
      <c r="M1848">
        <f t="shared" si="408"/>
        <v>0.6</v>
      </c>
      <c r="N1848">
        <f t="shared" si="404"/>
        <v>0.4524999999999999</v>
      </c>
      <c r="Q1848" t="str" cm="1">
        <f t="array" ref="Q1848:R1848">_xlfn.TEXTSPLIT(E1848," ")</f>
        <v>28.10.2023</v>
      </c>
      <c r="R1848" t="str">
        <v>06:49:10</v>
      </c>
      <c r="S1848">
        <f t="shared" si="411"/>
        <v>30.749999999999535</v>
      </c>
      <c r="T1848">
        <f t="shared" si="406"/>
        <v>31.590000000000003</v>
      </c>
      <c r="U1848">
        <f t="shared" si="409"/>
        <v>0.6</v>
      </c>
      <c r="V1848">
        <f t="shared" si="405"/>
        <v>0.84999999999999976</v>
      </c>
    </row>
    <row r="1849" spans="1:22" x14ac:dyDescent="0.25">
      <c r="A1849" t="s">
        <v>3805</v>
      </c>
      <c r="B1849">
        <v>0.15</v>
      </c>
      <c r="C1849">
        <v>32.69</v>
      </c>
      <c r="E1849" t="s">
        <v>3805</v>
      </c>
      <c r="F1849">
        <v>0.6</v>
      </c>
      <c r="G1849">
        <v>110.19</v>
      </c>
      <c r="I1849" t="str" cm="1">
        <f t="array" ref="I1849:J1849">_xlfn.TEXTSPLIT(A1849," ")</f>
        <v>28.10.2023</v>
      </c>
      <c r="J1849" t="str">
        <v>06:50:11</v>
      </c>
      <c r="K1849">
        <f t="shared" si="410"/>
        <v>30.7666666666662</v>
      </c>
      <c r="L1849">
        <f t="shared" si="407"/>
        <v>18.369999999999997</v>
      </c>
      <c r="M1849">
        <f t="shared" si="408"/>
        <v>0.15</v>
      </c>
      <c r="N1849">
        <f t="shared" si="404"/>
        <v>0.44500000000000001</v>
      </c>
      <c r="Q1849" t="str" cm="1">
        <f t="array" ref="Q1849:R1849">_xlfn.TEXTSPLIT(E1849," ")</f>
        <v>28.10.2023</v>
      </c>
      <c r="R1849" t="str">
        <v>06:50:11</v>
      </c>
      <c r="S1849">
        <f t="shared" si="411"/>
        <v>30.7666666666662</v>
      </c>
      <c r="T1849">
        <f t="shared" si="406"/>
        <v>31.590000000000003</v>
      </c>
      <c r="U1849">
        <f t="shared" si="409"/>
        <v>0.6</v>
      </c>
      <c r="V1849">
        <f t="shared" si="405"/>
        <v>0.84749999999999992</v>
      </c>
    </row>
    <row r="1850" spans="1:22" x14ac:dyDescent="0.25">
      <c r="A1850" t="s">
        <v>3806</v>
      </c>
      <c r="B1850">
        <v>0.45</v>
      </c>
      <c r="C1850">
        <v>32.700000000000003</v>
      </c>
      <c r="E1850" t="s">
        <v>3806</v>
      </c>
      <c r="F1850">
        <v>0</v>
      </c>
      <c r="G1850">
        <v>110.19</v>
      </c>
      <c r="I1850" t="str" cm="1">
        <f t="array" ref="I1850:J1850">_xlfn.TEXTSPLIT(A1850," ")</f>
        <v>28.10.2023</v>
      </c>
      <c r="J1850" t="str">
        <v>06:51:11</v>
      </c>
      <c r="K1850">
        <f t="shared" si="410"/>
        <v>30.783333333332866</v>
      </c>
      <c r="L1850">
        <f t="shared" si="407"/>
        <v>18.380000000000003</v>
      </c>
      <c r="M1850">
        <f t="shared" si="408"/>
        <v>0.45</v>
      </c>
      <c r="N1850">
        <f t="shared" si="404"/>
        <v>0.44249999999999995</v>
      </c>
      <c r="Q1850" t="str" cm="1">
        <f t="array" ref="Q1850:R1850">_xlfn.TEXTSPLIT(E1850," ")</f>
        <v>28.10.2023</v>
      </c>
      <c r="R1850" t="str">
        <v>06:51:11</v>
      </c>
      <c r="S1850">
        <f t="shared" si="411"/>
        <v>30.783333333332866</v>
      </c>
      <c r="T1850">
        <f t="shared" si="406"/>
        <v>31.590000000000003</v>
      </c>
      <c r="U1850">
        <f t="shared" si="409"/>
        <v>0</v>
      </c>
      <c r="V1850">
        <f t="shared" si="405"/>
        <v>0.84749999999999992</v>
      </c>
    </row>
    <row r="1851" spans="1:22" x14ac:dyDescent="0.25">
      <c r="A1851" t="s">
        <v>3807</v>
      </c>
      <c r="B1851">
        <v>0.3</v>
      </c>
      <c r="C1851">
        <v>32.71</v>
      </c>
      <c r="E1851" t="s">
        <v>3807</v>
      </c>
      <c r="F1851">
        <v>0</v>
      </c>
      <c r="G1851">
        <v>110.19</v>
      </c>
      <c r="I1851" t="str" cm="1">
        <f t="array" ref="I1851:J1851">_xlfn.TEXTSPLIT(A1851," ")</f>
        <v>28.10.2023</v>
      </c>
      <c r="J1851" t="str">
        <v>06:52:11</v>
      </c>
      <c r="K1851">
        <f t="shared" si="410"/>
        <v>30.799999999999532</v>
      </c>
      <c r="L1851">
        <f t="shared" si="407"/>
        <v>18.39</v>
      </c>
      <c r="M1851">
        <f t="shared" si="408"/>
        <v>0.3</v>
      </c>
      <c r="N1851">
        <f t="shared" si="404"/>
        <v>0.44249999999999995</v>
      </c>
      <c r="Q1851" t="str" cm="1">
        <f t="array" ref="Q1851:R1851">_xlfn.TEXTSPLIT(E1851," ")</f>
        <v>28.10.2023</v>
      </c>
      <c r="R1851" t="str">
        <v>06:52:11</v>
      </c>
      <c r="S1851">
        <f t="shared" si="411"/>
        <v>30.799999999999532</v>
      </c>
      <c r="T1851">
        <f t="shared" si="406"/>
        <v>31.590000000000003</v>
      </c>
      <c r="U1851">
        <f t="shared" si="409"/>
        <v>0</v>
      </c>
      <c r="V1851">
        <f t="shared" si="405"/>
        <v>0.84749999999999992</v>
      </c>
    </row>
    <row r="1852" spans="1:22" x14ac:dyDescent="0.25">
      <c r="A1852" t="s">
        <v>3808</v>
      </c>
      <c r="B1852">
        <v>0</v>
      </c>
      <c r="C1852">
        <v>32.71</v>
      </c>
      <c r="E1852" t="s">
        <v>3808</v>
      </c>
      <c r="F1852">
        <v>0.15</v>
      </c>
      <c r="G1852">
        <v>110.2</v>
      </c>
      <c r="I1852" t="str" cm="1">
        <f t="array" ref="I1852:J1852">_xlfn.TEXTSPLIT(A1852," ")</f>
        <v>28.10.2023</v>
      </c>
      <c r="J1852" t="str">
        <v>06:53:11</v>
      </c>
      <c r="K1852">
        <f t="shared" si="410"/>
        <v>30.816666666666197</v>
      </c>
      <c r="L1852">
        <f t="shared" si="407"/>
        <v>18.39</v>
      </c>
      <c r="M1852">
        <f t="shared" si="408"/>
        <v>0</v>
      </c>
      <c r="N1852">
        <f t="shared" si="404"/>
        <v>0.44249999999999995</v>
      </c>
      <c r="Q1852" t="str" cm="1">
        <f t="array" ref="Q1852:R1852">_xlfn.TEXTSPLIT(E1852," ")</f>
        <v>28.10.2023</v>
      </c>
      <c r="R1852" t="str">
        <v>06:53:11</v>
      </c>
      <c r="S1852">
        <f t="shared" si="411"/>
        <v>30.816666666666197</v>
      </c>
      <c r="T1852">
        <f t="shared" si="406"/>
        <v>31.600000000000009</v>
      </c>
      <c r="U1852">
        <f t="shared" si="409"/>
        <v>0.15</v>
      </c>
      <c r="V1852">
        <f t="shared" si="405"/>
        <v>0.84749999999999992</v>
      </c>
    </row>
    <row r="1853" spans="1:22" x14ac:dyDescent="0.25">
      <c r="A1853" t="s">
        <v>3809</v>
      </c>
      <c r="B1853">
        <v>0</v>
      </c>
      <c r="C1853">
        <v>32.71</v>
      </c>
      <c r="E1853" t="s">
        <v>3809</v>
      </c>
      <c r="F1853">
        <v>0.3</v>
      </c>
      <c r="G1853">
        <v>110.2</v>
      </c>
      <c r="I1853" t="str" cm="1">
        <f t="array" ref="I1853:J1853">_xlfn.TEXTSPLIT(A1853," ")</f>
        <v>28.10.2023</v>
      </c>
      <c r="J1853" t="str">
        <v>06:54:11</v>
      </c>
      <c r="K1853">
        <f t="shared" si="410"/>
        <v>30.833333333332863</v>
      </c>
      <c r="L1853">
        <f t="shared" si="407"/>
        <v>18.39</v>
      </c>
      <c r="M1853">
        <f t="shared" si="408"/>
        <v>0</v>
      </c>
      <c r="N1853">
        <f t="shared" si="404"/>
        <v>0.44249999999999995</v>
      </c>
      <c r="Q1853" t="str" cm="1">
        <f t="array" ref="Q1853:R1853">_xlfn.TEXTSPLIT(E1853," ")</f>
        <v>28.10.2023</v>
      </c>
      <c r="R1853" t="str">
        <v>06:54:11</v>
      </c>
      <c r="S1853">
        <f t="shared" si="411"/>
        <v>30.833333333332863</v>
      </c>
      <c r="T1853">
        <f t="shared" si="406"/>
        <v>31.600000000000009</v>
      </c>
      <c r="U1853">
        <f t="shared" si="409"/>
        <v>0.3</v>
      </c>
      <c r="V1853">
        <f t="shared" si="405"/>
        <v>0.84749999999999981</v>
      </c>
    </row>
    <row r="1854" spans="1:22" x14ac:dyDescent="0.25">
      <c r="A1854" t="s">
        <v>3810</v>
      </c>
      <c r="B1854">
        <v>0</v>
      </c>
      <c r="C1854">
        <v>32.71</v>
      </c>
      <c r="E1854" t="s">
        <v>3810</v>
      </c>
      <c r="F1854">
        <v>0.15</v>
      </c>
      <c r="G1854">
        <v>110.2</v>
      </c>
      <c r="I1854" t="str" cm="1">
        <f t="array" ref="I1854:J1854">_xlfn.TEXTSPLIT(A1854," ")</f>
        <v>28.10.2023</v>
      </c>
      <c r="J1854" t="str">
        <v>06:55:11</v>
      </c>
      <c r="K1854">
        <f t="shared" si="410"/>
        <v>30.849999999999529</v>
      </c>
      <c r="L1854">
        <f t="shared" si="407"/>
        <v>18.39</v>
      </c>
      <c r="M1854">
        <f t="shared" si="408"/>
        <v>0</v>
      </c>
      <c r="N1854">
        <f t="shared" si="404"/>
        <v>0.44249999999999995</v>
      </c>
      <c r="Q1854" t="str" cm="1">
        <f t="array" ref="Q1854:R1854">_xlfn.TEXTSPLIT(E1854," ")</f>
        <v>28.10.2023</v>
      </c>
      <c r="R1854" t="str">
        <v>06:55:11</v>
      </c>
      <c r="S1854">
        <f t="shared" si="411"/>
        <v>30.849999999999529</v>
      </c>
      <c r="T1854">
        <f t="shared" si="406"/>
        <v>31.600000000000009</v>
      </c>
      <c r="U1854">
        <f t="shared" si="409"/>
        <v>0.15</v>
      </c>
      <c r="V1854">
        <f t="shared" si="405"/>
        <v>0.84749999999999981</v>
      </c>
    </row>
    <row r="1855" spans="1:22" x14ac:dyDescent="0.25">
      <c r="A1855" t="s">
        <v>3811</v>
      </c>
      <c r="B1855">
        <v>0</v>
      </c>
      <c r="C1855">
        <v>32.71</v>
      </c>
      <c r="E1855" t="s">
        <v>3811</v>
      </c>
      <c r="F1855">
        <v>0.3</v>
      </c>
      <c r="G1855">
        <v>110.21</v>
      </c>
      <c r="I1855" t="str" cm="1">
        <f t="array" ref="I1855:J1855">_xlfn.TEXTSPLIT(A1855," ")</f>
        <v>28.10.2023</v>
      </c>
      <c r="J1855" t="str">
        <v>06:56:11</v>
      </c>
      <c r="K1855">
        <f t="shared" si="410"/>
        <v>30.866666666666195</v>
      </c>
      <c r="L1855">
        <f t="shared" si="407"/>
        <v>18.39</v>
      </c>
      <c r="M1855">
        <f t="shared" si="408"/>
        <v>0</v>
      </c>
      <c r="N1855">
        <f t="shared" ref="N1855:N1918" si="412">AVERAGE(M1796:M1855)</f>
        <v>0.44249999999999995</v>
      </c>
      <c r="Q1855" t="str" cm="1">
        <f t="array" ref="Q1855:R1855">_xlfn.TEXTSPLIT(E1855," ")</f>
        <v>28.10.2023</v>
      </c>
      <c r="R1855" t="str">
        <v>06:56:11</v>
      </c>
      <c r="S1855">
        <f t="shared" si="411"/>
        <v>30.866666666666195</v>
      </c>
      <c r="T1855">
        <f t="shared" si="406"/>
        <v>31.61</v>
      </c>
      <c r="U1855">
        <f t="shared" si="409"/>
        <v>0.3</v>
      </c>
      <c r="V1855">
        <f t="shared" ref="V1855:V1918" si="413">AVERAGE(U1796:U1855)</f>
        <v>0.84749999999999981</v>
      </c>
    </row>
    <row r="1856" spans="1:22" x14ac:dyDescent="0.25">
      <c r="A1856" t="s">
        <v>3812</v>
      </c>
      <c r="B1856">
        <v>0</v>
      </c>
      <c r="C1856">
        <v>32.71</v>
      </c>
      <c r="E1856" t="s">
        <v>3812</v>
      </c>
      <c r="F1856">
        <v>0.45</v>
      </c>
      <c r="G1856">
        <v>110.22</v>
      </c>
      <c r="I1856" t="str" cm="1">
        <f t="array" ref="I1856:J1856">_xlfn.TEXTSPLIT(A1856," ")</f>
        <v>28.10.2023</v>
      </c>
      <c r="J1856" t="str">
        <v>06:57:11</v>
      </c>
      <c r="K1856">
        <f t="shared" si="410"/>
        <v>30.88333333333286</v>
      </c>
      <c r="L1856">
        <f t="shared" si="407"/>
        <v>18.39</v>
      </c>
      <c r="M1856">
        <f t="shared" si="408"/>
        <v>0</v>
      </c>
      <c r="N1856">
        <f t="shared" si="412"/>
        <v>0.44249999999999995</v>
      </c>
      <c r="Q1856" t="str" cm="1">
        <f t="array" ref="Q1856:R1856">_xlfn.TEXTSPLIT(E1856," ")</f>
        <v>28.10.2023</v>
      </c>
      <c r="R1856" t="str">
        <v>06:57:11</v>
      </c>
      <c r="S1856">
        <f t="shared" si="411"/>
        <v>30.88333333333286</v>
      </c>
      <c r="T1856">
        <f t="shared" si="406"/>
        <v>31.620000000000005</v>
      </c>
      <c r="U1856">
        <f t="shared" si="409"/>
        <v>0.45</v>
      </c>
      <c r="V1856">
        <f t="shared" si="413"/>
        <v>0.84749999999999981</v>
      </c>
    </row>
    <row r="1857" spans="1:22" x14ac:dyDescent="0.25">
      <c r="A1857" t="s">
        <v>3813</v>
      </c>
      <c r="B1857">
        <v>0</v>
      </c>
      <c r="C1857">
        <v>32.71</v>
      </c>
      <c r="E1857" t="s">
        <v>3813</v>
      </c>
      <c r="F1857">
        <v>0.45</v>
      </c>
      <c r="G1857">
        <v>110.23</v>
      </c>
      <c r="I1857" t="str" cm="1">
        <f t="array" ref="I1857:J1857">_xlfn.TEXTSPLIT(A1857," ")</f>
        <v>28.10.2023</v>
      </c>
      <c r="J1857" t="str">
        <v>06:58:12</v>
      </c>
      <c r="K1857">
        <f t="shared" si="410"/>
        <v>30.899999999999526</v>
      </c>
      <c r="L1857">
        <f t="shared" si="407"/>
        <v>18.39</v>
      </c>
      <c r="M1857">
        <f t="shared" si="408"/>
        <v>0</v>
      </c>
      <c r="N1857">
        <f t="shared" si="412"/>
        <v>0.44249999999999995</v>
      </c>
      <c r="Q1857" t="str" cm="1">
        <f t="array" ref="Q1857:R1857">_xlfn.TEXTSPLIT(E1857," ")</f>
        <v>28.10.2023</v>
      </c>
      <c r="R1857" t="str">
        <v>06:58:12</v>
      </c>
      <c r="S1857">
        <f t="shared" si="411"/>
        <v>30.899999999999526</v>
      </c>
      <c r="T1857">
        <f t="shared" si="406"/>
        <v>31.63000000000001</v>
      </c>
      <c r="U1857">
        <f t="shared" si="409"/>
        <v>0.45</v>
      </c>
      <c r="V1857">
        <f t="shared" si="413"/>
        <v>0.84749999999999992</v>
      </c>
    </row>
    <row r="1858" spans="1:22" x14ac:dyDescent="0.25">
      <c r="A1858" t="s">
        <v>3814</v>
      </c>
      <c r="B1858">
        <v>0.15</v>
      </c>
      <c r="C1858">
        <v>32.71</v>
      </c>
      <c r="E1858" t="s">
        <v>3814</v>
      </c>
      <c r="F1858">
        <v>0.6</v>
      </c>
      <c r="G1858">
        <v>110.24</v>
      </c>
      <c r="I1858" t="str" cm="1">
        <f t="array" ref="I1858:J1858">_xlfn.TEXTSPLIT(A1858," ")</f>
        <v>28.10.2023</v>
      </c>
      <c r="J1858" t="str">
        <v>06:59:12</v>
      </c>
      <c r="K1858">
        <f t="shared" si="410"/>
        <v>30.916666666666192</v>
      </c>
      <c r="L1858">
        <f t="shared" si="407"/>
        <v>18.39</v>
      </c>
      <c r="M1858">
        <f t="shared" si="408"/>
        <v>0.15</v>
      </c>
      <c r="N1858">
        <f t="shared" si="412"/>
        <v>0.44499999999999995</v>
      </c>
      <c r="Q1858" t="str" cm="1">
        <f t="array" ref="Q1858:R1858">_xlfn.TEXTSPLIT(E1858," ")</f>
        <v>28.10.2023</v>
      </c>
      <c r="R1858" t="str">
        <v>06:59:12</v>
      </c>
      <c r="S1858">
        <f t="shared" si="411"/>
        <v>30.916666666666192</v>
      </c>
      <c r="T1858">
        <f t="shared" si="406"/>
        <v>31.64</v>
      </c>
      <c r="U1858">
        <f t="shared" si="409"/>
        <v>0.6</v>
      </c>
      <c r="V1858">
        <f t="shared" si="413"/>
        <v>0.84499999999999997</v>
      </c>
    </row>
    <row r="1859" spans="1:22" x14ac:dyDescent="0.25">
      <c r="A1859" t="s">
        <v>3815</v>
      </c>
      <c r="B1859">
        <v>0.3</v>
      </c>
      <c r="C1859">
        <v>32.72</v>
      </c>
      <c r="E1859" t="s">
        <v>3815</v>
      </c>
      <c r="F1859">
        <v>0.9</v>
      </c>
      <c r="G1859">
        <v>110.25</v>
      </c>
      <c r="I1859" t="str" cm="1">
        <f t="array" ref="I1859:J1859">_xlfn.TEXTSPLIT(A1859," ")</f>
        <v>28.10.2023</v>
      </c>
      <c r="J1859" t="str">
        <v>07:00:12</v>
      </c>
      <c r="K1859">
        <f t="shared" si="410"/>
        <v>30.933333333332858</v>
      </c>
      <c r="L1859">
        <f t="shared" si="407"/>
        <v>18.399999999999999</v>
      </c>
      <c r="M1859">
        <f t="shared" si="408"/>
        <v>0.3</v>
      </c>
      <c r="N1859">
        <f t="shared" si="412"/>
        <v>0.44749999999999995</v>
      </c>
      <c r="Q1859" t="str" cm="1">
        <f t="array" ref="Q1859:R1859">_xlfn.TEXTSPLIT(E1859," ")</f>
        <v>28.10.2023</v>
      </c>
      <c r="R1859" t="str">
        <v>07:00:12</v>
      </c>
      <c r="S1859">
        <f t="shared" si="411"/>
        <v>30.933333333332858</v>
      </c>
      <c r="T1859">
        <f t="shared" ref="T1859:T1922" si="414">G1859-78.6</f>
        <v>31.650000000000006</v>
      </c>
      <c r="U1859">
        <f t="shared" si="409"/>
        <v>0.9</v>
      </c>
      <c r="V1859">
        <f t="shared" si="413"/>
        <v>0.84999999999999987</v>
      </c>
    </row>
    <row r="1860" spans="1:22" x14ac:dyDescent="0.25">
      <c r="A1860" t="s">
        <v>3816</v>
      </c>
      <c r="B1860">
        <v>0.3</v>
      </c>
      <c r="C1860">
        <v>32.72</v>
      </c>
      <c r="E1860" t="s">
        <v>3816</v>
      </c>
      <c r="F1860">
        <v>0.9</v>
      </c>
      <c r="G1860">
        <v>110.27</v>
      </c>
      <c r="I1860" t="str" cm="1">
        <f t="array" ref="I1860:J1860">_xlfn.TEXTSPLIT(A1860," ")</f>
        <v>28.10.2023</v>
      </c>
      <c r="J1860" t="str">
        <v>07:01:12</v>
      </c>
      <c r="K1860">
        <f t="shared" si="410"/>
        <v>30.949999999999523</v>
      </c>
      <c r="L1860">
        <f t="shared" ref="L1860:L1923" si="415">C1860-14.32</f>
        <v>18.399999999999999</v>
      </c>
      <c r="M1860">
        <f t="shared" ref="M1860:M1923" si="416">B1860</f>
        <v>0.3</v>
      </c>
      <c r="N1860">
        <f t="shared" si="412"/>
        <v>0.44750000000000001</v>
      </c>
      <c r="Q1860" t="str" cm="1">
        <f t="array" ref="Q1860:R1860">_xlfn.TEXTSPLIT(E1860," ")</f>
        <v>28.10.2023</v>
      </c>
      <c r="R1860" t="str">
        <v>07:01:12</v>
      </c>
      <c r="S1860">
        <f t="shared" si="411"/>
        <v>30.949999999999523</v>
      </c>
      <c r="T1860">
        <f t="shared" si="414"/>
        <v>31.67</v>
      </c>
      <c r="U1860">
        <f t="shared" ref="U1860:U1923" si="417">F1860</f>
        <v>0.9</v>
      </c>
      <c r="V1860">
        <f t="shared" si="413"/>
        <v>0.84499999999999986</v>
      </c>
    </row>
    <row r="1861" spans="1:22" x14ac:dyDescent="0.25">
      <c r="A1861" t="s">
        <v>3817</v>
      </c>
      <c r="B1861">
        <v>0.3</v>
      </c>
      <c r="C1861">
        <v>32.72</v>
      </c>
      <c r="E1861" t="s">
        <v>3817</v>
      </c>
      <c r="F1861">
        <v>1.2</v>
      </c>
      <c r="G1861">
        <v>110.29</v>
      </c>
      <c r="I1861" t="str" cm="1">
        <f t="array" ref="I1861:J1861">_xlfn.TEXTSPLIT(A1861," ")</f>
        <v>28.10.2023</v>
      </c>
      <c r="J1861" t="str">
        <v>07:02:12</v>
      </c>
      <c r="K1861">
        <f t="shared" ref="K1861:K1924" si="418">1/60+K1860</f>
        <v>30.966666666666189</v>
      </c>
      <c r="L1861">
        <f t="shared" si="415"/>
        <v>18.399999999999999</v>
      </c>
      <c r="M1861">
        <f t="shared" si="416"/>
        <v>0.3</v>
      </c>
      <c r="N1861">
        <f t="shared" si="412"/>
        <v>0.44750000000000001</v>
      </c>
      <c r="Q1861" t="str" cm="1">
        <f t="array" ref="Q1861:R1861">_xlfn.TEXTSPLIT(E1861," ")</f>
        <v>28.10.2023</v>
      </c>
      <c r="R1861" t="str">
        <v>07:02:12</v>
      </c>
      <c r="S1861">
        <f t="shared" ref="S1861:S1924" si="419">1/60+S1860</f>
        <v>30.966666666666189</v>
      </c>
      <c r="T1861">
        <f t="shared" si="414"/>
        <v>31.690000000000012</v>
      </c>
      <c r="U1861">
        <f t="shared" si="417"/>
        <v>1.2</v>
      </c>
      <c r="V1861">
        <f t="shared" si="413"/>
        <v>0.84499999999999986</v>
      </c>
    </row>
    <row r="1862" spans="1:22" x14ac:dyDescent="0.25">
      <c r="A1862" t="s">
        <v>3818</v>
      </c>
      <c r="B1862">
        <v>0.3</v>
      </c>
      <c r="C1862">
        <v>32.729999999999997</v>
      </c>
      <c r="E1862" t="s">
        <v>3818</v>
      </c>
      <c r="F1862">
        <v>0.75</v>
      </c>
      <c r="G1862">
        <v>110.3</v>
      </c>
      <c r="I1862" t="str" cm="1">
        <f t="array" ref="I1862:J1862">_xlfn.TEXTSPLIT(A1862," ")</f>
        <v>28.10.2023</v>
      </c>
      <c r="J1862" t="str">
        <v>07:03:12</v>
      </c>
      <c r="K1862">
        <f t="shared" si="418"/>
        <v>30.983333333332855</v>
      </c>
      <c r="L1862">
        <f t="shared" si="415"/>
        <v>18.409999999999997</v>
      </c>
      <c r="M1862">
        <f t="shared" si="416"/>
        <v>0.3</v>
      </c>
      <c r="N1862">
        <f t="shared" si="412"/>
        <v>0.44750000000000001</v>
      </c>
      <c r="Q1862" t="str" cm="1">
        <f t="array" ref="Q1862:R1862">_xlfn.TEXTSPLIT(E1862," ")</f>
        <v>28.10.2023</v>
      </c>
      <c r="R1862" t="str">
        <v>07:03:12</v>
      </c>
      <c r="S1862">
        <f t="shared" si="419"/>
        <v>30.983333333332855</v>
      </c>
      <c r="T1862">
        <f t="shared" si="414"/>
        <v>31.700000000000003</v>
      </c>
      <c r="U1862">
        <f t="shared" si="417"/>
        <v>0.75</v>
      </c>
      <c r="V1862">
        <f t="shared" si="413"/>
        <v>0.84499999999999986</v>
      </c>
    </row>
    <row r="1863" spans="1:22" x14ac:dyDescent="0.25">
      <c r="A1863" t="s">
        <v>3819</v>
      </c>
      <c r="B1863">
        <v>0.3</v>
      </c>
      <c r="C1863">
        <v>32.74</v>
      </c>
      <c r="E1863" t="s">
        <v>3819</v>
      </c>
      <c r="F1863">
        <v>0.75</v>
      </c>
      <c r="G1863">
        <v>110.31</v>
      </c>
      <c r="I1863" t="str" cm="1">
        <f t="array" ref="I1863:J1863">_xlfn.TEXTSPLIT(A1863," ")</f>
        <v>28.10.2023</v>
      </c>
      <c r="J1863" t="str">
        <v>07:04:12</v>
      </c>
      <c r="K1863">
        <f t="shared" si="418"/>
        <v>30.99999999999952</v>
      </c>
      <c r="L1863">
        <f t="shared" si="415"/>
        <v>18.420000000000002</v>
      </c>
      <c r="M1863">
        <f t="shared" si="416"/>
        <v>0.3</v>
      </c>
      <c r="N1863">
        <f t="shared" si="412"/>
        <v>0.44500000000000006</v>
      </c>
      <c r="Q1863" t="str" cm="1">
        <f t="array" ref="Q1863:R1863">_xlfn.TEXTSPLIT(E1863," ")</f>
        <v>28.10.2023</v>
      </c>
      <c r="R1863" t="str">
        <v>07:04:12</v>
      </c>
      <c r="S1863">
        <f t="shared" si="419"/>
        <v>30.99999999999952</v>
      </c>
      <c r="T1863">
        <f t="shared" si="414"/>
        <v>31.710000000000008</v>
      </c>
      <c r="U1863">
        <f t="shared" si="417"/>
        <v>0.75</v>
      </c>
      <c r="V1863">
        <f t="shared" si="413"/>
        <v>0.84749999999999981</v>
      </c>
    </row>
    <row r="1864" spans="1:22" x14ac:dyDescent="0.25">
      <c r="A1864" t="s">
        <v>3820</v>
      </c>
      <c r="B1864">
        <v>0.45</v>
      </c>
      <c r="C1864">
        <v>32.74</v>
      </c>
      <c r="E1864" t="s">
        <v>3820</v>
      </c>
      <c r="F1864">
        <v>0.6</v>
      </c>
      <c r="G1864">
        <v>110.32</v>
      </c>
      <c r="I1864" t="str" cm="1">
        <f t="array" ref="I1864:J1864">_xlfn.TEXTSPLIT(A1864," ")</f>
        <v>28.10.2023</v>
      </c>
      <c r="J1864" t="str">
        <v>07:05:12</v>
      </c>
      <c r="K1864">
        <f t="shared" si="418"/>
        <v>31.016666666666186</v>
      </c>
      <c r="L1864">
        <f t="shared" si="415"/>
        <v>18.420000000000002</v>
      </c>
      <c r="M1864">
        <f t="shared" si="416"/>
        <v>0.45</v>
      </c>
      <c r="N1864">
        <f t="shared" si="412"/>
        <v>0.45</v>
      </c>
      <c r="Q1864" t="str" cm="1">
        <f t="array" ref="Q1864:R1864">_xlfn.TEXTSPLIT(E1864," ")</f>
        <v>28.10.2023</v>
      </c>
      <c r="R1864" t="str">
        <v>07:05:12</v>
      </c>
      <c r="S1864">
        <f t="shared" si="419"/>
        <v>31.016666666666186</v>
      </c>
      <c r="T1864">
        <f t="shared" si="414"/>
        <v>31.72</v>
      </c>
      <c r="U1864">
        <f t="shared" si="417"/>
        <v>0.6</v>
      </c>
      <c r="V1864">
        <f t="shared" si="413"/>
        <v>0.84749999999999981</v>
      </c>
    </row>
    <row r="1865" spans="1:22" x14ac:dyDescent="0.25">
      <c r="A1865" t="s">
        <v>3821</v>
      </c>
      <c r="B1865">
        <v>0.3</v>
      </c>
      <c r="C1865">
        <v>32.75</v>
      </c>
      <c r="E1865" t="s">
        <v>3821</v>
      </c>
      <c r="F1865">
        <v>1.65</v>
      </c>
      <c r="G1865">
        <v>110.36</v>
      </c>
      <c r="I1865" t="str" cm="1">
        <f t="array" ref="I1865:J1865">_xlfn.TEXTSPLIT(A1865," ")</f>
        <v>28.10.2023</v>
      </c>
      <c r="J1865" t="str">
        <v>07:06:13</v>
      </c>
      <c r="K1865">
        <f t="shared" si="418"/>
        <v>31.033333333332852</v>
      </c>
      <c r="L1865">
        <f t="shared" si="415"/>
        <v>18.43</v>
      </c>
      <c r="M1865">
        <f t="shared" si="416"/>
        <v>0.3</v>
      </c>
      <c r="N1865">
        <f t="shared" si="412"/>
        <v>0.45250000000000001</v>
      </c>
      <c r="Q1865" t="str" cm="1">
        <f t="array" ref="Q1865:R1865">_xlfn.TEXTSPLIT(E1865," ")</f>
        <v>28.10.2023</v>
      </c>
      <c r="R1865" t="str">
        <v>07:06:13</v>
      </c>
      <c r="S1865">
        <f t="shared" si="419"/>
        <v>31.033333333332852</v>
      </c>
      <c r="T1865">
        <f t="shared" si="414"/>
        <v>31.760000000000005</v>
      </c>
      <c r="U1865">
        <f t="shared" si="417"/>
        <v>1.65</v>
      </c>
      <c r="V1865">
        <f t="shared" si="413"/>
        <v>0.83249999999999991</v>
      </c>
    </row>
    <row r="1866" spans="1:22" x14ac:dyDescent="0.25">
      <c r="A1866" t="s">
        <v>3822</v>
      </c>
      <c r="B1866">
        <v>1.35</v>
      </c>
      <c r="C1866">
        <v>32.770000000000003</v>
      </c>
      <c r="E1866" t="s">
        <v>3822</v>
      </c>
      <c r="F1866">
        <v>3.6</v>
      </c>
      <c r="G1866">
        <v>110.42</v>
      </c>
      <c r="I1866" t="str" cm="1">
        <f t="array" ref="I1866:J1866">_xlfn.TEXTSPLIT(A1866," ")</f>
        <v>28.10.2023</v>
      </c>
      <c r="J1866" t="str">
        <v>07:07:13</v>
      </c>
      <c r="K1866">
        <f t="shared" si="418"/>
        <v>31.049999999999518</v>
      </c>
      <c r="L1866">
        <f t="shared" si="415"/>
        <v>18.450000000000003</v>
      </c>
      <c r="M1866">
        <f t="shared" si="416"/>
        <v>1.35</v>
      </c>
      <c r="N1866">
        <f t="shared" si="412"/>
        <v>0.45500000000000007</v>
      </c>
      <c r="Q1866" t="str" cm="1">
        <f t="array" ref="Q1866:R1866">_xlfn.TEXTSPLIT(E1866," ")</f>
        <v>28.10.2023</v>
      </c>
      <c r="R1866" t="str">
        <v>07:07:13</v>
      </c>
      <c r="S1866">
        <f t="shared" si="419"/>
        <v>31.049999999999518</v>
      </c>
      <c r="T1866">
        <f t="shared" si="414"/>
        <v>31.820000000000007</v>
      </c>
      <c r="U1866">
        <f t="shared" si="417"/>
        <v>3.6</v>
      </c>
      <c r="V1866">
        <f t="shared" si="413"/>
        <v>0.84499999999999997</v>
      </c>
    </row>
    <row r="1867" spans="1:22" x14ac:dyDescent="0.25">
      <c r="A1867" t="s">
        <v>3823</v>
      </c>
      <c r="B1867">
        <v>2.25</v>
      </c>
      <c r="C1867">
        <v>32.82</v>
      </c>
      <c r="E1867" t="s">
        <v>3823</v>
      </c>
      <c r="F1867">
        <v>2.1</v>
      </c>
      <c r="G1867">
        <v>110.44</v>
      </c>
      <c r="I1867" t="str" cm="1">
        <f t="array" ref="I1867:J1867">_xlfn.TEXTSPLIT(A1867," ")</f>
        <v>28.10.2023</v>
      </c>
      <c r="J1867" t="str">
        <v>07:08:13</v>
      </c>
      <c r="K1867">
        <f t="shared" si="418"/>
        <v>31.066666666666183</v>
      </c>
      <c r="L1867">
        <f t="shared" si="415"/>
        <v>18.5</v>
      </c>
      <c r="M1867">
        <f t="shared" si="416"/>
        <v>2.25</v>
      </c>
      <c r="N1867">
        <f t="shared" si="412"/>
        <v>0.44750000000000012</v>
      </c>
      <c r="Q1867" t="str" cm="1">
        <f t="array" ref="Q1867:R1867">_xlfn.TEXTSPLIT(E1867," ")</f>
        <v>28.10.2023</v>
      </c>
      <c r="R1867" t="str">
        <v>07:08:13</v>
      </c>
      <c r="S1867">
        <f t="shared" si="419"/>
        <v>31.066666666666183</v>
      </c>
      <c r="T1867">
        <f t="shared" si="414"/>
        <v>31.840000000000003</v>
      </c>
      <c r="U1867">
        <f t="shared" si="417"/>
        <v>2.1</v>
      </c>
      <c r="V1867">
        <f t="shared" si="413"/>
        <v>0.85499999999999998</v>
      </c>
    </row>
    <row r="1868" spans="1:22" x14ac:dyDescent="0.25">
      <c r="A1868" t="s">
        <v>3824</v>
      </c>
      <c r="B1868">
        <v>1.95</v>
      </c>
      <c r="C1868">
        <v>32.840000000000003</v>
      </c>
      <c r="E1868" t="s">
        <v>3824</v>
      </c>
      <c r="F1868">
        <v>1.65</v>
      </c>
      <c r="G1868">
        <v>110.47</v>
      </c>
      <c r="I1868" t="str" cm="1">
        <f t="array" ref="I1868:J1868">_xlfn.TEXTSPLIT(A1868," ")</f>
        <v>28.10.2023</v>
      </c>
      <c r="J1868" t="str">
        <v>07:09:13</v>
      </c>
      <c r="K1868">
        <f t="shared" si="418"/>
        <v>31.083333333332849</v>
      </c>
      <c r="L1868">
        <f t="shared" si="415"/>
        <v>18.520000000000003</v>
      </c>
      <c r="M1868">
        <f t="shared" si="416"/>
        <v>1.95</v>
      </c>
      <c r="N1868">
        <f t="shared" si="412"/>
        <v>0.45250000000000001</v>
      </c>
      <c r="Q1868" t="str" cm="1">
        <f t="array" ref="Q1868:R1868">_xlfn.TEXTSPLIT(E1868," ")</f>
        <v>28.10.2023</v>
      </c>
      <c r="R1868" t="str">
        <v>07:09:13</v>
      </c>
      <c r="S1868">
        <f t="shared" si="419"/>
        <v>31.083333333332849</v>
      </c>
      <c r="T1868">
        <f t="shared" si="414"/>
        <v>31.870000000000005</v>
      </c>
      <c r="U1868">
        <f t="shared" si="417"/>
        <v>1.65</v>
      </c>
      <c r="V1868">
        <f t="shared" si="413"/>
        <v>0.86499999999999988</v>
      </c>
    </row>
    <row r="1869" spans="1:22" x14ac:dyDescent="0.25">
      <c r="A1869" t="s">
        <v>3825</v>
      </c>
      <c r="B1869">
        <v>1.2</v>
      </c>
      <c r="C1869">
        <v>32.86</v>
      </c>
      <c r="E1869" t="s">
        <v>3825</v>
      </c>
      <c r="F1869">
        <v>1.5</v>
      </c>
      <c r="G1869">
        <v>110.5</v>
      </c>
      <c r="I1869" t="str" cm="1">
        <f t="array" ref="I1869:J1869">_xlfn.TEXTSPLIT(A1869," ")</f>
        <v>28.10.2023</v>
      </c>
      <c r="J1869" t="str">
        <v>07:10:13</v>
      </c>
      <c r="K1869">
        <f t="shared" si="418"/>
        <v>31.099999999999515</v>
      </c>
      <c r="L1869">
        <f t="shared" si="415"/>
        <v>18.54</v>
      </c>
      <c r="M1869">
        <f t="shared" si="416"/>
        <v>1.2</v>
      </c>
      <c r="N1869">
        <f t="shared" si="412"/>
        <v>0.45500000000000002</v>
      </c>
      <c r="Q1869" t="str" cm="1">
        <f t="array" ref="Q1869:R1869">_xlfn.TEXTSPLIT(E1869," ")</f>
        <v>28.10.2023</v>
      </c>
      <c r="R1869" t="str">
        <v>07:10:13</v>
      </c>
      <c r="S1869">
        <f t="shared" si="419"/>
        <v>31.099999999999515</v>
      </c>
      <c r="T1869">
        <f t="shared" si="414"/>
        <v>31.900000000000006</v>
      </c>
      <c r="U1869">
        <f t="shared" si="417"/>
        <v>1.5</v>
      </c>
      <c r="V1869">
        <f t="shared" si="413"/>
        <v>0.875</v>
      </c>
    </row>
    <row r="1870" spans="1:22" x14ac:dyDescent="0.25">
      <c r="A1870" t="s">
        <v>3826</v>
      </c>
      <c r="B1870">
        <v>0.9</v>
      </c>
      <c r="C1870">
        <v>32.880000000000003</v>
      </c>
      <c r="E1870" t="s">
        <v>3826</v>
      </c>
      <c r="F1870">
        <v>1.8</v>
      </c>
      <c r="G1870">
        <v>110.53</v>
      </c>
      <c r="I1870" t="str" cm="1">
        <f t="array" ref="I1870:J1870">_xlfn.TEXTSPLIT(A1870," ")</f>
        <v>28.10.2023</v>
      </c>
      <c r="J1870" t="str">
        <v>07:11:13</v>
      </c>
      <c r="K1870">
        <f t="shared" si="418"/>
        <v>31.11666666666618</v>
      </c>
      <c r="L1870">
        <f t="shared" si="415"/>
        <v>18.560000000000002</v>
      </c>
      <c r="M1870">
        <f t="shared" si="416"/>
        <v>0.9</v>
      </c>
      <c r="N1870">
        <f t="shared" si="412"/>
        <v>0.46</v>
      </c>
      <c r="Q1870" t="str" cm="1">
        <f t="array" ref="Q1870:R1870">_xlfn.TEXTSPLIT(E1870," ")</f>
        <v>28.10.2023</v>
      </c>
      <c r="R1870" t="str">
        <v>07:11:13</v>
      </c>
      <c r="S1870">
        <f t="shared" si="419"/>
        <v>31.11666666666618</v>
      </c>
      <c r="T1870">
        <f t="shared" si="414"/>
        <v>31.930000000000007</v>
      </c>
      <c r="U1870">
        <f t="shared" si="417"/>
        <v>1.8</v>
      </c>
      <c r="V1870">
        <f t="shared" si="413"/>
        <v>0.88500000000000001</v>
      </c>
    </row>
    <row r="1871" spans="1:22" x14ac:dyDescent="0.25">
      <c r="A1871" t="s">
        <v>3827</v>
      </c>
      <c r="B1871">
        <v>0.9</v>
      </c>
      <c r="C1871">
        <v>32.89</v>
      </c>
      <c r="E1871" t="s">
        <v>3827</v>
      </c>
      <c r="F1871">
        <v>1.35</v>
      </c>
      <c r="G1871">
        <v>110.55</v>
      </c>
      <c r="I1871" t="str" cm="1">
        <f t="array" ref="I1871:J1871">_xlfn.TEXTSPLIT(A1871," ")</f>
        <v>28.10.2023</v>
      </c>
      <c r="J1871" t="str">
        <v>07:12:13</v>
      </c>
      <c r="K1871">
        <f t="shared" si="418"/>
        <v>31.133333333332846</v>
      </c>
      <c r="L1871">
        <f t="shared" si="415"/>
        <v>18.57</v>
      </c>
      <c r="M1871">
        <f t="shared" si="416"/>
        <v>0.9</v>
      </c>
      <c r="N1871">
        <f t="shared" si="412"/>
        <v>0.46249999999999997</v>
      </c>
      <c r="Q1871" t="str" cm="1">
        <f t="array" ref="Q1871:R1871">_xlfn.TEXTSPLIT(E1871," ")</f>
        <v>28.10.2023</v>
      </c>
      <c r="R1871" t="str">
        <v>07:12:13</v>
      </c>
      <c r="S1871">
        <f t="shared" si="419"/>
        <v>31.133333333332846</v>
      </c>
      <c r="T1871">
        <f t="shared" si="414"/>
        <v>31.950000000000003</v>
      </c>
      <c r="U1871">
        <f t="shared" si="417"/>
        <v>1.35</v>
      </c>
      <c r="V1871">
        <f t="shared" si="413"/>
        <v>0.89</v>
      </c>
    </row>
    <row r="1872" spans="1:22" x14ac:dyDescent="0.25">
      <c r="A1872" t="s">
        <v>3828</v>
      </c>
      <c r="B1872">
        <v>0.75</v>
      </c>
      <c r="C1872">
        <v>32.9</v>
      </c>
      <c r="E1872" t="s">
        <v>3828</v>
      </c>
      <c r="F1872">
        <v>0.9</v>
      </c>
      <c r="G1872">
        <v>110.56</v>
      </c>
      <c r="I1872" t="str" cm="1">
        <f t="array" ref="I1872:J1872">_xlfn.TEXTSPLIT(A1872," ")</f>
        <v>28.10.2023</v>
      </c>
      <c r="J1872" t="str">
        <v>07:13:14</v>
      </c>
      <c r="K1872">
        <f t="shared" si="418"/>
        <v>31.149999999999512</v>
      </c>
      <c r="L1872">
        <f t="shared" si="415"/>
        <v>18.579999999999998</v>
      </c>
      <c r="M1872">
        <f t="shared" si="416"/>
        <v>0.75</v>
      </c>
      <c r="N1872">
        <f t="shared" si="412"/>
        <v>0.46749999999999997</v>
      </c>
      <c r="Q1872" t="str" cm="1">
        <f t="array" ref="Q1872:R1872">_xlfn.TEXTSPLIT(E1872," ")</f>
        <v>28.10.2023</v>
      </c>
      <c r="R1872" t="str">
        <v>07:13:14</v>
      </c>
      <c r="S1872">
        <f t="shared" si="419"/>
        <v>31.149999999999512</v>
      </c>
      <c r="T1872">
        <f t="shared" si="414"/>
        <v>31.960000000000008</v>
      </c>
      <c r="U1872">
        <f t="shared" si="417"/>
        <v>0.9</v>
      </c>
      <c r="V1872">
        <f t="shared" si="413"/>
        <v>0.88000000000000023</v>
      </c>
    </row>
    <row r="1873" spans="1:22" x14ac:dyDescent="0.25">
      <c r="A1873" t="s">
        <v>3829</v>
      </c>
      <c r="B1873">
        <v>1.2</v>
      </c>
      <c r="C1873">
        <v>32.92</v>
      </c>
      <c r="E1873" t="s">
        <v>3829</v>
      </c>
      <c r="F1873">
        <v>0.75</v>
      </c>
      <c r="G1873">
        <v>110.57</v>
      </c>
      <c r="I1873" t="str" cm="1">
        <f t="array" ref="I1873:J1873">_xlfn.TEXTSPLIT(A1873," ")</f>
        <v>28.10.2023</v>
      </c>
      <c r="J1873" t="str">
        <v>07:14:14</v>
      </c>
      <c r="K1873">
        <f t="shared" si="418"/>
        <v>31.166666666666178</v>
      </c>
      <c r="L1873">
        <f t="shared" si="415"/>
        <v>18.600000000000001</v>
      </c>
      <c r="M1873">
        <f t="shared" si="416"/>
        <v>1.2</v>
      </c>
      <c r="N1873">
        <f t="shared" si="412"/>
        <v>0.47999999999999993</v>
      </c>
      <c r="Q1873" t="str" cm="1">
        <f t="array" ref="Q1873:R1873">_xlfn.TEXTSPLIT(E1873," ")</f>
        <v>28.10.2023</v>
      </c>
      <c r="R1873" t="str">
        <v>07:14:14</v>
      </c>
      <c r="S1873">
        <f t="shared" si="419"/>
        <v>31.166666666666178</v>
      </c>
      <c r="T1873">
        <f t="shared" si="414"/>
        <v>31.97</v>
      </c>
      <c r="U1873">
        <f t="shared" si="417"/>
        <v>0.75</v>
      </c>
      <c r="V1873">
        <f t="shared" si="413"/>
        <v>0.87750000000000006</v>
      </c>
    </row>
    <row r="1874" spans="1:22" x14ac:dyDescent="0.25">
      <c r="A1874" t="s">
        <v>3830</v>
      </c>
      <c r="B1874">
        <v>0.75</v>
      </c>
      <c r="C1874">
        <v>32.93</v>
      </c>
      <c r="E1874" t="s">
        <v>3830</v>
      </c>
      <c r="F1874">
        <v>0.9</v>
      </c>
      <c r="G1874">
        <v>110.59</v>
      </c>
      <c r="I1874" t="str" cm="1">
        <f t="array" ref="I1874:J1874">_xlfn.TEXTSPLIT(A1874," ")</f>
        <v>28.10.2023</v>
      </c>
      <c r="J1874" t="str">
        <v>07:15:14</v>
      </c>
      <c r="K1874">
        <f t="shared" si="418"/>
        <v>31.183333333332843</v>
      </c>
      <c r="L1874">
        <f t="shared" si="415"/>
        <v>18.61</v>
      </c>
      <c r="M1874">
        <f t="shared" si="416"/>
        <v>0.75</v>
      </c>
      <c r="N1874">
        <f t="shared" si="412"/>
        <v>0.47999999999999993</v>
      </c>
      <c r="Q1874" t="str" cm="1">
        <f t="array" ref="Q1874:R1874">_xlfn.TEXTSPLIT(E1874," ")</f>
        <v>28.10.2023</v>
      </c>
      <c r="R1874" t="str">
        <v>07:15:14</v>
      </c>
      <c r="S1874">
        <f t="shared" si="419"/>
        <v>31.183333333332843</v>
      </c>
      <c r="T1874">
        <f t="shared" si="414"/>
        <v>31.990000000000009</v>
      </c>
      <c r="U1874">
        <f t="shared" si="417"/>
        <v>0.9</v>
      </c>
      <c r="V1874">
        <f t="shared" si="413"/>
        <v>0.88250000000000006</v>
      </c>
    </row>
    <row r="1875" spans="1:22" x14ac:dyDescent="0.25">
      <c r="A1875" t="s">
        <v>3831</v>
      </c>
      <c r="B1875">
        <v>0</v>
      </c>
      <c r="C1875">
        <v>32.93</v>
      </c>
      <c r="E1875" t="s">
        <v>3831</v>
      </c>
      <c r="F1875">
        <v>0.9</v>
      </c>
      <c r="G1875">
        <v>110.6</v>
      </c>
      <c r="I1875" t="str" cm="1">
        <f t="array" ref="I1875:J1875">_xlfn.TEXTSPLIT(A1875," ")</f>
        <v>28.10.2023</v>
      </c>
      <c r="J1875" t="str">
        <v>07:16:14</v>
      </c>
      <c r="K1875">
        <f t="shared" si="418"/>
        <v>31.199999999999509</v>
      </c>
      <c r="L1875">
        <f t="shared" si="415"/>
        <v>18.61</v>
      </c>
      <c r="M1875">
        <f t="shared" si="416"/>
        <v>0</v>
      </c>
      <c r="N1875">
        <f t="shared" si="412"/>
        <v>0.47999999999999993</v>
      </c>
      <c r="Q1875" t="str" cm="1">
        <f t="array" ref="Q1875:R1875">_xlfn.TEXTSPLIT(E1875," ")</f>
        <v>28.10.2023</v>
      </c>
      <c r="R1875" t="str">
        <v>07:16:14</v>
      </c>
      <c r="S1875">
        <f t="shared" si="419"/>
        <v>31.199999999999509</v>
      </c>
      <c r="T1875">
        <f t="shared" si="414"/>
        <v>32</v>
      </c>
      <c r="U1875">
        <f t="shared" si="417"/>
        <v>0.9</v>
      </c>
      <c r="V1875">
        <f t="shared" si="413"/>
        <v>0.88500000000000001</v>
      </c>
    </row>
    <row r="1876" spans="1:22" x14ac:dyDescent="0.25">
      <c r="A1876" t="s">
        <v>3832</v>
      </c>
      <c r="B1876">
        <v>0.75</v>
      </c>
      <c r="C1876">
        <v>32.950000000000003</v>
      </c>
      <c r="E1876" t="s">
        <v>3832</v>
      </c>
      <c r="F1876">
        <v>1.05</v>
      </c>
      <c r="G1876">
        <v>110.62</v>
      </c>
      <c r="I1876" t="str" cm="1">
        <f t="array" ref="I1876:J1876">_xlfn.TEXTSPLIT(A1876," ")</f>
        <v>28.10.2023</v>
      </c>
      <c r="J1876" t="str">
        <v>07:17:14</v>
      </c>
      <c r="K1876">
        <f t="shared" si="418"/>
        <v>31.216666666666175</v>
      </c>
      <c r="L1876">
        <f t="shared" si="415"/>
        <v>18.630000000000003</v>
      </c>
      <c r="M1876">
        <f t="shared" si="416"/>
        <v>0.75</v>
      </c>
      <c r="N1876">
        <f t="shared" si="412"/>
        <v>0.48999999999999994</v>
      </c>
      <c r="Q1876" t="str" cm="1">
        <f t="array" ref="Q1876:R1876">_xlfn.TEXTSPLIT(E1876," ")</f>
        <v>28.10.2023</v>
      </c>
      <c r="R1876" t="str">
        <v>07:17:14</v>
      </c>
      <c r="S1876">
        <f t="shared" si="419"/>
        <v>31.216666666666175</v>
      </c>
      <c r="T1876">
        <f t="shared" si="414"/>
        <v>32.02000000000001</v>
      </c>
      <c r="U1876">
        <f t="shared" si="417"/>
        <v>1.05</v>
      </c>
      <c r="V1876">
        <f t="shared" si="413"/>
        <v>0.89250000000000007</v>
      </c>
    </row>
    <row r="1877" spans="1:22" x14ac:dyDescent="0.25">
      <c r="A1877" t="s">
        <v>3833</v>
      </c>
      <c r="B1877">
        <v>0.9</v>
      </c>
      <c r="C1877">
        <v>32.96</v>
      </c>
      <c r="E1877" t="s">
        <v>3833</v>
      </c>
      <c r="F1877">
        <v>1.35</v>
      </c>
      <c r="G1877">
        <v>110.65</v>
      </c>
      <c r="I1877" t="str" cm="1">
        <f t="array" ref="I1877:J1877">_xlfn.TEXTSPLIT(A1877," ")</f>
        <v>28.10.2023</v>
      </c>
      <c r="J1877" t="str">
        <v>07:18:14</v>
      </c>
      <c r="K1877">
        <f t="shared" si="418"/>
        <v>31.23333333333284</v>
      </c>
      <c r="L1877">
        <f t="shared" si="415"/>
        <v>18.64</v>
      </c>
      <c r="M1877">
        <f t="shared" si="416"/>
        <v>0.9</v>
      </c>
      <c r="N1877">
        <f t="shared" si="412"/>
        <v>0.49249999999999994</v>
      </c>
      <c r="Q1877" t="str" cm="1">
        <f t="array" ref="Q1877:R1877">_xlfn.TEXTSPLIT(E1877," ")</f>
        <v>28.10.2023</v>
      </c>
      <c r="R1877" t="str">
        <v>07:18:14</v>
      </c>
      <c r="S1877">
        <f t="shared" si="419"/>
        <v>31.23333333333284</v>
      </c>
      <c r="T1877">
        <f t="shared" si="414"/>
        <v>32.050000000000011</v>
      </c>
      <c r="U1877">
        <f t="shared" si="417"/>
        <v>1.35</v>
      </c>
      <c r="V1877">
        <f t="shared" si="413"/>
        <v>0.90249999999999997</v>
      </c>
    </row>
    <row r="1878" spans="1:22" x14ac:dyDescent="0.25">
      <c r="A1878" t="s">
        <v>3834</v>
      </c>
      <c r="B1878">
        <v>0.45</v>
      </c>
      <c r="C1878">
        <v>32.97</v>
      </c>
      <c r="E1878" t="s">
        <v>3834</v>
      </c>
      <c r="F1878">
        <v>1.2</v>
      </c>
      <c r="G1878">
        <v>110.67</v>
      </c>
      <c r="I1878" t="str" cm="1">
        <f t="array" ref="I1878:J1878">_xlfn.TEXTSPLIT(A1878," ")</f>
        <v>28.10.2023</v>
      </c>
      <c r="J1878" t="str">
        <v>07:19:14</v>
      </c>
      <c r="K1878">
        <f t="shared" si="418"/>
        <v>31.249999999999506</v>
      </c>
      <c r="L1878">
        <f t="shared" si="415"/>
        <v>18.649999999999999</v>
      </c>
      <c r="M1878">
        <f t="shared" si="416"/>
        <v>0.45</v>
      </c>
      <c r="N1878">
        <f t="shared" si="412"/>
        <v>0.48999999999999994</v>
      </c>
      <c r="Q1878" t="str" cm="1">
        <f t="array" ref="Q1878:R1878">_xlfn.TEXTSPLIT(E1878," ")</f>
        <v>28.10.2023</v>
      </c>
      <c r="R1878" t="str">
        <v>07:19:14</v>
      </c>
      <c r="S1878">
        <f t="shared" si="419"/>
        <v>31.249999999999506</v>
      </c>
      <c r="T1878">
        <f t="shared" si="414"/>
        <v>32.070000000000007</v>
      </c>
      <c r="U1878">
        <f t="shared" si="417"/>
        <v>1.2</v>
      </c>
      <c r="V1878">
        <f t="shared" si="413"/>
        <v>0.90750000000000008</v>
      </c>
    </row>
    <row r="1879" spans="1:22" x14ac:dyDescent="0.25">
      <c r="A1879" t="s">
        <v>3835</v>
      </c>
      <c r="B1879">
        <v>0.6</v>
      </c>
      <c r="C1879">
        <v>32.979999999999997</v>
      </c>
      <c r="E1879" t="s">
        <v>3835</v>
      </c>
      <c r="F1879">
        <v>0.6</v>
      </c>
      <c r="G1879">
        <v>110.68</v>
      </c>
      <c r="I1879" t="str" cm="1">
        <f t="array" ref="I1879:J1879">_xlfn.TEXTSPLIT(A1879," ")</f>
        <v>28.10.2023</v>
      </c>
      <c r="J1879" t="str">
        <v>07:20:14</v>
      </c>
      <c r="K1879">
        <f t="shared" si="418"/>
        <v>31.266666666666172</v>
      </c>
      <c r="L1879">
        <f t="shared" si="415"/>
        <v>18.659999999999997</v>
      </c>
      <c r="M1879">
        <f t="shared" si="416"/>
        <v>0.6</v>
      </c>
      <c r="N1879">
        <f t="shared" si="412"/>
        <v>0.49249999999999994</v>
      </c>
      <c r="Q1879" t="str" cm="1">
        <f t="array" ref="Q1879:R1879">_xlfn.TEXTSPLIT(E1879," ")</f>
        <v>28.10.2023</v>
      </c>
      <c r="R1879" t="str">
        <v>07:20:14</v>
      </c>
      <c r="S1879">
        <f t="shared" si="419"/>
        <v>31.266666666666172</v>
      </c>
      <c r="T1879">
        <f t="shared" si="414"/>
        <v>32.080000000000013</v>
      </c>
      <c r="U1879">
        <f t="shared" si="417"/>
        <v>0.6</v>
      </c>
      <c r="V1879">
        <f t="shared" si="413"/>
        <v>0.90249999999999997</v>
      </c>
    </row>
    <row r="1880" spans="1:22" x14ac:dyDescent="0.25">
      <c r="A1880" t="s">
        <v>3836</v>
      </c>
      <c r="B1880">
        <v>0.3</v>
      </c>
      <c r="C1880">
        <v>32.979999999999997</v>
      </c>
      <c r="E1880" t="s">
        <v>3836</v>
      </c>
      <c r="F1880">
        <v>0</v>
      </c>
      <c r="G1880">
        <v>110.68</v>
      </c>
      <c r="I1880" t="str" cm="1">
        <f t="array" ref="I1880:J1880">_xlfn.TEXTSPLIT(A1880," ")</f>
        <v>28.10.2023</v>
      </c>
      <c r="J1880" t="str">
        <v>07:21:15</v>
      </c>
      <c r="K1880">
        <f t="shared" si="418"/>
        <v>31.283333333332838</v>
      </c>
      <c r="L1880">
        <f t="shared" si="415"/>
        <v>18.659999999999997</v>
      </c>
      <c r="M1880">
        <f t="shared" si="416"/>
        <v>0.3</v>
      </c>
      <c r="N1880">
        <f t="shared" si="412"/>
        <v>0.49</v>
      </c>
      <c r="Q1880" t="str" cm="1">
        <f t="array" ref="Q1880:R1880">_xlfn.TEXTSPLIT(E1880," ")</f>
        <v>28.10.2023</v>
      </c>
      <c r="R1880" t="str">
        <v>07:21:15</v>
      </c>
      <c r="S1880">
        <f t="shared" si="419"/>
        <v>31.283333333332838</v>
      </c>
      <c r="T1880">
        <f t="shared" si="414"/>
        <v>32.080000000000013</v>
      </c>
      <c r="U1880">
        <f t="shared" si="417"/>
        <v>0</v>
      </c>
      <c r="V1880">
        <f t="shared" si="413"/>
        <v>0.90249999999999997</v>
      </c>
    </row>
    <row r="1881" spans="1:22" x14ac:dyDescent="0.25">
      <c r="A1881" t="s">
        <v>3837</v>
      </c>
      <c r="B1881">
        <v>0.3</v>
      </c>
      <c r="C1881">
        <v>32.99</v>
      </c>
      <c r="E1881" t="s">
        <v>3837</v>
      </c>
      <c r="F1881">
        <v>0</v>
      </c>
      <c r="G1881">
        <v>110.68</v>
      </c>
      <c r="I1881" t="str" cm="1">
        <f t="array" ref="I1881:J1881">_xlfn.TEXTSPLIT(A1881," ")</f>
        <v>28.10.2023</v>
      </c>
      <c r="J1881" t="str">
        <v>07:22:15</v>
      </c>
      <c r="K1881">
        <f t="shared" si="418"/>
        <v>31.299999999999503</v>
      </c>
      <c r="L1881">
        <f t="shared" si="415"/>
        <v>18.670000000000002</v>
      </c>
      <c r="M1881">
        <f t="shared" si="416"/>
        <v>0.3</v>
      </c>
      <c r="N1881">
        <f t="shared" si="412"/>
        <v>0.495</v>
      </c>
      <c r="Q1881" t="str" cm="1">
        <f t="array" ref="Q1881:R1881">_xlfn.TEXTSPLIT(E1881," ")</f>
        <v>28.10.2023</v>
      </c>
      <c r="R1881" t="str">
        <v>07:22:15</v>
      </c>
      <c r="S1881">
        <f t="shared" si="419"/>
        <v>31.299999999999503</v>
      </c>
      <c r="T1881">
        <f t="shared" si="414"/>
        <v>32.080000000000013</v>
      </c>
      <c r="U1881">
        <f t="shared" si="417"/>
        <v>0</v>
      </c>
      <c r="V1881">
        <f t="shared" si="413"/>
        <v>0.90249999999999997</v>
      </c>
    </row>
    <row r="1882" spans="1:22" x14ac:dyDescent="0.25">
      <c r="A1882" t="s">
        <v>3838</v>
      </c>
      <c r="B1882">
        <v>0</v>
      </c>
      <c r="C1882">
        <v>32.99</v>
      </c>
      <c r="E1882" t="s">
        <v>3838</v>
      </c>
      <c r="F1882">
        <v>0.15</v>
      </c>
      <c r="G1882">
        <v>110.68</v>
      </c>
      <c r="I1882" t="str" cm="1">
        <f t="array" ref="I1882:J1882">_xlfn.TEXTSPLIT(A1882," ")</f>
        <v>28.10.2023</v>
      </c>
      <c r="J1882" t="str">
        <v>07:23:15</v>
      </c>
      <c r="K1882">
        <f t="shared" si="418"/>
        <v>31.316666666666169</v>
      </c>
      <c r="L1882">
        <f t="shared" si="415"/>
        <v>18.670000000000002</v>
      </c>
      <c r="M1882">
        <f t="shared" si="416"/>
        <v>0</v>
      </c>
      <c r="N1882">
        <f t="shared" si="412"/>
        <v>0.495</v>
      </c>
      <c r="Q1882" t="str" cm="1">
        <f t="array" ref="Q1882:R1882">_xlfn.TEXTSPLIT(E1882," ")</f>
        <v>28.10.2023</v>
      </c>
      <c r="R1882" t="str">
        <v>07:23:15</v>
      </c>
      <c r="S1882">
        <f t="shared" si="419"/>
        <v>31.316666666666169</v>
      </c>
      <c r="T1882">
        <f t="shared" si="414"/>
        <v>32.080000000000013</v>
      </c>
      <c r="U1882">
        <f t="shared" si="417"/>
        <v>0.15</v>
      </c>
      <c r="V1882">
        <f t="shared" si="413"/>
        <v>0.89999999999999991</v>
      </c>
    </row>
    <row r="1883" spans="1:22" x14ac:dyDescent="0.25">
      <c r="A1883" t="s">
        <v>3839</v>
      </c>
      <c r="B1883">
        <v>0</v>
      </c>
      <c r="C1883">
        <v>32.99</v>
      </c>
      <c r="E1883" t="s">
        <v>3839</v>
      </c>
      <c r="F1883">
        <v>0.3</v>
      </c>
      <c r="G1883">
        <v>110.68</v>
      </c>
      <c r="I1883" t="str" cm="1">
        <f t="array" ref="I1883:J1883">_xlfn.TEXTSPLIT(A1883," ")</f>
        <v>28.10.2023</v>
      </c>
      <c r="J1883" t="str">
        <v>07:24:15</v>
      </c>
      <c r="K1883">
        <f t="shared" si="418"/>
        <v>31.333333333332835</v>
      </c>
      <c r="L1883">
        <f t="shared" si="415"/>
        <v>18.670000000000002</v>
      </c>
      <c r="M1883">
        <f t="shared" si="416"/>
        <v>0</v>
      </c>
      <c r="N1883">
        <f t="shared" si="412"/>
        <v>0.495</v>
      </c>
      <c r="Q1883" t="str" cm="1">
        <f t="array" ref="Q1883:R1883">_xlfn.TEXTSPLIT(E1883," ")</f>
        <v>28.10.2023</v>
      </c>
      <c r="R1883" t="str">
        <v>07:24:15</v>
      </c>
      <c r="S1883">
        <f t="shared" si="419"/>
        <v>31.333333333332835</v>
      </c>
      <c r="T1883">
        <f t="shared" si="414"/>
        <v>32.080000000000013</v>
      </c>
      <c r="U1883">
        <f t="shared" si="417"/>
        <v>0.3</v>
      </c>
      <c r="V1883">
        <f t="shared" si="413"/>
        <v>0.89749999999999985</v>
      </c>
    </row>
    <row r="1884" spans="1:22" x14ac:dyDescent="0.25">
      <c r="A1884" t="s">
        <v>3840</v>
      </c>
      <c r="B1884">
        <v>0</v>
      </c>
      <c r="C1884">
        <v>32.99</v>
      </c>
      <c r="E1884" t="s">
        <v>3840</v>
      </c>
      <c r="F1884">
        <v>0.3</v>
      </c>
      <c r="G1884">
        <v>110.69</v>
      </c>
      <c r="I1884" t="str" cm="1">
        <f t="array" ref="I1884:J1884">_xlfn.TEXTSPLIT(A1884," ")</f>
        <v>28.10.2023</v>
      </c>
      <c r="J1884" t="str">
        <v>07:25:15</v>
      </c>
      <c r="K1884">
        <f t="shared" si="418"/>
        <v>31.3499999999995</v>
      </c>
      <c r="L1884">
        <f t="shared" si="415"/>
        <v>18.670000000000002</v>
      </c>
      <c r="M1884">
        <f t="shared" si="416"/>
        <v>0</v>
      </c>
      <c r="N1884">
        <f t="shared" si="412"/>
        <v>0.495</v>
      </c>
      <c r="Q1884" t="str" cm="1">
        <f t="array" ref="Q1884:R1884">_xlfn.TEXTSPLIT(E1884," ")</f>
        <v>28.10.2023</v>
      </c>
      <c r="R1884" t="str">
        <v>07:25:15</v>
      </c>
      <c r="S1884">
        <f t="shared" si="419"/>
        <v>31.3499999999995</v>
      </c>
      <c r="T1884">
        <f t="shared" si="414"/>
        <v>32.090000000000003</v>
      </c>
      <c r="U1884">
        <f t="shared" si="417"/>
        <v>0.3</v>
      </c>
      <c r="V1884">
        <f t="shared" si="413"/>
        <v>0.89749999999999985</v>
      </c>
    </row>
    <row r="1885" spans="1:22" x14ac:dyDescent="0.25">
      <c r="A1885" t="s">
        <v>3841</v>
      </c>
      <c r="B1885">
        <v>0</v>
      </c>
      <c r="C1885">
        <v>32.99</v>
      </c>
      <c r="E1885" t="s">
        <v>3841</v>
      </c>
      <c r="F1885">
        <v>0.3</v>
      </c>
      <c r="G1885">
        <v>110.69</v>
      </c>
      <c r="I1885" t="str" cm="1">
        <f t="array" ref="I1885:J1885">_xlfn.TEXTSPLIT(A1885," ")</f>
        <v>28.10.2023</v>
      </c>
      <c r="J1885" t="str">
        <v>07:26:15</v>
      </c>
      <c r="K1885">
        <f t="shared" si="418"/>
        <v>31.366666666666166</v>
      </c>
      <c r="L1885">
        <f t="shared" si="415"/>
        <v>18.670000000000002</v>
      </c>
      <c r="M1885">
        <f t="shared" si="416"/>
        <v>0</v>
      </c>
      <c r="N1885">
        <f t="shared" si="412"/>
        <v>0.495</v>
      </c>
      <c r="Q1885" t="str" cm="1">
        <f t="array" ref="Q1885:R1885">_xlfn.TEXTSPLIT(E1885," ")</f>
        <v>28.10.2023</v>
      </c>
      <c r="R1885" t="str">
        <v>07:26:15</v>
      </c>
      <c r="S1885">
        <f t="shared" si="419"/>
        <v>31.366666666666166</v>
      </c>
      <c r="T1885">
        <f t="shared" si="414"/>
        <v>32.090000000000003</v>
      </c>
      <c r="U1885">
        <f t="shared" si="417"/>
        <v>0.3</v>
      </c>
      <c r="V1885">
        <f t="shared" si="413"/>
        <v>0.8899999999999999</v>
      </c>
    </row>
    <row r="1886" spans="1:22" x14ac:dyDescent="0.25">
      <c r="A1886" t="s">
        <v>3842</v>
      </c>
      <c r="B1886">
        <v>0</v>
      </c>
      <c r="C1886">
        <v>32.99</v>
      </c>
      <c r="E1886" t="s">
        <v>3842</v>
      </c>
      <c r="F1886">
        <v>0.45</v>
      </c>
      <c r="G1886">
        <v>110.7</v>
      </c>
      <c r="I1886" t="str" cm="1">
        <f t="array" ref="I1886:J1886">_xlfn.TEXTSPLIT(A1886," ")</f>
        <v>28.10.2023</v>
      </c>
      <c r="J1886" t="str">
        <v>07:27:16</v>
      </c>
      <c r="K1886">
        <f t="shared" si="418"/>
        <v>31.383333333332832</v>
      </c>
      <c r="L1886">
        <f t="shared" si="415"/>
        <v>18.670000000000002</v>
      </c>
      <c r="M1886">
        <f t="shared" si="416"/>
        <v>0</v>
      </c>
      <c r="N1886">
        <f t="shared" si="412"/>
        <v>0.495</v>
      </c>
      <c r="Q1886" t="str" cm="1">
        <f t="array" ref="Q1886:R1886">_xlfn.TEXTSPLIT(E1886," ")</f>
        <v>28.10.2023</v>
      </c>
      <c r="R1886" t="str">
        <v>07:27:16</v>
      </c>
      <c r="S1886">
        <f t="shared" si="419"/>
        <v>31.383333333332832</v>
      </c>
      <c r="T1886">
        <f t="shared" si="414"/>
        <v>32.100000000000009</v>
      </c>
      <c r="U1886">
        <f t="shared" si="417"/>
        <v>0.45</v>
      </c>
      <c r="V1886">
        <f t="shared" si="413"/>
        <v>0.8899999999999999</v>
      </c>
    </row>
    <row r="1887" spans="1:22" x14ac:dyDescent="0.25">
      <c r="A1887" t="s">
        <v>3843</v>
      </c>
      <c r="B1887">
        <v>0</v>
      </c>
      <c r="C1887">
        <v>32.99</v>
      </c>
      <c r="E1887" t="s">
        <v>3843</v>
      </c>
      <c r="F1887">
        <v>0.3</v>
      </c>
      <c r="G1887">
        <v>110.71</v>
      </c>
      <c r="I1887" t="str" cm="1">
        <f t="array" ref="I1887:J1887">_xlfn.TEXTSPLIT(A1887," ")</f>
        <v>28.10.2023</v>
      </c>
      <c r="J1887" t="str">
        <v>07:28:16</v>
      </c>
      <c r="K1887">
        <f t="shared" si="418"/>
        <v>31.399999999999498</v>
      </c>
      <c r="L1887">
        <f t="shared" si="415"/>
        <v>18.670000000000002</v>
      </c>
      <c r="M1887">
        <f t="shared" si="416"/>
        <v>0</v>
      </c>
      <c r="N1887">
        <f t="shared" si="412"/>
        <v>0.495</v>
      </c>
      <c r="Q1887" t="str" cm="1">
        <f t="array" ref="Q1887:R1887">_xlfn.TEXTSPLIT(E1887," ")</f>
        <v>28.10.2023</v>
      </c>
      <c r="R1887" t="str">
        <v>07:28:16</v>
      </c>
      <c r="S1887">
        <f t="shared" si="419"/>
        <v>31.399999999999498</v>
      </c>
      <c r="T1887">
        <f t="shared" si="414"/>
        <v>32.11</v>
      </c>
      <c r="U1887">
        <f t="shared" si="417"/>
        <v>0.3</v>
      </c>
      <c r="V1887">
        <f t="shared" si="413"/>
        <v>0.88749999999999973</v>
      </c>
    </row>
    <row r="1888" spans="1:22" x14ac:dyDescent="0.25">
      <c r="A1888" t="s">
        <v>3844</v>
      </c>
      <c r="B1888">
        <v>0</v>
      </c>
      <c r="C1888">
        <v>32.99</v>
      </c>
      <c r="E1888" t="s">
        <v>3844</v>
      </c>
      <c r="F1888">
        <v>0.6</v>
      </c>
      <c r="G1888">
        <v>110.72</v>
      </c>
      <c r="I1888" t="str" cm="1">
        <f t="array" ref="I1888:J1888">_xlfn.TEXTSPLIT(A1888," ")</f>
        <v>28.10.2023</v>
      </c>
      <c r="J1888" t="str">
        <v>07:29:16</v>
      </c>
      <c r="K1888">
        <f t="shared" si="418"/>
        <v>31.416666666666163</v>
      </c>
      <c r="L1888">
        <f t="shared" si="415"/>
        <v>18.670000000000002</v>
      </c>
      <c r="M1888">
        <f t="shared" si="416"/>
        <v>0</v>
      </c>
      <c r="N1888">
        <f t="shared" si="412"/>
        <v>0.495</v>
      </c>
      <c r="Q1888" t="str" cm="1">
        <f t="array" ref="Q1888:R1888">_xlfn.TEXTSPLIT(E1888," ")</f>
        <v>28.10.2023</v>
      </c>
      <c r="R1888" t="str">
        <v>07:29:16</v>
      </c>
      <c r="S1888">
        <f t="shared" si="419"/>
        <v>31.416666666666163</v>
      </c>
      <c r="T1888">
        <f t="shared" si="414"/>
        <v>32.120000000000005</v>
      </c>
      <c r="U1888">
        <f t="shared" si="417"/>
        <v>0.6</v>
      </c>
      <c r="V1888">
        <f t="shared" si="413"/>
        <v>0.88749999999999973</v>
      </c>
    </row>
    <row r="1889" spans="1:22" x14ac:dyDescent="0.25">
      <c r="A1889" t="s">
        <v>3845</v>
      </c>
      <c r="B1889">
        <v>0</v>
      </c>
      <c r="C1889">
        <v>32.99</v>
      </c>
      <c r="E1889" t="s">
        <v>3845</v>
      </c>
      <c r="F1889">
        <v>0.75</v>
      </c>
      <c r="G1889">
        <v>110.73</v>
      </c>
      <c r="I1889" t="str" cm="1">
        <f t="array" ref="I1889:J1889">_xlfn.TEXTSPLIT(A1889," ")</f>
        <v>28.10.2023</v>
      </c>
      <c r="J1889" t="str">
        <v>07:30:16</v>
      </c>
      <c r="K1889">
        <f t="shared" si="418"/>
        <v>31.433333333332829</v>
      </c>
      <c r="L1889">
        <f t="shared" si="415"/>
        <v>18.670000000000002</v>
      </c>
      <c r="M1889">
        <f t="shared" si="416"/>
        <v>0</v>
      </c>
      <c r="N1889">
        <f t="shared" si="412"/>
        <v>0.49249999999999999</v>
      </c>
      <c r="Q1889" t="str" cm="1">
        <f t="array" ref="Q1889:R1889">_xlfn.TEXTSPLIT(E1889," ")</f>
        <v>28.10.2023</v>
      </c>
      <c r="R1889" t="str">
        <v>07:30:16</v>
      </c>
      <c r="S1889">
        <f t="shared" si="419"/>
        <v>31.433333333332829</v>
      </c>
      <c r="T1889">
        <f t="shared" si="414"/>
        <v>32.13000000000001</v>
      </c>
      <c r="U1889">
        <f t="shared" si="417"/>
        <v>0.75</v>
      </c>
      <c r="V1889">
        <f t="shared" si="413"/>
        <v>0.89249999999999985</v>
      </c>
    </row>
    <row r="1890" spans="1:22" x14ac:dyDescent="0.25">
      <c r="A1890" t="s">
        <v>3846</v>
      </c>
      <c r="B1890">
        <v>0</v>
      </c>
      <c r="C1890">
        <v>32.99</v>
      </c>
      <c r="E1890" t="s">
        <v>3846</v>
      </c>
      <c r="F1890">
        <v>0.75</v>
      </c>
      <c r="G1890">
        <v>110.75</v>
      </c>
      <c r="I1890" t="str" cm="1">
        <f t="array" ref="I1890:J1890">_xlfn.TEXTSPLIT(A1890," ")</f>
        <v>28.10.2023</v>
      </c>
      <c r="J1890" t="str">
        <v>07:31:16</v>
      </c>
      <c r="K1890">
        <f t="shared" si="418"/>
        <v>31.449999999999495</v>
      </c>
      <c r="L1890">
        <f t="shared" si="415"/>
        <v>18.670000000000002</v>
      </c>
      <c r="M1890">
        <f t="shared" si="416"/>
        <v>0</v>
      </c>
      <c r="N1890">
        <f t="shared" si="412"/>
        <v>0.49</v>
      </c>
      <c r="Q1890" t="str" cm="1">
        <f t="array" ref="Q1890:R1890">_xlfn.TEXTSPLIT(E1890," ")</f>
        <v>28.10.2023</v>
      </c>
      <c r="R1890" t="str">
        <v>07:31:16</v>
      </c>
      <c r="S1890">
        <f t="shared" si="419"/>
        <v>31.449999999999495</v>
      </c>
      <c r="T1890">
        <f t="shared" si="414"/>
        <v>32.150000000000006</v>
      </c>
      <c r="U1890">
        <f t="shared" si="417"/>
        <v>0.75</v>
      </c>
      <c r="V1890">
        <f t="shared" si="413"/>
        <v>0.8949999999999998</v>
      </c>
    </row>
    <row r="1891" spans="1:22" x14ac:dyDescent="0.25">
      <c r="A1891" t="s">
        <v>3847</v>
      </c>
      <c r="B1891">
        <v>0.3</v>
      </c>
      <c r="C1891">
        <v>32.99</v>
      </c>
      <c r="E1891" t="s">
        <v>3847</v>
      </c>
      <c r="F1891">
        <v>0.9</v>
      </c>
      <c r="G1891">
        <v>110.77</v>
      </c>
      <c r="I1891" t="str" cm="1">
        <f t="array" ref="I1891:J1891">_xlfn.TEXTSPLIT(A1891," ")</f>
        <v>28.10.2023</v>
      </c>
      <c r="J1891" t="str">
        <v>07:32:16</v>
      </c>
      <c r="K1891">
        <f t="shared" si="418"/>
        <v>31.466666666666161</v>
      </c>
      <c r="L1891">
        <f t="shared" si="415"/>
        <v>18.670000000000002</v>
      </c>
      <c r="M1891">
        <f t="shared" si="416"/>
        <v>0.3</v>
      </c>
      <c r="N1891">
        <f t="shared" si="412"/>
        <v>0.49</v>
      </c>
      <c r="Q1891" t="str" cm="1">
        <f t="array" ref="Q1891:R1891">_xlfn.TEXTSPLIT(E1891," ")</f>
        <v>28.10.2023</v>
      </c>
      <c r="R1891" t="str">
        <v>07:32:16</v>
      </c>
      <c r="S1891">
        <f t="shared" si="419"/>
        <v>31.466666666666161</v>
      </c>
      <c r="T1891">
        <f t="shared" si="414"/>
        <v>32.17</v>
      </c>
      <c r="U1891">
        <f t="shared" si="417"/>
        <v>0.9</v>
      </c>
      <c r="V1891">
        <f t="shared" si="413"/>
        <v>0.8999999999999998</v>
      </c>
    </row>
    <row r="1892" spans="1:22" x14ac:dyDescent="0.25">
      <c r="A1892" t="s">
        <v>3848</v>
      </c>
      <c r="B1892">
        <v>0.15</v>
      </c>
      <c r="C1892">
        <v>32.99</v>
      </c>
      <c r="E1892" t="s">
        <v>3848</v>
      </c>
      <c r="F1892">
        <v>1.2</v>
      </c>
      <c r="G1892">
        <v>110.78</v>
      </c>
      <c r="I1892" t="str" cm="1">
        <f t="array" ref="I1892:J1892">_xlfn.TEXTSPLIT(A1892," ")</f>
        <v>28.10.2023</v>
      </c>
      <c r="J1892" t="str">
        <v>07:33:16</v>
      </c>
      <c r="K1892">
        <f t="shared" si="418"/>
        <v>31.483333333332826</v>
      </c>
      <c r="L1892">
        <f t="shared" si="415"/>
        <v>18.670000000000002</v>
      </c>
      <c r="M1892">
        <f t="shared" si="416"/>
        <v>0.15</v>
      </c>
      <c r="N1892">
        <f t="shared" si="412"/>
        <v>0.48999999999999994</v>
      </c>
      <c r="Q1892" t="str" cm="1">
        <f t="array" ref="Q1892:R1892">_xlfn.TEXTSPLIT(E1892," ")</f>
        <v>28.10.2023</v>
      </c>
      <c r="R1892" t="str">
        <v>07:33:16</v>
      </c>
      <c r="S1892">
        <f t="shared" si="419"/>
        <v>31.483333333332826</v>
      </c>
      <c r="T1892">
        <f t="shared" si="414"/>
        <v>32.180000000000007</v>
      </c>
      <c r="U1892">
        <f t="shared" si="417"/>
        <v>1.2</v>
      </c>
      <c r="V1892">
        <f t="shared" si="413"/>
        <v>0.90999999999999981</v>
      </c>
    </row>
    <row r="1893" spans="1:22" x14ac:dyDescent="0.25">
      <c r="A1893" t="s">
        <v>3849</v>
      </c>
      <c r="B1893">
        <v>0.3</v>
      </c>
      <c r="C1893">
        <v>33</v>
      </c>
      <c r="E1893" t="s">
        <v>3849</v>
      </c>
      <c r="F1893">
        <v>0.75</v>
      </c>
      <c r="G1893">
        <v>110.79</v>
      </c>
      <c r="I1893" t="str" cm="1">
        <f t="array" ref="I1893:J1893">_xlfn.TEXTSPLIT(A1893," ")</f>
        <v>28.10.2023</v>
      </c>
      <c r="J1893" t="str">
        <v>07:34:17</v>
      </c>
      <c r="K1893">
        <f t="shared" si="418"/>
        <v>31.499999999999492</v>
      </c>
      <c r="L1893">
        <f t="shared" si="415"/>
        <v>18.68</v>
      </c>
      <c r="M1893">
        <f t="shared" si="416"/>
        <v>0.3</v>
      </c>
      <c r="N1893">
        <f t="shared" si="412"/>
        <v>0.49249999999999994</v>
      </c>
      <c r="Q1893" t="str" cm="1">
        <f t="array" ref="Q1893:R1893">_xlfn.TEXTSPLIT(E1893," ")</f>
        <v>28.10.2023</v>
      </c>
      <c r="R1893" t="str">
        <v>07:34:17</v>
      </c>
      <c r="S1893">
        <f t="shared" si="419"/>
        <v>31.499999999999492</v>
      </c>
      <c r="T1893">
        <f t="shared" si="414"/>
        <v>32.190000000000012</v>
      </c>
      <c r="U1893">
        <f t="shared" si="417"/>
        <v>0.75</v>
      </c>
      <c r="V1893">
        <f t="shared" si="413"/>
        <v>0.90999999999999981</v>
      </c>
    </row>
    <row r="1894" spans="1:22" x14ac:dyDescent="0.25">
      <c r="A1894" t="s">
        <v>3850</v>
      </c>
      <c r="B1894">
        <v>0.15</v>
      </c>
      <c r="C1894">
        <v>33</v>
      </c>
      <c r="E1894" t="s">
        <v>3850</v>
      </c>
      <c r="F1894">
        <v>0.6</v>
      </c>
      <c r="G1894">
        <v>110.81</v>
      </c>
      <c r="I1894" t="str" cm="1">
        <f t="array" ref="I1894:J1894">_xlfn.TEXTSPLIT(A1894," ")</f>
        <v>28.10.2023</v>
      </c>
      <c r="J1894" t="str">
        <v>07:35:17</v>
      </c>
      <c r="K1894">
        <f t="shared" si="418"/>
        <v>31.516666666666158</v>
      </c>
      <c r="L1894">
        <f t="shared" si="415"/>
        <v>18.68</v>
      </c>
      <c r="M1894">
        <f t="shared" si="416"/>
        <v>0.15</v>
      </c>
      <c r="N1894">
        <f t="shared" si="412"/>
        <v>0.49</v>
      </c>
      <c r="Q1894" t="str" cm="1">
        <f t="array" ref="Q1894:R1894">_xlfn.TEXTSPLIT(E1894," ")</f>
        <v>28.10.2023</v>
      </c>
      <c r="R1894" t="str">
        <v>07:35:17</v>
      </c>
      <c r="S1894">
        <f t="shared" si="419"/>
        <v>31.516666666666158</v>
      </c>
      <c r="T1894">
        <f t="shared" si="414"/>
        <v>32.210000000000008</v>
      </c>
      <c r="U1894">
        <f t="shared" si="417"/>
        <v>0.6</v>
      </c>
      <c r="V1894">
        <f t="shared" si="413"/>
        <v>0.9049999999999998</v>
      </c>
    </row>
    <row r="1895" spans="1:22" x14ac:dyDescent="0.25">
      <c r="A1895" t="s">
        <v>3851</v>
      </c>
      <c r="B1895">
        <v>0.3</v>
      </c>
      <c r="C1895">
        <v>33.01</v>
      </c>
      <c r="E1895" t="s">
        <v>3851</v>
      </c>
      <c r="F1895">
        <v>1.95</v>
      </c>
      <c r="G1895">
        <v>110.85</v>
      </c>
      <c r="I1895" t="str" cm="1">
        <f t="array" ref="I1895:J1895">_xlfn.TEXTSPLIT(A1895," ")</f>
        <v>28.10.2023</v>
      </c>
      <c r="J1895" t="str">
        <v>07:36:17</v>
      </c>
      <c r="K1895">
        <f t="shared" si="418"/>
        <v>31.533333333332823</v>
      </c>
      <c r="L1895">
        <f t="shared" si="415"/>
        <v>18.689999999999998</v>
      </c>
      <c r="M1895">
        <f t="shared" si="416"/>
        <v>0.3</v>
      </c>
      <c r="N1895">
        <f t="shared" si="412"/>
        <v>0.49249999999999994</v>
      </c>
      <c r="Q1895" t="str" cm="1">
        <f t="array" ref="Q1895:R1895">_xlfn.TEXTSPLIT(E1895," ")</f>
        <v>28.10.2023</v>
      </c>
      <c r="R1895" t="str">
        <v>07:36:17</v>
      </c>
      <c r="S1895">
        <f t="shared" si="419"/>
        <v>31.533333333332823</v>
      </c>
      <c r="T1895">
        <f t="shared" si="414"/>
        <v>32.25</v>
      </c>
      <c r="U1895">
        <f t="shared" si="417"/>
        <v>1.95</v>
      </c>
      <c r="V1895">
        <f t="shared" si="413"/>
        <v>0.8849999999999999</v>
      </c>
    </row>
    <row r="1896" spans="1:22" x14ac:dyDescent="0.25">
      <c r="A1896" t="s">
        <v>3852</v>
      </c>
      <c r="B1896">
        <v>1.35</v>
      </c>
      <c r="C1896">
        <v>33.04</v>
      </c>
      <c r="E1896" t="s">
        <v>3852</v>
      </c>
      <c r="F1896">
        <v>3.15</v>
      </c>
      <c r="G1896">
        <v>110.9</v>
      </c>
      <c r="I1896" t="str" cm="1">
        <f t="array" ref="I1896:J1896">_xlfn.TEXTSPLIT(A1896," ")</f>
        <v>28.10.2023</v>
      </c>
      <c r="J1896" t="str">
        <v>07:37:17</v>
      </c>
      <c r="K1896">
        <f t="shared" si="418"/>
        <v>31.549999999999489</v>
      </c>
      <c r="L1896">
        <f t="shared" si="415"/>
        <v>18.72</v>
      </c>
      <c r="M1896">
        <f t="shared" si="416"/>
        <v>1.35</v>
      </c>
      <c r="N1896">
        <f t="shared" si="412"/>
        <v>0.49749999999999994</v>
      </c>
      <c r="Q1896" t="str" cm="1">
        <f t="array" ref="Q1896:R1896">_xlfn.TEXTSPLIT(E1896," ")</f>
        <v>28.10.2023</v>
      </c>
      <c r="R1896" t="str">
        <v>07:37:17</v>
      </c>
      <c r="S1896">
        <f t="shared" si="419"/>
        <v>31.549999999999489</v>
      </c>
      <c r="T1896">
        <f t="shared" si="414"/>
        <v>32.300000000000011</v>
      </c>
      <c r="U1896">
        <f t="shared" si="417"/>
        <v>3.15</v>
      </c>
      <c r="V1896">
        <f t="shared" si="413"/>
        <v>0.89999999999999991</v>
      </c>
    </row>
    <row r="1897" spans="1:22" x14ac:dyDescent="0.25">
      <c r="A1897" t="s">
        <v>3853</v>
      </c>
      <c r="B1897">
        <v>2.7</v>
      </c>
      <c r="C1897">
        <v>33.08</v>
      </c>
      <c r="E1897" t="s">
        <v>3853</v>
      </c>
      <c r="F1897">
        <v>2.25</v>
      </c>
      <c r="G1897">
        <v>110.93</v>
      </c>
      <c r="I1897" t="str" cm="1">
        <f t="array" ref="I1897:J1897">_xlfn.TEXTSPLIT(A1897," ")</f>
        <v>28.10.2023</v>
      </c>
      <c r="J1897" t="str">
        <v>07:38:17</v>
      </c>
      <c r="K1897">
        <f t="shared" si="418"/>
        <v>31.566666666666155</v>
      </c>
      <c r="L1897">
        <f t="shared" si="415"/>
        <v>18.759999999999998</v>
      </c>
      <c r="M1897">
        <f t="shared" si="416"/>
        <v>2.7</v>
      </c>
      <c r="N1897">
        <f t="shared" si="412"/>
        <v>0.50249999999999995</v>
      </c>
      <c r="Q1897" t="str" cm="1">
        <f t="array" ref="Q1897:R1897">_xlfn.TEXTSPLIT(E1897," ")</f>
        <v>28.10.2023</v>
      </c>
      <c r="R1897" t="str">
        <v>07:38:17</v>
      </c>
      <c r="S1897">
        <f t="shared" si="419"/>
        <v>31.566666666666155</v>
      </c>
      <c r="T1897">
        <f t="shared" si="414"/>
        <v>32.330000000000013</v>
      </c>
      <c r="U1897">
        <f t="shared" si="417"/>
        <v>2.25</v>
      </c>
      <c r="V1897">
        <f t="shared" si="413"/>
        <v>0.90500000000000003</v>
      </c>
    </row>
    <row r="1898" spans="1:22" x14ac:dyDescent="0.25">
      <c r="A1898" t="s">
        <v>3854</v>
      </c>
      <c r="B1898">
        <v>1.8</v>
      </c>
      <c r="C1898">
        <v>33.11</v>
      </c>
      <c r="E1898" t="s">
        <v>3854</v>
      </c>
      <c r="F1898">
        <v>1.05</v>
      </c>
      <c r="G1898">
        <v>110.95</v>
      </c>
      <c r="I1898" t="str" cm="1">
        <f t="array" ref="I1898:J1898">_xlfn.TEXTSPLIT(A1898," ")</f>
        <v>28.10.2023</v>
      </c>
      <c r="J1898" t="str">
        <v>07:39:17</v>
      </c>
      <c r="K1898">
        <f t="shared" si="418"/>
        <v>31.583333333332821</v>
      </c>
      <c r="L1898">
        <f t="shared" si="415"/>
        <v>18.79</v>
      </c>
      <c r="M1898">
        <f t="shared" si="416"/>
        <v>1.8</v>
      </c>
      <c r="N1898">
        <f t="shared" si="412"/>
        <v>0.49999999999999994</v>
      </c>
      <c r="Q1898" t="str" cm="1">
        <f t="array" ref="Q1898:R1898">_xlfn.TEXTSPLIT(E1898," ")</f>
        <v>28.10.2023</v>
      </c>
      <c r="R1898" t="str">
        <v>07:39:17</v>
      </c>
      <c r="S1898">
        <f t="shared" si="419"/>
        <v>31.583333333332821</v>
      </c>
      <c r="T1898">
        <f t="shared" si="414"/>
        <v>32.350000000000009</v>
      </c>
      <c r="U1898">
        <f t="shared" si="417"/>
        <v>1.05</v>
      </c>
      <c r="V1898">
        <f t="shared" si="413"/>
        <v>0.89249999999999996</v>
      </c>
    </row>
    <row r="1899" spans="1:22" x14ac:dyDescent="0.25">
      <c r="A1899" t="s">
        <v>3855</v>
      </c>
      <c r="B1899">
        <v>1.05</v>
      </c>
      <c r="C1899">
        <v>33.119999999999997</v>
      </c>
      <c r="E1899" t="s">
        <v>3855</v>
      </c>
      <c r="F1899">
        <v>0.9</v>
      </c>
      <c r="G1899">
        <v>110.96</v>
      </c>
      <c r="I1899" t="str" cm="1">
        <f t="array" ref="I1899:J1899">_xlfn.TEXTSPLIT(A1899," ")</f>
        <v>28.10.2023</v>
      </c>
      <c r="J1899" t="str">
        <v>07:40:17</v>
      </c>
      <c r="K1899">
        <f t="shared" si="418"/>
        <v>31.599999999999486</v>
      </c>
      <c r="L1899">
        <f t="shared" si="415"/>
        <v>18.799999999999997</v>
      </c>
      <c r="M1899">
        <f t="shared" si="416"/>
        <v>1.05</v>
      </c>
      <c r="N1899">
        <f t="shared" si="412"/>
        <v>0.50249999999999995</v>
      </c>
      <c r="Q1899" t="str" cm="1">
        <f t="array" ref="Q1899:R1899">_xlfn.TEXTSPLIT(E1899," ")</f>
        <v>28.10.2023</v>
      </c>
      <c r="R1899" t="str">
        <v>07:40:17</v>
      </c>
      <c r="S1899">
        <f t="shared" si="419"/>
        <v>31.599999999999486</v>
      </c>
      <c r="T1899">
        <f t="shared" si="414"/>
        <v>32.36</v>
      </c>
      <c r="U1899">
        <f t="shared" si="417"/>
        <v>0.9</v>
      </c>
      <c r="V1899">
        <f t="shared" si="413"/>
        <v>0.8899999999999999</v>
      </c>
    </row>
    <row r="1900" spans="1:22" x14ac:dyDescent="0.25">
      <c r="A1900" t="s">
        <v>3856</v>
      </c>
      <c r="B1900">
        <v>0.6</v>
      </c>
      <c r="C1900">
        <v>33.130000000000003</v>
      </c>
      <c r="E1900" t="s">
        <v>3856</v>
      </c>
      <c r="F1900">
        <v>1.2</v>
      </c>
      <c r="G1900">
        <v>110.98</v>
      </c>
      <c r="I1900" t="str" cm="1">
        <f t="array" ref="I1900:J1900">_xlfn.TEXTSPLIT(A1900," ")</f>
        <v>28.10.2023</v>
      </c>
      <c r="J1900" t="str">
        <v>07:41:17</v>
      </c>
      <c r="K1900">
        <f t="shared" si="418"/>
        <v>31.616666666666152</v>
      </c>
      <c r="L1900">
        <f t="shared" si="415"/>
        <v>18.810000000000002</v>
      </c>
      <c r="M1900">
        <f t="shared" si="416"/>
        <v>0.6</v>
      </c>
      <c r="N1900">
        <f t="shared" si="412"/>
        <v>0.50250000000000006</v>
      </c>
      <c r="Q1900" t="str" cm="1">
        <f t="array" ref="Q1900:R1900">_xlfn.TEXTSPLIT(E1900," ")</f>
        <v>28.10.2023</v>
      </c>
      <c r="R1900" t="str">
        <v>07:41:17</v>
      </c>
      <c r="S1900">
        <f t="shared" si="419"/>
        <v>31.616666666666152</v>
      </c>
      <c r="T1900">
        <f t="shared" si="414"/>
        <v>32.38000000000001</v>
      </c>
      <c r="U1900">
        <f t="shared" si="417"/>
        <v>1.2</v>
      </c>
      <c r="V1900">
        <f t="shared" si="413"/>
        <v>0.89999999999999991</v>
      </c>
    </row>
    <row r="1901" spans="1:22" x14ac:dyDescent="0.25">
      <c r="A1901" t="s">
        <v>3857</v>
      </c>
      <c r="B1901">
        <v>0.6</v>
      </c>
      <c r="C1901">
        <v>33.14</v>
      </c>
      <c r="E1901" t="s">
        <v>3857</v>
      </c>
      <c r="F1901">
        <v>1.05</v>
      </c>
      <c r="G1901">
        <v>111</v>
      </c>
      <c r="I1901" t="str" cm="1">
        <f t="array" ref="I1901:J1901">_xlfn.TEXTSPLIT(A1901," ")</f>
        <v>28.10.2023</v>
      </c>
      <c r="J1901" t="str">
        <v>07:42:18</v>
      </c>
      <c r="K1901">
        <f t="shared" si="418"/>
        <v>31.633333333332818</v>
      </c>
      <c r="L1901">
        <f t="shared" si="415"/>
        <v>18.82</v>
      </c>
      <c r="M1901">
        <f t="shared" si="416"/>
        <v>0.6</v>
      </c>
      <c r="N1901">
        <f t="shared" si="412"/>
        <v>0.50250000000000006</v>
      </c>
      <c r="Q1901" t="str" cm="1">
        <f t="array" ref="Q1901:R1901">_xlfn.TEXTSPLIT(E1901," ")</f>
        <v>28.10.2023</v>
      </c>
      <c r="R1901" t="str">
        <v>07:42:18</v>
      </c>
      <c r="S1901">
        <f t="shared" si="419"/>
        <v>31.633333333332818</v>
      </c>
      <c r="T1901">
        <f t="shared" si="414"/>
        <v>32.400000000000006</v>
      </c>
      <c r="U1901">
        <f t="shared" si="417"/>
        <v>1.05</v>
      </c>
      <c r="V1901">
        <f t="shared" si="413"/>
        <v>0.9049999999999998</v>
      </c>
    </row>
    <row r="1902" spans="1:22" x14ac:dyDescent="0.25">
      <c r="A1902" t="s">
        <v>3858</v>
      </c>
      <c r="B1902">
        <v>0.3</v>
      </c>
      <c r="C1902">
        <v>33.15</v>
      </c>
      <c r="E1902" t="s">
        <v>3858</v>
      </c>
      <c r="F1902">
        <v>1.05</v>
      </c>
      <c r="G1902">
        <v>111.02</v>
      </c>
      <c r="I1902" t="str" cm="1">
        <f t="array" ref="I1902:J1902">_xlfn.TEXTSPLIT(A1902," ")</f>
        <v>28.10.2023</v>
      </c>
      <c r="J1902" t="str">
        <v>07:43:18</v>
      </c>
      <c r="K1902">
        <f t="shared" si="418"/>
        <v>31.649999999999483</v>
      </c>
      <c r="L1902">
        <f t="shared" si="415"/>
        <v>18.829999999999998</v>
      </c>
      <c r="M1902">
        <f t="shared" si="416"/>
        <v>0.3</v>
      </c>
      <c r="N1902">
        <f t="shared" si="412"/>
        <v>0.50000000000000011</v>
      </c>
      <c r="Q1902" t="str" cm="1">
        <f t="array" ref="Q1902:R1902">_xlfn.TEXTSPLIT(E1902," ")</f>
        <v>28.10.2023</v>
      </c>
      <c r="R1902" t="str">
        <v>07:43:18</v>
      </c>
      <c r="S1902">
        <f t="shared" si="419"/>
        <v>31.649999999999483</v>
      </c>
      <c r="T1902">
        <f t="shared" si="414"/>
        <v>32.42</v>
      </c>
      <c r="U1902">
        <f t="shared" si="417"/>
        <v>1.05</v>
      </c>
      <c r="V1902">
        <f t="shared" si="413"/>
        <v>0.91249999999999987</v>
      </c>
    </row>
    <row r="1903" spans="1:22" x14ac:dyDescent="0.25">
      <c r="A1903" t="s">
        <v>3859</v>
      </c>
      <c r="B1903">
        <v>0.6</v>
      </c>
      <c r="C1903">
        <v>33.15</v>
      </c>
      <c r="E1903" t="s">
        <v>3859</v>
      </c>
      <c r="F1903">
        <v>1.2</v>
      </c>
      <c r="G1903">
        <v>111.04</v>
      </c>
      <c r="I1903" t="str" cm="1">
        <f t="array" ref="I1903:J1903">_xlfn.TEXTSPLIT(A1903," ")</f>
        <v>28.10.2023</v>
      </c>
      <c r="J1903" t="str">
        <v>07:44:18</v>
      </c>
      <c r="K1903">
        <f t="shared" si="418"/>
        <v>31.666666666666149</v>
      </c>
      <c r="L1903">
        <f t="shared" si="415"/>
        <v>18.829999999999998</v>
      </c>
      <c r="M1903">
        <f t="shared" si="416"/>
        <v>0.6</v>
      </c>
      <c r="N1903">
        <f t="shared" si="412"/>
        <v>0.50500000000000012</v>
      </c>
      <c r="Q1903" t="str" cm="1">
        <f t="array" ref="Q1903:R1903">_xlfn.TEXTSPLIT(E1903," ")</f>
        <v>28.10.2023</v>
      </c>
      <c r="R1903" t="str">
        <v>07:44:18</v>
      </c>
      <c r="S1903">
        <f t="shared" si="419"/>
        <v>31.666666666666149</v>
      </c>
      <c r="T1903">
        <f t="shared" si="414"/>
        <v>32.440000000000012</v>
      </c>
      <c r="U1903">
        <f t="shared" si="417"/>
        <v>1.2</v>
      </c>
      <c r="V1903">
        <f t="shared" si="413"/>
        <v>0.91999999999999993</v>
      </c>
    </row>
    <row r="1904" spans="1:22" x14ac:dyDescent="0.25">
      <c r="A1904" t="s">
        <v>3860</v>
      </c>
      <c r="B1904">
        <v>0.75</v>
      </c>
      <c r="C1904">
        <v>33.17</v>
      </c>
      <c r="E1904" t="s">
        <v>3860</v>
      </c>
      <c r="F1904">
        <v>0.6</v>
      </c>
      <c r="G1904">
        <v>111.05</v>
      </c>
      <c r="I1904" t="str" cm="1">
        <f t="array" ref="I1904:J1904">_xlfn.TEXTSPLIT(A1904," ")</f>
        <v>28.10.2023</v>
      </c>
      <c r="J1904" t="str">
        <v>07:45:18</v>
      </c>
      <c r="K1904">
        <f t="shared" si="418"/>
        <v>31.683333333332815</v>
      </c>
      <c r="L1904">
        <f t="shared" si="415"/>
        <v>18.850000000000001</v>
      </c>
      <c r="M1904">
        <f t="shared" si="416"/>
        <v>0.75</v>
      </c>
      <c r="N1904">
        <f t="shared" si="412"/>
        <v>0.51250000000000007</v>
      </c>
      <c r="Q1904" t="str" cm="1">
        <f t="array" ref="Q1904:R1904">_xlfn.TEXTSPLIT(E1904," ")</f>
        <v>28.10.2023</v>
      </c>
      <c r="R1904" t="str">
        <v>07:45:18</v>
      </c>
      <c r="S1904">
        <f t="shared" si="419"/>
        <v>31.683333333332815</v>
      </c>
      <c r="T1904">
        <f t="shared" si="414"/>
        <v>32.450000000000003</v>
      </c>
      <c r="U1904">
        <f t="shared" si="417"/>
        <v>0.6</v>
      </c>
      <c r="V1904">
        <f t="shared" si="413"/>
        <v>0.91499999999999992</v>
      </c>
    </row>
    <row r="1905" spans="1:22" x14ac:dyDescent="0.25">
      <c r="A1905" t="s">
        <v>3861</v>
      </c>
      <c r="B1905">
        <v>0.6</v>
      </c>
      <c r="C1905">
        <v>33.18</v>
      </c>
      <c r="E1905" t="s">
        <v>3861</v>
      </c>
      <c r="F1905">
        <v>0.6</v>
      </c>
      <c r="G1905">
        <v>111.06</v>
      </c>
      <c r="I1905" t="str" cm="1">
        <f t="array" ref="I1905:J1905">_xlfn.TEXTSPLIT(A1905," ")</f>
        <v>28.10.2023</v>
      </c>
      <c r="J1905" t="str">
        <v>07:46:18</v>
      </c>
      <c r="K1905">
        <f t="shared" si="418"/>
        <v>31.699999999999481</v>
      </c>
      <c r="L1905">
        <f t="shared" si="415"/>
        <v>18.86</v>
      </c>
      <c r="M1905">
        <f t="shared" si="416"/>
        <v>0.6</v>
      </c>
      <c r="N1905">
        <f t="shared" si="412"/>
        <v>0.51500000000000012</v>
      </c>
      <c r="Q1905" t="str" cm="1">
        <f t="array" ref="Q1905:R1905">_xlfn.TEXTSPLIT(E1905," ")</f>
        <v>28.10.2023</v>
      </c>
      <c r="R1905" t="str">
        <v>07:46:18</v>
      </c>
      <c r="S1905">
        <f t="shared" si="419"/>
        <v>31.699999999999481</v>
      </c>
      <c r="T1905">
        <f t="shared" si="414"/>
        <v>32.460000000000008</v>
      </c>
      <c r="U1905">
        <f t="shared" si="417"/>
        <v>0.6</v>
      </c>
      <c r="V1905">
        <f t="shared" si="413"/>
        <v>0.90749999999999997</v>
      </c>
    </row>
    <row r="1906" spans="1:22" x14ac:dyDescent="0.25">
      <c r="A1906" t="s">
        <v>3862</v>
      </c>
      <c r="B1906">
        <v>0.15</v>
      </c>
      <c r="C1906">
        <v>33.18</v>
      </c>
      <c r="E1906" t="s">
        <v>3862</v>
      </c>
      <c r="F1906">
        <v>0.75</v>
      </c>
      <c r="G1906">
        <v>111.07</v>
      </c>
      <c r="I1906" t="str" cm="1">
        <f t="array" ref="I1906:J1906">_xlfn.TEXTSPLIT(A1906," ")</f>
        <v>28.10.2023</v>
      </c>
      <c r="J1906" t="str">
        <v>07:47:18</v>
      </c>
      <c r="K1906">
        <f t="shared" si="418"/>
        <v>31.716666666666146</v>
      </c>
      <c r="L1906">
        <f t="shared" si="415"/>
        <v>18.86</v>
      </c>
      <c r="M1906">
        <f t="shared" si="416"/>
        <v>0.15</v>
      </c>
      <c r="N1906">
        <f t="shared" si="412"/>
        <v>0.51000000000000012</v>
      </c>
      <c r="Q1906" t="str" cm="1">
        <f t="array" ref="Q1906:R1906">_xlfn.TEXTSPLIT(E1906," ")</f>
        <v>28.10.2023</v>
      </c>
      <c r="R1906" t="str">
        <v>07:47:18</v>
      </c>
      <c r="S1906">
        <f t="shared" si="419"/>
        <v>31.716666666666146</v>
      </c>
      <c r="T1906">
        <f t="shared" si="414"/>
        <v>32.47</v>
      </c>
      <c r="U1906">
        <f t="shared" si="417"/>
        <v>0.75</v>
      </c>
      <c r="V1906">
        <f t="shared" si="413"/>
        <v>0.90250000000000008</v>
      </c>
    </row>
    <row r="1907" spans="1:22" x14ac:dyDescent="0.25">
      <c r="A1907" t="s">
        <v>3863</v>
      </c>
      <c r="B1907">
        <v>0.3</v>
      </c>
      <c r="C1907">
        <v>33.18</v>
      </c>
      <c r="E1907" t="s">
        <v>3863</v>
      </c>
      <c r="F1907">
        <v>0.75</v>
      </c>
      <c r="G1907">
        <v>111.08</v>
      </c>
      <c r="I1907" t="str" cm="1">
        <f t="array" ref="I1907:J1907">_xlfn.TEXTSPLIT(A1907," ")</f>
        <v>28.10.2023</v>
      </c>
      <c r="J1907" t="str">
        <v>07:48:18</v>
      </c>
      <c r="K1907">
        <f t="shared" si="418"/>
        <v>31.733333333332812</v>
      </c>
      <c r="L1907">
        <f t="shared" si="415"/>
        <v>18.86</v>
      </c>
      <c r="M1907">
        <f t="shared" si="416"/>
        <v>0.3</v>
      </c>
      <c r="N1907">
        <f t="shared" si="412"/>
        <v>0.50750000000000006</v>
      </c>
      <c r="Q1907" t="str" cm="1">
        <f t="array" ref="Q1907:R1907">_xlfn.TEXTSPLIT(E1907," ")</f>
        <v>28.10.2023</v>
      </c>
      <c r="R1907" t="str">
        <v>07:48:18</v>
      </c>
      <c r="S1907">
        <f t="shared" si="419"/>
        <v>31.733333333332812</v>
      </c>
      <c r="T1907">
        <f t="shared" si="414"/>
        <v>32.480000000000004</v>
      </c>
      <c r="U1907">
        <f t="shared" si="417"/>
        <v>0.75</v>
      </c>
      <c r="V1907">
        <f t="shared" si="413"/>
        <v>0.89750000000000008</v>
      </c>
    </row>
    <row r="1908" spans="1:22" x14ac:dyDescent="0.25">
      <c r="A1908" t="s">
        <v>3864</v>
      </c>
      <c r="B1908">
        <v>0.45</v>
      </c>
      <c r="C1908">
        <v>33.19</v>
      </c>
      <c r="E1908" t="s">
        <v>3864</v>
      </c>
      <c r="F1908">
        <v>0.6</v>
      </c>
      <c r="G1908">
        <v>111.09</v>
      </c>
      <c r="I1908" t="str" cm="1">
        <f t="array" ref="I1908:J1908">_xlfn.TEXTSPLIT(A1908," ")</f>
        <v>28.10.2023</v>
      </c>
      <c r="J1908" t="str">
        <v>07:49:19</v>
      </c>
      <c r="K1908">
        <f t="shared" si="418"/>
        <v>31.749999999999478</v>
      </c>
      <c r="L1908">
        <f t="shared" si="415"/>
        <v>18.869999999999997</v>
      </c>
      <c r="M1908">
        <f t="shared" si="416"/>
        <v>0.45</v>
      </c>
      <c r="N1908">
        <f t="shared" si="412"/>
        <v>0.50500000000000012</v>
      </c>
      <c r="Q1908" t="str" cm="1">
        <f t="array" ref="Q1908:R1908">_xlfn.TEXTSPLIT(E1908," ")</f>
        <v>28.10.2023</v>
      </c>
      <c r="R1908" t="str">
        <v>07:49:19</v>
      </c>
      <c r="S1908">
        <f t="shared" si="419"/>
        <v>31.749999999999478</v>
      </c>
      <c r="T1908">
        <f t="shared" si="414"/>
        <v>32.490000000000009</v>
      </c>
      <c r="U1908">
        <f t="shared" si="417"/>
        <v>0.6</v>
      </c>
      <c r="V1908">
        <f t="shared" si="413"/>
        <v>0.89750000000000008</v>
      </c>
    </row>
    <row r="1909" spans="1:22" x14ac:dyDescent="0.25">
      <c r="A1909" t="s">
        <v>3865</v>
      </c>
      <c r="B1909">
        <v>0.6</v>
      </c>
      <c r="C1909">
        <v>33.200000000000003</v>
      </c>
      <c r="E1909" t="s">
        <v>3865</v>
      </c>
      <c r="F1909">
        <v>0.9</v>
      </c>
      <c r="G1909">
        <v>111.1</v>
      </c>
      <c r="I1909" t="str" cm="1">
        <f t="array" ref="I1909:J1909">_xlfn.TEXTSPLIT(A1909," ")</f>
        <v>28.10.2023</v>
      </c>
      <c r="J1909" t="str">
        <v>07:50:19</v>
      </c>
      <c r="K1909">
        <f t="shared" si="418"/>
        <v>31.766666666666143</v>
      </c>
      <c r="L1909">
        <f t="shared" si="415"/>
        <v>18.880000000000003</v>
      </c>
      <c r="M1909">
        <f t="shared" si="416"/>
        <v>0.6</v>
      </c>
      <c r="N1909">
        <f t="shared" si="412"/>
        <v>0.51250000000000007</v>
      </c>
      <c r="Q1909" t="str" cm="1">
        <f t="array" ref="Q1909:R1909">_xlfn.TEXTSPLIT(E1909," ")</f>
        <v>28.10.2023</v>
      </c>
      <c r="R1909" t="str">
        <v>07:50:19</v>
      </c>
      <c r="S1909">
        <f t="shared" si="419"/>
        <v>31.766666666666143</v>
      </c>
      <c r="T1909">
        <f t="shared" si="414"/>
        <v>32.5</v>
      </c>
      <c r="U1909">
        <f t="shared" si="417"/>
        <v>0.9</v>
      </c>
      <c r="V1909">
        <f t="shared" si="413"/>
        <v>0.90250000000000008</v>
      </c>
    </row>
    <row r="1910" spans="1:22" x14ac:dyDescent="0.25">
      <c r="A1910" t="s">
        <v>3866</v>
      </c>
      <c r="B1910">
        <v>0.6</v>
      </c>
      <c r="C1910">
        <v>33.21</v>
      </c>
      <c r="E1910" t="s">
        <v>3866</v>
      </c>
      <c r="F1910">
        <v>0</v>
      </c>
      <c r="G1910">
        <v>111.1</v>
      </c>
      <c r="I1910" t="str" cm="1">
        <f t="array" ref="I1910:J1910">_xlfn.TEXTSPLIT(A1910," ")</f>
        <v>28.10.2023</v>
      </c>
      <c r="J1910" t="str">
        <v>07:51:19</v>
      </c>
      <c r="K1910">
        <f t="shared" si="418"/>
        <v>31.783333333332809</v>
      </c>
      <c r="L1910">
        <f t="shared" si="415"/>
        <v>18.89</v>
      </c>
      <c r="M1910">
        <f t="shared" si="416"/>
        <v>0.6</v>
      </c>
      <c r="N1910">
        <f t="shared" si="412"/>
        <v>0.51500000000000024</v>
      </c>
      <c r="Q1910" t="str" cm="1">
        <f t="array" ref="Q1910:R1910">_xlfn.TEXTSPLIT(E1910," ")</f>
        <v>28.10.2023</v>
      </c>
      <c r="R1910" t="str">
        <v>07:51:19</v>
      </c>
      <c r="S1910">
        <f t="shared" si="419"/>
        <v>31.783333333332809</v>
      </c>
      <c r="T1910">
        <f t="shared" si="414"/>
        <v>32.5</v>
      </c>
      <c r="U1910">
        <f t="shared" si="417"/>
        <v>0</v>
      </c>
      <c r="V1910">
        <f t="shared" si="413"/>
        <v>0.90250000000000008</v>
      </c>
    </row>
    <row r="1911" spans="1:22" x14ac:dyDescent="0.25">
      <c r="A1911" t="s">
        <v>3867</v>
      </c>
      <c r="B1911">
        <v>0.3</v>
      </c>
      <c r="C1911">
        <v>33.21</v>
      </c>
      <c r="E1911" t="s">
        <v>3867</v>
      </c>
      <c r="F1911">
        <v>0</v>
      </c>
      <c r="G1911">
        <v>111.1</v>
      </c>
      <c r="I1911" t="str" cm="1">
        <f t="array" ref="I1911:J1911">_xlfn.TEXTSPLIT(A1911," ")</f>
        <v>28.10.2023</v>
      </c>
      <c r="J1911" t="str">
        <v>07:52:19</v>
      </c>
      <c r="K1911">
        <f t="shared" si="418"/>
        <v>31.799999999999475</v>
      </c>
      <c r="L1911">
        <f t="shared" si="415"/>
        <v>18.89</v>
      </c>
      <c r="M1911">
        <f t="shared" si="416"/>
        <v>0.3</v>
      </c>
      <c r="N1911">
        <f t="shared" si="412"/>
        <v>0.51500000000000024</v>
      </c>
      <c r="Q1911" t="str" cm="1">
        <f t="array" ref="Q1911:R1911">_xlfn.TEXTSPLIT(E1911," ")</f>
        <v>28.10.2023</v>
      </c>
      <c r="R1911" t="str">
        <v>07:52:19</v>
      </c>
      <c r="S1911">
        <f t="shared" si="419"/>
        <v>31.799999999999475</v>
      </c>
      <c r="T1911">
        <f t="shared" si="414"/>
        <v>32.5</v>
      </c>
      <c r="U1911">
        <f t="shared" si="417"/>
        <v>0</v>
      </c>
      <c r="V1911">
        <f t="shared" si="413"/>
        <v>0.90250000000000008</v>
      </c>
    </row>
    <row r="1912" spans="1:22" x14ac:dyDescent="0.25">
      <c r="A1912" t="s">
        <v>3868</v>
      </c>
      <c r="B1912">
        <v>0</v>
      </c>
      <c r="C1912">
        <v>33.21</v>
      </c>
      <c r="E1912" t="s">
        <v>3868</v>
      </c>
      <c r="F1912">
        <v>0.15</v>
      </c>
      <c r="G1912">
        <v>111.11</v>
      </c>
      <c r="I1912" t="str" cm="1">
        <f t="array" ref="I1912:J1912">_xlfn.TEXTSPLIT(A1912," ")</f>
        <v>28.10.2023</v>
      </c>
      <c r="J1912" t="str">
        <v>07:53:19</v>
      </c>
      <c r="K1912">
        <f t="shared" si="418"/>
        <v>31.816666666666141</v>
      </c>
      <c r="L1912">
        <f t="shared" si="415"/>
        <v>18.89</v>
      </c>
      <c r="M1912">
        <f t="shared" si="416"/>
        <v>0</v>
      </c>
      <c r="N1912">
        <f t="shared" si="412"/>
        <v>0.51500000000000024</v>
      </c>
      <c r="Q1912" t="str" cm="1">
        <f t="array" ref="Q1912:R1912">_xlfn.TEXTSPLIT(E1912," ")</f>
        <v>28.10.2023</v>
      </c>
      <c r="R1912" t="str">
        <v>07:53:19</v>
      </c>
      <c r="S1912">
        <f t="shared" si="419"/>
        <v>31.816666666666141</v>
      </c>
      <c r="T1912">
        <f t="shared" si="414"/>
        <v>32.510000000000005</v>
      </c>
      <c r="U1912">
        <f t="shared" si="417"/>
        <v>0.15</v>
      </c>
      <c r="V1912">
        <f t="shared" si="413"/>
        <v>0.90249999999999997</v>
      </c>
    </row>
    <row r="1913" spans="1:22" x14ac:dyDescent="0.25">
      <c r="A1913" t="s">
        <v>3869</v>
      </c>
      <c r="B1913">
        <v>0</v>
      </c>
      <c r="C1913">
        <v>33.21</v>
      </c>
      <c r="E1913" t="s">
        <v>3869</v>
      </c>
      <c r="F1913">
        <v>0.3</v>
      </c>
      <c r="G1913">
        <v>111.11</v>
      </c>
      <c r="I1913" t="str" cm="1">
        <f t="array" ref="I1913:J1913">_xlfn.TEXTSPLIT(A1913," ")</f>
        <v>28.10.2023</v>
      </c>
      <c r="J1913" t="str">
        <v>07:54:19</v>
      </c>
      <c r="K1913">
        <f t="shared" si="418"/>
        <v>31.833333333332806</v>
      </c>
      <c r="L1913">
        <f t="shared" si="415"/>
        <v>18.89</v>
      </c>
      <c r="M1913">
        <f t="shared" si="416"/>
        <v>0</v>
      </c>
      <c r="N1913">
        <f t="shared" si="412"/>
        <v>0.51500000000000024</v>
      </c>
      <c r="Q1913" t="str" cm="1">
        <f t="array" ref="Q1913:R1913">_xlfn.TEXTSPLIT(E1913," ")</f>
        <v>28.10.2023</v>
      </c>
      <c r="R1913" t="str">
        <v>07:54:19</v>
      </c>
      <c r="S1913">
        <f t="shared" si="419"/>
        <v>31.833333333332806</v>
      </c>
      <c r="T1913">
        <f t="shared" si="414"/>
        <v>32.510000000000005</v>
      </c>
      <c r="U1913">
        <f t="shared" si="417"/>
        <v>0.3</v>
      </c>
      <c r="V1913">
        <f t="shared" si="413"/>
        <v>0.90249999999999997</v>
      </c>
    </row>
    <row r="1914" spans="1:22" x14ac:dyDescent="0.25">
      <c r="A1914" t="s">
        <v>3870</v>
      </c>
      <c r="B1914">
        <v>0</v>
      </c>
      <c r="C1914">
        <v>33.21</v>
      </c>
      <c r="E1914" t="s">
        <v>3870</v>
      </c>
      <c r="F1914">
        <v>0.45</v>
      </c>
      <c r="G1914">
        <v>111.12</v>
      </c>
      <c r="I1914" t="str" cm="1">
        <f t="array" ref="I1914:J1914">_xlfn.TEXTSPLIT(A1914," ")</f>
        <v>28.10.2023</v>
      </c>
      <c r="J1914" t="str">
        <v>07:55:19</v>
      </c>
      <c r="K1914">
        <f t="shared" si="418"/>
        <v>31.849999999999472</v>
      </c>
      <c r="L1914">
        <f t="shared" si="415"/>
        <v>18.89</v>
      </c>
      <c r="M1914">
        <f t="shared" si="416"/>
        <v>0</v>
      </c>
      <c r="N1914">
        <f t="shared" si="412"/>
        <v>0.51500000000000024</v>
      </c>
      <c r="Q1914" t="str" cm="1">
        <f t="array" ref="Q1914:R1914">_xlfn.TEXTSPLIT(E1914," ")</f>
        <v>28.10.2023</v>
      </c>
      <c r="R1914" t="str">
        <v>07:55:19</v>
      </c>
      <c r="S1914">
        <f t="shared" si="419"/>
        <v>31.849999999999472</v>
      </c>
      <c r="T1914">
        <f t="shared" si="414"/>
        <v>32.52000000000001</v>
      </c>
      <c r="U1914">
        <f t="shared" si="417"/>
        <v>0.45</v>
      </c>
      <c r="V1914">
        <f t="shared" si="413"/>
        <v>0.90750000000000008</v>
      </c>
    </row>
    <row r="1915" spans="1:22" x14ac:dyDescent="0.25">
      <c r="A1915" t="s">
        <v>3871</v>
      </c>
      <c r="B1915">
        <v>0</v>
      </c>
      <c r="C1915">
        <v>33.21</v>
      </c>
      <c r="E1915" t="s">
        <v>3871</v>
      </c>
      <c r="F1915">
        <v>0.75</v>
      </c>
      <c r="G1915">
        <v>111.13</v>
      </c>
      <c r="I1915" t="str" cm="1">
        <f t="array" ref="I1915:J1915">_xlfn.TEXTSPLIT(A1915," ")</f>
        <v>28.10.2023</v>
      </c>
      <c r="J1915" t="str">
        <v>07:56:20</v>
      </c>
      <c r="K1915">
        <f t="shared" si="418"/>
        <v>31.866666666666138</v>
      </c>
      <c r="L1915">
        <f t="shared" si="415"/>
        <v>18.89</v>
      </c>
      <c r="M1915">
        <f t="shared" si="416"/>
        <v>0</v>
      </c>
      <c r="N1915">
        <f t="shared" si="412"/>
        <v>0.51500000000000024</v>
      </c>
      <c r="Q1915" t="str" cm="1">
        <f t="array" ref="Q1915:R1915">_xlfn.TEXTSPLIT(E1915," ")</f>
        <v>28.10.2023</v>
      </c>
      <c r="R1915" t="str">
        <v>07:56:20</v>
      </c>
      <c r="S1915">
        <f t="shared" si="419"/>
        <v>31.866666666666138</v>
      </c>
      <c r="T1915">
        <f t="shared" si="414"/>
        <v>32.53</v>
      </c>
      <c r="U1915">
        <f t="shared" si="417"/>
        <v>0.75</v>
      </c>
      <c r="V1915">
        <f t="shared" si="413"/>
        <v>0.91500000000000015</v>
      </c>
    </row>
    <row r="1916" spans="1:22" x14ac:dyDescent="0.25">
      <c r="A1916" t="s">
        <v>3872</v>
      </c>
      <c r="B1916">
        <v>0</v>
      </c>
      <c r="C1916">
        <v>33.21</v>
      </c>
      <c r="E1916" t="s">
        <v>3872</v>
      </c>
      <c r="F1916">
        <v>0.9</v>
      </c>
      <c r="G1916">
        <v>111.14</v>
      </c>
      <c r="I1916" t="str" cm="1">
        <f t="array" ref="I1916:J1916">_xlfn.TEXTSPLIT(A1916," ")</f>
        <v>28.10.2023</v>
      </c>
      <c r="J1916" t="str">
        <v>07:57:20</v>
      </c>
      <c r="K1916">
        <f t="shared" si="418"/>
        <v>31.883333333332804</v>
      </c>
      <c r="L1916">
        <f t="shared" si="415"/>
        <v>18.89</v>
      </c>
      <c r="M1916">
        <f t="shared" si="416"/>
        <v>0</v>
      </c>
      <c r="N1916">
        <f t="shared" si="412"/>
        <v>0.51500000000000024</v>
      </c>
      <c r="Q1916" t="str" cm="1">
        <f t="array" ref="Q1916:R1916">_xlfn.TEXTSPLIT(E1916," ")</f>
        <v>28.10.2023</v>
      </c>
      <c r="R1916" t="str">
        <v>07:57:20</v>
      </c>
      <c r="S1916">
        <f t="shared" si="419"/>
        <v>31.883333333332804</v>
      </c>
      <c r="T1916">
        <f t="shared" si="414"/>
        <v>32.540000000000006</v>
      </c>
      <c r="U1916">
        <f t="shared" si="417"/>
        <v>0.9</v>
      </c>
      <c r="V1916">
        <f t="shared" si="413"/>
        <v>0.92249999999999999</v>
      </c>
    </row>
    <row r="1917" spans="1:22" x14ac:dyDescent="0.25">
      <c r="A1917" t="s">
        <v>3873</v>
      </c>
      <c r="B1917">
        <v>0</v>
      </c>
      <c r="C1917">
        <v>33.21</v>
      </c>
      <c r="E1917" t="s">
        <v>3873</v>
      </c>
      <c r="F1917">
        <v>0.6</v>
      </c>
      <c r="G1917">
        <v>111.15</v>
      </c>
      <c r="I1917" t="str" cm="1">
        <f t="array" ref="I1917:J1917">_xlfn.TEXTSPLIT(A1917," ")</f>
        <v>28.10.2023</v>
      </c>
      <c r="J1917" t="str">
        <v>07:58:20</v>
      </c>
      <c r="K1917">
        <f t="shared" si="418"/>
        <v>31.899999999999469</v>
      </c>
      <c r="L1917">
        <f t="shared" si="415"/>
        <v>18.89</v>
      </c>
      <c r="M1917">
        <f t="shared" si="416"/>
        <v>0</v>
      </c>
      <c r="N1917">
        <f t="shared" si="412"/>
        <v>0.51500000000000024</v>
      </c>
      <c r="Q1917" t="str" cm="1">
        <f t="array" ref="Q1917:R1917">_xlfn.TEXTSPLIT(E1917," ")</f>
        <v>28.10.2023</v>
      </c>
      <c r="R1917" t="str">
        <v>07:58:20</v>
      </c>
      <c r="S1917">
        <f t="shared" si="419"/>
        <v>31.899999999999469</v>
      </c>
      <c r="T1917">
        <f t="shared" si="414"/>
        <v>32.550000000000011</v>
      </c>
      <c r="U1917">
        <f t="shared" si="417"/>
        <v>0.6</v>
      </c>
      <c r="V1917">
        <f t="shared" si="413"/>
        <v>0.92500000000000004</v>
      </c>
    </row>
    <row r="1918" spans="1:22" x14ac:dyDescent="0.25">
      <c r="A1918" t="s">
        <v>3874</v>
      </c>
      <c r="B1918">
        <v>0.3</v>
      </c>
      <c r="C1918">
        <v>33.22</v>
      </c>
      <c r="E1918" t="s">
        <v>3874</v>
      </c>
      <c r="F1918">
        <v>0.6</v>
      </c>
      <c r="G1918">
        <v>111.17</v>
      </c>
      <c r="I1918" t="str" cm="1">
        <f t="array" ref="I1918:J1918">_xlfn.TEXTSPLIT(A1918," ")</f>
        <v>28.10.2023</v>
      </c>
      <c r="J1918" t="str">
        <v>07:59:20</v>
      </c>
      <c r="K1918">
        <f t="shared" si="418"/>
        <v>31.916666666666135</v>
      </c>
      <c r="L1918">
        <f t="shared" si="415"/>
        <v>18.899999999999999</v>
      </c>
      <c r="M1918">
        <f t="shared" si="416"/>
        <v>0.3</v>
      </c>
      <c r="N1918">
        <f t="shared" si="412"/>
        <v>0.51750000000000018</v>
      </c>
      <c r="Q1918" t="str" cm="1">
        <f t="array" ref="Q1918:R1918">_xlfn.TEXTSPLIT(E1918," ")</f>
        <v>28.10.2023</v>
      </c>
      <c r="R1918" t="str">
        <v>07:59:20</v>
      </c>
      <c r="S1918">
        <f t="shared" si="419"/>
        <v>31.916666666666135</v>
      </c>
      <c r="T1918">
        <f t="shared" si="414"/>
        <v>32.570000000000007</v>
      </c>
      <c r="U1918">
        <f t="shared" si="417"/>
        <v>0.6</v>
      </c>
      <c r="V1918">
        <f t="shared" si="413"/>
        <v>0.92500000000000004</v>
      </c>
    </row>
    <row r="1919" spans="1:22" x14ac:dyDescent="0.25">
      <c r="A1919" t="s">
        <v>3875</v>
      </c>
      <c r="B1919">
        <v>0.15</v>
      </c>
      <c r="C1919">
        <v>33.22</v>
      </c>
      <c r="E1919" t="s">
        <v>3875</v>
      </c>
      <c r="F1919">
        <v>0.6</v>
      </c>
      <c r="G1919">
        <v>111.17</v>
      </c>
      <c r="I1919" t="str" cm="1">
        <f t="array" ref="I1919:J1919">_xlfn.TEXTSPLIT(A1919," ")</f>
        <v>28.10.2023</v>
      </c>
      <c r="J1919" t="str">
        <v>08:00:20</v>
      </c>
      <c r="K1919">
        <f t="shared" si="418"/>
        <v>31.933333333332801</v>
      </c>
      <c r="L1919">
        <f t="shared" si="415"/>
        <v>18.899999999999999</v>
      </c>
      <c r="M1919">
        <f t="shared" si="416"/>
        <v>0.15</v>
      </c>
      <c r="N1919">
        <f t="shared" ref="N1919:N1982" si="420">AVERAGE(M1860:M1919)</f>
        <v>0.51500000000000012</v>
      </c>
      <c r="Q1919" t="str" cm="1">
        <f t="array" ref="Q1919:R1919">_xlfn.TEXTSPLIT(E1919," ")</f>
        <v>28.10.2023</v>
      </c>
      <c r="R1919" t="str">
        <v>08:00:20</v>
      </c>
      <c r="S1919">
        <f t="shared" si="419"/>
        <v>31.933333333332801</v>
      </c>
      <c r="T1919">
        <f t="shared" si="414"/>
        <v>32.570000000000007</v>
      </c>
      <c r="U1919">
        <f t="shared" si="417"/>
        <v>0.6</v>
      </c>
      <c r="V1919">
        <f t="shared" ref="V1919:V1982" si="421">AVERAGE(U1860:U1919)</f>
        <v>0.92</v>
      </c>
    </row>
    <row r="1920" spans="1:22" x14ac:dyDescent="0.25">
      <c r="A1920" t="s">
        <v>3876</v>
      </c>
      <c r="B1920">
        <v>0.3</v>
      </c>
      <c r="C1920">
        <v>33.22</v>
      </c>
      <c r="E1920" t="s">
        <v>3876</v>
      </c>
      <c r="F1920">
        <v>0.6</v>
      </c>
      <c r="G1920">
        <v>111.18</v>
      </c>
      <c r="I1920" t="str" cm="1">
        <f t="array" ref="I1920:J1920">_xlfn.TEXTSPLIT(A1920," ")</f>
        <v>28.10.2023</v>
      </c>
      <c r="J1920" t="str">
        <v>08:01:20</v>
      </c>
      <c r="K1920">
        <f t="shared" si="418"/>
        <v>31.949999999999466</v>
      </c>
      <c r="L1920">
        <f t="shared" si="415"/>
        <v>18.899999999999999</v>
      </c>
      <c r="M1920">
        <f t="shared" si="416"/>
        <v>0.3</v>
      </c>
      <c r="N1920">
        <f t="shared" si="420"/>
        <v>0.51500000000000012</v>
      </c>
      <c r="Q1920" t="str" cm="1">
        <f t="array" ref="Q1920:R1920">_xlfn.TEXTSPLIT(E1920," ")</f>
        <v>28.10.2023</v>
      </c>
      <c r="R1920" t="str">
        <v>08:01:20</v>
      </c>
      <c r="S1920">
        <f t="shared" si="419"/>
        <v>31.949999999999466</v>
      </c>
      <c r="T1920">
        <f t="shared" si="414"/>
        <v>32.580000000000013</v>
      </c>
      <c r="U1920">
        <f t="shared" si="417"/>
        <v>0.6</v>
      </c>
      <c r="V1920">
        <f t="shared" si="421"/>
        <v>0.91500000000000015</v>
      </c>
    </row>
    <row r="1921" spans="1:22" x14ac:dyDescent="0.25">
      <c r="A1921" t="s">
        <v>3877</v>
      </c>
      <c r="B1921">
        <v>0.3</v>
      </c>
      <c r="C1921">
        <v>33.229999999999997</v>
      </c>
      <c r="E1921" t="s">
        <v>3877</v>
      </c>
      <c r="F1921">
        <v>0.45</v>
      </c>
      <c r="G1921">
        <v>111.19</v>
      </c>
      <c r="I1921" t="str" cm="1">
        <f t="array" ref="I1921:J1921">_xlfn.TEXTSPLIT(A1921," ")</f>
        <v>28.10.2023</v>
      </c>
      <c r="J1921" t="str">
        <v>08:02:20</v>
      </c>
      <c r="K1921">
        <f t="shared" si="418"/>
        <v>31.966666666666132</v>
      </c>
      <c r="L1921">
        <f t="shared" si="415"/>
        <v>18.909999999999997</v>
      </c>
      <c r="M1921">
        <f t="shared" si="416"/>
        <v>0.3</v>
      </c>
      <c r="N1921">
        <f t="shared" si="420"/>
        <v>0.51500000000000012</v>
      </c>
      <c r="Q1921" t="str" cm="1">
        <f t="array" ref="Q1921:R1921">_xlfn.TEXTSPLIT(E1921," ")</f>
        <v>28.10.2023</v>
      </c>
      <c r="R1921" t="str">
        <v>08:02:20</v>
      </c>
      <c r="S1921">
        <f t="shared" si="419"/>
        <v>31.966666666666132</v>
      </c>
      <c r="T1921">
        <f t="shared" si="414"/>
        <v>32.590000000000003</v>
      </c>
      <c r="U1921">
        <f t="shared" si="417"/>
        <v>0.45</v>
      </c>
      <c r="V1921">
        <f t="shared" si="421"/>
        <v>0.90250000000000008</v>
      </c>
    </row>
    <row r="1922" spans="1:22" x14ac:dyDescent="0.25">
      <c r="A1922" t="s">
        <v>3878</v>
      </c>
      <c r="B1922">
        <v>0.3</v>
      </c>
      <c r="C1922">
        <v>33.24</v>
      </c>
      <c r="E1922" t="s">
        <v>3878</v>
      </c>
      <c r="F1922">
        <v>0.3</v>
      </c>
      <c r="G1922">
        <v>111.2</v>
      </c>
      <c r="I1922" t="str" cm="1">
        <f t="array" ref="I1922:J1922">_xlfn.TEXTSPLIT(A1922," ")</f>
        <v>28.10.2023</v>
      </c>
      <c r="J1922" t="str">
        <v>08:03:21</v>
      </c>
      <c r="K1922">
        <f t="shared" si="418"/>
        <v>31.983333333332798</v>
      </c>
      <c r="L1922">
        <f t="shared" si="415"/>
        <v>18.920000000000002</v>
      </c>
      <c r="M1922">
        <f t="shared" si="416"/>
        <v>0.3</v>
      </c>
      <c r="N1922">
        <f t="shared" si="420"/>
        <v>0.51500000000000024</v>
      </c>
      <c r="Q1922" t="str" cm="1">
        <f t="array" ref="Q1922:R1922">_xlfn.TEXTSPLIT(E1922," ")</f>
        <v>28.10.2023</v>
      </c>
      <c r="R1922" t="str">
        <v>08:03:21</v>
      </c>
      <c r="S1922">
        <f t="shared" si="419"/>
        <v>31.983333333332798</v>
      </c>
      <c r="T1922">
        <f t="shared" si="414"/>
        <v>32.600000000000009</v>
      </c>
      <c r="U1922">
        <f t="shared" si="417"/>
        <v>0.3</v>
      </c>
      <c r="V1922">
        <f t="shared" si="421"/>
        <v>0.89500000000000002</v>
      </c>
    </row>
    <row r="1923" spans="1:22" x14ac:dyDescent="0.25">
      <c r="A1923" t="s">
        <v>3879</v>
      </c>
      <c r="B1923">
        <v>0.3</v>
      </c>
      <c r="C1923">
        <v>33.24</v>
      </c>
      <c r="E1923" t="s">
        <v>3879</v>
      </c>
      <c r="F1923">
        <v>0.75</v>
      </c>
      <c r="G1923">
        <v>111.22</v>
      </c>
      <c r="I1923" t="str" cm="1">
        <f t="array" ref="I1923:J1923">_xlfn.TEXTSPLIT(A1923," ")</f>
        <v>28.10.2023</v>
      </c>
      <c r="J1923" t="str">
        <v>08:04:21</v>
      </c>
      <c r="K1923">
        <f t="shared" si="418"/>
        <v>31.999999999999464</v>
      </c>
      <c r="L1923">
        <f t="shared" si="415"/>
        <v>18.920000000000002</v>
      </c>
      <c r="M1923">
        <f t="shared" si="416"/>
        <v>0.3</v>
      </c>
      <c r="N1923">
        <f t="shared" si="420"/>
        <v>0.51500000000000024</v>
      </c>
      <c r="Q1923" t="str" cm="1">
        <f t="array" ref="Q1923:R1923">_xlfn.TEXTSPLIT(E1923," ")</f>
        <v>28.10.2023</v>
      </c>
      <c r="R1923" t="str">
        <v>08:04:21</v>
      </c>
      <c r="S1923">
        <f t="shared" si="419"/>
        <v>31.999999999999464</v>
      </c>
      <c r="T1923">
        <f t="shared" ref="T1923:T1986" si="422">G1923-78.6</f>
        <v>32.620000000000005</v>
      </c>
      <c r="U1923">
        <f t="shared" si="417"/>
        <v>0.75</v>
      </c>
      <c r="V1923">
        <f t="shared" si="421"/>
        <v>0.89500000000000002</v>
      </c>
    </row>
    <row r="1924" spans="1:22" x14ac:dyDescent="0.25">
      <c r="A1924" t="s">
        <v>3880</v>
      </c>
      <c r="B1924">
        <v>0.3</v>
      </c>
      <c r="C1924">
        <v>33.24</v>
      </c>
      <c r="E1924" t="s">
        <v>3880</v>
      </c>
      <c r="F1924">
        <v>1.05</v>
      </c>
      <c r="G1924">
        <v>111.25</v>
      </c>
      <c r="I1924" t="str" cm="1">
        <f t="array" ref="I1924:J1924">_xlfn.TEXTSPLIT(A1924," ")</f>
        <v>28.10.2023</v>
      </c>
      <c r="J1924" t="str">
        <v>08:05:21</v>
      </c>
      <c r="K1924">
        <f t="shared" si="418"/>
        <v>32.016666666666133</v>
      </c>
      <c r="L1924">
        <f t="shared" ref="L1924:L1987" si="423">C1924-14.32</f>
        <v>18.920000000000002</v>
      </c>
      <c r="M1924">
        <f t="shared" ref="M1924:M1987" si="424">B1924</f>
        <v>0.3</v>
      </c>
      <c r="N1924">
        <f t="shared" si="420"/>
        <v>0.51250000000000029</v>
      </c>
      <c r="Q1924" t="str" cm="1">
        <f t="array" ref="Q1924:R1924">_xlfn.TEXTSPLIT(E1924," ")</f>
        <v>28.10.2023</v>
      </c>
      <c r="R1924" t="str">
        <v>08:05:21</v>
      </c>
      <c r="S1924">
        <f t="shared" si="419"/>
        <v>32.016666666666133</v>
      </c>
      <c r="T1924">
        <f t="shared" si="422"/>
        <v>32.650000000000006</v>
      </c>
      <c r="U1924">
        <f t="shared" ref="U1924:U1987" si="425">F1924</f>
        <v>1.05</v>
      </c>
      <c r="V1924">
        <f t="shared" si="421"/>
        <v>0.90249999999999997</v>
      </c>
    </row>
    <row r="1925" spans="1:22" x14ac:dyDescent="0.25">
      <c r="A1925" t="s">
        <v>3881</v>
      </c>
      <c r="B1925">
        <v>0.45</v>
      </c>
      <c r="C1925">
        <v>33.25</v>
      </c>
      <c r="E1925" t="s">
        <v>3881</v>
      </c>
      <c r="F1925">
        <v>2.5499999999999998</v>
      </c>
      <c r="G1925">
        <v>111.29</v>
      </c>
      <c r="I1925" t="str" cm="1">
        <f t="array" ref="I1925:J1925">_xlfn.TEXTSPLIT(A1925," ")</f>
        <v>28.10.2023</v>
      </c>
      <c r="J1925" t="str">
        <v>08:06:21</v>
      </c>
      <c r="K1925">
        <f t="shared" ref="K1925:K1988" si="426">1/60+K1924</f>
        <v>32.033333333332799</v>
      </c>
      <c r="L1925">
        <f t="shared" si="423"/>
        <v>18.93</v>
      </c>
      <c r="M1925">
        <f t="shared" si="424"/>
        <v>0.45</v>
      </c>
      <c r="N1925">
        <f t="shared" si="420"/>
        <v>0.51500000000000024</v>
      </c>
      <c r="Q1925" t="str" cm="1">
        <f t="array" ref="Q1925:R1925">_xlfn.TEXTSPLIT(E1925," ")</f>
        <v>28.10.2023</v>
      </c>
      <c r="R1925" t="str">
        <v>08:06:21</v>
      </c>
      <c r="S1925">
        <f t="shared" ref="S1925:S1988" si="427">1/60+S1924</f>
        <v>32.033333333332799</v>
      </c>
      <c r="T1925">
        <f t="shared" si="422"/>
        <v>32.690000000000012</v>
      </c>
      <c r="U1925">
        <f t="shared" si="425"/>
        <v>2.5499999999999998</v>
      </c>
      <c r="V1925">
        <f t="shared" si="421"/>
        <v>0.91749999999999998</v>
      </c>
    </row>
    <row r="1926" spans="1:22" x14ac:dyDescent="0.25">
      <c r="A1926" t="s">
        <v>3882</v>
      </c>
      <c r="B1926">
        <v>1.2</v>
      </c>
      <c r="C1926">
        <v>33.28</v>
      </c>
      <c r="E1926" t="s">
        <v>3882</v>
      </c>
      <c r="F1926">
        <v>1.95</v>
      </c>
      <c r="G1926">
        <v>111.32</v>
      </c>
      <c r="I1926" t="str" cm="1">
        <f t="array" ref="I1926:J1926">_xlfn.TEXTSPLIT(A1926," ")</f>
        <v>28.10.2023</v>
      </c>
      <c r="J1926" t="str">
        <v>08:07:21</v>
      </c>
      <c r="K1926">
        <f t="shared" si="426"/>
        <v>32.049999999999464</v>
      </c>
      <c r="L1926">
        <f t="shared" si="423"/>
        <v>18.96</v>
      </c>
      <c r="M1926">
        <f t="shared" si="424"/>
        <v>1.2</v>
      </c>
      <c r="N1926">
        <f t="shared" si="420"/>
        <v>0.51250000000000029</v>
      </c>
      <c r="Q1926" t="str" cm="1">
        <f t="array" ref="Q1926:R1926">_xlfn.TEXTSPLIT(E1926," ")</f>
        <v>28.10.2023</v>
      </c>
      <c r="R1926" t="str">
        <v>08:07:21</v>
      </c>
      <c r="S1926">
        <f t="shared" si="427"/>
        <v>32.049999999999464</v>
      </c>
      <c r="T1926">
        <f t="shared" si="422"/>
        <v>32.72</v>
      </c>
      <c r="U1926">
        <f t="shared" si="425"/>
        <v>1.95</v>
      </c>
      <c r="V1926">
        <f t="shared" si="421"/>
        <v>0.89000000000000012</v>
      </c>
    </row>
    <row r="1927" spans="1:22" x14ac:dyDescent="0.25">
      <c r="A1927" t="s">
        <v>3883</v>
      </c>
      <c r="B1927">
        <v>2.5499999999999998</v>
      </c>
      <c r="C1927">
        <v>33.32</v>
      </c>
      <c r="E1927" t="s">
        <v>3883</v>
      </c>
      <c r="F1927">
        <v>1.35</v>
      </c>
      <c r="G1927">
        <v>111.35</v>
      </c>
      <c r="I1927" t="str" cm="1">
        <f t="array" ref="I1927:J1927">_xlfn.TEXTSPLIT(A1927," ")</f>
        <v>28.10.2023</v>
      </c>
      <c r="J1927" t="str">
        <v>08:08:21</v>
      </c>
      <c r="K1927">
        <f t="shared" si="426"/>
        <v>32.06666666666613</v>
      </c>
      <c r="L1927">
        <f t="shared" si="423"/>
        <v>19</v>
      </c>
      <c r="M1927">
        <f t="shared" si="424"/>
        <v>2.5499999999999998</v>
      </c>
      <c r="N1927">
        <f t="shared" si="420"/>
        <v>0.51750000000000029</v>
      </c>
      <c r="Q1927" t="str" cm="1">
        <f t="array" ref="Q1927:R1927">_xlfn.TEXTSPLIT(E1927," ")</f>
        <v>28.10.2023</v>
      </c>
      <c r="R1927" t="str">
        <v>08:08:21</v>
      </c>
      <c r="S1927">
        <f t="shared" si="427"/>
        <v>32.06666666666613</v>
      </c>
      <c r="T1927">
        <f t="shared" si="422"/>
        <v>32.75</v>
      </c>
      <c r="U1927">
        <f t="shared" si="425"/>
        <v>1.35</v>
      </c>
      <c r="V1927">
        <f t="shared" si="421"/>
        <v>0.87750000000000006</v>
      </c>
    </row>
    <row r="1928" spans="1:22" x14ac:dyDescent="0.25">
      <c r="A1928" t="s">
        <v>3884</v>
      </c>
      <c r="B1928">
        <v>1.65</v>
      </c>
      <c r="C1928">
        <v>33.35</v>
      </c>
      <c r="E1928" t="s">
        <v>3884</v>
      </c>
      <c r="F1928">
        <v>1.8</v>
      </c>
      <c r="G1928">
        <v>111.37</v>
      </c>
      <c r="I1928" t="str" cm="1">
        <f t="array" ref="I1928:J1928">_xlfn.TEXTSPLIT(A1928," ")</f>
        <v>28.10.2023</v>
      </c>
      <c r="J1928" t="str">
        <v>08:09:21</v>
      </c>
      <c r="K1928">
        <f t="shared" si="426"/>
        <v>32.083333333332796</v>
      </c>
      <c r="L1928">
        <f t="shared" si="423"/>
        <v>19.03</v>
      </c>
      <c r="M1928">
        <f t="shared" si="424"/>
        <v>1.65</v>
      </c>
      <c r="N1928">
        <f t="shared" si="420"/>
        <v>0.51250000000000029</v>
      </c>
      <c r="Q1928" t="str" cm="1">
        <f t="array" ref="Q1928:R1928">_xlfn.TEXTSPLIT(E1928," ")</f>
        <v>28.10.2023</v>
      </c>
      <c r="R1928" t="str">
        <v>08:09:21</v>
      </c>
      <c r="S1928">
        <f t="shared" si="427"/>
        <v>32.083333333332796</v>
      </c>
      <c r="T1928">
        <f t="shared" si="422"/>
        <v>32.77000000000001</v>
      </c>
      <c r="U1928">
        <f t="shared" si="425"/>
        <v>1.8</v>
      </c>
      <c r="V1928">
        <f t="shared" si="421"/>
        <v>0.88000000000000012</v>
      </c>
    </row>
    <row r="1929" spans="1:22" x14ac:dyDescent="0.25">
      <c r="A1929" t="s">
        <v>3885</v>
      </c>
      <c r="B1929">
        <v>1.05</v>
      </c>
      <c r="C1929">
        <v>33.36</v>
      </c>
      <c r="E1929" t="s">
        <v>3885</v>
      </c>
      <c r="F1929">
        <v>1.65</v>
      </c>
      <c r="G1929">
        <v>111.4</v>
      </c>
      <c r="I1929" t="str" cm="1">
        <f t="array" ref="I1929:J1929">_xlfn.TEXTSPLIT(A1929," ")</f>
        <v>28.10.2023</v>
      </c>
      <c r="J1929" t="str">
        <v>08:10:21</v>
      </c>
      <c r="K1929">
        <f t="shared" si="426"/>
        <v>32.099999999999461</v>
      </c>
      <c r="L1929">
        <f t="shared" si="423"/>
        <v>19.04</v>
      </c>
      <c r="M1929">
        <f t="shared" si="424"/>
        <v>1.05</v>
      </c>
      <c r="N1929">
        <f t="shared" si="420"/>
        <v>0.51000000000000023</v>
      </c>
      <c r="Q1929" t="str" cm="1">
        <f t="array" ref="Q1929:R1929">_xlfn.TEXTSPLIT(E1929," ")</f>
        <v>28.10.2023</v>
      </c>
      <c r="R1929" t="str">
        <v>08:10:21</v>
      </c>
      <c r="S1929">
        <f t="shared" si="427"/>
        <v>32.099999999999461</v>
      </c>
      <c r="T1929">
        <f t="shared" si="422"/>
        <v>32.800000000000011</v>
      </c>
      <c r="U1929">
        <f t="shared" si="425"/>
        <v>1.65</v>
      </c>
      <c r="V1929">
        <f t="shared" si="421"/>
        <v>0.88250000000000006</v>
      </c>
    </row>
    <row r="1930" spans="1:22" x14ac:dyDescent="0.25">
      <c r="A1930" t="s">
        <v>3886</v>
      </c>
      <c r="B1930">
        <v>0.75</v>
      </c>
      <c r="C1930">
        <v>33.369999999999997</v>
      </c>
      <c r="E1930" t="s">
        <v>3886</v>
      </c>
      <c r="F1930">
        <v>1.05</v>
      </c>
      <c r="G1930">
        <v>111.42</v>
      </c>
      <c r="I1930" t="str" cm="1">
        <f t="array" ref="I1930:J1930">_xlfn.TEXTSPLIT(A1930," ")</f>
        <v>28.10.2023</v>
      </c>
      <c r="J1930" t="str">
        <v>08:11:22</v>
      </c>
      <c r="K1930">
        <f t="shared" si="426"/>
        <v>32.116666666666127</v>
      </c>
      <c r="L1930">
        <f t="shared" si="423"/>
        <v>19.049999999999997</v>
      </c>
      <c r="M1930">
        <f t="shared" si="424"/>
        <v>0.75</v>
      </c>
      <c r="N1930">
        <f t="shared" si="420"/>
        <v>0.50750000000000006</v>
      </c>
      <c r="Q1930" t="str" cm="1">
        <f t="array" ref="Q1930:R1930">_xlfn.TEXTSPLIT(E1930," ")</f>
        <v>28.10.2023</v>
      </c>
      <c r="R1930" t="str">
        <v>08:11:22</v>
      </c>
      <c r="S1930">
        <f t="shared" si="427"/>
        <v>32.116666666666127</v>
      </c>
      <c r="T1930">
        <f t="shared" si="422"/>
        <v>32.820000000000007</v>
      </c>
      <c r="U1930">
        <f t="shared" si="425"/>
        <v>1.05</v>
      </c>
      <c r="V1930">
        <f t="shared" si="421"/>
        <v>0.86999999999999988</v>
      </c>
    </row>
    <row r="1931" spans="1:22" x14ac:dyDescent="0.25">
      <c r="A1931" t="s">
        <v>3887</v>
      </c>
      <c r="B1931">
        <v>0.45</v>
      </c>
      <c r="C1931">
        <v>33.380000000000003</v>
      </c>
      <c r="E1931" t="s">
        <v>3887</v>
      </c>
      <c r="F1931">
        <v>0.9</v>
      </c>
      <c r="G1931">
        <v>111.43</v>
      </c>
      <c r="I1931" t="str" cm="1">
        <f t="array" ref="I1931:J1931">_xlfn.TEXTSPLIT(A1931," ")</f>
        <v>28.10.2023</v>
      </c>
      <c r="J1931" t="str">
        <v>08:12:22</v>
      </c>
      <c r="K1931">
        <f t="shared" si="426"/>
        <v>32.133333333332793</v>
      </c>
      <c r="L1931">
        <f t="shared" si="423"/>
        <v>19.060000000000002</v>
      </c>
      <c r="M1931">
        <f t="shared" si="424"/>
        <v>0.45</v>
      </c>
      <c r="N1931">
        <f t="shared" si="420"/>
        <v>0.50000000000000011</v>
      </c>
      <c r="Q1931" t="str" cm="1">
        <f t="array" ref="Q1931:R1931">_xlfn.TEXTSPLIT(E1931," ")</f>
        <v>28.10.2023</v>
      </c>
      <c r="R1931" t="str">
        <v>08:12:22</v>
      </c>
      <c r="S1931">
        <f t="shared" si="427"/>
        <v>32.133333333332793</v>
      </c>
      <c r="T1931">
        <f t="shared" si="422"/>
        <v>32.830000000000013</v>
      </c>
      <c r="U1931">
        <f t="shared" si="425"/>
        <v>0.9</v>
      </c>
      <c r="V1931">
        <f t="shared" si="421"/>
        <v>0.86249999999999993</v>
      </c>
    </row>
    <row r="1932" spans="1:22" x14ac:dyDescent="0.25">
      <c r="A1932" t="s">
        <v>3888</v>
      </c>
      <c r="B1932">
        <v>0.45</v>
      </c>
      <c r="C1932">
        <v>33.39</v>
      </c>
      <c r="E1932" t="s">
        <v>3888</v>
      </c>
      <c r="F1932">
        <v>0.6</v>
      </c>
      <c r="G1932">
        <v>111.44</v>
      </c>
      <c r="I1932" t="str" cm="1">
        <f t="array" ref="I1932:J1932">_xlfn.TEXTSPLIT(A1932," ")</f>
        <v>28.10.2023</v>
      </c>
      <c r="J1932" t="str">
        <v>08:13:22</v>
      </c>
      <c r="K1932">
        <f t="shared" si="426"/>
        <v>32.149999999999459</v>
      </c>
      <c r="L1932">
        <f t="shared" si="423"/>
        <v>19.07</v>
      </c>
      <c r="M1932">
        <f t="shared" si="424"/>
        <v>0.45</v>
      </c>
      <c r="N1932">
        <f t="shared" si="420"/>
        <v>0.49500000000000011</v>
      </c>
      <c r="Q1932" t="str" cm="1">
        <f t="array" ref="Q1932:R1932">_xlfn.TEXTSPLIT(E1932," ")</f>
        <v>28.10.2023</v>
      </c>
      <c r="R1932" t="str">
        <v>08:13:22</v>
      </c>
      <c r="S1932">
        <f t="shared" si="427"/>
        <v>32.149999999999459</v>
      </c>
      <c r="T1932">
        <f t="shared" si="422"/>
        <v>32.840000000000003</v>
      </c>
      <c r="U1932">
        <f t="shared" si="425"/>
        <v>0.6</v>
      </c>
      <c r="V1932">
        <f t="shared" si="421"/>
        <v>0.85749999999999993</v>
      </c>
    </row>
    <row r="1933" spans="1:22" x14ac:dyDescent="0.25">
      <c r="A1933" t="s">
        <v>3889</v>
      </c>
      <c r="B1933">
        <v>0.75</v>
      </c>
      <c r="C1933">
        <v>33.4</v>
      </c>
      <c r="E1933" t="s">
        <v>3889</v>
      </c>
      <c r="F1933">
        <v>0.9</v>
      </c>
      <c r="G1933">
        <v>111.45</v>
      </c>
      <c r="I1933" t="str" cm="1">
        <f t="array" ref="I1933:J1933">_xlfn.TEXTSPLIT(A1933," ")</f>
        <v>28.10.2023</v>
      </c>
      <c r="J1933" t="str">
        <v>08:14:22</v>
      </c>
      <c r="K1933">
        <f t="shared" si="426"/>
        <v>32.166666666666124</v>
      </c>
      <c r="L1933">
        <f t="shared" si="423"/>
        <v>19.079999999999998</v>
      </c>
      <c r="M1933">
        <f t="shared" si="424"/>
        <v>0.75</v>
      </c>
      <c r="N1933">
        <f t="shared" si="420"/>
        <v>0.48750000000000004</v>
      </c>
      <c r="Q1933" t="str" cm="1">
        <f t="array" ref="Q1933:R1933">_xlfn.TEXTSPLIT(E1933," ")</f>
        <v>28.10.2023</v>
      </c>
      <c r="R1933" t="str">
        <v>08:14:22</v>
      </c>
      <c r="S1933">
        <f t="shared" si="427"/>
        <v>32.166666666666124</v>
      </c>
      <c r="T1933">
        <f t="shared" si="422"/>
        <v>32.850000000000009</v>
      </c>
      <c r="U1933">
        <f t="shared" si="425"/>
        <v>0.9</v>
      </c>
      <c r="V1933">
        <f t="shared" si="421"/>
        <v>0.85999999999999988</v>
      </c>
    </row>
    <row r="1934" spans="1:22" x14ac:dyDescent="0.25">
      <c r="A1934" t="s">
        <v>3890</v>
      </c>
      <c r="B1934">
        <v>0.45</v>
      </c>
      <c r="C1934">
        <v>33.409999999999997</v>
      </c>
      <c r="E1934" t="s">
        <v>3890</v>
      </c>
      <c r="F1934">
        <v>0.75</v>
      </c>
      <c r="G1934">
        <v>111.47</v>
      </c>
      <c r="I1934" t="str" cm="1">
        <f t="array" ref="I1934:J1934">_xlfn.TEXTSPLIT(A1934," ")</f>
        <v>28.10.2023</v>
      </c>
      <c r="J1934" t="str">
        <v>08:15:22</v>
      </c>
      <c r="K1934">
        <f t="shared" si="426"/>
        <v>32.18333333333279</v>
      </c>
      <c r="L1934">
        <f t="shared" si="423"/>
        <v>19.089999999999996</v>
      </c>
      <c r="M1934">
        <f t="shared" si="424"/>
        <v>0.45</v>
      </c>
      <c r="N1934">
        <f t="shared" si="420"/>
        <v>0.48250000000000004</v>
      </c>
      <c r="Q1934" t="str" cm="1">
        <f t="array" ref="Q1934:R1934">_xlfn.TEXTSPLIT(E1934," ")</f>
        <v>28.10.2023</v>
      </c>
      <c r="R1934" t="str">
        <v>08:15:22</v>
      </c>
      <c r="S1934">
        <f t="shared" si="427"/>
        <v>32.18333333333279</v>
      </c>
      <c r="T1934">
        <f t="shared" si="422"/>
        <v>32.870000000000005</v>
      </c>
      <c r="U1934">
        <f t="shared" si="425"/>
        <v>0.75</v>
      </c>
      <c r="V1934">
        <f t="shared" si="421"/>
        <v>0.85749999999999982</v>
      </c>
    </row>
    <row r="1935" spans="1:22" x14ac:dyDescent="0.25">
      <c r="A1935" t="s">
        <v>3891</v>
      </c>
      <c r="B1935">
        <v>0.6</v>
      </c>
      <c r="C1935">
        <v>33.42</v>
      </c>
      <c r="E1935" t="s">
        <v>3891</v>
      </c>
      <c r="F1935">
        <v>0.75</v>
      </c>
      <c r="G1935">
        <v>111.48</v>
      </c>
      <c r="I1935" t="str" cm="1">
        <f t="array" ref="I1935:J1935">_xlfn.TEXTSPLIT(A1935," ")</f>
        <v>28.10.2023</v>
      </c>
      <c r="J1935" t="str">
        <v>08:16:22</v>
      </c>
      <c r="K1935">
        <f t="shared" si="426"/>
        <v>32.199999999999456</v>
      </c>
      <c r="L1935">
        <f t="shared" si="423"/>
        <v>19.100000000000001</v>
      </c>
      <c r="M1935">
        <f t="shared" si="424"/>
        <v>0.6</v>
      </c>
      <c r="N1935">
        <f t="shared" si="420"/>
        <v>0.49250000000000005</v>
      </c>
      <c r="Q1935" t="str" cm="1">
        <f t="array" ref="Q1935:R1935">_xlfn.TEXTSPLIT(E1935," ")</f>
        <v>28.10.2023</v>
      </c>
      <c r="R1935" t="str">
        <v>08:16:22</v>
      </c>
      <c r="S1935">
        <f t="shared" si="427"/>
        <v>32.199999999999456</v>
      </c>
      <c r="T1935">
        <f t="shared" si="422"/>
        <v>32.88000000000001</v>
      </c>
      <c r="U1935">
        <f t="shared" si="425"/>
        <v>0.75</v>
      </c>
      <c r="V1935">
        <f t="shared" si="421"/>
        <v>0.85499999999999998</v>
      </c>
    </row>
    <row r="1936" spans="1:22" x14ac:dyDescent="0.25">
      <c r="A1936" t="s">
        <v>3892</v>
      </c>
      <c r="B1936">
        <v>0.3</v>
      </c>
      <c r="C1936">
        <v>33.42</v>
      </c>
      <c r="E1936" t="s">
        <v>3892</v>
      </c>
      <c r="F1936">
        <v>1.2</v>
      </c>
      <c r="G1936">
        <v>111.5</v>
      </c>
      <c r="I1936" t="str" cm="1">
        <f t="array" ref="I1936:J1936">_xlfn.TEXTSPLIT(A1936," ")</f>
        <v>28.10.2023</v>
      </c>
      <c r="J1936" t="str">
        <v>08:17:23</v>
      </c>
      <c r="K1936">
        <f t="shared" si="426"/>
        <v>32.216666666666121</v>
      </c>
      <c r="L1936">
        <f t="shared" si="423"/>
        <v>19.100000000000001</v>
      </c>
      <c r="M1936">
        <f t="shared" si="424"/>
        <v>0.3</v>
      </c>
      <c r="N1936">
        <f t="shared" si="420"/>
        <v>0.48500000000000004</v>
      </c>
      <c r="Q1936" t="str" cm="1">
        <f t="array" ref="Q1936:R1936">_xlfn.TEXTSPLIT(E1936," ")</f>
        <v>28.10.2023</v>
      </c>
      <c r="R1936" t="str">
        <v>08:17:23</v>
      </c>
      <c r="S1936">
        <f t="shared" si="427"/>
        <v>32.216666666666121</v>
      </c>
      <c r="T1936">
        <f t="shared" si="422"/>
        <v>32.900000000000006</v>
      </c>
      <c r="U1936">
        <f t="shared" si="425"/>
        <v>1.2</v>
      </c>
      <c r="V1936">
        <f t="shared" si="421"/>
        <v>0.85749999999999993</v>
      </c>
    </row>
    <row r="1937" spans="1:22" x14ac:dyDescent="0.25">
      <c r="A1937" t="s">
        <v>3893</v>
      </c>
      <c r="B1937">
        <v>0</v>
      </c>
      <c r="C1937">
        <v>33.42</v>
      </c>
      <c r="E1937" t="s">
        <v>3893</v>
      </c>
      <c r="F1937">
        <v>1.05</v>
      </c>
      <c r="G1937">
        <v>111.52</v>
      </c>
      <c r="I1937" t="str" cm="1">
        <f t="array" ref="I1937:J1937">_xlfn.TEXTSPLIT(A1937," ")</f>
        <v>28.10.2023</v>
      </c>
      <c r="J1937" t="str">
        <v>08:18:23</v>
      </c>
      <c r="K1937">
        <f t="shared" si="426"/>
        <v>32.233333333332787</v>
      </c>
      <c r="L1937">
        <f t="shared" si="423"/>
        <v>19.100000000000001</v>
      </c>
      <c r="M1937">
        <f t="shared" si="424"/>
        <v>0</v>
      </c>
      <c r="N1937">
        <f t="shared" si="420"/>
        <v>0.47000000000000003</v>
      </c>
      <c r="Q1937" t="str" cm="1">
        <f t="array" ref="Q1937:R1937">_xlfn.TEXTSPLIT(E1937," ")</f>
        <v>28.10.2023</v>
      </c>
      <c r="R1937" t="str">
        <v>08:18:23</v>
      </c>
      <c r="S1937">
        <f t="shared" si="427"/>
        <v>32.233333333332787</v>
      </c>
      <c r="T1937">
        <f t="shared" si="422"/>
        <v>32.92</v>
      </c>
      <c r="U1937">
        <f t="shared" si="425"/>
        <v>1.05</v>
      </c>
      <c r="V1937">
        <f t="shared" si="421"/>
        <v>0.85249999999999981</v>
      </c>
    </row>
    <row r="1938" spans="1:22" x14ac:dyDescent="0.25">
      <c r="A1938" t="s">
        <v>3894</v>
      </c>
      <c r="B1938">
        <v>0.3</v>
      </c>
      <c r="C1938">
        <v>33.42</v>
      </c>
      <c r="E1938" t="s">
        <v>3894</v>
      </c>
      <c r="F1938">
        <v>1.05</v>
      </c>
      <c r="G1938">
        <v>111.53</v>
      </c>
      <c r="I1938" t="str" cm="1">
        <f t="array" ref="I1938:J1938">_xlfn.TEXTSPLIT(A1938," ")</f>
        <v>28.10.2023</v>
      </c>
      <c r="J1938" t="str">
        <v>08:19:23</v>
      </c>
      <c r="K1938">
        <f t="shared" si="426"/>
        <v>32.249999999999453</v>
      </c>
      <c r="L1938">
        <f t="shared" si="423"/>
        <v>19.100000000000001</v>
      </c>
      <c r="M1938">
        <f t="shared" si="424"/>
        <v>0.3</v>
      </c>
      <c r="N1938">
        <f t="shared" si="420"/>
        <v>0.46750000000000008</v>
      </c>
      <c r="Q1938" t="str" cm="1">
        <f t="array" ref="Q1938:R1938">_xlfn.TEXTSPLIT(E1938," ")</f>
        <v>28.10.2023</v>
      </c>
      <c r="R1938" t="str">
        <v>08:19:23</v>
      </c>
      <c r="S1938">
        <f t="shared" si="427"/>
        <v>32.249999999999453</v>
      </c>
      <c r="T1938">
        <f t="shared" si="422"/>
        <v>32.930000000000007</v>
      </c>
      <c r="U1938">
        <f t="shared" si="425"/>
        <v>1.05</v>
      </c>
      <c r="V1938">
        <f t="shared" si="421"/>
        <v>0.84999999999999987</v>
      </c>
    </row>
    <row r="1939" spans="1:22" x14ac:dyDescent="0.25">
      <c r="A1939" t="s">
        <v>3895</v>
      </c>
      <c r="B1939">
        <v>0.6</v>
      </c>
      <c r="C1939">
        <v>33.44</v>
      </c>
      <c r="E1939" t="s">
        <v>3895</v>
      </c>
      <c r="F1939">
        <v>0.3</v>
      </c>
      <c r="G1939">
        <v>111.54</v>
      </c>
      <c r="I1939" t="str" cm="1">
        <f t="array" ref="I1939:J1939">_xlfn.TEXTSPLIT(A1939," ")</f>
        <v>28.10.2023</v>
      </c>
      <c r="J1939" t="str">
        <v>08:20:23</v>
      </c>
      <c r="K1939">
        <f t="shared" si="426"/>
        <v>32.266666666666119</v>
      </c>
      <c r="L1939">
        <f t="shared" si="423"/>
        <v>19.119999999999997</v>
      </c>
      <c r="M1939">
        <f t="shared" si="424"/>
        <v>0.6</v>
      </c>
      <c r="N1939">
        <f t="shared" si="420"/>
        <v>0.46750000000000008</v>
      </c>
      <c r="Q1939" t="str" cm="1">
        <f t="array" ref="Q1939:R1939">_xlfn.TEXTSPLIT(E1939," ")</f>
        <v>28.10.2023</v>
      </c>
      <c r="R1939" t="str">
        <v>08:20:23</v>
      </c>
      <c r="S1939">
        <f t="shared" si="427"/>
        <v>32.266666666666119</v>
      </c>
      <c r="T1939">
        <f t="shared" si="422"/>
        <v>32.940000000000012</v>
      </c>
      <c r="U1939">
        <f t="shared" si="425"/>
        <v>0.3</v>
      </c>
      <c r="V1939">
        <f t="shared" si="421"/>
        <v>0.84499999999999986</v>
      </c>
    </row>
    <row r="1940" spans="1:22" x14ac:dyDescent="0.25">
      <c r="A1940" t="s">
        <v>3896</v>
      </c>
      <c r="B1940">
        <v>0.6</v>
      </c>
      <c r="C1940">
        <v>33.44</v>
      </c>
      <c r="E1940" t="s">
        <v>3896</v>
      </c>
      <c r="F1940">
        <v>0.15</v>
      </c>
      <c r="G1940">
        <v>111.54</v>
      </c>
      <c r="I1940" t="str" cm="1">
        <f t="array" ref="I1940:J1940">_xlfn.TEXTSPLIT(A1940," ")</f>
        <v>28.10.2023</v>
      </c>
      <c r="J1940" t="str">
        <v>08:21:23</v>
      </c>
      <c r="K1940">
        <f t="shared" si="426"/>
        <v>32.283333333332784</v>
      </c>
      <c r="L1940">
        <f t="shared" si="423"/>
        <v>19.119999999999997</v>
      </c>
      <c r="M1940">
        <f t="shared" si="424"/>
        <v>0.6</v>
      </c>
      <c r="N1940">
        <f t="shared" si="420"/>
        <v>0.47250000000000009</v>
      </c>
      <c r="Q1940" t="str" cm="1">
        <f t="array" ref="Q1940:R1940">_xlfn.TEXTSPLIT(E1940," ")</f>
        <v>28.10.2023</v>
      </c>
      <c r="R1940" t="str">
        <v>08:21:23</v>
      </c>
      <c r="S1940">
        <f t="shared" si="427"/>
        <v>32.283333333332784</v>
      </c>
      <c r="T1940">
        <f t="shared" si="422"/>
        <v>32.940000000000012</v>
      </c>
      <c r="U1940">
        <f t="shared" si="425"/>
        <v>0.15</v>
      </c>
      <c r="V1940">
        <f t="shared" si="421"/>
        <v>0.84749999999999981</v>
      </c>
    </row>
    <row r="1941" spans="1:22" x14ac:dyDescent="0.25">
      <c r="A1941" t="s">
        <v>3897</v>
      </c>
      <c r="B1941">
        <v>0.3</v>
      </c>
      <c r="C1941">
        <v>33.44</v>
      </c>
      <c r="E1941" t="s">
        <v>3897</v>
      </c>
      <c r="F1941">
        <v>0</v>
      </c>
      <c r="G1941">
        <v>111.54</v>
      </c>
      <c r="I1941" t="str" cm="1">
        <f t="array" ref="I1941:J1941">_xlfn.TEXTSPLIT(A1941," ")</f>
        <v>28.10.2023</v>
      </c>
      <c r="J1941" t="str">
        <v>08:22:23</v>
      </c>
      <c r="K1941">
        <f t="shared" si="426"/>
        <v>32.29999999999945</v>
      </c>
      <c r="L1941">
        <f t="shared" si="423"/>
        <v>19.119999999999997</v>
      </c>
      <c r="M1941">
        <f t="shared" si="424"/>
        <v>0.3</v>
      </c>
      <c r="N1941">
        <f t="shared" si="420"/>
        <v>0.47250000000000014</v>
      </c>
      <c r="Q1941" t="str" cm="1">
        <f t="array" ref="Q1941:R1941">_xlfn.TEXTSPLIT(E1941," ")</f>
        <v>28.10.2023</v>
      </c>
      <c r="R1941" t="str">
        <v>08:22:23</v>
      </c>
      <c r="S1941">
        <f t="shared" si="427"/>
        <v>32.29999999999945</v>
      </c>
      <c r="T1941">
        <f t="shared" si="422"/>
        <v>32.940000000000012</v>
      </c>
      <c r="U1941">
        <f t="shared" si="425"/>
        <v>0</v>
      </c>
      <c r="V1941">
        <f t="shared" si="421"/>
        <v>0.84749999999999981</v>
      </c>
    </row>
    <row r="1942" spans="1:22" x14ac:dyDescent="0.25">
      <c r="A1942" t="s">
        <v>3898</v>
      </c>
      <c r="B1942">
        <v>0</v>
      </c>
      <c r="C1942">
        <v>33.44</v>
      </c>
      <c r="E1942" t="s">
        <v>3898</v>
      </c>
      <c r="F1942">
        <v>0.15</v>
      </c>
      <c r="G1942">
        <v>111.54</v>
      </c>
      <c r="I1942" t="str" cm="1">
        <f t="array" ref="I1942:J1942">_xlfn.TEXTSPLIT(A1942," ")</f>
        <v>28.10.2023</v>
      </c>
      <c r="J1942" t="str">
        <v>08:23:23</v>
      </c>
      <c r="K1942">
        <f t="shared" si="426"/>
        <v>32.316666666666116</v>
      </c>
      <c r="L1942">
        <f t="shared" si="423"/>
        <v>19.119999999999997</v>
      </c>
      <c r="M1942">
        <f t="shared" si="424"/>
        <v>0</v>
      </c>
      <c r="N1942">
        <f t="shared" si="420"/>
        <v>0.47250000000000014</v>
      </c>
      <c r="Q1942" t="str" cm="1">
        <f t="array" ref="Q1942:R1942">_xlfn.TEXTSPLIT(E1942," ")</f>
        <v>28.10.2023</v>
      </c>
      <c r="R1942" t="str">
        <v>08:23:23</v>
      </c>
      <c r="S1942">
        <f t="shared" si="427"/>
        <v>32.316666666666116</v>
      </c>
      <c r="T1942">
        <f t="shared" si="422"/>
        <v>32.940000000000012</v>
      </c>
      <c r="U1942">
        <f t="shared" si="425"/>
        <v>0.15</v>
      </c>
      <c r="V1942">
        <f t="shared" si="421"/>
        <v>0.84749999999999981</v>
      </c>
    </row>
    <row r="1943" spans="1:22" x14ac:dyDescent="0.25">
      <c r="A1943" t="s">
        <v>3899</v>
      </c>
      <c r="B1943">
        <v>0</v>
      </c>
      <c r="C1943">
        <v>33.44</v>
      </c>
      <c r="E1943" t="s">
        <v>3899</v>
      </c>
      <c r="F1943">
        <v>0.3</v>
      </c>
      <c r="G1943">
        <v>111.54</v>
      </c>
      <c r="I1943" t="str" cm="1">
        <f t="array" ref="I1943:J1943">_xlfn.TEXTSPLIT(A1943," ")</f>
        <v>28.10.2023</v>
      </c>
      <c r="J1943" t="str">
        <v>08:24:24</v>
      </c>
      <c r="K1943">
        <f t="shared" si="426"/>
        <v>32.333333333332781</v>
      </c>
      <c r="L1943">
        <f t="shared" si="423"/>
        <v>19.119999999999997</v>
      </c>
      <c r="M1943">
        <f t="shared" si="424"/>
        <v>0</v>
      </c>
      <c r="N1943">
        <f t="shared" si="420"/>
        <v>0.47250000000000014</v>
      </c>
      <c r="Q1943" t="str" cm="1">
        <f t="array" ref="Q1943:R1943">_xlfn.TEXTSPLIT(E1943," ")</f>
        <v>28.10.2023</v>
      </c>
      <c r="R1943" t="str">
        <v>08:24:24</v>
      </c>
      <c r="S1943">
        <f t="shared" si="427"/>
        <v>32.333333333332781</v>
      </c>
      <c r="T1943">
        <f t="shared" si="422"/>
        <v>32.940000000000012</v>
      </c>
      <c r="U1943">
        <f t="shared" si="425"/>
        <v>0.3</v>
      </c>
      <c r="V1943">
        <f t="shared" si="421"/>
        <v>0.84749999999999981</v>
      </c>
    </row>
    <row r="1944" spans="1:22" x14ac:dyDescent="0.25">
      <c r="A1944" t="s">
        <v>3900</v>
      </c>
      <c r="B1944">
        <v>0</v>
      </c>
      <c r="C1944">
        <v>33.44</v>
      </c>
      <c r="E1944" t="s">
        <v>3900</v>
      </c>
      <c r="F1944">
        <v>0.15</v>
      </c>
      <c r="G1944">
        <v>111.55</v>
      </c>
      <c r="I1944" t="str" cm="1">
        <f t="array" ref="I1944:J1944">_xlfn.TEXTSPLIT(A1944," ")</f>
        <v>28.10.2023</v>
      </c>
      <c r="J1944" t="str">
        <v>08:25:24</v>
      </c>
      <c r="K1944">
        <f t="shared" si="426"/>
        <v>32.349999999999447</v>
      </c>
      <c r="L1944">
        <f t="shared" si="423"/>
        <v>19.119999999999997</v>
      </c>
      <c r="M1944">
        <f t="shared" si="424"/>
        <v>0</v>
      </c>
      <c r="N1944">
        <f t="shared" si="420"/>
        <v>0.47250000000000014</v>
      </c>
      <c r="Q1944" t="str" cm="1">
        <f t="array" ref="Q1944:R1944">_xlfn.TEXTSPLIT(E1944," ")</f>
        <v>28.10.2023</v>
      </c>
      <c r="R1944" t="str">
        <v>08:25:24</v>
      </c>
      <c r="S1944">
        <f t="shared" si="427"/>
        <v>32.349999999999447</v>
      </c>
      <c r="T1944">
        <f t="shared" si="422"/>
        <v>32.950000000000003</v>
      </c>
      <c r="U1944">
        <f t="shared" si="425"/>
        <v>0.15</v>
      </c>
      <c r="V1944">
        <f t="shared" si="421"/>
        <v>0.84499999999999986</v>
      </c>
    </row>
    <row r="1945" spans="1:22" x14ac:dyDescent="0.25">
      <c r="A1945" t="s">
        <v>3901</v>
      </c>
      <c r="B1945">
        <v>0</v>
      </c>
      <c r="C1945">
        <v>33.44</v>
      </c>
      <c r="E1945" t="s">
        <v>3901</v>
      </c>
      <c r="F1945">
        <v>0.3</v>
      </c>
      <c r="G1945">
        <v>111.56</v>
      </c>
      <c r="I1945" t="str" cm="1">
        <f t="array" ref="I1945:J1945">_xlfn.TEXTSPLIT(A1945," ")</f>
        <v>28.10.2023</v>
      </c>
      <c r="J1945" t="str">
        <v>08:26:24</v>
      </c>
      <c r="K1945">
        <f t="shared" si="426"/>
        <v>32.366666666666113</v>
      </c>
      <c r="L1945">
        <f t="shared" si="423"/>
        <v>19.119999999999997</v>
      </c>
      <c r="M1945">
        <f t="shared" si="424"/>
        <v>0</v>
      </c>
      <c r="N1945">
        <f t="shared" si="420"/>
        <v>0.47250000000000014</v>
      </c>
      <c r="Q1945" t="str" cm="1">
        <f t="array" ref="Q1945:R1945">_xlfn.TEXTSPLIT(E1945," ")</f>
        <v>28.10.2023</v>
      </c>
      <c r="R1945" t="str">
        <v>08:26:24</v>
      </c>
      <c r="S1945">
        <f t="shared" si="427"/>
        <v>32.366666666666113</v>
      </c>
      <c r="T1945">
        <f t="shared" si="422"/>
        <v>32.960000000000008</v>
      </c>
      <c r="U1945">
        <f t="shared" si="425"/>
        <v>0.3</v>
      </c>
      <c r="V1945">
        <f t="shared" si="421"/>
        <v>0.84499999999999986</v>
      </c>
    </row>
    <row r="1946" spans="1:22" x14ac:dyDescent="0.25">
      <c r="A1946" t="s">
        <v>3902</v>
      </c>
      <c r="B1946">
        <v>0</v>
      </c>
      <c r="C1946">
        <v>33.44</v>
      </c>
      <c r="E1946" t="s">
        <v>3902</v>
      </c>
      <c r="F1946">
        <v>0.45</v>
      </c>
      <c r="G1946">
        <v>111.56</v>
      </c>
      <c r="I1946" t="str" cm="1">
        <f t="array" ref="I1946:J1946">_xlfn.TEXTSPLIT(A1946," ")</f>
        <v>28.10.2023</v>
      </c>
      <c r="J1946" t="str">
        <v>08:27:24</v>
      </c>
      <c r="K1946">
        <f t="shared" si="426"/>
        <v>32.383333333332779</v>
      </c>
      <c r="L1946">
        <f t="shared" si="423"/>
        <v>19.119999999999997</v>
      </c>
      <c r="M1946">
        <f t="shared" si="424"/>
        <v>0</v>
      </c>
      <c r="N1946">
        <f t="shared" si="420"/>
        <v>0.47250000000000014</v>
      </c>
      <c r="Q1946" t="str" cm="1">
        <f t="array" ref="Q1946:R1946">_xlfn.TEXTSPLIT(E1946," ")</f>
        <v>28.10.2023</v>
      </c>
      <c r="R1946" t="str">
        <v>08:27:24</v>
      </c>
      <c r="S1946">
        <f t="shared" si="427"/>
        <v>32.383333333332779</v>
      </c>
      <c r="T1946">
        <f t="shared" si="422"/>
        <v>32.960000000000008</v>
      </c>
      <c r="U1946">
        <f t="shared" si="425"/>
        <v>0.45</v>
      </c>
      <c r="V1946">
        <f t="shared" si="421"/>
        <v>0.84499999999999986</v>
      </c>
    </row>
    <row r="1947" spans="1:22" x14ac:dyDescent="0.25">
      <c r="A1947" t="s">
        <v>3903</v>
      </c>
      <c r="B1947">
        <v>0</v>
      </c>
      <c r="C1947">
        <v>33.44</v>
      </c>
      <c r="E1947" t="s">
        <v>3903</v>
      </c>
      <c r="F1947">
        <v>0.45</v>
      </c>
      <c r="G1947">
        <v>111.57</v>
      </c>
      <c r="I1947" t="str" cm="1">
        <f t="array" ref="I1947:J1947">_xlfn.TEXTSPLIT(A1947," ")</f>
        <v>28.10.2023</v>
      </c>
      <c r="J1947" t="str">
        <v>08:28:24</v>
      </c>
      <c r="K1947">
        <f t="shared" si="426"/>
        <v>32.399999999999444</v>
      </c>
      <c r="L1947">
        <f t="shared" si="423"/>
        <v>19.119999999999997</v>
      </c>
      <c r="M1947">
        <f t="shared" si="424"/>
        <v>0</v>
      </c>
      <c r="N1947">
        <f t="shared" si="420"/>
        <v>0.47250000000000014</v>
      </c>
      <c r="Q1947" t="str" cm="1">
        <f t="array" ref="Q1947:R1947">_xlfn.TEXTSPLIT(E1947," ")</f>
        <v>28.10.2023</v>
      </c>
      <c r="R1947" t="str">
        <v>08:28:24</v>
      </c>
      <c r="S1947">
        <f t="shared" si="427"/>
        <v>32.399999999999444</v>
      </c>
      <c r="T1947">
        <f t="shared" si="422"/>
        <v>32.97</v>
      </c>
      <c r="U1947">
        <f t="shared" si="425"/>
        <v>0.45</v>
      </c>
      <c r="V1947">
        <f t="shared" si="421"/>
        <v>0.84749999999999992</v>
      </c>
    </row>
    <row r="1948" spans="1:22" x14ac:dyDescent="0.25">
      <c r="A1948" t="s">
        <v>3904</v>
      </c>
      <c r="B1948">
        <v>0</v>
      </c>
      <c r="C1948">
        <v>33.44</v>
      </c>
      <c r="E1948" t="s">
        <v>3904</v>
      </c>
      <c r="F1948">
        <v>0.45</v>
      </c>
      <c r="G1948">
        <v>111.58</v>
      </c>
      <c r="I1948" t="str" cm="1">
        <f t="array" ref="I1948:J1948">_xlfn.TEXTSPLIT(A1948," ")</f>
        <v>28.10.2023</v>
      </c>
      <c r="J1948" t="str">
        <v>08:29:24</v>
      </c>
      <c r="K1948">
        <f t="shared" si="426"/>
        <v>32.41666666666611</v>
      </c>
      <c r="L1948">
        <f t="shared" si="423"/>
        <v>19.119999999999997</v>
      </c>
      <c r="M1948">
        <f t="shared" si="424"/>
        <v>0</v>
      </c>
      <c r="N1948">
        <f t="shared" si="420"/>
        <v>0.47250000000000014</v>
      </c>
      <c r="Q1948" t="str" cm="1">
        <f t="array" ref="Q1948:R1948">_xlfn.TEXTSPLIT(E1948," ")</f>
        <v>28.10.2023</v>
      </c>
      <c r="R1948" t="str">
        <v>08:29:24</v>
      </c>
      <c r="S1948">
        <f t="shared" si="427"/>
        <v>32.41666666666611</v>
      </c>
      <c r="T1948">
        <f t="shared" si="422"/>
        <v>32.980000000000004</v>
      </c>
      <c r="U1948">
        <f t="shared" si="425"/>
        <v>0.45</v>
      </c>
      <c r="V1948">
        <f t="shared" si="421"/>
        <v>0.84499999999999997</v>
      </c>
    </row>
    <row r="1949" spans="1:22" x14ac:dyDescent="0.25">
      <c r="A1949" t="s">
        <v>3905</v>
      </c>
      <c r="B1949">
        <v>0.15</v>
      </c>
      <c r="C1949">
        <v>33.450000000000003</v>
      </c>
      <c r="E1949" t="s">
        <v>3905</v>
      </c>
      <c r="F1949">
        <v>0.6</v>
      </c>
      <c r="G1949">
        <v>111.59</v>
      </c>
      <c r="I1949" t="str" cm="1">
        <f t="array" ref="I1949:J1949">_xlfn.TEXTSPLIT(A1949," ")</f>
        <v>28.10.2023</v>
      </c>
      <c r="J1949" t="str">
        <v>08:30:24</v>
      </c>
      <c r="K1949">
        <f t="shared" si="426"/>
        <v>32.433333333332776</v>
      </c>
      <c r="L1949">
        <f t="shared" si="423"/>
        <v>19.130000000000003</v>
      </c>
      <c r="M1949">
        <f t="shared" si="424"/>
        <v>0.15</v>
      </c>
      <c r="N1949">
        <f t="shared" si="420"/>
        <v>0.47500000000000014</v>
      </c>
      <c r="Q1949" t="str" cm="1">
        <f t="array" ref="Q1949:R1949">_xlfn.TEXTSPLIT(E1949," ")</f>
        <v>28.10.2023</v>
      </c>
      <c r="R1949" t="str">
        <v>08:30:24</v>
      </c>
      <c r="S1949">
        <f t="shared" si="427"/>
        <v>32.433333333332776</v>
      </c>
      <c r="T1949">
        <f t="shared" si="422"/>
        <v>32.990000000000009</v>
      </c>
      <c r="U1949">
        <f t="shared" si="425"/>
        <v>0.6</v>
      </c>
      <c r="V1949">
        <f t="shared" si="421"/>
        <v>0.84249999999999992</v>
      </c>
    </row>
    <row r="1950" spans="1:22" x14ac:dyDescent="0.25">
      <c r="A1950" t="s">
        <v>3906</v>
      </c>
      <c r="B1950">
        <v>0.15</v>
      </c>
      <c r="C1950">
        <v>33.450000000000003</v>
      </c>
      <c r="E1950" t="s">
        <v>3906</v>
      </c>
      <c r="F1950">
        <v>0.75</v>
      </c>
      <c r="G1950">
        <v>111.6</v>
      </c>
      <c r="I1950" t="str" cm="1">
        <f t="array" ref="I1950:J1950">_xlfn.TEXTSPLIT(A1950," ")</f>
        <v>28.10.2023</v>
      </c>
      <c r="J1950" t="str">
        <v>08:31:25</v>
      </c>
      <c r="K1950">
        <f t="shared" si="426"/>
        <v>32.449999999999442</v>
      </c>
      <c r="L1950">
        <f t="shared" si="423"/>
        <v>19.130000000000003</v>
      </c>
      <c r="M1950">
        <f t="shared" si="424"/>
        <v>0.15</v>
      </c>
      <c r="N1950">
        <f t="shared" si="420"/>
        <v>0.47750000000000009</v>
      </c>
      <c r="Q1950" t="str" cm="1">
        <f t="array" ref="Q1950:R1950">_xlfn.TEXTSPLIT(E1950," ")</f>
        <v>28.10.2023</v>
      </c>
      <c r="R1950" t="str">
        <v>08:31:25</v>
      </c>
      <c r="S1950">
        <f t="shared" si="427"/>
        <v>32.449999999999442</v>
      </c>
      <c r="T1950">
        <f t="shared" si="422"/>
        <v>33</v>
      </c>
      <c r="U1950">
        <f t="shared" si="425"/>
        <v>0.75</v>
      </c>
      <c r="V1950">
        <f t="shared" si="421"/>
        <v>0.84249999999999992</v>
      </c>
    </row>
    <row r="1951" spans="1:22" x14ac:dyDescent="0.25">
      <c r="A1951" t="s">
        <v>3907</v>
      </c>
      <c r="B1951">
        <v>0.45</v>
      </c>
      <c r="C1951">
        <v>33.46</v>
      </c>
      <c r="E1951" t="s">
        <v>3907</v>
      </c>
      <c r="F1951">
        <v>0.9</v>
      </c>
      <c r="G1951">
        <v>111.62</v>
      </c>
      <c r="I1951" t="str" cm="1">
        <f t="array" ref="I1951:J1951">_xlfn.TEXTSPLIT(A1951," ")</f>
        <v>28.10.2023</v>
      </c>
      <c r="J1951" t="str">
        <v>08:32:25</v>
      </c>
      <c r="K1951">
        <f t="shared" si="426"/>
        <v>32.466666666666107</v>
      </c>
      <c r="L1951">
        <f t="shared" si="423"/>
        <v>19.14</v>
      </c>
      <c r="M1951">
        <f t="shared" si="424"/>
        <v>0.45</v>
      </c>
      <c r="N1951">
        <f t="shared" si="420"/>
        <v>0.48000000000000009</v>
      </c>
      <c r="Q1951" t="str" cm="1">
        <f t="array" ref="Q1951:R1951">_xlfn.TEXTSPLIT(E1951," ")</f>
        <v>28.10.2023</v>
      </c>
      <c r="R1951" t="str">
        <v>08:32:25</v>
      </c>
      <c r="S1951">
        <f t="shared" si="427"/>
        <v>32.466666666666107</v>
      </c>
      <c r="T1951">
        <f t="shared" si="422"/>
        <v>33.02000000000001</v>
      </c>
      <c r="U1951">
        <f t="shared" si="425"/>
        <v>0.9</v>
      </c>
      <c r="V1951">
        <f t="shared" si="421"/>
        <v>0.84249999999999992</v>
      </c>
    </row>
    <row r="1952" spans="1:22" x14ac:dyDescent="0.25">
      <c r="A1952" t="s">
        <v>3908</v>
      </c>
      <c r="B1952">
        <v>0.3</v>
      </c>
      <c r="C1952">
        <v>33.46</v>
      </c>
      <c r="E1952" t="s">
        <v>3908</v>
      </c>
      <c r="F1952">
        <v>1.2</v>
      </c>
      <c r="G1952">
        <v>111.64</v>
      </c>
      <c r="I1952" t="str" cm="1">
        <f t="array" ref="I1952:J1952">_xlfn.TEXTSPLIT(A1952," ")</f>
        <v>28.10.2023</v>
      </c>
      <c r="J1952" t="str">
        <v>08:33:25</v>
      </c>
      <c r="K1952">
        <f t="shared" si="426"/>
        <v>32.483333333332773</v>
      </c>
      <c r="L1952">
        <f t="shared" si="423"/>
        <v>19.14</v>
      </c>
      <c r="M1952">
        <f t="shared" si="424"/>
        <v>0.3</v>
      </c>
      <c r="N1952">
        <f t="shared" si="420"/>
        <v>0.4825000000000001</v>
      </c>
      <c r="Q1952" t="str" cm="1">
        <f t="array" ref="Q1952:R1952">_xlfn.TEXTSPLIT(E1952," ")</f>
        <v>28.10.2023</v>
      </c>
      <c r="R1952" t="str">
        <v>08:33:25</v>
      </c>
      <c r="S1952">
        <f t="shared" si="427"/>
        <v>32.483333333332773</v>
      </c>
      <c r="T1952">
        <f t="shared" si="422"/>
        <v>33.040000000000006</v>
      </c>
      <c r="U1952">
        <f t="shared" si="425"/>
        <v>1.2</v>
      </c>
      <c r="V1952">
        <f t="shared" si="421"/>
        <v>0.8424999999999998</v>
      </c>
    </row>
    <row r="1953" spans="1:22" x14ac:dyDescent="0.25">
      <c r="A1953" t="s">
        <v>3909</v>
      </c>
      <c r="B1953">
        <v>0.3</v>
      </c>
      <c r="C1953">
        <v>33.47</v>
      </c>
      <c r="E1953" t="s">
        <v>3909</v>
      </c>
      <c r="F1953">
        <v>1.05</v>
      </c>
      <c r="G1953">
        <v>111.65</v>
      </c>
      <c r="I1953" t="str" cm="1">
        <f t="array" ref="I1953:J1953">_xlfn.TEXTSPLIT(A1953," ")</f>
        <v>28.10.2023</v>
      </c>
      <c r="J1953" t="str">
        <v>08:34:25</v>
      </c>
      <c r="K1953">
        <f t="shared" si="426"/>
        <v>32.499999999999439</v>
      </c>
      <c r="L1953">
        <f t="shared" si="423"/>
        <v>19.149999999999999</v>
      </c>
      <c r="M1953">
        <f t="shared" si="424"/>
        <v>0.3</v>
      </c>
      <c r="N1953">
        <f t="shared" si="420"/>
        <v>0.4825000000000001</v>
      </c>
      <c r="Q1953" t="str" cm="1">
        <f t="array" ref="Q1953:R1953">_xlfn.TEXTSPLIT(E1953," ")</f>
        <v>28.10.2023</v>
      </c>
      <c r="R1953" t="str">
        <v>08:34:25</v>
      </c>
      <c r="S1953">
        <f t="shared" si="427"/>
        <v>32.499999999999439</v>
      </c>
      <c r="T1953">
        <f t="shared" si="422"/>
        <v>33.050000000000011</v>
      </c>
      <c r="U1953">
        <f t="shared" si="425"/>
        <v>1.05</v>
      </c>
      <c r="V1953">
        <f t="shared" si="421"/>
        <v>0.84749999999999992</v>
      </c>
    </row>
    <row r="1954" spans="1:22" x14ac:dyDescent="0.25">
      <c r="A1954" t="s">
        <v>3910</v>
      </c>
      <c r="B1954">
        <v>0.15</v>
      </c>
      <c r="C1954">
        <v>33.47</v>
      </c>
      <c r="E1954" t="s">
        <v>3910</v>
      </c>
      <c r="F1954">
        <v>0.75</v>
      </c>
      <c r="G1954">
        <v>111.67</v>
      </c>
      <c r="I1954" t="str" cm="1">
        <f t="array" ref="I1954:J1954">_xlfn.TEXTSPLIT(A1954," ")</f>
        <v>28.10.2023</v>
      </c>
      <c r="J1954" t="str">
        <v>08:35:25</v>
      </c>
      <c r="K1954">
        <f t="shared" si="426"/>
        <v>32.516666666666104</v>
      </c>
      <c r="L1954">
        <f t="shared" si="423"/>
        <v>19.149999999999999</v>
      </c>
      <c r="M1954">
        <f t="shared" si="424"/>
        <v>0.15</v>
      </c>
      <c r="N1954">
        <f t="shared" si="420"/>
        <v>0.4825000000000001</v>
      </c>
      <c r="Q1954" t="str" cm="1">
        <f t="array" ref="Q1954:R1954">_xlfn.TEXTSPLIT(E1954," ")</f>
        <v>28.10.2023</v>
      </c>
      <c r="R1954" t="str">
        <v>08:35:25</v>
      </c>
      <c r="S1954">
        <f t="shared" si="427"/>
        <v>32.516666666666104</v>
      </c>
      <c r="T1954">
        <f t="shared" si="422"/>
        <v>33.070000000000007</v>
      </c>
      <c r="U1954">
        <f t="shared" si="425"/>
        <v>0.75</v>
      </c>
      <c r="V1954">
        <f t="shared" si="421"/>
        <v>0.84999999999999987</v>
      </c>
    </row>
    <row r="1955" spans="1:22" x14ac:dyDescent="0.25">
      <c r="A1955" t="s">
        <v>3911</v>
      </c>
      <c r="B1955">
        <v>0.15</v>
      </c>
      <c r="C1955">
        <v>33.47</v>
      </c>
      <c r="E1955" t="s">
        <v>3911</v>
      </c>
      <c r="F1955">
        <v>1.65</v>
      </c>
      <c r="G1955">
        <v>111.7</v>
      </c>
      <c r="I1955" t="str" cm="1">
        <f t="array" ref="I1955:J1955">_xlfn.TEXTSPLIT(A1955," ")</f>
        <v>28.10.2023</v>
      </c>
      <c r="J1955" t="str">
        <v>08:36:25</v>
      </c>
      <c r="K1955">
        <f t="shared" si="426"/>
        <v>32.53333333333277</v>
      </c>
      <c r="L1955">
        <f t="shared" si="423"/>
        <v>19.149999999999999</v>
      </c>
      <c r="M1955">
        <f t="shared" si="424"/>
        <v>0.15</v>
      </c>
      <c r="N1955">
        <f t="shared" si="420"/>
        <v>0.48000000000000009</v>
      </c>
      <c r="Q1955" t="str" cm="1">
        <f t="array" ref="Q1955:R1955">_xlfn.TEXTSPLIT(E1955," ")</f>
        <v>28.10.2023</v>
      </c>
      <c r="R1955" t="str">
        <v>08:36:25</v>
      </c>
      <c r="S1955">
        <f t="shared" si="427"/>
        <v>32.53333333333277</v>
      </c>
      <c r="T1955">
        <f t="shared" si="422"/>
        <v>33.100000000000009</v>
      </c>
      <c r="U1955">
        <f t="shared" si="425"/>
        <v>1.65</v>
      </c>
      <c r="V1955">
        <f t="shared" si="421"/>
        <v>0.84499999999999997</v>
      </c>
    </row>
    <row r="1956" spans="1:22" x14ac:dyDescent="0.25">
      <c r="A1956" t="s">
        <v>3912</v>
      </c>
      <c r="B1956">
        <v>1.5</v>
      </c>
      <c r="C1956">
        <v>33.51</v>
      </c>
      <c r="E1956" t="s">
        <v>3912</v>
      </c>
      <c r="F1956">
        <v>2.7</v>
      </c>
      <c r="G1956">
        <v>111.75</v>
      </c>
      <c r="I1956" t="str" cm="1">
        <f t="array" ref="I1956:J1956">_xlfn.TEXTSPLIT(A1956," ")</f>
        <v>28.10.2023</v>
      </c>
      <c r="J1956" t="str">
        <v>08:37:25</v>
      </c>
      <c r="K1956">
        <f t="shared" si="426"/>
        <v>32.549999999999436</v>
      </c>
      <c r="L1956">
        <f t="shared" si="423"/>
        <v>19.189999999999998</v>
      </c>
      <c r="M1956">
        <f t="shared" si="424"/>
        <v>1.5</v>
      </c>
      <c r="N1956">
        <f t="shared" si="420"/>
        <v>0.48249999999999998</v>
      </c>
      <c r="Q1956" t="str" cm="1">
        <f t="array" ref="Q1956:R1956">_xlfn.TEXTSPLIT(E1956," ")</f>
        <v>28.10.2023</v>
      </c>
      <c r="R1956" t="str">
        <v>08:37:25</v>
      </c>
      <c r="S1956">
        <f t="shared" si="427"/>
        <v>32.549999999999436</v>
      </c>
      <c r="T1956">
        <f t="shared" si="422"/>
        <v>33.150000000000006</v>
      </c>
      <c r="U1956">
        <f t="shared" si="425"/>
        <v>2.7</v>
      </c>
      <c r="V1956">
        <f t="shared" si="421"/>
        <v>0.83750000000000002</v>
      </c>
    </row>
    <row r="1957" spans="1:22" x14ac:dyDescent="0.25">
      <c r="A1957" t="s">
        <v>3913</v>
      </c>
      <c r="B1957">
        <v>2.5499999999999998</v>
      </c>
      <c r="C1957">
        <v>33.56</v>
      </c>
      <c r="E1957" t="s">
        <v>3913</v>
      </c>
      <c r="F1957">
        <v>2.4</v>
      </c>
      <c r="G1957">
        <v>111.78</v>
      </c>
      <c r="I1957" t="str" cm="1">
        <f t="array" ref="I1957:J1957">_xlfn.TEXTSPLIT(A1957," ")</f>
        <v>28.10.2023</v>
      </c>
      <c r="J1957" t="str">
        <v>08:38:26</v>
      </c>
      <c r="K1957">
        <f t="shared" si="426"/>
        <v>32.566666666666102</v>
      </c>
      <c r="L1957">
        <f t="shared" si="423"/>
        <v>19.240000000000002</v>
      </c>
      <c r="M1957">
        <f t="shared" si="424"/>
        <v>2.5499999999999998</v>
      </c>
      <c r="N1957">
        <f t="shared" si="420"/>
        <v>0.48000000000000004</v>
      </c>
      <c r="Q1957" t="str" cm="1">
        <f t="array" ref="Q1957:R1957">_xlfn.TEXTSPLIT(E1957," ")</f>
        <v>28.10.2023</v>
      </c>
      <c r="R1957" t="str">
        <v>08:38:26</v>
      </c>
      <c r="S1957">
        <f t="shared" si="427"/>
        <v>32.566666666666102</v>
      </c>
      <c r="T1957">
        <f t="shared" si="422"/>
        <v>33.180000000000007</v>
      </c>
      <c r="U1957">
        <f t="shared" si="425"/>
        <v>2.4</v>
      </c>
      <c r="V1957">
        <f t="shared" si="421"/>
        <v>0.83999999999999986</v>
      </c>
    </row>
    <row r="1958" spans="1:22" x14ac:dyDescent="0.25">
      <c r="A1958" t="s">
        <v>3914</v>
      </c>
      <c r="B1958">
        <v>1.95</v>
      </c>
      <c r="C1958">
        <v>33.58</v>
      </c>
      <c r="E1958" t="s">
        <v>3914</v>
      </c>
      <c r="F1958">
        <v>1.05</v>
      </c>
      <c r="G1958">
        <v>111.8</v>
      </c>
      <c r="I1958" t="str" cm="1">
        <f t="array" ref="I1958:J1958">_xlfn.TEXTSPLIT(A1958," ")</f>
        <v>28.10.2023</v>
      </c>
      <c r="J1958" t="str">
        <v>08:39:26</v>
      </c>
      <c r="K1958">
        <f t="shared" si="426"/>
        <v>32.583333333332767</v>
      </c>
      <c r="L1958">
        <f t="shared" si="423"/>
        <v>19.259999999999998</v>
      </c>
      <c r="M1958">
        <f t="shared" si="424"/>
        <v>1.95</v>
      </c>
      <c r="N1958">
        <f t="shared" si="420"/>
        <v>0.48249999999999998</v>
      </c>
      <c r="Q1958" t="str" cm="1">
        <f t="array" ref="Q1958:R1958">_xlfn.TEXTSPLIT(E1958," ")</f>
        <v>28.10.2023</v>
      </c>
      <c r="R1958" t="str">
        <v>08:39:26</v>
      </c>
      <c r="S1958">
        <f t="shared" si="427"/>
        <v>32.583333333332767</v>
      </c>
      <c r="T1958">
        <f t="shared" si="422"/>
        <v>33.200000000000003</v>
      </c>
      <c r="U1958">
        <f t="shared" si="425"/>
        <v>1.05</v>
      </c>
      <c r="V1958">
        <f t="shared" si="421"/>
        <v>0.83999999999999975</v>
      </c>
    </row>
    <row r="1959" spans="1:22" x14ac:dyDescent="0.25">
      <c r="A1959" t="s">
        <v>3915</v>
      </c>
      <c r="B1959">
        <v>0.75</v>
      </c>
      <c r="C1959">
        <v>33.590000000000003</v>
      </c>
      <c r="E1959" t="s">
        <v>3915</v>
      </c>
      <c r="F1959">
        <v>0.9</v>
      </c>
      <c r="G1959">
        <v>111.81</v>
      </c>
      <c r="I1959" t="str" cm="1">
        <f t="array" ref="I1959:J1959">_xlfn.TEXTSPLIT(A1959," ")</f>
        <v>28.10.2023</v>
      </c>
      <c r="J1959" t="str">
        <v>08:40:26</v>
      </c>
      <c r="K1959">
        <f t="shared" si="426"/>
        <v>32.599999999999433</v>
      </c>
      <c r="L1959">
        <f t="shared" si="423"/>
        <v>19.270000000000003</v>
      </c>
      <c r="M1959">
        <f t="shared" si="424"/>
        <v>0.75</v>
      </c>
      <c r="N1959">
        <f t="shared" si="420"/>
        <v>0.47749999999999998</v>
      </c>
      <c r="Q1959" t="str" cm="1">
        <f t="array" ref="Q1959:R1959">_xlfn.TEXTSPLIT(E1959," ")</f>
        <v>28.10.2023</v>
      </c>
      <c r="R1959" t="str">
        <v>08:40:26</v>
      </c>
      <c r="S1959">
        <f t="shared" si="427"/>
        <v>32.599999999999433</v>
      </c>
      <c r="T1959">
        <f t="shared" si="422"/>
        <v>33.210000000000008</v>
      </c>
      <c r="U1959">
        <f t="shared" si="425"/>
        <v>0.9</v>
      </c>
      <c r="V1959">
        <f t="shared" si="421"/>
        <v>0.83999999999999975</v>
      </c>
    </row>
    <row r="1960" spans="1:22" x14ac:dyDescent="0.25">
      <c r="A1960" t="s">
        <v>3916</v>
      </c>
      <c r="B1960">
        <v>0.75</v>
      </c>
      <c r="C1960">
        <v>33.6</v>
      </c>
      <c r="E1960" t="s">
        <v>3916</v>
      </c>
      <c r="F1960">
        <v>0.6</v>
      </c>
      <c r="G1960">
        <v>111.82</v>
      </c>
      <c r="I1960" t="str" cm="1">
        <f t="array" ref="I1960:J1960">_xlfn.TEXTSPLIT(A1960," ")</f>
        <v>28.10.2023</v>
      </c>
      <c r="J1960" t="str">
        <v>08:41:26</v>
      </c>
      <c r="K1960">
        <f t="shared" si="426"/>
        <v>32.616666666666099</v>
      </c>
      <c r="L1960">
        <f t="shared" si="423"/>
        <v>19.28</v>
      </c>
      <c r="M1960">
        <f t="shared" si="424"/>
        <v>0.75</v>
      </c>
      <c r="N1960">
        <f t="shared" si="420"/>
        <v>0.48000000000000004</v>
      </c>
      <c r="Q1960" t="str" cm="1">
        <f t="array" ref="Q1960:R1960">_xlfn.TEXTSPLIT(E1960," ")</f>
        <v>28.10.2023</v>
      </c>
      <c r="R1960" t="str">
        <v>08:41:26</v>
      </c>
      <c r="S1960">
        <f t="shared" si="427"/>
        <v>32.616666666666099</v>
      </c>
      <c r="T1960">
        <f t="shared" si="422"/>
        <v>33.22</v>
      </c>
      <c r="U1960">
        <f t="shared" si="425"/>
        <v>0.6</v>
      </c>
      <c r="V1960">
        <f t="shared" si="421"/>
        <v>0.82999999999999985</v>
      </c>
    </row>
    <row r="1961" spans="1:22" x14ac:dyDescent="0.25">
      <c r="A1961" t="s">
        <v>3917</v>
      </c>
      <c r="B1961">
        <v>0.3</v>
      </c>
      <c r="C1961">
        <v>33.6</v>
      </c>
      <c r="E1961" t="s">
        <v>3917</v>
      </c>
      <c r="F1961">
        <v>0.9</v>
      </c>
      <c r="G1961">
        <v>111.84</v>
      </c>
      <c r="I1961" t="str" cm="1">
        <f t="array" ref="I1961:J1961">_xlfn.TEXTSPLIT(A1961," ")</f>
        <v>28.10.2023</v>
      </c>
      <c r="J1961" t="str">
        <v>08:42:26</v>
      </c>
      <c r="K1961">
        <f t="shared" si="426"/>
        <v>32.633333333332764</v>
      </c>
      <c r="L1961">
        <f t="shared" si="423"/>
        <v>19.28</v>
      </c>
      <c r="M1961">
        <f t="shared" si="424"/>
        <v>0.3</v>
      </c>
      <c r="N1961">
        <f t="shared" si="420"/>
        <v>0.47499999999999998</v>
      </c>
      <c r="Q1961" t="str" cm="1">
        <f t="array" ref="Q1961:R1961">_xlfn.TEXTSPLIT(E1961," ")</f>
        <v>28.10.2023</v>
      </c>
      <c r="R1961" t="str">
        <v>08:42:26</v>
      </c>
      <c r="S1961">
        <f t="shared" si="427"/>
        <v>32.633333333332764</v>
      </c>
      <c r="T1961">
        <f t="shared" si="422"/>
        <v>33.240000000000009</v>
      </c>
      <c r="U1961">
        <f t="shared" si="425"/>
        <v>0.9</v>
      </c>
      <c r="V1961">
        <f t="shared" si="421"/>
        <v>0.82750000000000001</v>
      </c>
    </row>
    <row r="1962" spans="1:22" x14ac:dyDescent="0.25">
      <c r="A1962" t="s">
        <v>3918</v>
      </c>
      <c r="B1962">
        <v>0.45</v>
      </c>
      <c r="C1962">
        <v>33.61</v>
      </c>
      <c r="E1962" t="s">
        <v>3918</v>
      </c>
      <c r="F1962">
        <v>1.05</v>
      </c>
      <c r="G1962">
        <v>111.86</v>
      </c>
      <c r="I1962" t="str" cm="1">
        <f t="array" ref="I1962:J1962">_xlfn.TEXTSPLIT(A1962," ")</f>
        <v>28.10.2023</v>
      </c>
      <c r="J1962" t="str">
        <v>08:43:26</v>
      </c>
      <c r="K1962">
        <f t="shared" si="426"/>
        <v>32.64999999999943</v>
      </c>
      <c r="L1962">
        <f t="shared" si="423"/>
        <v>19.29</v>
      </c>
      <c r="M1962">
        <f t="shared" si="424"/>
        <v>0.45</v>
      </c>
      <c r="N1962">
        <f t="shared" si="420"/>
        <v>0.47750000000000004</v>
      </c>
      <c r="Q1962" t="str" cm="1">
        <f t="array" ref="Q1962:R1962">_xlfn.TEXTSPLIT(E1962," ")</f>
        <v>28.10.2023</v>
      </c>
      <c r="R1962" t="str">
        <v>08:43:26</v>
      </c>
      <c r="S1962">
        <f t="shared" si="427"/>
        <v>32.64999999999943</v>
      </c>
      <c r="T1962">
        <f t="shared" si="422"/>
        <v>33.260000000000005</v>
      </c>
      <c r="U1962">
        <f t="shared" si="425"/>
        <v>1.05</v>
      </c>
      <c r="V1962">
        <f t="shared" si="421"/>
        <v>0.82750000000000001</v>
      </c>
    </row>
    <row r="1963" spans="1:22" x14ac:dyDescent="0.25">
      <c r="A1963" t="s">
        <v>3919</v>
      </c>
      <c r="B1963">
        <v>0.3</v>
      </c>
      <c r="C1963">
        <v>33.619999999999997</v>
      </c>
      <c r="E1963" t="s">
        <v>3919</v>
      </c>
      <c r="F1963">
        <v>1.2</v>
      </c>
      <c r="G1963">
        <v>111.88</v>
      </c>
      <c r="I1963" t="str" cm="1">
        <f t="array" ref="I1963:J1963">_xlfn.TEXTSPLIT(A1963," ")</f>
        <v>28.10.2023</v>
      </c>
      <c r="J1963" t="str">
        <v>08:44:26</v>
      </c>
      <c r="K1963">
        <f t="shared" si="426"/>
        <v>32.666666666666096</v>
      </c>
      <c r="L1963">
        <f t="shared" si="423"/>
        <v>19.299999999999997</v>
      </c>
      <c r="M1963">
        <f t="shared" si="424"/>
        <v>0.3</v>
      </c>
      <c r="N1963">
        <f t="shared" si="420"/>
        <v>0.47249999999999998</v>
      </c>
      <c r="Q1963" t="str" cm="1">
        <f t="array" ref="Q1963:R1963">_xlfn.TEXTSPLIT(E1963," ")</f>
        <v>28.10.2023</v>
      </c>
      <c r="R1963" t="str">
        <v>08:44:26</v>
      </c>
      <c r="S1963">
        <f t="shared" si="427"/>
        <v>32.666666666666096</v>
      </c>
      <c r="T1963">
        <f t="shared" si="422"/>
        <v>33.28</v>
      </c>
      <c r="U1963">
        <f t="shared" si="425"/>
        <v>1.2</v>
      </c>
      <c r="V1963">
        <f t="shared" si="421"/>
        <v>0.8274999999999999</v>
      </c>
    </row>
    <row r="1964" spans="1:22" x14ac:dyDescent="0.25">
      <c r="A1964" t="s">
        <v>3920</v>
      </c>
      <c r="B1964">
        <v>0.45</v>
      </c>
      <c r="C1964">
        <v>33.619999999999997</v>
      </c>
      <c r="E1964" t="s">
        <v>3920</v>
      </c>
      <c r="F1964">
        <v>1.05</v>
      </c>
      <c r="G1964">
        <v>111.89</v>
      </c>
      <c r="I1964" t="str" cm="1">
        <f t="array" ref="I1964:J1964">_xlfn.TEXTSPLIT(A1964," ")</f>
        <v>28.10.2023</v>
      </c>
      <c r="J1964" t="str">
        <v>08:45:27</v>
      </c>
      <c r="K1964">
        <f t="shared" si="426"/>
        <v>32.683333333332762</v>
      </c>
      <c r="L1964">
        <f t="shared" si="423"/>
        <v>19.299999999999997</v>
      </c>
      <c r="M1964">
        <f t="shared" si="424"/>
        <v>0.45</v>
      </c>
      <c r="N1964">
        <f t="shared" si="420"/>
        <v>0.46749999999999997</v>
      </c>
      <c r="Q1964" t="str" cm="1">
        <f t="array" ref="Q1964:R1964">_xlfn.TEXTSPLIT(E1964," ")</f>
        <v>28.10.2023</v>
      </c>
      <c r="R1964" t="str">
        <v>08:45:27</v>
      </c>
      <c r="S1964">
        <f t="shared" si="427"/>
        <v>32.683333333332762</v>
      </c>
      <c r="T1964">
        <f t="shared" si="422"/>
        <v>33.290000000000006</v>
      </c>
      <c r="U1964">
        <f t="shared" si="425"/>
        <v>1.05</v>
      </c>
      <c r="V1964">
        <f t="shared" si="421"/>
        <v>0.83499999999999974</v>
      </c>
    </row>
    <row r="1965" spans="1:22" x14ac:dyDescent="0.25">
      <c r="A1965" t="s">
        <v>3921</v>
      </c>
      <c r="B1965">
        <v>0.45</v>
      </c>
      <c r="C1965">
        <v>33.630000000000003</v>
      </c>
      <c r="E1965" t="s">
        <v>3921</v>
      </c>
      <c r="F1965">
        <v>0.9</v>
      </c>
      <c r="G1965">
        <v>111.91</v>
      </c>
      <c r="I1965" t="str" cm="1">
        <f t="array" ref="I1965:J1965">_xlfn.TEXTSPLIT(A1965," ")</f>
        <v>28.10.2023</v>
      </c>
      <c r="J1965" t="str">
        <v>08:46:27</v>
      </c>
      <c r="K1965">
        <f t="shared" si="426"/>
        <v>32.699999999999427</v>
      </c>
      <c r="L1965">
        <f t="shared" si="423"/>
        <v>19.310000000000002</v>
      </c>
      <c r="M1965">
        <f t="shared" si="424"/>
        <v>0.45</v>
      </c>
      <c r="N1965">
        <f t="shared" si="420"/>
        <v>0.46499999999999991</v>
      </c>
      <c r="Q1965" t="str" cm="1">
        <f t="array" ref="Q1965:R1965">_xlfn.TEXTSPLIT(E1965," ")</f>
        <v>28.10.2023</v>
      </c>
      <c r="R1965" t="str">
        <v>08:46:27</v>
      </c>
      <c r="S1965">
        <f t="shared" si="427"/>
        <v>32.699999999999427</v>
      </c>
      <c r="T1965">
        <f t="shared" si="422"/>
        <v>33.31</v>
      </c>
      <c r="U1965">
        <f t="shared" si="425"/>
        <v>0.9</v>
      </c>
      <c r="V1965">
        <f t="shared" si="421"/>
        <v>0.83999999999999975</v>
      </c>
    </row>
    <row r="1966" spans="1:22" x14ac:dyDescent="0.25">
      <c r="A1966" t="s">
        <v>3922</v>
      </c>
      <c r="B1966">
        <v>0.3</v>
      </c>
      <c r="C1966">
        <v>33.64</v>
      </c>
      <c r="E1966" t="s">
        <v>3922</v>
      </c>
      <c r="F1966">
        <v>0.75</v>
      </c>
      <c r="G1966">
        <v>111.92</v>
      </c>
      <c r="I1966" t="str" cm="1">
        <f t="array" ref="I1966:J1966">_xlfn.TEXTSPLIT(A1966," ")</f>
        <v>28.10.2023</v>
      </c>
      <c r="J1966" t="str">
        <v>08:47:27</v>
      </c>
      <c r="K1966">
        <f t="shared" si="426"/>
        <v>32.716666666666093</v>
      </c>
      <c r="L1966">
        <f t="shared" si="423"/>
        <v>19.32</v>
      </c>
      <c r="M1966">
        <f t="shared" si="424"/>
        <v>0.3</v>
      </c>
      <c r="N1966">
        <f t="shared" si="420"/>
        <v>0.46749999999999992</v>
      </c>
      <c r="Q1966" t="str" cm="1">
        <f t="array" ref="Q1966:R1966">_xlfn.TEXTSPLIT(E1966," ")</f>
        <v>28.10.2023</v>
      </c>
      <c r="R1966" t="str">
        <v>08:47:27</v>
      </c>
      <c r="S1966">
        <f t="shared" si="427"/>
        <v>32.716666666666093</v>
      </c>
      <c r="T1966">
        <f t="shared" si="422"/>
        <v>33.320000000000007</v>
      </c>
      <c r="U1966">
        <f t="shared" si="425"/>
        <v>0.75</v>
      </c>
      <c r="V1966">
        <f t="shared" si="421"/>
        <v>0.83999999999999975</v>
      </c>
    </row>
    <row r="1967" spans="1:22" x14ac:dyDescent="0.25">
      <c r="A1967" t="s">
        <v>3923</v>
      </c>
      <c r="B1967">
        <v>0.45</v>
      </c>
      <c r="C1967">
        <v>33.65</v>
      </c>
      <c r="E1967" t="s">
        <v>3923</v>
      </c>
      <c r="F1967">
        <v>0.75</v>
      </c>
      <c r="G1967">
        <v>111.93</v>
      </c>
      <c r="I1967" t="str" cm="1">
        <f t="array" ref="I1967:J1967">_xlfn.TEXTSPLIT(A1967," ")</f>
        <v>28.10.2023</v>
      </c>
      <c r="J1967" t="str">
        <v>08:48:27</v>
      </c>
      <c r="K1967">
        <f t="shared" si="426"/>
        <v>32.733333333332759</v>
      </c>
      <c r="L1967">
        <f t="shared" si="423"/>
        <v>19.329999999999998</v>
      </c>
      <c r="M1967">
        <f t="shared" si="424"/>
        <v>0.45</v>
      </c>
      <c r="N1967">
        <f t="shared" si="420"/>
        <v>0.46999999999999986</v>
      </c>
      <c r="Q1967" t="str" cm="1">
        <f t="array" ref="Q1967:R1967">_xlfn.TEXTSPLIT(E1967," ")</f>
        <v>28.10.2023</v>
      </c>
      <c r="R1967" t="str">
        <v>08:48:27</v>
      </c>
      <c r="S1967">
        <f t="shared" si="427"/>
        <v>32.733333333332759</v>
      </c>
      <c r="T1967">
        <f t="shared" si="422"/>
        <v>33.330000000000013</v>
      </c>
      <c r="U1967">
        <f t="shared" si="425"/>
        <v>0.75</v>
      </c>
      <c r="V1967">
        <f t="shared" si="421"/>
        <v>0.83999999999999964</v>
      </c>
    </row>
    <row r="1968" spans="1:22" x14ac:dyDescent="0.25">
      <c r="A1968" t="s">
        <v>3924</v>
      </c>
      <c r="B1968">
        <v>0.6</v>
      </c>
      <c r="C1968">
        <v>33.65</v>
      </c>
      <c r="E1968" t="s">
        <v>3924</v>
      </c>
      <c r="F1968">
        <v>0.45</v>
      </c>
      <c r="G1968">
        <v>111.94</v>
      </c>
      <c r="I1968" t="str" cm="1">
        <f t="array" ref="I1968:J1968">_xlfn.TEXTSPLIT(A1968," ")</f>
        <v>28.10.2023</v>
      </c>
      <c r="J1968" t="str">
        <v>08:49:27</v>
      </c>
      <c r="K1968">
        <f t="shared" si="426"/>
        <v>32.749999999999424</v>
      </c>
      <c r="L1968">
        <f t="shared" si="423"/>
        <v>19.329999999999998</v>
      </c>
      <c r="M1968">
        <f t="shared" si="424"/>
        <v>0.6</v>
      </c>
      <c r="N1968">
        <f t="shared" si="420"/>
        <v>0.47249999999999992</v>
      </c>
      <c r="Q1968" t="str" cm="1">
        <f t="array" ref="Q1968:R1968">_xlfn.TEXTSPLIT(E1968," ")</f>
        <v>28.10.2023</v>
      </c>
      <c r="R1968" t="str">
        <v>08:49:27</v>
      </c>
      <c r="S1968">
        <f t="shared" si="427"/>
        <v>32.749999999999424</v>
      </c>
      <c r="T1968">
        <f t="shared" si="422"/>
        <v>33.340000000000003</v>
      </c>
      <c r="U1968">
        <f t="shared" si="425"/>
        <v>0.45</v>
      </c>
      <c r="V1968">
        <f t="shared" si="421"/>
        <v>0.8374999999999998</v>
      </c>
    </row>
    <row r="1969" spans="1:22" x14ac:dyDescent="0.25">
      <c r="A1969" t="s">
        <v>3925</v>
      </c>
      <c r="B1969">
        <v>0.45</v>
      </c>
      <c r="C1969">
        <v>33.659999999999997</v>
      </c>
      <c r="E1969" t="s">
        <v>3925</v>
      </c>
      <c r="F1969">
        <v>0.45</v>
      </c>
      <c r="G1969">
        <v>111.95</v>
      </c>
      <c r="I1969" t="str" cm="1">
        <f t="array" ref="I1969:J1969">_xlfn.TEXTSPLIT(A1969," ")</f>
        <v>28.10.2023</v>
      </c>
      <c r="J1969" t="str">
        <v>08:50:27</v>
      </c>
      <c r="K1969">
        <f t="shared" si="426"/>
        <v>32.76666666666609</v>
      </c>
      <c r="L1969">
        <f t="shared" si="423"/>
        <v>19.339999999999996</v>
      </c>
      <c r="M1969">
        <f t="shared" si="424"/>
        <v>0.45</v>
      </c>
      <c r="N1969">
        <f t="shared" si="420"/>
        <v>0.47</v>
      </c>
      <c r="Q1969" t="str" cm="1">
        <f t="array" ref="Q1969:R1969">_xlfn.TEXTSPLIT(E1969," ")</f>
        <v>28.10.2023</v>
      </c>
      <c r="R1969" t="str">
        <v>08:50:27</v>
      </c>
      <c r="S1969">
        <f t="shared" si="427"/>
        <v>32.76666666666609</v>
      </c>
      <c r="T1969">
        <f t="shared" si="422"/>
        <v>33.350000000000009</v>
      </c>
      <c r="U1969">
        <f t="shared" si="425"/>
        <v>0.45</v>
      </c>
      <c r="V1969">
        <f t="shared" si="421"/>
        <v>0.82999999999999985</v>
      </c>
    </row>
    <row r="1970" spans="1:22" x14ac:dyDescent="0.25">
      <c r="A1970" t="s">
        <v>3926</v>
      </c>
      <c r="B1970">
        <v>0</v>
      </c>
      <c r="C1970">
        <v>33.659999999999997</v>
      </c>
      <c r="E1970" t="s">
        <v>3926</v>
      </c>
      <c r="F1970">
        <v>0</v>
      </c>
      <c r="G1970">
        <v>111.95</v>
      </c>
      <c r="I1970" t="str" cm="1">
        <f t="array" ref="I1970:J1970">_xlfn.TEXTSPLIT(A1970," ")</f>
        <v>28.10.2023</v>
      </c>
      <c r="J1970" t="str">
        <v>08:51:27</v>
      </c>
      <c r="K1970">
        <f t="shared" si="426"/>
        <v>32.783333333332756</v>
      </c>
      <c r="L1970">
        <f t="shared" si="423"/>
        <v>19.339999999999996</v>
      </c>
      <c r="M1970">
        <f t="shared" si="424"/>
        <v>0</v>
      </c>
      <c r="N1970">
        <f t="shared" si="420"/>
        <v>0.45999999999999996</v>
      </c>
      <c r="Q1970" t="str" cm="1">
        <f t="array" ref="Q1970:R1970">_xlfn.TEXTSPLIT(E1970," ")</f>
        <v>28.10.2023</v>
      </c>
      <c r="R1970" t="str">
        <v>08:51:27</v>
      </c>
      <c r="S1970">
        <f t="shared" si="427"/>
        <v>32.783333333332756</v>
      </c>
      <c r="T1970">
        <f t="shared" si="422"/>
        <v>33.350000000000009</v>
      </c>
      <c r="U1970">
        <f t="shared" si="425"/>
        <v>0</v>
      </c>
      <c r="V1970">
        <f t="shared" si="421"/>
        <v>0.82999999999999985</v>
      </c>
    </row>
    <row r="1971" spans="1:22" x14ac:dyDescent="0.25">
      <c r="A1971" t="s">
        <v>3927</v>
      </c>
      <c r="B1971">
        <v>0.3</v>
      </c>
      <c r="C1971">
        <v>33.659999999999997</v>
      </c>
      <c r="E1971" t="s">
        <v>3927</v>
      </c>
      <c r="F1971">
        <v>0</v>
      </c>
      <c r="G1971">
        <v>111.95</v>
      </c>
      <c r="I1971" t="str" cm="1">
        <f t="array" ref="I1971:J1971">_xlfn.TEXTSPLIT(A1971," ")</f>
        <v>28.10.2023</v>
      </c>
      <c r="J1971" t="str">
        <v>08:52:28</v>
      </c>
      <c r="K1971">
        <f t="shared" si="426"/>
        <v>32.799999999999422</v>
      </c>
      <c r="L1971">
        <f t="shared" si="423"/>
        <v>19.339999999999996</v>
      </c>
      <c r="M1971">
        <f t="shared" si="424"/>
        <v>0.3</v>
      </c>
      <c r="N1971">
        <f t="shared" si="420"/>
        <v>0.46</v>
      </c>
      <c r="Q1971" t="str" cm="1">
        <f t="array" ref="Q1971:R1971">_xlfn.TEXTSPLIT(E1971," ")</f>
        <v>28.10.2023</v>
      </c>
      <c r="R1971" t="str">
        <v>08:52:28</v>
      </c>
      <c r="S1971">
        <f t="shared" si="427"/>
        <v>32.799999999999422</v>
      </c>
      <c r="T1971">
        <f t="shared" si="422"/>
        <v>33.350000000000009</v>
      </c>
      <c r="U1971">
        <f t="shared" si="425"/>
        <v>0</v>
      </c>
      <c r="V1971">
        <f t="shared" si="421"/>
        <v>0.82999999999999985</v>
      </c>
    </row>
    <row r="1972" spans="1:22" x14ac:dyDescent="0.25">
      <c r="A1972" t="s">
        <v>3928</v>
      </c>
      <c r="B1972">
        <v>0</v>
      </c>
      <c r="C1972">
        <v>33.659999999999997</v>
      </c>
      <c r="E1972" t="s">
        <v>3928</v>
      </c>
      <c r="F1972">
        <v>0.15</v>
      </c>
      <c r="G1972">
        <v>111.95</v>
      </c>
      <c r="I1972" t="str" cm="1">
        <f t="array" ref="I1972:J1972">_xlfn.TEXTSPLIT(A1972," ")</f>
        <v>28.10.2023</v>
      </c>
      <c r="J1972" t="str">
        <v>08:53:28</v>
      </c>
      <c r="K1972">
        <f t="shared" si="426"/>
        <v>32.816666666666087</v>
      </c>
      <c r="L1972">
        <f t="shared" si="423"/>
        <v>19.339999999999996</v>
      </c>
      <c r="M1972">
        <f t="shared" si="424"/>
        <v>0</v>
      </c>
      <c r="N1972">
        <f t="shared" si="420"/>
        <v>0.46</v>
      </c>
      <c r="Q1972" t="str" cm="1">
        <f t="array" ref="Q1972:R1972">_xlfn.TEXTSPLIT(E1972," ")</f>
        <v>28.10.2023</v>
      </c>
      <c r="R1972" t="str">
        <v>08:53:28</v>
      </c>
      <c r="S1972">
        <f t="shared" si="427"/>
        <v>32.816666666666087</v>
      </c>
      <c r="T1972">
        <f t="shared" si="422"/>
        <v>33.350000000000009</v>
      </c>
      <c r="U1972">
        <f t="shared" si="425"/>
        <v>0.15</v>
      </c>
      <c r="V1972">
        <f t="shared" si="421"/>
        <v>0.82999999999999985</v>
      </c>
    </row>
    <row r="1973" spans="1:22" x14ac:dyDescent="0.25">
      <c r="A1973" t="s">
        <v>3929</v>
      </c>
      <c r="B1973">
        <v>0</v>
      </c>
      <c r="C1973">
        <v>33.659999999999997</v>
      </c>
      <c r="E1973" t="s">
        <v>3929</v>
      </c>
      <c r="F1973">
        <v>0.3</v>
      </c>
      <c r="G1973">
        <v>111.96</v>
      </c>
      <c r="I1973" t="str" cm="1">
        <f t="array" ref="I1973:J1973">_xlfn.TEXTSPLIT(A1973," ")</f>
        <v>28.10.2023</v>
      </c>
      <c r="J1973" t="str">
        <v>08:54:28</v>
      </c>
      <c r="K1973">
        <f t="shared" si="426"/>
        <v>32.833333333332753</v>
      </c>
      <c r="L1973">
        <f t="shared" si="423"/>
        <v>19.339999999999996</v>
      </c>
      <c r="M1973">
        <f t="shared" si="424"/>
        <v>0</v>
      </c>
      <c r="N1973">
        <f t="shared" si="420"/>
        <v>0.46</v>
      </c>
      <c r="Q1973" t="str" cm="1">
        <f t="array" ref="Q1973:R1973">_xlfn.TEXTSPLIT(E1973," ")</f>
        <v>28.10.2023</v>
      </c>
      <c r="R1973" t="str">
        <v>08:54:28</v>
      </c>
      <c r="S1973">
        <f t="shared" si="427"/>
        <v>32.833333333332753</v>
      </c>
      <c r="T1973">
        <f t="shared" si="422"/>
        <v>33.36</v>
      </c>
      <c r="U1973">
        <f t="shared" si="425"/>
        <v>0.3</v>
      </c>
      <c r="V1973">
        <f t="shared" si="421"/>
        <v>0.82999999999999985</v>
      </c>
    </row>
    <row r="1974" spans="1:22" x14ac:dyDescent="0.25">
      <c r="A1974" t="s">
        <v>3930</v>
      </c>
      <c r="B1974">
        <v>0</v>
      </c>
      <c r="C1974">
        <v>33.659999999999997</v>
      </c>
      <c r="E1974" t="s">
        <v>3930</v>
      </c>
      <c r="F1974">
        <v>0.6</v>
      </c>
      <c r="G1974">
        <v>111.96</v>
      </c>
      <c r="I1974" t="str" cm="1">
        <f t="array" ref="I1974:J1974">_xlfn.TEXTSPLIT(A1974," ")</f>
        <v>28.10.2023</v>
      </c>
      <c r="J1974" t="str">
        <v>08:55:28</v>
      </c>
      <c r="K1974">
        <f t="shared" si="426"/>
        <v>32.849999999999419</v>
      </c>
      <c r="L1974">
        <f t="shared" si="423"/>
        <v>19.339999999999996</v>
      </c>
      <c r="M1974">
        <f t="shared" si="424"/>
        <v>0</v>
      </c>
      <c r="N1974">
        <f t="shared" si="420"/>
        <v>0.46</v>
      </c>
      <c r="Q1974" t="str" cm="1">
        <f t="array" ref="Q1974:R1974">_xlfn.TEXTSPLIT(E1974," ")</f>
        <v>28.10.2023</v>
      </c>
      <c r="R1974" t="str">
        <v>08:55:28</v>
      </c>
      <c r="S1974">
        <f t="shared" si="427"/>
        <v>32.849999999999419</v>
      </c>
      <c r="T1974">
        <f t="shared" si="422"/>
        <v>33.36</v>
      </c>
      <c r="U1974">
        <f t="shared" si="425"/>
        <v>0.6</v>
      </c>
      <c r="V1974">
        <f t="shared" si="421"/>
        <v>0.8324999999999998</v>
      </c>
    </row>
    <row r="1975" spans="1:22" x14ac:dyDescent="0.25">
      <c r="A1975" t="s">
        <v>3931</v>
      </c>
      <c r="B1975">
        <v>0</v>
      </c>
      <c r="C1975">
        <v>33.659999999999997</v>
      </c>
      <c r="E1975" t="s">
        <v>3931</v>
      </c>
      <c r="F1975">
        <v>0.3</v>
      </c>
      <c r="G1975">
        <v>111.97</v>
      </c>
      <c r="I1975" t="str" cm="1">
        <f t="array" ref="I1975:J1975">_xlfn.TEXTSPLIT(A1975," ")</f>
        <v>28.10.2023</v>
      </c>
      <c r="J1975" t="str">
        <v>08:56:28</v>
      </c>
      <c r="K1975">
        <f t="shared" si="426"/>
        <v>32.866666666666084</v>
      </c>
      <c r="L1975">
        <f t="shared" si="423"/>
        <v>19.339999999999996</v>
      </c>
      <c r="M1975">
        <f t="shared" si="424"/>
        <v>0</v>
      </c>
      <c r="N1975">
        <f t="shared" si="420"/>
        <v>0.46</v>
      </c>
      <c r="Q1975" t="str" cm="1">
        <f t="array" ref="Q1975:R1975">_xlfn.TEXTSPLIT(E1975," ")</f>
        <v>28.10.2023</v>
      </c>
      <c r="R1975" t="str">
        <v>08:56:28</v>
      </c>
      <c r="S1975">
        <f t="shared" si="427"/>
        <v>32.866666666666084</v>
      </c>
      <c r="T1975">
        <f t="shared" si="422"/>
        <v>33.370000000000005</v>
      </c>
      <c r="U1975">
        <f t="shared" si="425"/>
        <v>0.3</v>
      </c>
      <c r="V1975">
        <f t="shared" si="421"/>
        <v>0.82499999999999973</v>
      </c>
    </row>
    <row r="1976" spans="1:22" x14ac:dyDescent="0.25">
      <c r="A1976" t="s">
        <v>3932</v>
      </c>
      <c r="B1976">
        <v>0</v>
      </c>
      <c r="C1976">
        <v>33.659999999999997</v>
      </c>
      <c r="E1976" t="s">
        <v>3932</v>
      </c>
      <c r="F1976">
        <v>0.45</v>
      </c>
      <c r="G1976">
        <v>111.98</v>
      </c>
      <c r="I1976" t="str" cm="1">
        <f t="array" ref="I1976:J1976">_xlfn.TEXTSPLIT(A1976," ")</f>
        <v>28.10.2023</v>
      </c>
      <c r="J1976" t="str">
        <v>08:57:28</v>
      </c>
      <c r="K1976">
        <f t="shared" si="426"/>
        <v>32.88333333333275</v>
      </c>
      <c r="L1976">
        <f t="shared" si="423"/>
        <v>19.339999999999996</v>
      </c>
      <c r="M1976">
        <f t="shared" si="424"/>
        <v>0</v>
      </c>
      <c r="N1976">
        <f t="shared" si="420"/>
        <v>0.46</v>
      </c>
      <c r="Q1976" t="str" cm="1">
        <f t="array" ref="Q1976:R1976">_xlfn.TEXTSPLIT(E1976," ")</f>
        <v>28.10.2023</v>
      </c>
      <c r="R1976" t="str">
        <v>08:57:28</v>
      </c>
      <c r="S1976">
        <f t="shared" si="427"/>
        <v>32.88333333333275</v>
      </c>
      <c r="T1976">
        <f t="shared" si="422"/>
        <v>33.38000000000001</v>
      </c>
      <c r="U1976">
        <f t="shared" si="425"/>
        <v>0.45</v>
      </c>
      <c r="V1976">
        <f t="shared" si="421"/>
        <v>0.81749999999999978</v>
      </c>
    </row>
    <row r="1977" spans="1:22" x14ac:dyDescent="0.25">
      <c r="A1977" t="s">
        <v>3933</v>
      </c>
      <c r="B1977">
        <v>0</v>
      </c>
      <c r="C1977">
        <v>33.659999999999997</v>
      </c>
      <c r="E1977" t="s">
        <v>3933</v>
      </c>
      <c r="F1977">
        <v>0.75</v>
      </c>
      <c r="G1977">
        <v>111.99</v>
      </c>
      <c r="I1977" t="str" cm="1">
        <f t="array" ref="I1977:J1977">_xlfn.TEXTSPLIT(A1977," ")</f>
        <v>28.10.2023</v>
      </c>
      <c r="J1977" t="str">
        <v>08:58:28</v>
      </c>
      <c r="K1977">
        <f t="shared" si="426"/>
        <v>32.899999999999416</v>
      </c>
      <c r="L1977">
        <f t="shared" si="423"/>
        <v>19.339999999999996</v>
      </c>
      <c r="M1977">
        <f t="shared" si="424"/>
        <v>0</v>
      </c>
      <c r="N1977">
        <f t="shared" si="420"/>
        <v>0.46</v>
      </c>
      <c r="Q1977" t="str" cm="1">
        <f t="array" ref="Q1977:R1977">_xlfn.TEXTSPLIT(E1977," ")</f>
        <v>28.10.2023</v>
      </c>
      <c r="R1977" t="str">
        <v>08:58:28</v>
      </c>
      <c r="S1977">
        <f t="shared" si="427"/>
        <v>32.899999999999416</v>
      </c>
      <c r="T1977">
        <f t="shared" si="422"/>
        <v>33.39</v>
      </c>
      <c r="U1977">
        <f t="shared" si="425"/>
        <v>0.75</v>
      </c>
      <c r="V1977">
        <f t="shared" si="421"/>
        <v>0.81999999999999984</v>
      </c>
    </row>
    <row r="1978" spans="1:22" x14ac:dyDescent="0.25">
      <c r="A1978" t="s">
        <v>3934</v>
      </c>
      <c r="B1978">
        <v>0</v>
      </c>
      <c r="C1978">
        <v>33.659999999999997</v>
      </c>
      <c r="E1978" t="s">
        <v>3934</v>
      </c>
      <c r="F1978">
        <v>0.75</v>
      </c>
      <c r="G1978">
        <v>112.01</v>
      </c>
      <c r="I1978" t="str" cm="1">
        <f t="array" ref="I1978:J1978">_xlfn.TEXTSPLIT(A1978," ")</f>
        <v>28.10.2023</v>
      </c>
      <c r="J1978" t="str">
        <v>08:59:29</v>
      </c>
      <c r="K1978">
        <f t="shared" si="426"/>
        <v>32.916666666666082</v>
      </c>
      <c r="L1978">
        <f t="shared" si="423"/>
        <v>19.339999999999996</v>
      </c>
      <c r="M1978">
        <f t="shared" si="424"/>
        <v>0</v>
      </c>
      <c r="N1978">
        <f t="shared" si="420"/>
        <v>0.45500000000000002</v>
      </c>
      <c r="Q1978" t="str" cm="1">
        <f t="array" ref="Q1978:R1978">_xlfn.TEXTSPLIT(E1978," ")</f>
        <v>28.10.2023</v>
      </c>
      <c r="R1978" t="str">
        <v>08:59:29</v>
      </c>
      <c r="S1978">
        <f t="shared" si="427"/>
        <v>32.916666666666082</v>
      </c>
      <c r="T1978">
        <f t="shared" si="422"/>
        <v>33.410000000000011</v>
      </c>
      <c r="U1978">
        <f t="shared" si="425"/>
        <v>0.75</v>
      </c>
      <c r="V1978">
        <f t="shared" si="421"/>
        <v>0.82249999999999979</v>
      </c>
    </row>
    <row r="1979" spans="1:22" x14ac:dyDescent="0.25">
      <c r="A1979" t="s">
        <v>3935</v>
      </c>
      <c r="B1979">
        <v>0.15</v>
      </c>
      <c r="C1979">
        <v>33.67</v>
      </c>
      <c r="E1979" t="s">
        <v>3935</v>
      </c>
      <c r="F1979">
        <v>0.75</v>
      </c>
      <c r="G1979">
        <v>112.02</v>
      </c>
      <c r="I1979" t="str" cm="1">
        <f t="array" ref="I1979:J1979">_xlfn.TEXTSPLIT(A1979," ")</f>
        <v>28.10.2023</v>
      </c>
      <c r="J1979" t="str">
        <v>09:00:29</v>
      </c>
      <c r="K1979">
        <f t="shared" si="426"/>
        <v>32.933333333332747</v>
      </c>
      <c r="L1979">
        <f t="shared" si="423"/>
        <v>19.350000000000001</v>
      </c>
      <c r="M1979">
        <f t="shared" si="424"/>
        <v>0.15</v>
      </c>
      <c r="N1979">
        <f t="shared" si="420"/>
        <v>0.45500000000000002</v>
      </c>
      <c r="Q1979" t="str" cm="1">
        <f t="array" ref="Q1979:R1979">_xlfn.TEXTSPLIT(E1979," ")</f>
        <v>28.10.2023</v>
      </c>
      <c r="R1979" t="str">
        <v>09:00:29</v>
      </c>
      <c r="S1979">
        <f t="shared" si="427"/>
        <v>32.933333333332747</v>
      </c>
      <c r="T1979">
        <f t="shared" si="422"/>
        <v>33.42</v>
      </c>
      <c r="U1979">
        <f t="shared" si="425"/>
        <v>0.75</v>
      </c>
      <c r="V1979">
        <f t="shared" si="421"/>
        <v>0.82499999999999984</v>
      </c>
    </row>
    <row r="1980" spans="1:22" x14ac:dyDescent="0.25">
      <c r="A1980" t="s">
        <v>3936</v>
      </c>
      <c r="B1980">
        <v>0.45</v>
      </c>
      <c r="C1980">
        <v>33.67</v>
      </c>
      <c r="E1980" t="s">
        <v>3936</v>
      </c>
      <c r="F1980">
        <v>0.6</v>
      </c>
      <c r="G1980">
        <v>112.02</v>
      </c>
      <c r="I1980" t="str" cm="1">
        <f t="array" ref="I1980:J1980">_xlfn.TEXTSPLIT(A1980," ")</f>
        <v>28.10.2023</v>
      </c>
      <c r="J1980" t="str">
        <v>09:01:29</v>
      </c>
      <c r="K1980">
        <f t="shared" si="426"/>
        <v>32.949999999999413</v>
      </c>
      <c r="L1980">
        <f t="shared" si="423"/>
        <v>19.350000000000001</v>
      </c>
      <c r="M1980">
        <f t="shared" si="424"/>
        <v>0.45</v>
      </c>
      <c r="N1980">
        <f t="shared" si="420"/>
        <v>0.45749999999999996</v>
      </c>
      <c r="Q1980" t="str" cm="1">
        <f t="array" ref="Q1980:R1980">_xlfn.TEXTSPLIT(E1980," ")</f>
        <v>28.10.2023</v>
      </c>
      <c r="R1980" t="str">
        <v>09:01:29</v>
      </c>
      <c r="S1980">
        <f t="shared" si="427"/>
        <v>32.949999999999413</v>
      </c>
      <c r="T1980">
        <f t="shared" si="422"/>
        <v>33.42</v>
      </c>
      <c r="U1980">
        <f t="shared" si="425"/>
        <v>0.6</v>
      </c>
      <c r="V1980">
        <f t="shared" si="421"/>
        <v>0.82499999999999984</v>
      </c>
    </row>
    <row r="1981" spans="1:22" x14ac:dyDescent="0.25">
      <c r="A1981" t="s">
        <v>3937</v>
      </c>
      <c r="B1981">
        <v>0.3</v>
      </c>
      <c r="C1981">
        <v>33.68</v>
      </c>
      <c r="E1981" t="s">
        <v>3937</v>
      </c>
      <c r="F1981">
        <v>0.6</v>
      </c>
      <c r="G1981">
        <v>112.04</v>
      </c>
      <c r="I1981" t="str" cm="1">
        <f t="array" ref="I1981:J1981">_xlfn.TEXTSPLIT(A1981," ")</f>
        <v>28.10.2023</v>
      </c>
      <c r="J1981" t="str">
        <v>09:02:29</v>
      </c>
      <c r="K1981">
        <f t="shared" si="426"/>
        <v>32.966666666666079</v>
      </c>
      <c r="L1981">
        <f t="shared" si="423"/>
        <v>19.36</v>
      </c>
      <c r="M1981">
        <f t="shared" si="424"/>
        <v>0.3</v>
      </c>
      <c r="N1981">
        <f t="shared" si="420"/>
        <v>0.45749999999999996</v>
      </c>
      <c r="Q1981" t="str" cm="1">
        <f t="array" ref="Q1981:R1981">_xlfn.TEXTSPLIT(E1981," ")</f>
        <v>28.10.2023</v>
      </c>
      <c r="R1981" t="str">
        <v>09:02:29</v>
      </c>
      <c r="S1981">
        <f t="shared" si="427"/>
        <v>32.966666666666079</v>
      </c>
      <c r="T1981">
        <f t="shared" si="422"/>
        <v>33.440000000000012</v>
      </c>
      <c r="U1981">
        <f t="shared" si="425"/>
        <v>0.6</v>
      </c>
      <c r="V1981">
        <f t="shared" si="421"/>
        <v>0.8274999999999999</v>
      </c>
    </row>
    <row r="1982" spans="1:22" x14ac:dyDescent="0.25">
      <c r="A1982" t="s">
        <v>3938</v>
      </c>
      <c r="B1982">
        <v>0.45</v>
      </c>
      <c r="C1982">
        <v>33.69</v>
      </c>
      <c r="E1982" t="s">
        <v>3938</v>
      </c>
      <c r="F1982">
        <v>0.6</v>
      </c>
      <c r="G1982">
        <v>112.04</v>
      </c>
      <c r="I1982" t="str" cm="1">
        <f t="array" ref="I1982:J1982">_xlfn.TEXTSPLIT(A1982," ")</f>
        <v>28.10.2023</v>
      </c>
      <c r="J1982" t="str">
        <v>09:03:29</v>
      </c>
      <c r="K1982">
        <f t="shared" si="426"/>
        <v>32.983333333332745</v>
      </c>
      <c r="L1982">
        <f t="shared" si="423"/>
        <v>19.369999999999997</v>
      </c>
      <c r="M1982">
        <f t="shared" si="424"/>
        <v>0.45</v>
      </c>
      <c r="N1982">
        <f t="shared" si="420"/>
        <v>0.46</v>
      </c>
      <c r="Q1982" t="str" cm="1">
        <f t="array" ref="Q1982:R1982">_xlfn.TEXTSPLIT(E1982," ")</f>
        <v>28.10.2023</v>
      </c>
      <c r="R1982" t="str">
        <v>09:03:29</v>
      </c>
      <c r="S1982">
        <f t="shared" si="427"/>
        <v>32.983333333332745</v>
      </c>
      <c r="T1982">
        <f t="shared" si="422"/>
        <v>33.440000000000012</v>
      </c>
      <c r="U1982">
        <f t="shared" si="425"/>
        <v>0.6</v>
      </c>
      <c r="V1982">
        <f t="shared" si="421"/>
        <v>0.83249999999999991</v>
      </c>
    </row>
    <row r="1983" spans="1:22" x14ac:dyDescent="0.25">
      <c r="A1983" t="s">
        <v>3939</v>
      </c>
      <c r="B1983">
        <v>0.6</v>
      </c>
      <c r="C1983">
        <v>33.69</v>
      </c>
      <c r="E1983" t="s">
        <v>3939</v>
      </c>
      <c r="F1983">
        <v>0.6</v>
      </c>
      <c r="G1983">
        <v>112.06</v>
      </c>
      <c r="I1983" t="str" cm="1">
        <f t="array" ref="I1983:J1983">_xlfn.TEXTSPLIT(A1983," ")</f>
        <v>28.10.2023</v>
      </c>
      <c r="J1983" t="str">
        <v>09:04:29</v>
      </c>
      <c r="K1983">
        <f t="shared" si="426"/>
        <v>32.99999999999941</v>
      </c>
      <c r="L1983">
        <f t="shared" si="423"/>
        <v>19.369999999999997</v>
      </c>
      <c r="M1983">
        <f t="shared" si="424"/>
        <v>0.6</v>
      </c>
      <c r="N1983">
        <f t="shared" ref="N1983:N2046" si="428">AVERAGE(M1924:M1983)</f>
        <v>0.46500000000000002</v>
      </c>
      <c r="Q1983" t="str" cm="1">
        <f t="array" ref="Q1983:R1983">_xlfn.TEXTSPLIT(E1983," ")</f>
        <v>28.10.2023</v>
      </c>
      <c r="R1983" t="str">
        <v>09:04:29</v>
      </c>
      <c r="S1983">
        <f t="shared" si="427"/>
        <v>32.99999999999941</v>
      </c>
      <c r="T1983">
        <f t="shared" si="422"/>
        <v>33.460000000000008</v>
      </c>
      <c r="U1983">
        <f t="shared" si="425"/>
        <v>0.6</v>
      </c>
      <c r="V1983">
        <f t="shared" ref="V1983:V2046" si="429">AVERAGE(U1924:U1983)</f>
        <v>0.83</v>
      </c>
    </row>
    <row r="1984" spans="1:22" x14ac:dyDescent="0.25">
      <c r="A1984" t="s">
        <v>3940</v>
      </c>
      <c r="B1984">
        <v>0.3</v>
      </c>
      <c r="C1984">
        <v>33.700000000000003</v>
      </c>
      <c r="E1984" t="s">
        <v>3940</v>
      </c>
      <c r="F1984">
        <v>0.45</v>
      </c>
      <c r="G1984">
        <v>112.08</v>
      </c>
      <c r="I1984" t="str" cm="1">
        <f t="array" ref="I1984:J1984">_xlfn.TEXTSPLIT(A1984," ")</f>
        <v>28.10.2023</v>
      </c>
      <c r="J1984" t="str">
        <v>09:05:29</v>
      </c>
      <c r="K1984">
        <f t="shared" si="426"/>
        <v>33.016666666666076</v>
      </c>
      <c r="L1984">
        <f t="shared" si="423"/>
        <v>19.380000000000003</v>
      </c>
      <c r="M1984">
        <f t="shared" si="424"/>
        <v>0.3</v>
      </c>
      <c r="N1984">
        <f t="shared" si="428"/>
        <v>0.46500000000000002</v>
      </c>
      <c r="Q1984" t="str" cm="1">
        <f t="array" ref="Q1984:R1984">_xlfn.TEXTSPLIT(E1984," ")</f>
        <v>28.10.2023</v>
      </c>
      <c r="R1984" t="str">
        <v>09:05:29</v>
      </c>
      <c r="S1984">
        <f t="shared" si="427"/>
        <v>33.016666666666076</v>
      </c>
      <c r="T1984">
        <f t="shared" si="422"/>
        <v>33.480000000000004</v>
      </c>
      <c r="U1984">
        <f t="shared" si="425"/>
        <v>0.45</v>
      </c>
      <c r="V1984">
        <f t="shared" si="429"/>
        <v>0.82</v>
      </c>
    </row>
    <row r="1985" spans="1:22" x14ac:dyDescent="0.25">
      <c r="A1985" t="s">
        <v>3941</v>
      </c>
      <c r="B1985">
        <v>0.3</v>
      </c>
      <c r="C1985">
        <v>33.71</v>
      </c>
      <c r="E1985" t="s">
        <v>3941</v>
      </c>
      <c r="F1985">
        <v>2.7</v>
      </c>
      <c r="G1985">
        <v>112.14</v>
      </c>
      <c r="I1985" t="str" cm="1">
        <f t="array" ref="I1985:J1985">_xlfn.TEXTSPLIT(A1985," ")</f>
        <v>28.10.2023</v>
      </c>
      <c r="J1985" t="str">
        <v>09:06:30</v>
      </c>
      <c r="K1985">
        <f t="shared" si="426"/>
        <v>33.033333333332742</v>
      </c>
      <c r="L1985">
        <f t="shared" si="423"/>
        <v>19.39</v>
      </c>
      <c r="M1985">
        <f t="shared" si="424"/>
        <v>0.3</v>
      </c>
      <c r="N1985">
        <f t="shared" si="428"/>
        <v>0.46250000000000008</v>
      </c>
      <c r="Q1985" t="str" cm="1">
        <f t="array" ref="Q1985:R1985">_xlfn.TEXTSPLIT(E1985," ")</f>
        <v>28.10.2023</v>
      </c>
      <c r="R1985" t="str">
        <v>09:06:30</v>
      </c>
      <c r="S1985">
        <f t="shared" si="427"/>
        <v>33.033333333332742</v>
      </c>
      <c r="T1985">
        <f t="shared" si="422"/>
        <v>33.540000000000006</v>
      </c>
      <c r="U1985">
        <f t="shared" si="425"/>
        <v>2.7</v>
      </c>
      <c r="V1985">
        <f t="shared" si="429"/>
        <v>0.82250000000000001</v>
      </c>
    </row>
    <row r="1986" spans="1:22" x14ac:dyDescent="0.25">
      <c r="A1986" t="s">
        <v>3942</v>
      </c>
      <c r="B1986">
        <v>1.2</v>
      </c>
      <c r="C1986">
        <v>33.74</v>
      </c>
      <c r="E1986" t="s">
        <v>3942</v>
      </c>
      <c r="F1986">
        <v>2.7</v>
      </c>
      <c r="G1986">
        <v>112.17</v>
      </c>
      <c r="I1986" t="str" cm="1">
        <f t="array" ref="I1986:J1986">_xlfn.TEXTSPLIT(A1986," ")</f>
        <v>28.10.2023</v>
      </c>
      <c r="J1986" t="str">
        <v>09:07:30</v>
      </c>
      <c r="K1986">
        <f t="shared" si="426"/>
        <v>33.049999999999407</v>
      </c>
      <c r="L1986">
        <f t="shared" si="423"/>
        <v>19.420000000000002</v>
      </c>
      <c r="M1986">
        <f t="shared" si="424"/>
        <v>1.2</v>
      </c>
      <c r="N1986">
        <f t="shared" si="428"/>
        <v>0.46250000000000008</v>
      </c>
      <c r="Q1986" t="str" cm="1">
        <f t="array" ref="Q1986:R1986">_xlfn.TEXTSPLIT(E1986," ")</f>
        <v>28.10.2023</v>
      </c>
      <c r="R1986" t="str">
        <v>09:07:30</v>
      </c>
      <c r="S1986">
        <f t="shared" si="427"/>
        <v>33.049999999999407</v>
      </c>
      <c r="T1986">
        <f t="shared" si="422"/>
        <v>33.570000000000007</v>
      </c>
      <c r="U1986">
        <f t="shared" si="425"/>
        <v>2.7</v>
      </c>
      <c r="V1986">
        <f t="shared" si="429"/>
        <v>0.83500000000000019</v>
      </c>
    </row>
    <row r="1987" spans="1:22" x14ac:dyDescent="0.25">
      <c r="A1987" t="s">
        <v>3943</v>
      </c>
      <c r="B1987">
        <v>2.1</v>
      </c>
      <c r="C1987">
        <v>33.78</v>
      </c>
      <c r="E1987" t="s">
        <v>3943</v>
      </c>
      <c r="F1987">
        <v>1.65</v>
      </c>
      <c r="G1987">
        <v>112.19</v>
      </c>
      <c r="I1987" t="str" cm="1">
        <f t="array" ref="I1987:J1987">_xlfn.TEXTSPLIT(A1987," ")</f>
        <v>28.10.2023</v>
      </c>
      <c r="J1987" t="str">
        <v>09:08:30</v>
      </c>
      <c r="K1987">
        <f t="shared" si="426"/>
        <v>33.066666666666073</v>
      </c>
      <c r="L1987">
        <f t="shared" si="423"/>
        <v>19.46</v>
      </c>
      <c r="M1987">
        <f t="shared" si="424"/>
        <v>2.1</v>
      </c>
      <c r="N1987">
        <f t="shared" si="428"/>
        <v>0.45500000000000007</v>
      </c>
      <c r="Q1987" t="str" cm="1">
        <f t="array" ref="Q1987:R1987">_xlfn.TEXTSPLIT(E1987," ")</f>
        <v>28.10.2023</v>
      </c>
      <c r="R1987" t="str">
        <v>09:08:30</v>
      </c>
      <c r="S1987">
        <f t="shared" si="427"/>
        <v>33.066666666666073</v>
      </c>
      <c r="T1987">
        <f t="shared" ref="T1987:T2050" si="430">G1987-78.6</f>
        <v>33.590000000000003</v>
      </c>
      <c r="U1987">
        <f t="shared" si="425"/>
        <v>1.65</v>
      </c>
      <c r="V1987">
        <f t="shared" si="429"/>
        <v>0.84000000000000019</v>
      </c>
    </row>
    <row r="1988" spans="1:22" x14ac:dyDescent="0.25">
      <c r="A1988" t="s">
        <v>3944</v>
      </c>
      <c r="B1988">
        <v>1.8</v>
      </c>
      <c r="C1988">
        <v>33.81</v>
      </c>
      <c r="E1988" t="s">
        <v>3944</v>
      </c>
      <c r="F1988">
        <v>1.05</v>
      </c>
      <c r="G1988">
        <v>112.21</v>
      </c>
      <c r="I1988" t="str" cm="1">
        <f t="array" ref="I1988:J1988">_xlfn.TEXTSPLIT(A1988," ")</f>
        <v>28.10.2023</v>
      </c>
      <c r="J1988" t="str">
        <v>09:09:30</v>
      </c>
      <c r="K1988">
        <f t="shared" si="426"/>
        <v>33.083333333332739</v>
      </c>
      <c r="L1988">
        <f t="shared" ref="L1988:L2051" si="431">C1988-14.32</f>
        <v>19.490000000000002</v>
      </c>
      <c r="M1988">
        <f t="shared" ref="M1988:M2051" si="432">B1988</f>
        <v>1.8</v>
      </c>
      <c r="N1988">
        <f t="shared" si="428"/>
        <v>0.45750000000000007</v>
      </c>
      <c r="Q1988" t="str" cm="1">
        <f t="array" ref="Q1988:R1988">_xlfn.TEXTSPLIT(E1988," ")</f>
        <v>28.10.2023</v>
      </c>
      <c r="R1988" t="str">
        <v>09:09:30</v>
      </c>
      <c r="S1988">
        <f t="shared" si="427"/>
        <v>33.083333333332739</v>
      </c>
      <c r="T1988">
        <f t="shared" si="430"/>
        <v>33.61</v>
      </c>
      <c r="U1988">
        <f t="shared" ref="U1988:U2051" si="433">F1988</f>
        <v>1.05</v>
      </c>
      <c r="V1988">
        <f t="shared" si="429"/>
        <v>0.82750000000000024</v>
      </c>
    </row>
    <row r="1989" spans="1:22" x14ac:dyDescent="0.25">
      <c r="A1989" t="s">
        <v>3945</v>
      </c>
      <c r="B1989">
        <v>1.05</v>
      </c>
      <c r="C1989">
        <v>33.82</v>
      </c>
      <c r="E1989" t="s">
        <v>3945</v>
      </c>
      <c r="F1989">
        <v>1.35</v>
      </c>
      <c r="G1989">
        <v>112.24</v>
      </c>
      <c r="I1989" t="str" cm="1">
        <f t="array" ref="I1989:J1989">_xlfn.TEXTSPLIT(A1989," ")</f>
        <v>28.10.2023</v>
      </c>
      <c r="J1989" t="str">
        <v>09:10:30</v>
      </c>
      <c r="K1989">
        <f t="shared" ref="K1989:K2052" si="434">1/60+K1988</f>
        <v>33.099999999999405</v>
      </c>
      <c r="L1989">
        <f t="shared" si="431"/>
        <v>19.5</v>
      </c>
      <c r="M1989">
        <f t="shared" si="432"/>
        <v>1.05</v>
      </c>
      <c r="N1989">
        <f t="shared" si="428"/>
        <v>0.45750000000000007</v>
      </c>
      <c r="Q1989" t="str" cm="1">
        <f t="array" ref="Q1989:R1989">_xlfn.TEXTSPLIT(E1989," ")</f>
        <v>28.10.2023</v>
      </c>
      <c r="R1989" t="str">
        <v>09:10:30</v>
      </c>
      <c r="S1989">
        <f t="shared" ref="S1989:S2052" si="435">1/60+S1988</f>
        <v>33.099999999999405</v>
      </c>
      <c r="T1989">
        <f t="shared" si="430"/>
        <v>33.64</v>
      </c>
      <c r="U1989">
        <f t="shared" si="433"/>
        <v>1.35</v>
      </c>
      <c r="V1989">
        <f t="shared" si="429"/>
        <v>0.82250000000000012</v>
      </c>
    </row>
    <row r="1990" spans="1:22" x14ac:dyDescent="0.25">
      <c r="A1990" t="s">
        <v>3946</v>
      </c>
      <c r="B1990">
        <v>0.75</v>
      </c>
      <c r="C1990">
        <v>33.83</v>
      </c>
      <c r="E1990" t="s">
        <v>3946</v>
      </c>
      <c r="F1990">
        <v>1.35</v>
      </c>
      <c r="G1990">
        <v>112.26</v>
      </c>
      <c r="I1990" t="str" cm="1">
        <f t="array" ref="I1990:J1990">_xlfn.TEXTSPLIT(A1990," ")</f>
        <v>28.10.2023</v>
      </c>
      <c r="J1990" t="str">
        <v>09:11:30</v>
      </c>
      <c r="K1990">
        <f t="shared" si="434"/>
        <v>33.11666666666607</v>
      </c>
      <c r="L1990">
        <f t="shared" si="431"/>
        <v>19.509999999999998</v>
      </c>
      <c r="M1990">
        <f t="shared" si="432"/>
        <v>0.75</v>
      </c>
      <c r="N1990">
        <f t="shared" si="428"/>
        <v>0.45750000000000007</v>
      </c>
      <c r="Q1990" t="str" cm="1">
        <f t="array" ref="Q1990:R1990">_xlfn.TEXTSPLIT(E1990," ")</f>
        <v>28.10.2023</v>
      </c>
      <c r="R1990" t="str">
        <v>09:11:30</v>
      </c>
      <c r="S1990">
        <f t="shared" si="435"/>
        <v>33.11666666666607</v>
      </c>
      <c r="T1990">
        <f t="shared" si="430"/>
        <v>33.660000000000011</v>
      </c>
      <c r="U1990">
        <f t="shared" si="433"/>
        <v>1.35</v>
      </c>
      <c r="V1990">
        <f t="shared" si="429"/>
        <v>0.82750000000000012</v>
      </c>
    </row>
    <row r="1991" spans="1:22" x14ac:dyDescent="0.25">
      <c r="A1991" t="s">
        <v>3947</v>
      </c>
      <c r="B1991">
        <v>0.6</v>
      </c>
      <c r="C1991">
        <v>33.840000000000003</v>
      </c>
      <c r="E1991" t="s">
        <v>3947</v>
      </c>
      <c r="F1991">
        <v>1.35</v>
      </c>
      <c r="G1991">
        <v>112.27</v>
      </c>
      <c r="I1991" t="str" cm="1">
        <f t="array" ref="I1991:J1991">_xlfn.TEXTSPLIT(A1991," ")</f>
        <v>28.10.2023</v>
      </c>
      <c r="J1991" t="str">
        <v>09:12:30</v>
      </c>
      <c r="K1991">
        <f t="shared" si="434"/>
        <v>33.133333333332736</v>
      </c>
      <c r="L1991">
        <f t="shared" si="431"/>
        <v>19.520000000000003</v>
      </c>
      <c r="M1991">
        <f t="shared" si="432"/>
        <v>0.6</v>
      </c>
      <c r="N1991">
        <f t="shared" si="428"/>
        <v>0.46000000000000008</v>
      </c>
      <c r="Q1991" t="str" cm="1">
        <f t="array" ref="Q1991:R1991">_xlfn.TEXTSPLIT(E1991," ")</f>
        <v>28.10.2023</v>
      </c>
      <c r="R1991" t="str">
        <v>09:12:30</v>
      </c>
      <c r="S1991">
        <f t="shared" si="435"/>
        <v>33.133333333332736</v>
      </c>
      <c r="T1991">
        <f t="shared" si="430"/>
        <v>33.67</v>
      </c>
      <c r="U1991">
        <f t="shared" si="433"/>
        <v>1.35</v>
      </c>
      <c r="V1991">
        <f t="shared" si="429"/>
        <v>0.83500000000000019</v>
      </c>
    </row>
    <row r="1992" spans="1:22" x14ac:dyDescent="0.25">
      <c r="A1992" t="s">
        <v>3948</v>
      </c>
      <c r="B1992">
        <v>0.45</v>
      </c>
      <c r="C1992">
        <v>33.85</v>
      </c>
      <c r="E1992" t="s">
        <v>3948</v>
      </c>
      <c r="F1992">
        <v>0.6</v>
      </c>
      <c r="G1992">
        <v>112.28</v>
      </c>
      <c r="I1992" t="str" cm="1">
        <f t="array" ref="I1992:J1992">_xlfn.TEXTSPLIT(A1992," ")</f>
        <v>28.10.2023</v>
      </c>
      <c r="J1992" t="str">
        <v>09:13:31</v>
      </c>
      <c r="K1992">
        <f t="shared" si="434"/>
        <v>33.149999999999402</v>
      </c>
      <c r="L1992">
        <f t="shared" si="431"/>
        <v>19.53</v>
      </c>
      <c r="M1992">
        <f t="shared" si="432"/>
        <v>0.45</v>
      </c>
      <c r="N1992">
        <f t="shared" si="428"/>
        <v>0.46000000000000008</v>
      </c>
      <c r="Q1992" t="str" cm="1">
        <f t="array" ref="Q1992:R1992">_xlfn.TEXTSPLIT(E1992," ")</f>
        <v>28.10.2023</v>
      </c>
      <c r="R1992" t="str">
        <v>09:13:31</v>
      </c>
      <c r="S1992">
        <f t="shared" si="435"/>
        <v>33.149999999999402</v>
      </c>
      <c r="T1992">
        <f t="shared" si="430"/>
        <v>33.680000000000007</v>
      </c>
      <c r="U1992">
        <f t="shared" si="433"/>
        <v>0.6</v>
      </c>
      <c r="V1992">
        <f t="shared" si="429"/>
        <v>0.8350000000000003</v>
      </c>
    </row>
    <row r="1993" spans="1:22" x14ac:dyDescent="0.25">
      <c r="A1993" t="s">
        <v>3949</v>
      </c>
      <c r="B1993">
        <v>0.45</v>
      </c>
      <c r="C1993">
        <v>33.85</v>
      </c>
      <c r="E1993" t="s">
        <v>3949</v>
      </c>
      <c r="F1993">
        <v>0.75</v>
      </c>
      <c r="G1993">
        <v>112.29</v>
      </c>
      <c r="I1993" t="str" cm="1">
        <f t="array" ref="I1993:J1993">_xlfn.TEXTSPLIT(A1993," ")</f>
        <v>28.10.2023</v>
      </c>
      <c r="J1993" t="str">
        <v>09:14:31</v>
      </c>
      <c r="K1993">
        <f t="shared" si="434"/>
        <v>33.166666666666067</v>
      </c>
      <c r="L1993">
        <f t="shared" si="431"/>
        <v>19.53</v>
      </c>
      <c r="M1993">
        <f t="shared" si="432"/>
        <v>0.45</v>
      </c>
      <c r="N1993">
        <f t="shared" si="428"/>
        <v>0.45500000000000007</v>
      </c>
      <c r="Q1993" t="str" cm="1">
        <f t="array" ref="Q1993:R1993">_xlfn.TEXTSPLIT(E1993," ")</f>
        <v>28.10.2023</v>
      </c>
      <c r="R1993" t="str">
        <v>09:14:31</v>
      </c>
      <c r="S1993">
        <f t="shared" si="435"/>
        <v>33.166666666666067</v>
      </c>
      <c r="T1993">
        <f t="shared" si="430"/>
        <v>33.690000000000012</v>
      </c>
      <c r="U1993">
        <f t="shared" si="433"/>
        <v>0.75</v>
      </c>
      <c r="V1993">
        <f t="shared" si="429"/>
        <v>0.83250000000000013</v>
      </c>
    </row>
    <row r="1994" spans="1:22" x14ac:dyDescent="0.25">
      <c r="A1994" t="s">
        <v>3950</v>
      </c>
      <c r="B1994">
        <v>0.3</v>
      </c>
      <c r="C1994">
        <v>33.86</v>
      </c>
      <c r="E1994" t="s">
        <v>3950</v>
      </c>
      <c r="F1994">
        <v>0.6</v>
      </c>
      <c r="G1994">
        <v>112.3</v>
      </c>
      <c r="I1994" t="str" cm="1">
        <f t="array" ref="I1994:J1994">_xlfn.TEXTSPLIT(A1994," ")</f>
        <v>28.10.2023</v>
      </c>
      <c r="J1994" t="str">
        <v>09:15:31</v>
      </c>
      <c r="K1994">
        <f t="shared" si="434"/>
        <v>33.183333333332733</v>
      </c>
      <c r="L1994">
        <f t="shared" si="431"/>
        <v>19.54</v>
      </c>
      <c r="M1994">
        <f t="shared" si="432"/>
        <v>0.3</v>
      </c>
      <c r="N1994">
        <f t="shared" si="428"/>
        <v>0.45250000000000001</v>
      </c>
      <c r="Q1994" t="str" cm="1">
        <f t="array" ref="Q1994:R1994">_xlfn.TEXTSPLIT(E1994," ")</f>
        <v>28.10.2023</v>
      </c>
      <c r="R1994" t="str">
        <v>09:15:31</v>
      </c>
      <c r="S1994">
        <f t="shared" si="435"/>
        <v>33.183333333332733</v>
      </c>
      <c r="T1994">
        <f t="shared" si="430"/>
        <v>33.700000000000003</v>
      </c>
      <c r="U1994">
        <f t="shared" si="433"/>
        <v>0.6</v>
      </c>
      <c r="V1994">
        <f t="shared" si="429"/>
        <v>0.83000000000000018</v>
      </c>
    </row>
    <row r="1995" spans="1:22" x14ac:dyDescent="0.25">
      <c r="A1995" t="s">
        <v>3951</v>
      </c>
      <c r="B1995">
        <v>0.45</v>
      </c>
      <c r="C1995">
        <v>33.869999999999997</v>
      </c>
      <c r="E1995" t="s">
        <v>3951</v>
      </c>
      <c r="F1995">
        <v>0.6</v>
      </c>
      <c r="G1995">
        <v>112.31</v>
      </c>
      <c r="I1995" t="str" cm="1">
        <f t="array" ref="I1995:J1995">_xlfn.TEXTSPLIT(A1995," ")</f>
        <v>28.10.2023</v>
      </c>
      <c r="J1995" t="str">
        <v>09:16:31</v>
      </c>
      <c r="K1995">
        <f t="shared" si="434"/>
        <v>33.199999999999399</v>
      </c>
      <c r="L1995">
        <f t="shared" si="431"/>
        <v>19.549999999999997</v>
      </c>
      <c r="M1995">
        <f t="shared" si="432"/>
        <v>0.45</v>
      </c>
      <c r="N1995">
        <f t="shared" si="428"/>
        <v>0.45</v>
      </c>
      <c r="Q1995" t="str" cm="1">
        <f t="array" ref="Q1995:R1995">_xlfn.TEXTSPLIT(E1995," ")</f>
        <v>28.10.2023</v>
      </c>
      <c r="R1995" t="str">
        <v>09:16:31</v>
      </c>
      <c r="S1995">
        <f t="shared" si="435"/>
        <v>33.199999999999399</v>
      </c>
      <c r="T1995">
        <f t="shared" si="430"/>
        <v>33.710000000000008</v>
      </c>
      <c r="U1995">
        <f t="shared" si="433"/>
        <v>0.6</v>
      </c>
      <c r="V1995">
        <f t="shared" si="429"/>
        <v>0.82750000000000024</v>
      </c>
    </row>
    <row r="1996" spans="1:22" x14ac:dyDescent="0.25">
      <c r="A1996" t="s">
        <v>3952</v>
      </c>
      <c r="B1996">
        <v>0.15</v>
      </c>
      <c r="C1996">
        <v>33.869999999999997</v>
      </c>
      <c r="E1996" t="s">
        <v>3952</v>
      </c>
      <c r="F1996">
        <v>0.75</v>
      </c>
      <c r="G1996">
        <v>112.32</v>
      </c>
      <c r="I1996" t="str" cm="1">
        <f t="array" ref="I1996:J1996">_xlfn.TEXTSPLIT(A1996," ")</f>
        <v>28.10.2023</v>
      </c>
      <c r="J1996" t="str">
        <v>09:17:31</v>
      </c>
      <c r="K1996">
        <f t="shared" si="434"/>
        <v>33.216666666666065</v>
      </c>
      <c r="L1996">
        <f t="shared" si="431"/>
        <v>19.549999999999997</v>
      </c>
      <c r="M1996">
        <f t="shared" si="432"/>
        <v>0.15</v>
      </c>
      <c r="N1996">
        <f t="shared" si="428"/>
        <v>0.44750000000000001</v>
      </c>
      <c r="Q1996" t="str" cm="1">
        <f t="array" ref="Q1996:R1996">_xlfn.TEXTSPLIT(E1996," ")</f>
        <v>28.10.2023</v>
      </c>
      <c r="R1996" t="str">
        <v>09:17:31</v>
      </c>
      <c r="S1996">
        <f t="shared" si="435"/>
        <v>33.216666666666065</v>
      </c>
      <c r="T1996">
        <f t="shared" si="430"/>
        <v>33.72</v>
      </c>
      <c r="U1996">
        <f t="shared" si="433"/>
        <v>0.75</v>
      </c>
      <c r="V1996">
        <f t="shared" si="429"/>
        <v>0.82000000000000028</v>
      </c>
    </row>
    <row r="1997" spans="1:22" x14ac:dyDescent="0.25">
      <c r="A1997" t="s">
        <v>3953</v>
      </c>
      <c r="B1997">
        <v>0.15</v>
      </c>
      <c r="C1997">
        <v>33.880000000000003</v>
      </c>
      <c r="E1997" t="s">
        <v>3953</v>
      </c>
      <c r="F1997">
        <v>0.9</v>
      </c>
      <c r="G1997">
        <v>112.34</v>
      </c>
      <c r="I1997" t="str" cm="1">
        <f t="array" ref="I1997:J1997">_xlfn.TEXTSPLIT(A1997," ")</f>
        <v>28.10.2023</v>
      </c>
      <c r="J1997" t="str">
        <v>09:18:31</v>
      </c>
      <c r="K1997">
        <f t="shared" si="434"/>
        <v>33.23333333333273</v>
      </c>
      <c r="L1997">
        <f t="shared" si="431"/>
        <v>19.560000000000002</v>
      </c>
      <c r="M1997">
        <f t="shared" si="432"/>
        <v>0.15</v>
      </c>
      <c r="N1997">
        <f t="shared" si="428"/>
        <v>0.45</v>
      </c>
      <c r="Q1997" t="str" cm="1">
        <f t="array" ref="Q1997:R1997">_xlfn.TEXTSPLIT(E1997," ")</f>
        <v>28.10.2023</v>
      </c>
      <c r="R1997" t="str">
        <v>09:18:31</v>
      </c>
      <c r="S1997">
        <f t="shared" si="435"/>
        <v>33.23333333333273</v>
      </c>
      <c r="T1997">
        <f t="shared" si="430"/>
        <v>33.740000000000009</v>
      </c>
      <c r="U1997">
        <f t="shared" si="433"/>
        <v>0.9</v>
      </c>
      <c r="V1997">
        <f t="shared" si="429"/>
        <v>0.81750000000000023</v>
      </c>
    </row>
    <row r="1998" spans="1:22" x14ac:dyDescent="0.25">
      <c r="A1998" t="s">
        <v>3954</v>
      </c>
      <c r="B1998">
        <v>0.3</v>
      </c>
      <c r="C1998">
        <v>33.880000000000003</v>
      </c>
      <c r="E1998" t="s">
        <v>3954</v>
      </c>
      <c r="F1998">
        <v>1.2</v>
      </c>
      <c r="G1998">
        <v>112.35</v>
      </c>
      <c r="I1998" t="str" cm="1">
        <f t="array" ref="I1998:J1998">_xlfn.TEXTSPLIT(A1998," ")</f>
        <v>28.10.2023</v>
      </c>
      <c r="J1998" t="str">
        <v>09:19:31</v>
      </c>
      <c r="K1998">
        <f t="shared" si="434"/>
        <v>33.249999999999396</v>
      </c>
      <c r="L1998">
        <f t="shared" si="431"/>
        <v>19.560000000000002</v>
      </c>
      <c r="M1998">
        <f t="shared" si="432"/>
        <v>0.3</v>
      </c>
      <c r="N1998">
        <f t="shared" si="428"/>
        <v>0.45</v>
      </c>
      <c r="Q1998" t="str" cm="1">
        <f t="array" ref="Q1998:R1998">_xlfn.TEXTSPLIT(E1998," ")</f>
        <v>28.10.2023</v>
      </c>
      <c r="R1998" t="str">
        <v>09:19:31</v>
      </c>
      <c r="S1998">
        <f t="shared" si="435"/>
        <v>33.249999999999396</v>
      </c>
      <c r="T1998">
        <f t="shared" si="430"/>
        <v>33.75</v>
      </c>
      <c r="U1998">
        <f t="shared" si="433"/>
        <v>1.2</v>
      </c>
      <c r="V1998">
        <f t="shared" si="429"/>
        <v>0.82000000000000028</v>
      </c>
    </row>
    <row r="1999" spans="1:22" x14ac:dyDescent="0.25">
      <c r="A1999" t="s">
        <v>3955</v>
      </c>
      <c r="B1999">
        <v>0.3</v>
      </c>
      <c r="C1999">
        <v>33.89</v>
      </c>
      <c r="E1999" t="s">
        <v>3955</v>
      </c>
      <c r="F1999">
        <v>0.9</v>
      </c>
      <c r="G1999">
        <v>112.36</v>
      </c>
      <c r="I1999" t="str" cm="1">
        <f t="array" ref="I1999:J1999">_xlfn.TEXTSPLIT(A1999," ")</f>
        <v>28.10.2023</v>
      </c>
      <c r="J1999" t="str">
        <v>09:20:32</v>
      </c>
      <c r="K1999">
        <f t="shared" si="434"/>
        <v>33.266666666666062</v>
      </c>
      <c r="L1999">
        <f t="shared" si="431"/>
        <v>19.57</v>
      </c>
      <c r="M1999">
        <f t="shared" si="432"/>
        <v>0.3</v>
      </c>
      <c r="N1999">
        <f t="shared" si="428"/>
        <v>0.44500000000000001</v>
      </c>
      <c r="Q1999" t="str" cm="1">
        <f t="array" ref="Q1999:R1999">_xlfn.TEXTSPLIT(E1999," ")</f>
        <v>28.10.2023</v>
      </c>
      <c r="R1999" t="str">
        <v>09:20:32</v>
      </c>
      <c r="S1999">
        <f t="shared" si="435"/>
        <v>33.266666666666062</v>
      </c>
      <c r="T1999">
        <f t="shared" si="430"/>
        <v>33.760000000000005</v>
      </c>
      <c r="U1999">
        <f t="shared" si="433"/>
        <v>0.9</v>
      </c>
      <c r="V1999">
        <f t="shared" si="429"/>
        <v>0.83000000000000018</v>
      </c>
    </row>
    <row r="2000" spans="1:22" x14ac:dyDescent="0.25">
      <c r="A2000" t="s">
        <v>3956</v>
      </c>
      <c r="B2000">
        <v>0.45</v>
      </c>
      <c r="C2000">
        <v>33.9</v>
      </c>
      <c r="E2000" t="s">
        <v>3956</v>
      </c>
      <c r="F2000">
        <v>0</v>
      </c>
      <c r="G2000">
        <v>112.36</v>
      </c>
      <c r="I2000" t="str" cm="1">
        <f t="array" ref="I2000:J2000">_xlfn.TEXTSPLIT(A2000," ")</f>
        <v>28.10.2023</v>
      </c>
      <c r="J2000" t="str">
        <v>09:21:32</v>
      </c>
      <c r="K2000">
        <f t="shared" si="434"/>
        <v>33.283333333332727</v>
      </c>
      <c r="L2000">
        <f t="shared" si="431"/>
        <v>19.579999999999998</v>
      </c>
      <c r="M2000">
        <f t="shared" si="432"/>
        <v>0.45</v>
      </c>
      <c r="N2000">
        <f t="shared" si="428"/>
        <v>0.44249999999999995</v>
      </c>
      <c r="Q2000" t="str" cm="1">
        <f t="array" ref="Q2000:R2000">_xlfn.TEXTSPLIT(E2000," ")</f>
        <v>28.10.2023</v>
      </c>
      <c r="R2000" t="str">
        <v>09:21:32</v>
      </c>
      <c r="S2000">
        <f t="shared" si="435"/>
        <v>33.283333333332727</v>
      </c>
      <c r="T2000">
        <f t="shared" si="430"/>
        <v>33.760000000000005</v>
      </c>
      <c r="U2000">
        <f t="shared" si="433"/>
        <v>0</v>
      </c>
      <c r="V2000">
        <f t="shared" si="429"/>
        <v>0.82750000000000024</v>
      </c>
    </row>
    <row r="2001" spans="1:22" x14ac:dyDescent="0.25">
      <c r="A2001" t="s">
        <v>3957</v>
      </c>
      <c r="B2001">
        <v>0.15</v>
      </c>
      <c r="C2001">
        <v>33.9</v>
      </c>
      <c r="E2001" t="s">
        <v>3957</v>
      </c>
      <c r="F2001">
        <v>0</v>
      </c>
      <c r="G2001">
        <v>112.37</v>
      </c>
      <c r="I2001" t="str" cm="1">
        <f t="array" ref="I2001:J2001">_xlfn.TEXTSPLIT(A2001," ")</f>
        <v>28.10.2023</v>
      </c>
      <c r="J2001" t="str">
        <v>09:22:32</v>
      </c>
      <c r="K2001">
        <f t="shared" si="434"/>
        <v>33.299999999999393</v>
      </c>
      <c r="L2001">
        <f t="shared" si="431"/>
        <v>19.579999999999998</v>
      </c>
      <c r="M2001">
        <f t="shared" si="432"/>
        <v>0.15</v>
      </c>
      <c r="N2001">
        <f t="shared" si="428"/>
        <v>0.44</v>
      </c>
      <c r="Q2001" t="str" cm="1">
        <f t="array" ref="Q2001:R2001">_xlfn.TEXTSPLIT(E2001," ")</f>
        <v>28.10.2023</v>
      </c>
      <c r="R2001" t="str">
        <v>09:22:32</v>
      </c>
      <c r="S2001">
        <f t="shared" si="435"/>
        <v>33.299999999999393</v>
      </c>
      <c r="T2001">
        <f t="shared" si="430"/>
        <v>33.77000000000001</v>
      </c>
      <c r="U2001">
        <f t="shared" si="433"/>
        <v>0</v>
      </c>
      <c r="V2001">
        <f t="shared" si="429"/>
        <v>0.82750000000000024</v>
      </c>
    </row>
    <row r="2002" spans="1:22" x14ac:dyDescent="0.25">
      <c r="A2002" t="s">
        <v>3958</v>
      </c>
      <c r="B2002">
        <v>0</v>
      </c>
      <c r="C2002">
        <v>33.9</v>
      </c>
      <c r="E2002" t="s">
        <v>3958</v>
      </c>
      <c r="F2002">
        <v>0.15</v>
      </c>
      <c r="G2002">
        <v>112.37</v>
      </c>
      <c r="I2002" t="str" cm="1">
        <f t="array" ref="I2002:J2002">_xlfn.TEXTSPLIT(A2002," ")</f>
        <v>28.10.2023</v>
      </c>
      <c r="J2002" t="str">
        <v>09:23:32</v>
      </c>
      <c r="K2002">
        <f t="shared" si="434"/>
        <v>33.316666666666059</v>
      </c>
      <c r="L2002">
        <f t="shared" si="431"/>
        <v>19.579999999999998</v>
      </c>
      <c r="M2002">
        <f t="shared" si="432"/>
        <v>0</v>
      </c>
      <c r="N2002">
        <f t="shared" si="428"/>
        <v>0.44</v>
      </c>
      <c r="Q2002" t="str" cm="1">
        <f t="array" ref="Q2002:R2002">_xlfn.TEXTSPLIT(E2002," ")</f>
        <v>28.10.2023</v>
      </c>
      <c r="R2002" t="str">
        <v>09:23:32</v>
      </c>
      <c r="S2002">
        <f t="shared" si="435"/>
        <v>33.316666666666059</v>
      </c>
      <c r="T2002">
        <f t="shared" si="430"/>
        <v>33.77000000000001</v>
      </c>
      <c r="U2002">
        <f t="shared" si="433"/>
        <v>0.15</v>
      </c>
      <c r="V2002">
        <f t="shared" si="429"/>
        <v>0.82750000000000024</v>
      </c>
    </row>
    <row r="2003" spans="1:22" x14ac:dyDescent="0.25">
      <c r="A2003" t="s">
        <v>3959</v>
      </c>
      <c r="B2003">
        <v>0</v>
      </c>
      <c r="C2003">
        <v>33.9</v>
      </c>
      <c r="E2003" t="s">
        <v>3959</v>
      </c>
      <c r="F2003">
        <v>0.15</v>
      </c>
      <c r="G2003">
        <v>112.38</v>
      </c>
      <c r="I2003" t="str" cm="1">
        <f t="array" ref="I2003:J2003">_xlfn.TEXTSPLIT(A2003," ")</f>
        <v>28.10.2023</v>
      </c>
      <c r="J2003" t="str">
        <v>09:24:32</v>
      </c>
      <c r="K2003">
        <f t="shared" si="434"/>
        <v>33.333333333332725</v>
      </c>
      <c r="L2003">
        <f t="shared" si="431"/>
        <v>19.579999999999998</v>
      </c>
      <c r="M2003">
        <f t="shared" si="432"/>
        <v>0</v>
      </c>
      <c r="N2003">
        <f t="shared" si="428"/>
        <v>0.44</v>
      </c>
      <c r="Q2003" t="str" cm="1">
        <f t="array" ref="Q2003:R2003">_xlfn.TEXTSPLIT(E2003," ")</f>
        <v>28.10.2023</v>
      </c>
      <c r="R2003" t="str">
        <v>09:24:32</v>
      </c>
      <c r="S2003">
        <f t="shared" si="435"/>
        <v>33.333333333332725</v>
      </c>
      <c r="T2003">
        <f t="shared" si="430"/>
        <v>33.78</v>
      </c>
      <c r="U2003">
        <f t="shared" si="433"/>
        <v>0.15</v>
      </c>
      <c r="V2003">
        <f t="shared" si="429"/>
        <v>0.82500000000000007</v>
      </c>
    </row>
    <row r="2004" spans="1:22" x14ac:dyDescent="0.25">
      <c r="A2004" t="s">
        <v>3960</v>
      </c>
      <c r="B2004">
        <v>0</v>
      </c>
      <c r="C2004">
        <v>33.9</v>
      </c>
      <c r="E2004" t="s">
        <v>3960</v>
      </c>
      <c r="F2004">
        <v>0.45</v>
      </c>
      <c r="G2004">
        <v>112.38</v>
      </c>
      <c r="I2004" t="str" cm="1">
        <f t="array" ref="I2004:J2004">_xlfn.TEXTSPLIT(A2004," ")</f>
        <v>28.10.2023</v>
      </c>
      <c r="J2004" t="str">
        <v>09:25:32</v>
      </c>
      <c r="K2004">
        <f t="shared" si="434"/>
        <v>33.34999999999939</v>
      </c>
      <c r="L2004">
        <f t="shared" si="431"/>
        <v>19.579999999999998</v>
      </c>
      <c r="M2004">
        <f t="shared" si="432"/>
        <v>0</v>
      </c>
      <c r="N2004">
        <f t="shared" si="428"/>
        <v>0.44</v>
      </c>
      <c r="Q2004" t="str" cm="1">
        <f t="array" ref="Q2004:R2004">_xlfn.TEXTSPLIT(E2004," ")</f>
        <v>28.10.2023</v>
      </c>
      <c r="R2004" t="str">
        <v>09:25:32</v>
      </c>
      <c r="S2004">
        <f t="shared" si="435"/>
        <v>33.34999999999939</v>
      </c>
      <c r="T2004">
        <f t="shared" si="430"/>
        <v>33.78</v>
      </c>
      <c r="U2004">
        <f t="shared" si="433"/>
        <v>0.45</v>
      </c>
      <c r="V2004">
        <f t="shared" si="429"/>
        <v>0.83000000000000018</v>
      </c>
    </row>
    <row r="2005" spans="1:22" x14ac:dyDescent="0.25">
      <c r="A2005" t="s">
        <v>3961</v>
      </c>
      <c r="B2005">
        <v>0</v>
      </c>
      <c r="C2005">
        <v>33.9</v>
      </c>
      <c r="E2005" t="s">
        <v>3961</v>
      </c>
      <c r="F2005">
        <v>0.45</v>
      </c>
      <c r="G2005">
        <v>112.39</v>
      </c>
      <c r="I2005" t="str" cm="1">
        <f t="array" ref="I2005:J2005">_xlfn.TEXTSPLIT(A2005," ")</f>
        <v>28.10.2023</v>
      </c>
      <c r="J2005" t="str">
        <v>09:26:32</v>
      </c>
      <c r="K2005">
        <f t="shared" si="434"/>
        <v>33.366666666666056</v>
      </c>
      <c r="L2005">
        <f t="shared" si="431"/>
        <v>19.579999999999998</v>
      </c>
      <c r="M2005">
        <f t="shared" si="432"/>
        <v>0</v>
      </c>
      <c r="N2005">
        <f t="shared" si="428"/>
        <v>0.44</v>
      </c>
      <c r="Q2005" t="str" cm="1">
        <f t="array" ref="Q2005:R2005">_xlfn.TEXTSPLIT(E2005," ")</f>
        <v>28.10.2023</v>
      </c>
      <c r="R2005" t="str">
        <v>09:26:32</v>
      </c>
      <c r="S2005">
        <f t="shared" si="435"/>
        <v>33.366666666666056</v>
      </c>
      <c r="T2005">
        <f t="shared" si="430"/>
        <v>33.790000000000006</v>
      </c>
      <c r="U2005">
        <f t="shared" si="433"/>
        <v>0.45</v>
      </c>
      <c r="V2005">
        <f t="shared" si="429"/>
        <v>0.83250000000000024</v>
      </c>
    </row>
    <row r="2006" spans="1:22" x14ac:dyDescent="0.25">
      <c r="A2006" t="s">
        <v>3962</v>
      </c>
      <c r="B2006">
        <v>0</v>
      </c>
      <c r="C2006">
        <v>33.9</v>
      </c>
      <c r="E2006" t="s">
        <v>3962</v>
      </c>
      <c r="F2006">
        <v>0.45</v>
      </c>
      <c r="G2006">
        <v>112.4</v>
      </c>
      <c r="I2006" t="str" cm="1">
        <f t="array" ref="I2006:J2006">_xlfn.TEXTSPLIT(A2006," ")</f>
        <v>28.10.2023</v>
      </c>
      <c r="J2006" t="str">
        <v>09:27:33</v>
      </c>
      <c r="K2006">
        <f t="shared" si="434"/>
        <v>33.383333333332722</v>
      </c>
      <c r="L2006">
        <f t="shared" si="431"/>
        <v>19.579999999999998</v>
      </c>
      <c r="M2006">
        <f t="shared" si="432"/>
        <v>0</v>
      </c>
      <c r="N2006">
        <f t="shared" si="428"/>
        <v>0.44</v>
      </c>
      <c r="Q2006" t="str" cm="1">
        <f t="array" ref="Q2006:R2006">_xlfn.TEXTSPLIT(E2006," ")</f>
        <v>28.10.2023</v>
      </c>
      <c r="R2006" t="str">
        <v>09:27:33</v>
      </c>
      <c r="S2006">
        <f t="shared" si="435"/>
        <v>33.383333333332722</v>
      </c>
      <c r="T2006">
        <f t="shared" si="430"/>
        <v>33.800000000000011</v>
      </c>
      <c r="U2006">
        <f t="shared" si="433"/>
        <v>0.45</v>
      </c>
      <c r="V2006">
        <f t="shared" si="429"/>
        <v>0.83250000000000024</v>
      </c>
    </row>
    <row r="2007" spans="1:22" x14ac:dyDescent="0.25">
      <c r="A2007" t="s">
        <v>3963</v>
      </c>
      <c r="B2007">
        <v>0</v>
      </c>
      <c r="C2007">
        <v>33.9</v>
      </c>
      <c r="E2007" t="s">
        <v>3963</v>
      </c>
      <c r="F2007">
        <v>0.45</v>
      </c>
      <c r="G2007">
        <v>112.41</v>
      </c>
      <c r="I2007" t="str" cm="1">
        <f t="array" ref="I2007:J2007">_xlfn.TEXTSPLIT(A2007," ")</f>
        <v>28.10.2023</v>
      </c>
      <c r="J2007" t="str">
        <v>09:28:33</v>
      </c>
      <c r="K2007">
        <f t="shared" si="434"/>
        <v>33.399999999999388</v>
      </c>
      <c r="L2007">
        <f t="shared" si="431"/>
        <v>19.579999999999998</v>
      </c>
      <c r="M2007">
        <f t="shared" si="432"/>
        <v>0</v>
      </c>
      <c r="N2007">
        <f t="shared" si="428"/>
        <v>0.44</v>
      </c>
      <c r="Q2007" t="str" cm="1">
        <f t="array" ref="Q2007:R2007">_xlfn.TEXTSPLIT(E2007," ")</f>
        <v>28.10.2023</v>
      </c>
      <c r="R2007" t="str">
        <v>09:28:33</v>
      </c>
      <c r="S2007">
        <f t="shared" si="435"/>
        <v>33.399999999999388</v>
      </c>
      <c r="T2007">
        <f t="shared" si="430"/>
        <v>33.81</v>
      </c>
      <c r="U2007">
        <f t="shared" si="433"/>
        <v>0.45</v>
      </c>
      <c r="V2007">
        <f t="shared" si="429"/>
        <v>0.83250000000000035</v>
      </c>
    </row>
    <row r="2008" spans="1:22" x14ac:dyDescent="0.25">
      <c r="A2008" t="s">
        <v>3964</v>
      </c>
      <c r="B2008">
        <v>0</v>
      </c>
      <c r="C2008">
        <v>33.9</v>
      </c>
      <c r="E2008" t="s">
        <v>3964</v>
      </c>
      <c r="F2008">
        <v>0.45</v>
      </c>
      <c r="G2008">
        <v>112.42</v>
      </c>
      <c r="I2008" t="str" cm="1">
        <f t="array" ref="I2008:J2008">_xlfn.TEXTSPLIT(A2008," ")</f>
        <v>28.10.2023</v>
      </c>
      <c r="J2008" t="str">
        <v>09:29:33</v>
      </c>
      <c r="K2008">
        <f t="shared" si="434"/>
        <v>33.416666666666053</v>
      </c>
      <c r="L2008">
        <f t="shared" si="431"/>
        <v>19.579999999999998</v>
      </c>
      <c r="M2008">
        <f t="shared" si="432"/>
        <v>0</v>
      </c>
      <c r="N2008">
        <f t="shared" si="428"/>
        <v>0.44</v>
      </c>
      <c r="Q2008" t="str" cm="1">
        <f t="array" ref="Q2008:R2008">_xlfn.TEXTSPLIT(E2008," ")</f>
        <v>28.10.2023</v>
      </c>
      <c r="R2008" t="str">
        <v>09:29:33</v>
      </c>
      <c r="S2008">
        <f t="shared" si="435"/>
        <v>33.416666666666053</v>
      </c>
      <c r="T2008">
        <f t="shared" si="430"/>
        <v>33.820000000000007</v>
      </c>
      <c r="U2008">
        <f t="shared" si="433"/>
        <v>0.45</v>
      </c>
      <c r="V2008">
        <f t="shared" si="429"/>
        <v>0.83250000000000035</v>
      </c>
    </row>
    <row r="2009" spans="1:22" x14ac:dyDescent="0.25">
      <c r="A2009" t="s">
        <v>3965</v>
      </c>
      <c r="B2009">
        <v>0</v>
      </c>
      <c r="C2009">
        <v>33.9</v>
      </c>
      <c r="E2009" t="s">
        <v>3965</v>
      </c>
      <c r="F2009">
        <v>0.75</v>
      </c>
      <c r="G2009">
        <v>112.42</v>
      </c>
      <c r="I2009" t="str" cm="1">
        <f t="array" ref="I2009:J2009">_xlfn.TEXTSPLIT(A2009," ")</f>
        <v>28.10.2023</v>
      </c>
      <c r="J2009" t="str">
        <v>09:30:33</v>
      </c>
      <c r="K2009">
        <f t="shared" si="434"/>
        <v>33.433333333332719</v>
      </c>
      <c r="L2009">
        <f t="shared" si="431"/>
        <v>19.579999999999998</v>
      </c>
      <c r="M2009">
        <f t="shared" si="432"/>
        <v>0</v>
      </c>
      <c r="N2009">
        <f t="shared" si="428"/>
        <v>0.4375</v>
      </c>
      <c r="Q2009" t="str" cm="1">
        <f t="array" ref="Q2009:R2009">_xlfn.TEXTSPLIT(E2009," ")</f>
        <v>28.10.2023</v>
      </c>
      <c r="R2009" t="str">
        <v>09:30:33</v>
      </c>
      <c r="S2009">
        <f t="shared" si="435"/>
        <v>33.433333333332719</v>
      </c>
      <c r="T2009">
        <f t="shared" si="430"/>
        <v>33.820000000000007</v>
      </c>
      <c r="U2009">
        <f t="shared" si="433"/>
        <v>0.75</v>
      </c>
      <c r="V2009">
        <f t="shared" si="429"/>
        <v>0.83500000000000041</v>
      </c>
    </row>
    <row r="2010" spans="1:22" x14ac:dyDescent="0.25">
      <c r="A2010" t="s">
        <v>3966</v>
      </c>
      <c r="B2010">
        <v>0</v>
      </c>
      <c r="C2010">
        <v>33.9</v>
      </c>
      <c r="E2010" t="s">
        <v>3966</v>
      </c>
      <c r="F2010">
        <v>0.45</v>
      </c>
      <c r="G2010">
        <v>112.44</v>
      </c>
      <c r="I2010" t="str" cm="1">
        <f t="array" ref="I2010:J2010">_xlfn.TEXTSPLIT(A2010," ")</f>
        <v>28.10.2023</v>
      </c>
      <c r="J2010" t="str">
        <v>09:31:33</v>
      </c>
      <c r="K2010">
        <f t="shared" si="434"/>
        <v>33.449999999999385</v>
      </c>
      <c r="L2010">
        <f t="shared" si="431"/>
        <v>19.579999999999998</v>
      </c>
      <c r="M2010">
        <f t="shared" si="432"/>
        <v>0</v>
      </c>
      <c r="N2010">
        <f t="shared" si="428"/>
        <v>0.43499999999999994</v>
      </c>
      <c r="Q2010" t="str" cm="1">
        <f t="array" ref="Q2010:R2010">_xlfn.TEXTSPLIT(E2010," ")</f>
        <v>28.10.2023</v>
      </c>
      <c r="R2010" t="str">
        <v>09:31:33</v>
      </c>
      <c r="S2010">
        <f t="shared" si="435"/>
        <v>33.449999999999385</v>
      </c>
      <c r="T2010">
        <f t="shared" si="430"/>
        <v>33.840000000000003</v>
      </c>
      <c r="U2010">
        <f t="shared" si="433"/>
        <v>0.45</v>
      </c>
      <c r="V2010">
        <f t="shared" si="429"/>
        <v>0.8300000000000004</v>
      </c>
    </row>
    <row r="2011" spans="1:22" x14ac:dyDescent="0.25">
      <c r="A2011" t="s">
        <v>3967</v>
      </c>
      <c r="B2011">
        <v>0.3</v>
      </c>
      <c r="C2011">
        <v>33.9</v>
      </c>
      <c r="E2011" t="s">
        <v>3967</v>
      </c>
      <c r="F2011">
        <v>0.75</v>
      </c>
      <c r="G2011">
        <v>112.45</v>
      </c>
      <c r="I2011" t="str" cm="1">
        <f t="array" ref="I2011:J2011">_xlfn.TEXTSPLIT(A2011," ")</f>
        <v>28.10.2023</v>
      </c>
      <c r="J2011" t="str">
        <v>09:32:33</v>
      </c>
      <c r="K2011">
        <f t="shared" si="434"/>
        <v>33.46666666666605</v>
      </c>
      <c r="L2011">
        <f t="shared" si="431"/>
        <v>19.579999999999998</v>
      </c>
      <c r="M2011">
        <f t="shared" si="432"/>
        <v>0.3</v>
      </c>
      <c r="N2011">
        <f t="shared" si="428"/>
        <v>0.4325</v>
      </c>
      <c r="Q2011" t="str" cm="1">
        <f t="array" ref="Q2011:R2011">_xlfn.TEXTSPLIT(E2011," ")</f>
        <v>28.10.2023</v>
      </c>
      <c r="R2011" t="str">
        <v>09:32:33</v>
      </c>
      <c r="S2011">
        <f t="shared" si="435"/>
        <v>33.46666666666605</v>
      </c>
      <c r="T2011">
        <f t="shared" si="430"/>
        <v>33.850000000000009</v>
      </c>
      <c r="U2011">
        <f t="shared" si="433"/>
        <v>0.75</v>
      </c>
      <c r="V2011">
        <f t="shared" si="429"/>
        <v>0.82750000000000035</v>
      </c>
    </row>
    <row r="2012" spans="1:22" x14ac:dyDescent="0.25">
      <c r="A2012" t="s">
        <v>3968</v>
      </c>
      <c r="B2012">
        <v>0</v>
      </c>
      <c r="C2012">
        <v>33.9</v>
      </c>
      <c r="E2012" t="s">
        <v>3968</v>
      </c>
      <c r="F2012">
        <v>0.75</v>
      </c>
      <c r="G2012">
        <v>112.46</v>
      </c>
      <c r="I2012" t="str" cm="1">
        <f t="array" ref="I2012:J2012">_xlfn.TEXTSPLIT(A2012," ")</f>
        <v>28.10.2023</v>
      </c>
      <c r="J2012" t="str">
        <v>09:33:34</v>
      </c>
      <c r="K2012">
        <f t="shared" si="434"/>
        <v>33.483333333332716</v>
      </c>
      <c r="L2012">
        <f t="shared" si="431"/>
        <v>19.579999999999998</v>
      </c>
      <c r="M2012">
        <f t="shared" si="432"/>
        <v>0</v>
      </c>
      <c r="N2012">
        <f t="shared" si="428"/>
        <v>0.42749999999999999</v>
      </c>
      <c r="Q2012" t="str" cm="1">
        <f t="array" ref="Q2012:R2012">_xlfn.TEXTSPLIT(E2012," ")</f>
        <v>28.10.2023</v>
      </c>
      <c r="R2012" t="str">
        <v>09:33:34</v>
      </c>
      <c r="S2012">
        <f t="shared" si="435"/>
        <v>33.483333333332716</v>
      </c>
      <c r="T2012">
        <f t="shared" si="430"/>
        <v>33.86</v>
      </c>
      <c r="U2012">
        <f t="shared" si="433"/>
        <v>0.75</v>
      </c>
      <c r="V2012">
        <f t="shared" si="429"/>
        <v>0.8200000000000004</v>
      </c>
    </row>
    <row r="2013" spans="1:22" x14ac:dyDescent="0.25">
      <c r="A2013" t="s">
        <v>3969</v>
      </c>
      <c r="B2013">
        <v>0.15</v>
      </c>
      <c r="C2013">
        <v>33.909999999999997</v>
      </c>
      <c r="E2013" t="s">
        <v>3969</v>
      </c>
      <c r="F2013">
        <v>1.05</v>
      </c>
      <c r="G2013">
        <v>112.48</v>
      </c>
      <c r="I2013" t="str" cm="1">
        <f t="array" ref="I2013:J2013">_xlfn.TEXTSPLIT(A2013," ")</f>
        <v>28.10.2023</v>
      </c>
      <c r="J2013" t="str">
        <v>09:34:34</v>
      </c>
      <c r="K2013">
        <f t="shared" si="434"/>
        <v>33.499999999999382</v>
      </c>
      <c r="L2013">
        <f t="shared" si="431"/>
        <v>19.589999999999996</v>
      </c>
      <c r="M2013">
        <f t="shared" si="432"/>
        <v>0.15</v>
      </c>
      <c r="N2013">
        <f t="shared" si="428"/>
        <v>0.42499999999999993</v>
      </c>
      <c r="Q2013" t="str" cm="1">
        <f t="array" ref="Q2013:R2013">_xlfn.TEXTSPLIT(E2013," ")</f>
        <v>28.10.2023</v>
      </c>
      <c r="R2013" t="str">
        <v>09:34:34</v>
      </c>
      <c r="S2013">
        <f t="shared" si="435"/>
        <v>33.499999999999382</v>
      </c>
      <c r="T2013">
        <f t="shared" si="430"/>
        <v>33.88000000000001</v>
      </c>
      <c r="U2013">
        <f t="shared" si="433"/>
        <v>1.05</v>
      </c>
      <c r="V2013">
        <f t="shared" si="429"/>
        <v>0.8200000000000004</v>
      </c>
    </row>
    <row r="2014" spans="1:22" x14ac:dyDescent="0.25">
      <c r="A2014" t="s">
        <v>3970</v>
      </c>
      <c r="B2014">
        <v>0.15</v>
      </c>
      <c r="C2014">
        <v>33.909999999999997</v>
      </c>
      <c r="E2014" t="s">
        <v>3970</v>
      </c>
      <c r="F2014">
        <v>1.05</v>
      </c>
      <c r="G2014">
        <v>112.51</v>
      </c>
      <c r="I2014" t="str" cm="1">
        <f t="array" ref="I2014:J2014">_xlfn.TEXTSPLIT(A2014," ")</f>
        <v>28.10.2023</v>
      </c>
      <c r="J2014" t="str">
        <v>09:35:34</v>
      </c>
      <c r="K2014">
        <f t="shared" si="434"/>
        <v>33.516666666666048</v>
      </c>
      <c r="L2014">
        <f t="shared" si="431"/>
        <v>19.589999999999996</v>
      </c>
      <c r="M2014">
        <f t="shared" si="432"/>
        <v>0.15</v>
      </c>
      <c r="N2014">
        <f t="shared" si="428"/>
        <v>0.42499999999999988</v>
      </c>
      <c r="Q2014" t="str" cm="1">
        <f t="array" ref="Q2014:R2014">_xlfn.TEXTSPLIT(E2014," ")</f>
        <v>28.10.2023</v>
      </c>
      <c r="R2014" t="str">
        <v>09:35:34</v>
      </c>
      <c r="S2014">
        <f t="shared" si="435"/>
        <v>33.516666666666048</v>
      </c>
      <c r="T2014">
        <f t="shared" si="430"/>
        <v>33.910000000000011</v>
      </c>
      <c r="U2014">
        <f t="shared" si="433"/>
        <v>1.05</v>
      </c>
      <c r="V2014">
        <f t="shared" si="429"/>
        <v>0.8250000000000004</v>
      </c>
    </row>
    <row r="2015" spans="1:22" x14ac:dyDescent="0.25">
      <c r="A2015" t="s">
        <v>3971</v>
      </c>
      <c r="B2015">
        <v>0.3</v>
      </c>
      <c r="C2015">
        <v>33.93</v>
      </c>
      <c r="E2015" t="s">
        <v>3971</v>
      </c>
      <c r="F2015">
        <v>1.95</v>
      </c>
      <c r="G2015">
        <v>112.54</v>
      </c>
      <c r="I2015" t="str" cm="1">
        <f t="array" ref="I2015:J2015">_xlfn.TEXTSPLIT(A2015," ")</f>
        <v>28.10.2023</v>
      </c>
      <c r="J2015" t="str">
        <v>09:36:34</v>
      </c>
      <c r="K2015">
        <f t="shared" si="434"/>
        <v>33.533333333332713</v>
      </c>
      <c r="L2015">
        <f t="shared" si="431"/>
        <v>19.61</v>
      </c>
      <c r="M2015">
        <f t="shared" si="432"/>
        <v>0.3</v>
      </c>
      <c r="N2015">
        <f t="shared" si="428"/>
        <v>0.42749999999999994</v>
      </c>
      <c r="Q2015" t="str" cm="1">
        <f t="array" ref="Q2015:R2015">_xlfn.TEXTSPLIT(E2015," ")</f>
        <v>28.10.2023</v>
      </c>
      <c r="R2015" t="str">
        <v>09:36:34</v>
      </c>
      <c r="S2015">
        <f t="shared" si="435"/>
        <v>33.533333333332713</v>
      </c>
      <c r="T2015">
        <f t="shared" si="430"/>
        <v>33.940000000000012</v>
      </c>
      <c r="U2015">
        <f t="shared" si="433"/>
        <v>1.95</v>
      </c>
      <c r="V2015">
        <f t="shared" si="429"/>
        <v>0.83000000000000029</v>
      </c>
    </row>
    <row r="2016" spans="1:22" x14ac:dyDescent="0.25">
      <c r="A2016" t="s">
        <v>3972</v>
      </c>
      <c r="B2016">
        <v>1.95</v>
      </c>
      <c r="C2016">
        <v>33.97</v>
      </c>
      <c r="E2016" t="s">
        <v>3972</v>
      </c>
      <c r="F2016">
        <v>1.95</v>
      </c>
      <c r="G2016">
        <v>112.58</v>
      </c>
      <c r="I2016" t="str" cm="1">
        <f t="array" ref="I2016:J2016">_xlfn.TEXTSPLIT(A2016," ")</f>
        <v>28.10.2023</v>
      </c>
      <c r="J2016" t="str">
        <v>09:37:34</v>
      </c>
      <c r="K2016">
        <f t="shared" si="434"/>
        <v>33.549999999999379</v>
      </c>
      <c r="L2016">
        <f t="shared" si="431"/>
        <v>19.649999999999999</v>
      </c>
      <c r="M2016">
        <f t="shared" si="432"/>
        <v>1.95</v>
      </c>
      <c r="N2016">
        <f t="shared" si="428"/>
        <v>0.43499999999999989</v>
      </c>
      <c r="Q2016" t="str" cm="1">
        <f t="array" ref="Q2016:R2016">_xlfn.TEXTSPLIT(E2016," ")</f>
        <v>28.10.2023</v>
      </c>
      <c r="R2016" t="str">
        <v>09:37:34</v>
      </c>
      <c r="S2016">
        <f t="shared" si="435"/>
        <v>33.549999999999379</v>
      </c>
      <c r="T2016">
        <f t="shared" si="430"/>
        <v>33.980000000000004</v>
      </c>
      <c r="U2016">
        <f t="shared" si="433"/>
        <v>1.95</v>
      </c>
      <c r="V2016">
        <f t="shared" si="429"/>
        <v>0.81750000000000045</v>
      </c>
    </row>
    <row r="2017" spans="1:22" x14ac:dyDescent="0.25">
      <c r="A2017" t="s">
        <v>3973</v>
      </c>
      <c r="B2017">
        <v>1.95</v>
      </c>
      <c r="C2017">
        <v>33.99</v>
      </c>
      <c r="E2017" t="s">
        <v>3973</v>
      </c>
      <c r="F2017">
        <v>2.1</v>
      </c>
      <c r="G2017">
        <v>112.61</v>
      </c>
      <c r="I2017" t="str" cm="1">
        <f t="array" ref="I2017:J2017">_xlfn.TEXTSPLIT(A2017," ")</f>
        <v>28.10.2023</v>
      </c>
      <c r="J2017" t="str">
        <v>09:38:34</v>
      </c>
      <c r="K2017">
        <f t="shared" si="434"/>
        <v>33.566666666666045</v>
      </c>
      <c r="L2017">
        <f t="shared" si="431"/>
        <v>19.670000000000002</v>
      </c>
      <c r="M2017">
        <f t="shared" si="432"/>
        <v>1.95</v>
      </c>
      <c r="N2017">
        <f t="shared" si="428"/>
        <v>0.42499999999999988</v>
      </c>
      <c r="Q2017" t="str" cm="1">
        <f t="array" ref="Q2017:R2017">_xlfn.TEXTSPLIT(E2017," ")</f>
        <v>28.10.2023</v>
      </c>
      <c r="R2017" t="str">
        <v>09:38:34</v>
      </c>
      <c r="S2017">
        <f t="shared" si="435"/>
        <v>33.566666666666045</v>
      </c>
      <c r="T2017">
        <f t="shared" si="430"/>
        <v>34.010000000000005</v>
      </c>
      <c r="U2017">
        <f t="shared" si="433"/>
        <v>2.1</v>
      </c>
      <c r="V2017">
        <f t="shared" si="429"/>
        <v>0.81250000000000033</v>
      </c>
    </row>
    <row r="2018" spans="1:22" x14ac:dyDescent="0.25">
      <c r="A2018" t="s">
        <v>3974</v>
      </c>
      <c r="B2018">
        <v>1.65</v>
      </c>
      <c r="C2018">
        <v>34.020000000000003</v>
      </c>
      <c r="E2018" t="s">
        <v>3974</v>
      </c>
      <c r="F2018">
        <v>2.4</v>
      </c>
      <c r="G2018">
        <v>112.64</v>
      </c>
      <c r="I2018" t="str" cm="1">
        <f t="array" ref="I2018:J2018">_xlfn.TEXTSPLIT(A2018," ")</f>
        <v>28.10.2023</v>
      </c>
      <c r="J2018" t="str">
        <v>09:39:34</v>
      </c>
      <c r="K2018">
        <f t="shared" si="434"/>
        <v>33.58333333333271</v>
      </c>
      <c r="L2018">
        <f t="shared" si="431"/>
        <v>19.700000000000003</v>
      </c>
      <c r="M2018">
        <f t="shared" si="432"/>
        <v>1.65</v>
      </c>
      <c r="N2018">
        <f t="shared" si="428"/>
        <v>0.41999999999999987</v>
      </c>
      <c r="Q2018" t="str" cm="1">
        <f t="array" ref="Q2018:R2018">_xlfn.TEXTSPLIT(E2018," ")</f>
        <v>28.10.2023</v>
      </c>
      <c r="R2018" t="str">
        <v>09:39:34</v>
      </c>
      <c r="S2018">
        <f t="shared" si="435"/>
        <v>33.58333333333271</v>
      </c>
      <c r="T2018">
        <f t="shared" si="430"/>
        <v>34.040000000000006</v>
      </c>
      <c r="U2018">
        <f t="shared" si="433"/>
        <v>2.4</v>
      </c>
      <c r="V2018">
        <f t="shared" si="429"/>
        <v>0.83500000000000041</v>
      </c>
    </row>
    <row r="2019" spans="1:22" x14ac:dyDescent="0.25">
      <c r="A2019" t="s">
        <v>3975</v>
      </c>
      <c r="B2019">
        <v>1.65</v>
      </c>
      <c r="C2019">
        <v>34.049999999999997</v>
      </c>
      <c r="E2019" t="s">
        <v>3975</v>
      </c>
      <c r="F2019">
        <v>1.35</v>
      </c>
      <c r="G2019">
        <v>112.66</v>
      </c>
      <c r="I2019" t="str" cm="1">
        <f t="array" ref="I2019:J2019">_xlfn.TEXTSPLIT(A2019," ")</f>
        <v>28.10.2023</v>
      </c>
      <c r="J2019" t="str">
        <v>09:40:35</v>
      </c>
      <c r="K2019">
        <f t="shared" si="434"/>
        <v>33.599999999999376</v>
      </c>
      <c r="L2019">
        <f t="shared" si="431"/>
        <v>19.729999999999997</v>
      </c>
      <c r="M2019">
        <f t="shared" si="432"/>
        <v>1.65</v>
      </c>
      <c r="N2019">
        <f t="shared" si="428"/>
        <v>0.43499999999999978</v>
      </c>
      <c r="Q2019" t="str" cm="1">
        <f t="array" ref="Q2019:R2019">_xlfn.TEXTSPLIT(E2019," ")</f>
        <v>28.10.2023</v>
      </c>
      <c r="R2019" t="str">
        <v>09:40:35</v>
      </c>
      <c r="S2019">
        <f t="shared" si="435"/>
        <v>33.599999999999376</v>
      </c>
      <c r="T2019">
        <f t="shared" si="430"/>
        <v>34.06</v>
      </c>
      <c r="U2019">
        <f t="shared" si="433"/>
        <v>1.35</v>
      </c>
      <c r="V2019">
        <f t="shared" si="429"/>
        <v>0.84250000000000036</v>
      </c>
    </row>
    <row r="2020" spans="1:22" x14ac:dyDescent="0.25">
      <c r="A2020" t="s">
        <v>3976</v>
      </c>
      <c r="B2020">
        <v>1.35</v>
      </c>
      <c r="C2020">
        <v>34.06</v>
      </c>
      <c r="E2020" t="s">
        <v>3976</v>
      </c>
      <c r="F2020">
        <v>1.2</v>
      </c>
      <c r="G2020">
        <v>112.68</v>
      </c>
      <c r="I2020" t="str" cm="1">
        <f t="array" ref="I2020:J2020">_xlfn.TEXTSPLIT(A2020," ")</f>
        <v>28.10.2023</v>
      </c>
      <c r="J2020" t="str">
        <v>09:41:35</v>
      </c>
      <c r="K2020">
        <f t="shared" si="434"/>
        <v>33.616666666666042</v>
      </c>
      <c r="L2020">
        <f t="shared" si="431"/>
        <v>19.740000000000002</v>
      </c>
      <c r="M2020">
        <f t="shared" si="432"/>
        <v>1.35</v>
      </c>
      <c r="N2020">
        <f t="shared" si="428"/>
        <v>0.44499999999999995</v>
      </c>
      <c r="Q2020" t="str" cm="1">
        <f t="array" ref="Q2020:R2020">_xlfn.TEXTSPLIT(E2020," ")</f>
        <v>28.10.2023</v>
      </c>
      <c r="R2020" t="str">
        <v>09:41:35</v>
      </c>
      <c r="S2020">
        <f t="shared" si="435"/>
        <v>33.616666666666042</v>
      </c>
      <c r="T2020">
        <f t="shared" si="430"/>
        <v>34.080000000000013</v>
      </c>
      <c r="U2020">
        <f t="shared" si="433"/>
        <v>1.2</v>
      </c>
      <c r="V2020">
        <f t="shared" si="429"/>
        <v>0.85250000000000037</v>
      </c>
    </row>
    <row r="2021" spans="1:22" x14ac:dyDescent="0.25">
      <c r="A2021" t="s">
        <v>3977</v>
      </c>
      <c r="B2021">
        <v>0.9</v>
      </c>
      <c r="C2021">
        <v>34.08</v>
      </c>
      <c r="E2021" t="s">
        <v>3977</v>
      </c>
      <c r="F2021">
        <v>1.2</v>
      </c>
      <c r="G2021">
        <v>112.7</v>
      </c>
      <c r="I2021" t="str" cm="1">
        <f t="array" ref="I2021:J2021">_xlfn.TEXTSPLIT(A2021," ")</f>
        <v>28.10.2023</v>
      </c>
      <c r="J2021" t="str">
        <v>09:42:35</v>
      </c>
      <c r="K2021">
        <f t="shared" si="434"/>
        <v>33.633333333332708</v>
      </c>
      <c r="L2021">
        <f t="shared" si="431"/>
        <v>19.759999999999998</v>
      </c>
      <c r="M2021">
        <f t="shared" si="432"/>
        <v>0.9</v>
      </c>
      <c r="N2021">
        <f t="shared" si="428"/>
        <v>0.4549999999999999</v>
      </c>
      <c r="Q2021" t="str" cm="1">
        <f t="array" ref="Q2021:R2021">_xlfn.TEXTSPLIT(E2021," ")</f>
        <v>28.10.2023</v>
      </c>
      <c r="R2021" t="str">
        <v>09:42:35</v>
      </c>
      <c r="S2021">
        <f t="shared" si="435"/>
        <v>33.633333333332708</v>
      </c>
      <c r="T2021">
        <f t="shared" si="430"/>
        <v>34.100000000000009</v>
      </c>
      <c r="U2021">
        <f t="shared" si="433"/>
        <v>1.2</v>
      </c>
      <c r="V2021">
        <f t="shared" si="429"/>
        <v>0.85750000000000037</v>
      </c>
    </row>
    <row r="2022" spans="1:22" x14ac:dyDescent="0.25">
      <c r="A2022" t="s">
        <v>3978</v>
      </c>
      <c r="B2022">
        <v>0.75</v>
      </c>
      <c r="C2022">
        <v>34.090000000000003</v>
      </c>
      <c r="E2022" t="s">
        <v>3978</v>
      </c>
      <c r="F2022">
        <v>1.65</v>
      </c>
      <c r="G2022">
        <v>112.73</v>
      </c>
      <c r="I2022" t="str" cm="1">
        <f t="array" ref="I2022:J2022">_xlfn.TEXTSPLIT(A2022," ")</f>
        <v>28.10.2023</v>
      </c>
      <c r="J2022" t="str">
        <v>09:43:35</v>
      </c>
      <c r="K2022">
        <f t="shared" si="434"/>
        <v>33.649999999999373</v>
      </c>
      <c r="L2022">
        <f t="shared" si="431"/>
        <v>19.770000000000003</v>
      </c>
      <c r="M2022">
        <f t="shared" si="432"/>
        <v>0.75</v>
      </c>
      <c r="N2022">
        <f t="shared" si="428"/>
        <v>0.45999999999999991</v>
      </c>
      <c r="Q2022" t="str" cm="1">
        <f t="array" ref="Q2022:R2022">_xlfn.TEXTSPLIT(E2022," ")</f>
        <v>28.10.2023</v>
      </c>
      <c r="R2022" t="str">
        <v>09:43:35</v>
      </c>
      <c r="S2022">
        <f t="shared" si="435"/>
        <v>33.649999999999373</v>
      </c>
      <c r="T2022">
        <f t="shared" si="430"/>
        <v>34.13000000000001</v>
      </c>
      <c r="U2022">
        <f t="shared" si="433"/>
        <v>1.65</v>
      </c>
      <c r="V2022">
        <f t="shared" si="429"/>
        <v>0.86750000000000027</v>
      </c>
    </row>
    <row r="2023" spans="1:22" x14ac:dyDescent="0.25">
      <c r="A2023" t="s">
        <v>3979</v>
      </c>
      <c r="B2023">
        <v>0.75</v>
      </c>
      <c r="C2023">
        <v>34.1</v>
      </c>
      <c r="E2023" t="s">
        <v>3979</v>
      </c>
      <c r="F2023">
        <v>1.5</v>
      </c>
      <c r="G2023">
        <v>112.75</v>
      </c>
      <c r="I2023" t="str" cm="1">
        <f t="array" ref="I2023:J2023">_xlfn.TEXTSPLIT(A2023," ")</f>
        <v>28.10.2023</v>
      </c>
      <c r="J2023" t="str">
        <v>09:44:35</v>
      </c>
      <c r="K2023">
        <f t="shared" si="434"/>
        <v>33.666666666666039</v>
      </c>
      <c r="L2023">
        <f t="shared" si="431"/>
        <v>19.78</v>
      </c>
      <c r="M2023">
        <f t="shared" si="432"/>
        <v>0.75</v>
      </c>
      <c r="N2023">
        <f t="shared" si="428"/>
        <v>0.46749999999999992</v>
      </c>
      <c r="Q2023" t="str" cm="1">
        <f t="array" ref="Q2023:R2023">_xlfn.TEXTSPLIT(E2023," ")</f>
        <v>28.10.2023</v>
      </c>
      <c r="R2023" t="str">
        <v>09:44:35</v>
      </c>
      <c r="S2023">
        <f t="shared" si="435"/>
        <v>33.666666666666039</v>
      </c>
      <c r="T2023">
        <f t="shared" si="430"/>
        <v>34.150000000000006</v>
      </c>
      <c r="U2023">
        <f t="shared" si="433"/>
        <v>1.5</v>
      </c>
      <c r="V2023">
        <f t="shared" si="429"/>
        <v>0.87250000000000016</v>
      </c>
    </row>
    <row r="2024" spans="1:22" x14ac:dyDescent="0.25">
      <c r="A2024" t="s">
        <v>3980</v>
      </c>
      <c r="B2024">
        <v>0.6</v>
      </c>
      <c r="C2024">
        <v>34.11</v>
      </c>
      <c r="E2024" t="s">
        <v>3980</v>
      </c>
      <c r="F2024">
        <v>1.05</v>
      </c>
      <c r="G2024">
        <v>112.76</v>
      </c>
      <c r="I2024" t="str" cm="1">
        <f t="array" ref="I2024:J2024">_xlfn.TEXTSPLIT(A2024," ")</f>
        <v>28.10.2023</v>
      </c>
      <c r="J2024" t="str">
        <v>09:45:35</v>
      </c>
      <c r="K2024">
        <f t="shared" si="434"/>
        <v>33.683333333332705</v>
      </c>
      <c r="L2024">
        <f t="shared" si="431"/>
        <v>19.79</v>
      </c>
      <c r="M2024">
        <f t="shared" si="432"/>
        <v>0.6</v>
      </c>
      <c r="N2024">
        <f t="shared" si="428"/>
        <v>0.46999999999999992</v>
      </c>
      <c r="Q2024" t="str" cm="1">
        <f t="array" ref="Q2024:R2024">_xlfn.TEXTSPLIT(E2024," ")</f>
        <v>28.10.2023</v>
      </c>
      <c r="R2024" t="str">
        <v>09:45:35</v>
      </c>
      <c r="S2024">
        <f t="shared" si="435"/>
        <v>33.683333333332705</v>
      </c>
      <c r="T2024">
        <f t="shared" si="430"/>
        <v>34.160000000000011</v>
      </c>
      <c r="U2024">
        <f t="shared" si="433"/>
        <v>1.05</v>
      </c>
      <c r="V2024">
        <f t="shared" si="429"/>
        <v>0.87250000000000005</v>
      </c>
    </row>
    <row r="2025" spans="1:22" x14ac:dyDescent="0.25">
      <c r="A2025" t="s">
        <v>3981</v>
      </c>
      <c r="B2025">
        <v>0.6</v>
      </c>
      <c r="C2025">
        <v>34.119999999999997</v>
      </c>
      <c r="E2025" t="s">
        <v>3981</v>
      </c>
      <c r="F2025">
        <v>0.75</v>
      </c>
      <c r="G2025">
        <v>112.78</v>
      </c>
      <c r="I2025" t="str" cm="1">
        <f t="array" ref="I2025:J2025">_xlfn.TEXTSPLIT(A2025," ")</f>
        <v>28.10.2023</v>
      </c>
      <c r="J2025" t="str">
        <v>09:46:35</v>
      </c>
      <c r="K2025">
        <f t="shared" si="434"/>
        <v>33.69999999999937</v>
      </c>
      <c r="L2025">
        <f t="shared" si="431"/>
        <v>19.799999999999997</v>
      </c>
      <c r="M2025">
        <f t="shared" si="432"/>
        <v>0.6</v>
      </c>
      <c r="N2025">
        <f t="shared" si="428"/>
        <v>0.47250000000000003</v>
      </c>
      <c r="Q2025" t="str" cm="1">
        <f t="array" ref="Q2025:R2025">_xlfn.TEXTSPLIT(E2025," ")</f>
        <v>28.10.2023</v>
      </c>
      <c r="R2025" t="str">
        <v>09:46:35</v>
      </c>
      <c r="S2025">
        <f t="shared" si="435"/>
        <v>33.69999999999937</v>
      </c>
      <c r="T2025">
        <f t="shared" si="430"/>
        <v>34.180000000000007</v>
      </c>
      <c r="U2025">
        <f t="shared" si="433"/>
        <v>0.75</v>
      </c>
      <c r="V2025">
        <f t="shared" si="429"/>
        <v>0.86999999999999988</v>
      </c>
    </row>
    <row r="2026" spans="1:22" x14ac:dyDescent="0.25">
      <c r="A2026" t="s">
        <v>3982</v>
      </c>
      <c r="B2026">
        <v>0.6</v>
      </c>
      <c r="C2026">
        <v>34.130000000000003</v>
      </c>
      <c r="E2026" t="s">
        <v>3982</v>
      </c>
      <c r="F2026">
        <v>0.9</v>
      </c>
      <c r="G2026">
        <v>112.79</v>
      </c>
      <c r="I2026" t="str" cm="1">
        <f t="array" ref="I2026:J2026">_xlfn.TEXTSPLIT(A2026," ")</f>
        <v>28.10.2023</v>
      </c>
      <c r="J2026" t="str">
        <v>09:47:36</v>
      </c>
      <c r="K2026">
        <f t="shared" si="434"/>
        <v>33.716666666666036</v>
      </c>
      <c r="L2026">
        <f t="shared" si="431"/>
        <v>19.810000000000002</v>
      </c>
      <c r="M2026">
        <f t="shared" si="432"/>
        <v>0.6</v>
      </c>
      <c r="N2026">
        <f t="shared" si="428"/>
        <v>0.47750000000000009</v>
      </c>
      <c r="Q2026" t="str" cm="1">
        <f t="array" ref="Q2026:R2026">_xlfn.TEXTSPLIT(E2026," ")</f>
        <v>28.10.2023</v>
      </c>
      <c r="R2026" t="str">
        <v>09:47:36</v>
      </c>
      <c r="S2026">
        <f t="shared" si="435"/>
        <v>33.716666666666036</v>
      </c>
      <c r="T2026">
        <f t="shared" si="430"/>
        <v>34.190000000000012</v>
      </c>
      <c r="U2026">
        <f t="shared" si="433"/>
        <v>0.9</v>
      </c>
      <c r="V2026">
        <f t="shared" si="429"/>
        <v>0.87249999999999994</v>
      </c>
    </row>
    <row r="2027" spans="1:22" x14ac:dyDescent="0.25">
      <c r="A2027" t="s">
        <v>3983</v>
      </c>
      <c r="B2027">
        <v>0.75</v>
      </c>
      <c r="C2027">
        <v>34.15</v>
      </c>
      <c r="E2027" t="s">
        <v>3983</v>
      </c>
      <c r="F2027">
        <v>0.6</v>
      </c>
      <c r="G2027">
        <v>112.8</v>
      </c>
      <c r="I2027" t="str" cm="1">
        <f t="array" ref="I2027:J2027">_xlfn.TEXTSPLIT(A2027," ")</f>
        <v>28.10.2023</v>
      </c>
      <c r="J2027" t="str">
        <v>09:48:36</v>
      </c>
      <c r="K2027">
        <f t="shared" si="434"/>
        <v>33.733333333332702</v>
      </c>
      <c r="L2027">
        <f t="shared" si="431"/>
        <v>19.829999999999998</v>
      </c>
      <c r="M2027">
        <f t="shared" si="432"/>
        <v>0.75</v>
      </c>
      <c r="N2027">
        <f t="shared" si="428"/>
        <v>0.48250000000000004</v>
      </c>
      <c r="Q2027" t="str" cm="1">
        <f t="array" ref="Q2027:R2027">_xlfn.TEXTSPLIT(E2027," ")</f>
        <v>28.10.2023</v>
      </c>
      <c r="R2027" t="str">
        <v>09:48:36</v>
      </c>
      <c r="S2027">
        <f t="shared" si="435"/>
        <v>33.733333333332702</v>
      </c>
      <c r="T2027">
        <f t="shared" si="430"/>
        <v>34.200000000000003</v>
      </c>
      <c r="U2027">
        <f t="shared" si="433"/>
        <v>0.6</v>
      </c>
      <c r="V2027">
        <f t="shared" si="429"/>
        <v>0.87</v>
      </c>
    </row>
    <row r="2028" spans="1:22" x14ac:dyDescent="0.25">
      <c r="A2028" t="s">
        <v>3984</v>
      </c>
      <c r="B2028">
        <v>0.6</v>
      </c>
      <c r="C2028">
        <v>34.15</v>
      </c>
      <c r="E2028" t="s">
        <v>3984</v>
      </c>
      <c r="F2028">
        <v>0.75</v>
      </c>
      <c r="G2028">
        <v>112.81</v>
      </c>
      <c r="I2028" t="str" cm="1">
        <f t="array" ref="I2028:J2028">_xlfn.TEXTSPLIT(A2028," ")</f>
        <v>28.10.2023</v>
      </c>
      <c r="J2028" t="str">
        <v>09:49:36</v>
      </c>
      <c r="K2028">
        <f t="shared" si="434"/>
        <v>33.749999999999368</v>
      </c>
      <c r="L2028">
        <f t="shared" si="431"/>
        <v>19.829999999999998</v>
      </c>
      <c r="M2028">
        <f t="shared" si="432"/>
        <v>0.6</v>
      </c>
      <c r="N2028">
        <f t="shared" si="428"/>
        <v>0.4825000000000001</v>
      </c>
      <c r="Q2028" t="str" cm="1">
        <f t="array" ref="Q2028:R2028">_xlfn.TEXTSPLIT(E2028," ")</f>
        <v>28.10.2023</v>
      </c>
      <c r="R2028" t="str">
        <v>09:49:36</v>
      </c>
      <c r="S2028">
        <f t="shared" si="435"/>
        <v>33.749999999999368</v>
      </c>
      <c r="T2028">
        <f t="shared" si="430"/>
        <v>34.210000000000008</v>
      </c>
      <c r="U2028">
        <f t="shared" si="433"/>
        <v>0.75</v>
      </c>
      <c r="V2028">
        <f t="shared" si="429"/>
        <v>0.875</v>
      </c>
    </row>
    <row r="2029" spans="1:22" x14ac:dyDescent="0.25">
      <c r="A2029" t="s">
        <v>3985</v>
      </c>
      <c r="B2029">
        <v>0.3</v>
      </c>
      <c r="C2029">
        <v>34.159999999999997</v>
      </c>
      <c r="E2029" t="s">
        <v>3985</v>
      </c>
      <c r="F2029">
        <v>1.05</v>
      </c>
      <c r="G2029">
        <v>112.82</v>
      </c>
      <c r="I2029" t="str" cm="1">
        <f t="array" ref="I2029:J2029">_xlfn.TEXTSPLIT(A2029," ")</f>
        <v>28.10.2023</v>
      </c>
      <c r="J2029" t="str">
        <v>09:50:36</v>
      </c>
      <c r="K2029">
        <f t="shared" si="434"/>
        <v>33.766666666666033</v>
      </c>
      <c r="L2029">
        <f t="shared" si="431"/>
        <v>19.839999999999996</v>
      </c>
      <c r="M2029">
        <f t="shared" si="432"/>
        <v>0.3</v>
      </c>
      <c r="N2029">
        <f t="shared" si="428"/>
        <v>0.48000000000000009</v>
      </c>
      <c r="Q2029" t="str" cm="1">
        <f t="array" ref="Q2029:R2029">_xlfn.TEXTSPLIT(E2029," ")</f>
        <v>28.10.2023</v>
      </c>
      <c r="R2029" t="str">
        <v>09:50:36</v>
      </c>
      <c r="S2029">
        <f t="shared" si="435"/>
        <v>33.766666666666033</v>
      </c>
      <c r="T2029">
        <f t="shared" si="430"/>
        <v>34.22</v>
      </c>
      <c r="U2029">
        <f t="shared" si="433"/>
        <v>1.05</v>
      </c>
      <c r="V2029">
        <f t="shared" si="429"/>
        <v>0.88500000000000001</v>
      </c>
    </row>
    <row r="2030" spans="1:22" x14ac:dyDescent="0.25">
      <c r="A2030" t="s">
        <v>3986</v>
      </c>
      <c r="B2030">
        <v>0.75</v>
      </c>
      <c r="C2030">
        <v>34.17</v>
      </c>
      <c r="E2030" t="s">
        <v>3986</v>
      </c>
      <c r="F2030">
        <v>0.3</v>
      </c>
      <c r="G2030">
        <v>112.83</v>
      </c>
      <c r="I2030" t="str" cm="1">
        <f t="array" ref="I2030:J2030">_xlfn.TEXTSPLIT(A2030," ")</f>
        <v>28.10.2023</v>
      </c>
      <c r="J2030" t="str">
        <v>09:51:36</v>
      </c>
      <c r="K2030">
        <f t="shared" si="434"/>
        <v>33.783333333332699</v>
      </c>
      <c r="L2030">
        <f t="shared" si="431"/>
        <v>19.850000000000001</v>
      </c>
      <c r="M2030">
        <f t="shared" si="432"/>
        <v>0.75</v>
      </c>
      <c r="N2030">
        <f t="shared" si="428"/>
        <v>0.49250000000000005</v>
      </c>
      <c r="Q2030" t="str" cm="1">
        <f t="array" ref="Q2030:R2030">_xlfn.TEXTSPLIT(E2030," ")</f>
        <v>28.10.2023</v>
      </c>
      <c r="R2030" t="str">
        <v>09:51:36</v>
      </c>
      <c r="S2030">
        <f t="shared" si="435"/>
        <v>33.783333333332699</v>
      </c>
      <c r="T2030">
        <f t="shared" si="430"/>
        <v>34.230000000000004</v>
      </c>
      <c r="U2030">
        <f t="shared" si="433"/>
        <v>0.3</v>
      </c>
      <c r="V2030">
        <f t="shared" si="429"/>
        <v>0.89</v>
      </c>
    </row>
    <row r="2031" spans="1:22" x14ac:dyDescent="0.25">
      <c r="A2031" t="s">
        <v>3987</v>
      </c>
      <c r="B2031">
        <v>0.15</v>
      </c>
      <c r="C2031">
        <v>34.17</v>
      </c>
      <c r="E2031" t="s">
        <v>3987</v>
      </c>
      <c r="F2031">
        <v>0.15</v>
      </c>
      <c r="G2031">
        <v>112.83</v>
      </c>
      <c r="I2031" t="str" cm="1">
        <f t="array" ref="I2031:J2031">_xlfn.TEXTSPLIT(A2031," ")</f>
        <v>28.10.2023</v>
      </c>
      <c r="J2031" t="str">
        <v>09:52:36</v>
      </c>
      <c r="K2031">
        <f t="shared" si="434"/>
        <v>33.799999999999365</v>
      </c>
      <c r="L2031">
        <f t="shared" si="431"/>
        <v>19.850000000000001</v>
      </c>
      <c r="M2031">
        <f t="shared" si="432"/>
        <v>0.15</v>
      </c>
      <c r="N2031">
        <f t="shared" si="428"/>
        <v>0.49000000000000005</v>
      </c>
      <c r="Q2031" t="str" cm="1">
        <f t="array" ref="Q2031:R2031">_xlfn.TEXTSPLIT(E2031," ")</f>
        <v>28.10.2023</v>
      </c>
      <c r="R2031" t="str">
        <v>09:52:36</v>
      </c>
      <c r="S2031">
        <f t="shared" si="435"/>
        <v>33.799999999999365</v>
      </c>
      <c r="T2031">
        <f t="shared" si="430"/>
        <v>34.230000000000004</v>
      </c>
      <c r="U2031">
        <f t="shared" si="433"/>
        <v>0.15</v>
      </c>
      <c r="V2031">
        <f t="shared" si="429"/>
        <v>0.89249999999999996</v>
      </c>
    </row>
    <row r="2032" spans="1:22" x14ac:dyDescent="0.25">
      <c r="A2032" t="s">
        <v>3988</v>
      </c>
      <c r="B2032">
        <v>0</v>
      </c>
      <c r="C2032">
        <v>34.17</v>
      </c>
      <c r="E2032" t="s">
        <v>3988</v>
      </c>
      <c r="F2032">
        <v>0.45</v>
      </c>
      <c r="G2032">
        <v>112.84</v>
      </c>
      <c r="I2032" t="str" cm="1">
        <f t="array" ref="I2032:J2032">_xlfn.TEXTSPLIT(A2032," ")</f>
        <v>28.10.2023</v>
      </c>
      <c r="J2032" t="str">
        <v>09:53:37</v>
      </c>
      <c r="K2032">
        <f t="shared" si="434"/>
        <v>33.81666666666603</v>
      </c>
      <c r="L2032">
        <f t="shared" si="431"/>
        <v>19.850000000000001</v>
      </c>
      <c r="M2032">
        <f t="shared" si="432"/>
        <v>0</v>
      </c>
      <c r="N2032">
        <f t="shared" si="428"/>
        <v>0.49000000000000005</v>
      </c>
      <c r="Q2032" t="str" cm="1">
        <f t="array" ref="Q2032:R2032">_xlfn.TEXTSPLIT(E2032," ")</f>
        <v>28.10.2023</v>
      </c>
      <c r="R2032" t="str">
        <v>09:53:37</v>
      </c>
      <c r="S2032">
        <f t="shared" si="435"/>
        <v>33.81666666666603</v>
      </c>
      <c r="T2032">
        <f t="shared" si="430"/>
        <v>34.240000000000009</v>
      </c>
      <c r="U2032">
        <f t="shared" si="433"/>
        <v>0.45</v>
      </c>
      <c r="V2032">
        <f t="shared" si="429"/>
        <v>0.89750000000000008</v>
      </c>
    </row>
    <row r="2033" spans="1:22" x14ac:dyDescent="0.25">
      <c r="A2033" t="s">
        <v>3989</v>
      </c>
      <c r="B2033">
        <v>0</v>
      </c>
      <c r="C2033">
        <v>34.17</v>
      </c>
      <c r="E2033" t="s">
        <v>3989</v>
      </c>
      <c r="F2033">
        <v>0.3</v>
      </c>
      <c r="G2033">
        <v>112.85</v>
      </c>
      <c r="I2033" t="str" cm="1">
        <f t="array" ref="I2033:J2033">_xlfn.TEXTSPLIT(A2033," ")</f>
        <v>28.10.2023</v>
      </c>
      <c r="J2033" t="str">
        <v>09:54:37</v>
      </c>
      <c r="K2033">
        <f t="shared" si="434"/>
        <v>33.833333333332696</v>
      </c>
      <c r="L2033">
        <f t="shared" si="431"/>
        <v>19.850000000000001</v>
      </c>
      <c r="M2033">
        <f t="shared" si="432"/>
        <v>0</v>
      </c>
      <c r="N2033">
        <f t="shared" si="428"/>
        <v>0.49000000000000005</v>
      </c>
      <c r="Q2033" t="str" cm="1">
        <f t="array" ref="Q2033:R2033">_xlfn.TEXTSPLIT(E2033," ")</f>
        <v>28.10.2023</v>
      </c>
      <c r="R2033" t="str">
        <v>09:54:37</v>
      </c>
      <c r="S2033">
        <f t="shared" si="435"/>
        <v>33.833333333332696</v>
      </c>
      <c r="T2033">
        <f t="shared" si="430"/>
        <v>34.25</v>
      </c>
      <c r="U2033">
        <f t="shared" si="433"/>
        <v>0.3</v>
      </c>
      <c r="V2033">
        <f t="shared" si="429"/>
        <v>0.89749999999999985</v>
      </c>
    </row>
    <row r="2034" spans="1:22" x14ac:dyDescent="0.25">
      <c r="A2034" t="s">
        <v>3990</v>
      </c>
      <c r="B2034">
        <v>0</v>
      </c>
      <c r="C2034">
        <v>34.17</v>
      </c>
      <c r="E2034" t="s">
        <v>3990</v>
      </c>
      <c r="F2034">
        <v>0.75</v>
      </c>
      <c r="G2034">
        <v>112.86</v>
      </c>
      <c r="I2034" t="str" cm="1">
        <f t="array" ref="I2034:J2034">_xlfn.TEXTSPLIT(A2034," ")</f>
        <v>28.10.2023</v>
      </c>
      <c r="J2034" t="str">
        <v>09:55:37</v>
      </c>
      <c r="K2034">
        <f t="shared" si="434"/>
        <v>33.849999999999362</v>
      </c>
      <c r="L2034">
        <f t="shared" si="431"/>
        <v>19.850000000000001</v>
      </c>
      <c r="M2034">
        <f t="shared" si="432"/>
        <v>0</v>
      </c>
      <c r="N2034">
        <f t="shared" si="428"/>
        <v>0.49000000000000005</v>
      </c>
      <c r="Q2034" t="str" cm="1">
        <f t="array" ref="Q2034:R2034">_xlfn.TEXTSPLIT(E2034," ")</f>
        <v>28.10.2023</v>
      </c>
      <c r="R2034" t="str">
        <v>09:55:37</v>
      </c>
      <c r="S2034">
        <f t="shared" si="435"/>
        <v>33.849999999999362</v>
      </c>
      <c r="T2034">
        <f t="shared" si="430"/>
        <v>34.260000000000005</v>
      </c>
      <c r="U2034">
        <f t="shared" si="433"/>
        <v>0.75</v>
      </c>
      <c r="V2034">
        <f t="shared" si="429"/>
        <v>0.9</v>
      </c>
    </row>
    <row r="2035" spans="1:22" x14ac:dyDescent="0.25">
      <c r="A2035" t="s">
        <v>3991</v>
      </c>
      <c r="B2035">
        <v>0</v>
      </c>
      <c r="C2035">
        <v>34.17</v>
      </c>
      <c r="E2035" t="s">
        <v>3991</v>
      </c>
      <c r="F2035">
        <v>0.3</v>
      </c>
      <c r="G2035">
        <v>112.86</v>
      </c>
      <c r="I2035" t="str" cm="1">
        <f t="array" ref="I2035:J2035">_xlfn.TEXTSPLIT(A2035," ")</f>
        <v>28.10.2023</v>
      </c>
      <c r="J2035" t="str">
        <v>09:56:37</v>
      </c>
      <c r="K2035">
        <f t="shared" si="434"/>
        <v>33.866666666666028</v>
      </c>
      <c r="L2035">
        <f t="shared" si="431"/>
        <v>19.850000000000001</v>
      </c>
      <c r="M2035">
        <f t="shared" si="432"/>
        <v>0</v>
      </c>
      <c r="N2035">
        <f t="shared" si="428"/>
        <v>0.49000000000000005</v>
      </c>
      <c r="Q2035" t="str" cm="1">
        <f t="array" ref="Q2035:R2035">_xlfn.TEXTSPLIT(E2035," ")</f>
        <v>28.10.2023</v>
      </c>
      <c r="R2035" t="str">
        <v>09:56:37</v>
      </c>
      <c r="S2035">
        <f t="shared" si="435"/>
        <v>33.866666666666028</v>
      </c>
      <c r="T2035">
        <f t="shared" si="430"/>
        <v>34.260000000000005</v>
      </c>
      <c r="U2035">
        <f t="shared" si="433"/>
        <v>0.3</v>
      </c>
      <c r="V2035">
        <f t="shared" si="429"/>
        <v>0.89999999999999991</v>
      </c>
    </row>
    <row r="2036" spans="1:22" x14ac:dyDescent="0.25">
      <c r="A2036" t="s">
        <v>3992</v>
      </c>
      <c r="B2036">
        <v>0</v>
      </c>
      <c r="C2036">
        <v>34.17</v>
      </c>
      <c r="E2036" t="s">
        <v>3992</v>
      </c>
      <c r="F2036">
        <v>0.75</v>
      </c>
      <c r="G2036">
        <v>112.88</v>
      </c>
      <c r="I2036" t="str" cm="1">
        <f t="array" ref="I2036:J2036">_xlfn.TEXTSPLIT(A2036," ")</f>
        <v>28.10.2023</v>
      </c>
      <c r="J2036" t="str">
        <v>09:57:37</v>
      </c>
      <c r="K2036">
        <f t="shared" si="434"/>
        <v>33.883333333332693</v>
      </c>
      <c r="L2036">
        <f t="shared" si="431"/>
        <v>19.850000000000001</v>
      </c>
      <c r="M2036">
        <f t="shared" si="432"/>
        <v>0</v>
      </c>
      <c r="N2036">
        <f t="shared" si="428"/>
        <v>0.49000000000000005</v>
      </c>
      <c r="Q2036" t="str" cm="1">
        <f t="array" ref="Q2036:R2036">_xlfn.TEXTSPLIT(E2036," ")</f>
        <v>28.10.2023</v>
      </c>
      <c r="R2036" t="str">
        <v>09:57:37</v>
      </c>
      <c r="S2036">
        <f t="shared" si="435"/>
        <v>33.883333333332693</v>
      </c>
      <c r="T2036">
        <f t="shared" si="430"/>
        <v>34.28</v>
      </c>
      <c r="U2036">
        <f t="shared" si="433"/>
        <v>0.75</v>
      </c>
      <c r="V2036">
        <f t="shared" si="429"/>
        <v>0.9049999999999998</v>
      </c>
    </row>
    <row r="2037" spans="1:22" x14ac:dyDescent="0.25">
      <c r="A2037" t="s">
        <v>3993</v>
      </c>
      <c r="B2037">
        <v>0</v>
      </c>
      <c r="C2037">
        <v>34.17</v>
      </c>
      <c r="E2037" t="s">
        <v>3993</v>
      </c>
      <c r="F2037">
        <v>0.45</v>
      </c>
      <c r="G2037">
        <v>112.88</v>
      </c>
      <c r="I2037" t="str" cm="1">
        <f t="array" ref="I2037:J2037">_xlfn.TEXTSPLIT(A2037," ")</f>
        <v>28.10.2023</v>
      </c>
      <c r="J2037" t="str">
        <v>09:58:37</v>
      </c>
      <c r="K2037">
        <f t="shared" si="434"/>
        <v>33.899999999999359</v>
      </c>
      <c r="L2037">
        <f t="shared" si="431"/>
        <v>19.850000000000001</v>
      </c>
      <c r="M2037">
        <f t="shared" si="432"/>
        <v>0</v>
      </c>
      <c r="N2037">
        <f t="shared" si="428"/>
        <v>0.49000000000000005</v>
      </c>
      <c r="Q2037" t="str" cm="1">
        <f t="array" ref="Q2037:R2037">_xlfn.TEXTSPLIT(E2037," ")</f>
        <v>28.10.2023</v>
      </c>
      <c r="R2037" t="str">
        <v>09:58:37</v>
      </c>
      <c r="S2037">
        <f t="shared" si="435"/>
        <v>33.899999999999359</v>
      </c>
      <c r="T2037">
        <f t="shared" si="430"/>
        <v>34.28</v>
      </c>
      <c r="U2037">
        <f t="shared" si="433"/>
        <v>0.45</v>
      </c>
      <c r="V2037">
        <f t="shared" si="429"/>
        <v>0.89999999999999991</v>
      </c>
    </row>
    <row r="2038" spans="1:22" x14ac:dyDescent="0.25">
      <c r="A2038" t="s">
        <v>3994</v>
      </c>
      <c r="B2038">
        <v>0.15</v>
      </c>
      <c r="C2038">
        <v>34.18</v>
      </c>
      <c r="E2038" t="s">
        <v>3994</v>
      </c>
      <c r="F2038">
        <v>0.45</v>
      </c>
      <c r="G2038">
        <v>112.89</v>
      </c>
      <c r="I2038" t="str" cm="1">
        <f t="array" ref="I2038:J2038">_xlfn.TEXTSPLIT(A2038," ")</f>
        <v>28.10.2023</v>
      </c>
      <c r="J2038" t="str">
        <v>09:59:37</v>
      </c>
      <c r="K2038">
        <f t="shared" si="434"/>
        <v>33.916666666666025</v>
      </c>
      <c r="L2038">
        <f t="shared" si="431"/>
        <v>19.86</v>
      </c>
      <c r="M2038">
        <f t="shared" si="432"/>
        <v>0.15</v>
      </c>
      <c r="N2038">
        <f t="shared" si="428"/>
        <v>0.49249999999999999</v>
      </c>
      <c r="Q2038" t="str" cm="1">
        <f t="array" ref="Q2038:R2038">_xlfn.TEXTSPLIT(E2038," ")</f>
        <v>28.10.2023</v>
      </c>
      <c r="R2038" t="str">
        <v>09:59:37</v>
      </c>
      <c r="S2038">
        <f t="shared" si="435"/>
        <v>33.916666666666025</v>
      </c>
      <c r="T2038">
        <f t="shared" si="430"/>
        <v>34.290000000000006</v>
      </c>
      <c r="U2038">
        <f t="shared" si="433"/>
        <v>0.45</v>
      </c>
      <c r="V2038">
        <f t="shared" si="429"/>
        <v>0.89499999999999991</v>
      </c>
    </row>
    <row r="2039" spans="1:22" x14ac:dyDescent="0.25">
      <c r="A2039" t="s">
        <v>3995</v>
      </c>
      <c r="B2039">
        <v>0.45</v>
      </c>
      <c r="C2039">
        <v>34.18</v>
      </c>
      <c r="E2039" t="s">
        <v>3995</v>
      </c>
      <c r="F2039">
        <v>0.6</v>
      </c>
      <c r="G2039">
        <v>112.9</v>
      </c>
      <c r="I2039" t="str" cm="1">
        <f t="array" ref="I2039:J2039">_xlfn.TEXTSPLIT(A2039," ")</f>
        <v>28.10.2023</v>
      </c>
      <c r="J2039" t="str">
        <v>10:00:38</v>
      </c>
      <c r="K2039">
        <f t="shared" si="434"/>
        <v>33.933333333332691</v>
      </c>
      <c r="L2039">
        <f t="shared" si="431"/>
        <v>19.86</v>
      </c>
      <c r="M2039">
        <f t="shared" si="432"/>
        <v>0.45</v>
      </c>
      <c r="N2039">
        <f t="shared" si="428"/>
        <v>0.4975</v>
      </c>
      <c r="Q2039" t="str" cm="1">
        <f t="array" ref="Q2039:R2039">_xlfn.TEXTSPLIT(E2039," ")</f>
        <v>28.10.2023</v>
      </c>
      <c r="R2039" t="str">
        <v>10:00:38</v>
      </c>
      <c r="S2039">
        <f t="shared" si="435"/>
        <v>33.933333333332691</v>
      </c>
      <c r="T2039">
        <f t="shared" si="430"/>
        <v>34.300000000000011</v>
      </c>
      <c r="U2039">
        <f t="shared" si="433"/>
        <v>0.6</v>
      </c>
      <c r="V2039">
        <f t="shared" si="429"/>
        <v>0.89249999999999996</v>
      </c>
    </row>
    <row r="2040" spans="1:22" x14ac:dyDescent="0.25">
      <c r="A2040" t="s">
        <v>3996</v>
      </c>
      <c r="B2040">
        <v>0.45</v>
      </c>
      <c r="C2040">
        <v>34.19</v>
      </c>
      <c r="E2040" t="s">
        <v>3996</v>
      </c>
      <c r="F2040">
        <v>0.3</v>
      </c>
      <c r="G2040">
        <v>112.91</v>
      </c>
      <c r="I2040" t="str" cm="1">
        <f t="array" ref="I2040:J2040">_xlfn.TEXTSPLIT(A2040," ")</f>
        <v>28.10.2023</v>
      </c>
      <c r="J2040" t="str">
        <v>10:01:38</v>
      </c>
      <c r="K2040">
        <f t="shared" si="434"/>
        <v>33.949999999999356</v>
      </c>
      <c r="L2040">
        <f t="shared" si="431"/>
        <v>19.869999999999997</v>
      </c>
      <c r="M2040">
        <f t="shared" si="432"/>
        <v>0.45</v>
      </c>
      <c r="N2040">
        <f t="shared" si="428"/>
        <v>0.4975</v>
      </c>
      <c r="Q2040" t="str" cm="1">
        <f t="array" ref="Q2040:R2040">_xlfn.TEXTSPLIT(E2040," ")</f>
        <v>28.10.2023</v>
      </c>
      <c r="R2040" t="str">
        <v>10:01:38</v>
      </c>
      <c r="S2040">
        <f t="shared" si="435"/>
        <v>33.949999999999356</v>
      </c>
      <c r="T2040">
        <f t="shared" si="430"/>
        <v>34.31</v>
      </c>
      <c r="U2040">
        <f t="shared" si="433"/>
        <v>0.3</v>
      </c>
      <c r="V2040">
        <f t="shared" si="429"/>
        <v>0.88749999999999973</v>
      </c>
    </row>
    <row r="2041" spans="1:22" x14ac:dyDescent="0.25">
      <c r="A2041" t="s">
        <v>3997</v>
      </c>
      <c r="B2041">
        <v>0.3</v>
      </c>
      <c r="C2041">
        <v>34.19</v>
      </c>
      <c r="E2041" t="s">
        <v>3997</v>
      </c>
      <c r="F2041">
        <v>0.75</v>
      </c>
      <c r="G2041">
        <v>112.92</v>
      </c>
      <c r="I2041" t="str" cm="1">
        <f t="array" ref="I2041:J2041">_xlfn.TEXTSPLIT(A2041," ")</f>
        <v>28.10.2023</v>
      </c>
      <c r="J2041" t="str">
        <v>10:02:38</v>
      </c>
      <c r="K2041">
        <f t="shared" si="434"/>
        <v>33.966666666666022</v>
      </c>
      <c r="L2041">
        <f t="shared" si="431"/>
        <v>19.869999999999997</v>
      </c>
      <c r="M2041">
        <f t="shared" si="432"/>
        <v>0.3</v>
      </c>
      <c r="N2041">
        <f t="shared" si="428"/>
        <v>0.4975</v>
      </c>
      <c r="Q2041" t="str" cm="1">
        <f t="array" ref="Q2041:R2041">_xlfn.TEXTSPLIT(E2041," ")</f>
        <v>28.10.2023</v>
      </c>
      <c r="R2041" t="str">
        <v>10:02:38</v>
      </c>
      <c r="S2041">
        <f t="shared" si="435"/>
        <v>33.966666666666022</v>
      </c>
      <c r="T2041">
        <f t="shared" si="430"/>
        <v>34.320000000000007</v>
      </c>
      <c r="U2041">
        <f t="shared" si="433"/>
        <v>0.75</v>
      </c>
      <c r="V2041">
        <f t="shared" si="429"/>
        <v>0.88999999999999979</v>
      </c>
    </row>
    <row r="2042" spans="1:22" x14ac:dyDescent="0.25">
      <c r="A2042" t="s">
        <v>3998</v>
      </c>
      <c r="B2042">
        <v>0.3</v>
      </c>
      <c r="C2042">
        <v>34.200000000000003</v>
      </c>
      <c r="E2042" t="s">
        <v>3998</v>
      </c>
      <c r="F2042">
        <v>0.75</v>
      </c>
      <c r="G2042">
        <v>112.93</v>
      </c>
      <c r="I2042" t="str" cm="1">
        <f t="array" ref="I2042:J2042">_xlfn.TEXTSPLIT(A2042," ")</f>
        <v>28.10.2023</v>
      </c>
      <c r="J2042" t="str">
        <v>10:03:38</v>
      </c>
      <c r="K2042">
        <f t="shared" si="434"/>
        <v>33.983333333332688</v>
      </c>
      <c r="L2042">
        <f t="shared" si="431"/>
        <v>19.880000000000003</v>
      </c>
      <c r="M2042">
        <f t="shared" si="432"/>
        <v>0.3</v>
      </c>
      <c r="N2042">
        <f t="shared" si="428"/>
        <v>0.49500000000000005</v>
      </c>
      <c r="Q2042" t="str" cm="1">
        <f t="array" ref="Q2042:R2042">_xlfn.TEXTSPLIT(E2042," ")</f>
        <v>28.10.2023</v>
      </c>
      <c r="R2042" t="str">
        <v>10:03:38</v>
      </c>
      <c r="S2042">
        <f t="shared" si="435"/>
        <v>33.983333333332688</v>
      </c>
      <c r="T2042">
        <f t="shared" si="430"/>
        <v>34.330000000000013</v>
      </c>
      <c r="U2042">
        <f t="shared" si="433"/>
        <v>0.75</v>
      </c>
      <c r="V2042">
        <f t="shared" si="429"/>
        <v>0.89249999999999974</v>
      </c>
    </row>
    <row r="2043" spans="1:22" x14ac:dyDescent="0.25">
      <c r="A2043" t="s">
        <v>3999</v>
      </c>
      <c r="B2043">
        <v>0.3</v>
      </c>
      <c r="C2043">
        <v>34.21</v>
      </c>
      <c r="E2043" t="s">
        <v>3999</v>
      </c>
      <c r="F2043">
        <v>0.9</v>
      </c>
      <c r="G2043">
        <v>112.95</v>
      </c>
      <c r="I2043" t="str" cm="1">
        <f t="array" ref="I2043:J2043">_xlfn.TEXTSPLIT(A2043," ")</f>
        <v>28.10.2023</v>
      </c>
      <c r="J2043" t="str">
        <v>10:04:38</v>
      </c>
      <c r="K2043">
        <f t="shared" si="434"/>
        <v>33.999999999999353</v>
      </c>
      <c r="L2043">
        <f t="shared" si="431"/>
        <v>19.89</v>
      </c>
      <c r="M2043">
        <f t="shared" si="432"/>
        <v>0.3</v>
      </c>
      <c r="N2043">
        <f t="shared" si="428"/>
        <v>0.49000000000000005</v>
      </c>
      <c r="Q2043" t="str" cm="1">
        <f t="array" ref="Q2043:R2043">_xlfn.TEXTSPLIT(E2043," ")</f>
        <v>28.10.2023</v>
      </c>
      <c r="R2043" t="str">
        <v>10:04:38</v>
      </c>
      <c r="S2043">
        <f t="shared" si="435"/>
        <v>33.999999999999353</v>
      </c>
      <c r="T2043">
        <f t="shared" si="430"/>
        <v>34.350000000000009</v>
      </c>
      <c r="U2043">
        <f t="shared" si="433"/>
        <v>0.9</v>
      </c>
      <c r="V2043">
        <f t="shared" si="429"/>
        <v>0.89749999999999963</v>
      </c>
    </row>
    <row r="2044" spans="1:22" x14ac:dyDescent="0.25">
      <c r="A2044" t="s">
        <v>4000</v>
      </c>
      <c r="B2044">
        <v>0.3</v>
      </c>
      <c r="C2044">
        <v>34.21</v>
      </c>
      <c r="E2044" t="s">
        <v>4000</v>
      </c>
      <c r="F2044">
        <v>1.05</v>
      </c>
      <c r="G2044">
        <v>112.98</v>
      </c>
      <c r="I2044" t="str" cm="1">
        <f t="array" ref="I2044:J2044">_xlfn.TEXTSPLIT(A2044," ")</f>
        <v>28.10.2023</v>
      </c>
      <c r="J2044" t="str">
        <v>10:05:38</v>
      </c>
      <c r="K2044">
        <f t="shared" si="434"/>
        <v>34.016666666666019</v>
      </c>
      <c r="L2044">
        <f t="shared" si="431"/>
        <v>19.89</v>
      </c>
      <c r="M2044">
        <f t="shared" si="432"/>
        <v>0.3</v>
      </c>
      <c r="N2044">
        <f t="shared" si="428"/>
        <v>0.4900000000000001</v>
      </c>
      <c r="Q2044" t="str" cm="1">
        <f t="array" ref="Q2044:R2044">_xlfn.TEXTSPLIT(E2044," ")</f>
        <v>28.10.2023</v>
      </c>
      <c r="R2044" t="str">
        <v>10:05:38</v>
      </c>
      <c r="S2044">
        <f t="shared" si="435"/>
        <v>34.016666666666019</v>
      </c>
      <c r="T2044">
        <f t="shared" si="430"/>
        <v>34.38000000000001</v>
      </c>
      <c r="U2044">
        <f t="shared" si="433"/>
        <v>1.05</v>
      </c>
      <c r="V2044">
        <f t="shared" si="429"/>
        <v>0.90749999999999964</v>
      </c>
    </row>
    <row r="2045" spans="1:22" x14ac:dyDescent="0.25">
      <c r="A2045" t="s">
        <v>4001</v>
      </c>
      <c r="B2045">
        <v>0.45</v>
      </c>
      <c r="C2045">
        <v>34.22</v>
      </c>
      <c r="E2045" t="s">
        <v>4001</v>
      </c>
      <c r="F2045">
        <v>2.4</v>
      </c>
      <c r="G2045">
        <v>113.01</v>
      </c>
      <c r="I2045" t="str" cm="1">
        <f t="array" ref="I2045:J2045">_xlfn.TEXTSPLIT(A2045," ")</f>
        <v>28.10.2023</v>
      </c>
      <c r="J2045" t="str">
        <v>10:06:38</v>
      </c>
      <c r="K2045">
        <f t="shared" si="434"/>
        <v>34.033333333332685</v>
      </c>
      <c r="L2045">
        <f t="shared" si="431"/>
        <v>19.899999999999999</v>
      </c>
      <c r="M2045">
        <f t="shared" si="432"/>
        <v>0.45</v>
      </c>
      <c r="N2045">
        <f t="shared" si="428"/>
        <v>0.49250000000000005</v>
      </c>
      <c r="Q2045" t="str" cm="1">
        <f t="array" ref="Q2045:R2045">_xlfn.TEXTSPLIT(E2045," ")</f>
        <v>28.10.2023</v>
      </c>
      <c r="R2045" t="str">
        <v>10:06:38</v>
      </c>
      <c r="S2045">
        <f t="shared" si="435"/>
        <v>34.033333333332685</v>
      </c>
      <c r="T2045">
        <f t="shared" si="430"/>
        <v>34.410000000000011</v>
      </c>
      <c r="U2045">
        <f t="shared" si="433"/>
        <v>2.4</v>
      </c>
      <c r="V2045">
        <f t="shared" si="429"/>
        <v>0.90249999999999975</v>
      </c>
    </row>
    <row r="2046" spans="1:22" x14ac:dyDescent="0.25">
      <c r="A2046" t="s">
        <v>4002</v>
      </c>
      <c r="B2046">
        <v>1.35</v>
      </c>
      <c r="C2046">
        <v>34.270000000000003</v>
      </c>
      <c r="E2046" t="s">
        <v>4002</v>
      </c>
      <c r="F2046">
        <v>1.95</v>
      </c>
      <c r="G2046">
        <v>113.04</v>
      </c>
      <c r="I2046" t="str" cm="1">
        <f t="array" ref="I2046:J2046">_xlfn.TEXTSPLIT(A2046," ")</f>
        <v>28.10.2023</v>
      </c>
      <c r="J2046" t="str">
        <v>10:07:39</v>
      </c>
      <c r="K2046">
        <f t="shared" si="434"/>
        <v>34.049999999999351</v>
      </c>
      <c r="L2046">
        <f t="shared" si="431"/>
        <v>19.950000000000003</v>
      </c>
      <c r="M2046">
        <f t="shared" si="432"/>
        <v>1.35</v>
      </c>
      <c r="N2046">
        <f t="shared" si="428"/>
        <v>0.49500000000000011</v>
      </c>
      <c r="Q2046" t="str" cm="1">
        <f t="array" ref="Q2046:R2046">_xlfn.TEXTSPLIT(E2046," ")</f>
        <v>28.10.2023</v>
      </c>
      <c r="R2046" t="str">
        <v>10:07:39</v>
      </c>
      <c r="S2046">
        <f t="shared" si="435"/>
        <v>34.049999999999351</v>
      </c>
      <c r="T2046">
        <f t="shared" si="430"/>
        <v>34.440000000000012</v>
      </c>
      <c r="U2046">
        <f t="shared" si="433"/>
        <v>1.95</v>
      </c>
      <c r="V2046">
        <f t="shared" si="429"/>
        <v>0.88999999999999979</v>
      </c>
    </row>
    <row r="2047" spans="1:22" x14ac:dyDescent="0.25">
      <c r="A2047" t="s">
        <v>4003</v>
      </c>
      <c r="B2047">
        <v>2.4</v>
      </c>
      <c r="C2047">
        <v>34.299999999999997</v>
      </c>
      <c r="E2047" t="s">
        <v>4003</v>
      </c>
      <c r="F2047">
        <v>1.95</v>
      </c>
      <c r="G2047">
        <v>113.08</v>
      </c>
      <c r="I2047" t="str" cm="1">
        <f t="array" ref="I2047:J2047">_xlfn.TEXTSPLIT(A2047," ")</f>
        <v>28.10.2023</v>
      </c>
      <c r="J2047" t="str">
        <v>10:08:39</v>
      </c>
      <c r="K2047">
        <f t="shared" si="434"/>
        <v>34.066666666666016</v>
      </c>
      <c r="L2047">
        <f t="shared" si="431"/>
        <v>19.979999999999997</v>
      </c>
      <c r="M2047">
        <f t="shared" si="432"/>
        <v>2.4</v>
      </c>
      <c r="N2047">
        <f t="shared" ref="N2047:N2110" si="436">AVERAGE(M1988:M2047)</f>
        <v>0.50000000000000011</v>
      </c>
      <c r="Q2047" t="str" cm="1">
        <f t="array" ref="Q2047:R2047">_xlfn.TEXTSPLIT(E2047," ")</f>
        <v>28.10.2023</v>
      </c>
      <c r="R2047" t="str">
        <v>10:08:39</v>
      </c>
      <c r="S2047">
        <f t="shared" si="435"/>
        <v>34.066666666666016</v>
      </c>
      <c r="T2047">
        <f t="shared" si="430"/>
        <v>34.480000000000004</v>
      </c>
      <c r="U2047">
        <f t="shared" si="433"/>
        <v>1.95</v>
      </c>
      <c r="V2047">
        <f t="shared" ref="V2047:V2110" si="437">AVERAGE(U1988:U2047)</f>
        <v>0.8949999999999998</v>
      </c>
    </row>
    <row r="2048" spans="1:22" x14ac:dyDescent="0.25">
      <c r="A2048" t="s">
        <v>4004</v>
      </c>
      <c r="B2048">
        <v>1.65</v>
      </c>
      <c r="C2048">
        <v>34.32</v>
      </c>
      <c r="E2048" t="s">
        <v>4004</v>
      </c>
      <c r="F2048">
        <v>2.1</v>
      </c>
      <c r="G2048">
        <v>113.11</v>
      </c>
      <c r="I2048" t="str" cm="1">
        <f t="array" ref="I2048:J2048">_xlfn.TEXTSPLIT(A2048," ")</f>
        <v>28.10.2023</v>
      </c>
      <c r="J2048" t="str">
        <v>10:09:39</v>
      </c>
      <c r="K2048">
        <f t="shared" si="434"/>
        <v>34.083333333332682</v>
      </c>
      <c r="L2048">
        <f t="shared" si="431"/>
        <v>20</v>
      </c>
      <c r="M2048">
        <f t="shared" si="432"/>
        <v>1.65</v>
      </c>
      <c r="N2048">
        <f t="shared" si="436"/>
        <v>0.4975</v>
      </c>
      <c r="Q2048" t="str" cm="1">
        <f t="array" ref="Q2048:R2048">_xlfn.TEXTSPLIT(E2048," ")</f>
        <v>28.10.2023</v>
      </c>
      <c r="R2048" t="str">
        <v>10:09:39</v>
      </c>
      <c r="S2048">
        <f t="shared" si="435"/>
        <v>34.083333333332682</v>
      </c>
      <c r="T2048">
        <f t="shared" si="430"/>
        <v>34.510000000000005</v>
      </c>
      <c r="U2048">
        <f t="shared" si="433"/>
        <v>2.1</v>
      </c>
      <c r="V2048">
        <f t="shared" si="437"/>
        <v>0.91249999999999976</v>
      </c>
    </row>
    <row r="2049" spans="1:22" x14ac:dyDescent="0.25">
      <c r="A2049" t="s">
        <v>4005</v>
      </c>
      <c r="B2049">
        <v>1.2</v>
      </c>
      <c r="C2049">
        <v>34.340000000000003</v>
      </c>
      <c r="E2049" t="s">
        <v>4005</v>
      </c>
      <c r="F2049">
        <v>1.65</v>
      </c>
      <c r="G2049">
        <v>113.13</v>
      </c>
      <c r="I2049" t="str" cm="1">
        <f t="array" ref="I2049:J2049">_xlfn.TEXTSPLIT(A2049," ")</f>
        <v>28.10.2023</v>
      </c>
      <c r="J2049" t="str">
        <v>10:10:39</v>
      </c>
      <c r="K2049">
        <f t="shared" si="434"/>
        <v>34.099999999999348</v>
      </c>
      <c r="L2049">
        <f t="shared" si="431"/>
        <v>20.020000000000003</v>
      </c>
      <c r="M2049">
        <f t="shared" si="432"/>
        <v>1.2</v>
      </c>
      <c r="N2049">
        <f t="shared" si="436"/>
        <v>0.50000000000000011</v>
      </c>
      <c r="Q2049" t="str" cm="1">
        <f t="array" ref="Q2049:R2049">_xlfn.TEXTSPLIT(E2049," ")</f>
        <v>28.10.2023</v>
      </c>
      <c r="R2049" t="str">
        <v>10:10:39</v>
      </c>
      <c r="S2049">
        <f t="shared" si="435"/>
        <v>34.099999999999348</v>
      </c>
      <c r="T2049">
        <f t="shared" si="430"/>
        <v>34.53</v>
      </c>
      <c r="U2049">
        <f t="shared" si="433"/>
        <v>1.65</v>
      </c>
      <c r="V2049">
        <f t="shared" si="437"/>
        <v>0.91749999999999987</v>
      </c>
    </row>
    <row r="2050" spans="1:22" x14ac:dyDescent="0.25">
      <c r="A2050" t="s">
        <v>4006</v>
      </c>
      <c r="B2050">
        <v>0.75</v>
      </c>
      <c r="C2050">
        <v>34.35</v>
      </c>
      <c r="E2050" t="s">
        <v>4006</v>
      </c>
      <c r="F2050">
        <v>0.9</v>
      </c>
      <c r="G2050">
        <v>113.14</v>
      </c>
      <c r="I2050" t="str" cm="1">
        <f t="array" ref="I2050:J2050">_xlfn.TEXTSPLIT(A2050," ")</f>
        <v>28.10.2023</v>
      </c>
      <c r="J2050" t="str">
        <v>10:11:39</v>
      </c>
      <c r="K2050">
        <f t="shared" si="434"/>
        <v>34.116666666666013</v>
      </c>
      <c r="L2050">
        <f t="shared" si="431"/>
        <v>20.03</v>
      </c>
      <c r="M2050">
        <f t="shared" si="432"/>
        <v>0.75</v>
      </c>
      <c r="N2050">
        <f t="shared" si="436"/>
        <v>0.50000000000000011</v>
      </c>
      <c r="Q2050" t="str" cm="1">
        <f t="array" ref="Q2050:R2050">_xlfn.TEXTSPLIT(E2050," ")</f>
        <v>28.10.2023</v>
      </c>
      <c r="R2050" t="str">
        <v>10:11:39</v>
      </c>
      <c r="S2050">
        <f t="shared" si="435"/>
        <v>34.116666666666013</v>
      </c>
      <c r="T2050">
        <f t="shared" si="430"/>
        <v>34.540000000000006</v>
      </c>
      <c r="U2050">
        <f t="shared" si="433"/>
        <v>0.9</v>
      </c>
      <c r="V2050">
        <f t="shared" si="437"/>
        <v>0.90999999999999981</v>
      </c>
    </row>
    <row r="2051" spans="1:22" x14ac:dyDescent="0.25">
      <c r="A2051" t="s">
        <v>4007</v>
      </c>
      <c r="B2051">
        <v>0.6</v>
      </c>
      <c r="C2051">
        <v>34.35</v>
      </c>
      <c r="E2051" t="s">
        <v>4007</v>
      </c>
      <c r="F2051">
        <v>0.75</v>
      </c>
      <c r="G2051">
        <v>113.15</v>
      </c>
      <c r="I2051" t="str" cm="1">
        <f t="array" ref="I2051:J2051">_xlfn.TEXTSPLIT(A2051," ")</f>
        <v>28.10.2023</v>
      </c>
      <c r="J2051" t="str">
        <v>10:12:39</v>
      </c>
      <c r="K2051">
        <f t="shared" si="434"/>
        <v>34.133333333332679</v>
      </c>
      <c r="L2051">
        <f t="shared" si="431"/>
        <v>20.03</v>
      </c>
      <c r="M2051">
        <f t="shared" si="432"/>
        <v>0.6</v>
      </c>
      <c r="N2051">
        <f t="shared" si="436"/>
        <v>0.5</v>
      </c>
      <c r="Q2051" t="str" cm="1">
        <f t="array" ref="Q2051:R2051">_xlfn.TEXTSPLIT(E2051," ")</f>
        <v>28.10.2023</v>
      </c>
      <c r="R2051" t="str">
        <v>10:12:39</v>
      </c>
      <c r="S2051">
        <f t="shared" si="435"/>
        <v>34.133333333332679</v>
      </c>
      <c r="T2051">
        <f t="shared" ref="T2051:T2114" si="438">G2051-78.6</f>
        <v>34.550000000000011</v>
      </c>
      <c r="U2051">
        <f t="shared" si="433"/>
        <v>0.75</v>
      </c>
      <c r="V2051">
        <f t="shared" si="437"/>
        <v>0.89999999999999991</v>
      </c>
    </row>
    <row r="2052" spans="1:22" x14ac:dyDescent="0.25">
      <c r="A2052" t="s">
        <v>4008</v>
      </c>
      <c r="B2052">
        <v>0.45</v>
      </c>
      <c r="C2052">
        <v>34.36</v>
      </c>
      <c r="E2052" t="s">
        <v>4008</v>
      </c>
      <c r="F2052">
        <v>0.75</v>
      </c>
      <c r="G2052">
        <v>113.16</v>
      </c>
      <c r="I2052" t="str" cm="1">
        <f t="array" ref="I2052:J2052">_xlfn.TEXTSPLIT(A2052," ")</f>
        <v>28.10.2023</v>
      </c>
      <c r="J2052" t="str">
        <v>10:13:39</v>
      </c>
      <c r="K2052">
        <f t="shared" si="434"/>
        <v>34.149999999999345</v>
      </c>
      <c r="L2052">
        <f t="shared" ref="L2052:L2115" si="439">C2052-14.32</f>
        <v>20.04</v>
      </c>
      <c r="M2052">
        <f t="shared" ref="M2052:M2115" si="440">B2052</f>
        <v>0.45</v>
      </c>
      <c r="N2052">
        <f t="shared" si="436"/>
        <v>0.49999999999999994</v>
      </c>
      <c r="Q2052" t="str" cm="1">
        <f t="array" ref="Q2052:R2052">_xlfn.TEXTSPLIT(E2052," ")</f>
        <v>28.10.2023</v>
      </c>
      <c r="R2052" t="str">
        <v>10:13:39</v>
      </c>
      <c r="S2052">
        <f t="shared" si="435"/>
        <v>34.149999999999345</v>
      </c>
      <c r="T2052">
        <f t="shared" si="438"/>
        <v>34.56</v>
      </c>
      <c r="U2052">
        <f t="shared" ref="U2052:U2115" si="441">F2052</f>
        <v>0.75</v>
      </c>
      <c r="V2052">
        <f t="shared" si="437"/>
        <v>0.90249999999999997</v>
      </c>
    </row>
    <row r="2053" spans="1:22" x14ac:dyDescent="0.25">
      <c r="A2053" t="s">
        <v>4009</v>
      </c>
      <c r="B2053">
        <v>0.45</v>
      </c>
      <c r="C2053">
        <v>34.369999999999997</v>
      </c>
      <c r="E2053" t="s">
        <v>4009</v>
      </c>
      <c r="F2053">
        <v>0.6</v>
      </c>
      <c r="G2053">
        <v>113.18</v>
      </c>
      <c r="I2053" t="str" cm="1">
        <f t="array" ref="I2053:J2053">_xlfn.TEXTSPLIT(A2053," ")</f>
        <v>28.10.2023</v>
      </c>
      <c r="J2053" t="str">
        <v>10:14:40</v>
      </c>
      <c r="K2053">
        <f t="shared" ref="K2053:K2116" si="442">1/60+K2052</f>
        <v>34.166666666666011</v>
      </c>
      <c r="L2053">
        <f t="shared" si="439"/>
        <v>20.049999999999997</v>
      </c>
      <c r="M2053">
        <f t="shared" si="440"/>
        <v>0.45</v>
      </c>
      <c r="N2053">
        <f t="shared" si="436"/>
        <v>0.49999999999999994</v>
      </c>
      <c r="Q2053" t="str" cm="1">
        <f t="array" ref="Q2053:R2053">_xlfn.TEXTSPLIT(E2053," ")</f>
        <v>28.10.2023</v>
      </c>
      <c r="R2053" t="str">
        <v>10:14:40</v>
      </c>
      <c r="S2053">
        <f t="shared" ref="S2053:S2116" si="443">1/60+S2052</f>
        <v>34.166666666666011</v>
      </c>
      <c r="T2053">
        <f t="shared" si="438"/>
        <v>34.580000000000013</v>
      </c>
      <c r="U2053">
        <f t="shared" si="441"/>
        <v>0.6</v>
      </c>
      <c r="V2053">
        <f t="shared" si="437"/>
        <v>0.9</v>
      </c>
    </row>
    <row r="2054" spans="1:22" x14ac:dyDescent="0.25">
      <c r="A2054" t="s">
        <v>4010</v>
      </c>
      <c r="B2054">
        <v>0.45</v>
      </c>
      <c r="C2054">
        <v>34.380000000000003</v>
      </c>
      <c r="E2054" t="s">
        <v>4010</v>
      </c>
      <c r="F2054">
        <v>0.9</v>
      </c>
      <c r="G2054">
        <v>113.2</v>
      </c>
      <c r="I2054" t="str" cm="1">
        <f t="array" ref="I2054:J2054">_xlfn.TEXTSPLIT(A2054," ")</f>
        <v>28.10.2023</v>
      </c>
      <c r="J2054" t="str">
        <v>10:15:40</v>
      </c>
      <c r="K2054">
        <f t="shared" si="442"/>
        <v>34.183333333332676</v>
      </c>
      <c r="L2054">
        <f t="shared" si="439"/>
        <v>20.060000000000002</v>
      </c>
      <c r="M2054">
        <f t="shared" si="440"/>
        <v>0.45</v>
      </c>
      <c r="N2054">
        <f t="shared" si="436"/>
        <v>0.50249999999999995</v>
      </c>
      <c r="Q2054" t="str" cm="1">
        <f t="array" ref="Q2054:R2054">_xlfn.TEXTSPLIT(E2054," ")</f>
        <v>28.10.2023</v>
      </c>
      <c r="R2054" t="str">
        <v>10:15:40</v>
      </c>
      <c r="S2054">
        <f t="shared" si="443"/>
        <v>34.183333333332676</v>
      </c>
      <c r="T2054">
        <f t="shared" si="438"/>
        <v>34.600000000000009</v>
      </c>
      <c r="U2054">
        <f t="shared" si="441"/>
        <v>0.9</v>
      </c>
      <c r="V2054">
        <f t="shared" si="437"/>
        <v>0.90499999999999992</v>
      </c>
    </row>
    <row r="2055" spans="1:22" x14ac:dyDescent="0.25">
      <c r="A2055" t="s">
        <v>4011</v>
      </c>
      <c r="B2055">
        <v>0.6</v>
      </c>
      <c r="C2055">
        <v>34.39</v>
      </c>
      <c r="E2055" t="s">
        <v>4011</v>
      </c>
      <c r="F2055">
        <v>1.05</v>
      </c>
      <c r="G2055">
        <v>113.22</v>
      </c>
      <c r="I2055" t="str" cm="1">
        <f t="array" ref="I2055:J2055">_xlfn.TEXTSPLIT(A2055," ")</f>
        <v>28.10.2023</v>
      </c>
      <c r="J2055" t="str">
        <v>10:16:40</v>
      </c>
      <c r="K2055">
        <f t="shared" si="442"/>
        <v>34.199999999999342</v>
      </c>
      <c r="L2055">
        <f t="shared" si="439"/>
        <v>20.07</v>
      </c>
      <c r="M2055">
        <f t="shared" si="440"/>
        <v>0.6</v>
      </c>
      <c r="N2055">
        <f t="shared" si="436"/>
        <v>0.505</v>
      </c>
      <c r="Q2055" t="str" cm="1">
        <f t="array" ref="Q2055:R2055">_xlfn.TEXTSPLIT(E2055," ")</f>
        <v>28.10.2023</v>
      </c>
      <c r="R2055" t="str">
        <v>10:16:40</v>
      </c>
      <c r="S2055">
        <f t="shared" si="443"/>
        <v>34.199999999999342</v>
      </c>
      <c r="T2055">
        <f t="shared" si="438"/>
        <v>34.620000000000005</v>
      </c>
      <c r="U2055">
        <f t="shared" si="441"/>
        <v>1.05</v>
      </c>
      <c r="V2055">
        <f t="shared" si="437"/>
        <v>0.91249999999999987</v>
      </c>
    </row>
    <row r="2056" spans="1:22" x14ac:dyDescent="0.25">
      <c r="A2056" t="s">
        <v>4012</v>
      </c>
      <c r="B2056">
        <v>0.45</v>
      </c>
      <c r="C2056">
        <v>34.4</v>
      </c>
      <c r="E2056" t="s">
        <v>4012</v>
      </c>
      <c r="F2056">
        <v>1.35</v>
      </c>
      <c r="G2056">
        <v>113.24</v>
      </c>
      <c r="I2056" t="str" cm="1">
        <f t="array" ref="I2056:J2056">_xlfn.TEXTSPLIT(A2056," ")</f>
        <v>28.10.2023</v>
      </c>
      <c r="J2056" t="str">
        <v>10:17:40</v>
      </c>
      <c r="K2056">
        <f t="shared" si="442"/>
        <v>34.216666666666008</v>
      </c>
      <c r="L2056">
        <f t="shared" si="439"/>
        <v>20.079999999999998</v>
      </c>
      <c r="M2056">
        <f t="shared" si="440"/>
        <v>0.45</v>
      </c>
      <c r="N2056">
        <f t="shared" si="436"/>
        <v>0.5099999999999999</v>
      </c>
      <c r="Q2056" t="str" cm="1">
        <f t="array" ref="Q2056:R2056">_xlfn.TEXTSPLIT(E2056," ")</f>
        <v>28.10.2023</v>
      </c>
      <c r="R2056" t="str">
        <v>10:17:40</v>
      </c>
      <c r="S2056">
        <f t="shared" si="443"/>
        <v>34.216666666666008</v>
      </c>
      <c r="T2056">
        <f t="shared" si="438"/>
        <v>34.64</v>
      </c>
      <c r="U2056">
        <f t="shared" si="441"/>
        <v>1.35</v>
      </c>
      <c r="V2056">
        <f t="shared" si="437"/>
        <v>0.92249999999999999</v>
      </c>
    </row>
    <row r="2057" spans="1:22" x14ac:dyDescent="0.25">
      <c r="A2057" t="s">
        <v>4013</v>
      </c>
      <c r="B2057">
        <v>0.45</v>
      </c>
      <c r="C2057">
        <v>34.4</v>
      </c>
      <c r="E2057" t="s">
        <v>4013</v>
      </c>
      <c r="F2057">
        <v>0.9</v>
      </c>
      <c r="G2057">
        <v>113.25</v>
      </c>
      <c r="I2057" t="str" cm="1">
        <f t="array" ref="I2057:J2057">_xlfn.TEXTSPLIT(A2057," ")</f>
        <v>28.10.2023</v>
      </c>
      <c r="J2057" t="str">
        <v>10:18:40</v>
      </c>
      <c r="K2057">
        <f t="shared" si="442"/>
        <v>34.233333333332673</v>
      </c>
      <c r="L2057">
        <f t="shared" si="439"/>
        <v>20.079999999999998</v>
      </c>
      <c r="M2057">
        <f t="shared" si="440"/>
        <v>0.45</v>
      </c>
      <c r="N2057">
        <f t="shared" si="436"/>
        <v>0.5149999999999999</v>
      </c>
      <c r="Q2057" t="str" cm="1">
        <f t="array" ref="Q2057:R2057">_xlfn.TEXTSPLIT(E2057," ")</f>
        <v>28.10.2023</v>
      </c>
      <c r="R2057" t="str">
        <v>10:18:40</v>
      </c>
      <c r="S2057">
        <f t="shared" si="443"/>
        <v>34.233333333332673</v>
      </c>
      <c r="T2057">
        <f t="shared" si="438"/>
        <v>34.650000000000006</v>
      </c>
      <c r="U2057">
        <f t="shared" si="441"/>
        <v>0.9</v>
      </c>
      <c r="V2057">
        <f t="shared" si="437"/>
        <v>0.92249999999999988</v>
      </c>
    </row>
    <row r="2058" spans="1:22" x14ac:dyDescent="0.25">
      <c r="A2058" t="s">
        <v>4014</v>
      </c>
      <c r="B2058">
        <v>0.15</v>
      </c>
      <c r="C2058">
        <v>34.4</v>
      </c>
      <c r="E2058" t="s">
        <v>4014</v>
      </c>
      <c r="F2058">
        <v>0.6</v>
      </c>
      <c r="G2058">
        <v>113.26</v>
      </c>
      <c r="I2058" t="str" cm="1">
        <f t="array" ref="I2058:J2058">_xlfn.TEXTSPLIT(A2058," ")</f>
        <v>28.10.2023</v>
      </c>
      <c r="J2058" t="str">
        <v>10:19:40</v>
      </c>
      <c r="K2058">
        <f t="shared" si="442"/>
        <v>34.249999999999339</v>
      </c>
      <c r="L2058">
        <f t="shared" si="439"/>
        <v>20.079999999999998</v>
      </c>
      <c r="M2058">
        <f t="shared" si="440"/>
        <v>0.15</v>
      </c>
      <c r="N2058">
        <f t="shared" si="436"/>
        <v>0.51249999999999984</v>
      </c>
      <c r="Q2058" t="str" cm="1">
        <f t="array" ref="Q2058:R2058">_xlfn.TEXTSPLIT(E2058," ")</f>
        <v>28.10.2023</v>
      </c>
      <c r="R2058" t="str">
        <v>10:19:40</v>
      </c>
      <c r="S2058">
        <f t="shared" si="443"/>
        <v>34.249999999999339</v>
      </c>
      <c r="T2058">
        <f t="shared" si="438"/>
        <v>34.660000000000011</v>
      </c>
      <c r="U2058">
        <f t="shared" si="441"/>
        <v>0.6</v>
      </c>
      <c r="V2058">
        <f t="shared" si="437"/>
        <v>0.91249999999999998</v>
      </c>
    </row>
    <row r="2059" spans="1:22" x14ac:dyDescent="0.25">
      <c r="A2059" t="s">
        <v>4015</v>
      </c>
      <c r="B2059">
        <v>0.3</v>
      </c>
      <c r="C2059">
        <v>34.42</v>
      </c>
      <c r="E2059" t="s">
        <v>4015</v>
      </c>
      <c r="F2059">
        <v>0.75</v>
      </c>
      <c r="G2059">
        <v>113.26</v>
      </c>
      <c r="I2059" t="str" cm="1">
        <f t="array" ref="I2059:J2059">_xlfn.TEXTSPLIT(A2059," ")</f>
        <v>28.10.2023</v>
      </c>
      <c r="J2059" t="str">
        <v>10:20:41</v>
      </c>
      <c r="K2059">
        <f t="shared" si="442"/>
        <v>34.266666666666005</v>
      </c>
      <c r="L2059">
        <f t="shared" si="439"/>
        <v>20.100000000000001</v>
      </c>
      <c r="M2059">
        <f t="shared" si="440"/>
        <v>0.3</v>
      </c>
      <c r="N2059">
        <f t="shared" si="436"/>
        <v>0.51249999999999984</v>
      </c>
      <c r="Q2059" t="str" cm="1">
        <f t="array" ref="Q2059:R2059">_xlfn.TEXTSPLIT(E2059," ")</f>
        <v>28.10.2023</v>
      </c>
      <c r="R2059" t="str">
        <v>10:20:41</v>
      </c>
      <c r="S2059">
        <f t="shared" si="443"/>
        <v>34.266666666666005</v>
      </c>
      <c r="T2059">
        <f t="shared" si="438"/>
        <v>34.660000000000011</v>
      </c>
      <c r="U2059">
        <f t="shared" si="441"/>
        <v>0.75</v>
      </c>
      <c r="V2059">
        <f t="shared" si="437"/>
        <v>0.90999999999999981</v>
      </c>
    </row>
    <row r="2060" spans="1:22" x14ac:dyDescent="0.25">
      <c r="A2060" t="s">
        <v>4016</v>
      </c>
      <c r="B2060">
        <v>0.6</v>
      </c>
      <c r="C2060">
        <v>34.42</v>
      </c>
      <c r="E2060" t="s">
        <v>4016</v>
      </c>
      <c r="F2060">
        <v>0</v>
      </c>
      <c r="G2060">
        <v>113.26</v>
      </c>
      <c r="I2060" t="str" cm="1">
        <f t="array" ref="I2060:J2060">_xlfn.TEXTSPLIT(A2060," ")</f>
        <v>28.10.2023</v>
      </c>
      <c r="J2060" t="str">
        <v>10:21:41</v>
      </c>
      <c r="K2060">
        <f t="shared" si="442"/>
        <v>34.283333333332671</v>
      </c>
      <c r="L2060">
        <f t="shared" si="439"/>
        <v>20.100000000000001</v>
      </c>
      <c r="M2060">
        <f t="shared" si="440"/>
        <v>0.6</v>
      </c>
      <c r="N2060">
        <f t="shared" si="436"/>
        <v>0.5149999999999999</v>
      </c>
      <c r="Q2060" t="str" cm="1">
        <f t="array" ref="Q2060:R2060">_xlfn.TEXTSPLIT(E2060," ")</f>
        <v>28.10.2023</v>
      </c>
      <c r="R2060" t="str">
        <v>10:21:41</v>
      </c>
      <c r="S2060">
        <f t="shared" si="443"/>
        <v>34.283333333332671</v>
      </c>
      <c r="T2060">
        <f t="shared" si="438"/>
        <v>34.660000000000011</v>
      </c>
      <c r="U2060">
        <f t="shared" si="441"/>
        <v>0</v>
      </c>
      <c r="V2060">
        <f t="shared" si="437"/>
        <v>0.90999999999999981</v>
      </c>
    </row>
    <row r="2061" spans="1:22" x14ac:dyDescent="0.25">
      <c r="A2061" t="s">
        <v>4017</v>
      </c>
      <c r="B2061">
        <v>0.15</v>
      </c>
      <c r="C2061">
        <v>34.42</v>
      </c>
      <c r="E2061" t="s">
        <v>4017</v>
      </c>
      <c r="F2061">
        <v>0</v>
      </c>
      <c r="G2061">
        <v>113.26</v>
      </c>
      <c r="I2061" t="str" cm="1">
        <f t="array" ref="I2061:J2061">_xlfn.TEXTSPLIT(A2061," ")</f>
        <v>28.10.2023</v>
      </c>
      <c r="J2061" t="str">
        <v>10:22:41</v>
      </c>
      <c r="K2061">
        <f t="shared" si="442"/>
        <v>34.299999999999336</v>
      </c>
      <c r="L2061">
        <f t="shared" si="439"/>
        <v>20.100000000000001</v>
      </c>
      <c r="M2061">
        <f t="shared" si="440"/>
        <v>0.15</v>
      </c>
      <c r="N2061">
        <f t="shared" si="436"/>
        <v>0.5149999999999999</v>
      </c>
      <c r="Q2061" t="str" cm="1">
        <f t="array" ref="Q2061:R2061">_xlfn.TEXTSPLIT(E2061," ")</f>
        <v>28.10.2023</v>
      </c>
      <c r="R2061" t="str">
        <v>10:22:41</v>
      </c>
      <c r="S2061">
        <f t="shared" si="443"/>
        <v>34.299999999999336</v>
      </c>
      <c r="T2061">
        <f t="shared" si="438"/>
        <v>34.660000000000011</v>
      </c>
      <c r="U2061">
        <f t="shared" si="441"/>
        <v>0</v>
      </c>
      <c r="V2061">
        <f t="shared" si="437"/>
        <v>0.90999999999999981</v>
      </c>
    </row>
    <row r="2062" spans="1:22" x14ac:dyDescent="0.25">
      <c r="A2062" t="s">
        <v>4018</v>
      </c>
      <c r="B2062">
        <v>0</v>
      </c>
      <c r="C2062">
        <v>34.42</v>
      </c>
      <c r="E2062" t="s">
        <v>4018</v>
      </c>
      <c r="F2062">
        <v>0.15</v>
      </c>
      <c r="G2062">
        <v>113.26</v>
      </c>
      <c r="I2062" t="str" cm="1">
        <f t="array" ref="I2062:J2062">_xlfn.TEXTSPLIT(A2062," ")</f>
        <v>28.10.2023</v>
      </c>
      <c r="J2062" t="str">
        <v>10:23:41</v>
      </c>
      <c r="K2062">
        <f t="shared" si="442"/>
        <v>34.316666666666002</v>
      </c>
      <c r="L2062">
        <f t="shared" si="439"/>
        <v>20.100000000000001</v>
      </c>
      <c r="M2062">
        <f t="shared" si="440"/>
        <v>0</v>
      </c>
      <c r="N2062">
        <f t="shared" si="436"/>
        <v>0.5149999999999999</v>
      </c>
      <c r="Q2062" t="str" cm="1">
        <f t="array" ref="Q2062:R2062">_xlfn.TEXTSPLIT(E2062," ")</f>
        <v>28.10.2023</v>
      </c>
      <c r="R2062" t="str">
        <v>10:23:41</v>
      </c>
      <c r="S2062">
        <f t="shared" si="443"/>
        <v>34.316666666666002</v>
      </c>
      <c r="T2062">
        <f t="shared" si="438"/>
        <v>34.660000000000011</v>
      </c>
      <c r="U2062">
        <f t="shared" si="441"/>
        <v>0.15</v>
      </c>
      <c r="V2062">
        <f t="shared" si="437"/>
        <v>0.90999999999999981</v>
      </c>
    </row>
    <row r="2063" spans="1:22" x14ac:dyDescent="0.25">
      <c r="A2063" t="s">
        <v>4019</v>
      </c>
      <c r="B2063">
        <v>0</v>
      </c>
      <c r="C2063">
        <v>34.42</v>
      </c>
      <c r="E2063" t="s">
        <v>4019</v>
      </c>
      <c r="F2063">
        <v>0.15</v>
      </c>
      <c r="G2063">
        <v>113.27</v>
      </c>
      <c r="I2063" t="str" cm="1">
        <f t="array" ref="I2063:J2063">_xlfn.TEXTSPLIT(A2063," ")</f>
        <v>28.10.2023</v>
      </c>
      <c r="J2063" t="str">
        <v>10:24:41</v>
      </c>
      <c r="K2063">
        <f t="shared" si="442"/>
        <v>34.333333333332668</v>
      </c>
      <c r="L2063">
        <f t="shared" si="439"/>
        <v>20.100000000000001</v>
      </c>
      <c r="M2063">
        <f t="shared" si="440"/>
        <v>0</v>
      </c>
      <c r="N2063">
        <f t="shared" si="436"/>
        <v>0.5149999999999999</v>
      </c>
      <c r="Q2063" t="str" cm="1">
        <f t="array" ref="Q2063:R2063">_xlfn.TEXTSPLIT(E2063," ")</f>
        <v>28.10.2023</v>
      </c>
      <c r="R2063" t="str">
        <v>10:24:41</v>
      </c>
      <c r="S2063">
        <f t="shared" si="443"/>
        <v>34.333333333332668</v>
      </c>
      <c r="T2063">
        <f t="shared" si="438"/>
        <v>34.67</v>
      </c>
      <c r="U2063">
        <f t="shared" si="441"/>
        <v>0.15</v>
      </c>
      <c r="V2063">
        <f t="shared" si="437"/>
        <v>0.90999999999999992</v>
      </c>
    </row>
    <row r="2064" spans="1:22" x14ac:dyDescent="0.25">
      <c r="A2064" t="s">
        <v>4020</v>
      </c>
      <c r="B2064">
        <v>0</v>
      </c>
      <c r="C2064">
        <v>34.42</v>
      </c>
      <c r="E2064" t="s">
        <v>4020</v>
      </c>
      <c r="F2064">
        <v>0.3</v>
      </c>
      <c r="G2064">
        <v>113.27</v>
      </c>
      <c r="I2064" t="str" cm="1">
        <f t="array" ref="I2064:J2064">_xlfn.TEXTSPLIT(A2064," ")</f>
        <v>28.10.2023</v>
      </c>
      <c r="J2064" t="str">
        <v>10:25:41</v>
      </c>
      <c r="K2064">
        <f t="shared" si="442"/>
        <v>34.349999999999334</v>
      </c>
      <c r="L2064">
        <f t="shared" si="439"/>
        <v>20.100000000000001</v>
      </c>
      <c r="M2064">
        <f t="shared" si="440"/>
        <v>0</v>
      </c>
      <c r="N2064">
        <f t="shared" si="436"/>
        <v>0.5149999999999999</v>
      </c>
      <c r="Q2064" t="str" cm="1">
        <f t="array" ref="Q2064:R2064">_xlfn.TEXTSPLIT(E2064," ")</f>
        <v>28.10.2023</v>
      </c>
      <c r="R2064" t="str">
        <v>10:25:41</v>
      </c>
      <c r="S2064">
        <f t="shared" si="443"/>
        <v>34.349999999999334</v>
      </c>
      <c r="T2064">
        <f t="shared" si="438"/>
        <v>34.67</v>
      </c>
      <c r="U2064">
        <f t="shared" si="441"/>
        <v>0.3</v>
      </c>
      <c r="V2064">
        <f t="shared" si="437"/>
        <v>0.90749999999999986</v>
      </c>
    </row>
    <row r="2065" spans="1:22" x14ac:dyDescent="0.25">
      <c r="A2065" t="s">
        <v>4021</v>
      </c>
      <c r="B2065">
        <v>0</v>
      </c>
      <c r="C2065">
        <v>34.42</v>
      </c>
      <c r="E2065" t="s">
        <v>4021</v>
      </c>
      <c r="F2065">
        <v>0.3</v>
      </c>
      <c r="G2065">
        <v>113.28</v>
      </c>
      <c r="I2065" t="str" cm="1">
        <f t="array" ref="I2065:J2065">_xlfn.TEXTSPLIT(A2065," ")</f>
        <v>28.10.2023</v>
      </c>
      <c r="J2065" t="str">
        <v>10:26:41</v>
      </c>
      <c r="K2065">
        <f t="shared" si="442"/>
        <v>34.366666666665999</v>
      </c>
      <c r="L2065">
        <f t="shared" si="439"/>
        <v>20.100000000000001</v>
      </c>
      <c r="M2065">
        <f t="shared" si="440"/>
        <v>0</v>
      </c>
      <c r="N2065">
        <f t="shared" si="436"/>
        <v>0.5149999999999999</v>
      </c>
      <c r="Q2065" t="str" cm="1">
        <f t="array" ref="Q2065:R2065">_xlfn.TEXTSPLIT(E2065," ")</f>
        <v>28.10.2023</v>
      </c>
      <c r="R2065" t="str">
        <v>10:26:41</v>
      </c>
      <c r="S2065">
        <f t="shared" si="443"/>
        <v>34.366666666665999</v>
      </c>
      <c r="T2065">
        <f t="shared" si="438"/>
        <v>34.680000000000007</v>
      </c>
      <c r="U2065">
        <f t="shared" si="441"/>
        <v>0.3</v>
      </c>
      <c r="V2065">
        <f t="shared" si="437"/>
        <v>0.90499999999999969</v>
      </c>
    </row>
    <row r="2066" spans="1:22" x14ac:dyDescent="0.25">
      <c r="A2066" t="s">
        <v>4022</v>
      </c>
      <c r="B2066">
        <v>0</v>
      </c>
      <c r="C2066">
        <v>34.42</v>
      </c>
      <c r="E2066" t="s">
        <v>4022</v>
      </c>
      <c r="F2066">
        <v>0.3</v>
      </c>
      <c r="G2066">
        <v>113.29</v>
      </c>
      <c r="I2066" t="str" cm="1">
        <f t="array" ref="I2066:J2066">_xlfn.TEXTSPLIT(A2066," ")</f>
        <v>28.10.2023</v>
      </c>
      <c r="J2066" t="str">
        <v>10:27:42</v>
      </c>
      <c r="K2066">
        <f t="shared" si="442"/>
        <v>34.383333333332665</v>
      </c>
      <c r="L2066">
        <f t="shared" si="439"/>
        <v>20.100000000000001</v>
      </c>
      <c r="M2066">
        <f t="shared" si="440"/>
        <v>0</v>
      </c>
      <c r="N2066">
        <f t="shared" si="436"/>
        <v>0.5149999999999999</v>
      </c>
      <c r="Q2066" t="str" cm="1">
        <f t="array" ref="Q2066:R2066">_xlfn.TEXTSPLIT(E2066," ")</f>
        <v>28.10.2023</v>
      </c>
      <c r="R2066" t="str">
        <v>10:27:42</v>
      </c>
      <c r="S2066">
        <f t="shared" si="443"/>
        <v>34.383333333332665</v>
      </c>
      <c r="T2066">
        <f t="shared" si="438"/>
        <v>34.690000000000012</v>
      </c>
      <c r="U2066">
        <f t="shared" si="441"/>
        <v>0.3</v>
      </c>
      <c r="V2066">
        <f t="shared" si="437"/>
        <v>0.90249999999999975</v>
      </c>
    </row>
    <row r="2067" spans="1:22" x14ac:dyDescent="0.25">
      <c r="A2067" t="s">
        <v>4023</v>
      </c>
      <c r="B2067">
        <v>0</v>
      </c>
      <c r="C2067">
        <v>34.43</v>
      </c>
      <c r="E2067" t="s">
        <v>4023</v>
      </c>
      <c r="F2067">
        <v>0.45</v>
      </c>
      <c r="G2067">
        <v>113.3</v>
      </c>
      <c r="I2067" t="str" cm="1">
        <f t="array" ref="I2067:J2067">_xlfn.TEXTSPLIT(A2067," ")</f>
        <v>28.10.2023</v>
      </c>
      <c r="J2067" t="str">
        <v>10:28:42</v>
      </c>
      <c r="K2067">
        <f t="shared" si="442"/>
        <v>34.399999999999331</v>
      </c>
      <c r="L2067">
        <f t="shared" si="439"/>
        <v>20.11</v>
      </c>
      <c r="M2067">
        <f t="shared" si="440"/>
        <v>0</v>
      </c>
      <c r="N2067">
        <f t="shared" si="436"/>
        <v>0.5149999999999999</v>
      </c>
      <c r="Q2067" t="str" cm="1">
        <f t="array" ref="Q2067:R2067">_xlfn.TEXTSPLIT(E2067," ")</f>
        <v>28.10.2023</v>
      </c>
      <c r="R2067" t="str">
        <v>10:28:42</v>
      </c>
      <c r="S2067">
        <f t="shared" si="443"/>
        <v>34.399999999999331</v>
      </c>
      <c r="T2067">
        <f t="shared" si="438"/>
        <v>34.700000000000003</v>
      </c>
      <c r="U2067">
        <f t="shared" si="441"/>
        <v>0.45</v>
      </c>
      <c r="V2067">
        <f t="shared" si="437"/>
        <v>0.90249999999999986</v>
      </c>
    </row>
    <row r="2068" spans="1:22" x14ac:dyDescent="0.25">
      <c r="A2068" t="s">
        <v>4024</v>
      </c>
      <c r="B2068">
        <v>0.15</v>
      </c>
      <c r="C2068">
        <v>34.43</v>
      </c>
      <c r="E2068" t="s">
        <v>4024</v>
      </c>
      <c r="F2068">
        <v>0.75</v>
      </c>
      <c r="G2068">
        <v>113.31</v>
      </c>
      <c r="I2068" t="str" cm="1">
        <f t="array" ref="I2068:J2068">_xlfn.TEXTSPLIT(A2068," ")</f>
        <v>28.10.2023</v>
      </c>
      <c r="J2068" t="str">
        <v>10:29:42</v>
      </c>
      <c r="K2068">
        <f t="shared" si="442"/>
        <v>34.416666666665996</v>
      </c>
      <c r="L2068">
        <f t="shared" si="439"/>
        <v>20.11</v>
      </c>
      <c r="M2068">
        <f t="shared" si="440"/>
        <v>0.15</v>
      </c>
      <c r="N2068">
        <f t="shared" si="436"/>
        <v>0.51749999999999985</v>
      </c>
      <c r="Q2068" t="str" cm="1">
        <f t="array" ref="Q2068:R2068">_xlfn.TEXTSPLIT(E2068," ")</f>
        <v>28.10.2023</v>
      </c>
      <c r="R2068" t="str">
        <v>10:29:42</v>
      </c>
      <c r="S2068">
        <f t="shared" si="443"/>
        <v>34.416666666665996</v>
      </c>
      <c r="T2068">
        <f t="shared" si="438"/>
        <v>34.710000000000008</v>
      </c>
      <c r="U2068">
        <f t="shared" si="441"/>
        <v>0.75</v>
      </c>
      <c r="V2068">
        <f t="shared" si="437"/>
        <v>0.90749999999999986</v>
      </c>
    </row>
    <row r="2069" spans="1:22" x14ac:dyDescent="0.25">
      <c r="A2069" t="s">
        <v>4025</v>
      </c>
      <c r="B2069">
        <v>0.3</v>
      </c>
      <c r="C2069">
        <v>34.43</v>
      </c>
      <c r="E2069" t="s">
        <v>4025</v>
      </c>
      <c r="F2069">
        <v>0.9</v>
      </c>
      <c r="G2069">
        <v>113.33</v>
      </c>
      <c r="I2069" t="str" cm="1">
        <f t="array" ref="I2069:J2069">_xlfn.TEXTSPLIT(A2069," ")</f>
        <v>28.10.2023</v>
      </c>
      <c r="J2069" t="str">
        <v>10:30:42</v>
      </c>
      <c r="K2069">
        <f t="shared" si="442"/>
        <v>34.433333333332662</v>
      </c>
      <c r="L2069">
        <f t="shared" si="439"/>
        <v>20.11</v>
      </c>
      <c r="M2069">
        <f t="shared" si="440"/>
        <v>0.3</v>
      </c>
      <c r="N2069">
        <f t="shared" si="436"/>
        <v>0.52249999999999985</v>
      </c>
      <c r="Q2069" t="str" cm="1">
        <f t="array" ref="Q2069:R2069">_xlfn.TEXTSPLIT(E2069," ")</f>
        <v>28.10.2023</v>
      </c>
      <c r="R2069" t="str">
        <v>10:30:42</v>
      </c>
      <c r="S2069">
        <f t="shared" si="443"/>
        <v>34.433333333332662</v>
      </c>
      <c r="T2069">
        <f t="shared" si="438"/>
        <v>34.730000000000004</v>
      </c>
      <c r="U2069">
        <f t="shared" si="441"/>
        <v>0.9</v>
      </c>
      <c r="V2069">
        <f t="shared" si="437"/>
        <v>0.90999999999999981</v>
      </c>
    </row>
    <row r="2070" spans="1:22" x14ac:dyDescent="0.25">
      <c r="A2070" t="s">
        <v>4026</v>
      </c>
      <c r="B2070">
        <v>0.3</v>
      </c>
      <c r="C2070">
        <v>34.44</v>
      </c>
      <c r="E2070" t="s">
        <v>4026</v>
      </c>
      <c r="F2070">
        <v>0.9</v>
      </c>
      <c r="G2070">
        <v>113.35</v>
      </c>
      <c r="I2070" t="str" cm="1">
        <f t="array" ref="I2070:J2070">_xlfn.TEXTSPLIT(A2070," ")</f>
        <v>28.10.2023</v>
      </c>
      <c r="J2070" t="str">
        <v>10:31:42</v>
      </c>
      <c r="K2070">
        <f t="shared" si="442"/>
        <v>34.449999999999328</v>
      </c>
      <c r="L2070">
        <f t="shared" si="439"/>
        <v>20.119999999999997</v>
      </c>
      <c r="M2070">
        <f t="shared" si="440"/>
        <v>0.3</v>
      </c>
      <c r="N2070">
        <f t="shared" si="436"/>
        <v>0.52749999999999986</v>
      </c>
      <c r="Q2070" t="str" cm="1">
        <f t="array" ref="Q2070:R2070">_xlfn.TEXTSPLIT(E2070," ")</f>
        <v>28.10.2023</v>
      </c>
      <c r="R2070" t="str">
        <v>10:31:42</v>
      </c>
      <c r="S2070">
        <f t="shared" si="443"/>
        <v>34.449999999999328</v>
      </c>
      <c r="T2070">
        <f t="shared" si="438"/>
        <v>34.75</v>
      </c>
      <c r="U2070">
        <f t="shared" si="441"/>
        <v>0.9</v>
      </c>
      <c r="V2070">
        <f t="shared" si="437"/>
        <v>0.91749999999999987</v>
      </c>
    </row>
    <row r="2071" spans="1:22" x14ac:dyDescent="0.25">
      <c r="A2071" t="s">
        <v>4027</v>
      </c>
      <c r="B2071">
        <v>0.15</v>
      </c>
      <c r="C2071">
        <v>34.44</v>
      </c>
      <c r="E2071" t="s">
        <v>4027</v>
      </c>
      <c r="F2071">
        <v>1.05</v>
      </c>
      <c r="G2071">
        <v>113.36</v>
      </c>
      <c r="I2071" t="str" cm="1">
        <f t="array" ref="I2071:J2071">_xlfn.TEXTSPLIT(A2071," ")</f>
        <v>28.10.2023</v>
      </c>
      <c r="J2071" t="str">
        <v>10:32:42</v>
      </c>
      <c r="K2071">
        <f t="shared" si="442"/>
        <v>34.466666666665994</v>
      </c>
      <c r="L2071">
        <f t="shared" si="439"/>
        <v>20.119999999999997</v>
      </c>
      <c r="M2071">
        <f t="shared" si="440"/>
        <v>0.15</v>
      </c>
      <c r="N2071">
        <f t="shared" si="436"/>
        <v>0.52499999999999991</v>
      </c>
      <c r="Q2071" t="str" cm="1">
        <f t="array" ref="Q2071:R2071">_xlfn.TEXTSPLIT(E2071," ")</f>
        <v>28.10.2023</v>
      </c>
      <c r="R2071" t="str">
        <v>10:32:42</v>
      </c>
      <c r="S2071">
        <f t="shared" si="443"/>
        <v>34.466666666665994</v>
      </c>
      <c r="T2071">
        <f t="shared" si="438"/>
        <v>34.760000000000005</v>
      </c>
      <c r="U2071">
        <f t="shared" si="441"/>
        <v>1.05</v>
      </c>
      <c r="V2071">
        <f t="shared" si="437"/>
        <v>0.92249999999999976</v>
      </c>
    </row>
    <row r="2072" spans="1:22" x14ac:dyDescent="0.25">
      <c r="A2072" t="s">
        <v>4028</v>
      </c>
      <c r="B2072">
        <v>0.3</v>
      </c>
      <c r="C2072">
        <v>34.450000000000003</v>
      </c>
      <c r="E2072" t="s">
        <v>4028</v>
      </c>
      <c r="F2072">
        <v>0.9</v>
      </c>
      <c r="G2072">
        <v>113.37</v>
      </c>
      <c r="I2072" t="str" cm="1">
        <f t="array" ref="I2072:J2072">_xlfn.TEXTSPLIT(A2072," ")</f>
        <v>28.10.2023</v>
      </c>
      <c r="J2072" t="str">
        <v>10:33:42</v>
      </c>
      <c r="K2072">
        <f t="shared" si="442"/>
        <v>34.483333333332659</v>
      </c>
      <c r="L2072">
        <f t="shared" si="439"/>
        <v>20.130000000000003</v>
      </c>
      <c r="M2072">
        <f t="shared" si="440"/>
        <v>0.3</v>
      </c>
      <c r="N2072">
        <f t="shared" si="436"/>
        <v>0.52999999999999992</v>
      </c>
      <c r="Q2072" t="str" cm="1">
        <f t="array" ref="Q2072:R2072">_xlfn.TEXTSPLIT(E2072," ")</f>
        <v>28.10.2023</v>
      </c>
      <c r="R2072" t="str">
        <v>10:33:42</v>
      </c>
      <c r="S2072">
        <f t="shared" si="443"/>
        <v>34.483333333332659</v>
      </c>
      <c r="T2072">
        <f t="shared" si="438"/>
        <v>34.77000000000001</v>
      </c>
      <c r="U2072">
        <f t="shared" si="441"/>
        <v>0.9</v>
      </c>
      <c r="V2072">
        <f t="shared" si="437"/>
        <v>0.92499999999999971</v>
      </c>
    </row>
    <row r="2073" spans="1:22" x14ac:dyDescent="0.25">
      <c r="A2073" t="s">
        <v>4029</v>
      </c>
      <c r="B2073">
        <v>0.3</v>
      </c>
      <c r="C2073">
        <v>34.450000000000003</v>
      </c>
      <c r="E2073" t="s">
        <v>4029</v>
      </c>
      <c r="F2073">
        <v>0.6</v>
      </c>
      <c r="G2073">
        <v>113.38</v>
      </c>
      <c r="I2073" t="str" cm="1">
        <f t="array" ref="I2073:J2073">_xlfn.TEXTSPLIT(A2073," ")</f>
        <v>28.10.2023</v>
      </c>
      <c r="J2073" t="str">
        <v>10:34:43</v>
      </c>
      <c r="K2073">
        <f t="shared" si="442"/>
        <v>34.499999999999325</v>
      </c>
      <c r="L2073">
        <f t="shared" si="439"/>
        <v>20.130000000000003</v>
      </c>
      <c r="M2073">
        <f t="shared" si="440"/>
        <v>0.3</v>
      </c>
      <c r="N2073">
        <f t="shared" si="436"/>
        <v>0.53249999999999997</v>
      </c>
      <c r="Q2073" t="str" cm="1">
        <f t="array" ref="Q2073:R2073">_xlfn.TEXTSPLIT(E2073," ")</f>
        <v>28.10.2023</v>
      </c>
      <c r="R2073" t="str">
        <v>10:34:43</v>
      </c>
      <c r="S2073">
        <f t="shared" si="443"/>
        <v>34.499999999999325</v>
      </c>
      <c r="T2073">
        <f t="shared" si="438"/>
        <v>34.78</v>
      </c>
      <c r="U2073">
        <f t="shared" si="441"/>
        <v>0.6</v>
      </c>
      <c r="V2073">
        <f t="shared" si="437"/>
        <v>0.91749999999999987</v>
      </c>
    </row>
    <row r="2074" spans="1:22" x14ac:dyDescent="0.25">
      <c r="A2074" t="s">
        <v>4030</v>
      </c>
      <c r="B2074">
        <v>0.3</v>
      </c>
      <c r="C2074">
        <v>34.46</v>
      </c>
      <c r="E2074" t="s">
        <v>4030</v>
      </c>
      <c r="F2074">
        <v>0.75</v>
      </c>
      <c r="G2074">
        <v>113.41</v>
      </c>
      <c r="I2074" t="str" cm="1">
        <f t="array" ref="I2074:J2074">_xlfn.TEXTSPLIT(A2074," ")</f>
        <v>28.10.2023</v>
      </c>
      <c r="J2074" t="str">
        <v>10:35:43</v>
      </c>
      <c r="K2074">
        <f t="shared" si="442"/>
        <v>34.516666666665991</v>
      </c>
      <c r="L2074">
        <f t="shared" si="439"/>
        <v>20.14</v>
      </c>
      <c r="M2074">
        <f t="shared" si="440"/>
        <v>0.3</v>
      </c>
      <c r="N2074">
        <f t="shared" si="436"/>
        <v>0.53499999999999992</v>
      </c>
      <c r="Q2074" t="str" cm="1">
        <f t="array" ref="Q2074:R2074">_xlfn.TEXTSPLIT(E2074," ")</f>
        <v>28.10.2023</v>
      </c>
      <c r="R2074" t="str">
        <v>10:35:43</v>
      </c>
      <c r="S2074">
        <f t="shared" si="443"/>
        <v>34.516666666665991</v>
      </c>
      <c r="T2074">
        <f t="shared" si="438"/>
        <v>34.81</v>
      </c>
      <c r="U2074">
        <f t="shared" si="441"/>
        <v>0.75</v>
      </c>
      <c r="V2074">
        <f t="shared" si="437"/>
        <v>0.91249999999999976</v>
      </c>
    </row>
    <row r="2075" spans="1:22" x14ac:dyDescent="0.25">
      <c r="A2075" t="s">
        <v>4031</v>
      </c>
      <c r="B2075">
        <v>0.15</v>
      </c>
      <c r="C2075">
        <v>34.47</v>
      </c>
      <c r="E2075" t="s">
        <v>4031</v>
      </c>
      <c r="F2075">
        <v>2.4</v>
      </c>
      <c r="G2075">
        <v>113.46</v>
      </c>
      <c r="I2075" t="str" cm="1">
        <f t="array" ref="I2075:J2075">_xlfn.TEXTSPLIT(A2075," ")</f>
        <v>28.10.2023</v>
      </c>
      <c r="J2075" t="str">
        <v>10:36:43</v>
      </c>
      <c r="K2075">
        <f t="shared" si="442"/>
        <v>34.533333333332656</v>
      </c>
      <c r="L2075">
        <f t="shared" si="439"/>
        <v>20.149999999999999</v>
      </c>
      <c r="M2075">
        <f t="shared" si="440"/>
        <v>0.15</v>
      </c>
      <c r="N2075">
        <f t="shared" si="436"/>
        <v>0.53249999999999997</v>
      </c>
      <c r="Q2075" t="str" cm="1">
        <f t="array" ref="Q2075:R2075">_xlfn.TEXTSPLIT(E2075," ")</f>
        <v>28.10.2023</v>
      </c>
      <c r="R2075" t="str">
        <v>10:36:43</v>
      </c>
      <c r="S2075">
        <f t="shared" si="443"/>
        <v>34.533333333332656</v>
      </c>
      <c r="T2075">
        <f t="shared" si="438"/>
        <v>34.86</v>
      </c>
      <c r="U2075">
        <f t="shared" si="441"/>
        <v>2.4</v>
      </c>
      <c r="V2075">
        <f t="shared" si="437"/>
        <v>0.91999999999999971</v>
      </c>
    </row>
    <row r="2076" spans="1:22" x14ac:dyDescent="0.25">
      <c r="A2076" t="s">
        <v>4032</v>
      </c>
      <c r="B2076">
        <v>1.65</v>
      </c>
      <c r="C2076">
        <v>34.51</v>
      </c>
      <c r="E2076" t="s">
        <v>4032</v>
      </c>
      <c r="F2076">
        <v>2.85</v>
      </c>
      <c r="G2076">
        <v>113.49</v>
      </c>
      <c r="I2076" t="str" cm="1">
        <f t="array" ref="I2076:J2076">_xlfn.TEXTSPLIT(A2076," ")</f>
        <v>28.10.2023</v>
      </c>
      <c r="J2076" t="str">
        <v>10:37:43</v>
      </c>
      <c r="K2076">
        <f t="shared" si="442"/>
        <v>34.549999999999322</v>
      </c>
      <c r="L2076">
        <f t="shared" si="439"/>
        <v>20.189999999999998</v>
      </c>
      <c r="M2076">
        <f t="shared" si="440"/>
        <v>1.65</v>
      </c>
      <c r="N2076">
        <f t="shared" si="436"/>
        <v>0.52749999999999997</v>
      </c>
      <c r="Q2076" t="str" cm="1">
        <f t="array" ref="Q2076:R2076">_xlfn.TEXTSPLIT(E2076," ")</f>
        <v>28.10.2023</v>
      </c>
      <c r="R2076" t="str">
        <v>10:37:43</v>
      </c>
      <c r="S2076">
        <f t="shared" si="443"/>
        <v>34.549999999999322</v>
      </c>
      <c r="T2076">
        <f t="shared" si="438"/>
        <v>34.89</v>
      </c>
      <c r="U2076">
        <f t="shared" si="441"/>
        <v>2.85</v>
      </c>
      <c r="V2076">
        <f t="shared" si="437"/>
        <v>0.93499999999999972</v>
      </c>
    </row>
    <row r="2077" spans="1:22" x14ac:dyDescent="0.25">
      <c r="A2077" t="s">
        <v>4033</v>
      </c>
      <c r="B2077">
        <v>2.5499999999999998</v>
      </c>
      <c r="C2077">
        <v>34.549999999999997</v>
      </c>
      <c r="E2077" t="s">
        <v>4033</v>
      </c>
      <c r="F2077">
        <v>1.5</v>
      </c>
      <c r="G2077">
        <v>113.51</v>
      </c>
      <c r="I2077" t="str" cm="1">
        <f t="array" ref="I2077:J2077">_xlfn.TEXTSPLIT(A2077," ")</f>
        <v>28.10.2023</v>
      </c>
      <c r="J2077" t="str">
        <v>10:38:43</v>
      </c>
      <c r="K2077">
        <f t="shared" si="442"/>
        <v>34.566666666665988</v>
      </c>
      <c r="L2077">
        <f t="shared" si="439"/>
        <v>20.229999999999997</v>
      </c>
      <c r="M2077">
        <f t="shared" si="440"/>
        <v>2.5499999999999998</v>
      </c>
      <c r="N2077">
        <f t="shared" si="436"/>
        <v>0.53749999999999987</v>
      </c>
      <c r="Q2077" t="str" cm="1">
        <f t="array" ref="Q2077:R2077">_xlfn.TEXTSPLIT(E2077," ")</f>
        <v>28.10.2023</v>
      </c>
      <c r="R2077" t="str">
        <v>10:38:43</v>
      </c>
      <c r="S2077">
        <f t="shared" si="443"/>
        <v>34.566666666665988</v>
      </c>
      <c r="T2077">
        <f t="shared" si="438"/>
        <v>34.910000000000011</v>
      </c>
      <c r="U2077">
        <f t="shared" si="441"/>
        <v>1.5</v>
      </c>
      <c r="V2077">
        <f t="shared" si="437"/>
        <v>0.92499999999999971</v>
      </c>
    </row>
    <row r="2078" spans="1:22" x14ac:dyDescent="0.25">
      <c r="A2078" t="s">
        <v>4034</v>
      </c>
      <c r="B2078">
        <v>1.95</v>
      </c>
      <c r="C2078">
        <v>34.57</v>
      </c>
      <c r="E2078" t="s">
        <v>4034</v>
      </c>
      <c r="F2078">
        <v>1.05</v>
      </c>
      <c r="G2078">
        <v>113.53</v>
      </c>
      <c r="I2078" t="str" cm="1">
        <f t="array" ref="I2078:J2078">_xlfn.TEXTSPLIT(A2078," ")</f>
        <v>28.10.2023</v>
      </c>
      <c r="J2078" t="str">
        <v>10:39:43</v>
      </c>
      <c r="K2078">
        <f t="shared" si="442"/>
        <v>34.583333333332654</v>
      </c>
      <c r="L2078">
        <f t="shared" si="439"/>
        <v>20.25</v>
      </c>
      <c r="M2078">
        <f t="shared" si="440"/>
        <v>1.95</v>
      </c>
      <c r="N2078">
        <f t="shared" si="436"/>
        <v>0.54249999999999998</v>
      </c>
      <c r="Q2078" t="str" cm="1">
        <f t="array" ref="Q2078:R2078">_xlfn.TEXTSPLIT(E2078," ")</f>
        <v>28.10.2023</v>
      </c>
      <c r="R2078" t="str">
        <v>10:39:43</v>
      </c>
      <c r="S2078">
        <f t="shared" si="443"/>
        <v>34.583333333332654</v>
      </c>
      <c r="T2078">
        <f t="shared" si="438"/>
        <v>34.930000000000007</v>
      </c>
      <c r="U2078">
        <f t="shared" si="441"/>
        <v>1.05</v>
      </c>
      <c r="V2078">
        <f t="shared" si="437"/>
        <v>0.90249999999999964</v>
      </c>
    </row>
    <row r="2079" spans="1:22" x14ac:dyDescent="0.25">
      <c r="A2079" t="s">
        <v>4035</v>
      </c>
      <c r="B2079">
        <v>0.9</v>
      </c>
      <c r="C2079">
        <v>34.58</v>
      </c>
      <c r="E2079" t="s">
        <v>4035</v>
      </c>
      <c r="F2079">
        <v>0.9</v>
      </c>
      <c r="G2079">
        <v>113.54</v>
      </c>
      <c r="I2079" t="str" cm="1">
        <f t="array" ref="I2079:J2079">_xlfn.TEXTSPLIT(A2079," ")</f>
        <v>28.10.2023</v>
      </c>
      <c r="J2079" t="str">
        <v>10:40:44</v>
      </c>
      <c r="K2079">
        <f t="shared" si="442"/>
        <v>34.599999999999319</v>
      </c>
      <c r="L2079">
        <f t="shared" si="439"/>
        <v>20.259999999999998</v>
      </c>
      <c r="M2079">
        <f t="shared" si="440"/>
        <v>0.9</v>
      </c>
      <c r="N2079">
        <f t="shared" si="436"/>
        <v>0.52999999999999992</v>
      </c>
      <c r="Q2079" t="str" cm="1">
        <f t="array" ref="Q2079:R2079">_xlfn.TEXTSPLIT(E2079," ")</f>
        <v>28.10.2023</v>
      </c>
      <c r="R2079" t="str">
        <v>10:40:44</v>
      </c>
      <c r="S2079">
        <f t="shared" si="443"/>
        <v>34.599999999999319</v>
      </c>
      <c r="T2079">
        <f t="shared" si="438"/>
        <v>34.940000000000012</v>
      </c>
      <c r="U2079">
        <f t="shared" si="441"/>
        <v>0.9</v>
      </c>
      <c r="V2079">
        <f t="shared" si="437"/>
        <v>0.89499999999999968</v>
      </c>
    </row>
    <row r="2080" spans="1:22" x14ac:dyDescent="0.25">
      <c r="A2080" t="s">
        <v>4036</v>
      </c>
      <c r="B2080">
        <v>0.75</v>
      </c>
      <c r="C2080">
        <v>34.590000000000003</v>
      </c>
      <c r="E2080" t="s">
        <v>4036</v>
      </c>
      <c r="F2080">
        <v>0.9</v>
      </c>
      <c r="G2080">
        <v>113.56</v>
      </c>
      <c r="I2080" t="str" cm="1">
        <f t="array" ref="I2080:J2080">_xlfn.TEXTSPLIT(A2080," ")</f>
        <v>28.10.2023</v>
      </c>
      <c r="J2080" t="str">
        <v>10:41:44</v>
      </c>
      <c r="K2080">
        <f t="shared" si="442"/>
        <v>34.616666666665985</v>
      </c>
      <c r="L2080">
        <f t="shared" si="439"/>
        <v>20.270000000000003</v>
      </c>
      <c r="M2080">
        <f t="shared" si="440"/>
        <v>0.75</v>
      </c>
      <c r="N2080">
        <f t="shared" si="436"/>
        <v>0.52</v>
      </c>
      <c r="Q2080" t="str" cm="1">
        <f t="array" ref="Q2080:R2080">_xlfn.TEXTSPLIT(E2080," ")</f>
        <v>28.10.2023</v>
      </c>
      <c r="R2080" t="str">
        <v>10:41:44</v>
      </c>
      <c r="S2080">
        <f t="shared" si="443"/>
        <v>34.616666666665985</v>
      </c>
      <c r="T2080">
        <f t="shared" si="438"/>
        <v>34.960000000000008</v>
      </c>
      <c r="U2080">
        <f t="shared" si="441"/>
        <v>0.9</v>
      </c>
      <c r="V2080">
        <f t="shared" si="437"/>
        <v>0.88999999999999957</v>
      </c>
    </row>
    <row r="2081" spans="1:22" x14ac:dyDescent="0.25">
      <c r="A2081" t="s">
        <v>4037</v>
      </c>
      <c r="B2081">
        <v>0.3</v>
      </c>
      <c r="C2081">
        <v>34.6</v>
      </c>
      <c r="E2081" t="s">
        <v>4037</v>
      </c>
      <c r="F2081">
        <v>1.35</v>
      </c>
      <c r="G2081">
        <v>113.58</v>
      </c>
      <c r="I2081" t="str" cm="1">
        <f t="array" ref="I2081:J2081">_xlfn.TEXTSPLIT(A2081," ")</f>
        <v>28.10.2023</v>
      </c>
      <c r="J2081" t="str">
        <v>10:42:44</v>
      </c>
      <c r="K2081">
        <f t="shared" si="442"/>
        <v>34.633333333332651</v>
      </c>
      <c r="L2081">
        <f t="shared" si="439"/>
        <v>20.28</v>
      </c>
      <c r="M2081">
        <f t="shared" si="440"/>
        <v>0.3</v>
      </c>
      <c r="N2081">
        <f t="shared" si="436"/>
        <v>0.5099999999999999</v>
      </c>
      <c r="Q2081" t="str" cm="1">
        <f t="array" ref="Q2081:R2081">_xlfn.TEXTSPLIT(E2081," ")</f>
        <v>28.10.2023</v>
      </c>
      <c r="R2081" t="str">
        <v>10:42:44</v>
      </c>
      <c r="S2081">
        <f t="shared" si="443"/>
        <v>34.633333333332651</v>
      </c>
      <c r="T2081">
        <f t="shared" si="438"/>
        <v>34.980000000000004</v>
      </c>
      <c r="U2081">
        <f t="shared" si="441"/>
        <v>1.35</v>
      </c>
      <c r="V2081">
        <f t="shared" si="437"/>
        <v>0.89249999999999963</v>
      </c>
    </row>
    <row r="2082" spans="1:22" x14ac:dyDescent="0.25">
      <c r="A2082" t="s">
        <v>4038</v>
      </c>
      <c r="B2082">
        <v>0.6</v>
      </c>
      <c r="C2082">
        <v>34.6</v>
      </c>
      <c r="E2082" t="s">
        <v>4038</v>
      </c>
      <c r="F2082">
        <v>1.35</v>
      </c>
      <c r="G2082">
        <v>113.6</v>
      </c>
      <c r="I2082" t="str" cm="1">
        <f t="array" ref="I2082:J2082">_xlfn.TEXTSPLIT(A2082," ")</f>
        <v>28.10.2023</v>
      </c>
      <c r="J2082" t="str">
        <v>10:43:44</v>
      </c>
      <c r="K2082">
        <f t="shared" si="442"/>
        <v>34.649999999999316</v>
      </c>
      <c r="L2082">
        <f t="shared" si="439"/>
        <v>20.28</v>
      </c>
      <c r="M2082">
        <f t="shared" si="440"/>
        <v>0.6</v>
      </c>
      <c r="N2082">
        <f t="shared" si="436"/>
        <v>0.50749999999999995</v>
      </c>
      <c r="Q2082" t="str" cm="1">
        <f t="array" ref="Q2082:R2082">_xlfn.TEXTSPLIT(E2082," ")</f>
        <v>28.10.2023</v>
      </c>
      <c r="R2082" t="str">
        <v>10:43:44</v>
      </c>
      <c r="S2082">
        <f t="shared" si="443"/>
        <v>34.649999999999316</v>
      </c>
      <c r="T2082">
        <f t="shared" si="438"/>
        <v>35</v>
      </c>
      <c r="U2082">
        <f t="shared" si="441"/>
        <v>1.35</v>
      </c>
      <c r="V2082">
        <f t="shared" si="437"/>
        <v>0.88749999999999973</v>
      </c>
    </row>
    <row r="2083" spans="1:22" x14ac:dyDescent="0.25">
      <c r="A2083" t="s">
        <v>4039</v>
      </c>
      <c r="B2083">
        <v>0.3</v>
      </c>
      <c r="C2083">
        <v>34.61</v>
      </c>
      <c r="E2083" t="s">
        <v>4039</v>
      </c>
      <c r="F2083">
        <v>1.05</v>
      </c>
      <c r="G2083">
        <v>113.6</v>
      </c>
      <c r="I2083" t="str" cm="1">
        <f t="array" ref="I2083:J2083">_xlfn.TEXTSPLIT(A2083," ")</f>
        <v>28.10.2023</v>
      </c>
      <c r="J2083" t="str">
        <v>10:44:44</v>
      </c>
      <c r="K2083">
        <f t="shared" si="442"/>
        <v>34.666666666665982</v>
      </c>
      <c r="L2083">
        <f t="shared" si="439"/>
        <v>20.29</v>
      </c>
      <c r="M2083">
        <f t="shared" si="440"/>
        <v>0.3</v>
      </c>
      <c r="N2083">
        <f t="shared" si="436"/>
        <v>0.49999999999999994</v>
      </c>
      <c r="Q2083" t="str" cm="1">
        <f t="array" ref="Q2083:R2083">_xlfn.TEXTSPLIT(E2083," ")</f>
        <v>28.10.2023</v>
      </c>
      <c r="R2083" t="str">
        <v>10:44:44</v>
      </c>
      <c r="S2083">
        <f t="shared" si="443"/>
        <v>34.666666666665982</v>
      </c>
      <c r="T2083">
        <f t="shared" si="438"/>
        <v>35</v>
      </c>
      <c r="U2083">
        <f t="shared" si="441"/>
        <v>1.05</v>
      </c>
      <c r="V2083">
        <f t="shared" si="437"/>
        <v>0.87999999999999967</v>
      </c>
    </row>
    <row r="2084" spans="1:22" x14ac:dyDescent="0.25">
      <c r="A2084" t="s">
        <v>4040</v>
      </c>
      <c r="B2084">
        <v>0.3</v>
      </c>
      <c r="C2084">
        <v>34.619999999999997</v>
      </c>
      <c r="E2084" t="s">
        <v>4040</v>
      </c>
      <c r="F2084">
        <v>0.6</v>
      </c>
      <c r="G2084">
        <v>113.62</v>
      </c>
      <c r="I2084" t="str" cm="1">
        <f t="array" ref="I2084:J2084">_xlfn.TEXTSPLIT(A2084," ")</f>
        <v>28.10.2023</v>
      </c>
      <c r="J2084" t="str">
        <v>10:45:44</v>
      </c>
      <c r="K2084">
        <f t="shared" si="442"/>
        <v>34.683333333332648</v>
      </c>
      <c r="L2084">
        <f t="shared" si="439"/>
        <v>20.299999999999997</v>
      </c>
      <c r="M2084">
        <f t="shared" si="440"/>
        <v>0.3</v>
      </c>
      <c r="N2084">
        <f t="shared" si="436"/>
        <v>0.49499999999999994</v>
      </c>
      <c r="Q2084" t="str" cm="1">
        <f t="array" ref="Q2084:R2084">_xlfn.TEXTSPLIT(E2084," ")</f>
        <v>28.10.2023</v>
      </c>
      <c r="R2084" t="str">
        <v>10:45:44</v>
      </c>
      <c r="S2084">
        <f t="shared" si="443"/>
        <v>34.683333333332648</v>
      </c>
      <c r="T2084">
        <f t="shared" si="438"/>
        <v>35.02000000000001</v>
      </c>
      <c r="U2084">
        <f t="shared" si="441"/>
        <v>0.6</v>
      </c>
      <c r="V2084">
        <f t="shared" si="437"/>
        <v>0.87249999999999994</v>
      </c>
    </row>
    <row r="2085" spans="1:22" x14ac:dyDescent="0.25">
      <c r="A2085" t="s">
        <v>4041</v>
      </c>
      <c r="B2085">
        <v>0.6</v>
      </c>
      <c r="C2085">
        <v>34.630000000000003</v>
      </c>
      <c r="E2085" t="s">
        <v>4041</v>
      </c>
      <c r="F2085">
        <v>0.75</v>
      </c>
      <c r="G2085">
        <v>113.63</v>
      </c>
      <c r="I2085" t="str" cm="1">
        <f t="array" ref="I2085:J2085">_xlfn.TEXTSPLIT(A2085," ")</f>
        <v>28.10.2023</v>
      </c>
      <c r="J2085" t="str">
        <v>10:46:44</v>
      </c>
      <c r="K2085">
        <f t="shared" si="442"/>
        <v>34.699999999999314</v>
      </c>
      <c r="L2085">
        <f t="shared" si="439"/>
        <v>20.310000000000002</v>
      </c>
      <c r="M2085">
        <f t="shared" si="440"/>
        <v>0.6</v>
      </c>
      <c r="N2085">
        <f t="shared" si="436"/>
        <v>0.49499999999999994</v>
      </c>
      <c r="Q2085" t="str" cm="1">
        <f t="array" ref="Q2085:R2085">_xlfn.TEXTSPLIT(E2085," ")</f>
        <v>28.10.2023</v>
      </c>
      <c r="R2085" t="str">
        <v>10:46:44</v>
      </c>
      <c r="S2085">
        <f t="shared" si="443"/>
        <v>34.699999999999314</v>
      </c>
      <c r="T2085">
        <f t="shared" si="438"/>
        <v>35.03</v>
      </c>
      <c r="U2085">
        <f t="shared" si="441"/>
        <v>0.75</v>
      </c>
      <c r="V2085">
        <f t="shared" si="437"/>
        <v>0.87249999999999983</v>
      </c>
    </row>
    <row r="2086" spans="1:22" x14ac:dyDescent="0.25">
      <c r="A2086" t="s">
        <v>4042</v>
      </c>
      <c r="B2086">
        <v>0.75</v>
      </c>
      <c r="C2086">
        <v>34.64</v>
      </c>
      <c r="E2086" t="s">
        <v>4042</v>
      </c>
      <c r="F2086">
        <v>0.75</v>
      </c>
      <c r="G2086">
        <v>113.64</v>
      </c>
      <c r="I2086" t="str" cm="1">
        <f t="array" ref="I2086:J2086">_xlfn.TEXTSPLIT(A2086," ")</f>
        <v>28.10.2023</v>
      </c>
      <c r="J2086" t="str">
        <v>10:47:45</v>
      </c>
      <c r="K2086">
        <f t="shared" si="442"/>
        <v>34.716666666665979</v>
      </c>
      <c r="L2086">
        <f t="shared" si="439"/>
        <v>20.32</v>
      </c>
      <c r="M2086">
        <f t="shared" si="440"/>
        <v>0.75</v>
      </c>
      <c r="N2086">
        <f t="shared" si="436"/>
        <v>0.49749999999999994</v>
      </c>
      <c r="Q2086" t="str" cm="1">
        <f t="array" ref="Q2086:R2086">_xlfn.TEXTSPLIT(E2086," ")</f>
        <v>28.10.2023</v>
      </c>
      <c r="R2086" t="str">
        <v>10:47:45</v>
      </c>
      <c r="S2086">
        <f t="shared" si="443"/>
        <v>34.716666666665979</v>
      </c>
      <c r="T2086">
        <f t="shared" si="438"/>
        <v>35.040000000000006</v>
      </c>
      <c r="U2086">
        <f t="shared" si="441"/>
        <v>0.75</v>
      </c>
      <c r="V2086">
        <f t="shared" si="437"/>
        <v>0.86999999999999977</v>
      </c>
    </row>
    <row r="2087" spans="1:22" x14ac:dyDescent="0.25">
      <c r="A2087" t="s">
        <v>4043</v>
      </c>
      <c r="B2087">
        <v>0.6</v>
      </c>
      <c r="C2087">
        <v>34.64</v>
      </c>
      <c r="E2087" t="s">
        <v>4043</v>
      </c>
      <c r="F2087">
        <v>0.6</v>
      </c>
      <c r="G2087">
        <v>113.65</v>
      </c>
      <c r="I2087" t="str" cm="1">
        <f t="array" ref="I2087:J2087">_xlfn.TEXTSPLIT(A2087," ")</f>
        <v>28.10.2023</v>
      </c>
      <c r="J2087" t="str">
        <v>10:48:45</v>
      </c>
      <c r="K2087">
        <f t="shared" si="442"/>
        <v>34.733333333332645</v>
      </c>
      <c r="L2087">
        <f t="shared" si="439"/>
        <v>20.32</v>
      </c>
      <c r="M2087">
        <f t="shared" si="440"/>
        <v>0.6</v>
      </c>
      <c r="N2087">
        <f t="shared" si="436"/>
        <v>0.495</v>
      </c>
      <c r="Q2087" t="str" cm="1">
        <f t="array" ref="Q2087:R2087">_xlfn.TEXTSPLIT(E2087," ")</f>
        <v>28.10.2023</v>
      </c>
      <c r="R2087" t="str">
        <v>10:48:45</v>
      </c>
      <c r="S2087">
        <f t="shared" si="443"/>
        <v>34.733333333332645</v>
      </c>
      <c r="T2087">
        <f t="shared" si="438"/>
        <v>35.050000000000011</v>
      </c>
      <c r="U2087">
        <f t="shared" si="441"/>
        <v>0.6</v>
      </c>
      <c r="V2087">
        <f t="shared" si="437"/>
        <v>0.86999999999999988</v>
      </c>
    </row>
    <row r="2088" spans="1:22" x14ac:dyDescent="0.25">
      <c r="A2088" t="s">
        <v>4044</v>
      </c>
      <c r="B2088">
        <v>0.15</v>
      </c>
      <c r="C2088">
        <v>34.65</v>
      </c>
      <c r="E2088" t="s">
        <v>4044</v>
      </c>
      <c r="F2088">
        <v>0.9</v>
      </c>
      <c r="G2088">
        <v>113.67</v>
      </c>
      <c r="I2088" t="str" cm="1">
        <f t="array" ref="I2088:J2088">_xlfn.TEXTSPLIT(A2088," ")</f>
        <v>28.10.2023</v>
      </c>
      <c r="J2088" t="str">
        <v>10:49:45</v>
      </c>
      <c r="K2088">
        <f t="shared" si="442"/>
        <v>34.749999999999311</v>
      </c>
      <c r="L2088">
        <f t="shared" si="439"/>
        <v>20.329999999999998</v>
      </c>
      <c r="M2088">
        <f t="shared" si="440"/>
        <v>0.15</v>
      </c>
      <c r="N2088">
        <f t="shared" si="436"/>
        <v>0.48749999999999999</v>
      </c>
      <c r="Q2088" t="str" cm="1">
        <f t="array" ref="Q2088:R2088">_xlfn.TEXTSPLIT(E2088," ")</f>
        <v>28.10.2023</v>
      </c>
      <c r="R2088" t="str">
        <v>10:49:45</v>
      </c>
      <c r="S2088">
        <f t="shared" si="443"/>
        <v>34.749999999999311</v>
      </c>
      <c r="T2088">
        <f t="shared" si="438"/>
        <v>35.070000000000007</v>
      </c>
      <c r="U2088">
        <f t="shared" si="441"/>
        <v>0.9</v>
      </c>
      <c r="V2088">
        <f t="shared" si="437"/>
        <v>0.87249999999999983</v>
      </c>
    </row>
    <row r="2089" spans="1:22" x14ac:dyDescent="0.25">
      <c r="A2089" t="s">
        <v>4045</v>
      </c>
      <c r="B2089">
        <v>0.45</v>
      </c>
      <c r="C2089">
        <v>34.659999999999997</v>
      </c>
      <c r="E2089" t="s">
        <v>4045</v>
      </c>
      <c r="F2089">
        <v>0.75</v>
      </c>
      <c r="G2089">
        <v>113.67</v>
      </c>
      <c r="I2089" t="str" cm="1">
        <f t="array" ref="I2089:J2089">_xlfn.TEXTSPLIT(A2089," ")</f>
        <v>28.10.2023</v>
      </c>
      <c r="J2089" t="str">
        <v>10:50:45</v>
      </c>
      <c r="K2089">
        <f t="shared" si="442"/>
        <v>34.766666666665976</v>
      </c>
      <c r="L2089">
        <f t="shared" si="439"/>
        <v>20.339999999999996</v>
      </c>
      <c r="M2089">
        <f t="shared" si="440"/>
        <v>0.45</v>
      </c>
      <c r="N2089">
        <f t="shared" si="436"/>
        <v>0.49</v>
      </c>
      <c r="Q2089" t="str" cm="1">
        <f t="array" ref="Q2089:R2089">_xlfn.TEXTSPLIT(E2089," ")</f>
        <v>28.10.2023</v>
      </c>
      <c r="R2089" t="str">
        <v>10:50:45</v>
      </c>
      <c r="S2089">
        <f t="shared" si="443"/>
        <v>34.766666666665976</v>
      </c>
      <c r="T2089">
        <f t="shared" si="438"/>
        <v>35.070000000000007</v>
      </c>
      <c r="U2089">
        <f t="shared" si="441"/>
        <v>0.75</v>
      </c>
      <c r="V2089">
        <f t="shared" si="437"/>
        <v>0.86749999999999983</v>
      </c>
    </row>
    <row r="2090" spans="1:22" x14ac:dyDescent="0.25">
      <c r="A2090" t="s">
        <v>4046</v>
      </c>
      <c r="B2090">
        <v>0.9</v>
      </c>
      <c r="C2090">
        <v>34.67</v>
      </c>
      <c r="E2090" t="s">
        <v>4046</v>
      </c>
      <c r="F2090">
        <v>0</v>
      </c>
      <c r="G2090">
        <v>113.67</v>
      </c>
      <c r="I2090" t="str" cm="1">
        <f t="array" ref="I2090:J2090">_xlfn.TEXTSPLIT(A2090," ")</f>
        <v>28.10.2023</v>
      </c>
      <c r="J2090" t="str">
        <v>10:51:45</v>
      </c>
      <c r="K2090">
        <f t="shared" si="442"/>
        <v>34.783333333332642</v>
      </c>
      <c r="L2090">
        <f t="shared" si="439"/>
        <v>20.350000000000001</v>
      </c>
      <c r="M2090">
        <f t="shared" si="440"/>
        <v>0.9</v>
      </c>
      <c r="N2090">
        <f t="shared" si="436"/>
        <v>0.49249999999999994</v>
      </c>
      <c r="Q2090" t="str" cm="1">
        <f t="array" ref="Q2090:R2090">_xlfn.TEXTSPLIT(E2090," ")</f>
        <v>28.10.2023</v>
      </c>
      <c r="R2090" t="str">
        <v>10:51:45</v>
      </c>
      <c r="S2090">
        <f t="shared" si="443"/>
        <v>34.783333333332642</v>
      </c>
      <c r="T2090">
        <f t="shared" si="438"/>
        <v>35.070000000000007</v>
      </c>
      <c r="U2090">
        <f t="shared" si="441"/>
        <v>0</v>
      </c>
      <c r="V2090">
        <f t="shared" si="437"/>
        <v>0.86249999999999993</v>
      </c>
    </row>
    <row r="2091" spans="1:22" x14ac:dyDescent="0.25">
      <c r="A2091" t="s">
        <v>4047</v>
      </c>
      <c r="B2091">
        <v>0.15</v>
      </c>
      <c r="C2091">
        <v>34.67</v>
      </c>
      <c r="E2091" t="s">
        <v>4047</v>
      </c>
      <c r="F2091">
        <v>0.15</v>
      </c>
      <c r="G2091">
        <v>113.67</v>
      </c>
      <c r="I2091" t="str" cm="1">
        <f t="array" ref="I2091:J2091">_xlfn.TEXTSPLIT(A2091," ")</f>
        <v>28.10.2023</v>
      </c>
      <c r="J2091" t="str">
        <v>10:52:45</v>
      </c>
      <c r="K2091">
        <f t="shared" si="442"/>
        <v>34.799999999999308</v>
      </c>
      <c r="L2091">
        <f t="shared" si="439"/>
        <v>20.350000000000001</v>
      </c>
      <c r="M2091">
        <f t="shared" si="440"/>
        <v>0.15</v>
      </c>
      <c r="N2091">
        <f t="shared" si="436"/>
        <v>0.49249999999999994</v>
      </c>
      <c r="Q2091" t="str" cm="1">
        <f t="array" ref="Q2091:R2091">_xlfn.TEXTSPLIT(E2091," ")</f>
        <v>28.10.2023</v>
      </c>
      <c r="R2091" t="str">
        <v>10:52:45</v>
      </c>
      <c r="S2091">
        <f t="shared" si="443"/>
        <v>34.799999999999308</v>
      </c>
      <c r="T2091">
        <f t="shared" si="438"/>
        <v>35.070000000000007</v>
      </c>
      <c r="U2091">
        <f t="shared" si="441"/>
        <v>0.15</v>
      </c>
      <c r="V2091">
        <f t="shared" si="437"/>
        <v>0.86249999999999993</v>
      </c>
    </row>
    <row r="2092" spans="1:22" x14ac:dyDescent="0.25">
      <c r="A2092" t="s">
        <v>4048</v>
      </c>
      <c r="B2092">
        <v>0</v>
      </c>
      <c r="C2092">
        <v>34.67</v>
      </c>
      <c r="E2092" t="s">
        <v>4048</v>
      </c>
      <c r="F2092">
        <v>0.3</v>
      </c>
      <c r="G2092">
        <v>113.68</v>
      </c>
      <c r="I2092" t="str" cm="1">
        <f t="array" ref="I2092:J2092">_xlfn.TEXTSPLIT(A2092," ")</f>
        <v>28.10.2023</v>
      </c>
      <c r="J2092" t="str">
        <v>10:53:45</v>
      </c>
      <c r="K2092">
        <f t="shared" si="442"/>
        <v>34.816666666665974</v>
      </c>
      <c r="L2092">
        <f t="shared" si="439"/>
        <v>20.350000000000001</v>
      </c>
      <c r="M2092">
        <f t="shared" si="440"/>
        <v>0</v>
      </c>
      <c r="N2092">
        <f t="shared" si="436"/>
        <v>0.49249999999999994</v>
      </c>
      <c r="Q2092" t="str" cm="1">
        <f t="array" ref="Q2092:R2092">_xlfn.TEXTSPLIT(E2092," ")</f>
        <v>28.10.2023</v>
      </c>
      <c r="R2092" t="str">
        <v>10:53:45</v>
      </c>
      <c r="S2092">
        <f t="shared" si="443"/>
        <v>34.816666666665974</v>
      </c>
      <c r="T2092">
        <f t="shared" si="438"/>
        <v>35.080000000000013</v>
      </c>
      <c r="U2092">
        <f t="shared" si="441"/>
        <v>0.3</v>
      </c>
      <c r="V2092">
        <f t="shared" si="437"/>
        <v>0.85999999999999976</v>
      </c>
    </row>
    <row r="2093" spans="1:22" x14ac:dyDescent="0.25">
      <c r="A2093" t="s">
        <v>4049</v>
      </c>
      <c r="B2093">
        <v>0</v>
      </c>
      <c r="C2093">
        <v>34.67</v>
      </c>
      <c r="E2093" t="s">
        <v>4049</v>
      </c>
      <c r="F2093">
        <v>0.45</v>
      </c>
      <c r="G2093">
        <v>113.69</v>
      </c>
      <c r="I2093" t="str" cm="1">
        <f t="array" ref="I2093:J2093">_xlfn.TEXTSPLIT(A2093," ")</f>
        <v>28.10.2023</v>
      </c>
      <c r="J2093" t="str">
        <v>10:54:46</v>
      </c>
      <c r="K2093">
        <f t="shared" si="442"/>
        <v>34.833333333332639</v>
      </c>
      <c r="L2093">
        <f t="shared" si="439"/>
        <v>20.350000000000001</v>
      </c>
      <c r="M2093">
        <f t="shared" si="440"/>
        <v>0</v>
      </c>
      <c r="N2093">
        <f t="shared" si="436"/>
        <v>0.49249999999999994</v>
      </c>
      <c r="Q2093" t="str" cm="1">
        <f t="array" ref="Q2093:R2093">_xlfn.TEXTSPLIT(E2093," ")</f>
        <v>28.10.2023</v>
      </c>
      <c r="R2093" t="str">
        <v>10:54:46</v>
      </c>
      <c r="S2093">
        <f t="shared" si="443"/>
        <v>34.833333333332639</v>
      </c>
      <c r="T2093">
        <f t="shared" si="438"/>
        <v>35.090000000000003</v>
      </c>
      <c r="U2093">
        <f t="shared" si="441"/>
        <v>0.45</v>
      </c>
      <c r="V2093">
        <f t="shared" si="437"/>
        <v>0.86249999999999971</v>
      </c>
    </row>
    <row r="2094" spans="1:22" x14ac:dyDescent="0.25">
      <c r="A2094" t="s">
        <v>4050</v>
      </c>
      <c r="B2094">
        <v>0</v>
      </c>
      <c r="C2094">
        <v>34.67</v>
      </c>
      <c r="E2094" t="s">
        <v>4050</v>
      </c>
      <c r="F2094">
        <v>0.45</v>
      </c>
      <c r="G2094">
        <v>113.7</v>
      </c>
      <c r="I2094" t="str" cm="1">
        <f t="array" ref="I2094:J2094">_xlfn.TEXTSPLIT(A2094," ")</f>
        <v>28.10.2023</v>
      </c>
      <c r="J2094" t="str">
        <v>10:55:46</v>
      </c>
      <c r="K2094">
        <f t="shared" si="442"/>
        <v>34.849999999999305</v>
      </c>
      <c r="L2094">
        <f t="shared" si="439"/>
        <v>20.350000000000001</v>
      </c>
      <c r="M2094">
        <f t="shared" si="440"/>
        <v>0</v>
      </c>
      <c r="N2094">
        <f t="shared" si="436"/>
        <v>0.49249999999999994</v>
      </c>
      <c r="Q2094" t="str" cm="1">
        <f t="array" ref="Q2094:R2094">_xlfn.TEXTSPLIT(E2094," ")</f>
        <v>28.10.2023</v>
      </c>
      <c r="R2094" t="str">
        <v>10:55:46</v>
      </c>
      <c r="S2094">
        <f t="shared" si="443"/>
        <v>34.849999999999305</v>
      </c>
      <c r="T2094">
        <f t="shared" si="438"/>
        <v>35.100000000000009</v>
      </c>
      <c r="U2094">
        <f t="shared" si="441"/>
        <v>0.45</v>
      </c>
      <c r="V2094">
        <f t="shared" si="437"/>
        <v>0.85749999999999982</v>
      </c>
    </row>
    <row r="2095" spans="1:22" x14ac:dyDescent="0.25">
      <c r="A2095" t="s">
        <v>4051</v>
      </c>
      <c r="B2095">
        <v>0</v>
      </c>
      <c r="C2095">
        <v>34.67</v>
      </c>
      <c r="E2095" t="s">
        <v>4051</v>
      </c>
      <c r="F2095">
        <v>0.6</v>
      </c>
      <c r="G2095">
        <v>113.71</v>
      </c>
      <c r="I2095" t="str" cm="1">
        <f t="array" ref="I2095:J2095">_xlfn.TEXTSPLIT(A2095," ")</f>
        <v>28.10.2023</v>
      </c>
      <c r="J2095" t="str">
        <v>10:56:46</v>
      </c>
      <c r="K2095">
        <f t="shared" si="442"/>
        <v>34.866666666665971</v>
      </c>
      <c r="L2095">
        <f t="shared" si="439"/>
        <v>20.350000000000001</v>
      </c>
      <c r="M2095">
        <f t="shared" si="440"/>
        <v>0</v>
      </c>
      <c r="N2095">
        <f t="shared" si="436"/>
        <v>0.49249999999999994</v>
      </c>
      <c r="Q2095" t="str" cm="1">
        <f t="array" ref="Q2095:R2095">_xlfn.TEXTSPLIT(E2095," ")</f>
        <v>28.10.2023</v>
      </c>
      <c r="R2095" t="str">
        <v>10:56:46</v>
      </c>
      <c r="S2095">
        <f t="shared" si="443"/>
        <v>34.866666666665971</v>
      </c>
      <c r="T2095">
        <f t="shared" si="438"/>
        <v>35.11</v>
      </c>
      <c r="U2095">
        <f t="shared" si="441"/>
        <v>0.6</v>
      </c>
      <c r="V2095">
        <f t="shared" si="437"/>
        <v>0.86249999999999993</v>
      </c>
    </row>
    <row r="2096" spans="1:22" x14ac:dyDescent="0.25">
      <c r="A2096" t="s">
        <v>4052</v>
      </c>
      <c r="B2096">
        <v>0</v>
      </c>
      <c r="C2096">
        <v>34.67</v>
      </c>
      <c r="E2096" t="s">
        <v>4052</v>
      </c>
      <c r="F2096">
        <v>0.6</v>
      </c>
      <c r="G2096">
        <v>113.72</v>
      </c>
      <c r="I2096" t="str" cm="1">
        <f t="array" ref="I2096:J2096">_xlfn.TEXTSPLIT(A2096," ")</f>
        <v>28.10.2023</v>
      </c>
      <c r="J2096" t="str">
        <v>10:57:46</v>
      </c>
      <c r="K2096">
        <f t="shared" si="442"/>
        <v>34.883333333332637</v>
      </c>
      <c r="L2096">
        <f t="shared" si="439"/>
        <v>20.350000000000001</v>
      </c>
      <c r="M2096">
        <f t="shared" si="440"/>
        <v>0</v>
      </c>
      <c r="N2096">
        <f t="shared" si="436"/>
        <v>0.49249999999999994</v>
      </c>
      <c r="Q2096" t="str" cm="1">
        <f t="array" ref="Q2096:R2096">_xlfn.TEXTSPLIT(E2096," ")</f>
        <v>28.10.2023</v>
      </c>
      <c r="R2096" t="str">
        <v>10:57:46</v>
      </c>
      <c r="S2096">
        <f t="shared" si="443"/>
        <v>34.883333333332637</v>
      </c>
      <c r="T2096">
        <f t="shared" si="438"/>
        <v>35.120000000000005</v>
      </c>
      <c r="U2096">
        <f t="shared" si="441"/>
        <v>0.6</v>
      </c>
      <c r="V2096">
        <f t="shared" si="437"/>
        <v>0.86</v>
      </c>
    </row>
    <row r="2097" spans="1:22" x14ac:dyDescent="0.25">
      <c r="A2097" t="s">
        <v>4053</v>
      </c>
      <c r="B2097">
        <v>0</v>
      </c>
      <c r="C2097">
        <v>34.67</v>
      </c>
      <c r="E2097" t="s">
        <v>4053</v>
      </c>
      <c r="F2097">
        <v>0.6</v>
      </c>
      <c r="G2097">
        <v>113.72</v>
      </c>
      <c r="I2097" t="str" cm="1">
        <f t="array" ref="I2097:J2097">_xlfn.TEXTSPLIT(A2097," ")</f>
        <v>28.10.2023</v>
      </c>
      <c r="J2097" t="str">
        <v>10:58:46</v>
      </c>
      <c r="K2097">
        <f t="shared" si="442"/>
        <v>34.899999999999302</v>
      </c>
      <c r="L2097">
        <f t="shared" si="439"/>
        <v>20.350000000000001</v>
      </c>
      <c r="M2097">
        <f t="shared" si="440"/>
        <v>0</v>
      </c>
      <c r="N2097">
        <f t="shared" si="436"/>
        <v>0.49249999999999994</v>
      </c>
      <c r="Q2097" t="str" cm="1">
        <f t="array" ref="Q2097:R2097">_xlfn.TEXTSPLIT(E2097," ")</f>
        <v>28.10.2023</v>
      </c>
      <c r="R2097" t="str">
        <v>10:58:46</v>
      </c>
      <c r="S2097">
        <f t="shared" si="443"/>
        <v>34.899999999999302</v>
      </c>
      <c r="T2097">
        <f t="shared" si="438"/>
        <v>35.120000000000005</v>
      </c>
      <c r="U2097">
        <f t="shared" si="441"/>
        <v>0.6</v>
      </c>
      <c r="V2097">
        <f t="shared" si="437"/>
        <v>0.86250000000000004</v>
      </c>
    </row>
    <row r="2098" spans="1:22" x14ac:dyDescent="0.25">
      <c r="A2098" t="s">
        <v>4054</v>
      </c>
      <c r="B2098">
        <v>0.15</v>
      </c>
      <c r="C2098">
        <v>34.68</v>
      </c>
      <c r="E2098" t="s">
        <v>4054</v>
      </c>
      <c r="F2098">
        <v>0.45</v>
      </c>
      <c r="G2098">
        <v>113.74</v>
      </c>
      <c r="I2098" t="str" cm="1">
        <f t="array" ref="I2098:J2098">_xlfn.TEXTSPLIT(A2098," ")</f>
        <v>28.10.2023</v>
      </c>
      <c r="J2098" t="str">
        <v>10:59:46</v>
      </c>
      <c r="K2098">
        <f t="shared" si="442"/>
        <v>34.916666666665968</v>
      </c>
      <c r="L2098">
        <f t="shared" si="439"/>
        <v>20.36</v>
      </c>
      <c r="M2098">
        <f t="shared" si="440"/>
        <v>0.15</v>
      </c>
      <c r="N2098">
        <f t="shared" si="436"/>
        <v>0.49249999999999994</v>
      </c>
      <c r="Q2098" t="str" cm="1">
        <f t="array" ref="Q2098:R2098">_xlfn.TEXTSPLIT(E2098," ")</f>
        <v>28.10.2023</v>
      </c>
      <c r="R2098" t="str">
        <v>10:59:46</v>
      </c>
      <c r="S2098">
        <f t="shared" si="443"/>
        <v>34.916666666665968</v>
      </c>
      <c r="T2098">
        <f t="shared" si="438"/>
        <v>35.14</v>
      </c>
      <c r="U2098">
        <f t="shared" si="441"/>
        <v>0.45</v>
      </c>
      <c r="V2098">
        <f t="shared" si="437"/>
        <v>0.86250000000000004</v>
      </c>
    </row>
    <row r="2099" spans="1:22" x14ac:dyDescent="0.25">
      <c r="A2099" t="s">
        <v>4055</v>
      </c>
      <c r="B2099">
        <v>0.45</v>
      </c>
      <c r="C2099">
        <v>34.68</v>
      </c>
      <c r="E2099" t="s">
        <v>4055</v>
      </c>
      <c r="F2099">
        <v>0.6</v>
      </c>
      <c r="G2099">
        <v>113.74</v>
      </c>
      <c r="I2099" t="str" cm="1">
        <f t="array" ref="I2099:J2099">_xlfn.TEXTSPLIT(A2099," ")</f>
        <v>28.10.2023</v>
      </c>
      <c r="J2099" t="str">
        <v>11:00:46</v>
      </c>
      <c r="K2099">
        <f t="shared" si="442"/>
        <v>34.933333333332634</v>
      </c>
      <c r="L2099">
        <f t="shared" si="439"/>
        <v>20.36</v>
      </c>
      <c r="M2099">
        <f t="shared" si="440"/>
        <v>0.45</v>
      </c>
      <c r="N2099">
        <f t="shared" si="436"/>
        <v>0.49249999999999994</v>
      </c>
      <c r="Q2099" t="str" cm="1">
        <f t="array" ref="Q2099:R2099">_xlfn.TEXTSPLIT(E2099," ")</f>
        <v>28.10.2023</v>
      </c>
      <c r="R2099" t="str">
        <v>11:00:46</v>
      </c>
      <c r="S2099">
        <f t="shared" si="443"/>
        <v>34.933333333332634</v>
      </c>
      <c r="T2099">
        <f t="shared" si="438"/>
        <v>35.14</v>
      </c>
      <c r="U2099">
        <f t="shared" si="441"/>
        <v>0.6</v>
      </c>
      <c r="V2099">
        <f t="shared" si="437"/>
        <v>0.86250000000000016</v>
      </c>
    </row>
    <row r="2100" spans="1:22" x14ac:dyDescent="0.25">
      <c r="A2100" t="s">
        <v>4056</v>
      </c>
      <c r="B2100">
        <v>0.3</v>
      </c>
      <c r="C2100">
        <v>34.69</v>
      </c>
      <c r="E2100" t="s">
        <v>4056</v>
      </c>
      <c r="F2100">
        <v>0.45</v>
      </c>
      <c r="G2100">
        <v>113.75</v>
      </c>
      <c r="I2100" t="str" cm="1">
        <f t="array" ref="I2100:J2100">_xlfn.TEXTSPLIT(A2100," ")</f>
        <v>28.10.2023</v>
      </c>
      <c r="J2100" t="str">
        <v>11:01:47</v>
      </c>
      <c r="K2100">
        <f t="shared" si="442"/>
        <v>34.949999999999299</v>
      </c>
      <c r="L2100">
        <f t="shared" si="439"/>
        <v>20.369999999999997</v>
      </c>
      <c r="M2100">
        <f t="shared" si="440"/>
        <v>0.3</v>
      </c>
      <c r="N2100">
        <f t="shared" si="436"/>
        <v>0.49</v>
      </c>
      <c r="Q2100" t="str" cm="1">
        <f t="array" ref="Q2100:R2100">_xlfn.TEXTSPLIT(E2100," ")</f>
        <v>28.10.2023</v>
      </c>
      <c r="R2100" t="str">
        <v>11:01:47</v>
      </c>
      <c r="S2100">
        <f t="shared" si="443"/>
        <v>34.949999999999299</v>
      </c>
      <c r="T2100">
        <f t="shared" si="438"/>
        <v>35.150000000000006</v>
      </c>
      <c r="U2100">
        <f t="shared" si="441"/>
        <v>0.45</v>
      </c>
      <c r="V2100">
        <f t="shared" si="437"/>
        <v>0.8650000000000001</v>
      </c>
    </row>
    <row r="2101" spans="1:22" x14ac:dyDescent="0.25">
      <c r="A2101" t="s">
        <v>4057</v>
      </c>
      <c r="B2101">
        <v>0.3</v>
      </c>
      <c r="C2101">
        <v>34.69</v>
      </c>
      <c r="E2101" t="s">
        <v>4057</v>
      </c>
      <c r="F2101">
        <v>0.6</v>
      </c>
      <c r="G2101">
        <v>113.76</v>
      </c>
      <c r="I2101" t="str" cm="1">
        <f t="array" ref="I2101:J2101">_xlfn.TEXTSPLIT(A2101," ")</f>
        <v>28.10.2023</v>
      </c>
      <c r="J2101" t="str">
        <v>11:02:47</v>
      </c>
      <c r="K2101">
        <f t="shared" si="442"/>
        <v>34.966666666665965</v>
      </c>
      <c r="L2101">
        <f t="shared" si="439"/>
        <v>20.369999999999997</v>
      </c>
      <c r="M2101">
        <f t="shared" si="440"/>
        <v>0.3</v>
      </c>
      <c r="N2101">
        <f t="shared" si="436"/>
        <v>0.49</v>
      </c>
      <c r="Q2101" t="str" cm="1">
        <f t="array" ref="Q2101:R2101">_xlfn.TEXTSPLIT(E2101," ")</f>
        <v>28.10.2023</v>
      </c>
      <c r="R2101" t="str">
        <v>11:02:47</v>
      </c>
      <c r="S2101">
        <f t="shared" si="443"/>
        <v>34.966666666665965</v>
      </c>
      <c r="T2101">
        <f t="shared" si="438"/>
        <v>35.160000000000011</v>
      </c>
      <c r="U2101">
        <f t="shared" si="441"/>
        <v>0.6</v>
      </c>
      <c r="V2101">
        <f t="shared" si="437"/>
        <v>0.86250000000000016</v>
      </c>
    </row>
    <row r="2102" spans="1:22" x14ac:dyDescent="0.25">
      <c r="A2102" t="s">
        <v>4058</v>
      </c>
      <c r="B2102">
        <v>0.3</v>
      </c>
      <c r="C2102">
        <v>34.700000000000003</v>
      </c>
      <c r="E2102" t="s">
        <v>4058</v>
      </c>
      <c r="F2102">
        <v>0.6</v>
      </c>
      <c r="G2102">
        <v>113.77</v>
      </c>
      <c r="I2102" t="str" cm="1">
        <f t="array" ref="I2102:J2102">_xlfn.TEXTSPLIT(A2102," ")</f>
        <v>28.10.2023</v>
      </c>
      <c r="J2102" t="str">
        <v>11:03:47</v>
      </c>
      <c r="K2102">
        <f t="shared" si="442"/>
        <v>34.983333333332631</v>
      </c>
      <c r="L2102">
        <f t="shared" si="439"/>
        <v>20.380000000000003</v>
      </c>
      <c r="M2102">
        <f t="shared" si="440"/>
        <v>0.3</v>
      </c>
      <c r="N2102">
        <f t="shared" si="436"/>
        <v>0.49000000000000005</v>
      </c>
      <c r="Q2102" t="str" cm="1">
        <f t="array" ref="Q2102:R2102">_xlfn.TEXTSPLIT(E2102," ")</f>
        <v>28.10.2023</v>
      </c>
      <c r="R2102" t="str">
        <v>11:03:47</v>
      </c>
      <c r="S2102">
        <f t="shared" si="443"/>
        <v>34.983333333332631</v>
      </c>
      <c r="T2102">
        <f t="shared" si="438"/>
        <v>35.17</v>
      </c>
      <c r="U2102">
        <f t="shared" si="441"/>
        <v>0.6</v>
      </c>
      <c r="V2102">
        <f t="shared" si="437"/>
        <v>0.8600000000000001</v>
      </c>
    </row>
    <row r="2103" spans="1:22" x14ac:dyDescent="0.25">
      <c r="A2103" t="s">
        <v>4059</v>
      </c>
      <c r="B2103">
        <v>0.45</v>
      </c>
      <c r="C2103">
        <v>34.700000000000003</v>
      </c>
      <c r="E2103" t="s">
        <v>4059</v>
      </c>
      <c r="F2103">
        <v>0.75</v>
      </c>
      <c r="G2103">
        <v>113.79</v>
      </c>
      <c r="I2103" t="str" cm="1">
        <f t="array" ref="I2103:J2103">_xlfn.TEXTSPLIT(A2103," ")</f>
        <v>28.10.2023</v>
      </c>
      <c r="J2103" t="str">
        <v>11:04:47</v>
      </c>
      <c r="K2103">
        <f t="shared" si="442"/>
        <v>34.999999999999297</v>
      </c>
      <c r="L2103">
        <f t="shared" si="439"/>
        <v>20.380000000000003</v>
      </c>
      <c r="M2103">
        <f t="shared" si="440"/>
        <v>0.45</v>
      </c>
      <c r="N2103">
        <f t="shared" si="436"/>
        <v>0.49249999999999999</v>
      </c>
      <c r="Q2103" t="str" cm="1">
        <f t="array" ref="Q2103:R2103">_xlfn.TEXTSPLIT(E2103," ")</f>
        <v>28.10.2023</v>
      </c>
      <c r="R2103" t="str">
        <v>11:04:47</v>
      </c>
      <c r="S2103">
        <f t="shared" si="443"/>
        <v>34.999999999999297</v>
      </c>
      <c r="T2103">
        <f t="shared" si="438"/>
        <v>35.190000000000012</v>
      </c>
      <c r="U2103">
        <f t="shared" si="441"/>
        <v>0.75</v>
      </c>
      <c r="V2103">
        <f t="shared" si="437"/>
        <v>0.85750000000000015</v>
      </c>
    </row>
    <row r="2104" spans="1:22" x14ac:dyDescent="0.25">
      <c r="A2104" t="s">
        <v>4060</v>
      </c>
      <c r="B2104">
        <v>0.3</v>
      </c>
      <c r="C2104">
        <v>34.71</v>
      </c>
      <c r="E2104" t="s">
        <v>4060</v>
      </c>
      <c r="F2104">
        <v>1.2</v>
      </c>
      <c r="G2104">
        <v>113.84</v>
      </c>
      <c r="I2104" t="str" cm="1">
        <f t="array" ref="I2104:J2104">_xlfn.TEXTSPLIT(A2104," ")</f>
        <v>28.10.2023</v>
      </c>
      <c r="J2104" t="str">
        <v>11:05:47</v>
      </c>
      <c r="K2104">
        <f t="shared" si="442"/>
        <v>35.016666666665962</v>
      </c>
      <c r="L2104">
        <f t="shared" si="439"/>
        <v>20.39</v>
      </c>
      <c r="M2104">
        <f t="shared" si="440"/>
        <v>0.3</v>
      </c>
      <c r="N2104">
        <f t="shared" si="436"/>
        <v>0.49249999999999999</v>
      </c>
      <c r="Q2104" t="str" cm="1">
        <f t="array" ref="Q2104:R2104">_xlfn.TEXTSPLIT(E2104," ")</f>
        <v>28.10.2023</v>
      </c>
      <c r="R2104" t="str">
        <v>11:05:47</v>
      </c>
      <c r="S2104">
        <f t="shared" si="443"/>
        <v>35.016666666665962</v>
      </c>
      <c r="T2104">
        <f t="shared" si="438"/>
        <v>35.240000000000009</v>
      </c>
      <c r="U2104">
        <f t="shared" si="441"/>
        <v>1.2</v>
      </c>
      <c r="V2104">
        <f t="shared" si="437"/>
        <v>0.8600000000000001</v>
      </c>
    </row>
    <row r="2105" spans="1:22" x14ac:dyDescent="0.25">
      <c r="A2105" t="s">
        <v>4061</v>
      </c>
      <c r="B2105">
        <v>0.45</v>
      </c>
      <c r="C2105">
        <v>34.74</v>
      </c>
      <c r="E2105" t="s">
        <v>4061</v>
      </c>
      <c r="F2105">
        <v>3</v>
      </c>
      <c r="G2105">
        <v>113.87</v>
      </c>
      <c r="I2105" t="str" cm="1">
        <f t="array" ref="I2105:J2105">_xlfn.TEXTSPLIT(A2105," ")</f>
        <v>28.10.2023</v>
      </c>
      <c r="J2105" t="str">
        <v>11:06:47</v>
      </c>
      <c r="K2105">
        <f t="shared" si="442"/>
        <v>35.033333333332628</v>
      </c>
      <c r="L2105">
        <f t="shared" si="439"/>
        <v>20.420000000000002</v>
      </c>
      <c r="M2105">
        <f t="shared" si="440"/>
        <v>0.45</v>
      </c>
      <c r="N2105">
        <f t="shared" si="436"/>
        <v>0.49249999999999999</v>
      </c>
      <c r="Q2105" t="str" cm="1">
        <f t="array" ref="Q2105:R2105">_xlfn.TEXTSPLIT(E2105," ")</f>
        <v>28.10.2023</v>
      </c>
      <c r="R2105" t="str">
        <v>11:06:47</v>
      </c>
      <c r="S2105">
        <f t="shared" si="443"/>
        <v>35.033333333332628</v>
      </c>
      <c r="T2105">
        <f t="shared" si="438"/>
        <v>35.27000000000001</v>
      </c>
      <c r="U2105">
        <f t="shared" si="441"/>
        <v>3</v>
      </c>
      <c r="V2105">
        <f t="shared" si="437"/>
        <v>0.87000000000000033</v>
      </c>
    </row>
    <row r="2106" spans="1:22" x14ac:dyDescent="0.25">
      <c r="A2106" t="s">
        <v>4062</v>
      </c>
      <c r="B2106">
        <v>1.8</v>
      </c>
      <c r="C2106">
        <v>34.78</v>
      </c>
      <c r="E2106" t="s">
        <v>4062</v>
      </c>
      <c r="F2106">
        <v>1.95</v>
      </c>
      <c r="G2106">
        <v>113.9</v>
      </c>
      <c r="I2106" t="str" cm="1">
        <f t="array" ref="I2106:J2106">_xlfn.TEXTSPLIT(A2106," ")</f>
        <v>28.10.2023</v>
      </c>
      <c r="J2106" t="str">
        <v>11:07:48</v>
      </c>
      <c r="K2106">
        <f t="shared" si="442"/>
        <v>35.049999999999294</v>
      </c>
      <c r="L2106">
        <f t="shared" si="439"/>
        <v>20.46</v>
      </c>
      <c r="M2106">
        <f t="shared" si="440"/>
        <v>1.8</v>
      </c>
      <c r="N2106">
        <f t="shared" si="436"/>
        <v>0.50000000000000011</v>
      </c>
      <c r="Q2106" t="str" cm="1">
        <f t="array" ref="Q2106:R2106">_xlfn.TEXTSPLIT(E2106," ")</f>
        <v>28.10.2023</v>
      </c>
      <c r="R2106" t="str">
        <v>11:07:48</v>
      </c>
      <c r="S2106">
        <f t="shared" si="443"/>
        <v>35.049999999999294</v>
      </c>
      <c r="T2106">
        <f t="shared" si="438"/>
        <v>35.300000000000011</v>
      </c>
      <c r="U2106">
        <f t="shared" si="441"/>
        <v>1.95</v>
      </c>
      <c r="V2106">
        <f t="shared" si="437"/>
        <v>0.87000000000000033</v>
      </c>
    </row>
    <row r="2107" spans="1:22" x14ac:dyDescent="0.25">
      <c r="A2107" t="s">
        <v>4063</v>
      </c>
      <c r="B2107">
        <v>2.4</v>
      </c>
      <c r="C2107">
        <v>34.81</v>
      </c>
      <c r="E2107" t="s">
        <v>4063</v>
      </c>
      <c r="F2107">
        <v>1.8</v>
      </c>
      <c r="G2107">
        <v>113.93</v>
      </c>
      <c r="I2107" t="str" cm="1">
        <f t="array" ref="I2107:J2107">_xlfn.TEXTSPLIT(A2107," ")</f>
        <v>28.10.2023</v>
      </c>
      <c r="J2107" t="str">
        <v>11:08:48</v>
      </c>
      <c r="K2107">
        <f t="shared" si="442"/>
        <v>35.066666666665959</v>
      </c>
      <c r="L2107">
        <f t="shared" si="439"/>
        <v>20.490000000000002</v>
      </c>
      <c r="M2107">
        <f t="shared" si="440"/>
        <v>2.4</v>
      </c>
      <c r="N2107">
        <f t="shared" si="436"/>
        <v>0.50000000000000011</v>
      </c>
      <c r="Q2107" t="str" cm="1">
        <f t="array" ref="Q2107:R2107">_xlfn.TEXTSPLIT(E2107," ")</f>
        <v>28.10.2023</v>
      </c>
      <c r="R2107" t="str">
        <v>11:08:48</v>
      </c>
      <c r="S2107">
        <f t="shared" si="443"/>
        <v>35.066666666665959</v>
      </c>
      <c r="T2107">
        <f t="shared" si="438"/>
        <v>35.330000000000013</v>
      </c>
      <c r="U2107">
        <f t="shared" si="441"/>
        <v>1.8</v>
      </c>
      <c r="V2107">
        <f t="shared" si="437"/>
        <v>0.86750000000000027</v>
      </c>
    </row>
    <row r="2108" spans="1:22" x14ac:dyDescent="0.25">
      <c r="A2108" t="s">
        <v>4064</v>
      </c>
      <c r="B2108">
        <v>1.5</v>
      </c>
      <c r="C2108">
        <v>34.83</v>
      </c>
      <c r="E2108" t="s">
        <v>4064</v>
      </c>
      <c r="F2108">
        <v>1.65</v>
      </c>
      <c r="G2108">
        <v>113.95</v>
      </c>
      <c r="I2108" t="str" cm="1">
        <f t="array" ref="I2108:J2108">_xlfn.TEXTSPLIT(A2108," ")</f>
        <v>28.10.2023</v>
      </c>
      <c r="J2108" t="str">
        <v>11:09:48</v>
      </c>
      <c r="K2108">
        <f t="shared" si="442"/>
        <v>35.083333333332625</v>
      </c>
      <c r="L2108">
        <f t="shared" si="439"/>
        <v>20.509999999999998</v>
      </c>
      <c r="M2108">
        <f t="shared" si="440"/>
        <v>1.5</v>
      </c>
      <c r="N2108">
        <f t="shared" si="436"/>
        <v>0.4975</v>
      </c>
      <c r="Q2108" t="str" cm="1">
        <f t="array" ref="Q2108:R2108">_xlfn.TEXTSPLIT(E2108," ")</f>
        <v>28.10.2023</v>
      </c>
      <c r="R2108" t="str">
        <v>11:09:48</v>
      </c>
      <c r="S2108">
        <f t="shared" si="443"/>
        <v>35.083333333332625</v>
      </c>
      <c r="T2108">
        <f t="shared" si="438"/>
        <v>35.350000000000009</v>
      </c>
      <c r="U2108">
        <f t="shared" si="441"/>
        <v>1.65</v>
      </c>
      <c r="V2108">
        <f t="shared" si="437"/>
        <v>0.86000000000000043</v>
      </c>
    </row>
    <row r="2109" spans="1:22" x14ac:dyDescent="0.25">
      <c r="A2109" t="s">
        <v>4065</v>
      </c>
      <c r="B2109">
        <v>1.05</v>
      </c>
      <c r="C2109">
        <v>34.83</v>
      </c>
      <c r="E2109" t="s">
        <v>4065</v>
      </c>
      <c r="F2109">
        <v>1.35</v>
      </c>
      <c r="G2109">
        <v>113.96</v>
      </c>
      <c r="I2109" t="str" cm="1">
        <f t="array" ref="I2109:J2109">_xlfn.TEXTSPLIT(A2109," ")</f>
        <v>28.10.2023</v>
      </c>
      <c r="J2109" t="str">
        <v>11:10:48</v>
      </c>
      <c r="K2109">
        <f t="shared" si="442"/>
        <v>35.099999999999291</v>
      </c>
      <c r="L2109">
        <f t="shared" si="439"/>
        <v>20.509999999999998</v>
      </c>
      <c r="M2109">
        <f t="shared" si="440"/>
        <v>1.05</v>
      </c>
      <c r="N2109">
        <f t="shared" si="436"/>
        <v>0.495</v>
      </c>
      <c r="Q2109" t="str" cm="1">
        <f t="array" ref="Q2109:R2109">_xlfn.TEXTSPLIT(E2109," ")</f>
        <v>28.10.2023</v>
      </c>
      <c r="R2109" t="str">
        <v>11:10:48</v>
      </c>
      <c r="S2109">
        <f t="shared" si="443"/>
        <v>35.099999999999291</v>
      </c>
      <c r="T2109">
        <f t="shared" si="438"/>
        <v>35.36</v>
      </c>
      <c r="U2109">
        <f t="shared" si="441"/>
        <v>1.35</v>
      </c>
      <c r="V2109">
        <f t="shared" si="437"/>
        <v>0.85500000000000043</v>
      </c>
    </row>
    <row r="2110" spans="1:22" x14ac:dyDescent="0.25">
      <c r="A2110" t="s">
        <v>4066</v>
      </c>
      <c r="B2110">
        <v>0.45</v>
      </c>
      <c r="C2110">
        <v>34.840000000000003</v>
      </c>
      <c r="E2110" t="s">
        <v>4066</v>
      </c>
      <c r="F2110">
        <v>0.75</v>
      </c>
      <c r="G2110">
        <v>113.98</v>
      </c>
      <c r="I2110" t="str" cm="1">
        <f t="array" ref="I2110:J2110">_xlfn.TEXTSPLIT(A2110," ")</f>
        <v>28.10.2023</v>
      </c>
      <c r="J2110" t="str">
        <v>11:11:48</v>
      </c>
      <c r="K2110">
        <f t="shared" si="442"/>
        <v>35.116666666665957</v>
      </c>
      <c r="L2110">
        <f t="shared" si="439"/>
        <v>20.520000000000003</v>
      </c>
      <c r="M2110">
        <f t="shared" si="440"/>
        <v>0.45</v>
      </c>
      <c r="N2110">
        <f t="shared" si="436"/>
        <v>0.49</v>
      </c>
      <c r="Q2110" t="str" cm="1">
        <f t="array" ref="Q2110:R2110">_xlfn.TEXTSPLIT(E2110," ")</f>
        <v>28.10.2023</v>
      </c>
      <c r="R2110" t="str">
        <v>11:11:48</v>
      </c>
      <c r="S2110">
        <f t="shared" si="443"/>
        <v>35.116666666665957</v>
      </c>
      <c r="T2110">
        <f t="shared" si="438"/>
        <v>35.38000000000001</v>
      </c>
      <c r="U2110">
        <f t="shared" si="441"/>
        <v>0.75</v>
      </c>
      <c r="V2110">
        <f t="shared" si="437"/>
        <v>0.85250000000000048</v>
      </c>
    </row>
    <row r="2111" spans="1:22" x14ac:dyDescent="0.25">
      <c r="A2111" t="s">
        <v>4067</v>
      </c>
      <c r="B2111">
        <v>0.6</v>
      </c>
      <c r="C2111">
        <v>34.85</v>
      </c>
      <c r="E2111" t="s">
        <v>4067</v>
      </c>
      <c r="F2111">
        <v>0.75</v>
      </c>
      <c r="G2111">
        <v>113.99</v>
      </c>
      <c r="I2111" t="str" cm="1">
        <f t="array" ref="I2111:J2111">_xlfn.TEXTSPLIT(A2111," ")</f>
        <v>28.10.2023</v>
      </c>
      <c r="J2111" t="str">
        <v>11:12:48</v>
      </c>
      <c r="K2111">
        <f t="shared" si="442"/>
        <v>35.133333333332622</v>
      </c>
      <c r="L2111">
        <f t="shared" si="439"/>
        <v>20.53</v>
      </c>
      <c r="M2111">
        <f t="shared" si="440"/>
        <v>0.6</v>
      </c>
      <c r="N2111">
        <f t="shared" ref="N2111:N2174" si="444">AVERAGE(M2052:M2111)</f>
        <v>0.48999999999999994</v>
      </c>
      <c r="Q2111" t="str" cm="1">
        <f t="array" ref="Q2111:R2111">_xlfn.TEXTSPLIT(E2111," ")</f>
        <v>28.10.2023</v>
      </c>
      <c r="R2111" t="str">
        <v>11:12:48</v>
      </c>
      <c r="S2111">
        <f t="shared" si="443"/>
        <v>35.133333333332622</v>
      </c>
      <c r="T2111">
        <f t="shared" si="438"/>
        <v>35.39</v>
      </c>
      <c r="U2111">
        <f t="shared" si="441"/>
        <v>0.75</v>
      </c>
      <c r="V2111">
        <f t="shared" ref="V2111:V2174" si="445">AVERAGE(U2052:U2111)</f>
        <v>0.85250000000000048</v>
      </c>
    </row>
    <row r="2112" spans="1:22" x14ac:dyDescent="0.25">
      <c r="A2112" t="s">
        <v>4068</v>
      </c>
      <c r="B2112">
        <v>0.3</v>
      </c>
      <c r="C2112">
        <v>34.85</v>
      </c>
      <c r="E2112" t="s">
        <v>4068</v>
      </c>
      <c r="F2112">
        <v>0.75</v>
      </c>
      <c r="G2112">
        <v>114</v>
      </c>
      <c r="I2112" t="str" cm="1">
        <f t="array" ref="I2112:J2112">_xlfn.TEXTSPLIT(A2112," ")</f>
        <v>28.10.2023</v>
      </c>
      <c r="J2112" t="str">
        <v>11:13:48</v>
      </c>
      <c r="K2112">
        <f t="shared" si="442"/>
        <v>35.149999999999288</v>
      </c>
      <c r="L2112">
        <f t="shared" si="439"/>
        <v>20.53</v>
      </c>
      <c r="M2112">
        <f t="shared" si="440"/>
        <v>0.3</v>
      </c>
      <c r="N2112">
        <f t="shared" si="444"/>
        <v>0.48749999999999999</v>
      </c>
      <c r="Q2112" t="str" cm="1">
        <f t="array" ref="Q2112:R2112">_xlfn.TEXTSPLIT(E2112," ")</f>
        <v>28.10.2023</v>
      </c>
      <c r="R2112" t="str">
        <v>11:13:48</v>
      </c>
      <c r="S2112">
        <f t="shared" si="443"/>
        <v>35.149999999999288</v>
      </c>
      <c r="T2112">
        <f t="shared" si="438"/>
        <v>35.400000000000006</v>
      </c>
      <c r="U2112">
        <f t="shared" si="441"/>
        <v>0.75</v>
      </c>
      <c r="V2112">
        <f t="shared" si="445"/>
        <v>0.85250000000000048</v>
      </c>
    </row>
    <row r="2113" spans="1:22" x14ac:dyDescent="0.25">
      <c r="A2113" t="s">
        <v>4069</v>
      </c>
      <c r="B2113">
        <v>0.45</v>
      </c>
      <c r="C2113">
        <v>34.869999999999997</v>
      </c>
      <c r="E2113" t="s">
        <v>4069</v>
      </c>
      <c r="F2113">
        <v>0.75</v>
      </c>
      <c r="G2113">
        <v>114.01</v>
      </c>
      <c r="I2113" t="str" cm="1">
        <f t="array" ref="I2113:J2113">_xlfn.TEXTSPLIT(A2113," ")</f>
        <v>28.10.2023</v>
      </c>
      <c r="J2113" t="str">
        <v>11:14:49</v>
      </c>
      <c r="K2113">
        <f t="shared" si="442"/>
        <v>35.166666666665954</v>
      </c>
      <c r="L2113">
        <f t="shared" si="439"/>
        <v>20.549999999999997</v>
      </c>
      <c r="M2113">
        <f t="shared" si="440"/>
        <v>0.45</v>
      </c>
      <c r="N2113">
        <f t="shared" si="444"/>
        <v>0.48749999999999993</v>
      </c>
      <c r="Q2113" t="str" cm="1">
        <f t="array" ref="Q2113:R2113">_xlfn.TEXTSPLIT(E2113," ")</f>
        <v>28.10.2023</v>
      </c>
      <c r="R2113" t="str">
        <v>11:14:49</v>
      </c>
      <c r="S2113">
        <f t="shared" si="443"/>
        <v>35.166666666665954</v>
      </c>
      <c r="T2113">
        <f t="shared" si="438"/>
        <v>35.410000000000011</v>
      </c>
      <c r="U2113">
        <f t="shared" si="441"/>
        <v>0.75</v>
      </c>
      <c r="V2113">
        <f t="shared" si="445"/>
        <v>0.85500000000000032</v>
      </c>
    </row>
    <row r="2114" spans="1:22" x14ac:dyDescent="0.25">
      <c r="A2114" t="s">
        <v>4070</v>
      </c>
      <c r="B2114">
        <v>0.45</v>
      </c>
      <c r="C2114">
        <v>34.869999999999997</v>
      </c>
      <c r="E2114" t="s">
        <v>4070</v>
      </c>
      <c r="F2114">
        <v>0.75</v>
      </c>
      <c r="G2114">
        <v>114.03</v>
      </c>
      <c r="I2114" t="str" cm="1">
        <f t="array" ref="I2114:J2114">_xlfn.TEXTSPLIT(A2114," ")</f>
        <v>28.10.2023</v>
      </c>
      <c r="J2114" t="str">
        <v>11:15:49</v>
      </c>
      <c r="K2114">
        <f t="shared" si="442"/>
        <v>35.183333333332619</v>
      </c>
      <c r="L2114">
        <f t="shared" si="439"/>
        <v>20.549999999999997</v>
      </c>
      <c r="M2114">
        <f t="shared" si="440"/>
        <v>0.45</v>
      </c>
      <c r="N2114">
        <f t="shared" si="444"/>
        <v>0.48749999999999988</v>
      </c>
      <c r="Q2114" t="str" cm="1">
        <f t="array" ref="Q2114:R2114">_xlfn.TEXTSPLIT(E2114," ")</f>
        <v>28.10.2023</v>
      </c>
      <c r="R2114" t="str">
        <v>11:15:49</v>
      </c>
      <c r="S2114">
        <f t="shared" si="443"/>
        <v>35.183333333332619</v>
      </c>
      <c r="T2114">
        <f t="shared" si="438"/>
        <v>35.430000000000007</v>
      </c>
      <c r="U2114">
        <f t="shared" si="441"/>
        <v>0.75</v>
      </c>
      <c r="V2114">
        <f t="shared" si="445"/>
        <v>0.85250000000000037</v>
      </c>
    </row>
    <row r="2115" spans="1:22" x14ac:dyDescent="0.25">
      <c r="A2115" t="s">
        <v>4071</v>
      </c>
      <c r="B2115">
        <v>0.6</v>
      </c>
      <c r="C2115">
        <v>34.880000000000003</v>
      </c>
      <c r="E2115" t="s">
        <v>4071</v>
      </c>
      <c r="F2115">
        <v>0.9</v>
      </c>
      <c r="G2115">
        <v>114.05</v>
      </c>
      <c r="I2115" t="str" cm="1">
        <f t="array" ref="I2115:J2115">_xlfn.TEXTSPLIT(A2115," ")</f>
        <v>28.10.2023</v>
      </c>
      <c r="J2115" t="str">
        <v>11:16:49</v>
      </c>
      <c r="K2115">
        <f t="shared" si="442"/>
        <v>35.199999999999285</v>
      </c>
      <c r="L2115">
        <f t="shared" si="439"/>
        <v>20.560000000000002</v>
      </c>
      <c r="M2115">
        <f t="shared" si="440"/>
        <v>0.6</v>
      </c>
      <c r="N2115">
        <f t="shared" si="444"/>
        <v>0.48749999999999999</v>
      </c>
      <c r="Q2115" t="str" cm="1">
        <f t="array" ref="Q2115:R2115">_xlfn.TEXTSPLIT(E2115," ")</f>
        <v>28.10.2023</v>
      </c>
      <c r="R2115" t="str">
        <v>11:16:49</v>
      </c>
      <c r="S2115">
        <f t="shared" si="443"/>
        <v>35.199999999999285</v>
      </c>
      <c r="T2115">
        <f t="shared" ref="T2115:T2178" si="446">G2115-78.6</f>
        <v>35.450000000000003</v>
      </c>
      <c r="U2115">
        <f t="shared" si="441"/>
        <v>0.9</v>
      </c>
      <c r="V2115">
        <f t="shared" si="445"/>
        <v>0.8500000000000002</v>
      </c>
    </row>
    <row r="2116" spans="1:22" x14ac:dyDescent="0.25">
      <c r="A2116" t="s">
        <v>4072</v>
      </c>
      <c r="B2116">
        <v>0.45</v>
      </c>
      <c r="C2116">
        <v>34.89</v>
      </c>
      <c r="E2116" t="s">
        <v>4072</v>
      </c>
      <c r="F2116">
        <v>1.2</v>
      </c>
      <c r="G2116">
        <v>114.06</v>
      </c>
      <c r="I2116" t="str" cm="1">
        <f t="array" ref="I2116:J2116">_xlfn.TEXTSPLIT(A2116," ")</f>
        <v>28.10.2023</v>
      </c>
      <c r="J2116" t="str">
        <v>11:17:49</v>
      </c>
      <c r="K2116">
        <f t="shared" si="442"/>
        <v>35.216666666665951</v>
      </c>
      <c r="L2116">
        <f t="shared" ref="L2116:L2179" si="447">C2116-14.32</f>
        <v>20.57</v>
      </c>
      <c r="M2116">
        <f t="shared" ref="M2116:M2179" si="448">B2116</f>
        <v>0.45</v>
      </c>
      <c r="N2116">
        <f t="shared" si="444"/>
        <v>0.48749999999999993</v>
      </c>
      <c r="Q2116" t="str" cm="1">
        <f t="array" ref="Q2116:R2116">_xlfn.TEXTSPLIT(E2116," ")</f>
        <v>28.10.2023</v>
      </c>
      <c r="R2116" t="str">
        <v>11:17:49</v>
      </c>
      <c r="S2116">
        <f t="shared" si="443"/>
        <v>35.216666666665951</v>
      </c>
      <c r="T2116">
        <f t="shared" si="446"/>
        <v>35.460000000000008</v>
      </c>
      <c r="U2116">
        <f t="shared" ref="U2116:U2179" si="449">F2116</f>
        <v>1.2</v>
      </c>
      <c r="V2116">
        <f t="shared" si="445"/>
        <v>0.84750000000000025</v>
      </c>
    </row>
    <row r="2117" spans="1:22" x14ac:dyDescent="0.25">
      <c r="A2117" t="s">
        <v>4073</v>
      </c>
      <c r="B2117">
        <v>0.15</v>
      </c>
      <c r="C2117">
        <v>34.89</v>
      </c>
      <c r="E2117" t="s">
        <v>4073</v>
      </c>
      <c r="F2117">
        <v>1.05</v>
      </c>
      <c r="G2117">
        <v>114.08</v>
      </c>
      <c r="I2117" t="str" cm="1">
        <f t="array" ref="I2117:J2117">_xlfn.TEXTSPLIT(A2117," ")</f>
        <v>28.10.2023</v>
      </c>
      <c r="J2117" t="str">
        <v>11:18:49</v>
      </c>
      <c r="K2117">
        <f t="shared" ref="K2117:K2180" si="450">1/60+K2116</f>
        <v>35.233333333332617</v>
      </c>
      <c r="L2117">
        <f t="shared" si="447"/>
        <v>20.57</v>
      </c>
      <c r="M2117">
        <f t="shared" si="448"/>
        <v>0.15</v>
      </c>
      <c r="N2117">
        <f t="shared" si="444"/>
        <v>0.48249999999999998</v>
      </c>
      <c r="Q2117" t="str" cm="1">
        <f t="array" ref="Q2117:R2117">_xlfn.TEXTSPLIT(E2117," ")</f>
        <v>28.10.2023</v>
      </c>
      <c r="R2117" t="str">
        <v>11:18:49</v>
      </c>
      <c r="S2117">
        <f t="shared" ref="S2117:S2180" si="451">1/60+S2116</f>
        <v>35.233333333332617</v>
      </c>
      <c r="T2117">
        <f t="shared" si="446"/>
        <v>35.480000000000004</v>
      </c>
      <c r="U2117">
        <f t="shared" si="449"/>
        <v>1.05</v>
      </c>
      <c r="V2117">
        <f t="shared" si="445"/>
        <v>0.85000000000000009</v>
      </c>
    </row>
    <row r="2118" spans="1:22" x14ac:dyDescent="0.25">
      <c r="A2118" t="s">
        <v>4074</v>
      </c>
      <c r="B2118">
        <v>0.15</v>
      </c>
      <c r="C2118">
        <v>34.9</v>
      </c>
      <c r="E2118" t="s">
        <v>4074</v>
      </c>
      <c r="F2118">
        <v>0.9</v>
      </c>
      <c r="G2118">
        <v>114.1</v>
      </c>
      <c r="I2118" t="str" cm="1">
        <f t="array" ref="I2118:J2118">_xlfn.TEXTSPLIT(A2118," ")</f>
        <v>28.10.2023</v>
      </c>
      <c r="J2118" t="str">
        <v>11:19:49</v>
      </c>
      <c r="K2118">
        <f t="shared" si="450"/>
        <v>35.249999999999282</v>
      </c>
      <c r="L2118">
        <f t="shared" si="447"/>
        <v>20.58</v>
      </c>
      <c r="M2118">
        <f t="shared" si="448"/>
        <v>0.15</v>
      </c>
      <c r="N2118">
        <f t="shared" si="444"/>
        <v>0.48249999999999998</v>
      </c>
      <c r="Q2118" t="str" cm="1">
        <f t="array" ref="Q2118:R2118">_xlfn.TEXTSPLIT(E2118," ")</f>
        <v>28.10.2023</v>
      </c>
      <c r="R2118" t="str">
        <v>11:19:49</v>
      </c>
      <c r="S2118">
        <f t="shared" si="451"/>
        <v>35.249999999999282</v>
      </c>
      <c r="T2118">
        <f t="shared" si="446"/>
        <v>35.5</v>
      </c>
      <c r="U2118">
        <f t="shared" si="449"/>
        <v>0.9</v>
      </c>
      <c r="V2118">
        <f t="shared" si="445"/>
        <v>0.8550000000000002</v>
      </c>
    </row>
    <row r="2119" spans="1:22" x14ac:dyDescent="0.25">
      <c r="A2119" t="s">
        <v>4075</v>
      </c>
      <c r="B2119">
        <v>0.75</v>
      </c>
      <c r="C2119">
        <v>34.909999999999997</v>
      </c>
      <c r="E2119" t="s">
        <v>4075</v>
      </c>
      <c r="F2119">
        <v>0.6</v>
      </c>
      <c r="G2119">
        <v>114.1</v>
      </c>
      <c r="I2119" t="str" cm="1">
        <f t="array" ref="I2119:J2119">_xlfn.TEXTSPLIT(A2119," ")</f>
        <v>28.10.2023</v>
      </c>
      <c r="J2119" t="str">
        <v>11:20:49</v>
      </c>
      <c r="K2119">
        <f t="shared" si="450"/>
        <v>35.266666666665948</v>
      </c>
      <c r="L2119">
        <f t="shared" si="447"/>
        <v>20.589999999999996</v>
      </c>
      <c r="M2119">
        <f t="shared" si="448"/>
        <v>0.75</v>
      </c>
      <c r="N2119">
        <f t="shared" si="444"/>
        <v>0.49000000000000005</v>
      </c>
      <c r="Q2119" t="str" cm="1">
        <f t="array" ref="Q2119:R2119">_xlfn.TEXTSPLIT(E2119," ")</f>
        <v>28.10.2023</v>
      </c>
      <c r="R2119" t="str">
        <v>11:20:49</v>
      </c>
      <c r="S2119">
        <f t="shared" si="451"/>
        <v>35.266666666665948</v>
      </c>
      <c r="T2119">
        <f t="shared" si="446"/>
        <v>35.5</v>
      </c>
      <c r="U2119">
        <f t="shared" si="449"/>
        <v>0.6</v>
      </c>
      <c r="V2119">
        <f t="shared" si="445"/>
        <v>0.85250000000000015</v>
      </c>
    </row>
    <row r="2120" spans="1:22" x14ac:dyDescent="0.25">
      <c r="A2120" t="s">
        <v>4076</v>
      </c>
      <c r="B2120">
        <v>0.75</v>
      </c>
      <c r="C2120">
        <v>34.92</v>
      </c>
      <c r="E2120" t="s">
        <v>4076</v>
      </c>
      <c r="F2120">
        <v>0</v>
      </c>
      <c r="G2120">
        <v>114.1</v>
      </c>
      <c r="I2120" t="str" cm="1">
        <f t="array" ref="I2120:J2120">_xlfn.TEXTSPLIT(A2120," ")</f>
        <v>28.10.2023</v>
      </c>
      <c r="J2120" t="str">
        <v>11:21:50</v>
      </c>
      <c r="K2120">
        <f t="shared" si="450"/>
        <v>35.283333333332614</v>
      </c>
      <c r="L2120">
        <f t="shared" si="447"/>
        <v>20.6</v>
      </c>
      <c r="M2120">
        <f t="shared" si="448"/>
        <v>0.75</v>
      </c>
      <c r="N2120">
        <f t="shared" si="444"/>
        <v>0.49249999999999999</v>
      </c>
      <c r="Q2120" t="str" cm="1">
        <f t="array" ref="Q2120:R2120">_xlfn.TEXTSPLIT(E2120," ")</f>
        <v>28.10.2023</v>
      </c>
      <c r="R2120" t="str">
        <v>11:21:50</v>
      </c>
      <c r="S2120">
        <f t="shared" si="451"/>
        <v>35.283333333332614</v>
      </c>
      <c r="T2120">
        <f t="shared" si="446"/>
        <v>35.5</v>
      </c>
      <c r="U2120">
        <f t="shared" si="449"/>
        <v>0</v>
      </c>
      <c r="V2120">
        <f t="shared" si="445"/>
        <v>0.85250000000000015</v>
      </c>
    </row>
    <row r="2121" spans="1:22" x14ac:dyDescent="0.25">
      <c r="A2121" t="s">
        <v>4077</v>
      </c>
      <c r="B2121">
        <v>0</v>
      </c>
      <c r="C2121">
        <v>34.92</v>
      </c>
      <c r="E2121" t="s">
        <v>4077</v>
      </c>
      <c r="F2121">
        <v>0</v>
      </c>
      <c r="G2121">
        <v>114.1</v>
      </c>
      <c r="I2121" t="str" cm="1">
        <f t="array" ref="I2121:J2121">_xlfn.TEXTSPLIT(A2121," ")</f>
        <v>28.10.2023</v>
      </c>
      <c r="J2121" t="str">
        <v>11:22:50</v>
      </c>
      <c r="K2121">
        <f t="shared" si="450"/>
        <v>35.29999999999928</v>
      </c>
      <c r="L2121">
        <f t="shared" si="447"/>
        <v>20.6</v>
      </c>
      <c r="M2121">
        <f t="shared" si="448"/>
        <v>0</v>
      </c>
      <c r="N2121">
        <f t="shared" si="444"/>
        <v>0.49</v>
      </c>
      <c r="Q2121" t="str" cm="1">
        <f t="array" ref="Q2121:R2121">_xlfn.TEXTSPLIT(E2121," ")</f>
        <v>28.10.2023</v>
      </c>
      <c r="R2121" t="str">
        <v>11:22:50</v>
      </c>
      <c r="S2121">
        <f t="shared" si="451"/>
        <v>35.29999999999928</v>
      </c>
      <c r="T2121">
        <f t="shared" si="446"/>
        <v>35.5</v>
      </c>
      <c r="U2121">
        <f t="shared" si="449"/>
        <v>0</v>
      </c>
      <c r="V2121">
        <f t="shared" si="445"/>
        <v>0.85250000000000015</v>
      </c>
    </row>
    <row r="2122" spans="1:22" x14ac:dyDescent="0.25">
      <c r="A2122" t="s">
        <v>4078</v>
      </c>
      <c r="B2122">
        <v>0</v>
      </c>
      <c r="C2122">
        <v>34.92</v>
      </c>
      <c r="E2122" t="s">
        <v>4078</v>
      </c>
      <c r="F2122">
        <v>0.3</v>
      </c>
      <c r="G2122">
        <v>114.1</v>
      </c>
      <c r="I2122" t="str" cm="1">
        <f t="array" ref="I2122:J2122">_xlfn.TEXTSPLIT(A2122," ")</f>
        <v>28.10.2023</v>
      </c>
      <c r="J2122" t="str">
        <v>11:23:50</v>
      </c>
      <c r="K2122">
        <f t="shared" si="450"/>
        <v>35.316666666665945</v>
      </c>
      <c r="L2122">
        <f t="shared" si="447"/>
        <v>20.6</v>
      </c>
      <c r="M2122">
        <f t="shared" si="448"/>
        <v>0</v>
      </c>
      <c r="N2122">
        <f t="shared" si="444"/>
        <v>0.49</v>
      </c>
      <c r="Q2122" t="str" cm="1">
        <f t="array" ref="Q2122:R2122">_xlfn.TEXTSPLIT(E2122," ")</f>
        <v>28.10.2023</v>
      </c>
      <c r="R2122" t="str">
        <v>11:23:50</v>
      </c>
      <c r="S2122">
        <f t="shared" si="451"/>
        <v>35.316666666665945</v>
      </c>
      <c r="T2122">
        <f t="shared" si="446"/>
        <v>35.5</v>
      </c>
      <c r="U2122">
        <f t="shared" si="449"/>
        <v>0.3</v>
      </c>
      <c r="V2122">
        <f t="shared" si="445"/>
        <v>0.85500000000000009</v>
      </c>
    </row>
    <row r="2123" spans="1:22" x14ac:dyDescent="0.25">
      <c r="A2123" t="s">
        <v>4079</v>
      </c>
      <c r="B2123">
        <v>0</v>
      </c>
      <c r="C2123">
        <v>34.92</v>
      </c>
      <c r="E2123" t="s">
        <v>4079</v>
      </c>
      <c r="F2123">
        <v>0.3</v>
      </c>
      <c r="G2123">
        <v>114.11</v>
      </c>
      <c r="I2123" t="str" cm="1">
        <f t="array" ref="I2123:J2123">_xlfn.TEXTSPLIT(A2123," ")</f>
        <v>28.10.2023</v>
      </c>
      <c r="J2123" t="str">
        <v>11:24:50</v>
      </c>
      <c r="K2123">
        <f t="shared" si="450"/>
        <v>35.333333333332611</v>
      </c>
      <c r="L2123">
        <f t="shared" si="447"/>
        <v>20.6</v>
      </c>
      <c r="M2123">
        <f t="shared" si="448"/>
        <v>0</v>
      </c>
      <c r="N2123">
        <f t="shared" si="444"/>
        <v>0.49</v>
      </c>
      <c r="Q2123" t="str" cm="1">
        <f t="array" ref="Q2123:R2123">_xlfn.TEXTSPLIT(E2123," ")</f>
        <v>28.10.2023</v>
      </c>
      <c r="R2123" t="str">
        <v>11:24:50</v>
      </c>
      <c r="S2123">
        <f t="shared" si="451"/>
        <v>35.333333333332611</v>
      </c>
      <c r="T2123">
        <f t="shared" si="446"/>
        <v>35.510000000000005</v>
      </c>
      <c r="U2123">
        <f t="shared" si="449"/>
        <v>0.3</v>
      </c>
      <c r="V2123">
        <f t="shared" si="445"/>
        <v>0.85750000000000004</v>
      </c>
    </row>
    <row r="2124" spans="1:22" x14ac:dyDescent="0.25">
      <c r="A2124" t="s">
        <v>4080</v>
      </c>
      <c r="B2124">
        <v>0</v>
      </c>
      <c r="C2124">
        <v>34.92</v>
      </c>
      <c r="E2124" t="s">
        <v>4080</v>
      </c>
      <c r="F2124">
        <v>0.15</v>
      </c>
      <c r="G2124">
        <v>114.11</v>
      </c>
      <c r="I2124" t="str" cm="1">
        <f t="array" ref="I2124:J2124">_xlfn.TEXTSPLIT(A2124," ")</f>
        <v>28.10.2023</v>
      </c>
      <c r="J2124" t="str">
        <v>11:25:50</v>
      </c>
      <c r="K2124">
        <f t="shared" si="450"/>
        <v>35.349999999999277</v>
      </c>
      <c r="L2124">
        <f t="shared" si="447"/>
        <v>20.6</v>
      </c>
      <c r="M2124">
        <f t="shared" si="448"/>
        <v>0</v>
      </c>
      <c r="N2124">
        <f t="shared" si="444"/>
        <v>0.49</v>
      </c>
      <c r="Q2124" t="str" cm="1">
        <f t="array" ref="Q2124:R2124">_xlfn.TEXTSPLIT(E2124," ")</f>
        <v>28.10.2023</v>
      </c>
      <c r="R2124" t="str">
        <v>11:25:50</v>
      </c>
      <c r="S2124">
        <f t="shared" si="451"/>
        <v>35.349999999999277</v>
      </c>
      <c r="T2124">
        <f t="shared" si="446"/>
        <v>35.510000000000005</v>
      </c>
      <c r="U2124">
        <f t="shared" si="449"/>
        <v>0.15</v>
      </c>
      <c r="V2124">
        <f t="shared" si="445"/>
        <v>0.85500000000000009</v>
      </c>
    </row>
    <row r="2125" spans="1:22" x14ac:dyDescent="0.25">
      <c r="A2125" t="s">
        <v>4081</v>
      </c>
      <c r="B2125">
        <v>0</v>
      </c>
      <c r="C2125">
        <v>34.92</v>
      </c>
      <c r="E2125" t="s">
        <v>4081</v>
      </c>
      <c r="F2125">
        <v>0.45</v>
      </c>
      <c r="G2125">
        <v>114.12</v>
      </c>
      <c r="I2125" t="str" cm="1">
        <f t="array" ref="I2125:J2125">_xlfn.TEXTSPLIT(A2125," ")</f>
        <v>28.10.2023</v>
      </c>
      <c r="J2125" t="str">
        <v>11:26:50</v>
      </c>
      <c r="K2125">
        <f t="shared" si="450"/>
        <v>35.366666666665942</v>
      </c>
      <c r="L2125">
        <f t="shared" si="447"/>
        <v>20.6</v>
      </c>
      <c r="M2125">
        <f t="shared" si="448"/>
        <v>0</v>
      </c>
      <c r="N2125">
        <f t="shared" si="444"/>
        <v>0.49</v>
      </c>
      <c r="Q2125" t="str" cm="1">
        <f t="array" ref="Q2125:R2125">_xlfn.TEXTSPLIT(E2125," ")</f>
        <v>28.10.2023</v>
      </c>
      <c r="R2125" t="str">
        <v>11:26:50</v>
      </c>
      <c r="S2125">
        <f t="shared" si="451"/>
        <v>35.366666666665942</v>
      </c>
      <c r="T2125">
        <f t="shared" si="446"/>
        <v>35.52000000000001</v>
      </c>
      <c r="U2125">
        <f t="shared" si="449"/>
        <v>0.45</v>
      </c>
      <c r="V2125">
        <f t="shared" si="445"/>
        <v>0.85750000000000004</v>
      </c>
    </row>
    <row r="2126" spans="1:22" x14ac:dyDescent="0.25">
      <c r="A2126" t="s">
        <v>4082</v>
      </c>
      <c r="B2126">
        <v>0</v>
      </c>
      <c r="C2126">
        <v>34.92</v>
      </c>
      <c r="E2126" t="s">
        <v>4082</v>
      </c>
      <c r="F2126">
        <v>0.3</v>
      </c>
      <c r="G2126">
        <v>114.12</v>
      </c>
      <c r="I2126" t="str" cm="1">
        <f t="array" ref="I2126:J2126">_xlfn.TEXTSPLIT(A2126," ")</f>
        <v>28.10.2023</v>
      </c>
      <c r="J2126" t="str">
        <v>11:27:51</v>
      </c>
      <c r="K2126">
        <f t="shared" si="450"/>
        <v>35.383333333332608</v>
      </c>
      <c r="L2126">
        <f t="shared" si="447"/>
        <v>20.6</v>
      </c>
      <c r="M2126">
        <f t="shared" si="448"/>
        <v>0</v>
      </c>
      <c r="N2126">
        <f t="shared" si="444"/>
        <v>0.49</v>
      </c>
      <c r="Q2126" t="str" cm="1">
        <f t="array" ref="Q2126:R2126">_xlfn.TEXTSPLIT(E2126," ")</f>
        <v>28.10.2023</v>
      </c>
      <c r="R2126" t="str">
        <v>11:27:51</v>
      </c>
      <c r="S2126">
        <f t="shared" si="451"/>
        <v>35.383333333332608</v>
      </c>
      <c r="T2126">
        <f t="shared" si="446"/>
        <v>35.52000000000001</v>
      </c>
      <c r="U2126">
        <f t="shared" si="449"/>
        <v>0.3</v>
      </c>
      <c r="V2126">
        <f t="shared" si="445"/>
        <v>0.85750000000000004</v>
      </c>
    </row>
    <row r="2127" spans="1:22" x14ac:dyDescent="0.25">
      <c r="A2127" t="s">
        <v>4083</v>
      </c>
      <c r="B2127">
        <v>0</v>
      </c>
      <c r="C2127">
        <v>34.92</v>
      </c>
      <c r="E2127" t="s">
        <v>4083</v>
      </c>
      <c r="F2127">
        <v>0.45</v>
      </c>
      <c r="G2127">
        <v>114.13</v>
      </c>
      <c r="I2127" t="str" cm="1">
        <f t="array" ref="I2127:J2127">_xlfn.TEXTSPLIT(A2127," ")</f>
        <v>28.10.2023</v>
      </c>
      <c r="J2127" t="str">
        <v>11:28:51</v>
      </c>
      <c r="K2127">
        <f t="shared" si="450"/>
        <v>35.399999999999274</v>
      </c>
      <c r="L2127">
        <f t="shared" si="447"/>
        <v>20.6</v>
      </c>
      <c r="M2127">
        <f t="shared" si="448"/>
        <v>0</v>
      </c>
      <c r="N2127">
        <f t="shared" si="444"/>
        <v>0.49</v>
      </c>
      <c r="Q2127" t="str" cm="1">
        <f t="array" ref="Q2127:R2127">_xlfn.TEXTSPLIT(E2127," ")</f>
        <v>28.10.2023</v>
      </c>
      <c r="R2127" t="str">
        <v>11:28:51</v>
      </c>
      <c r="S2127">
        <f t="shared" si="451"/>
        <v>35.399999999999274</v>
      </c>
      <c r="T2127">
        <f t="shared" si="446"/>
        <v>35.53</v>
      </c>
      <c r="U2127">
        <f t="shared" si="449"/>
        <v>0.45</v>
      </c>
      <c r="V2127">
        <f t="shared" si="445"/>
        <v>0.85750000000000004</v>
      </c>
    </row>
    <row r="2128" spans="1:22" x14ac:dyDescent="0.25">
      <c r="A2128" t="s">
        <v>4084</v>
      </c>
      <c r="B2128">
        <v>0.15</v>
      </c>
      <c r="C2128">
        <v>34.92</v>
      </c>
      <c r="E2128" t="s">
        <v>4084</v>
      </c>
      <c r="F2128">
        <v>0.6</v>
      </c>
      <c r="G2128">
        <v>114.15</v>
      </c>
      <c r="I2128" t="str" cm="1">
        <f t="array" ref="I2128:J2128">_xlfn.TEXTSPLIT(A2128," ")</f>
        <v>28.10.2023</v>
      </c>
      <c r="J2128" t="str">
        <v>11:29:51</v>
      </c>
      <c r="K2128">
        <f t="shared" si="450"/>
        <v>35.41666666666594</v>
      </c>
      <c r="L2128">
        <f t="shared" si="447"/>
        <v>20.6</v>
      </c>
      <c r="M2128">
        <f t="shared" si="448"/>
        <v>0.15</v>
      </c>
      <c r="N2128">
        <f t="shared" si="444"/>
        <v>0.49</v>
      </c>
      <c r="Q2128" t="str" cm="1">
        <f t="array" ref="Q2128:R2128">_xlfn.TEXTSPLIT(E2128," ")</f>
        <v>28.10.2023</v>
      </c>
      <c r="R2128" t="str">
        <v>11:29:51</v>
      </c>
      <c r="S2128">
        <f t="shared" si="451"/>
        <v>35.41666666666594</v>
      </c>
      <c r="T2128">
        <f t="shared" si="446"/>
        <v>35.550000000000011</v>
      </c>
      <c r="U2128">
        <f t="shared" si="449"/>
        <v>0.6</v>
      </c>
      <c r="V2128">
        <f t="shared" si="445"/>
        <v>0.85500000000000009</v>
      </c>
    </row>
    <row r="2129" spans="1:22" x14ac:dyDescent="0.25">
      <c r="A2129" t="s">
        <v>4085</v>
      </c>
      <c r="B2129">
        <v>0.15</v>
      </c>
      <c r="C2129">
        <v>34.92</v>
      </c>
      <c r="E2129" t="s">
        <v>4085</v>
      </c>
      <c r="F2129">
        <v>0.75</v>
      </c>
      <c r="G2129">
        <v>114.16</v>
      </c>
      <c r="I2129" t="str" cm="1">
        <f t="array" ref="I2129:J2129">_xlfn.TEXTSPLIT(A2129," ")</f>
        <v>28.10.2023</v>
      </c>
      <c r="J2129" t="str">
        <v>11:30:51</v>
      </c>
      <c r="K2129">
        <f t="shared" si="450"/>
        <v>35.433333333332605</v>
      </c>
      <c r="L2129">
        <f t="shared" si="447"/>
        <v>20.6</v>
      </c>
      <c r="M2129">
        <f t="shared" si="448"/>
        <v>0.15</v>
      </c>
      <c r="N2129">
        <f t="shared" si="444"/>
        <v>0.48749999999999993</v>
      </c>
      <c r="Q2129" t="str" cm="1">
        <f t="array" ref="Q2129:R2129">_xlfn.TEXTSPLIT(E2129," ")</f>
        <v>28.10.2023</v>
      </c>
      <c r="R2129" t="str">
        <v>11:30:51</v>
      </c>
      <c r="S2129">
        <f t="shared" si="451"/>
        <v>35.433333333332605</v>
      </c>
      <c r="T2129">
        <f t="shared" si="446"/>
        <v>35.56</v>
      </c>
      <c r="U2129">
        <f t="shared" si="449"/>
        <v>0.75</v>
      </c>
      <c r="V2129">
        <f t="shared" si="445"/>
        <v>0.85249999999999992</v>
      </c>
    </row>
    <row r="2130" spans="1:22" x14ac:dyDescent="0.25">
      <c r="A2130" t="s">
        <v>4086</v>
      </c>
      <c r="B2130">
        <v>0.45</v>
      </c>
      <c r="C2130">
        <v>34.93</v>
      </c>
      <c r="E2130" t="s">
        <v>4086</v>
      </c>
      <c r="F2130">
        <v>0.9</v>
      </c>
      <c r="G2130">
        <v>114.18</v>
      </c>
      <c r="I2130" t="str" cm="1">
        <f t="array" ref="I2130:J2130">_xlfn.TEXTSPLIT(A2130," ")</f>
        <v>28.10.2023</v>
      </c>
      <c r="J2130" t="str">
        <v>11:31:51</v>
      </c>
      <c r="K2130">
        <f t="shared" si="450"/>
        <v>35.449999999999271</v>
      </c>
      <c r="L2130">
        <f t="shared" si="447"/>
        <v>20.61</v>
      </c>
      <c r="M2130">
        <f t="shared" si="448"/>
        <v>0.45</v>
      </c>
      <c r="N2130">
        <f t="shared" si="444"/>
        <v>0.49</v>
      </c>
      <c r="Q2130" t="str" cm="1">
        <f t="array" ref="Q2130:R2130">_xlfn.TEXTSPLIT(E2130," ")</f>
        <v>28.10.2023</v>
      </c>
      <c r="R2130" t="str">
        <v>11:31:51</v>
      </c>
      <c r="S2130">
        <f t="shared" si="451"/>
        <v>35.449999999999271</v>
      </c>
      <c r="T2130">
        <f t="shared" si="446"/>
        <v>35.580000000000013</v>
      </c>
      <c r="U2130">
        <f t="shared" si="449"/>
        <v>0.9</v>
      </c>
      <c r="V2130">
        <f t="shared" si="445"/>
        <v>0.85249999999999992</v>
      </c>
    </row>
    <row r="2131" spans="1:22" x14ac:dyDescent="0.25">
      <c r="A2131" t="s">
        <v>4087</v>
      </c>
      <c r="B2131">
        <v>0.3</v>
      </c>
      <c r="C2131">
        <v>34.93</v>
      </c>
      <c r="E2131" t="s">
        <v>4087</v>
      </c>
      <c r="F2131">
        <v>1.2</v>
      </c>
      <c r="G2131">
        <v>114.19</v>
      </c>
      <c r="I2131" t="str" cm="1">
        <f t="array" ref="I2131:J2131">_xlfn.TEXTSPLIT(A2131," ")</f>
        <v>28.10.2023</v>
      </c>
      <c r="J2131" t="str">
        <v>11:32:51</v>
      </c>
      <c r="K2131">
        <f t="shared" si="450"/>
        <v>35.466666666665937</v>
      </c>
      <c r="L2131">
        <f t="shared" si="447"/>
        <v>20.61</v>
      </c>
      <c r="M2131">
        <f t="shared" si="448"/>
        <v>0.3</v>
      </c>
      <c r="N2131">
        <f t="shared" si="444"/>
        <v>0.49249999999999994</v>
      </c>
      <c r="Q2131" t="str" cm="1">
        <f t="array" ref="Q2131:R2131">_xlfn.TEXTSPLIT(E2131," ")</f>
        <v>28.10.2023</v>
      </c>
      <c r="R2131" t="str">
        <v>11:32:51</v>
      </c>
      <c r="S2131">
        <f t="shared" si="451"/>
        <v>35.466666666665937</v>
      </c>
      <c r="T2131">
        <f t="shared" si="446"/>
        <v>35.590000000000003</v>
      </c>
      <c r="U2131">
        <f t="shared" si="449"/>
        <v>1.2</v>
      </c>
      <c r="V2131">
        <f t="shared" si="445"/>
        <v>0.85500000000000009</v>
      </c>
    </row>
    <row r="2132" spans="1:22" x14ac:dyDescent="0.25">
      <c r="A2132" t="s">
        <v>4088</v>
      </c>
      <c r="B2132">
        <v>0.15</v>
      </c>
      <c r="C2132">
        <v>34.94</v>
      </c>
      <c r="E2132" t="s">
        <v>4088</v>
      </c>
      <c r="F2132">
        <v>0.9</v>
      </c>
      <c r="G2132">
        <v>114.21</v>
      </c>
      <c r="I2132" t="str" cm="1">
        <f t="array" ref="I2132:J2132">_xlfn.TEXTSPLIT(A2132," ")</f>
        <v>28.10.2023</v>
      </c>
      <c r="J2132" t="str">
        <v>11:33:51</v>
      </c>
      <c r="K2132">
        <f t="shared" si="450"/>
        <v>35.483333333332602</v>
      </c>
      <c r="L2132">
        <f t="shared" si="447"/>
        <v>20.619999999999997</v>
      </c>
      <c r="M2132">
        <f t="shared" si="448"/>
        <v>0.15</v>
      </c>
      <c r="N2132">
        <f t="shared" si="444"/>
        <v>0.49</v>
      </c>
      <c r="Q2132" t="str" cm="1">
        <f t="array" ref="Q2132:R2132">_xlfn.TEXTSPLIT(E2132," ")</f>
        <v>28.10.2023</v>
      </c>
      <c r="R2132" t="str">
        <v>11:33:51</v>
      </c>
      <c r="S2132">
        <f t="shared" si="451"/>
        <v>35.483333333332602</v>
      </c>
      <c r="T2132">
        <f t="shared" si="446"/>
        <v>35.61</v>
      </c>
      <c r="U2132">
        <f t="shared" si="449"/>
        <v>0.9</v>
      </c>
      <c r="V2132">
        <f t="shared" si="445"/>
        <v>0.85499999999999998</v>
      </c>
    </row>
    <row r="2133" spans="1:22" x14ac:dyDescent="0.25">
      <c r="A2133" t="s">
        <v>4089</v>
      </c>
      <c r="B2133">
        <v>0.3</v>
      </c>
      <c r="C2133">
        <v>34.94</v>
      </c>
      <c r="E2133" t="s">
        <v>4089</v>
      </c>
      <c r="F2133">
        <v>0.75</v>
      </c>
      <c r="G2133">
        <v>114.22</v>
      </c>
      <c r="I2133" t="str" cm="1">
        <f t="array" ref="I2133:J2133">_xlfn.TEXTSPLIT(A2133," ")</f>
        <v>28.10.2023</v>
      </c>
      <c r="J2133" t="str">
        <v>11:34:52</v>
      </c>
      <c r="K2133">
        <f t="shared" si="450"/>
        <v>35.499999999999268</v>
      </c>
      <c r="L2133">
        <f t="shared" si="447"/>
        <v>20.619999999999997</v>
      </c>
      <c r="M2133">
        <f t="shared" si="448"/>
        <v>0.3</v>
      </c>
      <c r="N2133">
        <f t="shared" si="444"/>
        <v>0.49</v>
      </c>
      <c r="Q2133" t="str" cm="1">
        <f t="array" ref="Q2133:R2133">_xlfn.TEXTSPLIT(E2133," ")</f>
        <v>28.10.2023</v>
      </c>
      <c r="R2133" t="str">
        <v>11:34:52</v>
      </c>
      <c r="S2133">
        <f t="shared" si="451"/>
        <v>35.499999999999268</v>
      </c>
      <c r="T2133">
        <f t="shared" si="446"/>
        <v>35.620000000000005</v>
      </c>
      <c r="U2133">
        <f t="shared" si="449"/>
        <v>0.75</v>
      </c>
      <c r="V2133">
        <f t="shared" si="445"/>
        <v>0.85750000000000004</v>
      </c>
    </row>
    <row r="2134" spans="1:22" x14ac:dyDescent="0.25">
      <c r="A2134" t="s">
        <v>4090</v>
      </c>
      <c r="B2134">
        <v>0.3</v>
      </c>
      <c r="C2134">
        <v>34.950000000000003</v>
      </c>
      <c r="E2134" t="s">
        <v>4090</v>
      </c>
      <c r="F2134">
        <v>0.75</v>
      </c>
      <c r="G2134">
        <v>114.25</v>
      </c>
      <c r="I2134" t="str" cm="1">
        <f t="array" ref="I2134:J2134">_xlfn.TEXTSPLIT(A2134," ")</f>
        <v>28.10.2023</v>
      </c>
      <c r="J2134" t="str">
        <v>11:35:52</v>
      </c>
      <c r="K2134">
        <f t="shared" si="450"/>
        <v>35.516666666665934</v>
      </c>
      <c r="L2134">
        <f t="shared" si="447"/>
        <v>20.630000000000003</v>
      </c>
      <c r="M2134">
        <f t="shared" si="448"/>
        <v>0.3</v>
      </c>
      <c r="N2134">
        <f t="shared" si="444"/>
        <v>0.48999999999999994</v>
      </c>
      <c r="Q2134" t="str" cm="1">
        <f t="array" ref="Q2134:R2134">_xlfn.TEXTSPLIT(E2134," ")</f>
        <v>28.10.2023</v>
      </c>
      <c r="R2134" t="str">
        <v>11:35:52</v>
      </c>
      <c r="S2134">
        <f t="shared" si="451"/>
        <v>35.516666666665934</v>
      </c>
      <c r="T2134">
        <f t="shared" si="446"/>
        <v>35.650000000000006</v>
      </c>
      <c r="U2134">
        <f t="shared" si="449"/>
        <v>0.75</v>
      </c>
      <c r="V2134">
        <f t="shared" si="445"/>
        <v>0.85749999999999993</v>
      </c>
    </row>
    <row r="2135" spans="1:22" x14ac:dyDescent="0.25">
      <c r="A2135" t="s">
        <v>4091</v>
      </c>
      <c r="B2135">
        <v>0.3</v>
      </c>
      <c r="C2135">
        <v>34.97</v>
      </c>
      <c r="E2135" t="s">
        <v>4091</v>
      </c>
      <c r="F2135">
        <v>1.95</v>
      </c>
      <c r="G2135">
        <v>114.3</v>
      </c>
      <c r="I2135" t="str" cm="1">
        <f t="array" ref="I2135:J2135">_xlfn.TEXTSPLIT(A2135," ")</f>
        <v>28.10.2023</v>
      </c>
      <c r="J2135" t="str">
        <v>11:36:52</v>
      </c>
      <c r="K2135">
        <f t="shared" si="450"/>
        <v>35.5333333333326</v>
      </c>
      <c r="L2135">
        <f t="shared" si="447"/>
        <v>20.65</v>
      </c>
      <c r="M2135">
        <f t="shared" si="448"/>
        <v>0.3</v>
      </c>
      <c r="N2135">
        <f t="shared" si="444"/>
        <v>0.49249999999999994</v>
      </c>
      <c r="Q2135" t="str" cm="1">
        <f t="array" ref="Q2135:R2135">_xlfn.TEXTSPLIT(E2135," ")</f>
        <v>28.10.2023</v>
      </c>
      <c r="R2135" t="str">
        <v>11:36:52</v>
      </c>
      <c r="S2135">
        <f t="shared" si="451"/>
        <v>35.5333333333326</v>
      </c>
      <c r="T2135">
        <f t="shared" si="446"/>
        <v>35.700000000000003</v>
      </c>
      <c r="U2135">
        <f t="shared" si="449"/>
        <v>1.95</v>
      </c>
      <c r="V2135">
        <f t="shared" si="445"/>
        <v>0.85000000000000009</v>
      </c>
    </row>
    <row r="2136" spans="1:22" x14ac:dyDescent="0.25">
      <c r="A2136" t="s">
        <v>4092</v>
      </c>
      <c r="B2136">
        <v>1.35</v>
      </c>
      <c r="C2136">
        <v>35.01</v>
      </c>
      <c r="E2136" t="s">
        <v>4092</v>
      </c>
      <c r="F2136">
        <v>3</v>
      </c>
      <c r="G2136">
        <v>114.33</v>
      </c>
      <c r="I2136" t="str" cm="1">
        <f t="array" ref="I2136:J2136">_xlfn.TEXTSPLIT(A2136," ")</f>
        <v>28.10.2023</v>
      </c>
      <c r="J2136" t="str">
        <v>11:37:52</v>
      </c>
      <c r="K2136">
        <f t="shared" si="450"/>
        <v>35.549999999999265</v>
      </c>
      <c r="L2136">
        <f t="shared" si="447"/>
        <v>20.689999999999998</v>
      </c>
      <c r="M2136">
        <f t="shared" si="448"/>
        <v>1.35</v>
      </c>
      <c r="N2136">
        <f t="shared" si="444"/>
        <v>0.48749999999999999</v>
      </c>
      <c r="Q2136" t="str" cm="1">
        <f t="array" ref="Q2136:R2136">_xlfn.TEXTSPLIT(E2136," ")</f>
        <v>28.10.2023</v>
      </c>
      <c r="R2136" t="str">
        <v>11:37:52</v>
      </c>
      <c r="S2136">
        <f t="shared" si="451"/>
        <v>35.549999999999265</v>
      </c>
      <c r="T2136">
        <f t="shared" si="446"/>
        <v>35.730000000000004</v>
      </c>
      <c r="U2136">
        <f t="shared" si="449"/>
        <v>3</v>
      </c>
      <c r="V2136">
        <f t="shared" si="445"/>
        <v>0.85249999999999992</v>
      </c>
    </row>
    <row r="2137" spans="1:22" x14ac:dyDescent="0.25">
      <c r="A2137" t="s">
        <v>4093</v>
      </c>
      <c r="B2137">
        <v>2.4</v>
      </c>
      <c r="C2137">
        <v>35.049999999999997</v>
      </c>
      <c r="E2137" t="s">
        <v>4093</v>
      </c>
      <c r="F2137">
        <v>1.95</v>
      </c>
      <c r="G2137">
        <v>114.35</v>
      </c>
      <c r="I2137" t="str" cm="1">
        <f t="array" ref="I2137:J2137">_xlfn.TEXTSPLIT(A2137," ")</f>
        <v>28.10.2023</v>
      </c>
      <c r="J2137" t="str">
        <v>11:38:52</v>
      </c>
      <c r="K2137">
        <f t="shared" si="450"/>
        <v>35.566666666665931</v>
      </c>
      <c r="L2137">
        <f t="shared" si="447"/>
        <v>20.729999999999997</v>
      </c>
      <c r="M2137">
        <f t="shared" si="448"/>
        <v>2.4</v>
      </c>
      <c r="N2137">
        <f t="shared" si="444"/>
        <v>0.48499999999999999</v>
      </c>
      <c r="Q2137" t="str" cm="1">
        <f t="array" ref="Q2137:R2137">_xlfn.TEXTSPLIT(E2137," ")</f>
        <v>28.10.2023</v>
      </c>
      <c r="R2137" t="str">
        <v>11:38:52</v>
      </c>
      <c r="S2137">
        <f t="shared" si="451"/>
        <v>35.566666666665931</v>
      </c>
      <c r="T2137">
        <f t="shared" si="446"/>
        <v>35.75</v>
      </c>
      <c r="U2137">
        <f t="shared" si="449"/>
        <v>1.95</v>
      </c>
      <c r="V2137">
        <f t="shared" si="445"/>
        <v>0.86</v>
      </c>
    </row>
    <row r="2138" spans="1:22" x14ac:dyDescent="0.25">
      <c r="A2138" t="s">
        <v>4094</v>
      </c>
      <c r="B2138">
        <v>1.8</v>
      </c>
      <c r="C2138">
        <v>35.06</v>
      </c>
      <c r="E2138" t="s">
        <v>4094</v>
      </c>
      <c r="F2138">
        <v>1.05</v>
      </c>
      <c r="G2138">
        <v>114.37</v>
      </c>
      <c r="I2138" t="str" cm="1">
        <f t="array" ref="I2138:J2138">_xlfn.TEXTSPLIT(A2138," ")</f>
        <v>28.10.2023</v>
      </c>
      <c r="J2138" t="str">
        <v>11:39:52</v>
      </c>
      <c r="K2138">
        <f t="shared" si="450"/>
        <v>35.583333333332597</v>
      </c>
      <c r="L2138">
        <f t="shared" si="447"/>
        <v>20.740000000000002</v>
      </c>
      <c r="M2138">
        <f t="shared" si="448"/>
        <v>1.8</v>
      </c>
      <c r="N2138">
        <f t="shared" si="444"/>
        <v>0.48249999999999998</v>
      </c>
      <c r="Q2138" t="str" cm="1">
        <f t="array" ref="Q2138:R2138">_xlfn.TEXTSPLIT(E2138," ")</f>
        <v>28.10.2023</v>
      </c>
      <c r="R2138" t="str">
        <v>11:39:52</v>
      </c>
      <c r="S2138">
        <f t="shared" si="451"/>
        <v>35.583333333332597</v>
      </c>
      <c r="T2138">
        <f t="shared" si="446"/>
        <v>35.77000000000001</v>
      </c>
      <c r="U2138">
        <f t="shared" si="449"/>
        <v>1.05</v>
      </c>
      <c r="V2138">
        <f t="shared" si="445"/>
        <v>0.85999999999999988</v>
      </c>
    </row>
    <row r="2139" spans="1:22" x14ac:dyDescent="0.25">
      <c r="A2139" t="s">
        <v>4095</v>
      </c>
      <c r="B2139">
        <v>0.9</v>
      </c>
      <c r="C2139">
        <v>35.07</v>
      </c>
      <c r="E2139" t="s">
        <v>4095</v>
      </c>
      <c r="F2139">
        <v>1.2</v>
      </c>
      <c r="G2139">
        <v>114.39</v>
      </c>
      <c r="I2139" t="str" cm="1">
        <f t="array" ref="I2139:J2139">_xlfn.TEXTSPLIT(A2139," ")</f>
        <v>28.10.2023</v>
      </c>
      <c r="J2139" t="str">
        <v>11:40:52</v>
      </c>
      <c r="K2139">
        <f t="shared" si="450"/>
        <v>35.599999999999262</v>
      </c>
      <c r="L2139">
        <f t="shared" si="447"/>
        <v>20.75</v>
      </c>
      <c r="M2139">
        <f t="shared" si="448"/>
        <v>0.9</v>
      </c>
      <c r="N2139">
        <f t="shared" si="444"/>
        <v>0.48249999999999993</v>
      </c>
      <c r="Q2139" t="str" cm="1">
        <f t="array" ref="Q2139:R2139">_xlfn.TEXTSPLIT(E2139," ")</f>
        <v>28.10.2023</v>
      </c>
      <c r="R2139" t="str">
        <v>11:40:52</v>
      </c>
      <c r="S2139">
        <f t="shared" si="451"/>
        <v>35.599999999999262</v>
      </c>
      <c r="T2139">
        <f t="shared" si="446"/>
        <v>35.790000000000006</v>
      </c>
      <c r="U2139">
        <f t="shared" si="449"/>
        <v>1.2</v>
      </c>
      <c r="V2139">
        <f t="shared" si="445"/>
        <v>0.86499999999999999</v>
      </c>
    </row>
    <row r="2140" spans="1:22" x14ac:dyDescent="0.25">
      <c r="A2140" t="s">
        <v>4096</v>
      </c>
      <c r="B2140">
        <v>0.75</v>
      </c>
      <c r="C2140">
        <v>35.08</v>
      </c>
      <c r="E2140" t="s">
        <v>4096</v>
      </c>
      <c r="F2140">
        <v>1.05</v>
      </c>
      <c r="G2140">
        <v>114.4</v>
      </c>
      <c r="I2140" t="str" cm="1">
        <f t="array" ref="I2140:J2140">_xlfn.TEXTSPLIT(A2140," ")</f>
        <v>28.10.2023</v>
      </c>
      <c r="J2140" t="str">
        <v>11:41:53</v>
      </c>
      <c r="K2140">
        <f t="shared" si="450"/>
        <v>35.616666666665928</v>
      </c>
      <c r="L2140">
        <f t="shared" si="447"/>
        <v>20.759999999999998</v>
      </c>
      <c r="M2140">
        <f t="shared" si="448"/>
        <v>0.75</v>
      </c>
      <c r="N2140">
        <f t="shared" si="444"/>
        <v>0.48249999999999993</v>
      </c>
      <c r="Q2140" t="str" cm="1">
        <f t="array" ref="Q2140:R2140">_xlfn.TEXTSPLIT(E2140," ")</f>
        <v>28.10.2023</v>
      </c>
      <c r="R2140" t="str">
        <v>11:41:53</v>
      </c>
      <c r="S2140">
        <f t="shared" si="451"/>
        <v>35.616666666665928</v>
      </c>
      <c r="T2140">
        <f t="shared" si="446"/>
        <v>35.800000000000011</v>
      </c>
      <c r="U2140">
        <f t="shared" si="449"/>
        <v>1.05</v>
      </c>
      <c r="V2140">
        <f t="shared" si="445"/>
        <v>0.86749999999999983</v>
      </c>
    </row>
    <row r="2141" spans="1:22" x14ac:dyDescent="0.25">
      <c r="A2141" t="s">
        <v>4097</v>
      </c>
      <c r="B2141">
        <v>0.45</v>
      </c>
      <c r="C2141">
        <v>35.08</v>
      </c>
      <c r="E2141" t="s">
        <v>4097</v>
      </c>
      <c r="F2141">
        <v>1.05</v>
      </c>
      <c r="G2141">
        <v>114.42</v>
      </c>
      <c r="I2141" t="str" cm="1">
        <f t="array" ref="I2141:J2141">_xlfn.TEXTSPLIT(A2141," ")</f>
        <v>28.10.2023</v>
      </c>
      <c r="J2141" t="str">
        <v>11:42:53</v>
      </c>
      <c r="K2141">
        <f t="shared" si="450"/>
        <v>35.633333333332594</v>
      </c>
      <c r="L2141">
        <f t="shared" si="447"/>
        <v>20.759999999999998</v>
      </c>
      <c r="M2141">
        <f t="shared" si="448"/>
        <v>0.45</v>
      </c>
      <c r="N2141">
        <f t="shared" si="444"/>
        <v>0.48499999999999993</v>
      </c>
      <c r="Q2141" t="str" cm="1">
        <f t="array" ref="Q2141:R2141">_xlfn.TEXTSPLIT(E2141," ")</f>
        <v>28.10.2023</v>
      </c>
      <c r="R2141" t="str">
        <v>11:42:53</v>
      </c>
      <c r="S2141">
        <f t="shared" si="451"/>
        <v>35.633333333332594</v>
      </c>
      <c r="T2141">
        <f t="shared" si="446"/>
        <v>35.820000000000007</v>
      </c>
      <c r="U2141">
        <f t="shared" si="449"/>
        <v>1.05</v>
      </c>
      <c r="V2141">
        <f t="shared" si="445"/>
        <v>0.86249999999999993</v>
      </c>
    </row>
    <row r="2142" spans="1:22" x14ac:dyDescent="0.25">
      <c r="A2142" t="s">
        <v>4098</v>
      </c>
      <c r="B2142">
        <v>0.45</v>
      </c>
      <c r="C2142">
        <v>35.090000000000003</v>
      </c>
      <c r="E2142" t="s">
        <v>4098</v>
      </c>
      <c r="F2142">
        <v>0.9</v>
      </c>
      <c r="G2142">
        <v>114.44</v>
      </c>
      <c r="I2142" t="str" cm="1">
        <f t="array" ref="I2142:J2142">_xlfn.TEXTSPLIT(A2142," ")</f>
        <v>28.10.2023</v>
      </c>
      <c r="J2142" t="str">
        <v>11:43:53</v>
      </c>
      <c r="K2142">
        <f t="shared" si="450"/>
        <v>35.64999999999926</v>
      </c>
      <c r="L2142">
        <f t="shared" si="447"/>
        <v>20.770000000000003</v>
      </c>
      <c r="M2142">
        <f t="shared" si="448"/>
        <v>0.45</v>
      </c>
      <c r="N2142">
        <f t="shared" si="444"/>
        <v>0.48249999999999987</v>
      </c>
      <c r="Q2142" t="str" cm="1">
        <f t="array" ref="Q2142:R2142">_xlfn.TEXTSPLIT(E2142," ")</f>
        <v>28.10.2023</v>
      </c>
      <c r="R2142" t="str">
        <v>11:43:53</v>
      </c>
      <c r="S2142">
        <f t="shared" si="451"/>
        <v>35.64999999999926</v>
      </c>
      <c r="T2142">
        <f t="shared" si="446"/>
        <v>35.840000000000003</v>
      </c>
      <c r="U2142">
        <f t="shared" si="449"/>
        <v>0.9</v>
      </c>
      <c r="V2142">
        <f t="shared" si="445"/>
        <v>0.85499999999999998</v>
      </c>
    </row>
    <row r="2143" spans="1:22" x14ac:dyDescent="0.25">
      <c r="A2143" t="s">
        <v>4099</v>
      </c>
      <c r="B2143">
        <v>0.45</v>
      </c>
      <c r="C2143">
        <v>35.1</v>
      </c>
      <c r="E2143" t="s">
        <v>4099</v>
      </c>
      <c r="F2143">
        <v>1.2</v>
      </c>
      <c r="G2143">
        <v>114.45</v>
      </c>
      <c r="I2143" t="str" cm="1">
        <f t="array" ref="I2143:J2143">_xlfn.TEXTSPLIT(A2143," ")</f>
        <v>28.10.2023</v>
      </c>
      <c r="J2143" t="str">
        <v>11:44:53</v>
      </c>
      <c r="K2143">
        <f t="shared" si="450"/>
        <v>35.666666666665925</v>
      </c>
      <c r="L2143">
        <f t="shared" si="447"/>
        <v>20.78</v>
      </c>
      <c r="M2143">
        <f t="shared" si="448"/>
        <v>0.45</v>
      </c>
      <c r="N2143">
        <f t="shared" si="444"/>
        <v>0.48499999999999982</v>
      </c>
      <c r="Q2143" t="str" cm="1">
        <f t="array" ref="Q2143:R2143">_xlfn.TEXTSPLIT(E2143," ")</f>
        <v>28.10.2023</v>
      </c>
      <c r="R2143" t="str">
        <v>11:44:53</v>
      </c>
      <c r="S2143">
        <f t="shared" si="451"/>
        <v>35.666666666665925</v>
      </c>
      <c r="T2143">
        <f t="shared" si="446"/>
        <v>35.850000000000009</v>
      </c>
      <c r="U2143">
        <f t="shared" si="449"/>
        <v>1.2</v>
      </c>
      <c r="V2143">
        <f t="shared" si="445"/>
        <v>0.85750000000000004</v>
      </c>
    </row>
    <row r="2144" spans="1:22" x14ac:dyDescent="0.25">
      <c r="A2144" t="s">
        <v>4100</v>
      </c>
      <c r="B2144">
        <v>0.45</v>
      </c>
      <c r="C2144">
        <v>35.11</v>
      </c>
      <c r="E2144" t="s">
        <v>4100</v>
      </c>
      <c r="F2144">
        <v>0.6</v>
      </c>
      <c r="G2144">
        <v>114.46</v>
      </c>
      <c r="I2144" t="str" cm="1">
        <f t="array" ref="I2144:J2144">_xlfn.TEXTSPLIT(A2144," ")</f>
        <v>28.10.2023</v>
      </c>
      <c r="J2144" t="str">
        <v>11:45:53</v>
      </c>
      <c r="K2144">
        <f t="shared" si="450"/>
        <v>35.683333333332591</v>
      </c>
      <c r="L2144">
        <f t="shared" si="447"/>
        <v>20.79</v>
      </c>
      <c r="M2144">
        <f t="shared" si="448"/>
        <v>0.45</v>
      </c>
      <c r="N2144">
        <f t="shared" si="444"/>
        <v>0.48749999999999982</v>
      </c>
      <c r="Q2144" t="str" cm="1">
        <f t="array" ref="Q2144:R2144">_xlfn.TEXTSPLIT(E2144," ")</f>
        <v>28.10.2023</v>
      </c>
      <c r="R2144" t="str">
        <v>11:45:53</v>
      </c>
      <c r="S2144">
        <f t="shared" si="451"/>
        <v>35.683333333332591</v>
      </c>
      <c r="T2144">
        <f t="shared" si="446"/>
        <v>35.86</v>
      </c>
      <c r="U2144">
        <f t="shared" si="449"/>
        <v>0.6</v>
      </c>
      <c r="V2144">
        <f t="shared" si="445"/>
        <v>0.85749999999999993</v>
      </c>
    </row>
    <row r="2145" spans="1:22" x14ac:dyDescent="0.25">
      <c r="A2145" t="s">
        <v>4101</v>
      </c>
      <c r="B2145">
        <v>0.45</v>
      </c>
      <c r="C2145">
        <v>35.11</v>
      </c>
      <c r="E2145" t="s">
        <v>4101</v>
      </c>
      <c r="F2145">
        <v>0.75</v>
      </c>
      <c r="G2145">
        <v>114.48</v>
      </c>
      <c r="I2145" t="str" cm="1">
        <f t="array" ref="I2145:J2145">_xlfn.TEXTSPLIT(A2145," ")</f>
        <v>28.10.2023</v>
      </c>
      <c r="J2145" t="str">
        <v>11:46:53</v>
      </c>
      <c r="K2145">
        <f t="shared" si="450"/>
        <v>35.699999999999257</v>
      </c>
      <c r="L2145">
        <f t="shared" si="447"/>
        <v>20.79</v>
      </c>
      <c r="M2145">
        <f t="shared" si="448"/>
        <v>0.45</v>
      </c>
      <c r="N2145">
        <f t="shared" si="444"/>
        <v>0.48499999999999982</v>
      </c>
      <c r="Q2145" t="str" cm="1">
        <f t="array" ref="Q2145:R2145">_xlfn.TEXTSPLIT(E2145," ")</f>
        <v>28.10.2023</v>
      </c>
      <c r="R2145" t="str">
        <v>11:46:53</v>
      </c>
      <c r="S2145">
        <f t="shared" si="451"/>
        <v>35.699999999999257</v>
      </c>
      <c r="T2145">
        <f t="shared" si="446"/>
        <v>35.88000000000001</v>
      </c>
      <c r="U2145">
        <f t="shared" si="449"/>
        <v>0.75</v>
      </c>
      <c r="V2145">
        <f t="shared" si="445"/>
        <v>0.85750000000000004</v>
      </c>
    </row>
    <row r="2146" spans="1:22" x14ac:dyDescent="0.25">
      <c r="A2146" t="s">
        <v>4102</v>
      </c>
      <c r="B2146">
        <v>0.45</v>
      </c>
      <c r="C2146">
        <v>35.119999999999997</v>
      </c>
      <c r="E2146" t="s">
        <v>4102</v>
      </c>
      <c r="F2146">
        <v>0.75</v>
      </c>
      <c r="G2146">
        <v>114.49</v>
      </c>
      <c r="I2146" t="str" cm="1">
        <f t="array" ref="I2146:J2146">_xlfn.TEXTSPLIT(A2146," ")</f>
        <v>28.10.2023</v>
      </c>
      <c r="J2146" t="str">
        <v>11:47:54</v>
      </c>
      <c r="K2146">
        <f t="shared" si="450"/>
        <v>35.716666666665922</v>
      </c>
      <c r="L2146">
        <f t="shared" si="447"/>
        <v>20.799999999999997</v>
      </c>
      <c r="M2146">
        <f t="shared" si="448"/>
        <v>0.45</v>
      </c>
      <c r="N2146">
        <f t="shared" si="444"/>
        <v>0.47999999999999982</v>
      </c>
      <c r="Q2146" t="str" cm="1">
        <f t="array" ref="Q2146:R2146">_xlfn.TEXTSPLIT(E2146," ")</f>
        <v>28.10.2023</v>
      </c>
      <c r="R2146" t="str">
        <v>11:47:54</v>
      </c>
      <c r="S2146">
        <f t="shared" si="451"/>
        <v>35.716666666665922</v>
      </c>
      <c r="T2146">
        <f t="shared" si="446"/>
        <v>35.89</v>
      </c>
      <c r="U2146">
        <f t="shared" si="449"/>
        <v>0.75</v>
      </c>
      <c r="V2146">
        <f t="shared" si="445"/>
        <v>0.85750000000000004</v>
      </c>
    </row>
    <row r="2147" spans="1:22" x14ac:dyDescent="0.25">
      <c r="A2147" t="s">
        <v>4103</v>
      </c>
      <c r="B2147">
        <v>0.6</v>
      </c>
      <c r="C2147">
        <v>35.130000000000003</v>
      </c>
      <c r="E2147" t="s">
        <v>4103</v>
      </c>
      <c r="F2147">
        <v>0.6</v>
      </c>
      <c r="G2147">
        <v>114.49</v>
      </c>
      <c r="I2147" t="str" cm="1">
        <f t="array" ref="I2147:J2147">_xlfn.TEXTSPLIT(A2147," ")</f>
        <v>28.10.2023</v>
      </c>
      <c r="J2147" t="str">
        <v>11:48:54</v>
      </c>
      <c r="K2147">
        <f t="shared" si="450"/>
        <v>35.733333333332588</v>
      </c>
      <c r="L2147">
        <f t="shared" si="447"/>
        <v>20.810000000000002</v>
      </c>
      <c r="M2147">
        <f t="shared" si="448"/>
        <v>0.6</v>
      </c>
      <c r="N2147">
        <f t="shared" si="444"/>
        <v>0.47999999999999982</v>
      </c>
      <c r="Q2147" t="str" cm="1">
        <f t="array" ref="Q2147:R2147">_xlfn.TEXTSPLIT(E2147," ")</f>
        <v>28.10.2023</v>
      </c>
      <c r="R2147" t="str">
        <v>11:48:54</v>
      </c>
      <c r="S2147">
        <f t="shared" si="451"/>
        <v>35.733333333332588</v>
      </c>
      <c r="T2147">
        <f t="shared" si="446"/>
        <v>35.89</v>
      </c>
      <c r="U2147">
        <f t="shared" si="449"/>
        <v>0.6</v>
      </c>
      <c r="V2147">
        <f t="shared" si="445"/>
        <v>0.85750000000000004</v>
      </c>
    </row>
    <row r="2148" spans="1:22" x14ac:dyDescent="0.25">
      <c r="A2148" t="s">
        <v>4104</v>
      </c>
      <c r="B2148">
        <v>0.3</v>
      </c>
      <c r="C2148">
        <v>35.130000000000003</v>
      </c>
      <c r="E2148" t="s">
        <v>4104</v>
      </c>
      <c r="F2148">
        <v>0.6</v>
      </c>
      <c r="G2148">
        <v>114.5</v>
      </c>
      <c r="I2148" t="str" cm="1">
        <f t="array" ref="I2148:J2148">_xlfn.TEXTSPLIT(A2148," ")</f>
        <v>28.10.2023</v>
      </c>
      <c r="J2148" t="str">
        <v>11:49:54</v>
      </c>
      <c r="K2148">
        <f t="shared" si="450"/>
        <v>35.749999999999254</v>
      </c>
      <c r="L2148">
        <f t="shared" si="447"/>
        <v>20.810000000000002</v>
      </c>
      <c r="M2148">
        <f t="shared" si="448"/>
        <v>0.3</v>
      </c>
      <c r="N2148">
        <f t="shared" si="444"/>
        <v>0.48249999999999987</v>
      </c>
      <c r="Q2148" t="str" cm="1">
        <f t="array" ref="Q2148:R2148">_xlfn.TEXTSPLIT(E2148," ")</f>
        <v>28.10.2023</v>
      </c>
      <c r="R2148" t="str">
        <v>11:49:54</v>
      </c>
      <c r="S2148">
        <f t="shared" si="451"/>
        <v>35.749999999999254</v>
      </c>
      <c r="T2148">
        <f t="shared" si="446"/>
        <v>35.900000000000006</v>
      </c>
      <c r="U2148">
        <f t="shared" si="449"/>
        <v>0.6</v>
      </c>
      <c r="V2148">
        <f t="shared" si="445"/>
        <v>0.85250000000000015</v>
      </c>
    </row>
    <row r="2149" spans="1:22" x14ac:dyDescent="0.25">
      <c r="A2149" t="s">
        <v>4105</v>
      </c>
      <c r="B2149">
        <v>0.3</v>
      </c>
      <c r="C2149">
        <v>35.15</v>
      </c>
      <c r="E2149" t="s">
        <v>4105</v>
      </c>
      <c r="F2149">
        <v>0.6</v>
      </c>
      <c r="G2149">
        <v>114.5</v>
      </c>
      <c r="I2149" t="str" cm="1">
        <f t="array" ref="I2149:J2149">_xlfn.TEXTSPLIT(A2149," ")</f>
        <v>28.10.2023</v>
      </c>
      <c r="J2149" t="str">
        <v>11:50:54</v>
      </c>
      <c r="K2149">
        <f t="shared" si="450"/>
        <v>35.76666666666592</v>
      </c>
      <c r="L2149">
        <f t="shared" si="447"/>
        <v>20.83</v>
      </c>
      <c r="M2149">
        <f t="shared" si="448"/>
        <v>0.3</v>
      </c>
      <c r="N2149">
        <f t="shared" si="444"/>
        <v>0.47999999999999993</v>
      </c>
      <c r="Q2149" t="str" cm="1">
        <f t="array" ref="Q2149:R2149">_xlfn.TEXTSPLIT(E2149," ")</f>
        <v>28.10.2023</v>
      </c>
      <c r="R2149" t="str">
        <v>11:50:54</v>
      </c>
      <c r="S2149">
        <f t="shared" si="451"/>
        <v>35.76666666666592</v>
      </c>
      <c r="T2149">
        <f t="shared" si="446"/>
        <v>35.900000000000006</v>
      </c>
      <c r="U2149">
        <f t="shared" si="449"/>
        <v>0.6</v>
      </c>
      <c r="V2149">
        <f t="shared" si="445"/>
        <v>0.85000000000000009</v>
      </c>
    </row>
    <row r="2150" spans="1:22" x14ac:dyDescent="0.25">
      <c r="A2150" t="s">
        <v>4106</v>
      </c>
      <c r="B2150">
        <v>0.9</v>
      </c>
      <c r="C2150">
        <v>35.15</v>
      </c>
      <c r="E2150" t="s">
        <v>4106</v>
      </c>
      <c r="F2150">
        <v>0</v>
      </c>
      <c r="G2150">
        <v>114.5</v>
      </c>
      <c r="I2150" t="str" cm="1">
        <f t="array" ref="I2150:J2150">_xlfn.TEXTSPLIT(A2150," ")</f>
        <v>28.10.2023</v>
      </c>
      <c r="J2150" t="str">
        <v>11:51:54</v>
      </c>
      <c r="K2150">
        <f t="shared" si="450"/>
        <v>35.783333333332585</v>
      </c>
      <c r="L2150">
        <f t="shared" si="447"/>
        <v>20.83</v>
      </c>
      <c r="M2150">
        <f t="shared" si="448"/>
        <v>0.9</v>
      </c>
      <c r="N2150">
        <f t="shared" si="444"/>
        <v>0.47999999999999993</v>
      </c>
      <c r="Q2150" t="str" cm="1">
        <f t="array" ref="Q2150:R2150">_xlfn.TEXTSPLIT(E2150," ")</f>
        <v>28.10.2023</v>
      </c>
      <c r="R2150" t="str">
        <v>11:51:54</v>
      </c>
      <c r="S2150">
        <f t="shared" si="451"/>
        <v>35.783333333332585</v>
      </c>
      <c r="T2150">
        <f t="shared" si="446"/>
        <v>35.900000000000006</v>
      </c>
      <c r="U2150">
        <f t="shared" si="449"/>
        <v>0</v>
      </c>
      <c r="V2150">
        <f t="shared" si="445"/>
        <v>0.85000000000000009</v>
      </c>
    </row>
    <row r="2151" spans="1:22" x14ac:dyDescent="0.25">
      <c r="A2151" t="s">
        <v>4107</v>
      </c>
      <c r="B2151">
        <v>0.15</v>
      </c>
      <c r="C2151">
        <v>35.15</v>
      </c>
      <c r="E2151" t="s">
        <v>4107</v>
      </c>
      <c r="F2151">
        <v>0</v>
      </c>
      <c r="G2151">
        <v>114.51</v>
      </c>
      <c r="I2151" t="str" cm="1">
        <f t="array" ref="I2151:J2151">_xlfn.TEXTSPLIT(A2151," ")</f>
        <v>28.10.2023</v>
      </c>
      <c r="J2151" t="str">
        <v>11:52:54</v>
      </c>
      <c r="K2151">
        <f t="shared" si="450"/>
        <v>35.799999999999251</v>
      </c>
      <c r="L2151">
        <f t="shared" si="447"/>
        <v>20.83</v>
      </c>
      <c r="M2151">
        <f t="shared" si="448"/>
        <v>0.15</v>
      </c>
      <c r="N2151">
        <f t="shared" si="444"/>
        <v>0.47999999999999993</v>
      </c>
      <c r="Q2151" t="str" cm="1">
        <f t="array" ref="Q2151:R2151">_xlfn.TEXTSPLIT(E2151," ")</f>
        <v>28.10.2023</v>
      </c>
      <c r="R2151" t="str">
        <v>11:52:54</v>
      </c>
      <c r="S2151">
        <f t="shared" si="451"/>
        <v>35.799999999999251</v>
      </c>
      <c r="T2151">
        <f t="shared" si="446"/>
        <v>35.910000000000011</v>
      </c>
      <c r="U2151">
        <f t="shared" si="449"/>
        <v>0</v>
      </c>
      <c r="V2151">
        <f t="shared" si="445"/>
        <v>0.84750000000000003</v>
      </c>
    </row>
    <row r="2152" spans="1:22" x14ac:dyDescent="0.25">
      <c r="A2152" t="s">
        <v>4108</v>
      </c>
      <c r="B2152">
        <v>0</v>
      </c>
      <c r="C2152">
        <v>35.15</v>
      </c>
      <c r="E2152" t="s">
        <v>4108</v>
      </c>
      <c r="F2152">
        <v>0.3</v>
      </c>
      <c r="G2152">
        <v>114.51</v>
      </c>
      <c r="I2152" t="str" cm="1">
        <f t="array" ref="I2152:J2152">_xlfn.TEXTSPLIT(A2152," ")</f>
        <v>28.10.2023</v>
      </c>
      <c r="J2152" t="str">
        <v>11:53:54</v>
      </c>
      <c r="K2152">
        <f t="shared" si="450"/>
        <v>35.816666666665917</v>
      </c>
      <c r="L2152">
        <f t="shared" si="447"/>
        <v>20.83</v>
      </c>
      <c r="M2152">
        <f t="shared" si="448"/>
        <v>0</v>
      </c>
      <c r="N2152">
        <f t="shared" si="444"/>
        <v>0.47999999999999993</v>
      </c>
      <c r="Q2152" t="str" cm="1">
        <f t="array" ref="Q2152:R2152">_xlfn.TEXTSPLIT(E2152," ")</f>
        <v>28.10.2023</v>
      </c>
      <c r="R2152" t="str">
        <v>11:53:54</v>
      </c>
      <c r="S2152">
        <f t="shared" si="451"/>
        <v>35.816666666665917</v>
      </c>
      <c r="T2152">
        <f t="shared" si="446"/>
        <v>35.910000000000011</v>
      </c>
      <c r="U2152">
        <f t="shared" si="449"/>
        <v>0.3</v>
      </c>
      <c r="V2152">
        <f t="shared" si="445"/>
        <v>0.84750000000000003</v>
      </c>
    </row>
    <row r="2153" spans="1:22" x14ac:dyDescent="0.25">
      <c r="A2153" t="s">
        <v>4109</v>
      </c>
      <c r="B2153">
        <v>0</v>
      </c>
      <c r="C2153">
        <v>35.15</v>
      </c>
      <c r="E2153" t="s">
        <v>4109</v>
      </c>
      <c r="F2153">
        <v>0.3</v>
      </c>
      <c r="G2153">
        <v>114.52</v>
      </c>
      <c r="I2153" t="str" cm="1">
        <f t="array" ref="I2153:J2153">_xlfn.TEXTSPLIT(A2153," ")</f>
        <v>28.10.2023</v>
      </c>
      <c r="J2153" t="str">
        <v>11:54:55</v>
      </c>
      <c r="K2153">
        <f t="shared" si="450"/>
        <v>35.833333333332583</v>
      </c>
      <c r="L2153">
        <f t="shared" si="447"/>
        <v>20.83</v>
      </c>
      <c r="M2153">
        <f t="shared" si="448"/>
        <v>0</v>
      </c>
      <c r="N2153">
        <f t="shared" si="444"/>
        <v>0.47999999999999993</v>
      </c>
      <c r="Q2153" t="str" cm="1">
        <f t="array" ref="Q2153:R2153">_xlfn.TEXTSPLIT(E2153," ")</f>
        <v>28.10.2023</v>
      </c>
      <c r="R2153" t="str">
        <v>11:54:55</v>
      </c>
      <c r="S2153">
        <f t="shared" si="451"/>
        <v>35.833333333332583</v>
      </c>
      <c r="T2153">
        <f t="shared" si="446"/>
        <v>35.92</v>
      </c>
      <c r="U2153">
        <f t="shared" si="449"/>
        <v>0.3</v>
      </c>
      <c r="V2153">
        <f t="shared" si="445"/>
        <v>0.84499999999999997</v>
      </c>
    </row>
    <row r="2154" spans="1:22" x14ac:dyDescent="0.25">
      <c r="A2154" t="s">
        <v>4110</v>
      </c>
      <c r="B2154">
        <v>0</v>
      </c>
      <c r="C2154">
        <v>35.15</v>
      </c>
      <c r="E2154" t="s">
        <v>4110</v>
      </c>
      <c r="F2154">
        <v>0.6</v>
      </c>
      <c r="G2154">
        <v>114.53</v>
      </c>
      <c r="I2154" t="str" cm="1">
        <f t="array" ref="I2154:J2154">_xlfn.TEXTSPLIT(A2154," ")</f>
        <v>28.10.2023</v>
      </c>
      <c r="J2154" t="str">
        <v>11:55:55</v>
      </c>
      <c r="K2154">
        <f t="shared" si="450"/>
        <v>35.849999999999248</v>
      </c>
      <c r="L2154">
        <f t="shared" si="447"/>
        <v>20.83</v>
      </c>
      <c r="M2154">
        <f t="shared" si="448"/>
        <v>0</v>
      </c>
      <c r="N2154">
        <f t="shared" si="444"/>
        <v>0.47999999999999993</v>
      </c>
      <c r="Q2154" t="str" cm="1">
        <f t="array" ref="Q2154:R2154">_xlfn.TEXTSPLIT(E2154," ")</f>
        <v>28.10.2023</v>
      </c>
      <c r="R2154" t="str">
        <v>11:55:55</v>
      </c>
      <c r="S2154">
        <f t="shared" si="451"/>
        <v>35.849999999999248</v>
      </c>
      <c r="T2154">
        <f t="shared" si="446"/>
        <v>35.930000000000007</v>
      </c>
      <c r="U2154">
        <f t="shared" si="449"/>
        <v>0.6</v>
      </c>
      <c r="V2154">
        <f t="shared" si="445"/>
        <v>0.84749999999999992</v>
      </c>
    </row>
    <row r="2155" spans="1:22" x14ac:dyDescent="0.25">
      <c r="A2155" t="s">
        <v>4111</v>
      </c>
      <c r="B2155">
        <v>0</v>
      </c>
      <c r="C2155">
        <v>35.15</v>
      </c>
      <c r="E2155" t="s">
        <v>4111</v>
      </c>
      <c r="F2155">
        <v>0.6</v>
      </c>
      <c r="G2155">
        <v>114.54</v>
      </c>
      <c r="I2155" t="str" cm="1">
        <f t="array" ref="I2155:J2155">_xlfn.TEXTSPLIT(A2155," ")</f>
        <v>28.10.2023</v>
      </c>
      <c r="J2155" t="str">
        <v>11:56:55</v>
      </c>
      <c r="K2155">
        <f t="shared" si="450"/>
        <v>35.866666666665914</v>
      </c>
      <c r="L2155">
        <f t="shared" si="447"/>
        <v>20.83</v>
      </c>
      <c r="M2155">
        <f t="shared" si="448"/>
        <v>0</v>
      </c>
      <c r="N2155">
        <f t="shared" si="444"/>
        <v>0.47999999999999993</v>
      </c>
      <c r="Q2155" t="str" cm="1">
        <f t="array" ref="Q2155:R2155">_xlfn.TEXTSPLIT(E2155," ")</f>
        <v>28.10.2023</v>
      </c>
      <c r="R2155" t="str">
        <v>11:56:55</v>
      </c>
      <c r="S2155">
        <f t="shared" si="451"/>
        <v>35.866666666665914</v>
      </c>
      <c r="T2155">
        <f t="shared" si="446"/>
        <v>35.940000000000012</v>
      </c>
      <c r="U2155">
        <f t="shared" si="449"/>
        <v>0.6</v>
      </c>
      <c r="V2155">
        <f t="shared" si="445"/>
        <v>0.84750000000000003</v>
      </c>
    </row>
    <row r="2156" spans="1:22" x14ac:dyDescent="0.25">
      <c r="A2156" t="s">
        <v>4112</v>
      </c>
      <c r="B2156">
        <v>0</v>
      </c>
      <c r="C2156">
        <v>35.15</v>
      </c>
      <c r="E2156" t="s">
        <v>4112</v>
      </c>
      <c r="F2156">
        <v>0.75</v>
      </c>
      <c r="G2156">
        <v>114.56</v>
      </c>
      <c r="I2156" t="str" cm="1">
        <f t="array" ref="I2156:J2156">_xlfn.TEXTSPLIT(A2156," ")</f>
        <v>28.10.2023</v>
      </c>
      <c r="J2156" t="str">
        <v>11:57:55</v>
      </c>
      <c r="K2156">
        <f t="shared" si="450"/>
        <v>35.88333333333258</v>
      </c>
      <c r="L2156">
        <f t="shared" si="447"/>
        <v>20.83</v>
      </c>
      <c r="M2156">
        <f t="shared" si="448"/>
        <v>0</v>
      </c>
      <c r="N2156">
        <f t="shared" si="444"/>
        <v>0.47999999999999993</v>
      </c>
      <c r="Q2156" t="str" cm="1">
        <f t="array" ref="Q2156:R2156">_xlfn.TEXTSPLIT(E2156," ")</f>
        <v>28.10.2023</v>
      </c>
      <c r="R2156" t="str">
        <v>11:57:55</v>
      </c>
      <c r="S2156">
        <f t="shared" si="451"/>
        <v>35.88333333333258</v>
      </c>
      <c r="T2156">
        <f t="shared" si="446"/>
        <v>35.960000000000008</v>
      </c>
      <c r="U2156">
        <f t="shared" si="449"/>
        <v>0.75</v>
      </c>
      <c r="V2156">
        <f t="shared" si="445"/>
        <v>0.85</v>
      </c>
    </row>
    <row r="2157" spans="1:22" x14ac:dyDescent="0.25">
      <c r="A2157" t="s">
        <v>4113</v>
      </c>
      <c r="B2157">
        <v>0</v>
      </c>
      <c r="C2157">
        <v>35.15</v>
      </c>
      <c r="E2157" t="s">
        <v>4113</v>
      </c>
      <c r="F2157">
        <v>0.75</v>
      </c>
      <c r="G2157">
        <v>114.57</v>
      </c>
      <c r="I2157" t="str" cm="1">
        <f t="array" ref="I2157:J2157">_xlfn.TEXTSPLIT(A2157," ")</f>
        <v>28.10.2023</v>
      </c>
      <c r="J2157" t="str">
        <v>11:58:55</v>
      </c>
      <c r="K2157">
        <f t="shared" si="450"/>
        <v>35.899999999999245</v>
      </c>
      <c r="L2157">
        <f t="shared" si="447"/>
        <v>20.83</v>
      </c>
      <c r="M2157">
        <f t="shared" si="448"/>
        <v>0</v>
      </c>
      <c r="N2157">
        <f t="shared" si="444"/>
        <v>0.47999999999999993</v>
      </c>
      <c r="Q2157" t="str" cm="1">
        <f t="array" ref="Q2157:R2157">_xlfn.TEXTSPLIT(E2157," ")</f>
        <v>28.10.2023</v>
      </c>
      <c r="R2157" t="str">
        <v>11:58:55</v>
      </c>
      <c r="S2157">
        <f t="shared" si="451"/>
        <v>35.899999999999245</v>
      </c>
      <c r="T2157">
        <f t="shared" si="446"/>
        <v>35.97</v>
      </c>
      <c r="U2157">
        <f t="shared" si="449"/>
        <v>0.75</v>
      </c>
      <c r="V2157">
        <f t="shared" si="445"/>
        <v>0.85249999999999992</v>
      </c>
    </row>
    <row r="2158" spans="1:22" x14ac:dyDescent="0.25">
      <c r="A2158" t="s">
        <v>4114</v>
      </c>
      <c r="B2158">
        <v>0</v>
      </c>
      <c r="C2158">
        <v>35.159999999999997</v>
      </c>
      <c r="E2158" t="s">
        <v>4114</v>
      </c>
      <c r="F2158">
        <v>0.6</v>
      </c>
      <c r="G2158">
        <v>114.58</v>
      </c>
      <c r="I2158" t="str" cm="1">
        <f t="array" ref="I2158:J2158">_xlfn.TEXTSPLIT(A2158," ")</f>
        <v>28.10.2023</v>
      </c>
      <c r="J2158" t="str">
        <v>11:59:55</v>
      </c>
      <c r="K2158">
        <f t="shared" si="450"/>
        <v>35.916666666665911</v>
      </c>
      <c r="L2158">
        <f t="shared" si="447"/>
        <v>20.839999999999996</v>
      </c>
      <c r="M2158">
        <f t="shared" si="448"/>
        <v>0</v>
      </c>
      <c r="N2158">
        <f t="shared" si="444"/>
        <v>0.47749999999999992</v>
      </c>
      <c r="Q2158" t="str" cm="1">
        <f t="array" ref="Q2158:R2158">_xlfn.TEXTSPLIT(E2158," ")</f>
        <v>28.10.2023</v>
      </c>
      <c r="R2158" t="str">
        <v>11:59:55</v>
      </c>
      <c r="S2158">
        <f t="shared" si="451"/>
        <v>35.916666666665911</v>
      </c>
      <c r="T2158">
        <f t="shared" si="446"/>
        <v>35.980000000000004</v>
      </c>
      <c r="U2158">
        <f t="shared" si="449"/>
        <v>0.6</v>
      </c>
      <c r="V2158">
        <f t="shared" si="445"/>
        <v>0.85500000000000009</v>
      </c>
    </row>
    <row r="2159" spans="1:22" x14ac:dyDescent="0.25">
      <c r="A2159" t="s">
        <v>4115</v>
      </c>
      <c r="B2159">
        <v>0.3</v>
      </c>
      <c r="C2159">
        <v>35.159999999999997</v>
      </c>
      <c r="E2159" t="s">
        <v>4115</v>
      </c>
      <c r="F2159">
        <v>0.6</v>
      </c>
      <c r="G2159">
        <v>114.59</v>
      </c>
      <c r="I2159" t="str" cm="1">
        <f t="array" ref="I2159:J2159">_xlfn.TEXTSPLIT(A2159," ")</f>
        <v>28.10.2023</v>
      </c>
      <c r="J2159" t="str">
        <v>12:00:55</v>
      </c>
      <c r="K2159">
        <f t="shared" si="450"/>
        <v>35.933333333332577</v>
      </c>
      <c r="L2159">
        <f t="shared" si="447"/>
        <v>20.839999999999996</v>
      </c>
      <c r="M2159">
        <f t="shared" si="448"/>
        <v>0.3</v>
      </c>
      <c r="N2159">
        <f t="shared" si="444"/>
        <v>0.47499999999999992</v>
      </c>
      <c r="Q2159" t="str" cm="1">
        <f t="array" ref="Q2159:R2159">_xlfn.TEXTSPLIT(E2159," ")</f>
        <v>28.10.2023</v>
      </c>
      <c r="R2159" t="str">
        <v>12:00:55</v>
      </c>
      <c r="S2159">
        <f t="shared" si="451"/>
        <v>35.933333333332577</v>
      </c>
      <c r="T2159">
        <f t="shared" si="446"/>
        <v>35.990000000000009</v>
      </c>
      <c r="U2159">
        <f t="shared" si="449"/>
        <v>0.6</v>
      </c>
      <c r="V2159">
        <f t="shared" si="445"/>
        <v>0.85500000000000009</v>
      </c>
    </row>
    <row r="2160" spans="1:22" x14ac:dyDescent="0.25">
      <c r="A2160" t="s">
        <v>4116</v>
      </c>
      <c r="B2160">
        <v>0.45</v>
      </c>
      <c r="C2160">
        <v>35.17</v>
      </c>
      <c r="E2160" t="s">
        <v>4116</v>
      </c>
      <c r="F2160">
        <v>0.6</v>
      </c>
      <c r="G2160">
        <v>114.6</v>
      </c>
      <c r="I2160" t="str" cm="1">
        <f t="array" ref="I2160:J2160">_xlfn.TEXTSPLIT(A2160," ")</f>
        <v>28.10.2023</v>
      </c>
      <c r="J2160" t="str">
        <v>12:01:56</v>
      </c>
      <c r="K2160">
        <f t="shared" si="450"/>
        <v>35.949999999999243</v>
      </c>
      <c r="L2160">
        <f t="shared" si="447"/>
        <v>20.85</v>
      </c>
      <c r="M2160">
        <f t="shared" si="448"/>
        <v>0.45</v>
      </c>
      <c r="N2160">
        <f t="shared" si="444"/>
        <v>0.47749999999999992</v>
      </c>
      <c r="Q2160" t="str" cm="1">
        <f t="array" ref="Q2160:R2160">_xlfn.TEXTSPLIT(E2160," ")</f>
        <v>28.10.2023</v>
      </c>
      <c r="R2160" t="str">
        <v>12:01:56</v>
      </c>
      <c r="S2160">
        <f t="shared" si="451"/>
        <v>35.949999999999243</v>
      </c>
      <c r="T2160">
        <f t="shared" si="446"/>
        <v>36</v>
      </c>
      <c r="U2160">
        <f t="shared" si="449"/>
        <v>0.6</v>
      </c>
      <c r="V2160">
        <f t="shared" si="445"/>
        <v>0.85750000000000004</v>
      </c>
    </row>
    <row r="2161" spans="1:22" x14ac:dyDescent="0.25">
      <c r="A2161" t="s">
        <v>4117</v>
      </c>
      <c r="B2161">
        <v>0.45</v>
      </c>
      <c r="C2161">
        <v>35.18</v>
      </c>
      <c r="E2161" t="s">
        <v>4117</v>
      </c>
      <c r="F2161">
        <v>0.6</v>
      </c>
      <c r="G2161">
        <v>114.61</v>
      </c>
      <c r="I2161" t="str" cm="1">
        <f t="array" ref="I2161:J2161">_xlfn.TEXTSPLIT(A2161," ")</f>
        <v>28.10.2023</v>
      </c>
      <c r="J2161" t="str">
        <v>12:02:56</v>
      </c>
      <c r="K2161">
        <f t="shared" si="450"/>
        <v>35.966666666665908</v>
      </c>
      <c r="L2161">
        <f t="shared" si="447"/>
        <v>20.86</v>
      </c>
      <c r="M2161">
        <f t="shared" si="448"/>
        <v>0.45</v>
      </c>
      <c r="N2161">
        <f t="shared" si="444"/>
        <v>0.47999999999999987</v>
      </c>
      <c r="Q2161" t="str" cm="1">
        <f t="array" ref="Q2161:R2161">_xlfn.TEXTSPLIT(E2161," ")</f>
        <v>28.10.2023</v>
      </c>
      <c r="R2161" t="str">
        <v>12:02:56</v>
      </c>
      <c r="S2161">
        <f t="shared" si="451"/>
        <v>35.966666666665908</v>
      </c>
      <c r="T2161">
        <f t="shared" si="446"/>
        <v>36.010000000000005</v>
      </c>
      <c r="U2161">
        <f t="shared" si="449"/>
        <v>0.6</v>
      </c>
      <c r="V2161">
        <f t="shared" si="445"/>
        <v>0.85750000000000004</v>
      </c>
    </row>
    <row r="2162" spans="1:22" x14ac:dyDescent="0.25">
      <c r="A2162" t="s">
        <v>4118</v>
      </c>
      <c r="B2162">
        <v>0.3</v>
      </c>
      <c r="C2162">
        <v>35.18</v>
      </c>
      <c r="E2162" t="s">
        <v>4118</v>
      </c>
      <c r="F2162">
        <v>0.6</v>
      </c>
      <c r="G2162">
        <v>114.62</v>
      </c>
      <c r="I2162" t="str" cm="1">
        <f t="array" ref="I2162:J2162">_xlfn.TEXTSPLIT(A2162," ")</f>
        <v>28.10.2023</v>
      </c>
      <c r="J2162" t="str">
        <v>12:03:56</v>
      </c>
      <c r="K2162">
        <f t="shared" si="450"/>
        <v>35.983333333332574</v>
      </c>
      <c r="L2162">
        <f t="shared" si="447"/>
        <v>20.86</v>
      </c>
      <c r="M2162">
        <f t="shared" si="448"/>
        <v>0.3</v>
      </c>
      <c r="N2162">
        <f t="shared" si="444"/>
        <v>0.47999999999999993</v>
      </c>
      <c r="Q2162" t="str" cm="1">
        <f t="array" ref="Q2162:R2162">_xlfn.TEXTSPLIT(E2162," ")</f>
        <v>28.10.2023</v>
      </c>
      <c r="R2162" t="str">
        <v>12:03:56</v>
      </c>
      <c r="S2162">
        <f t="shared" si="451"/>
        <v>35.983333333332574</v>
      </c>
      <c r="T2162">
        <f t="shared" si="446"/>
        <v>36.02000000000001</v>
      </c>
      <c r="U2162">
        <f t="shared" si="449"/>
        <v>0.6</v>
      </c>
      <c r="V2162">
        <f t="shared" si="445"/>
        <v>0.85750000000000004</v>
      </c>
    </row>
    <row r="2163" spans="1:22" x14ac:dyDescent="0.25">
      <c r="A2163" t="s">
        <v>4119</v>
      </c>
      <c r="B2163">
        <v>0.3</v>
      </c>
      <c r="C2163">
        <v>35.19</v>
      </c>
      <c r="E2163" t="s">
        <v>4119</v>
      </c>
      <c r="F2163">
        <v>0.6</v>
      </c>
      <c r="G2163">
        <v>114.63</v>
      </c>
      <c r="I2163" t="str" cm="1">
        <f t="array" ref="I2163:J2163">_xlfn.TEXTSPLIT(A2163," ")</f>
        <v>28.10.2023</v>
      </c>
      <c r="J2163" t="str">
        <v>12:04:56</v>
      </c>
      <c r="K2163">
        <f t="shared" si="450"/>
        <v>35.99999999999924</v>
      </c>
      <c r="L2163">
        <f t="shared" si="447"/>
        <v>20.869999999999997</v>
      </c>
      <c r="M2163">
        <f t="shared" si="448"/>
        <v>0.3</v>
      </c>
      <c r="N2163">
        <f t="shared" si="444"/>
        <v>0.47749999999999992</v>
      </c>
      <c r="Q2163" t="str" cm="1">
        <f t="array" ref="Q2163:R2163">_xlfn.TEXTSPLIT(E2163," ")</f>
        <v>28.10.2023</v>
      </c>
      <c r="R2163" t="str">
        <v>12:04:56</v>
      </c>
      <c r="S2163">
        <f t="shared" si="451"/>
        <v>35.99999999999924</v>
      </c>
      <c r="T2163">
        <f t="shared" si="446"/>
        <v>36.03</v>
      </c>
      <c r="U2163">
        <f t="shared" si="449"/>
        <v>0.6</v>
      </c>
      <c r="V2163">
        <f t="shared" si="445"/>
        <v>0.85500000000000009</v>
      </c>
    </row>
    <row r="2164" spans="1:22" x14ac:dyDescent="0.25">
      <c r="A2164" t="s">
        <v>4120</v>
      </c>
      <c r="B2164">
        <v>0.45</v>
      </c>
      <c r="C2164">
        <v>35.19</v>
      </c>
      <c r="E2164" t="s">
        <v>4120</v>
      </c>
      <c r="F2164">
        <v>1.35</v>
      </c>
      <c r="G2164">
        <v>114.68</v>
      </c>
      <c r="I2164" t="str" cm="1">
        <f t="array" ref="I2164:J2164">_xlfn.TEXTSPLIT(A2164," ")</f>
        <v>28.10.2023</v>
      </c>
      <c r="J2164" t="str">
        <v>12:05:56</v>
      </c>
      <c r="K2164">
        <f t="shared" si="450"/>
        <v>36.016666666665905</v>
      </c>
      <c r="L2164">
        <f t="shared" si="447"/>
        <v>20.869999999999997</v>
      </c>
      <c r="M2164">
        <f t="shared" si="448"/>
        <v>0.45</v>
      </c>
      <c r="N2164">
        <f t="shared" si="444"/>
        <v>0.47999999999999993</v>
      </c>
      <c r="Q2164" t="str" cm="1">
        <f t="array" ref="Q2164:R2164">_xlfn.TEXTSPLIT(E2164," ")</f>
        <v>28.10.2023</v>
      </c>
      <c r="R2164" t="str">
        <v>12:05:56</v>
      </c>
      <c r="S2164">
        <f t="shared" si="451"/>
        <v>36.016666666665905</v>
      </c>
      <c r="T2164">
        <f t="shared" si="446"/>
        <v>36.080000000000013</v>
      </c>
      <c r="U2164">
        <f t="shared" si="449"/>
        <v>1.35</v>
      </c>
      <c r="V2164">
        <f t="shared" si="445"/>
        <v>0.85750000000000004</v>
      </c>
    </row>
    <row r="2165" spans="1:22" x14ac:dyDescent="0.25">
      <c r="A2165" t="s">
        <v>4121</v>
      </c>
      <c r="B2165">
        <v>0.3</v>
      </c>
      <c r="C2165">
        <v>35.22</v>
      </c>
      <c r="E2165" t="s">
        <v>4121</v>
      </c>
      <c r="F2165">
        <v>3</v>
      </c>
      <c r="G2165">
        <v>114.72</v>
      </c>
      <c r="I2165" t="str" cm="1">
        <f t="array" ref="I2165:J2165">_xlfn.TEXTSPLIT(A2165," ")</f>
        <v>28.10.2023</v>
      </c>
      <c r="J2165" t="str">
        <v>12:06:56</v>
      </c>
      <c r="K2165">
        <f t="shared" si="450"/>
        <v>36.033333333332571</v>
      </c>
      <c r="L2165">
        <f t="shared" si="447"/>
        <v>20.9</v>
      </c>
      <c r="M2165">
        <f t="shared" si="448"/>
        <v>0.3</v>
      </c>
      <c r="N2165">
        <f t="shared" si="444"/>
        <v>0.47749999999999992</v>
      </c>
      <c r="Q2165" t="str" cm="1">
        <f t="array" ref="Q2165:R2165">_xlfn.TEXTSPLIT(E2165," ")</f>
        <v>28.10.2023</v>
      </c>
      <c r="R2165" t="str">
        <v>12:06:56</v>
      </c>
      <c r="S2165">
        <f t="shared" si="451"/>
        <v>36.033333333332571</v>
      </c>
      <c r="T2165">
        <f t="shared" si="446"/>
        <v>36.120000000000005</v>
      </c>
      <c r="U2165">
        <f t="shared" si="449"/>
        <v>3</v>
      </c>
      <c r="V2165">
        <f t="shared" si="445"/>
        <v>0.85750000000000015</v>
      </c>
    </row>
    <row r="2166" spans="1:22" x14ac:dyDescent="0.25">
      <c r="A2166" t="s">
        <v>4122</v>
      </c>
      <c r="B2166">
        <v>1.95</v>
      </c>
      <c r="C2166">
        <v>35.26</v>
      </c>
      <c r="E2166" t="s">
        <v>4122</v>
      </c>
      <c r="F2166">
        <v>2.1</v>
      </c>
      <c r="G2166">
        <v>114.75</v>
      </c>
      <c r="I2166" t="str" cm="1">
        <f t="array" ref="I2166:J2166">_xlfn.TEXTSPLIT(A2166," ")</f>
        <v>28.10.2023</v>
      </c>
      <c r="J2166" t="str">
        <v>12:07:57</v>
      </c>
      <c r="K2166">
        <f t="shared" si="450"/>
        <v>36.049999999999237</v>
      </c>
      <c r="L2166">
        <f t="shared" si="447"/>
        <v>20.939999999999998</v>
      </c>
      <c r="M2166">
        <f t="shared" si="448"/>
        <v>1.95</v>
      </c>
      <c r="N2166">
        <f t="shared" si="444"/>
        <v>0.47999999999999993</v>
      </c>
      <c r="Q2166" t="str" cm="1">
        <f t="array" ref="Q2166:R2166">_xlfn.TEXTSPLIT(E2166," ")</f>
        <v>28.10.2023</v>
      </c>
      <c r="R2166" t="str">
        <v>12:07:57</v>
      </c>
      <c r="S2166">
        <f t="shared" si="451"/>
        <v>36.049999999999237</v>
      </c>
      <c r="T2166">
        <f t="shared" si="446"/>
        <v>36.150000000000006</v>
      </c>
      <c r="U2166">
        <f t="shared" si="449"/>
        <v>2.1</v>
      </c>
      <c r="V2166">
        <f t="shared" si="445"/>
        <v>0.8600000000000001</v>
      </c>
    </row>
    <row r="2167" spans="1:22" x14ac:dyDescent="0.25">
      <c r="A2167" t="s">
        <v>4123</v>
      </c>
      <c r="B2167">
        <v>2.5499999999999998</v>
      </c>
      <c r="C2167">
        <v>35.29</v>
      </c>
      <c r="E2167" t="s">
        <v>4123</v>
      </c>
      <c r="F2167">
        <v>1.65</v>
      </c>
      <c r="G2167">
        <v>114.78</v>
      </c>
      <c r="I2167" t="str" cm="1">
        <f t="array" ref="I2167:J2167">_xlfn.TEXTSPLIT(A2167," ")</f>
        <v>28.10.2023</v>
      </c>
      <c r="J2167" t="str">
        <v>12:08:57</v>
      </c>
      <c r="K2167">
        <f t="shared" si="450"/>
        <v>36.066666666665903</v>
      </c>
      <c r="L2167">
        <f t="shared" si="447"/>
        <v>20.97</v>
      </c>
      <c r="M2167">
        <f t="shared" si="448"/>
        <v>2.5499999999999998</v>
      </c>
      <c r="N2167">
        <f t="shared" si="444"/>
        <v>0.48249999999999998</v>
      </c>
      <c r="Q2167" t="str" cm="1">
        <f t="array" ref="Q2167:R2167">_xlfn.TEXTSPLIT(E2167," ")</f>
        <v>28.10.2023</v>
      </c>
      <c r="R2167" t="str">
        <v>12:08:57</v>
      </c>
      <c r="S2167">
        <f t="shared" si="451"/>
        <v>36.066666666665903</v>
      </c>
      <c r="T2167">
        <f t="shared" si="446"/>
        <v>36.180000000000007</v>
      </c>
      <c r="U2167">
        <f t="shared" si="449"/>
        <v>1.65</v>
      </c>
      <c r="V2167">
        <f t="shared" si="445"/>
        <v>0.85750000000000015</v>
      </c>
    </row>
    <row r="2168" spans="1:22" x14ac:dyDescent="0.25">
      <c r="A2168" t="s">
        <v>4124</v>
      </c>
      <c r="B2168">
        <v>1.5</v>
      </c>
      <c r="C2168">
        <v>35.31</v>
      </c>
      <c r="E2168" t="s">
        <v>4124</v>
      </c>
      <c r="F2168">
        <v>2.25</v>
      </c>
      <c r="G2168">
        <v>114.81</v>
      </c>
      <c r="I2168" t="str" cm="1">
        <f t="array" ref="I2168:J2168">_xlfn.TEXTSPLIT(A2168," ")</f>
        <v>28.10.2023</v>
      </c>
      <c r="J2168" t="str">
        <v>12:09:57</v>
      </c>
      <c r="K2168">
        <f t="shared" si="450"/>
        <v>36.083333333332568</v>
      </c>
      <c r="L2168">
        <f t="shared" si="447"/>
        <v>20.990000000000002</v>
      </c>
      <c r="M2168">
        <f t="shared" si="448"/>
        <v>1.5</v>
      </c>
      <c r="N2168">
        <f t="shared" si="444"/>
        <v>0.48249999999999998</v>
      </c>
      <c r="Q2168" t="str" cm="1">
        <f t="array" ref="Q2168:R2168">_xlfn.TEXTSPLIT(E2168," ")</f>
        <v>28.10.2023</v>
      </c>
      <c r="R2168" t="str">
        <v>12:09:57</v>
      </c>
      <c r="S2168">
        <f t="shared" si="451"/>
        <v>36.083333333332568</v>
      </c>
      <c r="T2168">
        <f t="shared" si="446"/>
        <v>36.210000000000008</v>
      </c>
      <c r="U2168">
        <f t="shared" si="449"/>
        <v>2.25</v>
      </c>
      <c r="V2168">
        <f t="shared" si="445"/>
        <v>0.86750000000000016</v>
      </c>
    </row>
    <row r="2169" spans="1:22" x14ac:dyDescent="0.25">
      <c r="A2169" t="s">
        <v>4125</v>
      </c>
      <c r="B2169">
        <v>1.05</v>
      </c>
      <c r="C2169">
        <v>35.33</v>
      </c>
      <c r="E2169" t="s">
        <v>4125</v>
      </c>
      <c r="F2169">
        <v>1.8</v>
      </c>
      <c r="G2169">
        <v>114.83</v>
      </c>
      <c r="I2169" t="str" cm="1">
        <f t="array" ref="I2169:J2169">_xlfn.TEXTSPLIT(A2169," ")</f>
        <v>28.10.2023</v>
      </c>
      <c r="J2169" t="str">
        <v>12:10:57</v>
      </c>
      <c r="K2169">
        <f t="shared" si="450"/>
        <v>36.099999999999234</v>
      </c>
      <c r="L2169">
        <f t="shared" si="447"/>
        <v>21.009999999999998</v>
      </c>
      <c r="M2169">
        <f t="shared" si="448"/>
        <v>1.05</v>
      </c>
      <c r="N2169">
        <f t="shared" si="444"/>
        <v>0.48249999999999998</v>
      </c>
      <c r="Q2169" t="str" cm="1">
        <f t="array" ref="Q2169:R2169">_xlfn.TEXTSPLIT(E2169," ")</f>
        <v>28.10.2023</v>
      </c>
      <c r="R2169" t="str">
        <v>12:10:57</v>
      </c>
      <c r="S2169">
        <f t="shared" si="451"/>
        <v>36.099999999999234</v>
      </c>
      <c r="T2169">
        <f t="shared" si="446"/>
        <v>36.230000000000004</v>
      </c>
      <c r="U2169">
        <f t="shared" si="449"/>
        <v>1.8</v>
      </c>
      <c r="V2169">
        <f t="shared" si="445"/>
        <v>0.87500000000000011</v>
      </c>
    </row>
    <row r="2170" spans="1:22" x14ac:dyDescent="0.25">
      <c r="A2170" t="s">
        <v>4126</v>
      </c>
      <c r="B2170">
        <v>0.9</v>
      </c>
      <c r="C2170">
        <v>35.340000000000003</v>
      </c>
      <c r="E2170" t="s">
        <v>4126</v>
      </c>
      <c r="F2170">
        <v>1.2</v>
      </c>
      <c r="G2170">
        <v>114.85</v>
      </c>
      <c r="I2170" t="str" cm="1">
        <f t="array" ref="I2170:J2170">_xlfn.TEXTSPLIT(A2170," ")</f>
        <v>28.10.2023</v>
      </c>
      <c r="J2170" t="str">
        <v>12:11:57</v>
      </c>
      <c r="K2170">
        <f t="shared" si="450"/>
        <v>36.1166666666659</v>
      </c>
      <c r="L2170">
        <f t="shared" si="447"/>
        <v>21.020000000000003</v>
      </c>
      <c r="M2170">
        <f t="shared" si="448"/>
        <v>0.9</v>
      </c>
      <c r="N2170">
        <f t="shared" si="444"/>
        <v>0.49</v>
      </c>
      <c r="Q2170" t="str" cm="1">
        <f t="array" ref="Q2170:R2170">_xlfn.TEXTSPLIT(E2170," ")</f>
        <v>28.10.2023</v>
      </c>
      <c r="R2170" t="str">
        <v>12:11:57</v>
      </c>
      <c r="S2170">
        <f t="shared" si="451"/>
        <v>36.1166666666659</v>
      </c>
      <c r="T2170">
        <f t="shared" si="446"/>
        <v>36.25</v>
      </c>
      <c r="U2170">
        <f t="shared" si="449"/>
        <v>1.2</v>
      </c>
      <c r="V2170">
        <f t="shared" si="445"/>
        <v>0.88250000000000017</v>
      </c>
    </row>
    <row r="2171" spans="1:22" x14ac:dyDescent="0.25">
      <c r="A2171" t="s">
        <v>4127</v>
      </c>
      <c r="B2171">
        <v>0.9</v>
      </c>
      <c r="C2171">
        <v>35.36</v>
      </c>
      <c r="E2171" t="s">
        <v>4127</v>
      </c>
      <c r="F2171">
        <v>1.05</v>
      </c>
      <c r="G2171">
        <v>114.87</v>
      </c>
      <c r="I2171" t="str" cm="1">
        <f t="array" ref="I2171:J2171">_xlfn.TEXTSPLIT(A2171," ")</f>
        <v>28.10.2023</v>
      </c>
      <c r="J2171" t="str">
        <v>12:12:57</v>
      </c>
      <c r="K2171">
        <f t="shared" si="450"/>
        <v>36.133333333332565</v>
      </c>
      <c r="L2171">
        <f t="shared" si="447"/>
        <v>21.04</v>
      </c>
      <c r="M2171">
        <f t="shared" si="448"/>
        <v>0.9</v>
      </c>
      <c r="N2171">
        <f t="shared" si="444"/>
        <v>0.49499999999999994</v>
      </c>
      <c r="Q2171" t="str" cm="1">
        <f t="array" ref="Q2171:R2171">_xlfn.TEXTSPLIT(E2171," ")</f>
        <v>28.10.2023</v>
      </c>
      <c r="R2171" t="str">
        <v>12:12:57</v>
      </c>
      <c r="S2171">
        <f t="shared" si="451"/>
        <v>36.133333333332565</v>
      </c>
      <c r="T2171">
        <f t="shared" si="446"/>
        <v>36.27000000000001</v>
      </c>
      <c r="U2171">
        <f t="shared" si="449"/>
        <v>1.05</v>
      </c>
      <c r="V2171">
        <f t="shared" si="445"/>
        <v>0.88750000000000007</v>
      </c>
    </row>
    <row r="2172" spans="1:22" x14ac:dyDescent="0.25">
      <c r="A2172" t="s">
        <v>4128</v>
      </c>
      <c r="B2172">
        <v>1.2</v>
      </c>
      <c r="C2172">
        <v>35.380000000000003</v>
      </c>
      <c r="E2172" t="s">
        <v>4128</v>
      </c>
      <c r="F2172">
        <v>1.2</v>
      </c>
      <c r="G2172">
        <v>114.89</v>
      </c>
      <c r="I2172" t="str" cm="1">
        <f t="array" ref="I2172:J2172">_xlfn.TEXTSPLIT(A2172," ")</f>
        <v>28.10.2023</v>
      </c>
      <c r="J2172" t="str">
        <v>12:13:57</v>
      </c>
      <c r="K2172">
        <f t="shared" si="450"/>
        <v>36.149999999999231</v>
      </c>
      <c r="L2172">
        <f t="shared" si="447"/>
        <v>21.060000000000002</v>
      </c>
      <c r="M2172">
        <f t="shared" si="448"/>
        <v>1.2</v>
      </c>
      <c r="N2172">
        <f t="shared" si="444"/>
        <v>0.5099999999999999</v>
      </c>
      <c r="Q2172" t="str" cm="1">
        <f t="array" ref="Q2172:R2172">_xlfn.TEXTSPLIT(E2172," ")</f>
        <v>28.10.2023</v>
      </c>
      <c r="R2172" t="str">
        <v>12:13:57</v>
      </c>
      <c r="S2172">
        <f t="shared" si="451"/>
        <v>36.149999999999231</v>
      </c>
      <c r="T2172">
        <f t="shared" si="446"/>
        <v>36.290000000000006</v>
      </c>
      <c r="U2172">
        <f t="shared" si="449"/>
        <v>1.2</v>
      </c>
      <c r="V2172">
        <f t="shared" si="445"/>
        <v>0.89500000000000024</v>
      </c>
    </row>
    <row r="2173" spans="1:22" x14ac:dyDescent="0.25">
      <c r="A2173" t="s">
        <v>4129</v>
      </c>
      <c r="B2173">
        <v>1.05</v>
      </c>
      <c r="C2173">
        <v>35.380000000000003</v>
      </c>
      <c r="E2173" t="s">
        <v>4129</v>
      </c>
      <c r="F2173">
        <v>1.05</v>
      </c>
      <c r="G2173">
        <v>114.91</v>
      </c>
      <c r="I2173" t="str" cm="1">
        <f t="array" ref="I2173:J2173">_xlfn.TEXTSPLIT(A2173," ")</f>
        <v>28.10.2023</v>
      </c>
      <c r="J2173" t="str">
        <v>12:14:58</v>
      </c>
      <c r="K2173">
        <f t="shared" si="450"/>
        <v>36.166666666665897</v>
      </c>
      <c r="L2173">
        <f t="shared" si="447"/>
        <v>21.060000000000002</v>
      </c>
      <c r="M2173">
        <f t="shared" si="448"/>
        <v>1.05</v>
      </c>
      <c r="N2173">
        <f t="shared" si="444"/>
        <v>0.51999999999999991</v>
      </c>
      <c r="Q2173" t="str" cm="1">
        <f t="array" ref="Q2173:R2173">_xlfn.TEXTSPLIT(E2173," ")</f>
        <v>28.10.2023</v>
      </c>
      <c r="R2173" t="str">
        <v>12:14:58</v>
      </c>
      <c r="S2173">
        <f t="shared" si="451"/>
        <v>36.166666666665897</v>
      </c>
      <c r="T2173">
        <f t="shared" si="446"/>
        <v>36.31</v>
      </c>
      <c r="U2173">
        <f t="shared" si="449"/>
        <v>1.05</v>
      </c>
      <c r="V2173">
        <f t="shared" si="445"/>
        <v>0.90000000000000024</v>
      </c>
    </row>
    <row r="2174" spans="1:22" x14ac:dyDescent="0.25">
      <c r="A2174" t="s">
        <v>4130</v>
      </c>
      <c r="B2174">
        <v>0.3</v>
      </c>
      <c r="C2174">
        <v>35.4</v>
      </c>
      <c r="E2174" t="s">
        <v>4130</v>
      </c>
      <c r="F2174">
        <v>1.35</v>
      </c>
      <c r="G2174">
        <v>114.93</v>
      </c>
      <c r="I2174" t="str" cm="1">
        <f t="array" ref="I2174:J2174">_xlfn.TEXTSPLIT(A2174," ")</f>
        <v>28.10.2023</v>
      </c>
      <c r="J2174" t="str">
        <v>12:15:58</v>
      </c>
      <c r="K2174">
        <f t="shared" si="450"/>
        <v>36.183333333332563</v>
      </c>
      <c r="L2174">
        <f t="shared" si="447"/>
        <v>21.08</v>
      </c>
      <c r="M2174">
        <f t="shared" si="448"/>
        <v>0.3</v>
      </c>
      <c r="N2174">
        <f t="shared" si="444"/>
        <v>0.51749999999999985</v>
      </c>
      <c r="Q2174" t="str" cm="1">
        <f t="array" ref="Q2174:R2174">_xlfn.TEXTSPLIT(E2174," ")</f>
        <v>28.10.2023</v>
      </c>
      <c r="R2174" t="str">
        <v>12:15:58</v>
      </c>
      <c r="S2174">
        <f t="shared" si="451"/>
        <v>36.183333333332563</v>
      </c>
      <c r="T2174">
        <f t="shared" si="446"/>
        <v>36.330000000000013</v>
      </c>
      <c r="U2174">
        <f t="shared" si="449"/>
        <v>1.35</v>
      </c>
      <c r="V2174">
        <f t="shared" si="445"/>
        <v>0.91000000000000025</v>
      </c>
    </row>
    <row r="2175" spans="1:22" x14ac:dyDescent="0.25">
      <c r="A2175" t="s">
        <v>4131</v>
      </c>
      <c r="B2175">
        <v>1.2</v>
      </c>
      <c r="C2175">
        <v>35.409999999999997</v>
      </c>
      <c r="E2175" t="s">
        <v>4131</v>
      </c>
      <c r="F2175">
        <v>1.2</v>
      </c>
      <c r="G2175">
        <v>114.94</v>
      </c>
      <c r="I2175" t="str" cm="1">
        <f t="array" ref="I2175:J2175">_xlfn.TEXTSPLIT(A2175," ")</f>
        <v>28.10.2023</v>
      </c>
      <c r="J2175" t="str">
        <v>12:16:58</v>
      </c>
      <c r="K2175">
        <f t="shared" si="450"/>
        <v>36.199999999999228</v>
      </c>
      <c r="L2175">
        <f t="shared" si="447"/>
        <v>21.089999999999996</v>
      </c>
      <c r="M2175">
        <f t="shared" si="448"/>
        <v>1.2</v>
      </c>
      <c r="N2175">
        <f t="shared" ref="N2175:N2238" si="452">AVERAGE(M2116:M2175)</f>
        <v>0.52749999999999997</v>
      </c>
      <c r="Q2175" t="str" cm="1">
        <f t="array" ref="Q2175:R2175">_xlfn.TEXTSPLIT(E2175," ")</f>
        <v>28.10.2023</v>
      </c>
      <c r="R2175" t="str">
        <v>12:16:58</v>
      </c>
      <c r="S2175">
        <f t="shared" si="451"/>
        <v>36.199999999999228</v>
      </c>
      <c r="T2175">
        <f t="shared" si="446"/>
        <v>36.340000000000003</v>
      </c>
      <c r="U2175">
        <f t="shared" si="449"/>
        <v>1.2</v>
      </c>
      <c r="V2175">
        <f t="shared" ref="V2175:V2238" si="453">AVERAGE(U2116:U2175)</f>
        <v>0.91500000000000037</v>
      </c>
    </row>
    <row r="2176" spans="1:22" x14ac:dyDescent="0.25">
      <c r="A2176" t="s">
        <v>4132</v>
      </c>
      <c r="B2176">
        <v>0.75</v>
      </c>
      <c r="C2176">
        <v>35.42</v>
      </c>
      <c r="E2176" t="s">
        <v>4132</v>
      </c>
      <c r="F2176">
        <v>0.6</v>
      </c>
      <c r="G2176">
        <v>114.96</v>
      </c>
      <c r="I2176" t="str" cm="1">
        <f t="array" ref="I2176:J2176">_xlfn.TEXTSPLIT(A2176," ")</f>
        <v>28.10.2023</v>
      </c>
      <c r="J2176" t="str">
        <v>12:17:58</v>
      </c>
      <c r="K2176">
        <f t="shared" si="450"/>
        <v>36.216666666665894</v>
      </c>
      <c r="L2176">
        <f t="shared" si="447"/>
        <v>21.1</v>
      </c>
      <c r="M2176">
        <f t="shared" si="448"/>
        <v>0.75</v>
      </c>
      <c r="N2176">
        <f t="shared" si="452"/>
        <v>0.53249999999999997</v>
      </c>
      <c r="Q2176" t="str" cm="1">
        <f t="array" ref="Q2176:R2176">_xlfn.TEXTSPLIT(E2176," ")</f>
        <v>28.10.2023</v>
      </c>
      <c r="R2176" t="str">
        <v>12:17:58</v>
      </c>
      <c r="S2176">
        <f t="shared" si="451"/>
        <v>36.216666666665894</v>
      </c>
      <c r="T2176">
        <f t="shared" si="446"/>
        <v>36.36</v>
      </c>
      <c r="U2176">
        <f t="shared" si="449"/>
        <v>0.6</v>
      </c>
      <c r="V2176">
        <f t="shared" si="453"/>
        <v>0.90500000000000036</v>
      </c>
    </row>
    <row r="2177" spans="1:22" x14ac:dyDescent="0.25">
      <c r="A2177" t="s">
        <v>4133</v>
      </c>
      <c r="B2177">
        <v>0.45</v>
      </c>
      <c r="C2177">
        <v>35.43</v>
      </c>
      <c r="E2177" t="s">
        <v>4133</v>
      </c>
      <c r="F2177">
        <v>1.05</v>
      </c>
      <c r="G2177">
        <v>114.97</v>
      </c>
      <c r="I2177" t="str" cm="1">
        <f t="array" ref="I2177:J2177">_xlfn.TEXTSPLIT(A2177," ")</f>
        <v>28.10.2023</v>
      </c>
      <c r="J2177" t="str">
        <v>12:18:58</v>
      </c>
      <c r="K2177">
        <f t="shared" si="450"/>
        <v>36.23333333333256</v>
      </c>
      <c r="L2177">
        <f t="shared" si="447"/>
        <v>21.11</v>
      </c>
      <c r="M2177">
        <f t="shared" si="448"/>
        <v>0.45</v>
      </c>
      <c r="N2177">
        <f t="shared" si="452"/>
        <v>0.53749999999999998</v>
      </c>
      <c r="Q2177" t="str" cm="1">
        <f t="array" ref="Q2177:R2177">_xlfn.TEXTSPLIT(E2177," ")</f>
        <v>28.10.2023</v>
      </c>
      <c r="R2177" t="str">
        <v>12:18:58</v>
      </c>
      <c r="S2177">
        <f t="shared" si="451"/>
        <v>36.23333333333256</v>
      </c>
      <c r="T2177">
        <f t="shared" si="446"/>
        <v>36.370000000000005</v>
      </c>
      <c r="U2177">
        <f t="shared" si="449"/>
        <v>1.05</v>
      </c>
      <c r="V2177">
        <f t="shared" si="453"/>
        <v>0.90500000000000036</v>
      </c>
    </row>
    <row r="2178" spans="1:22" x14ac:dyDescent="0.25">
      <c r="A2178" t="s">
        <v>4134</v>
      </c>
      <c r="B2178">
        <v>0.6</v>
      </c>
      <c r="C2178">
        <v>35.44</v>
      </c>
      <c r="E2178" t="s">
        <v>4134</v>
      </c>
      <c r="F2178">
        <v>0.75</v>
      </c>
      <c r="G2178">
        <v>114.98</v>
      </c>
      <c r="I2178" t="str" cm="1">
        <f t="array" ref="I2178:J2178">_xlfn.TEXTSPLIT(A2178," ")</f>
        <v>28.10.2023</v>
      </c>
      <c r="J2178" t="str">
        <v>12:19:58</v>
      </c>
      <c r="K2178">
        <f t="shared" si="450"/>
        <v>36.249999999999226</v>
      </c>
      <c r="L2178">
        <f t="shared" si="447"/>
        <v>21.119999999999997</v>
      </c>
      <c r="M2178">
        <f t="shared" si="448"/>
        <v>0.6</v>
      </c>
      <c r="N2178">
        <f t="shared" si="452"/>
        <v>0.54499999999999993</v>
      </c>
      <c r="Q2178" t="str" cm="1">
        <f t="array" ref="Q2178:R2178">_xlfn.TEXTSPLIT(E2178," ")</f>
        <v>28.10.2023</v>
      </c>
      <c r="R2178" t="str">
        <v>12:19:58</v>
      </c>
      <c r="S2178">
        <f t="shared" si="451"/>
        <v>36.249999999999226</v>
      </c>
      <c r="T2178">
        <f t="shared" si="446"/>
        <v>36.38000000000001</v>
      </c>
      <c r="U2178">
        <f t="shared" si="449"/>
        <v>0.75</v>
      </c>
      <c r="V2178">
        <f t="shared" si="453"/>
        <v>0.90250000000000019</v>
      </c>
    </row>
    <row r="2179" spans="1:22" x14ac:dyDescent="0.25">
      <c r="A2179" t="s">
        <v>4135</v>
      </c>
      <c r="B2179">
        <v>0.45</v>
      </c>
      <c r="C2179">
        <v>35.450000000000003</v>
      </c>
      <c r="E2179" t="s">
        <v>4135</v>
      </c>
      <c r="F2179">
        <v>0.45</v>
      </c>
      <c r="G2179">
        <v>114.98</v>
      </c>
      <c r="I2179" t="str" cm="1">
        <f t="array" ref="I2179:J2179">_xlfn.TEXTSPLIT(A2179," ")</f>
        <v>28.10.2023</v>
      </c>
      <c r="J2179" t="str">
        <v>12:20:58</v>
      </c>
      <c r="K2179">
        <f t="shared" si="450"/>
        <v>36.266666666665891</v>
      </c>
      <c r="L2179">
        <f t="shared" si="447"/>
        <v>21.130000000000003</v>
      </c>
      <c r="M2179">
        <f t="shared" si="448"/>
        <v>0.45</v>
      </c>
      <c r="N2179">
        <f t="shared" si="452"/>
        <v>0.53999999999999992</v>
      </c>
      <c r="Q2179" t="str" cm="1">
        <f t="array" ref="Q2179:R2179">_xlfn.TEXTSPLIT(E2179," ")</f>
        <v>28.10.2023</v>
      </c>
      <c r="R2179" t="str">
        <v>12:20:58</v>
      </c>
      <c r="S2179">
        <f t="shared" si="451"/>
        <v>36.266666666665891</v>
      </c>
      <c r="T2179">
        <f t="shared" ref="T2179:T2242" si="454">G2179-78.6</f>
        <v>36.38000000000001</v>
      </c>
      <c r="U2179">
        <f t="shared" si="449"/>
        <v>0.45</v>
      </c>
      <c r="V2179">
        <f t="shared" si="453"/>
        <v>0.90000000000000036</v>
      </c>
    </row>
    <row r="2180" spans="1:22" x14ac:dyDescent="0.25">
      <c r="A2180" t="s">
        <v>4136</v>
      </c>
      <c r="B2180">
        <v>0.45</v>
      </c>
      <c r="C2180">
        <v>35.450000000000003</v>
      </c>
      <c r="E2180" t="s">
        <v>4136</v>
      </c>
      <c r="F2180">
        <v>0</v>
      </c>
      <c r="G2180">
        <v>114.98</v>
      </c>
      <c r="I2180" t="str" cm="1">
        <f t="array" ref="I2180:J2180">_xlfn.TEXTSPLIT(A2180," ")</f>
        <v>28.10.2023</v>
      </c>
      <c r="J2180" t="str">
        <v>12:21:59</v>
      </c>
      <c r="K2180">
        <f t="shared" si="450"/>
        <v>36.283333333332557</v>
      </c>
      <c r="L2180">
        <f t="shared" ref="L2180:L2243" si="455">C2180-14.32</f>
        <v>21.130000000000003</v>
      </c>
      <c r="M2180">
        <f t="shared" ref="M2180:M2243" si="456">B2180</f>
        <v>0.45</v>
      </c>
      <c r="N2180">
        <f t="shared" si="452"/>
        <v>0.53499999999999992</v>
      </c>
      <c r="Q2180" t="str" cm="1">
        <f t="array" ref="Q2180:R2180">_xlfn.TEXTSPLIT(E2180," ")</f>
        <v>28.10.2023</v>
      </c>
      <c r="R2180" t="str">
        <v>12:21:59</v>
      </c>
      <c r="S2180">
        <f t="shared" si="451"/>
        <v>36.283333333332557</v>
      </c>
      <c r="T2180">
        <f t="shared" si="454"/>
        <v>36.38000000000001</v>
      </c>
      <c r="U2180">
        <f t="shared" ref="U2180:U2243" si="457">F2180</f>
        <v>0</v>
      </c>
      <c r="V2180">
        <f t="shared" si="453"/>
        <v>0.90000000000000036</v>
      </c>
    </row>
    <row r="2181" spans="1:22" x14ac:dyDescent="0.25">
      <c r="A2181" t="s">
        <v>4137</v>
      </c>
      <c r="B2181">
        <v>0.15</v>
      </c>
      <c r="C2181">
        <v>35.450000000000003</v>
      </c>
      <c r="E2181" t="s">
        <v>4137</v>
      </c>
      <c r="F2181">
        <v>0.15</v>
      </c>
      <c r="G2181">
        <v>114.99</v>
      </c>
      <c r="I2181" t="str" cm="1">
        <f t="array" ref="I2181:J2181">_xlfn.TEXTSPLIT(A2181," ")</f>
        <v>28.10.2023</v>
      </c>
      <c r="J2181" t="str">
        <v>12:22:59</v>
      </c>
      <c r="K2181">
        <f t="shared" ref="K2181:K2244" si="458">1/60+K2180</f>
        <v>36.299999999999223</v>
      </c>
      <c r="L2181">
        <f t="shared" si="455"/>
        <v>21.130000000000003</v>
      </c>
      <c r="M2181">
        <f t="shared" si="456"/>
        <v>0.15</v>
      </c>
      <c r="N2181">
        <f t="shared" si="452"/>
        <v>0.53749999999999987</v>
      </c>
      <c r="Q2181" t="str" cm="1">
        <f t="array" ref="Q2181:R2181">_xlfn.TEXTSPLIT(E2181," ")</f>
        <v>28.10.2023</v>
      </c>
      <c r="R2181" t="str">
        <v>12:22:59</v>
      </c>
      <c r="S2181">
        <f t="shared" ref="S2181:S2244" si="459">1/60+S2180</f>
        <v>36.299999999999223</v>
      </c>
      <c r="T2181">
        <f t="shared" si="454"/>
        <v>36.39</v>
      </c>
      <c r="U2181">
        <f t="shared" si="457"/>
        <v>0.15</v>
      </c>
      <c r="V2181">
        <f t="shared" si="453"/>
        <v>0.9025000000000003</v>
      </c>
    </row>
    <row r="2182" spans="1:22" x14ac:dyDescent="0.25">
      <c r="A2182" t="s">
        <v>4138</v>
      </c>
      <c r="B2182">
        <v>0</v>
      </c>
      <c r="C2182">
        <v>35.450000000000003</v>
      </c>
      <c r="E2182" t="s">
        <v>4138</v>
      </c>
      <c r="F2182">
        <v>0.45</v>
      </c>
      <c r="G2182">
        <v>114.99</v>
      </c>
      <c r="I2182" t="str" cm="1">
        <f t="array" ref="I2182:J2182">_xlfn.TEXTSPLIT(A2182," ")</f>
        <v>28.10.2023</v>
      </c>
      <c r="J2182" t="str">
        <v>12:23:59</v>
      </c>
      <c r="K2182">
        <f t="shared" si="458"/>
        <v>36.316666666665888</v>
      </c>
      <c r="L2182">
        <f t="shared" si="455"/>
        <v>21.130000000000003</v>
      </c>
      <c r="M2182">
        <f t="shared" si="456"/>
        <v>0</v>
      </c>
      <c r="N2182">
        <f t="shared" si="452"/>
        <v>0.53749999999999987</v>
      </c>
      <c r="Q2182" t="str" cm="1">
        <f t="array" ref="Q2182:R2182">_xlfn.TEXTSPLIT(E2182," ")</f>
        <v>28.10.2023</v>
      </c>
      <c r="R2182" t="str">
        <v>12:23:59</v>
      </c>
      <c r="S2182">
        <f t="shared" si="459"/>
        <v>36.316666666665888</v>
      </c>
      <c r="T2182">
        <f t="shared" si="454"/>
        <v>36.39</v>
      </c>
      <c r="U2182">
        <f t="shared" si="457"/>
        <v>0.45</v>
      </c>
      <c r="V2182">
        <f t="shared" si="453"/>
        <v>0.90500000000000036</v>
      </c>
    </row>
    <row r="2183" spans="1:22" x14ac:dyDescent="0.25">
      <c r="A2183" t="s">
        <v>4139</v>
      </c>
      <c r="B2183">
        <v>0</v>
      </c>
      <c r="C2183">
        <v>35.450000000000003</v>
      </c>
      <c r="E2183" t="s">
        <v>4139</v>
      </c>
      <c r="F2183">
        <v>0.3</v>
      </c>
      <c r="G2183">
        <v>115</v>
      </c>
      <c r="I2183" t="str" cm="1">
        <f t="array" ref="I2183:J2183">_xlfn.TEXTSPLIT(A2183," ")</f>
        <v>28.10.2023</v>
      </c>
      <c r="J2183" t="str">
        <v>12:24:59</v>
      </c>
      <c r="K2183">
        <f t="shared" si="458"/>
        <v>36.333333333332554</v>
      </c>
      <c r="L2183">
        <f t="shared" si="455"/>
        <v>21.130000000000003</v>
      </c>
      <c r="M2183">
        <f t="shared" si="456"/>
        <v>0</v>
      </c>
      <c r="N2183">
        <f t="shared" si="452"/>
        <v>0.53749999999999987</v>
      </c>
      <c r="Q2183" t="str" cm="1">
        <f t="array" ref="Q2183:R2183">_xlfn.TEXTSPLIT(E2183," ")</f>
        <v>28.10.2023</v>
      </c>
      <c r="R2183" t="str">
        <v>12:24:59</v>
      </c>
      <c r="S2183">
        <f t="shared" si="459"/>
        <v>36.333333333332554</v>
      </c>
      <c r="T2183">
        <f t="shared" si="454"/>
        <v>36.400000000000006</v>
      </c>
      <c r="U2183">
        <f t="shared" si="457"/>
        <v>0.3</v>
      </c>
      <c r="V2183">
        <f t="shared" si="453"/>
        <v>0.90500000000000036</v>
      </c>
    </row>
    <row r="2184" spans="1:22" x14ac:dyDescent="0.25">
      <c r="A2184" t="s">
        <v>4140</v>
      </c>
      <c r="B2184">
        <v>0</v>
      </c>
      <c r="C2184">
        <v>35.450000000000003</v>
      </c>
      <c r="E2184" t="s">
        <v>4140</v>
      </c>
      <c r="F2184">
        <v>0.45</v>
      </c>
      <c r="G2184">
        <v>115.01</v>
      </c>
      <c r="I2184" t="str" cm="1">
        <f t="array" ref="I2184:J2184">_xlfn.TEXTSPLIT(A2184," ")</f>
        <v>28.10.2023</v>
      </c>
      <c r="J2184" t="str">
        <v>12:25:59</v>
      </c>
      <c r="K2184">
        <f t="shared" si="458"/>
        <v>36.34999999999922</v>
      </c>
      <c r="L2184">
        <f t="shared" si="455"/>
        <v>21.130000000000003</v>
      </c>
      <c r="M2184">
        <f t="shared" si="456"/>
        <v>0</v>
      </c>
      <c r="N2184">
        <f t="shared" si="452"/>
        <v>0.53749999999999987</v>
      </c>
      <c r="Q2184" t="str" cm="1">
        <f t="array" ref="Q2184:R2184">_xlfn.TEXTSPLIT(E2184," ")</f>
        <v>28.10.2023</v>
      </c>
      <c r="R2184" t="str">
        <v>12:25:59</v>
      </c>
      <c r="S2184">
        <f t="shared" si="459"/>
        <v>36.34999999999922</v>
      </c>
      <c r="T2184">
        <f t="shared" si="454"/>
        <v>36.410000000000011</v>
      </c>
      <c r="U2184">
        <f t="shared" si="457"/>
        <v>0.45</v>
      </c>
      <c r="V2184">
        <f t="shared" si="453"/>
        <v>0.91000000000000036</v>
      </c>
    </row>
    <row r="2185" spans="1:22" x14ac:dyDescent="0.25">
      <c r="A2185" t="s">
        <v>4141</v>
      </c>
      <c r="B2185">
        <v>0</v>
      </c>
      <c r="C2185">
        <v>35.450000000000003</v>
      </c>
      <c r="E2185" t="s">
        <v>4141</v>
      </c>
      <c r="F2185">
        <v>0.75</v>
      </c>
      <c r="G2185">
        <v>115.02</v>
      </c>
      <c r="I2185" t="str" cm="1">
        <f t="array" ref="I2185:J2185">_xlfn.TEXTSPLIT(A2185," ")</f>
        <v>28.10.2023</v>
      </c>
      <c r="J2185" t="str">
        <v>12:26:59</v>
      </c>
      <c r="K2185">
        <f t="shared" si="458"/>
        <v>36.366666666665886</v>
      </c>
      <c r="L2185">
        <f t="shared" si="455"/>
        <v>21.130000000000003</v>
      </c>
      <c r="M2185">
        <f t="shared" si="456"/>
        <v>0</v>
      </c>
      <c r="N2185">
        <f t="shared" si="452"/>
        <v>0.53749999999999987</v>
      </c>
      <c r="Q2185" t="str" cm="1">
        <f t="array" ref="Q2185:R2185">_xlfn.TEXTSPLIT(E2185," ")</f>
        <v>28.10.2023</v>
      </c>
      <c r="R2185" t="str">
        <v>12:26:59</v>
      </c>
      <c r="S2185">
        <f t="shared" si="459"/>
        <v>36.366666666665886</v>
      </c>
      <c r="T2185">
        <f t="shared" si="454"/>
        <v>36.42</v>
      </c>
      <c r="U2185">
        <f t="shared" si="457"/>
        <v>0.75</v>
      </c>
      <c r="V2185">
        <f t="shared" si="453"/>
        <v>0.91500000000000037</v>
      </c>
    </row>
    <row r="2186" spans="1:22" x14ac:dyDescent="0.25">
      <c r="A2186" t="s">
        <v>4142</v>
      </c>
      <c r="B2186">
        <v>0</v>
      </c>
      <c r="C2186">
        <v>35.450000000000003</v>
      </c>
      <c r="E2186" t="s">
        <v>4142</v>
      </c>
      <c r="F2186">
        <v>0.75</v>
      </c>
      <c r="G2186">
        <v>115.04</v>
      </c>
      <c r="I2186" t="str" cm="1">
        <f t="array" ref="I2186:J2186">_xlfn.TEXTSPLIT(A2186," ")</f>
        <v>28.10.2023</v>
      </c>
      <c r="J2186" t="str">
        <v>12:27:59</v>
      </c>
      <c r="K2186">
        <f t="shared" si="458"/>
        <v>36.383333333332551</v>
      </c>
      <c r="L2186">
        <f t="shared" si="455"/>
        <v>21.130000000000003</v>
      </c>
      <c r="M2186">
        <f t="shared" si="456"/>
        <v>0</v>
      </c>
      <c r="N2186">
        <f t="shared" si="452"/>
        <v>0.53749999999999987</v>
      </c>
      <c r="Q2186" t="str" cm="1">
        <f t="array" ref="Q2186:R2186">_xlfn.TEXTSPLIT(E2186," ")</f>
        <v>28.10.2023</v>
      </c>
      <c r="R2186" t="str">
        <v>12:27:59</v>
      </c>
      <c r="S2186">
        <f t="shared" si="459"/>
        <v>36.383333333332551</v>
      </c>
      <c r="T2186">
        <f t="shared" si="454"/>
        <v>36.440000000000012</v>
      </c>
      <c r="U2186">
        <f t="shared" si="457"/>
        <v>0.75</v>
      </c>
      <c r="V2186">
        <f t="shared" si="453"/>
        <v>0.92250000000000043</v>
      </c>
    </row>
    <row r="2187" spans="1:22" x14ac:dyDescent="0.25">
      <c r="A2187" t="s">
        <v>4143</v>
      </c>
      <c r="B2187">
        <v>0</v>
      </c>
      <c r="C2187">
        <v>35.450000000000003</v>
      </c>
      <c r="E2187" t="s">
        <v>4143</v>
      </c>
      <c r="F2187">
        <v>0.9</v>
      </c>
      <c r="G2187">
        <v>115.05</v>
      </c>
      <c r="I2187" t="str" cm="1">
        <f t="array" ref="I2187:J2187">_xlfn.TEXTSPLIT(A2187," ")</f>
        <v>28.10.2023</v>
      </c>
      <c r="J2187" t="str">
        <v>12:29:00</v>
      </c>
      <c r="K2187">
        <f t="shared" si="458"/>
        <v>36.399999999999217</v>
      </c>
      <c r="L2187">
        <f t="shared" si="455"/>
        <v>21.130000000000003</v>
      </c>
      <c r="M2187">
        <f t="shared" si="456"/>
        <v>0</v>
      </c>
      <c r="N2187">
        <f t="shared" si="452"/>
        <v>0.53749999999999987</v>
      </c>
      <c r="Q2187" t="str" cm="1">
        <f t="array" ref="Q2187:R2187">_xlfn.TEXTSPLIT(E2187," ")</f>
        <v>28.10.2023</v>
      </c>
      <c r="R2187" t="str">
        <v>12:29:00</v>
      </c>
      <c r="S2187">
        <f t="shared" si="459"/>
        <v>36.399999999999217</v>
      </c>
      <c r="T2187">
        <f t="shared" si="454"/>
        <v>36.450000000000003</v>
      </c>
      <c r="U2187">
        <f t="shared" si="457"/>
        <v>0.9</v>
      </c>
      <c r="V2187">
        <f t="shared" si="453"/>
        <v>0.93000000000000038</v>
      </c>
    </row>
    <row r="2188" spans="1:22" x14ac:dyDescent="0.25">
      <c r="A2188" t="s">
        <v>4144</v>
      </c>
      <c r="B2188">
        <v>0</v>
      </c>
      <c r="C2188">
        <v>35.450000000000003</v>
      </c>
      <c r="E2188" t="s">
        <v>4144</v>
      </c>
      <c r="F2188">
        <v>0.75</v>
      </c>
      <c r="G2188">
        <v>115.06</v>
      </c>
      <c r="I2188" t="str" cm="1">
        <f t="array" ref="I2188:J2188">_xlfn.TEXTSPLIT(A2188," ")</f>
        <v>28.10.2023</v>
      </c>
      <c r="J2188" t="str">
        <v>12:30:00</v>
      </c>
      <c r="K2188">
        <f t="shared" si="458"/>
        <v>36.416666666665883</v>
      </c>
      <c r="L2188">
        <f t="shared" si="455"/>
        <v>21.130000000000003</v>
      </c>
      <c r="M2188">
        <f t="shared" si="456"/>
        <v>0</v>
      </c>
      <c r="N2188">
        <f t="shared" si="452"/>
        <v>0.53499999999999992</v>
      </c>
      <c r="Q2188" t="str" cm="1">
        <f t="array" ref="Q2188:R2188">_xlfn.TEXTSPLIT(E2188," ")</f>
        <v>28.10.2023</v>
      </c>
      <c r="R2188" t="str">
        <v>12:30:00</v>
      </c>
      <c r="S2188">
        <f t="shared" si="459"/>
        <v>36.416666666665883</v>
      </c>
      <c r="T2188">
        <f t="shared" si="454"/>
        <v>36.460000000000008</v>
      </c>
      <c r="U2188">
        <f t="shared" si="457"/>
        <v>0.75</v>
      </c>
      <c r="V2188">
        <f t="shared" si="453"/>
        <v>0.93250000000000033</v>
      </c>
    </row>
    <row r="2189" spans="1:22" x14ac:dyDescent="0.25">
      <c r="A2189" t="s">
        <v>4145</v>
      </c>
      <c r="B2189">
        <v>0.15</v>
      </c>
      <c r="C2189">
        <v>35.450000000000003</v>
      </c>
      <c r="E2189" t="s">
        <v>4145</v>
      </c>
      <c r="F2189">
        <v>0.6</v>
      </c>
      <c r="G2189">
        <v>115.06</v>
      </c>
      <c r="I2189" t="str" cm="1">
        <f t="array" ref="I2189:J2189">_xlfn.TEXTSPLIT(A2189," ")</f>
        <v>28.10.2023</v>
      </c>
      <c r="J2189" t="str">
        <v>12:31:00</v>
      </c>
      <c r="K2189">
        <f t="shared" si="458"/>
        <v>36.433333333332548</v>
      </c>
      <c r="L2189">
        <f t="shared" si="455"/>
        <v>21.130000000000003</v>
      </c>
      <c r="M2189">
        <f t="shared" si="456"/>
        <v>0.15</v>
      </c>
      <c r="N2189">
        <f t="shared" si="452"/>
        <v>0.53499999999999992</v>
      </c>
      <c r="Q2189" t="str" cm="1">
        <f t="array" ref="Q2189:R2189">_xlfn.TEXTSPLIT(E2189," ")</f>
        <v>28.10.2023</v>
      </c>
      <c r="R2189" t="str">
        <v>12:31:00</v>
      </c>
      <c r="S2189">
        <f t="shared" si="459"/>
        <v>36.433333333332548</v>
      </c>
      <c r="T2189">
        <f t="shared" si="454"/>
        <v>36.460000000000008</v>
      </c>
      <c r="U2189">
        <f t="shared" si="457"/>
        <v>0.6</v>
      </c>
      <c r="V2189">
        <f t="shared" si="453"/>
        <v>0.93000000000000027</v>
      </c>
    </row>
    <row r="2190" spans="1:22" x14ac:dyDescent="0.25">
      <c r="A2190" t="s">
        <v>4146</v>
      </c>
      <c r="B2190">
        <v>0.15</v>
      </c>
      <c r="C2190">
        <v>35.46</v>
      </c>
      <c r="E2190" t="s">
        <v>4146</v>
      </c>
      <c r="F2190">
        <v>0.6</v>
      </c>
      <c r="G2190">
        <v>115.07</v>
      </c>
      <c r="I2190" t="str" cm="1">
        <f t="array" ref="I2190:J2190">_xlfn.TEXTSPLIT(A2190," ")</f>
        <v>28.10.2023</v>
      </c>
      <c r="J2190" t="str">
        <v>12:32:00</v>
      </c>
      <c r="K2190">
        <f t="shared" si="458"/>
        <v>36.449999999999214</v>
      </c>
      <c r="L2190">
        <f t="shared" si="455"/>
        <v>21.14</v>
      </c>
      <c r="M2190">
        <f t="shared" si="456"/>
        <v>0.15</v>
      </c>
      <c r="N2190">
        <f t="shared" si="452"/>
        <v>0.5299999999999998</v>
      </c>
      <c r="Q2190" t="str" cm="1">
        <f t="array" ref="Q2190:R2190">_xlfn.TEXTSPLIT(E2190," ")</f>
        <v>28.10.2023</v>
      </c>
      <c r="R2190" t="str">
        <v>12:32:00</v>
      </c>
      <c r="S2190">
        <f t="shared" si="459"/>
        <v>36.449999999999214</v>
      </c>
      <c r="T2190">
        <f t="shared" si="454"/>
        <v>36.47</v>
      </c>
      <c r="U2190">
        <f t="shared" si="457"/>
        <v>0.6</v>
      </c>
      <c r="V2190">
        <f t="shared" si="453"/>
        <v>0.92500000000000049</v>
      </c>
    </row>
    <row r="2191" spans="1:22" x14ac:dyDescent="0.25">
      <c r="A2191" t="s">
        <v>4147</v>
      </c>
      <c r="B2191">
        <v>0.3</v>
      </c>
      <c r="C2191">
        <v>35.46</v>
      </c>
      <c r="E2191" t="s">
        <v>4147</v>
      </c>
      <c r="F2191">
        <v>0.6</v>
      </c>
      <c r="G2191">
        <v>115.08</v>
      </c>
      <c r="I2191" t="str" cm="1">
        <f t="array" ref="I2191:J2191">_xlfn.TEXTSPLIT(A2191," ")</f>
        <v>28.10.2023</v>
      </c>
      <c r="J2191" t="str">
        <v>12:33:00</v>
      </c>
      <c r="K2191">
        <f t="shared" si="458"/>
        <v>36.46666666666588</v>
      </c>
      <c r="L2191">
        <f t="shared" si="455"/>
        <v>21.14</v>
      </c>
      <c r="M2191">
        <f t="shared" si="456"/>
        <v>0.3</v>
      </c>
      <c r="N2191">
        <f t="shared" si="452"/>
        <v>0.52999999999999992</v>
      </c>
      <c r="Q2191" t="str" cm="1">
        <f t="array" ref="Q2191:R2191">_xlfn.TEXTSPLIT(E2191," ")</f>
        <v>28.10.2023</v>
      </c>
      <c r="R2191" t="str">
        <v>12:33:00</v>
      </c>
      <c r="S2191">
        <f t="shared" si="459"/>
        <v>36.46666666666588</v>
      </c>
      <c r="T2191">
        <f t="shared" si="454"/>
        <v>36.480000000000004</v>
      </c>
      <c r="U2191">
        <f t="shared" si="457"/>
        <v>0.6</v>
      </c>
      <c r="V2191">
        <f t="shared" si="453"/>
        <v>0.91500000000000048</v>
      </c>
    </row>
    <row r="2192" spans="1:22" x14ac:dyDescent="0.25">
      <c r="A2192" t="s">
        <v>4148</v>
      </c>
      <c r="B2192">
        <v>0.45</v>
      </c>
      <c r="C2192">
        <v>35.47</v>
      </c>
      <c r="E2192" t="s">
        <v>4148</v>
      </c>
      <c r="F2192">
        <v>0.75</v>
      </c>
      <c r="G2192">
        <v>115.1</v>
      </c>
      <c r="I2192" t="str" cm="1">
        <f t="array" ref="I2192:J2192">_xlfn.TEXTSPLIT(A2192," ")</f>
        <v>28.10.2023</v>
      </c>
      <c r="J2192" t="str">
        <v>12:34:00</v>
      </c>
      <c r="K2192">
        <f t="shared" si="458"/>
        <v>36.483333333332546</v>
      </c>
      <c r="L2192">
        <f t="shared" si="455"/>
        <v>21.15</v>
      </c>
      <c r="M2192">
        <f t="shared" si="456"/>
        <v>0.45</v>
      </c>
      <c r="N2192">
        <f t="shared" si="452"/>
        <v>0.53499999999999992</v>
      </c>
      <c r="Q2192" t="str" cm="1">
        <f t="array" ref="Q2192:R2192">_xlfn.TEXTSPLIT(E2192," ")</f>
        <v>28.10.2023</v>
      </c>
      <c r="R2192" t="str">
        <v>12:34:00</v>
      </c>
      <c r="S2192">
        <f t="shared" si="459"/>
        <v>36.483333333332546</v>
      </c>
      <c r="T2192">
        <f t="shared" si="454"/>
        <v>36.5</v>
      </c>
      <c r="U2192">
        <f t="shared" si="457"/>
        <v>0.75</v>
      </c>
      <c r="V2192">
        <f t="shared" si="453"/>
        <v>0.91250000000000042</v>
      </c>
    </row>
    <row r="2193" spans="1:22" x14ac:dyDescent="0.25">
      <c r="A2193" t="s">
        <v>4149</v>
      </c>
      <c r="B2193">
        <v>0.45</v>
      </c>
      <c r="C2193">
        <v>35.47</v>
      </c>
      <c r="E2193" t="s">
        <v>4149</v>
      </c>
      <c r="F2193">
        <v>1.2</v>
      </c>
      <c r="G2193">
        <v>115.11</v>
      </c>
      <c r="I2193" t="str" cm="1">
        <f t="array" ref="I2193:J2193">_xlfn.TEXTSPLIT(A2193," ")</f>
        <v>28.10.2023</v>
      </c>
      <c r="J2193" t="str">
        <v>12:35:00</v>
      </c>
      <c r="K2193">
        <f t="shared" si="458"/>
        <v>36.499999999999211</v>
      </c>
      <c r="L2193">
        <f t="shared" si="455"/>
        <v>21.15</v>
      </c>
      <c r="M2193">
        <f t="shared" si="456"/>
        <v>0.45</v>
      </c>
      <c r="N2193">
        <f t="shared" si="452"/>
        <v>0.53749999999999987</v>
      </c>
      <c r="Q2193" t="str" cm="1">
        <f t="array" ref="Q2193:R2193">_xlfn.TEXTSPLIT(E2193," ")</f>
        <v>28.10.2023</v>
      </c>
      <c r="R2193" t="str">
        <v>12:35:00</v>
      </c>
      <c r="S2193">
        <f t="shared" si="459"/>
        <v>36.499999999999211</v>
      </c>
      <c r="T2193">
        <f t="shared" si="454"/>
        <v>36.510000000000005</v>
      </c>
      <c r="U2193">
        <f t="shared" si="457"/>
        <v>1.2</v>
      </c>
      <c r="V2193">
        <f t="shared" si="453"/>
        <v>0.92000000000000048</v>
      </c>
    </row>
    <row r="2194" spans="1:22" x14ac:dyDescent="0.25">
      <c r="A2194" t="s">
        <v>4150</v>
      </c>
      <c r="B2194">
        <v>0.45</v>
      </c>
      <c r="C2194">
        <v>35.479999999999997</v>
      </c>
      <c r="E2194" t="s">
        <v>4150</v>
      </c>
      <c r="F2194">
        <v>1.2</v>
      </c>
      <c r="G2194">
        <v>115.16</v>
      </c>
      <c r="I2194" t="str" cm="1">
        <f t="array" ref="I2194:J2194">_xlfn.TEXTSPLIT(A2194," ")</f>
        <v>28.10.2023</v>
      </c>
      <c r="J2194" t="str">
        <v>12:36:01</v>
      </c>
      <c r="K2194">
        <f t="shared" si="458"/>
        <v>36.516666666665877</v>
      </c>
      <c r="L2194">
        <f t="shared" si="455"/>
        <v>21.159999999999997</v>
      </c>
      <c r="M2194">
        <f t="shared" si="456"/>
        <v>0.45</v>
      </c>
      <c r="N2194">
        <f t="shared" si="452"/>
        <v>0.53999999999999981</v>
      </c>
      <c r="Q2194" t="str" cm="1">
        <f t="array" ref="Q2194:R2194">_xlfn.TEXTSPLIT(E2194," ")</f>
        <v>28.10.2023</v>
      </c>
      <c r="R2194" t="str">
        <v>12:36:01</v>
      </c>
      <c r="S2194">
        <f t="shared" si="459"/>
        <v>36.516666666665877</v>
      </c>
      <c r="T2194">
        <f t="shared" si="454"/>
        <v>36.56</v>
      </c>
      <c r="U2194">
        <f t="shared" si="457"/>
        <v>1.2</v>
      </c>
      <c r="V2194">
        <f t="shared" si="453"/>
        <v>0.92750000000000055</v>
      </c>
    </row>
    <row r="2195" spans="1:22" x14ac:dyDescent="0.25">
      <c r="A2195" t="s">
        <v>4151</v>
      </c>
      <c r="B2195">
        <v>2.1</v>
      </c>
      <c r="C2195">
        <v>35.520000000000003</v>
      </c>
      <c r="E2195" t="s">
        <v>4151</v>
      </c>
      <c r="F2195">
        <v>3</v>
      </c>
      <c r="G2195">
        <v>115.2</v>
      </c>
      <c r="I2195" t="str" cm="1">
        <f t="array" ref="I2195:J2195">_xlfn.TEXTSPLIT(A2195," ")</f>
        <v>28.10.2023</v>
      </c>
      <c r="J2195" t="str">
        <v>12:37:01</v>
      </c>
      <c r="K2195">
        <f t="shared" si="458"/>
        <v>36.533333333332543</v>
      </c>
      <c r="L2195">
        <f t="shared" si="455"/>
        <v>21.200000000000003</v>
      </c>
      <c r="M2195">
        <f t="shared" si="456"/>
        <v>2.1</v>
      </c>
      <c r="N2195">
        <f t="shared" si="452"/>
        <v>0.56999999999999995</v>
      </c>
      <c r="Q2195" t="str" cm="1">
        <f t="array" ref="Q2195:R2195">_xlfn.TEXTSPLIT(E2195," ")</f>
        <v>28.10.2023</v>
      </c>
      <c r="R2195" t="str">
        <v>12:37:01</v>
      </c>
      <c r="S2195">
        <f t="shared" si="459"/>
        <v>36.533333333332543</v>
      </c>
      <c r="T2195">
        <f t="shared" si="454"/>
        <v>36.600000000000009</v>
      </c>
      <c r="U2195">
        <f t="shared" si="457"/>
        <v>3</v>
      </c>
      <c r="V2195">
        <f t="shared" si="453"/>
        <v>0.9450000000000004</v>
      </c>
    </row>
    <row r="2196" spans="1:22" x14ac:dyDescent="0.25">
      <c r="A2196" t="s">
        <v>4152</v>
      </c>
      <c r="B2196">
        <v>2.1</v>
      </c>
      <c r="C2196">
        <v>35.549999999999997</v>
      </c>
      <c r="E2196" t="s">
        <v>4152</v>
      </c>
      <c r="F2196">
        <v>1.5</v>
      </c>
      <c r="G2196">
        <v>115.22</v>
      </c>
      <c r="I2196" t="str" cm="1">
        <f t="array" ref="I2196:J2196">_xlfn.TEXTSPLIT(A2196," ")</f>
        <v>28.10.2023</v>
      </c>
      <c r="J2196" t="str">
        <v>12:38:01</v>
      </c>
      <c r="K2196">
        <f t="shared" si="458"/>
        <v>36.549999999999208</v>
      </c>
      <c r="L2196">
        <f t="shared" si="455"/>
        <v>21.229999999999997</v>
      </c>
      <c r="M2196">
        <f t="shared" si="456"/>
        <v>2.1</v>
      </c>
      <c r="N2196">
        <f t="shared" si="452"/>
        <v>0.58249999999999991</v>
      </c>
      <c r="Q2196" t="str" cm="1">
        <f t="array" ref="Q2196:R2196">_xlfn.TEXTSPLIT(E2196," ")</f>
        <v>28.10.2023</v>
      </c>
      <c r="R2196" t="str">
        <v>12:38:01</v>
      </c>
      <c r="S2196">
        <f t="shared" si="459"/>
        <v>36.549999999999208</v>
      </c>
      <c r="T2196">
        <f t="shared" si="454"/>
        <v>36.620000000000005</v>
      </c>
      <c r="U2196">
        <f t="shared" si="457"/>
        <v>1.5</v>
      </c>
      <c r="V2196">
        <f t="shared" si="453"/>
        <v>0.92000000000000037</v>
      </c>
    </row>
    <row r="2197" spans="1:22" x14ac:dyDescent="0.25">
      <c r="A2197" t="s">
        <v>4153</v>
      </c>
      <c r="B2197">
        <v>2.1</v>
      </c>
      <c r="C2197">
        <v>35.58</v>
      </c>
      <c r="E2197" t="s">
        <v>4153</v>
      </c>
      <c r="F2197">
        <v>1.35</v>
      </c>
      <c r="G2197">
        <v>115.25</v>
      </c>
      <c r="I2197" t="str" cm="1">
        <f t="array" ref="I2197:J2197">_xlfn.TEXTSPLIT(A2197," ")</f>
        <v>28.10.2023</v>
      </c>
      <c r="J2197" t="str">
        <v>12:39:01</v>
      </c>
      <c r="K2197">
        <f t="shared" si="458"/>
        <v>36.566666666665874</v>
      </c>
      <c r="L2197">
        <f t="shared" si="455"/>
        <v>21.259999999999998</v>
      </c>
      <c r="M2197">
        <f t="shared" si="456"/>
        <v>2.1</v>
      </c>
      <c r="N2197">
        <f t="shared" si="452"/>
        <v>0.5774999999999999</v>
      </c>
      <c r="Q2197" t="str" cm="1">
        <f t="array" ref="Q2197:R2197">_xlfn.TEXTSPLIT(E2197," ")</f>
        <v>28.10.2023</v>
      </c>
      <c r="R2197" t="str">
        <v>12:39:01</v>
      </c>
      <c r="S2197">
        <f t="shared" si="459"/>
        <v>36.566666666665874</v>
      </c>
      <c r="T2197">
        <f t="shared" si="454"/>
        <v>36.650000000000006</v>
      </c>
      <c r="U2197">
        <f t="shared" si="457"/>
        <v>1.35</v>
      </c>
      <c r="V2197">
        <f t="shared" si="453"/>
        <v>0.91000000000000036</v>
      </c>
    </row>
    <row r="2198" spans="1:22" x14ac:dyDescent="0.25">
      <c r="A2198" t="s">
        <v>4154</v>
      </c>
      <c r="B2198">
        <v>1.05</v>
      </c>
      <c r="C2198">
        <v>35.590000000000003</v>
      </c>
      <c r="E2198" t="s">
        <v>4154</v>
      </c>
      <c r="F2198">
        <v>1.65</v>
      </c>
      <c r="G2198">
        <v>115.27</v>
      </c>
      <c r="I2198" t="str" cm="1">
        <f t="array" ref="I2198:J2198">_xlfn.TEXTSPLIT(A2198," ")</f>
        <v>28.10.2023</v>
      </c>
      <c r="J2198" t="str">
        <v>12:40:01</v>
      </c>
      <c r="K2198">
        <f t="shared" si="458"/>
        <v>36.58333333333254</v>
      </c>
      <c r="L2198">
        <f t="shared" si="455"/>
        <v>21.270000000000003</v>
      </c>
      <c r="M2198">
        <f t="shared" si="456"/>
        <v>1.05</v>
      </c>
      <c r="N2198">
        <f t="shared" si="452"/>
        <v>0.56499999999999984</v>
      </c>
      <c r="Q2198" t="str" cm="1">
        <f t="array" ref="Q2198:R2198">_xlfn.TEXTSPLIT(E2198," ")</f>
        <v>28.10.2023</v>
      </c>
      <c r="R2198" t="str">
        <v>12:40:01</v>
      </c>
      <c r="S2198">
        <f t="shared" si="459"/>
        <v>36.58333333333254</v>
      </c>
      <c r="T2198">
        <f t="shared" si="454"/>
        <v>36.67</v>
      </c>
      <c r="U2198">
        <f t="shared" si="457"/>
        <v>1.65</v>
      </c>
      <c r="V2198">
        <f t="shared" si="453"/>
        <v>0.92000000000000026</v>
      </c>
    </row>
    <row r="2199" spans="1:22" x14ac:dyDescent="0.25">
      <c r="A2199" t="s">
        <v>4155</v>
      </c>
      <c r="B2199">
        <v>1.05</v>
      </c>
      <c r="C2199">
        <v>35.61</v>
      </c>
      <c r="E2199" t="s">
        <v>4155</v>
      </c>
      <c r="F2199">
        <v>1.65</v>
      </c>
      <c r="G2199">
        <v>115.29</v>
      </c>
      <c r="I2199" t="str" cm="1">
        <f t="array" ref="I2199:J2199">_xlfn.TEXTSPLIT(A2199," ")</f>
        <v>28.10.2023</v>
      </c>
      <c r="J2199" t="str">
        <v>12:41:01</v>
      </c>
      <c r="K2199">
        <f t="shared" si="458"/>
        <v>36.599999999999206</v>
      </c>
      <c r="L2199">
        <f t="shared" si="455"/>
        <v>21.29</v>
      </c>
      <c r="M2199">
        <f t="shared" si="456"/>
        <v>1.05</v>
      </c>
      <c r="N2199">
        <f t="shared" si="452"/>
        <v>0.56749999999999978</v>
      </c>
      <c r="Q2199" t="str" cm="1">
        <f t="array" ref="Q2199:R2199">_xlfn.TEXTSPLIT(E2199," ")</f>
        <v>28.10.2023</v>
      </c>
      <c r="R2199" t="str">
        <v>12:41:01</v>
      </c>
      <c r="S2199">
        <f t="shared" si="459"/>
        <v>36.599999999999206</v>
      </c>
      <c r="T2199">
        <f t="shared" si="454"/>
        <v>36.690000000000012</v>
      </c>
      <c r="U2199">
        <f t="shared" si="457"/>
        <v>1.65</v>
      </c>
      <c r="V2199">
        <f t="shared" si="453"/>
        <v>0.92750000000000021</v>
      </c>
    </row>
    <row r="2200" spans="1:22" x14ac:dyDescent="0.25">
      <c r="A2200" t="s">
        <v>4156</v>
      </c>
      <c r="B2200">
        <v>0.9</v>
      </c>
      <c r="C2200">
        <v>35.619999999999997</v>
      </c>
      <c r="E2200" t="s">
        <v>4156</v>
      </c>
      <c r="F2200">
        <v>0.9</v>
      </c>
      <c r="G2200">
        <v>115.31</v>
      </c>
      <c r="I2200" t="str" cm="1">
        <f t="array" ref="I2200:J2200">_xlfn.TEXTSPLIT(A2200," ")</f>
        <v>28.10.2023</v>
      </c>
      <c r="J2200" t="str">
        <v>12:42:01</v>
      </c>
      <c r="K2200">
        <f t="shared" si="458"/>
        <v>36.616666666665871</v>
      </c>
      <c r="L2200">
        <f t="shared" si="455"/>
        <v>21.299999999999997</v>
      </c>
      <c r="M2200">
        <f t="shared" si="456"/>
        <v>0.9</v>
      </c>
      <c r="N2200">
        <f t="shared" si="452"/>
        <v>0.56999999999999995</v>
      </c>
      <c r="Q2200" t="str" cm="1">
        <f t="array" ref="Q2200:R2200">_xlfn.TEXTSPLIT(E2200," ")</f>
        <v>28.10.2023</v>
      </c>
      <c r="R2200" t="str">
        <v>12:42:01</v>
      </c>
      <c r="S2200">
        <f t="shared" si="459"/>
        <v>36.616666666665871</v>
      </c>
      <c r="T2200">
        <f t="shared" si="454"/>
        <v>36.710000000000008</v>
      </c>
      <c r="U2200">
        <f t="shared" si="457"/>
        <v>0.9</v>
      </c>
      <c r="V2200">
        <f t="shared" si="453"/>
        <v>0.92500000000000016</v>
      </c>
    </row>
    <row r="2201" spans="1:22" x14ac:dyDescent="0.25">
      <c r="A2201" t="s">
        <v>4157</v>
      </c>
      <c r="B2201">
        <v>0.6</v>
      </c>
      <c r="C2201">
        <v>35.630000000000003</v>
      </c>
      <c r="E2201" t="s">
        <v>4157</v>
      </c>
      <c r="F2201">
        <v>0.75</v>
      </c>
      <c r="G2201">
        <v>115.32</v>
      </c>
      <c r="I2201" t="str" cm="1">
        <f t="array" ref="I2201:J2201">_xlfn.TEXTSPLIT(A2201," ")</f>
        <v>28.10.2023</v>
      </c>
      <c r="J2201" t="str">
        <v>12:43:02</v>
      </c>
      <c r="K2201">
        <f t="shared" si="458"/>
        <v>36.633333333332537</v>
      </c>
      <c r="L2201">
        <f t="shared" si="455"/>
        <v>21.310000000000002</v>
      </c>
      <c r="M2201">
        <f t="shared" si="456"/>
        <v>0.6</v>
      </c>
      <c r="N2201">
        <f t="shared" si="452"/>
        <v>0.57250000000000001</v>
      </c>
      <c r="Q2201" t="str" cm="1">
        <f t="array" ref="Q2201:R2201">_xlfn.TEXTSPLIT(E2201," ")</f>
        <v>28.10.2023</v>
      </c>
      <c r="R2201" t="str">
        <v>12:43:02</v>
      </c>
      <c r="S2201">
        <f t="shared" si="459"/>
        <v>36.633333333332537</v>
      </c>
      <c r="T2201">
        <f t="shared" si="454"/>
        <v>36.72</v>
      </c>
      <c r="U2201">
        <f t="shared" si="457"/>
        <v>0.75</v>
      </c>
      <c r="V2201">
        <f t="shared" si="453"/>
        <v>0.92</v>
      </c>
    </row>
    <row r="2202" spans="1:22" x14ac:dyDescent="0.25">
      <c r="A2202" t="s">
        <v>4158</v>
      </c>
      <c r="B2202">
        <v>0.75</v>
      </c>
      <c r="C2202">
        <v>35.65</v>
      </c>
      <c r="E2202" t="s">
        <v>4158</v>
      </c>
      <c r="F2202">
        <v>0.75</v>
      </c>
      <c r="G2202">
        <v>115.33</v>
      </c>
      <c r="I2202" t="str" cm="1">
        <f t="array" ref="I2202:J2202">_xlfn.TEXTSPLIT(A2202," ")</f>
        <v>28.10.2023</v>
      </c>
      <c r="J2202" t="str">
        <v>12:44:02</v>
      </c>
      <c r="K2202">
        <f t="shared" si="458"/>
        <v>36.649999999999203</v>
      </c>
      <c r="L2202">
        <f t="shared" si="455"/>
        <v>21.33</v>
      </c>
      <c r="M2202">
        <f t="shared" si="456"/>
        <v>0.75</v>
      </c>
      <c r="N2202">
        <f t="shared" si="452"/>
        <v>0.57750000000000001</v>
      </c>
      <c r="Q2202" t="str" cm="1">
        <f t="array" ref="Q2202:R2202">_xlfn.TEXTSPLIT(E2202," ")</f>
        <v>28.10.2023</v>
      </c>
      <c r="R2202" t="str">
        <v>12:44:02</v>
      </c>
      <c r="S2202">
        <f t="shared" si="459"/>
        <v>36.649999999999203</v>
      </c>
      <c r="T2202">
        <f t="shared" si="454"/>
        <v>36.730000000000004</v>
      </c>
      <c r="U2202">
        <f t="shared" si="457"/>
        <v>0.75</v>
      </c>
      <c r="V2202">
        <f t="shared" si="453"/>
        <v>0.91750000000000009</v>
      </c>
    </row>
    <row r="2203" spans="1:22" x14ac:dyDescent="0.25">
      <c r="A2203" t="s">
        <v>4159</v>
      </c>
      <c r="B2203">
        <v>0.75</v>
      </c>
      <c r="C2203">
        <v>35.65</v>
      </c>
      <c r="E2203" t="s">
        <v>4159</v>
      </c>
      <c r="F2203">
        <v>0.75</v>
      </c>
      <c r="G2203">
        <v>115.35</v>
      </c>
      <c r="I2203" t="str" cm="1">
        <f t="array" ref="I2203:J2203">_xlfn.TEXTSPLIT(A2203," ")</f>
        <v>28.10.2023</v>
      </c>
      <c r="J2203" t="str">
        <v>12:45:02</v>
      </c>
      <c r="K2203">
        <f t="shared" si="458"/>
        <v>36.666666666665868</v>
      </c>
      <c r="L2203">
        <f t="shared" si="455"/>
        <v>21.33</v>
      </c>
      <c r="M2203">
        <f t="shared" si="456"/>
        <v>0.75</v>
      </c>
      <c r="N2203">
        <f t="shared" si="452"/>
        <v>0.58250000000000002</v>
      </c>
      <c r="Q2203" t="str" cm="1">
        <f t="array" ref="Q2203:R2203">_xlfn.TEXTSPLIT(E2203," ")</f>
        <v>28.10.2023</v>
      </c>
      <c r="R2203" t="str">
        <v>12:45:02</v>
      </c>
      <c r="S2203">
        <f t="shared" si="459"/>
        <v>36.666666666665868</v>
      </c>
      <c r="T2203">
        <f t="shared" si="454"/>
        <v>36.75</v>
      </c>
      <c r="U2203">
        <f t="shared" si="457"/>
        <v>0.75</v>
      </c>
      <c r="V2203">
        <f t="shared" si="453"/>
        <v>0.91000000000000014</v>
      </c>
    </row>
    <row r="2204" spans="1:22" x14ac:dyDescent="0.25">
      <c r="A2204" t="s">
        <v>4160</v>
      </c>
      <c r="B2204">
        <v>0.45</v>
      </c>
      <c r="C2204">
        <v>35.659999999999997</v>
      </c>
      <c r="E2204" t="s">
        <v>4160</v>
      </c>
      <c r="F2204">
        <v>0.75</v>
      </c>
      <c r="G2204">
        <v>115.36</v>
      </c>
      <c r="I2204" t="str" cm="1">
        <f t="array" ref="I2204:J2204">_xlfn.TEXTSPLIT(A2204," ")</f>
        <v>28.10.2023</v>
      </c>
      <c r="J2204" t="str">
        <v>12:46:02</v>
      </c>
      <c r="K2204">
        <f t="shared" si="458"/>
        <v>36.683333333332534</v>
      </c>
      <c r="L2204">
        <f t="shared" si="455"/>
        <v>21.339999999999996</v>
      </c>
      <c r="M2204">
        <f t="shared" si="456"/>
        <v>0.45</v>
      </c>
      <c r="N2204">
        <f t="shared" si="452"/>
        <v>0.58250000000000002</v>
      </c>
      <c r="Q2204" t="str" cm="1">
        <f t="array" ref="Q2204:R2204">_xlfn.TEXTSPLIT(E2204," ")</f>
        <v>28.10.2023</v>
      </c>
      <c r="R2204" t="str">
        <v>12:46:02</v>
      </c>
      <c r="S2204">
        <f t="shared" si="459"/>
        <v>36.683333333332534</v>
      </c>
      <c r="T2204">
        <f t="shared" si="454"/>
        <v>36.760000000000005</v>
      </c>
      <c r="U2204">
        <f t="shared" si="457"/>
        <v>0.75</v>
      </c>
      <c r="V2204">
        <f t="shared" si="453"/>
        <v>0.91250000000000009</v>
      </c>
    </row>
    <row r="2205" spans="1:22" x14ac:dyDescent="0.25">
      <c r="A2205" t="s">
        <v>4161</v>
      </c>
      <c r="B2205">
        <v>0.45</v>
      </c>
      <c r="C2205">
        <v>35.67</v>
      </c>
      <c r="E2205" t="s">
        <v>4161</v>
      </c>
      <c r="F2205">
        <v>0.9</v>
      </c>
      <c r="G2205">
        <v>115.38</v>
      </c>
      <c r="I2205" t="str" cm="1">
        <f t="array" ref="I2205:J2205">_xlfn.TEXTSPLIT(A2205," ")</f>
        <v>28.10.2023</v>
      </c>
      <c r="J2205" t="str">
        <v>12:47:02</v>
      </c>
      <c r="K2205">
        <f t="shared" si="458"/>
        <v>36.6999999999992</v>
      </c>
      <c r="L2205">
        <f t="shared" si="455"/>
        <v>21.35</v>
      </c>
      <c r="M2205">
        <f t="shared" si="456"/>
        <v>0.45</v>
      </c>
      <c r="N2205">
        <f t="shared" si="452"/>
        <v>0.58250000000000002</v>
      </c>
      <c r="Q2205" t="str" cm="1">
        <f t="array" ref="Q2205:R2205">_xlfn.TEXTSPLIT(E2205," ")</f>
        <v>28.10.2023</v>
      </c>
      <c r="R2205" t="str">
        <v>12:47:02</v>
      </c>
      <c r="S2205">
        <f t="shared" si="459"/>
        <v>36.6999999999992</v>
      </c>
      <c r="T2205">
        <f t="shared" si="454"/>
        <v>36.78</v>
      </c>
      <c r="U2205">
        <f t="shared" si="457"/>
        <v>0.9</v>
      </c>
      <c r="V2205">
        <f t="shared" si="453"/>
        <v>0.91500000000000015</v>
      </c>
    </row>
    <row r="2206" spans="1:22" x14ac:dyDescent="0.25">
      <c r="A2206" t="s">
        <v>4162</v>
      </c>
      <c r="B2206">
        <v>0.45</v>
      </c>
      <c r="C2206">
        <v>35.68</v>
      </c>
      <c r="E2206" t="s">
        <v>4162</v>
      </c>
      <c r="F2206">
        <v>1.05</v>
      </c>
      <c r="G2206">
        <v>115.4</v>
      </c>
      <c r="I2206" t="str" cm="1">
        <f t="array" ref="I2206:J2206">_xlfn.TEXTSPLIT(A2206," ")</f>
        <v>28.10.2023</v>
      </c>
      <c r="J2206" t="str">
        <v>12:48:02</v>
      </c>
      <c r="K2206">
        <f t="shared" si="458"/>
        <v>36.716666666665866</v>
      </c>
      <c r="L2206">
        <f t="shared" si="455"/>
        <v>21.36</v>
      </c>
      <c r="M2206">
        <f t="shared" si="456"/>
        <v>0.45</v>
      </c>
      <c r="N2206">
        <f t="shared" si="452"/>
        <v>0.58250000000000013</v>
      </c>
      <c r="Q2206" t="str" cm="1">
        <f t="array" ref="Q2206:R2206">_xlfn.TEXTSPLIT(E2206," ")</f>
        <v>28.10.2023</v>
      </c>
      <c r="R2206" t="str">
        <v>12:48:02</v>
      </c>
      <c r="S2206">
        <f t="shared" si="459"/>
        <v>36.716666666665866</v>
      </c>
      <c r="T2206">
        <f t="shared" si="454"/>
        <v>36.800000000000011</v>
      </c>
      <c r="U2206">
        <f t="shared" si="457"/>
        <v>1.05</v>
      </c>
      <c r="V2206">
        <f t="shared" si="453"/>
        <v>0.92</v>
      </c>
    </row>
    <row r="2207" spans="1:22" x14ac:dyDescent="0.25">
      <c r="A2207" t="s">
        <v>4163</v>
      </c>
      <c r="B2207">
        <v>0.6</v>
      </c>
      <c r="C2207">
        <v>35.69</v>
      </c>
      <c r="E2207" t="s">
        <v>4163</v>
      </c>
      <c r="F2207">
        <v>1.05</v>
      </c>
      <c r="G2207">
        <v>115.41</v>
      </c>
      <c r="I2207" t="str" cm="1">
        <f t="array" ref="I2207:J2207">_xlfn.TEXTSPLIT(A2207," ")</f>
        <v>28.10.2023</v>
      </c>
      <c r="J2207" t="str">
        <v>12:49:03</v>
      </c>
      <c r="K2207">
        <f t="shared" si="458"/>
        <v>36.733333333332531</v>
      </c>
      <c r="L2207">
        <f t="shared" si="455"/>
        <v>21.369999999999997</v>
      </c>
      <c r="M2207">
        <f t="shared" si="456"/>
        <v>0.6</v>
      </c>
      <c r="N2207">
        <f t="shared" si="452"/>
        <v>0.58250000000000013</v>
      </c>
      <c r="Q2207" t="str" cm="1">
        <f t="array" ref="Q2207:R2207">_xlfn.TEXTSPLIT(E2207," ")</f>
        <v>28.10.2023</v>
      </c>
      <c r="R2207" t="str">
        <v>12:49:03</v>
      </c>
      <c r="S2207">
        <f t="shared" si="459"/>
        <v>36.733333333332531</v>
      </c>
      <c r="T2207">
        <f t="shared" si="454"/>
        <v>36.81</v>
      </c>
      <c r="U2207">
        <f t="shared" si="457"/>
        <v>1.05</v>
      </c>
      <c r="V2207">
        <f t="shared" si="453"/>
        <v>0.92749999999999999</v>
      </c>
    </row>
    <row r="2208" spans="1:22" x14ac:dyDescent="0.25">
      <c r="A2208" t="s">
        <v>4164</v>
      </c>
      <c r="B2208">
        <v>0.3</v>
      </c>
      <c r="C2208">
        <v>35.69</v>
      </c>
      <c r="E2208" t="s">
        <v>4164</v>
      </c>
      <c r="F2208">
        <v>0.3</v>
      </c>
      <c r="G2208">
        <v>115.42</v>
      </c>
      <c r="I2208" t="str" cm="1">
        <f t="array" ref="I2208:J2208">_xlfn.TEXTSPLIT(A2208," ")</f>
        <v>28.10.2023</v>
      </c>
      <c r="J2208" t="str">
        <v>12:50:03</v>
      </c>
      <c r="K2208">
        <f t="shared" si="458"/>
        <v>36.749999999999197</v>
      </c>
      <c r="L2208">
        <f t="shared" si="455"/>
        <v>21.369999999999997</v>
      </c>
      <c r="M2208">
        <f t="shared" si="456"/>
        <v>0.3</v>
      </c>
      <c r="N2208">
        <f t="shared" si="452"/>
        <v>0.58250000000000013</v>
      </c>
      <c r="Q2208" t="str" cm="1">
        <f t="array" ref="Q2208:R2208">_xlfn.TEXTSPLIT(E2208," ")</f>
        <v>28.10.2023</v>
      </c>
      <c r="R2208" t="str">
        <v>12:50:03</v>
      </c>
      <c r="S2208">
        <f t="shared" si="459"/>
        <v>36.749999999999197</v>
      </c>
      <c r="T2208">
        <f t="shared" si="454"/>
        <v>36.820000000000007</v>
      </c>
      <c r="U2208">
        <f t="shared" si="457"/>
        <v>0.3</v>
      </c>
      <c r="V2208">
        <f t="shared" si="453"/>
        <v>0.92249999999999988</v>
      </c>
    </row>
    <row r="2209" spans="1:22" x14ac:dyDescent="0.25">
      <c r="A2209" t="s">
        <v>4165</v>
      </c>
      <c r="B2209">
        <v>0.45</v>
      </c>
      <c r="C2209">
        <v>35.700000000000003</v>
      </c>
      <c r="E2209" t="s">
        <v>4165</v>
      </c>
      <c r="F2209">
        <v>0</v>
      </c>
      <c r="G2209">
        <v>115.42</v>
      </c>
      <c r="I2209" t="str" cm="1">
        <f t="array" ref="I2209:J2209">_xlfn.TEXTSPLIT(A2209," ")</f>
        <v>28.10.2023</v>
      </c>
      <c r="J2209" t="str">
        <v>12:51:03</v>
      </c>
      <c r="K2209">
        <f t="shared" si="458"/>
        <v>36.766666666665863</v>
      </c>
      <c r="L2209">
        <f t="shared" si="455"/>
        <v>21.380000000000003</v>
      </c>
      <c r="M2209">
        <f t="shared" si="456"/>
        <v>0.45</v>
      </c>
      <c r="N2209">
        <f t="shared" si="452"/>
        <v>0.5850000000000003</v>
      </c>
      <c r="Q2209" t="str" cm="1">
        <f t="array" ref="Q2209:R2209">_xlfn.TEXTSPLIT(E2209," ")</f>
        <v>28.10.2023</v>
      </c>
      <c r="R2209" t="str">
        <v>12:51:03</v>
      </c>
      <c r="S2209">
        <f t="shared" si="459"/>
        <v>36.766666666665863</v>
      </c>
      <c r="T2209">
        <f t="shared" si="454"/>
        <v>36.820000000000007</v>
      </c>
      <c r="U2209">
        <f t="shared" si="457"/>
        <v>0</v>
      </c>
      <c r="V2209">
        <f t="shared" si="453"/>
        <v>0.91249999999999998</v>
      </c>
    </row>
    <row r="2210" spans="1:22" x14ac:dyDescent="0.25">
      <c r="A2210" t="s">
        <v>4166</v>
      </c>
      <c r="B2210">
        <v>0.15</v>
      </c>
      <c r="C2210">
        <v>35.700000000000003</v>
      </c>
      <c r="E2210" t="s">
        <v>4166</v>
      </c>
      <c r="F2210">
        <v>0.15</v>
      </c>
      <c r="G2210">
        <v>115.42</v>
      </c>
      <c r="I2210" t="str" cm="1">
        <f t="array" ref="I2210:J2210">_xlfn.TEXTSPLIT(A2210," ")</f>
        <v>28.10.2023</v>
      </c>
      <c r="J2210" t="str">
        <v>12:52:03</v>
      </c>
      <c r="K2210">
        <f t="shared" si="458"/>
        <v>36.783333333332529</v>
      </c>
      <c r="L2210">
        <f t="shared" si="455"/>
        <v>21.380000000000003</v>
      </c>
      <c r="M2210">
        <f t="shared" si="456"/>
        <v>0.15</v>
      </c>
      <c r="N2210">
        <f t="shared" si="452"/>
        <v>0.57250000000000001</v>
      </c>
      <c r="Q2210" t="str" cm="1">
        <f t="array" ref="Q2210:R2210">_xlfn.TEXTSPLIT(E2210," ")</f>
        <v>28.10.2023</v>
      </c>
      <c r="R2210" t="str">
        <v>12:52:03</v>
      </c>
      <c r="S2210">
        <f t="shared" si="459"/>
        <v>36.783333333332529</v>
      </c>
      <c r="T2210">
        <f t="shared" si="454"/>
        <v>36.820000000000007</v>
      </c>
      <c r="U2210">
        <f t="shared" si="457"/>
        <v>0.15</v>
      </c>
      <c r="V2210">
        <f t="shared" si="453"/>
        <v>0.91499999999999992</v>
      </c>
    </row>
    <row r="2211" spans="1:22" x14ac:dyDescent="0.25">
      <c r="A2211" t="s">
        <v>4167</v>
      </c>
      <c r="B2211">
        <v>0</v>
      </c>
      <c r="C2211">
        <v>35.700000000000003</v>
      </c>
      <c r="E2211" t="s">
        <v>4167</v>
      </c>
      <c r="F2211">
        <v>0</v>
      </c>
      <c r="G2211">
        <v>115.42</v>
      </c>
      <c r="I2211" t="str" cm="1">
        <f t="array" ref="I2211:J2211">_xlfn.TEXTSPLIT(A2211," ")</f>
        <v>28.10.2023</v>
      </c>
      <c r="J2211" t="str">
        <v>12:53:03</v>
      </c>
      <c r="K2211">
        <f t="shared" si="458"/>
        <v>36.799999999999194</v>
      </c>
      <c r="L2211">
        <f t="shared" si="455"/>
        <v>21.380000000000003</v>
      </c>
      <c r="M2211">
        <f t="shared" si="456"/>
        <v>0</v>
      </c>
      <c r="N2211">
        <f t="shared" si="452"/>
        <v>0.57000000000000006</v>
      </c>
      <c r="Q2211" t="str" cm="1">
        <f t="array" ref="Q2211:R2211">_xlfn.TEXTSPLIT(E2211," ")</f>
        <v>28.10.2023</v>
      </c>
      <c r="R2211" t="str">
        <v>12:53:03</v>
      </c>
      <c r="S2211">
        <f t="shared" si="459"/>
        <v>36.799999999999194</v>
      </c>
      <c r="T2211">
        <f t="shared" si="454"/>
        <v>36.820000000000007</v>
      </c>
      <c r="U2211">
        <f t="shared" si="457"/>
        <v>0</v>
      </c>
      <c r="V2211">
        <f t="shared" si="453"/>
        <v>0.91499999999999992</v>
      </c>
    </row>
    <row r="2212" spans="1:22" x14ac:dyDescent="0.25">
      <c r="A2212" t="s">
        <v>4168</v>
      </c>
      <c r="B2212">
        <v>0</v>
      </c>
      <c r="C2212">
        <v>35.700000000000003</v>
      </c>
      <c r="E2212" t="s">
        <v>4168</v>
      </c>
      <c r="F2212">
        <v>0.6</v>
      </c>
      <c r="G2212">
        <v>115.43</v>
      </c>
      <c r="I2212" t="str" cm="1">
        <f t="array" ref="I2212:J2212">_xlfn.TEXTSPLIT(A2212," ")</f>
        <v>28.10.2023</v>
      </c>
      <c r="J2212" t="str">
        <v>12:54:03</v>
      </c>
      <c r="K2212">
        <f t="shared" si="458"/>
        <v>36.81666666666586</v>
      </c>
      <c r="L2212">
        <f t="shared" si="455"/>
        <v>21.380000000000003</v>
      </c>
      <c r="M2212">
        <f t="shared" si="456"/>
        <v>0</v>
      </c>
      <c r="N2212">
        <f t="shared" si="452"/>
        <v>0.57000000000000006</v>
      </c>
      <c r="Q2212" t="str" cm="1">
        <f t="array" ref="Q2212:R2212">_xlfn.TEXTSPLIT(E2212," ")</f>
        <v>28.10.2023</v>
      </c>
      <c r="R2212" t="str">
        <v>12:54:03</v>
      </c>
      <c r="S2212">
        <f t="shared" si="459"/>
        <v>36.81666666666586</v>
      </c>
      <c r="T2212">
        <f t="shared" si="454"/>
        <v>36.830000000000013</v>
      </c>
      <c r="U2212">
        <f t="shared" si="457"/>
        <v>0.6</v>
      </c>
      <c r="V2212">
        <f t="shared" si="453"/>
        <v>0.91999999999999993</v>
      </c>
    </row>
    <row r="2213" spans="1:22" x14ac:dyDescent="0.25">
      <c r="A2213" t="s">
        <v>4169</v>
      </c>
      <c r="B2213">
        <v>0</v>
      </c>
      <c r="C2213">
        <v>35.700000000000003</v>
      </c>
      <c r="E2213" t="s">
        <v>4169</v>
      </c>
      <c r="F2213">
        <v>0.3</v>
      </c>
      <c r="G2213">
        <v>115.44</v>
      </c>
      <c r="I2213" t="str" cm="1">
        <f t="array" ref="I2213:J2213">_xlfn.TEXTSPLIT(A2213," ")</f>
        <v>28.10.2023</v>
      </c>
      <c r="J2213" t="str">
        <v>12:55:03</v>
      </c>
      <c r="K2213">
        <f t="shared" si="458"/>
        <v>36.833333333332526</v>
      </c>
      <c r="L2213">
        <f t="shared" si="455"/>
        <v>21.380000000000003</v>
      </c>
      <c r="M2213">
        <f t="shared" si="456"/>
        <v>0</v>
      </c>
      <c r="N2213">
        <f t="shared" si="452"/>
        <v>0.57000000000000006</v>
      </c>
      <c r="Q2213" t="str" cm="1">
        <f t="array" ref="Q2213:R2213">_xlfn.TEXTSPLIT(E2213," ")</f>
        <v>28.10.2023</v>
      </c>
      <c r="R2213" t="str">
        <v>12:55:03</v>
      </c>
      <c r="S2213">
        <f t="shared" si="459"/>
        <v>36.833333333332526</v>
      </c>
      <c r="T2213">
        <f t="shared" si="454"/>
        <v>36.840000000000003</v>
      </c>
      <c r="U2213">
        <f t="shared" si="457"/>
        <v>0.3</v>
      </c>
      <c r="V2213">
        <f t="shared" si="453"/>
        <v>0.91999999999999993</v>
      </c>
    </row>
    <row r="2214" spans="1:22" x14ac:dyDescent="0.25">
      <c r="A2214" t="s">
        <v>4170</v>
      </c>
      <c r="B2214">
        <v>0</v>
      </c>
      <c r="C2214">
        <v>35.700000000000003</v>
      </c>
      <c r="E2214" t="s">
        <v>4170</v>
      </c>
      <c r="F2214">
        <v>0.3</v>
      </c>
      <c r="G2214">
        <v>115.44</v>
      </c>
      <c r="I2214" t="str" cm="1">
        <f t="array" ref="I2214:J2214">_xlfn.TEXTSPLIT(A2214," ")</f>
        <v>28.10.2023</v>
      </c>
      <c r="J2214" t="str">
        <v>12:56:04</v>
      </c>
      <c r="K2214">
        <f t="shared" si="458"/>
        <v>36.849999999999191</v>
      </c>
      <c r="L2214">
        <f t="shared" si="455"/>
        <v>21.380000000000003</v>
      </c>
      <c r="M2214">
        <f t="shared" si="456"/>
        <v>0</v>
      </c>
      <c r="N2214">
        <f t="shared" si="452"/>
        <v>0.57000000000000006</v>
      </c>
      <c r="Q2214" t="str" cm="1">
        <f t="array" ref="Q2214:R2214">_xlfn.TEXTSPLIT(E2214," ")</f>
        <v>28.10.2023</v>
      </c>
      <c r="R2214" t="str">
        <v>12:56:04</v>
      </c>
      <c r="S2214">
        <f t="shared" si="459"/>
        <v>36.849999999999191</v>
      </c>
      <c r="T2214">
        <f t="shared" si="454"/>
        <v>36.840000000000003</v>
      </c>
      <c r="U2214">
        <f t="shared" si="457"/>
        <v>0.3</v>
      </c>
      <c r="V2214">
        <f t="shared" si="453"/>
        <v>0.91499999999999981</v>
      </c>
    </row>
    <row r="2215" spans="1:22" x14ac:dyDescent="0.25">
      <c r="A2215" t="s">
        <v>4171</v>
      </c>
      <c r="B2215">
        <v>0</v>
      </c>
      <c r="C2215">
        <v>35.700000000000003</v>
      </c>
      <c r="E2215" t="s">
        <v>4171</v>
      </c>
      <c r="F2215">
        <v>0.45</v>
      </c>
      <c r="G2215">
        <v>115.45</v>
      </c>
      <c r="I2215" t="str" cm="1">
        <f t="array" ref="I2215:J2215">_xlfn.TEXTSPLIT(A2215," ")</f>
        <v>28.10.2023</v>
      </c>
      <c r="J2215" t="str">
        <v>12:57:04</v>
      </c>
      <c r="K2215">
        <f t="shared" si="458"/>
        <v>36.866666666665857</v>
      </c>
      <c r="L2215">
        <f t="shared" si="455"/>
        <v>21.380000000000003</v>
      </c>
      <c r="M2215">
        <f t="shared" si="456"/>
        <v>0</v>
      </c>
      <c r="N2215">
        <f t="shared" si="452"/>
        <v>0.57000000000000006</v>
      </c>
      <c r="Q2215" t="str" cm="1">
        <f t="array" ref="Q2215:R2215">_xlfn.TEXTSPLIT(E2215," ")</f>
        <v>28.10.2023</v>
      </c>
      <c r="R2215" t="str">
        <v>12:57:04</v>
      </c>
      <c r="S2215">
        <f t="shared" si="459"/>
        <v>36.866666666665857</v>
      </c>
      <c r="T2215">
        <f t="shared" si="454"/>
        <v>36.850000000000009</v>
      </c>
      <c r="U2215">
        <f t="shared" si="457"/>
        <v>0.45</v>
      </c>
      <c r="V2215">
        <f t="shared" si="453"/>
        <v>0.91249999999999987</v>
      </c>
    </row>
    <row r="2216" spans="1:22" x14ac:dyDescent="0.25">
      <c r="A2216" t="s">
        <v>4172</v>
      </c>
      <c r="B2216">
        <v>0</v>
      </c>
      <c r="C2216">
        <v>35.700000000000003</v>
      </c>
      <c r="E2216" t="s">
        <v>4172</v>
      </c>
      <c r="F2216">
        <v>0.45</v>
      </c>
      <c r="G2216">
        <v>115.46</v>
      </c>
      <c r="I2216" t="str" cm="1">
        <f t="array" ref="I2216:J2216">_xlfn.TEXTSPLIT(A2216," ")</f>
        <v>28.10.2023</v>
      </c>
      <c r="J2216" t="str">
        <v>12:58:04</v>
      </c>
      <c r="K2216">
        <f t="shared" si="458"/>
        <v>36.883333333332523</v>
      </c>
      <c r="L2216">
        <f t="shared" si="455"/>
        <v>21.380000000000003</v>
      </c>
      <c r="M2216">
        <f t="shared" si="456"/>
        <v>0</v>
      </c>
      <c r="N2216">
        <f t="shared" si="452"/>
        <v>0.57000000000000006</v>
      </c>
      <c r="Q2216" t="str" cm="1">
        <f t="array" ref="Q2216:R2216">_xlfn.TEXTSPLIT(E2216," ")</f>
        <v>28.10.2023</v>
      </c>
      <c r="R2216" t="str">
        <v>12:58:04</v>
      </c>
      <c r="S2216">
        <f t="shared" si="459"/>
        <v>36.883333333332523</v>
      </c>
      <c r="T2216">
        <f t="shared" si="454"/>
        <v>36.86</v>
      </c>
      <c r="U2216">
        <f t="shared" si="457"/>
        <v>0.45</v>
      </c>
      <c r="V2216">
        <f t="shared" si="453"/>
        <v>0.90749999999999997</v>
      </c>
    </row>
    <row r="2217" spans="1:22" x14ac:dyDescent="0.25">
      <c r="A2217" t="s">
        <v>4173</v>
      </c>
      <c r="B2217">
        <v>0.15</v>
      </c>
      <c r="C2217">
        <v>35.700000000000003</v>
      </c>
      <c r="E2217" t="s">
        <v>4173</v>
      </c>
      <c r="F2217">
        <v>0.6</v>
      </c>
      <c r="G2217">
        <v>115.47</v>
      </c>
      <c r="I2217" t="str" cm="1">
        <f t="array" ref="I2217:J2217">_xlfn.TEXTSPLIT(A2217," ")</f>
        <v>28.10.2023</v>
      </c>
      <c r="J2217" t="str">
        <v>12:59:04</v>
      </c>
      <c r="K2217">
        <f t="shared" si="458"/>
        <v>36.899999999999189</v>
      </c>
      <c r="L2217">
        <f t="shared" si="455"/>
        <v>21.380000000000003</v>
      </c>
      <c r="M2217">
        <f t="shared" si="456"/>
        <v>0.15</v>
      </c>
      <c r="N2217">
        <f t="shared" si="452"/>
        <v>0.57250000000000001</v>
      </c>
      <c r="Q2217" t="str" cm="1">
        <f t="array" ref="Q2217:R2217">_xlfn.TEXTSPLIT(E2217," ")</f>
        <v>28.10.2023</v>
      </c>
      <c r="R2217" t="str">
        <v>12:59:04</v>
      </c>
      <c r="S2217">
        <f t="shared" si="459"/>
        <v>36.899999999999189</v>
      </c>
      <c r="T2217">
        <f t="shared" si="454"/>
        <v>36.870000000000005</v>
      </c>
      <c r="U2217">
        <f t="shared" si="457"/>
        <v>0.6</v>
      </c>
      <c r="V2217">
        <f t="shared" si="453"/>
        <v>0.90499999999999992</v>
      </c>
    </row>
    <row r="2218" spans="1:22" x14ac:dyDescent="0.25">
      <c r="A2218" t="s">
        <v>4174</v>
      </c>
      <c r="B2218">
        <v>0.3</v>
      </c>
      <c r="C2218">
        <v>35.71</v>
      </c>
      <c r="E2218" t="s">
        <v>4174</v>
      </c>
      <c r="F2218">
        <v>0.6</v>
      </c>
      <c r="G2218">
        <v>115.48</v>
      </c>
      <c r="I2218" t="str" cm="1">
        <f t="array" ref="I2218:J2218">_xlfn.TEXTSPLIT(A2218," ")</f>
        <v>28.10.2023</v>
      </c>
      <c r="J2218" t="str">
        <v>13:00:04</v>
      </c>
      <c r="K2218">
        <f t="shared" si="458"/>
        <v>36.916666666665854</v>
      </c>
      <c r="L2218">
        <f t="shared" si="455"/>
        <v>21.39</v>
      </c>
      <c r="M2218">
        <f t="shared" si="456"/>
        <v>0.3</v>
      </c>
      <c r="N2218">
        <f t="shared" si="452"/>
        <v>0.57750000000000001</v>
      </c>
      <c r="Q2218" t="str" cm="1">
        <f t="array" ref="Q2218:R2218">_xlfn.TEXTSPLIT(E2218," ")</f>
        <v>28.10.2023</v>
      </c>
      <c r="R2218" t="str">
        <v>13:00:04</v>
      </c>
      <c r="S2218">
        <f t="shared" si="459"/>
        <v>36.916666666665854</v>
      </c>
      <c r="T2218">
        <f t="shared" si="454"/>
        <v>36.88000000000001</v>
      </c>
      <c r="U2218">
        <f t="shared" si="457"/>
        <v>0.6</v>
      </c>
      <c r="V2218">
        <f t="shared" si="453"/>
        <v>0.90500000000000003</v>
      </c>
    </row>
    <row r="2219" spans="1:22" x14ac:dyDescent="0.25">
      <c r="A2219" t="s">
        <v>4175</v>
      </c>
      <c r="B2219">
        <v>0.45</v>
      </c>
      <c r="C2219">
        <v>35.72</v>
      </c>
      <c r="E2219" t="s">
        <v>4175</v>
      </c>
      <c r="F2219">
        <v>0.9</v>
      </c>
      <c r="G2219">
        <v>115.49</v>
      </c>
      <c r="I2219" t="str" cm="1">
        <f t="array" ref="I2219:J2219">_xlfn.TEXTSPLIT(A2219," ")</f>
        <v>28.10.2023</v>
      </c>
      <c r="J2219" t="str">
        <v>13:01:04</v>
      </c>
      <c r="K2219">
        <f t="shared" si="458"/>
        <v>36.93333333333252</v>
      </c>
      <c r="L2219">
        <f t="shared" si="455"/>
        <v>21.4</v>
      </c>
      <c r="M2219">
        <f t="shared" si="456"/>
        <v>0.45</v>
      </c>
      <c r="N2219">
        <f t="shared" si="452"/>
        <v>0.57999999999999996</v>
      </c>
      <c r="Q2219" t="str" cm="1">
        <f t="array" ref="Q2219:R2219">_xlfn.TEXTSPLIT(E2219," ")</f>
        <v>28.10.2023</v>
      </c>
      <c r="R2219" t="str">
        <v>13:01:04</v>
      </c>
      <c r="S2219">
        <f t="shared" si="459"/>
        <v>36.93333333333252</v>
      </c>
      <c r="T2219">
        <f t="shared" si="454"/>
        <v>36.89</v>
      </c>
      <c r="U2219">
        <f t="shared" si="457"/>
        <v>0.9</v>
      </c>
      <c r="V2219">
        <f t="shared" si="453"/>
        <v>0.90999999999999992</v>
      </c>
    </row>
    <row r="2220" spans="1:22" x14ac:dyDescent="0.25">
      <c r="A2220" t="s">
        <v>4176</v>
      </c>
      <c r="B2220">
        <v>0.3</v>
      </c>
      <c r="C2220">
        <v>35.72</v>
      </c>
      <c r="E2220" t="s">
        <v>4176</v>
      </c>
      <c r="F2220">
        <v>1.2</v>
      </c>
      <c r="G2220">
        <v>115.51</v>
      </c>
      <c r="I2220" t="str" cm="1">
        <f t="array" ref="I2220:J2220">_xlfn.TEXTSPLIT(A2220," ")</f>
        <v>28.10.2023</v>
      </c>
      <c r="J2220" t="str">
        <v>13:02:04</v>
      </c>
      <c r="K2220">
        <f t="shared" si="458"/>
        <v>36.949999999999186</v>
      </c>
      <c r="L2220">
        <f t="shared" si="455"/>
        <v>21.4</v>
      </c>
      <c r="M2220">
        <f t="shared" si="456"/>
        <v>0.3</v>
      </c>
      <c r="N2220">
        <f t="shared" si="452"/>
        <v>0.5774999999999999</v>
      </c>
      <c r="Q2220" t="str" cm="1">
        <f t="array" ref="Q2220:R2220">_xlfn.TEXTSPLIT(E2220," ")</f>
        <v>28.10.2023</v>
      </c>
      <c r="R2220" t="str">
        <v>13:02:04</v>
      </c>
      <c r="S2220">
        <f t="shared" si="459"/>
        <v>36.949999999999186</v>
      </c>
      <c r="T2220">
        <f t="shared" si="454"/>
        <v>36.910000000000011</v>
      </c>
      <c r="U2220">
        <f t="shared" si="457"/>
        <v>1.2</v>
      </c>
      <c r="V2220">
        <f t="shared" si="453"/>
        <v>0.91999999999999993</v>
      </c>
    </row>
    <row r="2221" spans="1:22" x14ac:dyDescent="0.25">
      <c r="A2221" t="s">
        <v>4177</v>
      </c>
      <c r="B2221">
        <v>0.6</v>
      </c>
      <c r="C2221">
        <v>35.729999999999997</v>
      </c>
      <c r="E2221" t="s">
        <v>4177</v>
      </c>
      <c r="F2221">
        <v>1.2</v>
      </c>
      <c r="G2221">
        <v>115.53</v>
      </c>
      <c r="I2221" t="str" cm="1">
        <f t="array" ref="I2221:J2221">_xlfn.TEXTSPLIT(A2221," ")</f>
        <v>28.10.2023</v>
      </c>
      <c r="J2221" t="str">
        <v>13:03:05</v>
      </c>
      <c r="K2221">
        <f t="shared" si="458"/>
        <v>36.966666666665851</v>
      </c>
      <c r="L2221">
        <f t="shared" si="455"/>
        <v>21.409999999999997</v>
      </c>
      <c r="M2221">
        <f t="shared" si="456"/>
        <v>0.6</v>
      </c>
      <c r="N2221">
        <f t="shared" si="452"/>
        <v>0.57999999999999985</v>
      </c>
      <c r="Q2221" t="str" cm="1">
        <f t="array" ref="Q2221:R2221">_xlfn.TEXTSPLIT(E2221," ")</f>
        <v>28.10.2023</v>
      </c>
      <c r="R2221" t="str">
        <v>13:03:05</v>
      </c>
      <c r="S2221">
        <f t="shared" si="459"/>
        <v>36.966666666665851</v>
      </c>
      <c r="T2221">
        <f t="shared" si="454"/>
        <v>36.930000000000007</v>
      </c>
      <c r="U2221">
        <f t="shared" si="457"/>
        <v>1.2</v>
      </c>
      <c r="V2221">
        <f t="shared" si="453"/>
        <v>0.92999999999999994</v>
      </c>
    </row>
    <row r="2222" spans="1:22" x14ac:dyDescent="0.25">
      <c r="A2222" t="s">
        <v>4178</v>
      </c>
      <c r="B2222">
        <v>0.45</v>
      </c>
      <c r="C2222">
        <v>35.74</v>
      </c>
      <c r="E2222" t="s">
        <v>4178</v>
      </c>
      <c r="F2222">
        <v>0.75</v>
      </c>
      <c r="G2222">
        <v>115.54</v>
      </c>
      <c r="I2222" t="str" cm="1">
        <f t="array" ref="I2222:J2222">_xlfn.TEXTSPLIT(A2222," ")</f>
        <v>28.10.2023</v>
      </c>
      <c r="J2222" t="str">
        <v>13:04:05</v>
      </c>
      <c r="K2222">
        <f t="shared" si="458"/>
        <v>36.983333333332517</v>
      </c>
      <c r="L2222">
        <f t="shared" si="455"/>
        <v>21.42</v>
      </c>
      <c r="M2222">
        <f t="shared" si="456"/>
        <v>0.45</v>
      </c>
      <c r="N2222">
        <f t="shared" si="452"/>
        <v>0.58249999999999991</v>
      </c>
      <c r="Q2222" t="str" cm="1">
        <f t="array" ref="Q2222:R2222">_xlfn.TEXTSPLIT(E2222," ")</f>
        <v>28.10.2023</v>
      </c>
      <c r="R2222" t="str">
        <v>13:04:05</v>
      </c>
      <c r="S2222">
        <f t="shared" si="459"/>
        <v>36.983333333332517</v>
      </c>
      <c r="T2222">
        <f t="shared" si="454"/>
        <v>36.940000000000012</v>
      </c>
      <c r="U2222">
        <f t="shared" si="457"/>
        <v>0.75</v>
      </c>
      <c r="V2222">
        <f t="shared" si="453"/>
        <v>0.9325</v>
      </c>
    </row>
    <row r="2223" spans="1:22" x14ac:dyDescent="0.25">
      <c r="A2223" t="s">
        <v>4179</v>
      </c>
      <c r="B2223">
        <v>0.45</v>
      </c>
      <c r="C2223">
        <v>35.75</v>
      </c>
      <c r="E2223" t="s">
        <v>4179</v>
      </c>
      <c r="F2223">
        <v>1.2</v>
      </c>
      <c r="G2223">
        <v>115.56</v>
      </c>
      <c r="I2223" t="str" cm="1">
        <f t="array" ref="I2223:J2223">_xlfn.TEXTSPLIT(A2223," ")</f>
        <v>28.10.2023</v>
      </c>
      <c r="J2223" t="str">
        <v>13:05:05</v>
      </c>
      <c r="K2223">
        <f t="shared" si="458"/>
        <v>36.999999999999183</v>
      </c>
      <c r="L2223">
        <f t="shared" si="455"/>
        <v>21.43</v>
      </c>
      <c r="M2223">
        <f t="shared" si="456"/>
        <v>0.45</v>
      </c>
      <c r="N2223">
        <f t="shared" si="452"/>
        <v>0.58500000000000008</v>
      </c>
      <c r="Q2223" t="str" cm="1">
        <f t="array" ref="Q2223:R2223">_xlfn.TEXTSPLIT(E2223," ")</f>
        <v>28.10.2023</v>
      </c>
      <c r="R2223" t="str">
        <v>13:05:05</v>
      </c>
      <c r="S2223">
        <f t="shared" si="459"/>
        <v>36.999999999999183</v>
      </c>
      <c r="T2223">
        <f t="shared" si="454"/>
        <v>36.960000000000008</v>
      </c>
      <c r="U2223">
        <f t="shared" si="457"/>
        <v>1.2</v>
      </c>
      <c r="V2223">
        <f t="shared" si="453"/>
        <v>0.9425</v>
      </c>
    </row>
    <row r="2224" spans="1:22" x14ac:dyDescent="0.25">
      <c r="A2224" t="s">
        <v>4180</v>
      </c>
      <c r="B2224">
        <v>0.3</v>
      </c>
      <c r="C2224">
        <v>35.76</v>
      </c>
      <c r="E2224" t="s">
        <v>4180</v>
      </c>
      <c r="F2224">
        <v>1.8</v>
      </c>
      <c r="G2224">
        <v>115.6</v>
      </c>
      <c r="I2224" t="str" cm="1">
        <f t="array" ref="I2224:J2224">_xlfn.TEXTSPLIT(A2224," ")</f>
        <v>28.10.2023</v>
      </c>
      <c r="J2224" t="str">
        <v>13:06:05</v>
      </c>
      <c r="K2224">
        <f t="shared" si="458"/>
        <v>37.016666666665849</v>
      </c>
      <c r="L2224">
        <f t="shared" si="455"/>
        <v>21.439999999999998</v>
      </c>
      <c r="M2224">
        <f t="shared" si="456"/>
        <v>0.3</v>
      </c>
      <c r="N2224">
        <f t="shared" si="452"/>
        <v>0.58250000000000002</v>
      </c>
      <c r="Q2224" t="str" cm="1">
        <f t="array" ref="Q2224:R2224">_xlfn.TEXTSPLIT(E2224," ")</f>
        <v>28.10.2023</v>
      </c>
      <c r="R2224" t="str">
        <v>13:06:05</v>
      </c>
      <c r="S2224">
        <f t="shared" si="459"/>
        <v>37.016666666665849</v>
      </c>
      <c r="T2224">
        <f t="shared" si="454"/>
        <v>37</v>
      </c>
      <c r="U2224">
        <f t="shared" si="457"/>
        <v>1.8</v>
      </c>
      <c r="V2224">
        <f t="shared" si="453"/>
        <v>0.95</v>
      </c>
    </row>
    <row r="2225" spans="1:22" x14ac:dyDescent="0.25">
      <c r="A2225" t="s">
        <v>4181</v>
      </c>
      <c r="B2225">
        <v>1.95</v>
      </c>
      <c r="C2225">
        <v>35.79</v>
      </c>
      <c r="E2225" t="s">
        <v>4181</v>
      </c>
      <c r="F2225">
        <v>3.15</v>
      </c>
      <c r="G2225">
        <v>115.65</v>
      </c>
      <c r="I2225" t="str" cm="1">
        <f t="array" ref="I2225:J2225">_xlfn.TEXTSPLIT(A2225," ")</f>
        <v>28.10.2023</v>
      </c>
      <c r="J2225" t="str">
        <v>13:07:05</v>
      </c>
      <c r="K2225">
        <f t="shared" si="458"/>
        <v>37.033333333332514</v>
      </c>
      <c r="L2225">
        <f t="shared" si="455"/>
        <v>21.47</v>
      </c>
      <c r="M2225">
        <f t="shared" si="456"/>
        <v>1.95</v>
      </c>
      <c r="N2225">
        <f t="shared" si="452"/>
        <v>0.61</v>
      </c>
      <c r="Q2225" t="str" cm="1">
        <f t="array" ref="Q2225:R2225">_xlfn.TEXTSPLIT(E2225," ")</f>
        <v>28.10.2023</v>
      </c>
      <c r="R2225" t="str">
        <v>13:07:05</v>
      </c>
      <c r="S2225">
        <f t="shared" si="459"/>
        <v>37.033333333332514</v>
      </c>
      <c r="T2225">
        <f t="shared" si="454"/>
        <v>37.050000000000011</v>
      </c>
      <c r="U2225">
        <f t="shared" si="457"/>
        <v>3.15</v>
      </c>
      <c r="V2225">
        <f t="shared" si="453"/>
        <v>0.9524999999999999</v>
      </c>
    </row>
    <row r="2226" spans="1:22" x14ac:dyDescent="0.25">
      <c r="A2226" t="s">
        <v>4182</v>
      </c>
      <c r="B2226">
        <v>1.8</v>
      </c>
      <c r="C2226">
        <v>35.82</v>
      </c>
      <c r="E2226" t="s">
        <v>4182</v>
      </c>
      <c r="F2226">
        <v>1.8</v>
      </c>
      <c r="G2226">
        <v>115.67</v>
      </c>
      <c r="I2226" t="str" cm="1">
        <f t="array" ref="I2226:J2226">_xlfn.TEXTSPLIT(A2226," ")</f>
        <v>28.10.2023</v>
      </c>
      <c r="J2226" t="str">
        <v>13:08:05</v>
      </c>
      <c r="K2226">
        <f t="shared" si="458"/>
        <v>37.04999999999918</v>
      </c>
      <c r="L2226">
        <f t="shared" si="455"/>
        <v>21.5</v>
      </c>
      <c r="M2226">
        <f t="shared" si="456"/>
        <v>1.8</v>
      </c>
      <c r="N2226">
        <f t="shared" si="452"/>
        <v>0.60749999999999993</v>
      </c>
      <c r="Q2226" t="str" cm="1">
        <f t="array" ref="Q2226:R2226">_xlfn.TEXTSPLIT(E2226," ")</f>
        <v>28.10.2023</v>
      </c>
      <c r="R2226" t="str">
        <v>13:08:05</v>
      </c>
      <c r="S2226">
        <f t="shared" si="459"/>
        <v>37.04999999999918</v>
      </c>
      <c r="T2226">
        <f t="shared" si="454"/>
        <v>37.070000000000007</v>
      </c>
      <c r="U2226">
        <f t="shared" si="457"/>
        <v>1.8</v>
      </c>
      <c r="V2226">
        <f t="shared" si="453"/>
        <v>0.9474999999999999</v>
      </c>
    </row>
    <row r="2227" spans="1:22" x14ac:dyDescent="0.25">
      <c r="A2227" t="s">
        <v>4183</v>
      </c>
      <c r="B2227">
        <v>1.5</v>
      </c>
      <c r="C2227">
        <v>35.840000000000003</v>
      </c>
      <c r="E2227" t="s">
        <v>4183</v>
      </c>
      <c r="F2227">
        <v>0.9</v>
      </c>
      <c r="G2227">
        <v>115.69</v>
      </c>
      <c r="I2227" t="str" cm="1">
        <f t="array" ref="I2227:J2227">_xlfn.TEXTSPLIT(A2227," ")</f>
        <v>28.10.2023</v>
      </c>
      <c r="J2227" t="str">
        <v>13:09:06</v>
      </c>
      <c r="K2227">
        <f t="shared" si="458"/>
        <v>37.066666666665846</v>
      </c>
      <c r="L2227">
        <f t="shared" si="455"/>
        <v>21.520000000000003</v>
      </c>
      <c r="M2227">
        <f t="shared" si="456"/>
        <v>1.5</v>
      </c>
      <c r="N2227">
        <f t="shared" si="452"/>
        <v>0.59</v>
      </c>
      <c r="Q2227" t="str" cm="1">
        <f t="array" ref="Q2227:R2227">_xlfn.TEXTSPLIT(E2227," ")</f>
        <v>28.10.2023</v>
      </c>
      <c r="R2227" t="str">
        <v>13:09:06</v>
      </c>
      <c r="S2227">
        <f t="shared" si="459"/>
        <v>37.066666666665846</v>
      </c>
      <c r="T2227">
        <f t="shared" si="454"/>
        <v>37.090000000000003</v>
      </c>
      <c r="U2227">
        <f t="shared" si="457"/>
        <v>0.9</v>
      </c>
      <c r="V2227">
        <f t="shared" si="453"/>
        <v>0.93499999999999983</v>
      </c>
    </row>
    <row r="2228" spans="1:22" x14ac:dyDescent="0.25">
      <c r="A2228" t="s">
        <v>4184</v>
      </c>
      <c r="B2228">
        <v>1.35</v>
      </c>
      <c r="C2228">
        <v>35.86</v>
      </c>
      <c r="E2228" t="s">
        <v>4184</v>
      </c>
      <c r="F2228">
        <v>0.9</v>
      </c>
      <c r="G2228">
        <v>115.7</v>
      </c>
      <c r="I2228" t="str" cm="1">
        <f t="array" ref="I2228:J2228">_xlfn.TEXTSPLIT(A2228," ")</f>
        <v>28.10.2023</v>
      </c>
      <c r="J2228" t="str">
        <v>13:10:06</v>
      </c>
      <c r="K2228">
        <f t="shared" si="458"/>
        <v>37.083333333332511</v>
      </c>
      <c r="L2228">
        <f t="shared" si="455"/>
        <v>21.54</v>
      </c>
      <c r="M2228">
        <f t="shared" si="456"/>
        <v>1.35</v>
      </c>
      <c r="N2228">
        <f t="shared" si="452"/>
        <v>0.58750000000000002</v>
      </c>
      <c r="Q2228" t="str" cm="1">
        <f t="array" ref="Q2228:R2228">_xlfn.TEXTSPLIT(E2228," ")</f>
        <v>28.10.2023</v>
      </c>
      <c r="R2228" t="str">
        <v>13:10:06</v>
      </c>
      <c r="S2228">
        <f t="shared" si="459"/>
        <v>37.083333333332511</v>
      </c>
      <c r="T2228">
        <f t="shared" si="454"/>
        <v>37.100000000000009</v>
      </c>
      <c r="U2228">
        <f t="shared" si="457"/>
        <v>0.9</v>
      </c>
      <c r="V2228">
        <f t="shared" si="453"/>
        <v>0.91249999999999987</v>
      </c>
    </row>
    <row r="2229" spans="1:22" x14ac:dyDescent="0.25">
      <c r="A2229" t="s">
        <v>4185</v>
      </c>
      <c r="B2229">
        <v>0.6</v>
      </c>
      <c r="C2229">
        <v>35.869999999999997</v>
      </c>
      <c r="E2229" t="s">
        <v>4185</v>
      </c>
      <c r="F2229">
        <v>0.6</v>
      </c>
      <c r="G2229">
        <v>115.72</v>
      </c>
      <c r="I2229" t="str" cm="1">
        <f t="array" ref="I2229:J2229">_xlfn.TEXTSPLIT(A2229," ")</f>
        <v>28.10.2023</v>
      </c>
      <c r="J2229" t="str">
        <v>13:11:06</v>
      </c>
      <c r="K2229">
        <f t="shared" si="458"/>
        <v>37.099999999999177</v>
      </c>
      <c r="L2229">
        <f t="shared" si="455"/>
        <v>21.549999999999997</v>
      </c>
      <c r="M2229">
        <f t="shared" si="456"/>
        <v>0.6</v>
      </c>
      <c r="N2229">
        <f t="shared" si="452"/>
        <v>0.57999999999999996</v>
      </c>
      <c r="Q2229" t="str" cm="1">
        <f t="array" ref="Q2229:R2229">_xlfn.TEXTSPLIT(E2229," ")</f>
        <v>28.10.2023</v>
      </c>
      <c r="R2229" t="str">
        <v>13:11:06</v>
      </c>
      <c r="S2229">
        <f t="shared" si="459"/>
        <v>37.099999999999177</v>
      </c>
      <c r="T2229">
        <f t="shared" si="454"/>
        <v>37.120000000000005</v>
      </c>
      <c r="U2229">
        <f t="shared" si="457"/>
        <v>0.6</v>
      </c>
      <c r="V2229">
        <f t="shared" si="453"/>
        <v>0.89249999999999974</v>
      </c>
    </row>
    <row r="2230" spans="1:22" x14ac:dyDescent="0.25">
      <c r="A2230" t="s">
        <v>4186</v>
      </c>
      <c r="B2230">
        <v>0.75</v>
      </c>
      <c r="C2230">
        <v>35.880000000000003</v>
      </c>
      <c r="E2230" t="s">
        <v>4186</v>
      </c>
      <c r="F2230">
        <v>0.9</v>
      </c>
      <c r="G2230">
        <v>115.73</v>
      </c>
      <c r="I2230" t="str" cm="1">
        <f t="array" ref="I2230:J2230">_xlfn.TEXTSPLIT(A2230," ")</f>
        <v>28.10.2023</v>
      </c>
      <c r="J2230" t="str">
        <v>13:12:06</v>
      </c>
      <c r="K2230">
        <f t="shared" si="458"/>
        <v>37.116666666665843</v>
      </c>
      <c r="L2230">
        <f t="shared" si="455"/>
        <v>21.560000000000002</v>
      </c>
      <c r="M2230">
        <f t="shared" si="456"/>
        <v>0.75</v>
      </c>
      <c r="N2230">
        <f t="shared" si="452"/>
        <v>0.57750000000000001</v>
      </c>
      <c r="Q2230" t="str" cm="1">
        <f t="array" ref="Q2230:R2230">_xlfn.TEXTSPLIT(E2230," ")</f>
        <v>28.10.2023</v>
      </c>
      <c r="R2230" t="str">
        <v>13:12:06</v>
      </c>
      <c r="S2230">
        <f t="shared" si="459"/>
        <v>37.116666666665843</v>
      </c>
      <c r="T2230">
        <f t="shared" si="454"/>
        <v>37.13000000000001</v>
      </c>
      <c r="U2230">
        <f t="shared" si="457"/>
        <v>0.9</v>
      </c>
      <c r="V2230">
        <f t="shared" si="453"/>
        <v>0.88749999999999973</v>
      </c>
    </row>
    <row r="2231" spans="1:22" x14ac:dyDescent="0.25">
      <c r="A2231" t="s">
        <v>4187</v>
      </c>
      <c r="B2231">
        <v>0.6</v>
      </c>
      <c r="C2231">
        <v>35.9</v>
      </c>
      <c r="E2231" t="s">
        <v>4187</v>
      </c>
      <c r="F2231">
        <v>1.2</v>
      </c>
      <c r="G2231">
        <v>115.75</v>
      </c>
      <c r="I2231" t="str" cm="1">
        <f t="array" ref="I2231:J2231">_xlfn.TEXTSPLIT(A2231," ")</f>
        <v>28.10.2023</v>
      </c>
      <c r="J2231" t="str">
        <v>13:13:06</v>
      </c>
      <c r="K2231">
        <f t="shared" si="458"/>
        <v>37.133333333332509</v>
      </c>
      <c r="L2231">
        <f t="shared" si="455"/>
        <v>21.58</v>
      </c>
      <c r="M2231">
        <f t="shared" si="456"/>
        <v>0.6</v>
      </c>
      <c r="N2231">
        <f t="shared" si="452"/>
        <v>0.57250000000000001</v>
      </c>
      <c r="Q2231" t="str" cm="1">
        <f t="array" ref="Q2231:R2231">_xlfn.TEXTSPLIT(E2231," ")</f>
        <v>28.10.2023</v>
      </c>
      <c r="R2231" t="str">
        <v>13:13:06</v>
      </c>
      <c r="S2231">
        <f t="shared" si="459"/>
        <v>37.133333333332509</v>
      </c>
      <c r="T2231">
        <f t="shared" si="454"/>
        <v>37.150000000000006</v>
      </c>
      <c r="U2231">
        <f t="shared" si="457"/>
        <v>1.2</v>
      </c>
      <c r="V2231">
        <f t="shared" si="453"/>
        <v>0.8899999999999999</v>
      </c>
    </row>
    <row r="2232" spans="1:22" x14ac:dyDescent="0.25">
      <c r="A2232" t="s">
        <v>4188</v>
      </c>
      <c r="B2232">
        <v>0.45</v>
      </c>
      <c r="C2232">
        <v>35.9</v>
      </c>
      <c r="E2232" t="s">
        <v>4188</v>
      </c>
      <c r="F2232">
        <v>1.05</v>
      </c>
      <c r="G2232">
        <v>115.77</v>
      </c>
      <c r="I2232" t="str" cm="1">
        <f t="array" ref="I2232:J2232">_xlfn.TEXTSPLIT(A2232," ")</f>
        <v>28.10.2023</v>
      </c>
      <c r="J2232" t="str">
        <v>13:14:06</v>
      </c>
      <c r="K2232">
        <f t="shared" si="458"/>
        <v>37.149999999999174</v>
      </c>
      <c r="L2232">
        <f t="shared" si="455"/>
        <v>21.58</v>
      </c>
      <c r="M2232">
        <f t="shared" si="456"/>
        <v>0.45</v>
      </c>
      <c r="N2232">
        <f t="shared" si="452"/>
        <v>0.56000000000000016</v>
      </c>
      <c r="Q2232" t="str" cm="1">
        <f t="array" ref="Q2232:R2232">_xlfn.TEXTSPLIT(E2232," ")</f>
        <v>28.10.2023</v>
      </c>
      <c r="R2232" t="str">
        <v>13:14:06</v>
      </c>
      <c r="S2232">
        <f t="shared" si="459"/>
        <v>37.149999999999174</v>
      </c>
      <c r="T2232">
        <f t="shared" si="454"/>
        <v>37.17</v>
      </c>
      <c r="U2232">
        <f t="shared" si="457"/>
        <v>1.05</v>
      </c>
      <c r="V2232">
        <f t="shared" si="453"/>
        <v>0.88749999999999984</v>
      </c>
    </row>
    <row r="2233" spans="1:22" x14ac:dyDescent="0.25">
      <c r="A2233" t="s">
        <v>4189</v>
      </c>
      <c r="B2233">
        <v>0.45</v>
      </c>
      <c r="C2233">
        <v>35.909999999999997</v>
      </c>
      <c r="E2233" t="s">
        <v>4189</v>
      </c>
      <c r="F2233">
        <v>1.05</v>
      </c>
      <c r="G2233">
        <v>115.78</v>
      </c>
      <c r="I2233" t="str" cm="1">
        <f t="array" ref="I2233:J2233">_xlfn.TEXTSPLIT(A2233," ")</f>
        <v>28.10.2023</v>
      </c>
      <c r="J2233" t="str">
        <v>13:15:06</v>
      </c>
      <c r="K2233">
        <f t="shared" si="458"/>
        <v>37.16666666666584</v>
      </c>
      <c r="L2233">
        <f t="shared" si="455"/>
        <v>21.589999999999996</v>
      </c>
      <c r="M2233">
        <f t="shared" si="456"/>
        <v>0.45</v>
      </c>
      <c r="N2233">
        <f t="shared" si="452"/>
        <v>0.55000000000000016</v>
      </c>
      <c r="Q2233" t="str" cm="1">
        <f t="array" ref="Q2233:R2233">_xlfn.TEXTSPLIT(E2233," ")</f>
        <v>28.10.2023</v>
      </c>
      <c r="R2233" t="str">
        <v>13:15:06</v>
      </c>
      <c r="S2233">
        <f t="shared" si="459"/>
        <v>37.16666666666584</v>
      </c>
      <c r="T2233">
        <f t="shared" si="454"/>
        <v>37.180000000000007</v>
      </c>
      <c r="U2233">
        <f t="shared" si="457"/>
        <v>1.05</v>
      </c>
      <c r="V2233">
        <f t="shared" si="453"/>
        <v>0.88749999999999984</v>
      </c>
    </row>
    <row r="2234" spans="1:22" x14ac:dyDescent="0.25">
      <c r="A2234" t="s">
        <v>4190</v>
      </c>
      <c r="B2234">
        <v>0.3</v>
      </c>
      <c r="C2234">
        <v>35.92</v>
      </c>
      <c r="E2234" t="s">
        <v>4190</v>
      </c>
      <c r="F2234">
        <v>0.75</v>
      </c>
      <c r="G2234">
        <v>115.79</v>
      </c>
      <c r="I2234" t="str" cm="1">
        <f t="array" ref="I2234:J2234">_xlfn.TEXTSPLIT(A2234," ")</f>
        <v>28.10.2023</v>
      </c>
      <c r="J2234" t="str">
        <v>13:16:07</v>
      </c>
      <c r="K2234">
        <f t="shared" si="458"/>
        <v>37.183333333332506</v>
      </c>
      <c r="L2234">
        <f t="shared" si="455"/>
        <v>21.6</v>
      </c>
      <c r="M2234">
        <f t="shared" si="456"/>
        <v>0.3</v>
      </c>
      <c r="N2234">
        <f t="shared" si="452"/>
        <v>0.55000000000000016</v>
      </c>
      <c r="Q2234" t="str" cm="1">
        <f t="array" ref="Q2234:R2234">_xlfn.TEXTSPLIT(E2234," ")</f>
        <v>28.10.2023</v>
      </c>
      <c r="R2234" t="str">
        <v>13:16:07</v>
      </c>
      <c r="S2234">
        <f t="shared" si="459"/>
        <v>37.183333333332506</v>
      </c>
      <c r="T2234">
        <f t="shared" si="454"/>
        <v>37.190000000000012</v>
      </c>
      <c r="U2234">
        <f t="shared" si="457"/>
        <v>0.75</v>
      </c>
      <c r="V2234">
        <f t="shared" si="453"/>
        <v>0.87749999999999995</v>
      </c>
    </row>
    <row r="2235" spans="1:22" x14ac:dyDescent="0.25">
      <c r="A2235" t="s">
        <v>4191</v>
      </c>
      <c r="B2235">
        <v>0.45</v>
      </c>
      <c r="C2235">
        <v>35.92</v>
      </c>
      <c r="E2235" t="s">
        <v>4191</v>
      </c>
      <c r="F2235">
        <v>0.75</v>
      </c>
      <c r="G2235">
        <v>115.81</v>
      </c>
      <c r="I2235" t="str" cm="1">
        <f t="array" ref="I2235:J2235">_xlfn.TEXTSPLIT(A2235," ")</f>
        <v>28.10.2023</v>
      </c>
      <c r="J2235" t="str">
        <v>13:17:07</v>
      </c>
      <c r="K2235">
        <f t="shared" si="458"/>
        <v>37.199999999999172</v>
      </c>
      <c r="L2235">
        <f t="shared" si="455"/>
        <v>21.6</v>
      </c>
      <c r="M2235">
        <f t="shared" si="456"/>
        <v>0.45</v>
      </c>
      <c r="N2235">
        <f t="shared" si="452"/>
        <v>0.53750000000000009</v>
      </c>
      <c r="Q2235" t="str" cm="1">
        <f t="array" ref="Q2235:R2235">_xlfn.TEXTSPLIT(E2235," ")</f>
        <v>28.10.2023</v>
      </c>
      <c r="R2235" t="str">
        <v>13:17:07</v>
      </c>
      <c r="S2235">
        <f t="shared" si="459"/>
        <v>37.199999999999172</v>
      </c>
      <c r="T2235">
        <f t="shared" si="454"/>
        <v>37.210000000000008</v>
      </c>
      <c r="U2235">
        <f t="shared" si="457"/>
        <v>0.75</v>
      </c>
      <c r="V2235">
        <f t="shared" si="453"/>
        <v>0.86999999999999977</v>
      </c>
    </row>
    <row r="2236" spans="1:22" x14ac:dyDescent="0.25">
      <c r="A2236" t="s">
        <v>4192</v>
      </c>
      <c r="B2236">
        <v>0.45</v>
      </c>
      <c r="C2236">
        <v>35.93</v>
      </c>
      <c r="E2236" t="s">
        <v>4192</v>
      </c>
      <c r="F2236">
        <v>0.75</v>
      </c>
      <c r="G2236">
        <v>115.82</v>
      </c>
      <c r="I2236" t="str" cm="1">
        <f t="array" ref="I2236:J2236">_xlfn.TEXTSPLIT(A2236," ")</f>
        <v>28.10.2023</v>
      </c>
      <c r="J2236" t="str">
        <v>13:18:07</v>
      </c>
      <c r="K2236">
        <f t="shared" si="458"/>
        <v>37.216666666665837</v>
      </c>
      <c r="L2236">
        <f t="shared" si="455"/>
        <v>21.61</v>
      </c>
      <c r="M2236">
        <f t="shared" si="456"/>
        <v>0.45</v>
      </c>
      <c r="N2236">
        <f t="shared" si="452"/>
        <v>0.53250000000000008</v>
      </c>
      <c r="Q2236" t="str" cm="1">
        <f t="array" ref="Q2236:R2236">_xlfn.TEXTSPLIT(E2236," ")</f>
        <v>28.10.2023</v>
      </c>
      <c r="R2236" t="str">
        <v>13:18:07</v>
      </c>
      <c r="S2236">
        <f t="shared" si="459"/>
        <v>37.216666666665837</v>
      </c>
      <c r="T2236">
        <f t="shared" si="454"/>
        <v>37.22</v>
      </c>
      <c r="U2236">
        <f t="shared" si="457"/>
        <v>0.75</v>
      </c>
      <c r="V2236">
        <f t="shared" si="453"/>
        <v>0.87249999999999994</v>
      </c>
    </row>
    <row r="2237" spans="1:22" x14ac:dyDescent="0.25">
      <c r="A2237" t="s">
        <v>4193</v>
      </c>
      <c r="B2237">
        <v>0.3</v>
      </c>
      <c r="C2237">
        <v>35.94</v>
      </c>
      <c r="E2237" t="s">
        <v>4193</v>
      </c>
      <c r="F2237">
        <v>0.75</v>
      </c>
      <c r="G2237">
        <v>115.83</v>
      </c>
      <c r="I2237" t="str" cm="1">
        <f t="array" ref="I2237:J2237">_xlfn.TEXTSPLIT(A2237," ")</f>
        <v>28.10.2023</v>
      </c>
      <c r="J2237" t="str">
        <v>13:19:07</v>
      </c>
      <c r="K2237">
        <f t="shared" si="458"/>
        <v>37.233333333332503</v>
      </c>
      <c r="L2237">
        <f t="shared" si="455"/>
        <v>21.619999999999997</v>
      </c>
      <c r="M2237">
        <f t="shared" si="456"/>
        <v>0.3</v>
      </c>
      <c r="N2237">
        <f t="shared" si="452"/>
        <v>0.53</v>
      </c>
      <c r="Q2237" t="str" cm="1">
        <f t="array" ref="Q2237:R2237">_xlfn.TEXTSPLIT(E2237," ")</f>
        <v>28.10.2023</v>
      </c>
      <c r="R2237" t="str">
        <v>13:19:07</v>
      </c>
      <c r="S2237">
        <f t="shared" si="459"/>
        <v>37.233333333332503</v>
      </c>
      <c r="T2237">
        <f t="shared" si="454"/>
        <v>37.230000000000004</v>
      </c>
      <c r="U2237">
        <f t="shared" si="457"/>
        <v>0.75</v>
      </c>
      <c r="V2237">
        <f t="shared" si="453"/>
        <v>0.86749999999999983</v>
      </c>
    </row>
    <row r="2238" spans="1:22" x14ac:dyDescent="0.25">
      <c r="A2238" t="s">
        <v>4194</v>
      </c>
      <c r="B2238">
        <v>0.3</v>
      </c>
      <c r="C2238">
        <v>35.94</v>
      </c>
      <c r="E2238" t="s">
        <v>4194</v>
      </c>
      <c r="F2238">
        <v>0.75</v>
      </c>
      <c r="G2238">
        <v>115.85</v>
      </c>
      <c r="I2238" t="str" cm="1">
        <f t="array" ref="I2238:J2238">_xlfn.TEXTSPLIT(A2238," ")</f>
        <v>28.10.2023</v>
      </c>
      <c r="J2238" t="str">
        <v>13:20:07</v>
      </c>
      <c r="K2238">
        <f t="shared" si="458"/>
        <v>37.249999999999169</v>
      </c>
      <c r="L2238">
        <f t="shared" si="455"/>
        <v>21.619999999999997</v>
      </c>
      <c r="M2238">
        <f t="shared" si="456"/>
        <v>0.3</v>
      </c>
      <c r="N2238">
        <f t="shared" si="452"/>
        <v>0.52500000000000002</v>
      </c>
      <c r="Q2238" t="str" cm="1">
        <f t="array" ref="Q2238:R2238">_xlfn.TEXTSPLIT(E2238," ")</f>
        <v>28.10.2023</v>
      </c>
      <c r="R2238" t="str">
        <v>13:20:07</v>
      </c>
      <c r="S2238">
        <f t="shared" si="459"/>
        <v>37.249999999999169</v>
      </c>
      <c r="T2238">
        <f t="shared" si="454"/>
        <v>37.25</v>
      </c>
      <c r="U2238">
        <f t="shared" si="457"/>
        <v>0.75</v>
      </c>
      <c r="V2238">
        <f t="shared" si="453"/>
        <v>0.86749999999999983</v>
      </c>
    </row>
    <row r="2239" spans="1:22" x14ac:dyDescent="0.25">
      <c r="A2239" t="s">
        <v>4195</v>
      </c>
      <c r="B2239">
        <v>0.3</v>
      </c>
      <c r="C2239">
        <v>35.950000000000003</v>
      </c>
      <c r="E2239" t="s">
        <v>4195</v>
      </c>
      <c r="F2239">
        <v>0</v>
      </c>
      <c r="G2239">
        <v>115.85</v>
      </c>
      <c r="I2239" t="str" cm="1">
        <f t="array" ref="I2239:J2239">_xlfn.TEXTSPLIT(A2239," ")</f>
        <v>28.10.2023</v>
      </c>
      <c r="J2239" t="str">
        <v>13:21:07</v>
      </c>
      <c r="K2239">
        <f t="shared" si="458"/>
        <v>37.266666666665834</v>
      </c>
      <c r="L2239">
        <f t="shared" si="455"/>
        <v>21.630000000000003</v>
      </c>
      <c r="M2239">
        <f t="shared" si="456"/>
        <v>0.3</v>
      </c>
      <c r="N2239">
        <f t="shared" ref="N2239:N2302" si="460">AVERAGE(M2180:M2239)</f>
        <v>0.52250000000000008</v>
      </c>
      <c r="Q2239" t="str" cm="1">
        <f t="array" ref="Q2239:R2239">_xlfn.TEXTSPLIT(E2239," ")</f>
        <v>28.10.2023</v>
      </c>
      <c r="R2239" t="str">
        <v>13:21:07</v>
      </c>
      <c r="S2239">
        <f t="shared" si="459"/>
        <v>37.266666666665834</v>
      </c>
      <c r="T2239">
        <f t="shared" si="454"/>
        <v>37.25</v>
      </c>
      <c r="U2239">
        <f t="shared" si="457"/>
        <v>0</v>
      </c>
      <c r="V2239">
        <f t="shared" ref="V2239:V2302" si="461">AVERAGE(U2180:U2239)</f>
        <v>0.85999999999999976</v>
      </c>
    </row>
    <row r="2240" spans="1:22" x14ac:dyDescent="0.25">
      <c r="A2240" t="s">
        <v>4196</v>
      </c>
      <c r="B2240">
        <v>0</v>
      </c>
      <c r="C2240">
        <v>35.950000000000003</v>
      </c>
      <c r="E2240" t="s">
        <v>4196</v>
      </c>
      <c r="F2240">
        <v>0.15</v>
      </c>
      <c r="G2240">
        <v>115.85</v>
      </c>
      <c r="I2240" t="str" cm="1">
        <f t="array" ref="I2240:J2240">_xlfn.TEXTSPLIT(A2240," ")</f>
        <v>28.10.2023</v>
      </c>
      <c r="J2240" t="str">
        <v>13:22:07</v>
      </c>
      <c r="K2240">
        <f t="shared" si="458"/>
        <v>37.2833333333325</v>
      </c>
      <c r="L2240">
        <f t="shared" si="455"/>
        <v>21.630000000000003</v>
      </c>
      <c r="M2240">
        <f t="shared" si="456"/>
        <v>0</v>
      </c>
      <c r="N2240">
        <f t="shared" si="460"/>
        <v>0.51500000000000001</v>
      </c>
      <c r="Q2240" t="str" cm="1">
        <f t="array" ref="Q2240:R2240">_xlfn.TEXTSPLIT(E2240," ")</f>
        <v>28.10.2023</v>
      </c>
      <c r="R2240" t="str">
        <v>13:22:07</v>
      </c>
      <c r="S2240">
        <f t="shared" si="459"/>
        <v>37.2833333333325</v>
      </c>
      <c r="T2240">
        <f t="shared" si="454"/>
        <v>37.25</v>
      </c>
      <c r="U2240">
        <f t="shared" si="457"/>
        <v>0.15</v>
      </c>
      <c r="V2240">
        <f t="shared" si="461"/>
        <v>0.86249999999999971</v>
      </c>
    </row>
    <row r="2241" spans="1:22" x14ac:dyDescent="0.25">
      <c r="A2241" t="s">
        <v>4197</v>
      </c>
      <c r="B2241">
        <v>0</v>
      </c>
      <c r="C2241">
        <v>35.950000000000003</v>
      </c>
      <c r="E2241" t="s">
        <v>4197</v>
      </c>
      <c r="F2241">
        <v>0.3</v>
      </c>
      <c r="G2241">
        <v>115.85</v>
      </c>
      <c r="I2241" t="str" cm="1">
        <f t="array" ref="I2241:J2241">_xlfn.TEXTSPLIT(A2241," ")</f>
        <v>28.10.2023</v>
      </c>
      <c r="J2241" t="str">
        <v>13:23:08</v>
      </c>
      <c r="K2241">
        <f t="shared" si="458"/>
        <v>37.299999999999166</v>
      </c>
      <c r="L2241">
        <f t="shared" si="455"/>
        <v>21.630000000000003</v>
      </c>
      <c r="M2241">
        <f t="shared" si="456"/>
        <v>0</v>
      </c>
      <c r="N2241">
        <f t="shared" si="460"/>
        <v>0.51250000000000007</v>
      </c>
      <c r="Q2241" t="str" cm="1">
        <f t="array" ref="Q2241:R2241">_xlfn.TEXTSPLIT(E2241," ")</f>
        <v>28.10.2023</v>
      </c>
      <c r="R2241" t="str">
        <v>13:23:08</v>
      </c>
      <c r="S2241">
        <f t="shared" si="459"/>
        <v>37.299999999999166</v>
      </c>
      <c r="T2241">
        <f t="shared" si="454"/>
        <v>37.25</v>
      </c>
      <c r="U2241">
        <f t="shared" si="457"/>
        <v>0.3</v>
      </c>
      <c r="V2241">
        <f t="shared" si="461"/>
        <v>0.86499999999999977</v>
      </c>
    </row>
    <row r="2242" spans="1:22" x14ac:dyDescent="0.25">
      <c r="A2242" t="s">
        <v>4198</v>
      </c>
      <c r="B2242">
        <v>0</v>
      </c>
      <c r="C2242">
        <v>35.950000000000003</v>
      </c>
      <c r="E2242" t="s">
        <v>4198</v>
      </c>
      <c r="F2242">
        <v>0.45</v>
      </c>
      <c r="G2242">
        <v>115.86</v>
      </c>
      <c r="I2242" t="str" cm="1">
        <f t="array" ref="I2242:J2242">_xlfn.TEXTSPLIT(A2242," ")</f>
        <v>28.10.2023</v>
      </c>
      <c r="J2242" t="str">
        <v>13:24:08</v>
      </c>
      <c r="K2242">
        <f t="shared" si="458"/>
        <v>37.316666666665832</v>
      </c>
      <c r="L2242">
        <f t="shared" si="455"/>
        <v>21.630000000000003</v>
      </c>
      <c r="M2242">
        <f t="shared" si="456"/>
        <v>0</v>
      </c>
      <c r="N2242">
        <f t="shared" si="460"/>
        <v>0.51250000000000007</v>
      </c>
      <c r="Q2242" t="str" cm="1">
        <f t="array" ref="Q2242:R2242">_xlfn.TEXTSPLIT(E2242," ")</f>
        <v>28.10.2023</v>
      </c>
      <c r="R2242" t="str">
        <v>13:24:08</v>
      </c>
      <c r="S2242">
        <f t="shared" si="459"/>
        <v>37.316666666665832</v>
      </c>
      <c r="T2242">
        <f t="shared" si="454"/>
        <v>37.260000000000005</v>
      </c>
      <c r="U2242">
        <f t="shared" si="457"/>
        <v>0.45</v>
      </c>
      <c r="V2242">
        <f t="shared" si="461"/>
        <v>0.86499999999999977</v>
      </c>
    </row>
    <row r="2243" spans="1:22" x14ac:dyDescent="0.25">
      <c r="A2243" t="s">
        <v>4199</v>
      </c>
      <c r="B2243">
        <v>0</v>
      </c>
      <c r="C2243">
        <v>35.950000000000003</v>
      </c>
      <c r="E2243" t="s">
        <v>4199</v>
      </c>
      <c r="F2243">
        <v>0.3</v>
      </c>
      <c r="G2243">
        <v>115.87</v>
      </c>
      <c r="I2243" t="str" cm="1">
        <f t="array" ref="I2243:J2243">_xlfn.TEXTSPLIT(A2243," ")</f>
        <v>28.10.2023</v>
      </c>
      <c r="J2243" t="str">
        <v>13:25:08</v>
      </c>
      <c r="K2243">
        <f t="shared" si="458"/>
        <v>37.333333333332497</v>
      </c>
      <c r="L2243">
        <f t="shared" si="455"/>
        <v>21.630000000000003</v>
      </c>
      <c r="M2243">
        <f t="shared" si="456"/>
        <v>0</v>
      </c>
      <c r="N2243">
        <f t="shared" si="460"/>
        <v>0.51250000000000007</v>
      </c>
      <c r="Q2243" t="str" cm="1">
        <f t="array" ref="Q2243:R2243">_xlfn.TEXTSPLIT(E2243," ")</f>
        <v>28.10.2023</v>
      </c>
      <c r="R2243" t="str">
        <v>13:25:08</v>
      </c>
      <c r="S2243">
        <f t="shared" si="459"/>
        <v>37.333333333332497</v>
      </c>
      <c r="T2243">
        <f t="shared" ref="T2243:T2306" si="462">G2243-78.6</f>
        <v>37.27000000000001</v>
      </c>
      <c r="U2243">
        <f t="shared" si="457"/>
        <v>0.3</v>
      </c>
      <c r="V2243">
        <f t="shared" si="461"/>
        <v>0.86499999999999966</v>
      </c>
    </row>
    <row r="2244" spans="1:22" x14ac:dyDescent="0.25">
      <c r="A2244" t="s">
        <v>4200</v>
      </c>
      <c r="B2244">
        <v>0</v>
      </c>
      <c r="C2244">
        <v>35.950000000000003</v>
      </c>
      <c r="E2244" t="s">
        <v>4200</v>
      </c>
      <c r="F2244">
        <v>0.6</v>
      </c>
      <c r="G2244">
        <v>115.88</v>
      </c>
      <c r="I2244" t="str" cm="1">
        <f t="array" ref="I2244:J2244">_xlfn.TEXTSPLIT(A2244," ")</f>
        <v>28.10.2023</v>
      </c>
      <c r="J2244" t="str">
        <v>13:26:08</v>
      </c>
      <c r="K2244">
        <f t="shared" si="458"/>
        <v>37.349999999999163</v>
      </c>
      <c r="L2244">
        <f t="shared" ref="L2244:L2307" si="463">C2244-14.32</f>
        <v>21.630000000000003</v>
      </c>
      <c r="M2244">
        <f t="shared" ref="M2244:M2307" si="464">B2244</f>
        <v>0</v>
      </c>
      <c r="N2244">
        <f t="shared" si="460"/>
        <v>0.51250000000000007</v>
      </c>
      <c r="Q2244" t="str" cm="1">
        <f t="array" ref="Q2244:R2244">_xlfn.TEXTSPLIT(E2244," ")</f>
        <v>28.10.2023</v>
      </c>
      <c r="R2244" t="str">
        <v>13:26:08</v>
      </c>
      <c r="S2244">
        <f t="shared" si="459"/>
        <v>37.349999999999163</v>
      </c>
      <c r="T2244">
        <f t="shared" si="462"/>
        <v>37.28</v>
      </c>
      <c r="U2244">
        <f t="shared" ref="U2244:U2307" si="465">F2244</f>
        <v>0.6</v>
      </c>
      <c r="V2244">
        <f t="shared" si="461"/>
        <v>0.86749999999999972</v>
      </c>
    </row>
    <row r="2245" spans="1:22" x14ac:dyDescent="0.25">
      <c r="A2245" t="s">
        <v>4201</v>
      </c>
      <c r="B2245">
        <v>0</v>
      </c>
      <c r="C2245">
        <v>35.950000000000003</v>
      </c>
      <c r="E2245" t="s">
        <v>4201</v>
      </c>
      <c r="F2245">
        <v>0.6</v>
      </c>
      <c r="G2245">
        <v>115.89</v>
      </c>
      <c r="I2245" t="str" cm="1">
        <f t="array" ref="I2245:J2245">_xlfn.TEXTSPLIT(A2245," ")</f>
        <v>28.10.2023</v>
      </c>
      <c r="J2245" t="str">
        <v>13:27:08</v>
      </c>
      <c r="K2245">
        <f t="shared" ref="K2245:K2308" si="466">1/60+K2244</f>
        <v>37.366666666665829</v>
      </c>
      <c r="L2245">
        <f t="shared" si="463"/>
        <v>21.630000000000003</v>
      </c>
      <c r="M2245">
        <f t="shared" si="464"/>
        <v>0</v>
      </c>
      <c r="N2245">
        <f t="shared" si="460"/>
        <v>0.51250000000000007</v>
      </c>
      <c r="Q2245" t="str" cm="1">
        <f t="array" ref="Q2245:R2245">_xlfn.TEXTSPLIT(E2245," ")</f>
        <v>28.10.2023</v>
      </c>
      <c r="R2245" t="str">
        <v>13:27:08</v>
      </c>
      <c r="S2245">
        <f t="shared" ref="S2245:S2308" si="467">1/60+S2244</f>
        <v>37.366666666665829</v>
      </c>
      <c r="T2245">
        <f t="shared" si="462"/>
        <v>37.290000000000006</v>
      </c>
      <c r="U2245">
        <f t="shared" si="465"/>
        <v>0.6</v>
      </c>
      <c r="V2245">
        <f t="shared" si="461"/>
        <v>0.86499999999999977</v>
      </c>
    </row>
    <row r="2246" spans="1:22" x14ac:dyDescent="0.25">
      <c r="A2246" t="s">
        <v>4202</v>
      </c>
      <c r="B2246">
        <v>0</v>
      </c>
      <c r="C2246">
        <v>35.950000000000003</v>
      </c>
      <c r="E2246" t="s">
        <v>4202</v>
      </c>
      <c r="F2246">
        <v>0.9</v>
      </c>
      <c r="G2246">
        <v>115.9</v>
      </c>
      <c r="I2246" t="str" cm="1">
        <f t="array" ref="I2246:J2246">_xlfn.TEXTSPLIT(A2246," ")</f>
        <v>28.10.2023</v>
      </c>
      <c r="J2246" t="str">
        <v>13:28:08</v>
      </c>
      <c r="K2246">
        <f t="shared" si="466"/>
        <v>37.383333333332494</v>
      </c>
      <c r="L2246">
        <f t="shared" si="463"/>
        <v>21.630000000000003</v>
      </c>
      <c r="M2246">
        <f t="shared" si="464"/>
        <v>0</v>
      </c>
      <c r="N2246">
        <f t="shared" si="460"/>
        <v>0.51250000000000007</v>
      </c>
      <c r="Q2246" t="str" cm="1">
        <f t="array" ref="Q2246:R2246">_xlfn.TEXTSPLIT(E2246," ")</f>
        <v>28.10.2023</v>
      </c>
      <c r="R2246" t="str">
        <v>13:28:08</v>
      </c>
      <c r="S2246">
        <f t="shared" si="467"/>
        <v>37.383333333332494</v>
      </c>
      <c r="T2246">
        <f t="shared" si="462"/>
        <v>37.300000000000011</v>
      </c>
      <c r="U2246">
        <f t="shared" si="465"/>
        <v>0.9</v>
      </c>
      <c r="V2246">
        <f t="shared" si="461"/>
        <v>0.86749999999999983</v>
      </c>
    </row>
    <row r="2247" spans="1:22" x14ac:dyDescent="0.25">
      <c r="A2247" t="s">
        <v>4203</v>
      </c>
      <c r="B2247">
        <v>0</v>
      </c>
      <c r="C2247">
        <v>35.950000000000003</v>
      </c>
      <c r="E2247" t="s">
        <v>4203</v>
      </c>
      <c r="F2247">
        <v>0.3</v>
      </c>
      <c r="G2247">
        <v>115.91</v>
      </c>
      <c r="I2247" t="str" cm="1">
        <f t="array" ref="I2247:J2247">_xlfn.TEXTSPLIT(A2247," ")</f>
        <v>28.10.2023</v>
      </c>
      <c r="J2247" t="str">
        <v>13:29:08</v>
      </c>
      <c r="K2247">
        <f t="shared" si="466"/>
        <v>37.39999999999916</v>
      </c>
      <c r="L2247">
        <f t="shared" si="463"/>
        <v>21.630000000000003</v>
      </c>
      <c r="M2247">
        <f t="shared" si="464"/>
        <v>0</v>
      </c>
      <c r="N2247">
        <f t="shared" si="460"/>
        <v>0.51250000000000007</v>
      </c>
      <c r="Q2247" t="str" cm="1">
        <f t="array" ref="Q2247:R2247">_xlfn.TEXTSPLIT(E2247," ")</f>
        <v>28.10.2023</v>
      </c>
      <c r="R2247" t="str">
        <v>13:29:08</v>
      </c>
      <c r="S2247">
        <f t="shared" si="467"/>
        <v>37.39999999999916</v>
      </c>
      <c r="T2247">
        <f t="shared" si="462"/>
        <v>37.31</v>
      </c>
      <c r="U2247">
        <f t="shared" si="465"/>
        <v>0.3</v>
      </c>
      <c r="V2247">
        <f t="shared" si="461"/>
        <v>0.85749999999999971</v>
      </c>
    </row>
    <row r="2248" spans="1:22" x14ac:dyDescent="0.25">
      <c r="A2248" t="s">
        <v>4204</v>
      </c>
      <c r="B2248">
        <v>0.15</v>
      </c>
      <c r="C2248">
        <v>35.950000000000003</v>
      </c>
      <c r="E2248" t="s">
        <v>4204</v>
      </c>
      <c r="F2248">
        <v>0.6</v>
      </c>
      <c r="G2248">
        <v>115.92</v>
      </c>
      <c r="I2248" t="str" cm="1">
        <f t="array" ref="I2248:J2248">_xlfn.TEXTSPLIT(A2248," ")</f>
        <v>28.10.2023</v>
      </c>
      <c r="J2248" t="str">
        <v>13:30:09</v>
      </c>
      <c r="K2248">
        <f t="shared" si="466"/>
        <v>37.416666666665826</v>
      </c>
      <c r="L2248">
        <f t="shared" si="463"/>
        <v>21.630000000000003</v>
      </c>
      <c r="M2248">
        <f t="shared" si="464"/>
        <v>0.15</v>
      </c>
      <c r="N2248">
        <f t="shared" si="460"/>
        <v>0.51500000000000001</v>
      </c>
      <c r="Q2248" t="str" cm="1">
        <f t="array" ref="Q2248:R2248">_xlfn.TEXTSPLIT(E2248," ")</f>
        <v>28.10.2023</v>
      </c>
      <c r="R2248" t="str">
        <v>13:30:09</v>
      </c>
      <c r="S2248">
        <f t="shared" si="467"/>
        <v>37.416666666665826</v>
      </c>
      <c r="T2248">
        <f t="shared" si="462"/>
        <v>37.320000000000007</v>
      </c>
      <c r="U2248">
        <f t="shared" si="465"/>
        <v>0.6</v>
      </c>
      <c r="V2248">
        <f t="shared" si="461"/>
        <v>0.85499999999999987</v>
      </c>
    </row>
    <row r="2249" spans="1:22" x14ac:dyDescent="0.25">
      <c r="A2249" t="s">
        <v>4205</v>
      </c>
      <c r="B2249">
        <v>0.15</v>
      </c>
      <c r="C2249">
        <v>35.96</v>
      </c>
      <c r="E2249" t="s">
        <v>4205</v>
      </c>
      <c r="F2249">
        <v>0.6</v>
      </c>
      <c r="G2249">
        <v>115.93</v>
      </c>
      <c r="I2249" t="str" cm="1">
        <f t="array" ref="I2249:J2249">_xlfn.TEXTSPLIT(A2249," ")</f>
        <v>28.10.2023</v>
      </c>
      <c r="J2249" t="str">
        <v>13:31:09</v>
      </c>
      <c r="K2249">
        <f t="shared" si="466"/>
        <v>37.433333333332492</v>
      </c>
      <c r="L2249">
        <f t="shared" si="463"/>
        <v>21.64</v>
      </c>
      <c r="M2249">
        <f t="shared" si="464"/>
        <v>0.15</v>
      </c>
      <c r="N2249">
        <f t="shared" si="460"/>
        <v>0.51500000000000001</v>
      </c>
      <c r="Q2249" t="str" cm="1">
        <f t="array" ref="Q2249:R2249">_xlfn.TEXTSPLIT(E2249," ")</f>
        <v>28.10.2023</v>
      </c>
      <c r="R2249" t="str">
        <v>13:31:09</v>
      </c>
      <c r="S2249">
        <f t="shared" si="467"/>
        <v>37.433333333332492</v>
      </c>
      <c r="T2249">
        <f t="shared" si="462"/>
        <v>37.330000000000013</v>
      </c>
      <c r="U2249">
        <f t="shared" si="465"/>
        <v>0.6</v>
      </c>
      <c r="V2249">
        <f t="shared" si="461"/>
        <v>0.85499999999999987</v>
      </c>
    </row>
    <row r="2250" spans="1:22" x14ac:dyDescent="0.25">
      <c r="A2250" t="s">
        <v>4206</v>
      </c>
      <c r="B2250">
        <v>0.45</v>
      </c>
      <c r="C2250">
        <v>35.96</v>
      </c>
      <c r="E2250" t="s">
        <v>4206</v>
      </c>
      <c r="F2250">
        <v>0.6</v>
      </c>
      <c r="G2250">
        <v>115.94</v>
      </c>
      <c r="I2250" t="str" cm="1">
        <f t="array" ref="I2250:J2250">_xlfn.TEXTSPLIT(A2250," ")</f>
        <v>28.10.2023</v>
      </c>
      <c r="J2250" t="str">
        <v>13:32:09</v>
      </c>
      <c r="K2250">
        <f t="shared" si="466"/>
        <v>37.449999999999157</v>
      </c>
      <c r="L2250">
        <f t="shared" si="463"/>
        <v>21.64</v>
      </c>
      <c r="M2250">
        <f t="shared" si="464"/>
        <v>0.45</v>
      </c>
      <c r="N2250">
        <f t="shared" si="460"/>
        <v>0.52</v>
      </c>
      <c r="Q2250" t="str" cm="1">
        <f t="array" ref="Q2250:R2250">_xlfn.TEXTSPLIT(E2250," ")</f>
        <v>28.10.2023</v>
      </c>
      <c r="R2250" t="str">
        <v>13:32:09</v>
      </c>
      <c r="S2250">
        <f t="shared" si="467"/>
        <v>37.449999999999157</v>
      </c>
      <c r="T2250">
        <f t="shared" si="462"/>
        <v>37.340000000000003</v>
      </c>
      <c r="U2250">
        <f t="shared" si="465"/>
        <v>0.6</v>
      </c>
      <c r="V2250">
        <f t="shared" si="461"/>
        <v>0.85499999999999987</v>
      </c>
    </row>
    <row r="2251" spans="1:22" x14ac:dyDescent="0.25">
      <c r="A2251" t="s">
        <v>4207</v>
      </c>
      <c r="B2251">
        <v>0.15</v>
      </c>
      <c r="C2251">
        <v>35.97</v>
      </c>
      <c r="E2251" t="s">
        <v>4207</v>
      </c>
      <c r="F2251">
        <v>0.6</v>
      </c>
      <c r="G2251">
        <v>115.95</v>
      </c>
      <c r="I2251" t="str" cm="1">
        <f t="array" ref="I2251:J2251">_xlfn.TEXTSPLIT(A2251," ")</f>
        <v>28.10.2023</v>
      </c>
      <c r="J2251" t="str">
        <v>13:33:09</v>
      </c>
      <c r="K2251">
        <f t="shared" si="466"/>
        <v>37.466666666665823</v>
      </c>
      <c r="L2251">
        <f t="shared" si="463"/>
        <v>21.65</v>
      </c>
      <c r="M2251">
        <f t="shared" si="464"/>
        <v>0.15</v>
      </c>
      <c r="N2251">
        <f t="shared" si="460"/>
        <v>0.51749999999999996</v>
      </c>
      <c r="Q2251" t="str" cm="1">
        <f t="array" ref="Q2251:R2251">_xlfn.TEXTSPLIT(E2251," ")</f>
        <v>28.10.2023</v>
      </c>
      <c r="R2251" t="str">
        <v>13:33:09</v>
      </c>
      <c r="S2251">
        <f t="shared" si="467"/>
        <v>37.466666666665823</v>
      </c>
      <c r="T2251">
        <f t="shared" si="462"/>
        <v>37.350000000000009</v>
      </c>
      <c r="U2251">
        <f t="shared" si="465"/>
        <v>0.6</v>
      </c>
      <c r="V2251">
        <f t="shared" si="461"/>
        <v>0.85499999999999998</v>
      </c>
    </row>
    <row r="2252" spans="1:22" x14ac:dyDescent="0.25">
      <c r="A2252" t="s">
        <v>4208</v>
      </c>
      <c r="B2252">
        <v>0.45</v>
      </c>
      <c r="C2252">
        <v>35.97</v>
      </c>
      <c r="E2252" t="s">
        <v>4208</v>
      </c>
      <c r="F2252">
        <v>0.6</v>
      </c>
      <c r="G2252">
        <v>115.96</v>
      </c>
      <c r="I2252" t="str" cm="1">
        <f t="array" ref="I2252:J2252">_xlfn.TEXTSPLIT(A2252," ")</f>
        <v>28.10.2023</v>
      </c>
      <c r="J2252" t="str">
        <v>13:34:09</v>
      </c>
      <c r="K2252">
        <f t="shared" si="466"/>
        <v>37.483333333332489</v>
      </c>
      <c r="L2252">
        <f t="shared" si="463"/>
        <v>21.65</v>
      </c>
      <c r="M2252">
        <f t="shared" si="464"/>
        <v>0.45</v>
      </c>
      <c r="N2252">
        <f t="shared" si="460"/>
        <v>0.51749999999999996</v>
      </c>
      <c r="Q2252" t="str" cm="1">
        <f t="array" ref="Q2252:R2252">_xlfn.TEXTSPLIT(E2252," ")</f>
        <v>28.10.2023</v>
      </c>
      <c r="R2252" t="str">
        <v>13:34:09</v>
      </c>
      <c r="S2252">
        <f t="shared" si="467"/>
        <v>37.483333333332489</v>
      </c>
      <c r="T2252">
        <f t="shared" si="462"/>
        <v>37.36</v>
      </c>
      <c r="U2252">
        <f t="shared" si="465"/>
        <v>0.6</v>
      </c>
      <c r="V2252">
        <f t="shared" si="461"/>
        <v>0.85249999999999992</v>
      </c>
    </row>
    <row r="2253" spans="1:22" x14ac:dyDescent="0.25">
      <c r="A2253" t="s">
        <v>4209</v>
      </c>
      <c r="B2253">
        <v>0.3</v>
      </c>
      <c r="C2253">
        <v>35.979999999999997</v>
      </c>
      <c r="E2253" t="s">
        <v>4209</v>
      </c>
      <c r="F2253">
        <v>1.05</v>
      </c>
      <c r="G2253">
        <v>115.99</v>
      </c>
      <c r="I2253" t="str" cm="1">
        <f t="array" ref="I2253:J2253">_xlfn.TEXTSPLIT(A2253," ")</f>
        <v>28.10.2023</v>
      </c>
      <c r="J2253" t="str">
        <v>13:35:09</v>
      </c>
      <c r="K2253">
        <f t="shared" si="466"/>
        <v>37.499999999999154</v>
      </c>
      <c r="L2253">
        <f t="shared" si="463"/>
        <v>21.659999999999997</v>
      </c>
      <c r="M2253">
        <f t="shared" si="464"/>
        <v>0.3</v>
      </c>
      <c r="N2253">
        <f t="shared" si="460"/>
        <v>0.51500000000000001</v>
      </c>
      <c r="Q2253" t="str" cm="1">
        <f t="array" ref="Q2253:R2253">_xlfn.TEXTSPLIT(E2253," ")</f>
        <v>28.10.2023</v>
      </c>
      <c r="R2253" t="str">
        <v>13:35:09</v>
      </c>
      <c r="S2253">
        <f t="shared" si="467"/>
        <v>37.499999999999154</v>
      </c>
      <c r="T2253">
        <f t="shared" si="462"/>
        <v>37.39</v>
      </c>
      <c r="U2253">
        <f t="shared" si="465"/>
        <v>1.05</v>
      </c>
      <c r="V2253">
        <f t="shared" si="461"/>
        <v>0.84999999999999987</v>
      </c>
    </row>
    <row r="2254" spans="1:22" x14ac:dyDescent="0.25">
      <c r="A2254" t="s">
        <v>4210</v>
      </c>
      <c r="B2254">
        <v>0.45</v>
      </c>
      <c r="C2254">
        <v>35.99</v>
      </c>
      <c r="E2254" t="s">
        <v>4210</v>
      </c>
      <c r="F2254">
        <v>3.15</v>
      </c>
      <c r="G2254">
        <v>116.03</v>
      </c>
      <c r="I2254" t="str" cm="1">
        <f t="array" ref="I2254:J2254">_xlfn.TEXTSPLIT(A2254," ")</f>
        <v>28.10.2023</v>
      </c>
      <c r="J2254" t="str">
        <v>13:36:09</v>
      </c>
      <c r="K2254">
        <f t="shared" si="466"/>
        <v>37.51666666666582</v>
      </c>
      <c r="L2254">
        <f t="shared" si="463"/>
        <v>21.67</v>
      </c>
      <c r="M2254">
        <f t="shared" si="464"/>
        <v>0.45</v>
      </c>
      <c r="N2254">
        <f t="shared" si="460"/>
        <v>0.51500000000000001</v>
      </c>
      <c r="Q2254" t="str" cm="1">
        <f t="array" ref="Q2254:R2254">_xlfn.TEXTSPLIT(E2254," ")</f>
        <v>28.10.2023</v>
      </c>
      <c r="R2254" t="str">
        <v>13:36:09</v>
      </c>
      <c r="S2254">
        <f t="shared" si="467"/>
        <v>37.51666666666582</v>
      </c>
      <c r="T2254">
        <f t="shared" si="462"/>
        <v>37.430000000000007</v>
      </c>
      <c r="U2254">
        <f t="shared" si="465"/>
        <v>3.15</v>
      </c>
      <c r="V2254">
        <f t="shared" si="461"/>
        <v>0.88249999999999995</v>
      </c>
    </row>
    <row r="2255" spans="1:22" x14ac:dyDescent="0.25">
      <c r="A2255" t="s">
        <v>4211</v>
      </c>
      <c r="B2255">
        <v>2.4</v>
      </c>
      <c r="C2255">
        <v>36.03</v>
      </c>
      <c r="E2255" t="s">
        <v>4211</v>
      </c>
      <c r="F2255">
        <v>2.1</v>
      </c>
      <c r="G2255">
        <v>116.06</v>
      </c>
      <c r="I2255" t="str" cm="1">
        <f t="array" ref="I2255:J2255">_xlfn.TEXTSPLIT(A2255," ")</f>
        <v>28.10.2023</v>
      </c>
      <c r="J2255" t="str">
        <v>13:37:10</v>
      </c>
      <c r="K2255">
        <f t="shared" si="466"/>
        <v>37.533333333332486</v>
      </c>
      <c r="L2255">
        <f t="shared" si="463"/>
        <v>21.71</v>
      </c>
      <c r="M2255">
        <f t="shared" si="464"/>
        <v>2.4</v>
      </c>
      <c r="N2255">
        <f t="shared" si="460"/>
        <v>0.51999999999999991</v>
      </c>
      <c r="Q2255" t="str" cm="1">
        <f t="array" ref="Q2255:R2255">_xlfn.TEXTSPLIT(E2255," ")</f>
        <v>28.10.2023</v>
      </c>
      <c r="R2255" t="str">
        <v>13:37:10</v>
      </c>
      <c r="S2255">
        <f t="shared" si="467"/>
        <v>37.533333333332486</v>
      </c>
      <c r="T2255">
        <f t="shared" si="462"/>
        <v>37.460000000000008</v>
      </c>
      <c r="U2255">
        <f t="shared" si="465"/>
        <v>2.1</v>
      </c>
      <c r="V2255">
        <f t="shared" si="461"/>
        <v>0.86749999999999994</v>
      </c>
    </row>
    <row r="2256" spans="1:22" x14ac:dyDescent="0.25">
      <c r="A2256" t="s">
        <v>4212</v>
      </c>
      <c r="B2256">
        <v>1.95</v>
      </c>
      <c r="C2256">
        <v>36.06</v>
      </c>
      <c r="E2256" t="s">
        <v>4212</v>
      </c>
      <c r="F2256">
        <v>1.2</v>
      </c>
      <c r="G2256">
        <v>116.09</v>
      </c>
      <c r="I2256" t="str" cm="1">
        <f t="array" ref="I2256:J2256">_xlfn.TEXTSPLIT(A2256," ")</f>
        <v>28.10.2023</v>
      </c>
      <c r="J2256" t="str">
        <v>13:38:10</v>
      </c>
      <c r="K2256">
        <f t="shared" si="466"/>
        <v>37.549999999999152</v>
      </c>
      <c r="L2256">
        <f t="shared" si="463"/>
        <v>21.740000000000002</v>
      </c>
      <c r="M2256">
        <f t="shared" si="464"/>
        <v>1.95</v>
      </c>
      <c r="N2256">
        <f t="shared" si="460"/>
        <v>0.51749999999999985</v>
      </c>
      <c r="Q2256" t="str" cm="1">
        <f t="array" ref="Q2256:R2256">_xlfn.TEXTSPLIT(E2256," ")</f>
        <v>28.10.2023</v>
      </c>
      <c r="R2256" t="str">
        <v>13:38:10</v>
      </c>
      <c r="S2256">
        <f t="shared" si="467"/>
        <v>37.549999999999152</v>
      </c>
      <c r="T2256">
        <f t="shared" si="462"/>
        <v>37.490000000000009</v>
      </c>
      <c r="U2256">
        <f t="shared" si="465"/>
        <v>1.2</v>
      </c>
      <c r="V2256">
        <f t="shared" si="461"/>
        <v>0.86249999999999993</v>
      </c>
    </row>
    <row r="2257" spans="1:22" x14ac:dyDescent="0.25">
      <c r="A2257" t="s">
        <v>4213</v>
      </c>
      <c r="B2257">
        <v>1.2</v>
      </c>
      <c r="C2257">
        <v>36.08</v>
      </c>
      <c r="E2257" t="s">
        <v>4213</v>
      </c>
      <c r="F2257">
        <v>1.35</v>
      </c>
      <c r="G2257">
        <v>116.11</v>
      </c>
      <c r="I2257" t="str" cm="1">
        <f t="array" ref="I2257:J2257">_xlfn.TEXTSPLIT(A2257," ")</f>
        <v>28.10.2023</v>
      </c>
      <c r="J2257" t="str">
        <v>13:39:10</v>
      </c>
      <c r="K2257">
        <f t="shared" si="466"/>
        <v>37.566666666665817</v>
      </c>
      <c r="L2257">
        <f t="shared" si="463"/>
        <v>21.759999999999998</v>
      </c>
      <c r="M2257">
        <f t="shared" si="464"/>
        <v>1.2</v>
      </c>
      <c r="N2257">
        <f t="shared" si="460"/>
        <v>0.50249999999999995</v>
      </c>
      <c r="Q2257" t="str" cm="1">
        <f t="array" ref="Q2257:R2257">_xlfn.TEXTSPLIT(E2257," ")</f>
        <v>28.10.2023</v>
      </c>
      <c r="R2257" t="str">
        <v>13:39:10</v>
      </c>
      <c r="S2257">
        <f t="shared" si="467"/>
        <v>37.566666666665817</v>
      </c>
      <c r="T2257">
        <f t="shared" si="462"/>
        <v>37.510000000000005</v>
      </c>
      <c r="U2257">
        <f t="shared" si="465"/>
        <v>1.35</v>
      </c>
      <c r="V2257">
        <f t="shared" si="461"/>
        <v>0.86250000000000004</v>
      </c>
    </row>
    <row r="2258" spans="1:22" x14ac:dyDescent="0.25">
      <c r="A2258" t="s">
        <v>4214</v>
      </c>
      <c r="B2258">
        <v>1.05</v>
      </c>
      <c r="C2258">
        <v>36.1</v>
      </c>
      <c r="E2258" t="s">
        <v>4214</v>
      </c>
      <c r="F2258">
        <v>1.5</v>
      </c>
      <c r="G2258">
        <v>116.14</v>
      </c>
      <c r="I2258" t="str" cm="1">
        <f t="array" ref="I2258:J2258">_xlfn.TEXTSPLIT(A2258," ")</f>
        <v>28.10.2023</v>
      </c>
      <c r="J2258" t="str">
        <v>13:40:10</v>
      </c>
      <c r="K2258">
        <f t="shared" si="466"/>
        <v>37.583333333332483</v>
      </c>
      <c r="L2258">
        <f t="shared" si="463"/>
        <v>21.78</v>
      </c>
      <c r="M2258">
        <f t="shared" si="464"/>
        <v>1.05</v>
      </c>
      <c r="N2258">
        <f t="shared" si="460"/>
        <v>0.50249999999999995</v>
      </c>
      <c r="Q2258" t="str" cm="1">
        <f t="array" ref="Q2258:R2258">_xlfn.TEXTSPLIT(E2258," ")</f>
        <v>28.10.2023</v>
      </c>
      <c r="R2258" t="str">
        <v>13:40:10</v>
      </c>
      <c r="S2258">
        <f t="shared" si="467"/>
        <v>37.583333333332483</v>
      </c>
      <c r="T2258">
        <f t="shared" si="462"/>
        <v>37.540000000000006</v>
      </c>
      <c r="U2258">
        <f t="shared" si="465"/>
        <v>1.5</v>
      </c>
      <c r="V2258">
        <f t="shared" si="461"/>
        <v>0.86</v>
      </c>
    </row>
    <row r="2259" spans="1:22" x14ac:dyDescent="0.25">
      <c r="A2259" t="s">
        <v>4215</v>
      </c>
      <c r="B2259">
        <v>1.05</v>
      </c>
      <c r="C2259">
        <v>36.11</v>
      </c>
      <c r="E2259" t="s">
        <v>4215</v>
      </c>
      <c r="F2259">
        <v>1.05</v>
      </c>
      <c r="G2259">
        <v>116.15</v>
      </c>
      <c r="I2259" t="str" cm="1">
        <f t="array" ref="I2259:J2259">_xlfn.TEXTSPLIT(A2259," ")</f>
        <v>28.10.2023</v>
      </c>
      <c r="J2259" t="str">
        <v>13:41:10</v>
      </c>
      <c r="K2259">
        <f t="shared" si="466"/>
        <v>37.599999999999149</v>
      </c>
      <c r="L2259">
        <f t="shared" si="463"/>
        <v>21.79</v>
      </c>
      <c r="M2259">
        <f t="shared" si="464"/>
        <v>1.05</v>
      </c>
      <c r="N2259">
        <f t="shared" si="460"/>
        <v>0.50249999999999995</v>
      </c>
      <c r="Q2259" t="str" cm="1">
        <f t="array" ref="Q2259:R2259">_xlfn.TEXTSPLIT(E2259," ")</f>
        <v>28.10.2023</v>
      </c>
      <c r="R2259" t="str">
        <v>13:41:10</v>
      </c>
      <c r="S2259">
        <f t="shared" si="467"/>
        <v>37.599999999999149</v>
      </c>
      <c r="T2259">
        <f t="shared" si="462"/>
        <v>37.550000000000011</v>
      </c>
      <c r="U2259">
        <f t="shared" si="465"/>
        <v>1.05</v>
      </c>
      <c r="V2259">
        <f t="shared" si="461"/>
        <v>0.84999999999999987</v>
      </c>
    </row>
    <row r="2260" spans="1:22" x14ac:dyDescent="0.25">
      <c r="A2260" t="s">
        <v>4216</v>
      </c>
      <c r="B2260">
        <v>0.6</v>
      </c>
      <c r="C2260">
        <v>36.130000000000003</v>
      </c>
      <c r="E2260" t="s">
        <v>4216</v>
      </c>
      <c r="F2260">
        <v>0.9</v>
      </c>
      <c r="G2260">
        <v>116.17</v>
      </c>
      <c r="I2260" t="str" cm="1">
        <f t="array" ref="I2260:J2260">_xlfn.TEXTSPLIT(A2260," ")</f>
        <v>28.10.2023</v>
      </c>
      <c r="J2260" t="str">
        <v>13:42:10</v>
      </c>
      <c r="K2260">
        <f t="shared" si="466"/>
        <v>37.616666666665814</v>
      </c>
      <c r="L2260">
        <f t="shared" si="463"/>
        <v>21.810000000000002</v>
      </c>
      <c r="M2260">
        <f t="shared" si="464"/>
        <v>0.6</v>
      </c>
      <c r="N2260">
        <f t="shared" si="460"/>
        <v>0.49749999999999989</v>
      </c>
      <c r="Q2260" t="str" cm="1">
        <f t="array" ref="Q2260:R2260">_xlfn.TEXTSPLIT(E2260," ")</f>
        <v>28.10.2023</v>
      </c>
      <c r="R2260" t="str">
        <v>13:42:10</v>
      </c>
      <c r="S2260">
        <f t="shared" si="467"/>
        <v>37.616666666665814</v>
      </c>
      <c r="T2260">
        <f t="shared" si="462"/>
        <v>37.570000000000007</v>
      </c>
      <c r="U2260">
        <f t="shared" si="465"/>
        <v>0.9</v>
      </c>
      <c r="V2260">
        <f t="shared" si="461"/>
        <v>0.84999999999999987</v>
      </c>
    </row>
    <row r="2261" spans="1:22" x14ac:dyDescent="0.25">
      <c r="A2261" t="s">
        <v>4217</v>
      </c>
      <c r="B2261">
        <v>0.9</v>
      </c>
      <c r="C2261">
        <v>36.14</v>
      </c>
      <c r="E2261" t="s">
        <v>4217</v>
      </c>
      <c r="F2261">
        <v>0.75</v>
      </c>
      <c r="G2261">
        <v>116.18</v>
      </c>
      <c r="I2261" t="str" cm="1">
        <f t="array" ref="I2261:J2261">_xlfn.TEXTSPLIT(A2261," ")</f>
        <v>28.10.2023</v>
      </c>
      <c r="J2261" t="str">
        <v>13:43:11</v>
      </c>
      <c r="K2261">
        <f t="shared" si="466"/>
        <v>37.63333333333248</v>
      </c>
      <c r="L2261">
        <f t="shared" si="463"/>
        <v>21.82</v>
      </c>
      <c r="M2261">
        <f t="shared" si="464"/>
        <v>0.9</v>
      </c>
      <c r="N2261">
        <f t="shared" si="460"/>
        <v>0.50249999999999995</v>
      </c>
      <c r="Q2261" t="str" cm="1">
        <f t="array" ref="Q2261:R2261">_xlfn.TEXTSPLIT(E2261," ")</f>
        <v>28.10.2023</v>
      </c>
      <c r="R2261" t="str">
        <v>13:43:11</v>
      </c>
      <c r="S2261">
        <f t="shared" si="467"/>
        <v>37.63333333333248</v>
      </c>
      <c r="T2261">
        <f t="shared" si="462"/>
        <v>37.580000000000013</v>
      </c>
      <c r="U2261">
        <f t="shared" si="465"/>
        <v>0.75</v>
      </c>
      <c r="V2261">
        <f t="shared" si="461"/>
        <v>0.84999999999999987</v>
      </c>
    </row>
    <row r="2262" spans="1:22" x14ac:dyDescent="0.25">
      <c r="A2262" t="s">
        <v>4218</v>
      </c>
      <c r="B2262">
        <v>0.6</v>
      </c>
      <c r="C2262">
        <v>36.15</v>
      </c>
      <c r="E2262" t="s">
        <v>4218</v>
      </c>
      <c r="F2262">
        <v>0.6</v>
      </c>
      <c r="G2262">
        <v>116.19</v>
      </c>
      <c r="I2262" t="str" cm="1">
        <f t="array" ref="I2262:J2262">_xlfn.TEXTSPLIT(A2262," ")</f>
        <v>28.10.2023</v>
      </c>
      <c r="J2262" t="str">
        <v>13:44:11</v>
      </c>
      <c r="K2262">
        <f t="shared" si="466"/>
        <v>37.649999999999146</v>
      </c>
      <c r="L2262">
        <f t="shared" si="463"/>
        <v>21.83</v>
      </c>
      <c r="M2262">
        <f t="shared" si="464"/>
        <v>0.6</v>
      </c>
      <c r="N2262">
        <f t="shared" si="460"/>
        <v>0.49999999999999989</v>
      </c>
      <c r="Q2262" t="str" cm="1">
        <f t="array" ref="Q2262:R2262">_xlfn.TEXTSPLIT(E2262," ")</f>
        <v>28.10.2023</v>
      </c>
      <c r="R2262" t="str">
        <v>13:44:11</v>
      </c>
      <c r="S2262">
        <f t="shared" si="467"/>
        <v>37.649999999999146</v>
      </c>
      <c r="T2262">
        <f t="shared" si="462"/>
        <v>37.590000000000003</v>
      </c>
      <c r="U2262">
        <f t="shared" si="465"/>
        <v>0.6</v>
      </c>
      <c r="V2262">
        <f t="shared" si="461"/>
        <v>0.84750000000000003</v>
      </c>
    </row>
    <row r="2263" spans="1:22" x14ac:dyDescent="0.25">
      <c r="A2263" t="s">
        <v>4219</v>
      </c>
      <c r="B2263">
        <v>0.6</v>
      </c>
      <c r="C2263">
        <v>36.159999999999997</v>
      </c>
      <c r="E2263" t="s">
        <v>4219</v>
      </c>
      <c r="F2263">
        <v>0.45</v>
      </c>
      <c r="G2263">
        <v>116.2</v>
      </c>
      <c r="I2263" t="str" cm="1">
        <f t="array" ref="I2263:J2263">_xlfn.TEXTSPLIT(A2263," ")</f>
        <v>28.10.2023</v>
      </c>
      <c r="J2263" t="str">
        <v>13:45:11</v>
      </c>
      <c r="K2263">
        <f t="shared" si="466"/>
        <v>37.666666666665812</v>
      </c>
      <c r="L2263">
        <f t="shared" si="463"/>
        <v>21.839999999999996</v>
      </c>
      <c r="M2263">
        <f t="shared" si="464"/>
        <v>0.6</v>
      </c>
      <c r="N2263">
        <f t="shared" si="460"/>
        <v>0.49749999999999989</v>
      </c>
      <c r="Q2263" t="str" cm="1">
        <f t="array" ref="Q2263:R2263">_xlfn.TEXTSPLIT(E2263," ")</f>
        <v>28.10.2023</v>
      </c>
      <c r="R2263" t="str">
        <v>13:45:11</v>
      </c>
      <c r="S2263">
        <f t="shared" si="467"/>
        <v>37.666666666665812</v>
      </c>
      <c r="T2263">
        <f t="shared" si="462"/>
        <v>37.600000000000009</v>
      </c>
      <c r="U2263">
        <f t="shared" si="465"/>
        <v>0.45</v>
      </c>
      <c r="V2263">
        <f t="shared" si="461"/>
        <v>0.84249999999999992</v>
      </c>
    </row>
    <row r="2264" spans="1:22" x14ac:dyDescent="0.25">
      <c r="A2264" t="s">
        <v>4220</v>
      </c>
      <c r="B2264">
        <v>0.45</v>
      </c>
      <c r="C2264">
        <v>36.17</v>
      </c>
      <c r="E2264" t="s">
        <v>4220</v>
      </c>
      <c r="F2264">
        <v>0.75</v>
      </c>
      <c r="G2264">
        <v>116.21</v>
      </c>
      <c r="I2264" t="str" cm="1">
        <f t="array" ref="I2264:J2264">_xlfn.TEXTSPLIT(A2264," ")</f>
        <v>28.10.2023</v>
      </c>
      <c r="J2264" t="str">
        <v>13:46:11</v>
      </c>
      <c r="K2264">
        <f t="shared" si="466"/>
        <v>37.683333333332477</v>
      </c>
      <c r="L2264">
        <f t="shared" si="463"/>
        <v>21.85</v>
      </c>
      <c r="M2264">
        <f t="shared" si="464"/>
        <v>0.45</v>
      </c>
      <c r="N2264">
        <f t="shared" si="460"/>
        <v>0.49749999999999989</v>
      </c>
      <c r="Q2264" t="str" cm="1">
        <f t="array" ref="Q2264:R2264">_xlfn.TEXTSPLIT(E2264," ")</f>
        <v>28.10.2023</v>
      </c>
      <c r="R2264" t="str">
        <v>13:46:11</v>
      </c>
      <c r="S2264">
        <f t="shared" si="467"/>
        <v>37.683333333332477</v>
      </c>
      <c r="T2264">
        <f t="shared" si="462"/>
        <v>37.61</v>
      </c>
      <c r="U2264">
        <f t="shared" si="465"/>
        <v>0.75</v>
      </c>
      <c r="V2264">
        <f t="shared" si="461"/>
        <v>0.84250000000000003</v>
      </c>
    </row>
    <row r="2265" spans="1:22" x14ac:dyDescent="0.25">
      <c r="A2265" t="s">
        <v>4221</v>
      </c>
      <c r="B2265">
        <v>0.45</v>
      </c>
      <c r="C2265">
        <v>36.18</v>
      </c>
      <c r="E2265" t="s">
        <v>4221</v>
      </c>
      <c r="F2265">
        <v>1.05</v>
      </c>
      <c r="G2265">
        <v>116.23</v>
      </c>
      <c r="I2265" t="str" cm="1">
        <f t="array" ref="I2265:J2265">_xlfn.TEXTSPLIT(A2265," ")</f>
        <v>28.10.2023</v>
      </c>
      <c r="J2265" t="str">
        <v>13:47:11</v>
      </c>
      <c r="K2265">
        <f t="shared" si="466"/>
        <v>37.699999999999143</v>
      </c>
      <c r="L2265">
        <f t="shared" si="463"/>
        <v>21.86</v>
      </c>
      <c r="M2265">
        <f t="shared" si="464"/>
        <v>0.45</v>
      </c>
      <c r="N2265">
        <f t="shared" si="460"/>
        <v>0.49749999999999989</v>
      </c>
      <c r="Q2265" t="str" cm="1">
        <f t="array" ref="Q2265:R2265">_xlfn.TEXTSPLIT(E2265," ")</f>
        <v>28.10.2023</v>
      </c>
      <c r="R2265" t="str">
        <v>13:47:11</v>
      </c>
      <c r="S2265">
        <f t="shared" si="467"/>
        <v>37.699999999999143</v>
      </c>
      <c r="T2265">
        <f t="shared" si="462"/>
        <v>37.63000000000001</v>
      </c>
      <c r="U2265">
        <f t="shared" si="465"/>
        <v>1.05</v>
      </c>
      <c r="V2265">
        <f t="shared" si="461"/>
        <v>0.84500000000000008</v>
      </c>
    </row>
    <row r="2266" spans="1:22" x14ac:dyDescent="0.25">
      <c r="A2266" t="s">
        <v>4222</v>
      </c>
      <c r="B2266">
        <v>0.45</v>
      </c>
      <c r="C2266">
        <v>36.18</v>
      </c>
      <c r="E2266" t="s">
        <v>4222</v>
      </c>
      <c r="F2266">
        <v>1.2</v>
      </c>
      <c r="G2266">
        <v>116.25</v>
      </c>
      <c r="I2266" t="str" cm="1">
        <f t="array" ref="I2266:J2266">_xlfn.TEXTSPLIT(A2266," ")</f>
        <v>28.10.2023</v>
      </c>
      <c r="J2266" t="str">
        <v>13:48:11</v>
      </c>
      <c r="K2266">
        <f t="shared" si="466"/>
        <v>37.716666666665809</v>
      </c>
      <c r="L2266">
        <f t="shared" si="463"/>
        <v>21.86</v>
      </c>
      <c r="M2266">
        <f t="shared" si="464"/>
        <v>0.45</v>
      </c>
      <c r="N2266">
        <f t="shared" si="460"/>
        <v>0.49749999999999983</v>
      </c>
      <c r="Q2266" t="str" cm="1">
        <f t="array" ref="Q2266:R2266">_xlfn.TEXTSPLIT(E2266," ")</f>
        <v>28.10.2023</v>
      </c>
      <c r="R2266" t="str">
        <v>13:48:11</v>
      </c>
      <c r="S2266">
        <f t="shared" si="467"/>
        <v>37.716666666665809</v>
      </c>
      <c r="T2266">
        <f t="shared" si="462"/>
        <v>37.650000000000006</v>
      </c>
      <c r="U2266">
        <f t="shared" si="465"/>
        <v>1.2</v>
      </c>
      <c r="V2266">
        <f t="shared" si="461"/>
        <v>0.84750000000000014</v>
      </c>
    </row>
    <row r="2267" spans="1:22" x14ac:dyDescent="0.25">
      <c r="A2267" t="s">
        <v>4223</v>
      </c>
      <c r="B2267">
        <v>0.45</v>
      </c>
      <c r="C2267">
        <v>36.19</v>
      </c>
      <c r="E2267" t="s">
        <v>4223</v>
      </c>
      <c r="F2267">
        <v>1.2</v>
      </c>
      <c r="G2267">
        <v>116.27</v>
      </c>
      <c r="I2267" t="str" cm="1">
        <f t="array" ref="I2267:J2267">_xlfn.TEXTSPLIT(A2267," ")</f>
        <v>28.10.2023</v>
      </c>
      <c r="J2267" t="str">
        <v>13:49:11</v>
      </c>
      <c r="K2267">
        <f t="shared" si="466"/>
        <v>37.733333333332475</v>
      </c>
      <c r="L2267">
        <f t="shared" si="463"/>
        <v>21.869999999999997</v>
      </c>
      <c r="M2267">
        <f t="shared" si="464"/>
        <v>0.45</v>
      </c>
      <c r="N2267">
        <f t="shared" si="460"/>
        <v>0.49499999999999994</v>
      </c>
      <c r="Q2267" t="str" cm="1">
        <f t="array" ref="Q2267:R2267">_xlfn.TEXTSPLIT(E2267," ")</f>
        <v>28.10.2023</v>
      </c>
      <c r="R2267" t="str">
        <v>13:49:11</v>
      </c>
      <c r="S2267">
        <f t="shared" si="467"/>
        <v>37.733333333332475</v>
      </c>
      <c r="T2267">
        <f t="shared" si="462"/>
        <v>37.67</v>
      </c>
      <c r="U2267">
        <f t="shared" si="465"/>
        <v>1.2</v>
      </c>
      <c r="V2267">
        <f t="shared" si="461"/>
        <v>0.8500000000000002</v>
      </c>
    </row>
    <row r="2268" spans="1:22" x14ac:dyDescent="0.25">
      <c r="A2268" t="s">
        <v>4224</v>
      </c>
      <c r="B2268">
        <v>0.3</v>
      </c>
      <c r="C2268">
        <v>36.200000000000003</v>
      </c>
      <c r="E2268" t="s">
        <v>4224</v>
      </c>
      <c r="F2268">
        <v>0.6</v>
      </c>
      <c r="G2268">
        <v>116.27</v>
      </c>
      <c r="I2268" t="str" cm="1">
        <f t="array" ref="I2268:J2268">_xlfn.TEXTSPLIT(A2268," ")</f>
        <v>28.10.2023</v>
      </c>
      <c r="J2268" t="str">
        <v>13:50:12</v>
      </c>
      <c r="K2268">
        <f t="shared" si="466"/>
        <v>37.74999999999914</v>
      </c>
      <c r="L2268">
        <f t="shared" si="463"/>
        <v>21.880000000000003</v>
      </c>
      <c r="M2268">
        <f t="shared" si="464"/>
        <v>0.3</v>
      </c>
      <c r="N2268">
        <f t="shared" si="460"/>
        <v>0.49499999999999994</v>
      </c>
      <c r="Q2268" t="str" cm="1">
        <f t="array" ref="Q2268:R2268">_xlfn.TEXTSPLIT(E2268," ")</f>
        <v>28.10.2023</v>
      </c>
      <c r="R2268" t="str">
        <v>13:50:12</v>
      </c>
      <c r="S2268">
        <f t="shared" si="467"/>
        <v>37.74999999999914</v>
      </c>
      <c r="T2268">
        <f t="shared" si="462"/>
        <v>37.67</v>
      </c>
      <c r="U2268">
        <f t="shared" si="465"/>
        <v>0.6</v>
      </c>
      <c r="V2268">
        <f t="shared" si="461"/>
        <v>0.8550000000000002</v>
      </c>
    </row>
    <row r="2269" spans="1:22" x14ac:dyDescent="0.25">
      <c r="A2269" t="s">
        <v>4225</v>
      </c>
      <c r="B2269">
        <v>0.45</v>
      </c>
      <c r="C2269">
        <v>36.200000000000003</v>
      </c>
      <c r="E2269" t="s">
        <v>4225</v>
      </c>
      <c r="F2269">
        <v>0</v>
      </c>
      <c r="G2269">
        <v>116.27</v>
      </c>
      <c r="I2269" t="str" cm="1">
        <f t="array" ref="I2269:J2269">_xlfn.TEXTSPLIT(A2269," ")</f>
        <v>28.10.2023</v>
      </c>
      <c r="J2269" t="str">
        <v>13:51:12</v>
      </c>
      <c r="K2269">
        <f t="shared" si="466"/>
        <v>37.766666666665806</v>
      </c>
      <c r="L2269">
        <f t="shared" si="463"/>
        <v>21.880000000000003</v>
      </c>
      <c r="M2269">
        <f t="shared" si="464"/>
        <v>0.45</v>
      </c>
      <c r="N2269">
        <f t="shared" si="460"/>
        <v>0.495</v>
      </c>
      <c r="Q2269" t="str" cm="1">
        <f t="array" ref="Q2269:R2269">_xlfn.TEXTSPLIT(E2269," ")</f>
        <v>28.10.2023</v>
      </c>
      <c r="R2269" t="str">
        <v>13:51:12</v>
      </c>
      <c r="S2269">
        <f t="shared" si="467"/>
        <v>37.766666666665806</v>
      </c>
      <c r="T2269">
        <f t="shared" si="462"/>
        <v>37.67</v>
      </c>
      <c r="U2269">
        <f t="shared" si="465"/>
        <v>0</v>
      </c>
      <c r="V2269">
        <f t="shared" si="461"/>
        <v>0.8550000000000002</v>
      </c>
    </row>
    <row r="2270" spans="1:22" x14ac:dyDescent="0.25">
      <c r="A2270" t="s">
        <v>4226</v>
      </c>
      <c r="B2270">
        <v>0.15</v>
      </c>
      <c r="C2270">
        <v>36.200000000000003</v>
      </c>
      <c r="E2270" t="s">
        <v>4226</v>
      </c>
      <c r="F2270">
        <v>0.15</v>
      </c>
      <c r="G2270">
        <v>116.28</v>
      </c>
      <c r="I2270" t="str" cm="1">
        <f t="array" ref="I2270:J2270">_xlfn.TEXTSPLIT(A2270," ")</f>
        <v>28.10.2023</v>
      </c>
      <c r="J2270" t="str">
        <v>13:52:12</v>
      </c>
      <c r="K2270">
        <f t="shared" si="466"/>
        <v>37.783333333332472</v>
      </c>
      <c r="L2270">
        <f t="shared" si="463"/>
        <v>21.880000000000003</v>
      </c>
      <c r="M2270">
        <f t="shared" si="464"/>
        <v>0.15</v>
      </c>
      <c r="N2270">
        <f t="shared" si="460"/>
        <v>0.49499999999999994</v>
      </c>
      <c r="Q2270" t="str" cm="1">
        <f t="array" ref="Q2270:R2270">_xlfn.TEXTSPLIT(E2270," ")</f>
        <v>28.10.2023</v>
      </c>
      <c r="R2270" t="str">
        <v>13:52:12</v>
      </c>
      <c r="S2270">
        <f t="shared" si="467"/>
        <v>37.783333333332472</v>
      </c>
      <c r="T2270">
        <f t="shared" si="462"/>
        <v>37.680000000000007</v>
      </c>
      <c r="U2270">
        <f t="shared" si="465"/>
        <v>0.15</v>
      </c>
      <c r="V2270">
        <f t="shared" si="461"/>
        <v>0.8550000000000002</v>
      </c>
    </row>
    <row r="2271" spans="1:22" x14ac:dyDescent="0.25">
      <c r="A2271" t="s">
        <v>4227</v>
      </c>
      <c r="B2271">
        <v>0</v>
      </c>
      <c r="C2271">
        <v>36.200000000000003</v>
      </c>
      <c r="E2271" t="s">
        <v>4227</v>
      </c>
      <c r="F2271">
        <v>0.3</v>
      </c>
      <c r="G2271">
        <v>116.28</v>
      </c>
      <c r="I2271" t="str" cm="1">
        <f t="array" ref="I2271:J2271">_xlfn.TEXTSPLIT(A2271," ")</f>
        <v>28.10.2023</v>
      </c>
      <c r="J2271" t="str">
        <v>13:53:12</v>
      </c>
      <c r="K2271">
        <f t="shared" si="466"/>
        <v>37.799999999999137</v>
      </c>
      <c r="L2271">
        <f t="shared" si="463"/>
        <v>21.880000000000003</v>
      </c>
      <c r="M2271">
        <f t="shared" si="464"/>
        <v>0</v>
      </c>
      <c r="N2271">
        <f t="shared" si="460"/>
        <v>0.49499999999999994</v>
      </c>
      <c r="Q2271" t="str" cm="1">
        <f t="array" ref="Q2271:R2271">_xlfn.TEXTSPLIT(E2271," ")</f>
        <v>28.10.2023</v>
      </c>
      <c r="R2271" t="str">
        <v>13:53:12</v>
      </c>
      <c r="S2271">
        <f t="shared" si="467"/>
        <v>37.799999999999137</v>
      </c>
      <c r="T2271">
        <f t="shared" si="462"/>
        <v>37.680000000000007</v>
      </c>
      <c r="U2271">
        <f t="shared" si="465"/>
        <v>0.3</v>
      </c>
      <c r="V2271">
        <f t="shared" si="461"/>
        <v>0.8600000000000001</v>
      </c>
    </row>
    <row r="2272" spans="1:22" x14ac:dyDescent="0.25">
      <c r="A2272" t="s">
        <v>4228</v>
      </c>
      <c r="B2272">
        <v>0</v>
      </c>
      <c r="C2272">
        <v>36.200000000000003</v>
      </c>
      <c r="E2272" t="s">
        <v>4228</v>
      </c>
      <c r="F2272">
        <v>0.3</v>
      </c>
      <c r="G2272">
        <v>116.29</v>
      </c>
      <c r="I2272" t="str" cm="1">
        <f t="array" ref="I2272:J2272">_xlfn.TEXTSPLIT(A2272," ")</f>
        <v>28.10.2023</v>
      </c>
      <c r="J2272" t="str">
        <v>13:54:12</v>
      </c>
      <c r="K2272">
        <f t="shared" si="466"/>
        <v>37.816666666665803</v>
      </c>
      <c r="L2272">
        <f t="shared" si="463"/>
        <v>21.880000000000003</v>
      </c>
      <c r="M2272">
        <f t="shared" si="464"/>
        <v>0</v>
      </c>
      <c r="N2272">
        <f t="shared" si="460"/>
        <v>0.49499999999999994</v>
      </c>
      <c r="Q2272" t="str" cm="1">
        <f t="array" ref="Q2272:R2272">_xlfn.TEXTSPLIT(E2272," ")</f>
        <v>28.10.2023</v>
      </c>
      <c r="R2272" t="str">
        <v>13:54:12</v>
      </c>
      <c r="S2272">
        <f t="shared" si="467"/>
        <v>37.816666666665803</v>
      </c>
      <c r="T2272">
        <f t="shared" si="462"/>
        <v>37.690000000000012</v>
      </c>
      <c r="U2272">
        <f t="shared" si="465"/>
        <v>0.3</v>
      </c>
      <c r="V2272">
        <f t="shared" si="461"/>
        <v>0.8550000000000002</v>
      </c>
    </row>
    <row r="2273" spans="1:22" x14ac:dyDescent="0.25">
      <c r="A2273" t="s">
        <v>4229</v>
      </c>
      <c r="B2273">
        <v>0</v>
      </c>
      <c r="C2273">
        <v>36.200000000000003</v>
      </c>
      <c r="E2273" t="s">
        <v>4229</v>
      </c>
      <c r="F2273">
        <v>0.3</v>
      </c>
      <c r="G2273">
        <v>116.29</v>
      </c>
      <c r="I2273" t="str" cm="1">
        <f t="array" ref="I2273:J2273">_xlfn.TEXTSPLIT(A2273," ")</f>
        <v>28.10.2023</v>
      </c>
      <c r="J2273" t="str">
        <v>13:55:12</v>
      </c>
      <c r="K2273">
        <f t="shared" si="466"/>
        <v>37.833333333332469</v>
      </c>
      <c r="L2273">
        <f t="shared" si="463"/>
        <v>21.880000000000003</v>
      </c>
      <c r="M2273">
        <f t="shared" si="464"/>
        <v>0</v>
      </c>
      <c r="N2273">
        <f t="shared" si="460"/>
        <v>0.49499999999999994</v>
      </c>
      <c r="Q2273" t="str" cm="1">
        <f t="array" ref="Q2273:R2273">_xlfn.TEXTSPLIT(E2273," ")</f>
        <v>28.10.2023</v>
      </c>
      <c r="R2273" t="str">
        <v>13:55:12</v>
      </c>
      <c r="S2273">
        <f t="shared" si="467"/>
        <v>37.833333333332469</v>
      </c>
      <c r="T2273">
        <f t="shared" si="462"/>
        <v>37.690000000000012</v>
      </c>
      <c r="U2273">
        <f t="shared" si="465"/>
        <v>0.3</v>
      </c>
      <c r="V2273">
        <f t="shared" si="461"/>
        <v>0.8550000000000002</v>
      </c>
    </row>
    <row r="2274" spans="1:22" x14ac:dyDescent="0.25">
      <c r="A2274" t="s">
        <v>4230</v>
      </c>
      <c r="B2274">
        <v>0</v>
      </c>
      <c r="C2274">
        <v>36.200000000000003</v>
      </c>
      <c r="E2274" t="s">
        <v>4230</v>
      </c>
      <c r="F2274">
        <v>0.45</v>
      </c>
      <c r="G2274">
        <v>116.3</v>
      </c>
      <c r="I2274" t="str" cm="1">
        <f t="array" ref="I2274:J2274">_xlfn.TEXTSPLIT(A2274," ")</f>
        <v>28.10.2023</v>
      </c>
      <c r="J2274" t="str">
        <v>13:56:12</v>
      </c>
      <c r="K2274">
        <f t="shared" si="466"/>
        <v>37.849999999999135</v>
      </c>
      <c r="L2274">
        <f t="shared" si="463"/>
        <v>21.880000000000003</v>
      </c>
      <c r="M2274">
        <f t="shared" si="464"/>
        <v>0</v>
      </c>
      <c r="N2274">
        <f t="shared" si="460"/>
        <v>0.49499999999999994</v>
      </c>
      <c r="Q2274" t="str" cm="1">
        <f t="array" ref="Q2274:R2274">_xlfn.TEXTSPLIT(E2274," ")</f>
        <v>28.10.2023</v>
      </c>
      <c r="R2274" t="str">
        <v>13:56:12</v>
      </c>
      <c r="S2274">
        <f t="shared" si="467"/>
        <v>37.849999999999135</v>
      </c>
      <c r="T2274">
        <f t="shared" si="462"/>
        <v>37.700000000000003</v>
      </c>
      <c r="U2274">
        <f t="shared" si="465"/>
        <v>0.45</v>
      </c>
      <c r="V2274">
        <f t="shared" si="461"/>
        <v>0.85750000000000015</v>
      </c>
    </row>
    <row r="2275" spans="1:22" x14ac:dyDescent="0.25">
      <c r="A2275" t="s">
        <v>4231</v>
      </c>
      <c r="B2275">
        <v>0</v>
      </c>
      <c r="C2275">
        <v>36.200000000000003</v>
      </c>
      <c r="E2275" t="s">
        <v>4231</v>
      </c>
      <c r="F2275">
        <v>0.45</v>
      </c>
      <c r="G2275">
        <v>116.31</v>
      </c>
      <c r="I2275" t="str" cm="1">
        <f t="array" ref="I2275:J2275">_xlfn.TEXTSPLIT(A2275," ")</f>
        <v>28.10.2023</v>
      </c>
      <c r="J2275" t="str">
        <v>13:57:13</v>
      </c>
      <c r="K2275">
        <f t="shared" si="466"/>
        <v>37.8666666666658</v>
      </c>
      <c r="L2275">
        <f t="shared" si="463"/>
        <v>21.880000000000003</v>
      </c>
      <c r="M2275">
        <f t="shared" si="464"/>
        <v>0</v>
      </c>
      <c r="N2275">
        <f t="shared" si="460"/>
        <v>0.49499999999999994</v>
      </c>
      <c r="Q2275" t="str" cm="1">
        <f t="array" ref="Q2275:R2275">_xlfn.TEXTSPLIT(E2275," ")</f>
        <v>28.10.2023</v>
      </c>
      <c r="R2275" t="str">
        <v>13:57:13</v>
      </c>
      <c r="S2275">
        <f t="shared" si="467"/>
        <v>37.8666666666658</v>
      </c>
      <c r="T2275">
        <f t="shared" si="462"/>
        <v>37.710000000000008</v>
      </c>
      <c r="U2275">
        <f t="shared" si="465"/>
        <v>0.45</v>
      </c>
      <c r="V2275">
        <f t="shared" si="461"/>
        <v>0.85750000000000026</v>
      </c>
    </row>
    <row r="2276" spans="1:22" x14ac:dyDescent="0.25">
      <c r="A2276" t="s">
        <v>4232</v>
      </c>
      <c r="B2276">
        <v>0</v>
      </c>
      <c r="C2276">
        <v>36.200000000000003</v>
      </c>
      <c r="E2276" t="s">
        <v>4232</v>
      </c>
      <c r="F2276">
        <v>0.45</v>
      </c>
      <c r="G2276">
        <v>116.31</v>
      </c>
      <c r="I2276" t="str" cm="1">
        <f t="array" ref="I2276:J2276">_xlfn.TEXTSPLIT(A2276," ")</f>
        <v>28.10.2023</v>
      </c>
      <c r="J2276" t="str">
        <v>13:58:13</v>
      </c>
      <c r="K2276">
        <f t="shared" si="466"/>
        <v>37.883333333332466</v>
      </c>
      <c r="L2276">
        <f t="shared" si="463"/>
        <v>21.880000000000003</v>
      </c>
      <c r="M2276">
        <f t="shared" si="464"/>
        <v>0</v>
      </c>
      <c r="N2276">
        <f t="shared" si="460"/>
        <v>0.49499999999999994</v>
      </c>
      <c r="Q2276" t="str" cm="1">
        <f t="array" ref="Q2276:R2276">_xlfn.TEXTSPLIT(E2276," ")</f>
        <v>28.10.2023</v>
      </c>
      <c r="R2276" t="str">
        <v>13:58:13</v>
      </c>
      <c r="S2276">
        <f t="shared" si="467"/>
        <v>37.883333333332466</v>
      </c>
      <c r="T2276">
        <f t="shared" si="462"/>
        <v>37.710000000000008</v>
      </c>
      <c r="U2276">
        <f t="shared" si="465"/>
        <v>0.45</v>
      </c>
      <c r="V2276">
        <f t="shared" si="461"/>
        <v>0.85750000000000026</v>
      </c>
    </row>
    <row r="2277" spans="1:22" x14ac:dyDescent="0.25">
      <c r="A2277" t="s">
        <v>4233</v>
      </c>
      <c r="B2277">
        <v>0.15</v>
      </c>
      <c r="C2277">
        <v>36.21</v>
      </c>
      <c r="E2277" t="s">
        <v>4233</v>
      </c>
      <c r="F2277">
        <v>0.6</v>
      </c>
      <c r="G2277">
        <v>116.32</v>
      </c>
      <c r="I2277" t="str" cm="1">
        <f t="array" ref="I2277:J2277">_xlfn.TEXTSPLIT(A2277," ")</f>
        <v>28.10.2023</v>
      </c>
      <c r="J2277" t="str">
        <v>13:59:13</v>
      </c>
      <c r="K2277">
        <f t="shared" si="466"/>
        <v>37.899999999999132</v>
      </c>
      <c r="L2277">
        <f t="shared" si="463"/>
        <v>21.89</v>
      </c>
      <c r="M2277">
        <f t="shared" si="464"/>
        <v>0.15</v>
      </c>
      <c r="N2277">
        <f t="shared" si="460"/>
        <v>0.49499999999999988</v>
      </c>
      <c r="Q2277" t="str" cm="1">
        <f t="array" ref="Q2277:R2277">_xlfn.TEXTSPLIT(E2277," ")</f>
        <v>28.10.2023</v>
      </c>
      <c r="R2277" t="str">
        <v>13:59:13</v>
      </c>
      <c r="S2277">
        <f t="shared" si="467"/>
        <v>37.899999999999132</v>
      </c>
      <c r="T2277">
        <f t="shared" si="462"/>
        <v>37.72</v>
      </c>
      <c r="U2277">
        <f t="shared" si="465"/>
        <v>0.6</v>
      </c>
      <c r="V2277">
        <f t="shared" si="461"/>
        <v>0.85750000000000037</v>
      </c>
    </row>
    <row r="2278" spans="1:22" x14ac:dyDescent="0.25">
      <c r="A2278" t="s">
        <v>4234</v>
      </c>
      <c r="B2278">
        <v>0.15</v>
      </c>
      <c r="C2278">
        <v>36.22</v>
      </c>
      <c r="E2278" t="s">
        <v>4234</v>
      </c>
      <c r="F2278">
        <v>0.75</v>
      </c>
      <c r="G2278">
        <v>116.34</v>
      </c>
      <c r="I2278" t="str" cm="1">
        <f t="array" ref="I2278:J2278">_xlfn.TEXTSPLIT(A2278," ")</f>
        <v>28.10.2023</v>
      </c>
      <c r="J2278" t="str">
        <v>14:00:13</v>
      </c>
      <c r="K2278">
        <f t="shared" si="466"/>
        <v>37.916666666665797</v>
      </c>
      <c r="L2278">
        <f t="shared" si="463"/>
        <v>21.9</v>
      </c>
      <c r="M2278">
        <f t="shared" si="464"/>
        <v>0.15</v>
      </c>
      <c r="N2278">
        <f t="shared" si="460"/>
        <v>0.49249999999999988</v>
      </c>
      <c r="Q2278" t="str" cm="1">
        <f t="array" ref="Q2278:R2278">_xlfn.TEXTSPLIT(E2278," ")</f>
        <v>28.10.2023</v>
      </c>
      <c r="R2278" t="str">
        <v>14:00:13</v>
      </c>
      <c r="S2278">
        <f t="shared" si="467"/>
        <v>37.916666666665797</v>
      </c>
      <c r="T2278">
        <f t="shared" si="462"/>
        <v>37.740000000000009</v>
      </c>
      <c r="U2278">
        <f t="shared" si="465"/>
        <v>0.75</v>
      </c>
      <c r="V2278">
        <f t="shared" si="461"/>
        <v>0.86000000000000043</v>
      </c>
    </row>
    <row r="2279" spans="1:22" x14ac:dyDescent="0.25">
      <c r="A2279" t="s">
        <v>4235</v>
      </c>
      <c r="B2279">
        <v>0.45</v>
      </c>
      <c r="C2279">
        <v>36.22</v>
      </c>
      <c r="E2279" t="s">
        <v>4235</v>
      </c>
      <c r="F2279">
        <v>0.75</v>
      </c>
      <c r="G2279">
        <v>116.35</v>
      </c>
      <c r="I2279" t="str" cm="1">
        <f t="array" ref="I2279:J2279">_xlfn.TEXTSPLIT(A2279," ")</f>
        <v>28.10.2023</v>
      </c>
      <c r="J2279" t="str">
        <v>14:01:13</v>
      </c>
      <c r="K2279">
        <f t="shared" si="466"/>
        <v>37.933333333332463</v>
      </c>
      <c r="L2279">
        <f t="shared" si="463"/>
        <v>21.9</v>
      </c>
      <c r="M2279">
        <f t="shared" si="464"/>
        <v>0.45</v>
      </c>
      <c r="N2279">
        <f t="shared" si="460"/>
        <v>0.49249999999999988</v>
      </c>
      <c r="Q2279" t="str" cm="1">
        <f t="array" ref="Q2279:R2279">_xlfn.TEXTSPLIT(E2279," ")</f>
        <v>28.10.2023</v>
      </c>
      <c r="R2279" t="str">
        <v>14:01:13</v>
      </c>
      <c r="S2279">
        <f t="shared" si="467"/>
        <v>37.933333333332463</v>
      </c>
      <c r="T2279">
        <f t="shared" si="462"/>
        <v>37.75</v>
      </c>
      <c r="U2279">
        <f t="shared" si="465"/>
        <v>0.75</v>
      </c>
      <c r="V2279">
        <f t="shared" si="461"/>
        <v>0.85750000000000026</v>
      </c>
    </row>
    <row r="2280" spans="1:22" x14ac:dyDescent="0.25">
      <c r="A2280" t="s">
        <v>4236</v>
      </c>
      <c r="B2280">
        <v>0.45</v>
      </c>
      <c r="C2280">
        <v>36.22</v>
      </c>
      <c r="E2280" t="s">
        <v>4236</v>
      </c>
      <c r="F2280">
        <v>1.05</v>
      </c>
      <c r="G2280">
        <v>116.37</v>
      </c>
      <c r="I2280" t="str" cm="1">
        <f t="array" ref="I2280:J2280">_xlfn.TEXTSPLIT(A2280," ")</f>
        <v>28.10.2023</v>
      </c>
      <c r="J2280" t="str">
        <v>14:02:13</v>
      </c>
      <c r="K2280">
        <f t="shared" si="466"/>
        <v>37.949999999999129</v>
      </c>
      <c r="L2280">
        <f t="shared" si="463"/>
        <v>21.9</v>
      </c>
      <c r="M2280">
        <f t="shared" si="464"/>
        <v>0.45</v>
      </c>
      <c r="N2280">
        <f t="shared" si="460"/>
        <v>0.49499999999999988</v>
      </c>
      <c r="Q2280" t="str" cm="1">
        <f t="array" ref="Q2280:R2280">_xlfn.TEXTSPLIT(E2280," ")</f>
        <v>28.10.2023</v>
      </c>
      <c r="R2280" t="str">
        <v>14:02:13</v>
      </c>
      <c r="S2280">
        <f t="shared" si="467"/>
        <v>37.949999999999129</v>
      </c>
      <c r="T2280">
        <f t="shared" si="462"/>
        <v>37.77000000000001</v>
      </c>
      <c r="U2280">
        <f t="shared" si="465"/>
        <v>1.05</v>
      </c>
      <c r="V2280">
        <f t="shared" si="461"/>
        <v>0.8550000000000002</v>
      </c>
    </row>
    <row r="2281" spans="1:22" x14ac:dyDescent="0.25">
      <c r="A2281" t="s">
        <v>4237</v>
      </c>
      <c r="B2281">
        <v>0.3</v>
      </c>
      <c r="C2281">
        <v>36.229999999999997</v>
      </c>
      <c r="E2281" t="s">
        <v>4237</v>
      </c>
      <c r="F2281">
        <v>0.75</v>
      </c>
      <c r="G2281">
        <v>116.38</v>
      </c>
      <c r="I2281" t="str" cm="1">
        <f t="array" ref="I2281:J2281">_xlfn.TEXTSPLIT(A2281," ")</f>
        <v>28.10.2023</v>
      </c>
      <c r="J2281" t="str">
        <v>14:03:14</v>
      </c>
      <c r="K2281">
        <f t="shared" si="466"/>
        <v>37.966666666665795</v>
      </c>
      <c r="L2281">
        <f t="shared" si="463"/>
        <v>21.909999999999997</v>
      </c>
      <c r="M2281">
        <f t="shared" si="464"/>
        <v>0.3</v>
      </c>
      <c r="N2281">
        <f t="shared" si="460"/>
        <v>0.48999999999999994</v>
      </c>
      <c r="Q2281" t="str" cm="1">
        <f t="array" ref="Q2281:R2281">_xlfn.TEXTSPLIT(E2281," ")</f>
        <v>28.10.2023</v>
      </c>
      <c r="R2281" t="str">
        <v>14:03:14</v>
      </c>
      <c r="S2281">
        <f t="shared" si="467"/>
        <v>37.966666666665795</v>
      </c>
      <c r="T2281">
        <f t="shared" si="462"/>
        <v>37.78</v>
      </c>
      <c r="U2281">
        <f t="shared" si="465"/>
        <v>0.75</v>
      </c>
      <c r="V2281">
        <f t="shared" si="461"/>
        <v>0.84750000000000025</v>
      </c>
    </row>
    <row r="2282" spans="1:22" x14ac:dyDescent="0.25">
      <c r="A2282" t="s">
        <v>4238</v>
      </c>
      <c r="B2282">
        <v>0.6</v>
      </c>
      <c r="C2282">
        <v>36.24</v>
      </c>
      <c r="E2282" t="s">
        <v>4238</v>
      </c>
      <c r="F2282">
        <v>1.05</v>
      </c>
      <c r="G2282">
        <v>116.4</v>
      </c>
      <c r="I2282" t="str" cm="1">
        <f t="array" ref="I2282:J2282">_xlfn.TEXTSPLIT(A2282," ")</f>
        <v>28.10.2023</v>
      </c>
      <c r="J2282" t="str">
        <v>14:04:14</v>
      </c>
      <c r="K2282">
        <f t="shared" si="466"/>
        <v>37.98333333333246</v>
      </c>
      <c r="L2282">
        <f t="shared" si="463"/>
        <v>21.92</v>
      </c>
      <c r="M2282">
        <f t="shared" si="464"/>
        <v>0.6</v>
      </c>
      <c r="N2282">
        <f t="shared" si="460"/>
        <v>0.49249999999999988</v>
      </c>
      <c r="Q2282" t="str" cm="1">
        <f t="array" ref="Q2282:R2282">_xlfn.TEXTSPLIT(E2282," ")</f>
        <v>28.10.2023</v>
      </c>
      <c r="R2282" t="str">
        <v>14:04:14</v>
      </c>
      <c r="S2282">
        <f t="shared" si="467"/>
        <v>37.98333333333246</v>
      </c>
      <c r="T2282">
        <f t="shared" si="462"/>
        <v>37.800000000000011</v>
      </c>
      <c r="U2282">
        <f t="shared" si="465"/>
        <v>1.05</v>
      </c>
      <c r="V2282">
        <f t="shared" si="461"/>
        <v>0.85250000000000026</v>
      </c>
    </row>
    <row r="2283" spans="1:22" x14ac:dyDescent="0.25">
      <c r="A2283" t="s">
        <v>4239</v>
      </c>
      <c r="B2283">
        <v>0.45</v>
      </c>
      <c r="C2283">
        <v>36.25</v>
      </c>
      <c r="E2283" t="s">
        <v>4239</v>
      </c>
      <c r="F2283">
        <v>0.75</v>
      </c>
      <c r="G2283">
        <v>116.42</v>
      </c>
      <c r="I2283" t="str" cm="1">
        <f t="array" ref="I2283:J2283">_xlfn.TEXTSPLIT(A2283," ")</f>
        <v>28.10.2023</v>
      </c>
      <c r="J2283" t="str">
        <v>14:05:14</v>
      </c>
      <c r="K2283">
        <f t="shared" si="466"/>
        <v>37.999999999999126</v>
      </c>
      <c r="L2283">
        <f t="shared" si="463"/>
        <v>21.93</v>
      </c>
      <c r="M2283">
        <f t="shared" si="464"/>
        <v>0.45</v>
      </c>
      <c r="N2283">
        <f t="shared" si="460"/>
        <v>0.49249999999999988</v>
      </c>
      <c r="Q2283" t="str" cm="1">
        <f t="array" ref="Q2283:R2283">_xlfn.TEXTSPLIT(E2283," ")</f>
        <v>28.10.2023</v>
      </c>
      <c r="R2283" t="str">
        <v>14:05:14</v>
      </c>
      <c r="S2283">
        <f t="shared" si="467"/>
        <v>37.999999999999126</v>
      </c>
      <c r="T2283">
        <f t="shared" si="462"/>
        <v>37.820000000000007</v>
      </c>
      <c r="U2283">
        <f t="shared" si="465"/>
        <v>0.75</v>
      </c>
      <c r="V2283">
        <f t="shared" si="461"/>
        <v>0.8450000000000002</v>
      </c>
    </row>
    <row r="2284" spans="1:22" x14ac:dyDescent="0.25">
      <c r="A2284" t="s">
        <v>4240</v>
      </c>
      <c r="B2284">
        <v>0.6</v>
      </c>
      <c r="C2284">
        <v>36.26</v>
      </c>
      <c r="E2284" t="s">
        <v>4240</v>
      </c>
      <c r="F2284">
        <v>1.65</v>
      </c>
      <c r="G2284">
        <v>116.44</v>
      </c>
      <c r="I2284" t="str" cm="1">
        <f t="array" ref="I2284:J2284">_xlfn.TEXTSPLIT(A2284," ")</f>
        <v>28.10.2023</v>
      </c>
      <c r="J2284" t="str">
        <v>14:06:14</v>
      </c>
      <c r="K2284">
        <f t="shared" si="466"/>
        <v>38.016666666665792</v>
      </c>
      <c r="L2284">
        <f t="shared" si="463"/>
        <v>21.939999999999998</v>
      </c>
      <c r="M2284">
        <f t="shared" si="464"/>
        <v>0.6</v>
      </c>
      <c r="N2284">
        <f t="shared" si="460"/>
        <v>0.49749999999999989</v>
      </c>
      <c r="Q2284" t="str" cm="1">
        <f t="array" ref="Q2284:R2284">_xlfn.TEXTSPLIT(E2284," ")</f>
        <v>28.10.2023</v>
      </c>
      <c r="R2284" t="str">
        <v>14:06:14</v>
      </c>
      <c r="S2284">
        <f t="shared" si="467"/>
        <v>38.016666666665792</v>
      </c>
      <c r="T2284">
        <f t="shared" si="462"/>
        <v>37.840000000000003</v>
      </c>
      <c r="U2284">
        <f t="shared" si="465"/>
        <v>1.65</v>
      </c>
      <c r="V2284">
        <f t="shared" si="461"/>
        <v>0.84250000000000014</v>
      </c>
    </row>
    <row r="2285" spans="1:22" x14ac:dyDescent="0.25">
      <c r="A2285" t="s">
        <v>4241</v>
      </c>
      <c r="B2285">
        <v>1.8</v>
      </c>
      <c r="C2285">
        <v>36.29</v>
      </c>
      <c r="E2285" t="s">
        <v>4241</v>
      </c>
      <c r="F2285">
        <v>1.65</v>
      </c>
      <c r="G2285">
        <v>116.48</v>
      </c>
      <c r="I2285" t="str" cm="1">
        <f t="array" ref="I2285:J2285">_xlfn.TEXTSPLIT(A2285," ")</f>
        <v>28.10.2023</v>
      </c>
      <c r="J2285" t="str">
        <v>14:07:14</v>
      </c>
      <c r="K2285">
        <f t="shared" si="466"/>
        <v>38.033333333332457</v>
      </c>
      <c r="L2285">
        <f t="shared" si="463"/>
        <v>21.97</v>
      </c>
      <c r="M2285">
        <f t="shared" si="464"/>
        <v>1.8</v>
      </c>
      <c r="N2285">
        <f t="shared" si="460"/>
        <v>0.495</v>
      </c>
      <c r="Q2285" t="str" cm="1">
        <f t="array" ref="Q2285:R2285">_xlfn.TEXTSPLIT(E2285," ")</f>
        <v>28.10.2023</v>
      </c>
      <c r="R2285" t="str">
        <v>14:07:14</v>
      </c>
      <c r="S2285">
        <f t="shared" si="467"/>
        <v>38.033333333332457</v>
      </c>
      <c r="T2285">
        <f t="shared" si="462"/>
        <v>37.88000000000001</v>
      </c>
      <c r="U2285">
        <f t="shared" si="465"/>
        <v>1.65</v>
      </c>
      <c r="V2285">
        <f t="shared" si="461"/>
        <v>0.81750000000000012</v>
      </c>
    </row>
    <row r="2286" spans="1:22" x14ac:dyDescent="0.25">
      <c r="A2286" t="s">
        <v>4242</v>
      </c>
      <c r="B2286">
        <v>1.95</v>
      </c>
      <c r="C2286">
        <v>36.32</v>
      </c>
      <c r="E2286" t="s">
        <v>4242</v>
      </c>
      <c r="F2286">
        <v>2.7</v>
      </c>
      <c r="G2286">
        <v>116.52</v>
      </c>
      <c r="I2286" t="str" cm="1">
        <f t="array" ref="I2286:J2286">_xlfn.TEXTSPLIT(A2286," ")</f>
        <v>28.10.2023</v>
      </c>
      <c r="J2286" t="str">
        <v>14:08:14</v>
      </c>
      <c r="K2286">
        <f t="shared" si="466"/>
        <v>38.049999999999123</v>
      </c>
      <c r="L2286">
        <f t="shared" si="463"/>
        <v>22</v>
      </c>
      <c r="M2286">
        <f t="shared" si="464"/>
        <v>1.95</v>
      </c>
      <c r="N2286">
        <f t="shared" si="460"/>
        <v>0.49749999999999989</v>
      </c>
      <c r="Q2286" t="str" cm="1">
        <f t="array" ref="Q2286:R2286">_xlfn.TEXTSPLIT(E2286," ")</f>
        <v>28.10.2023</v>
      </c>
      <c r="R2286" t="str">
        <v>14:08:14</v>
      </c>
      <c r="S2286">
        <f t="shared" si="467"/>
        <v>38.049999999999123</v>
      </c>
      <c r="T2286">
        <f t="shared" si="462"/>
        <v>37.92</v>
      </c>
      <c r="U2286">
        <f t="shared" si="465"/>
        <v>2.7</v>
      </c>
      <c r="V2286">
        <f t="shared" si="461"/>
        <v>0.83250000000000002</v>
      </c>
    </row>
    <row r="2287" spans="1:22" x14ac:dyDescent="0.25">
      <c r="A2287" t="s">
        <v>4243</v>
      </c>
      <c r="B2287">
        <v>1.35</v>
      </c>
      <c r="C2287">
        <v>36.340000000000003</v>
      </c>
      <c r="E2287" t="s">
        <v>4243</v>
      </c>
      <c r="F2287">
        <v>1.35</v>
      </c>
      <c r="G2287">
        <v>116.54</v>
      </c>
      <c r="I2287" t="str" cm="1">
        <f t="array" ref="I2287:J2287">_xlfn.TEXTSPLIT(A2287," ")</f>
        <v>28.10.2023</v>
      </c>
      <c r="J2287" t="str">
        <v>14:09:14</v>
      </c>
      <c r="K2287">
        <f t="shared" si="466"/>
        <v>38.066666666665789</v>
      </c>
      <c r="L2287">
        <f t="shared" si="463"/>
        <v>22.020000000000003</v>
      </c>
      <c r="M2287">
        <f t="shared" si="464"/>
        <v>1.35</v>
      </c>
      <c r="N2287">
        <f t="shared" si="460"/>
        <v>0.495</v>
      </c>
      <c r="Q2287" t="str" cm="1">
        <f t="array" ref="Q2287:R2287">_xlfn.TEXTSPLIT(E2287," ")</f>
        <v>28.10.2023</v>
      </c>
      <c r="R2287" t="str">
        <v>14:09:14</v>
      </c>
      <c r="S2287">
        <f t="shared" si="467"/>
        <v>38.066666666665789</v>
      </c>
      <c r="T2287">
        <f t="shared" si="462"/>
        <v>37.940000000000012</v>
      </c>
      <c r="U2287">
        <f t="shared" si="465"/>
        <v>1.35</v>
      </c>
      <c r="V2287">
        <f t="shared" si="461"/>
        <v>0.84000000000000008</v>
      </c>
    </row>
    <row r="2288" spans="1:22" x14ac:dyDescent="0.25">
      <c r="A2288" t="s">
        <v>4244</v>
      </c>
      <c r="B2288">
        <v>1.2</v>
      </c>
      <c r="C2288">
        <v>36.36</v>
      </c>
      <c r="E2288" t="s">
        <v>4244</v>
      </c>
      <c r="F2288">
        <v>0.9</v>
      </c>
      <c r="G2288">
        <v>116.55</v>
      </c>
      <c r="I2288" t="str" cm="1">
        <f t="array" ref="I2288:J2288">_xlfn.TEXTSPLIT(A2288," ")</f>
        <v>28.10.2023</v>
      </c>
      <c r="J2288" t="str">
        <v>14:10:15</v>
      </c>
      <c r="K2288">
        <f t="shared" si="466"/>
        <v>38.083333333332455</v>
      </c>
      <c r="L2288">
        <f t="shared" si="463"/>
        <v>22.04</v>
      </c>
      <c r="M2288">
        <f t="shared" si="464"/>
        <v>1.2</v>
      </c>
      <c r="N2288">
        <f t="shared" si="460"/>
        <v>0.49249999999999994</v>
      </c>
      <c r="Q2288" t="str" cm="1">
        <f t="array" ref="Q2288:R2288">_xlfn.TEXTSPLIT(E2288," ")</f>
        <v>28.10.2023</v>
      </c>
      <c r="R2288" t="str">
        <v>14:10:15</v>
      </c>
      <c r="S2288">
        <f t="shared" si="467"/>
        <v>38.083333333332455</v>
      </c>
      <c r="T2288">
        <f t="shared" si="462"/>
        <v>37.950000000000003</v>
      </c>
      <c r="U2288">
        <f t="shared" si="465"/>
        <v>0.9</v>
      </c>
      <c r="V2288">
        <f t="shared" si="461"/>
        <v>0.84</v>
      </c>
    </row>
    <row r="2289" spans="1:22" x14ac:dyDescent="0.25">
      <c r="A2289" t="s">
        <v>4245</v>
      </c>
      <c r="B2289">
        <v>0.45</v>
      </c>
      <c r="C2289">
        <v>36.369999999999997</v>
      </c>
      <c r="E2289" t="s">
        <v>4245</v>
      </c>
      <c r="F2289">
        <v>0.75</v>
      </c>
      <c r="G2289">
        <v>116.57</v>
      </c>
      <c r="I2289" t="str" cm="1">
        <f t="array" ref="I2289:J2289">_xlfn.TEXTSPLIT(A2289," ")</f>
        <v>28.10.2023</v>
      </c>
      <c r="J2289" t="str">
        <v>14:11:15</v>
      </c>
      <c r="K2289">
        <f t="shared" si="466"/>
        <v>38.09999999999912</v>
      </c>
      <c r="L2289">
        <f t="shared" si="463"/>
        <v>22.049999999999997</v>
      </c>
      <c r="M2289">
        <f t="shared" si="464"/>
        <v>0.45</v>
      </c>
      <c r="N2289">
        <f t="shared" si="460"/>
        <v>0.49</v>
      </c>
      <c r="Q2289" t="str" cm="1">
        <f t="array" ref="Q2289:R2289">_xlfn.TEXTSPLIT(E2289," ")</f>
        <v>28.10.2023</v>
      </c>
      <c r="R2289" t="str">
        <v>14:11:15</v>
      </c>
      <c r="S2289">
        <f t="shared" si="467"/>
        <v>38.09999999999912</v>
      </c>
      <c r="T2289">
        <f t="shared" si="462"/>
        <v>37.97</v>
      </c>
      <c r="U2289">
        <f t="shared" si="465"/>
        <v>0.75</v>
      </c>
      <c r="V2289">
        <f t="shared" si="461"/>
        <v>0.84249999999999992</v>
      </c>
    </row>
    <row r="2290" spans="1:22" x14ac:dyDescent="0.25">
      <c r="A2290" t="s">
        <v>4246</v>
      </c>
      <c r="B2290">
        <v>0.75</v>
      </c>
      <c r="C2290">
        <v>36.380000000000003</v>
      </c>
      <c r="E2290" t="s">
        <v>4246</v>
      </c>
      <c r="F2290">
        <v>0.9</v>
      </c>
      <c r="G2290">
        <v>116.58</v>
      </c>
      <c r="I2290" t="str" cm="1">
        <f t="array" ref="I2290:J2290">_xlfn.TEXTSPLIT(A2290," ")</f>
        <v>28.10.2023</v>
      </c>
      <c r="J2290" t="str">
        <v>14:12:15</v>
      </c>
      <c r="K2290">
        <f t="shared" si="466"/>
        <v>38.116666666665786</v>
      </c>
      <c r="L2290">
        <f t="shared" si="463"/>
        <v>22.060000000000002</v>
      </c>
      <c r="M2290">
        <f t="shared" si="464"/>
        <v>0.75</v>
      </c>
      <c r="N2290">
        <f t="shared" si="460"/>
        <v>0.48999999999999994</v>
      </c>
      <c r="Q2290" t="str" cm="1">
        <f t="array" ref="Q2290:R2290">_xlfn.TEXTSPLIT(E2290," ")</f>
        <v>28.10.2023</v>
      </c>
      <c r="R2290" t="str">
        <v>14:12:15</v>
      </c>
      <c r="S2290">
        <f t="shared" si="467"/>
        <v>38.116666666665786</v>
      </c>
      <c r="T2290">
        <f t="shared" si="462"/>
        <v>37.980000000000004</v>
      </c>
      <c r="U2290">
        <f t="shared" si="465"/>
        <v>0.9</v>
      </c>
      <c r="V2290">
        <f t="shared" si="461"/>
        <v>0.8424999999999998</v>
      </c>
    </row>
    <row r="2291" spans="1:22" x14ac:dyDescent="0.25">
      <c r="A2291" t="s">
        <v>4247</v>
      </c>
      <c r="B2291">
        <v>0.75</v>
      </c>
      <c r="C2291">
        <v>36.4</v>
      </c>
      <c r="E2291" t="s">
        <v>4247</v>
      </c>
      <c r="F2291">
        <v>1.05</v>
      </c>
      <c r="G2291">
        <v>116.6</v>
      </c>
      <c r="I2291" t="str" cm="1">
        <f t="array" ref="I2291:J2291">_xlfn.TEXTSPLIT(A2291," ")</f>
        <v>28.10.2023</v>
      </c>
      <c r="J2291" t="str">
        <v>14:13:15</v>
      </c>
      <c r="K2291">
        <f t="shared" si="466"/>
        <v>38.133333333332452</v>
      </c>
      <c r="L2291">
        <f t="shared" si="463"/>
        <v>22.08</v>
      </c>
      <c r="M2291">
        <f t="shared" si="464"/>
        <v>0.75</v>
      </c>
      <c r="N2291">
        <f t="shared" si="460"/>
        <v>0.49249999999999988</v>
      </c>
      <c r="Q2291" t="str" cm="1">
        <f t="array" ref="Q2291:R2291">_xlfn.TEXTSPLIT(E2291," ")</f>
        <v>28.10.2023</v>
      </c>
      <c r="R2291" t="str">
        <v>14:13:15</v>
      </c>
      <c r="S2291">
        <f t="shared" si="467"/>
        <v>38.133333333332452</v>
      </c>
      <c r="T2291">
        <f t="shared" si="462"/>
        <v>38</v>
      </c>
      <c r="U2291">
        <f t="shared" si="465"/>
        <v>1.05</v>
      </c>
      <c r="V2291">
        <f t="shared" si="461"/>
        <v>0.84</v>
      </c>
    </row>
    <row r="2292" spans="1:22" x14ac:dyDescent="0.25">
      <c r="A2292" t="s">
        <v>4248</v>
      </c>
      <c r="B2292">
        <v>0.6</v>
      </c>
      <c r="C2292">
        <v>36.4</v>
      </c>
      <c r="E2292" t="s">
        <v>4248</v>
      </c>
      <c r="F2292">
        <v>1.05</v>
      </c>
      <c r="G2292">
        <v>116.62</v>
      </c>
      <c r="I2292" t="str" cm="1">
        <f t="array" ref="I2292:J2292">_xlfn.TEXTSPLIT(A2292," ")</f>
        <v>28.10.2023</v>
      </c>
      <c r="J2292" t="str">
        <v>14:14:15</v>
      </c>
      <c r="K2292">
        <f t="shared" si="466"/>
        <v>38.149999999999118</v>
      </c>
      <c r="L2292">
        <f t="shared" si="463"/>
        <v>22.08</v>
      </c>
      <c r="M2292">
        <f t="shared" si="464"/>
        <v>0.6</v>
      </c>
      <c r="N2292">
        <f t="shared" si="460"/>
        <v>0.49499999999999994</v>
      </c>
      <c r="Q2292" t="str" cm="1">
        <f t="array" ref="Q2292:R2292">_xlfn.TEXTSPLIT(E2292," ")</f>
        <v>28.10.2023</v>
      </c>
      <c r="R2292" t="str">
        <v>14:14:15</v>
      </c>
      <c r="S2292">
        <f t="shared" si="467"/>
        <v>38.149999999999118</v>
      </c>
      <c r="T2292">
        <f t="shared" si="462"/>
        <v>38.02000000000001</v>
      </c>
      <c r="U2292">
        <f t="shared" si="465"/>
        <v>1.05</v>
      </c>
      <c r="V2292">
        <f t="shared" si="461"/>
        <v>0.83999999999999986</v>
      </c>
    </row>
    <row r="2293" spans="1:22" x14ac:dyDescent="0.25">
      <c r="A2293" t="s">
        <v>4249</v>
      </c>
      <c r="B2293">
        <v>0.45</v>
      </c>
      <c r="C2293">
        <v>36.409999999999997</v>
      </c>
      <c r="E2293" t="s">
        <v>4249</v>
      </c>
      <c r="F2293">
        <v>1.2</v>
      </c>
      <c r="G2293">
        <v>116.63</v>
      </c>
      <c r="I2293" t="str" cm="1">
        <f t="array" ref="I2293:J2293">_xlfn.TEXTSPLIT(A2293," ")</f>
        <v>28.10.2023</v>
      </c>
      <c r="J2293" t="str">
        <v>14:15:15</v>
      </c>
      <c r="K2293">
        <f t="shared" si="466"/>
        <v>38.166666666665783</v>
      </c>
      <c r="L2293">
        <f t="shared" si="463"/>
        <v>22.089999999999996</v>
      </c>
      <c r="M2293">
        <f t="shared" si="464"/>
        <v>0.45</v>
      </c>
      <c r="N2293">
        <f t="shared" si="460"/>
        <v>0.49499999999999994</v>
      </c>
      <c r="Q2293" t="str" cm="1">
        <f t="array" ref="Q2293:R2293">_xlfn.TEXTSPLIT(E2293," ")</f>
        <v>28.10.2023</v>
      </c>
      <c r="R2293" t="str">
        <v>14:15:15</v>
      </c>
      <c r="S2293">
        <f t="shared" si="467"/>
        <v>38.166666666665783</v>
      </c>
      <c r="T2293">
        <f t="shared" si="462"/>
        <v>38.03</v>
      </c>
      <c r="U2293">
        <f t="shared" si="465"/>
        <v>1.2</v>
      </c>
      <c r="V2293">
        <f t="shared" si="461"/>
        <v>0.8424999999999998</v>
      </c>
    </row>
    <row r="2294" spans="1:22" x14ac:dyDescent="0.25">
      <c r="A2294" t="s">
        <v>4250</v>
      </c>
      <c r="B2294">
        <v>0.3</v>
      </c>
      <c r="C2294">
        <v>36.42</v>
      </c>
      <c r="E2294" t="s">
        <v>4250</v>
      </c>
      <c r="F2294">
        <v>0.75</v>
      </c>
      <c r="G2294">
        <v>116.65</v>
      </c>
      <c r="I2294" t="str" cm="1">
        <f t="array" ref="I2294:J2294">_xlfn.TEXTSPLIT(A2294," ")</f>
        <v>28.10.2023</v>
      </c>
      <c r="J2294" t="str">
        <v>14:16:15</v>
      </c>
      <c r="K2294">
        <f t="shared" si="466"/>
        <v>38.183333333332449</v>
      </c>
      <c r="L2294">
        <f t="shared" si="463"/>
        <v>22.1</v>
      </c>
      <c r="M2294">
        <f t="shared" si="464"/>
        <v>0.3</v>
      </c>
      <c r="N2294">
        <f t="shared" si="460"/>
        <v>0.49499999999999994</v>
      </c>
      <c r="Q2294" t="str" cm="1">
        <f t="array" ref="Q2294:R2294">_xlfn.TEXTSPLIT(E2294," ")</f>
        <v>28.10.2023</v>
      </c>
      <c r="R2294" t="str">
        <v>14:16:15</v>
      </c>
      <c r="S2294">
        <f t="shared" si="467"/>
        <v>38.183333333332449</v>
      </c>
      <c r="T2294">
        <f t="shared" si="462"/>
        <v>38.050000000000011</v>
      </c>
      <c r="U2294">
        <f t="shared" si="465"/>
        <v>0.75</v>
      </c>
      <c r="V2294">
        <f t="shared" si="461"/>
        <v>0.8424999999999998</v>
      </c>
    </row>
    <row r="2295" spans="1:22" x14ac:dyDescent="0.25">
      <c r="A2295" t="s">
        <v>4251</v>
      </c>
      <c r="B2295">
        <v>0.45</v>
      </c>
      <c r="C2295">
        <v>36.42</v>
      </c>
      <c r="E2295" t="s">
        <v>4251</v>
      </c>
      <c r="F2295">
        <v>0.75</v>
      </c>
      <c r="G2295">
        <v>116.66</v>
      </c>
      <c r="I2295" t="str" cm="1">
        <f t="array" ref="I2295:J2295">_xlfn.TEXTSPLIT(A2295," ")</f>
        <v>28.10.2023</v>
      </c>
      <c r="J2295" t="str">
        <v>14:17:16</v>
      </c>
      <c r="K2295">
        <f t="shared" si="466"/>
        <v>38.199999999999115</v>
      </c>
      <c r="L2295">
        <f t="shared" si="463"/>
        <v>22.1</v>
      </c>
      <c r="M2295">
        <f t="shared" si="464"/>
        <v>0.45</v>
      </c>
      <c r="N2295">
        <f t="shared" si="460"/>
        <v>0.49499999999999994</v>
      </c>
      <c r="Q2295" t="str" cm="1">
        <f t="array" ref="Q2295:R2295">_xlfn.TEXTSPLIT(E2295," ")</f>
        <v>28.10.2023</v>
      </c>
      <c r="R2295" t="str">
        <v>14:17:16</v>
      </c>
      <c r="S2295">
        <f t="shared" si="467"/>
        <v>38.199999999999115</v>
      </c>
      <c r="T2295">
        <f t="shared" si="462"/>
        <v>38.06</v>
      </c>
      <c r="U2295">
        <f t="shared" si="465"/>
        <v>0.75</v>
      </c>
      <c r="V2295">
        <f t="shared" si="461"/>
        <v>0.8424999999999998</v>
      </c>
    </row>
    <row r="2296" spans="1:22" x14ac:dyDescent="0.25">
      <c r="A2296" t="s">
        <v>4252</v>
      </c>
      <c r="B2296">
        <v>0.3</v>
      </c>
      <c r="C2296">
        <v>36.43</v>
      </c>
      <c r="E2296" t="s">
        <v>4252</v>
      </c>
      <c r="F2296">
        <v>0.6</v>
      </c>
      <c r="G2296">
        <v>116.67</v>
      </c>
      <c r="I2296" t="str" cm="1">
        <f t="array" ref="I2296:J2296">_xlfn.TEXTSPLIT(A2296," ")</f>
        <v>28.10.2023</v>
      </c>
      <c r="J2296" t="str">
        <v>14:18:16</v>
      </c>
      <c r="K2296">
        <f t="shared" si="466"/>
        <v>38.21666666666578</v>
      </c>
      <c r="L2296">
        <f t="shared" si="463"/>
        <v>22.11</v>
      </c>
      <c r="M2296">
        <f t="shared" si="464"/>
        <v>0.3</v>
      </c>
      <c r="N2296">
        <f t="shared" si="460"/>
        <v>0.49249999999999994</v>
      </c>
      <c r="Q2296" t="str" cm="1">
        <f t="array" ref="Q2296:R2296">_xlfn.TEXTSPLIT(E2296," ")</f>
        <v>28.10.2023</v>
      </c>
      <c r="R2296" t="str">
        <v>14:18:16</v>
      </c>
      <c r="S2296">
        <f t="shared" si="467"/>
        <v>38.21666666666578</v>
      </c>
      <c r="T2296">
        <f t="shared" si="462"/>
        <v>38.070000000000007</v>
      </c>
      <c r="U2296">
        <f t="shared" si="465"/>
        <v>0.6</v>
      </c>
      <c r="V2296">
        <f t="shared" si="461"/>
        <v>0.83999999999999986</v>
      </c>
    </row>
    <row r="2297" spans="1:22" x14ac:dyDescent="0.25">
      <c r="A2297" t="s">
        <v>4253</v>
      </c>
      <c r="B2297">
        <v>0.45</v>
      </c>
      <c r="C2297">
        <v>36.44</v>
      </c>
      <c r="E2297" t="s">
        <v>4253</v>
      </c>
      <c r="F2297">
        <v>0.6</v>
      </c>
      <c r="G2297">
        <v>116.68</v>
      </c>
      <c r="I2297" t="str" cm="1">
        <f t="array" ref="I2297:J2297">_xlfn.TEXTSPLIT(A2297," ")</f>
        <v>28.10.2023</v>
      </c>
      <c r="J2297" t="str">
        <v>14:19:16</v>
      </c>
      <c r="K2297">
        <f t="shared" si="466"/>
        <v>38.233333333332446</v>
      </c>
      <c r="L2297">
        <f t="shared" si="463"/>
        <v>22.119999999999997</v>
      </c>
      <c r="M2297">
        <f t="shared" si="464"/>
        <v>0.45</v>
      </c>
      <c r="N2297">
        <f t="shared" si="460"/>
        <v>0.495</v>
      </c>
      <c r="Q2297" t="str" cm="1">
        <f t="array" ref="Q2297:R2297">_xlfn.TEXTSPLIT(E2297," ")</f>
        <v>28.10.2023</v>
      </c>
      <c r="R2297" t="str">
        <v>14:19:16</v>
      </c>
      <c r="S2297">
        <f t="shared" si="467"/>
        <v>38.233333333332446</v>
      </c>
      <c r="T2297">
        <f t="shared" si="462"/>
        <v>38.080000000000013</v>
      </c>
      <c r="U2297">
        <f t="shared" si="465"/>
        <v>0.6</v>
      </c>
      <c r="V2297">
        <f t="shared" si="461"/>
        <v>0.83749999999999991</v>
      </c>
    </row>
    <row r="2298" spans="1:22" x14ac:dyDescent="0.25">
      <c r="A2298" t="s">
        <v>4254</v>
      </c>
      <c r="B2298">
        <v>0.45</v>
      </c>
      <c r="C2298">
        <v>36.44</v>
      </c>
      <c r="E2298" t="s">
        <v>4254</v>
      </c>
      <c r="F2298">
        <v>0.6</v>
      </c>
      <c r="G2298">
        <v>116.69</v>
      </c>
      <c r="I2298" t="str" cm="1">
        <f t="array" ref="I2298:J2298">_xlfn.TEXTSPLIT(A2298," ")</f>
        <v>28.10.2023</v>
      </c>
      <c r="J2298" t="str">
        <v>14:20:16</v>
      </c>
      <c r="K2298">
        <f t="shared" si="466"/>
        <v>38.249999999999112</v>
      </c>
      <c r="L2298">
        <f t="shared" si="463"/>
        <v>22.119999999999997</v>
      </c>
      <c r="M2298">
        <f t="shared" si="464"/>
        <v>0.45</v>
      </c>
      <c r="N2298">
        <f t="shared" si="460"/>
        <v>0.4975</v>
      </c>
      <c r="Q2298" t="str" cm="1">
        <f t="array" ref="Q2298:R2298">_xlfn.TEXTSPLIT(E2298," ")</f>
        <v>28.10.2023</v>
      </c>
      <c r="R2298" t="str">
        <v>14:20:16</v>
      </c>
      <c r="S2298">
        <f t="shared" si="467"/>
        <v>38.249999999999112</v>
      </c>
      <c r="T2298">
        <f t="shared" si="462"/>
        <v>38.090000000000003</v>
      </c>
      <c r="U2298">
        <f t="shared" si="465"/>
        <v>0.6</v>
      </c>
      <c r="V2298">
        <f t="shared" si="461"/>
        <v>0.83499999999999985</v>
      </c>
    </row>
    <row r="2299" spans="1:22" x14ac:dyDescent="0.25">
      <c r="A2299" t="s">
        <v>4255</v>
      </c>
      <c r="B2299">
        <v>0.3</v>
      </c>
      <c r="C2299">
        <v>36.450000000000003</v>
      </c>
      <c r="E2299" t="s">
        <v>4255</v>
      </c>
      <c r="F2299">
        <v>0</v>
      </c>
      <c r="G2299">
        <v>116.69</v>
      </c>
      <c r="I2299" t="str" cm="1">
        <f t="array" ref="I2299:J2299">_xlfn.TEXTSPLIT(A2299," ")</f>
        <v>28.10.2023</v>
      </c>
      <c r="J2299" t="str">
        <v>14:21:16</v>
      </c>
      <c r="K2299">
        <f t="shared" si="466"/>
        <v>38.266666666665778</v>
      </c>
      <c r="L2299">
        <f t="shared" si="463"/>
        <v>22.130000000000003</v>
      </c>
      <c r="M2299">
        <f t="shared" si="464"/>
        <v>0.3</v>
      </c>
      <c r="N2299">
        <f t="shared" si="460"/>
        <v>0.4975</v>
      </c>
      <c r="Q2299" t="str" cm="1">
        <f t="array" ref="Q2299:R2299">_xlfn.TEXTSPLIT(E2299," ")</f>
        <v>28.10.2023</v>
      </c>
      <c r="R2299" t="str">
        <v>14:21:16</v>
      </c>
      <c r="S2299">
        <f t="shared" si="467"/>
        <v>38.266666666665778</v>
      </c>
      <c r="T2299">
        <f t="shared" si="462"/>
        <v>38.090000000000003</v>
      </c>
      <c r="U2299">
        <f t="shared" si="465"/>
        <v>0</v>
      </c>
      <c r="V2299">
        <f t="shared" si="461"/>
        <v>0.83499999999999985</v>
      </c>
    </row>
    <row r="2300" spans="1:22" x14ac:dyDescent="0.25">
      <c r="A2300" t="s">
        <v>4256</v>
      </c>
      <c r="B2300">
        <v>0</v>
      </c>
      <c r="C2300">
        <v>36.450000000000003</v>
      </c>
      <c r="E2300" t="s">
        <v>4256</v>
      </c>
      <c r="F2300">
        <v>0.15</v>
      </c>
      <c r="G2300">
        <v>116.69</v>
      </c>
      <c r="I2300" t="str" cm="1">
        <f t="array" ref="I2300:J2300">_xlfn.TEXTSPLIT(A2300," ")</f>
        <v>28.10.2023</v>
      </c>
      <c r="J2300" t="str">
        <v>14:22:16</v>
      </c>
      <c r="K2300">
        <f t="shared" si="466"/>
        <v>38.283333333332443</v>
      </c>
      <c r="L2300">
        <f t="shared" si="463"/>
        <v>22.130000000000003</v>
      </c>
      <c r="M2300">
        <f t="shared" si="464"/>
        <v>0</v>
      </c>
      <c r="N2300">
        <f t="shared" si="460"/>
        <v>0.4975</v>
      </c>
      <c r="Q2300" t="str" cm="1">
        <f t="array" ref="Q2300:R2300">_xlfn.TEXTSPLIT(E2300," ")</f>
        <v>28.10.2023</v>
      </c>
      <c r="R2300" t="str">
        <v>14:22:16</v>
      </c>
      <c r="S2300">
        <f t="shared" si="467"/>
        <v>38.283333333332443</v>
      </c>
      <c r="T2300">
        <f t="shared" si="462"/>
        <v>38.090000000000003</v>
      </c>
      <c r="U2300">
        <f t="shared" si="465"/>
        <v>0.15</v>
      </c>
      <c r="V2300">
        <f t="shared" si="461"/>
        <v>0.83499999999999985</v>
      </c>
    </row>
    <row r="2301" spans="1:22" x14ac:dyDescent="0.25">
      <c r="A2301" t="s">
        <v>4257</v>
      </c>
      <c r="B2301">
        <v>0</v>
      </c>
      <c r="C2301">
        <v>36.450000000000003</v>
      </c>
      <c r="E2301" t="s">
        <v>4257</v>
      </c>
      <c r="F2301">
        <v>0.3</v>
      </c>
      <c r="G2301">
        <v>116.7</v>
      </c>
      <c r="I2301" t="str" cm="1">
        <f t="array" ref="I2301:J2301">_xlfn.TEXTSPLIT(A2301," ")</f>
        <v>28.10.2023</v>
      </c>
      <c r="J2301" t="str">
        <v>14:23:17</v>
      </c>
      <c r="K2301">
        <f t="shared" si="466"/>
        <v>38.299999999999109</v>
      </c>
      <c r="L2301">
        <f t="shared" si="463"/>
        <v>22.130000000000003</v>
      </c>
      <c r="M2301">
        <f t="shared" si="464"/>
        <v>0</v>
      </c>
      <c r="N2301">
        <f t="shared" si="460"/>
        <v>0.4975</v>
      </c>
      <c r="Q2301" t="str" cm="1">
        <f t="array" ref="Q2301:R2301">_xlfn.TEXTSPLIT(E2301," ")</f>
        <v>28.10.2023</v>
      </c>
      <c r="R2301" t="str">
        <v>14:23:17</v>
      </c>
      <c r="S2301">
        <f t="shared" si="467"/>
        <v>38.299999999999109</v>
      </c>
      <c r="T2301">
        <f t="shared" si="462"/>
        <v>38.100000000000009</v>
      </c>
      <c r="U2301">
        <f t="shared" si="465"/>
        <v>0.3</v>
      </c>
      <c r="V2301">
        <f t="shared" si="461"/>
        <v>0.83499999999999985</v>
      </c>
    </row>
    <row r="2302" spans="1:22" x14ac:dyDescent="0.25">
      <c r="A2302" t="s">
        <v>4258</v>
      </c>
      <c r="B2302">
        <v>0</v>
      </c>
      <c r="C2302">
        <v>36.450000000000003</v>
      </c>
      <c r="E2302" t="s">
        <v>4258</v>
      </c>
      <c r="F2302">
        <v>0.45</v>
      </c>
      <c r="G2302">
        <v>116.7</v>
      </c>
      <c r="I2302" t="str" cm="1">
        <f t="array" ref="I2302:J2302">_xlfn.TEXTSPLIT(A2302," ")</f>
        <v>28.10.2023</v>
      </c>
      <c r="J2302" t="str">
        <v>14:24:17</v>
      </c>
      <c r="K2302">
        <f t="shared" si="466"/>
        <v>38.316666666665775</v>
      </c>
      <c r="L2302">
        <f t="shared" si="463"/>
        <v>22.130000000000003</v>
      </c>
      <c r="M2302">
        <f t="shared" si="464"/>
        <v>0</v>
      </c>
      <c r="N2302">
        <f t="shared" si="460"/>
        <v>0.4975</v>
      </c>
      <c r="Q2302" t="str" cm="1">
        <f t="array" ref="Q2302:R2302">_xlfn.TEXTSPLIT(E2302," ")</f>
        <v>28.10.2023</v>
      </c>
      <c r="R2302" t="str">
        <v>14:24:17</v>
      </c>
      <c r="S2302">
        <f t="shared" si="467"/>
        <v>38.316666666665775</v>
      </c>
      <c r="T2302">
        <f t="shared" si="462"/>
        <v>38.100000000000009</v>
      </c>
      <c r="U2302">
        <f t="shared" si="465"/>
        <v>0.45</v>
      </c>
      <c r="V2302">
        <f t="shared" si="461"/>
        <v>0.83500000000000008</v>
      </c>
    </row>
    <row r="2303" spans="1:22" x14ac:dyDescent="0.25">
      <c r="A2303" t="s">
        <v>4259</v>
      </c>
      <c r="B2303">
        <v>0</v>
      </c>
      <c r="C2303">
        <v>36.450000000000003</v>
      </c>
      <c r="E2303" t="s">
        <v>4259</v>
      </c>
      <c r="F2303">
        <v>0.3</v>
      </c>
      <c r="G2303">
        <v>116.71</v>
      </c>
      <c r="I2303" t="str" cm="1">
        <f t="array" ref="I2303:J2303">_xlfn.TEXTSPLIT(A2303," ")</f>
        <v>28.10.2023</v>
      </c>
      <c r="J2303" t="str">
        <v>14:25:17</v>
      </c>
      <c r="K2303">
        <f t="shared" si="466"/>
        <v>38.33333333333244</v>
      </c>
      <c r="L2303">
        <f t="shared" si="463"/>
        <v>22.130000000000003</v>
      </c>
      <c r="M2303">
        <f t="shared" si="464"/>
        <v>0</v>
      </c>
      <c r="N2303">
        <f t="shared" ref="N2303:N2366" si="468">AVERAGE(M2244:M2303)</f>
        <v>0.4975</v>
      </c>
      <c r="Q2303" t="str" cm="1">
        <f t="array" ref="Q2303:R2303">_xlfn.TEXTSPLIT(E2303," ")</f>
        <v>28.10.2023</v>
      </c>
      <c r="R2303" t="str">
        <v>14:25:17</v>
      </c>
      <c r="S2303">
        <f t="shared" si="467"/>
        <v>38.33333333333244</v>
      </c>
      <c r="T2303">
        <f t="shared" si="462"/>
        <v>38.11</v>
      </c>
      <c r="U2303">
        <f t="shared" si="465"/>
        <v>0.3</v>
      </c>
      <c r="V2303">
        <f t="shared" ref="V2303:V2366" si="469">AVERAGE(U2244:U2303)</f>
        <v>0.83499999999999985</v>
      </c>
    </row>
    <row r="2304" spans="1:22" x14ac:dyDescent="0.25">
      <c r="A2304" t="s">
        <v>4260</v>
      </c>
      <c r="B2304">
        <v>0</v>
      </c>
      <c r="C2304">
        <v>36.450000000000003</v>
      </c>
      <c r="E2304" t="s">
        <v>4260</v>
      </c>
      <c r="F2304">
        <v>0.6</v>
      </c>
      <c r="G2304">
        <v>116.72</v>
      </c>
      <c r="I2304" t="str" cm="1">
        <f t="array" ref="I2304:J2304">_xlfn.TEXTSPLIT(A2304," ")</f>
        <v>28.10.2023</v>
      </c>
      <c r="J2304" t="str">
        <v>14:26:17</v>
      </c>
      <c r="K2304">
        <f t="shared" si="466"/>
        <v>38.349999999999106</v>
      </c>
      <c r="L2304">
        <f t="shared" si="463"/>
        <v>22.130000000000003</v>
      </c>
      <c r="M2304">
        <f t="shared" si="464"/>
        <v>0</v>
      </c>
      <c r="N2304">
        <f t="shared" si="468"/>
        <v>0.4975</v>
      </c>
      <c r="Q2304" t="str" cm="1">
        <f t="array" ref="Q2304:R2304">_xlfn.TEXTSPLIT(E2304," ")</f>
        <v>28.10.2023</v>
      </c>
      <c r="R2304" t="str">
        <v>14:26:17</v>
      </c>
      <c r="S2304">
        <f t="shared" si="467"/>
        <v>38.349999999999106</v>
      </c>
      <c r="T2304">
        <f t="shared" si="462"/>
        <v>38.120000000000005</v>
      </c>
      <c r="U2304">
        <f t="shared" si="465"/>
        <v>0.6</v>
      </c>
      <c r="V2304">
        <f t="shared" si="469"/>
        <v>0.83500000000000008</v>
      </c>
    </row>
    <row r="2305" spans="1:22" x14ac:dyDescent="0.25">
      <c r="A2305" t="s">
        <v>4261</v>
      </c>
      <c r="B2305">
        <v>0</v>
      </c>
      <c r="C2305">
        <v>36.450000000000003</v>
      </c>
      <c r="E2305" t="s">
        <v>4261</v>
      </c>
      <c r="F2305">
        <v>0.75</v>
      </c>
      <c r="G2305">
        <v>116.73</v>
      </c>
      <c r="I2305" t="str" cm="1">
        <f t="array" ref="I2305:J2305">_xlfn.TEXTSPLIT(A2305," ")</f>
        <v>28.10.2023</v>
      </c>
      <c r="J2305" t="str">
        <v>14:27:17</v>
      </c>
      <c r="K2305">
        <f t="shared" si="466"/>
        <v>38.366666666665772</v>
      </c>
      <c r="L2305">
        <f t="shared" si="463"/>
        <v>22.130000000000003</v>
      </c>
      <c r="M2305">
        <f t="shared" si="464"/>
        <v>0</v>
      </c>
      <c r="N2305">
        <f t="shared" si="468"/>
        <v>0.4975</v>
      </c>
      <c r="Q2305" t="str" cm="1">
        <f t="array" ref="Q2305:R2305">_xlfn.TEXTSPLIT(E2305," ")</f>
        <v>28.10.2023</v>
      </c>
      <c r="R2305" t="str">
        <v>14:27:17</v>
      </c>
      <c r="S2305">
        <f t="shared" si="467"/>
        <v>38.366666666665772</v>
      </c>
      <c r="T2305">
        <f t="shared" si="462"/>
        <v>38.13000000000001</v>
      </c>
      <c r="U2305">
        <f t="shared" si="465"/>
        <v>0.75</v>
      </c>
      <c r="V2305">
        <f t="shared" si="469"/>
        <v>0.83750000000000002</v>
      </c>
    </row>
    <row r="2306" spans="1:22" x14ac:dyDescent="0.25">
      <c r="A2306" t="s">
        <v>4262</v>
      </c>
      <c r="B2306">
        <v>0</v>
      </c>
      <c r="C2306">
        <v>36.450000000000003</v>
      </c>
      <c r="E2306" t="s">
        <v>4262</v>
      </c>
      <c r="F2306">
        <v>0.75</v>
      </c>
      <c r="G2306">
        <v>116.75</v>
      </c>
      <c r="I2306" t="str" cm="1">
        <f t="array" ref="I2306:J2306">_xlfn.TEXTSPLIT(A2306," ")</f>
        <v>28.10.2023</v>
      </c>
      <c r="J2306" t="str">
        <v>14:28:17</v>
      </c>
      <c r="K2306">
        <f t="shared" si="466"/>
        <v>38.383333333332438</v>
      </c>
      <c r="L2306">
        <f t="shared" si="463"/>
        <v>22.130000000000003</v>
      </c>
      <c r="M2306">
        <f t="shared" si="464"/>
        <v>0</v>
      </c>
      <c r="N2306">
        <f t="shared" si="468"/>
        <v>0.4975</v>
      </c>
      <c r="Q2306" t="str" cm="1">
        <f t="array" ref="Q2306:R2306">_xlfn.TEXTSPLIT(E2306," ")</f>
        <v>28.10.2023</v>
      </c>
      <c r="R2306" t="str">
        <v>14:28:17</v>
      </c>
      <c r="S2306">
        <f t="shared" si="467"/>
        <v>38.383333333332438</v>
      </c>
      <c r="T2306">
        <f t="shared" si="462"/>
        <v>38.150000000000006</v>
      </c>
      <c r="U2306">
        <f t="shared" si="465"/>
        <v>0.75</v>
      </c>
      <c r="V2306">
        <f t="shared" si="469"/>
        <v>0.83500000000000008</v>
      </c>
    </row>
    <row r="2307" spans="1:22" x14ac:dyDescent="0.25">
      <c r="A2307" t="s">
        <v>4263</v>
      </c>
      <c r="B2307">
        <v>0</v>
      </c>
      <c r="C2307">
        <v>36.450000000000003</v>
      </c>
      <c r="E2307" t="s">
        <v>4263</v>
      </c>
      <c r="F2307">
        <v>0.6</v>
      </c>
      <c r="G2307">
        <v>116.76</v>
      </c>
      <c r="I2307" t="str" cm="1">
        <f t="array" ref="I2307:J2307">_xlfn.TEXTSPLIT(A2307," ")</f>
        <v>28.10.2023</v>
      </c>
      <c r="J2307" t="str">
        <v>14:29:17</v>
      </c>
      <c r="K2307">
        <f t="shared" si="466"/>
        <v>38.399999999999103</v>
      </c>
      <c r="L2307">
        <f t="shared" si="463"/>
        <v>22.130000000000003</v>
      </c>
      <c r="M2307">
        <f t="shared" si="464"/>
        <v>0</v>
      </c>
      <c r="N2307">
        <f t="shared" si="468"/>
        <v>0.4975</v>
      </c>
      <c r="Q2307" t="str" cm="1">
        <f t="array" ref="Q2307:R2307">_xlfn.TEXTSPLIT(E2307," ")</f>
        <v>28.10.2023</v>
      </c>
      <c r="R2307" t="str">
        <v>14:29:17</v>
      </c>
      <c r="S2307">
        <f t="shared" si="467"/>
        <v>38.399999999999103</v>
      </c>
      <c r="T2307">
        <f t="shared" ref="T2307:T2370" si="470">G2307-78.6</f>
        <v>38.160000000000011</v>
      </c>
      <c r="U2307">
        <f t="shared" si="465"/>
        <v>0.6</v>
      </c>
      <c r="V2307">
        <f t="shared" si="469"/>
        <v>0.84</v>
      </c>
    </row>
    <row r="2308" spans="1:22" x14ac:dyDescent="0.25">
      <c r="A2308" t="s">
        <v>4264</v>
      </c>
      <c r="B2308">
        <v>0</v>
      </c>
      <c r="C2308">
        <v>36.450000000000003</v>
      </c>
      <c r="E2308" t="s">
        <v>4264</v>
      </c>
      <c r="F2308">
        <v>0.9</v>
      </c>
      <c r="G2308">
        <v>116.77</v>
      </c>
      <c r="I2308" t="str" cm="1">
        <f t="array" ref="I2308:J2308">_xlfn.TEXTSPLIT(A2308," ")</f>
        <v>28.10.2023</v>
      </c>
      <c r="J2308" t="str">
        <v>14:30:17</v>
      </c>
      <c r="K2308">
        <f t="shared" si="466"/>
        <v>38.416666666665769</v>
      </c>
      <c r="L2308">
        <f t="shared" ref="L2308:L2371" si="471">C2308-14.32</f>
        <v>22.130000000000003</v>
      </c>
      <c r="M2308">
        <f t="shared" ref="M2308:M2371" si="472">B2308</f>
        <v>0</v>
      </c>
      <c r="N2308">
        <f t="shared" si="468"/>
        <v>0.49500000000000005</v>
      </c>
      <c r="Q2308" t="str" cm="1">
        <f t="array" ref="Q2308:R2308">_xlfn.TEXTSPLIT(E2308," ")</f>
        <v>28.10.2023</v>
      </c>
      <c r="R2308" t="str">
        <v>14:30:17</v>
      </c>
      <c r="S2308">
        <f t="shared" si="467"/>
        <v>38.416666666665769</v>
      </c>
      <c r="T2308">
        <f t="shared" si="470"/>
        <v>38.17</v>
      </c>
      <c r="U2308">
        <f t="shared" ref="U2308:U2371" si="473">F2308</f>
        <v>0.9</v>
      </c>
      <c r="V2308">
        <f t="shared" si="469"/>
        <v>0.84500000000000008</v>
      </c>
    </row>
    <row r="2309" spans="1:22" x14ac:dyDescent="0.25">
      <c r="A2309" t="s">
        <v>4265</v>
      </c>
      <c r="B2309">
        <v>0.3</v>
      </c>
      <c r="C2309">
        <v>36.46</v>
      </c>
      <c r="E2309" t="s">
        <v>4265</v>
      </c>
      <c r="F2309">
        <v>0.6</v>
      </c>
      <c r="G2309">
        <v>116.78</v>
      </c>
      <c r="I2309" t="str" cm="1">
        <f t="array" ref="I2309:J2309">_xlfn.TEXTSPLIT(A2309," ")</f>
        <v>28.10.2023</v>
      </c>
      <c r="J2309" t="str">
        <v>14:31:18</v>
      </c>
      <c r="K2309">
        <f t="shared" ref="K2309:K2372" si="474">1/60+K2308</f>
        <v>38.433333333332435</v>
      </c>
      <c r="L2309">
        <f t="shared" si="471"/>
        <v>22.14</v>
      </c>
      <c r="M2309">
        <f t="shared" si="472"/>
        <v>0.3</v>
      </c>
      <c r="N2309">
        <f t="shared" si="468"/>
        <v>0.4975</v>
      </c>
      <c r="Q2309" t="str" cm="1">
        <f t="array" ref="Q2309:R2309">_xlfn.TEXTSPLIT(E2309," ")</f>
        <v>28.10.2023</v>
      </c>
      <c r="R2309" t="str">
        <v>14:31:18</v>
      </c>
      <c r="S2309">
        <f t="shared" ref="S2309:S2372" si="475">1/60+S2308</f>
        <v>38.433333333332435</v>
      </c>
      <c r="T2309">
        <f t="shared" si="470"/>
        <v>38.180000000000007</v>
      </c>
      <c r="U2309">
        <f t="shared" si="473"/>
        <v>0.6</v>
      </c>
      <c r="V2309">
        <f t="shared" si="469"/>
        <v>0.84500000000000008</v>
      </c>
    </row>
    <row r="2310" spans="1:22" x14ac:dyDescent="0.25">
      <c r="A2310" t="s">
        <v>4266</v>
      </c>
      <c r="B2310">
        <v>0.3</v>
      </c>
      <c r="C2310">
        <v>36.46</v>
      </c>
      <c r="E2310" t="s">
        <v>4266</v>
      </c>
      <c r="F2310">
        <v>0.75</v>
      </c>
      <c r="G2310">
        <v>116.79</v>
      </c>
      <c r="I2310" t="str" cm="1">
        <f t="array" ref="I2310:J2310">_xlfn.TEXTSPLIT(A2310," ")</f>
        <v>28.10.2023</v>
      </c>
      <c r="J2310" t="str">
        <v>14:32:18</v>
      </c>
      <c r="K2310">
        <f t="shared" si="474"/>
        <v>38.4499999999991</v>
      </c>
      <c r="L2310">
        <f t="shared" si="471"/>
        <v>22.14</v>
      </c>
      <c r="M2310">
        <f t="shared" si="472"/>
        <v>0.3</v>
      </c>
      <c r="N2310">
        <f t="shared" si="468"/>
        <v>0.495</v>
      </c>
      <c r="Q2310" t="str" cm="1">
        <f t="array" ref="Q2310:R2310">_xlfn.TEXTSPLIT(E2310," ")</f>
        <v>28.10.2023</v>
      </c>
      <c r="R2310" t="str">
        <v>14:32:18</v>
      </c>
      <c r="S2310">
        <f t="shared" si="475"/>
        <v>38.4499999999991</v>
      </c>
      <c r="T2310">
        <f t="shared" si="470"/>
        <v>38.190000000000012</v>
      </c>
      <c r="U2310">
        <f t="shared" si="473"/>
        <v>0.75</v>
      </c>
      <c r="V2310">
        <f t="shared" si="469"/>
        <v>0.84749999999999992</v>
      </c>
    </row>
    <row r="2311" spans="1:22" x14ac:dyDescent="0.25">
      <c r="A2311" t="s">
        <v>4267</v>
      </c>
      <c r="B2311">
        <v>0.45</v>
      </c>
      <c r="C2311">
        <v>36.47</v>
      </c>
      <c r="E2311" t="s">
        <v>4267</v>
      </c>
      <c r="F2311">
        <v>0.6</v>
      </c>
      <c r="G2311">
        <v>116.8</v>
      </c>
      <c r="I2311" t="str" cm="1">
        <f t="array" ref="I2311:J2311">_xlfn.TEXTSPLIT(A2311," ")</f>
        <v>28.10.2023</v>
      </c>
      <c r="J2311" t="str">
        <v>14:33:18</v>
      </c>
      <c r="K2311">
        <f t="shared" si="474"/>
        <v>38.466666666665766</v>
      </c>
      <c r="L2311">
        <f t="shared" si="471"/>
        <v>22.15</v>
      </c>
      <c r="M2311">
        <f t="shared" si="472"/>
        <v>0.45</v>
      </c>
      <c r="N2311">
        <f t="shared" si="468"/>
        <v>0.5</v>
      </c>
      <c r="Q2311" t="str" cm="1">
        <f t="array" ref="Q2311:R2311">_xlfn.TEXTSPLIT(E2311," ")</f>
        <v>28.10.2023</v>
      </c>
      <c r="R2311" t="str">
        <v>14:33:18</v>
      </c>
      <c r="S2311">
        <f t="shared" si="475"/>
        <v>38.466666666665766</v>
      </c>
      <c r="T2311">
        <f t="shared" si="470"/>
        <v>38.200000000000003</v>
      </c>
      <c r="U2311">
        <f t="shared" si="473"/>
        <v>0.6</v>
      </c>
      <c r="V2311">
        <f t="shared" si="469"/>
        <v>0.84750000000000003</v>
      </c>
    </row>
    <row r="2312" spans="1:22" x14ac:dyDescent="0.25">
      <c r="A2312" t="s">
        <v>4268</v>
      </c>
      <c r="B2312">
        <v>0.3</v>
      </c>
      <c r="C2312">
        <v>36.47</v>
      </c>
      <c r="E2312" t="s">
        <v>4268</v>
      </c>
      <c r="F2312">
        <v>0.75</v>
      </c>
      <c r="G2312">
        <v>116.81</v>
      </c>
      <c r="I2312" t="str" cm="1">
        <f t="array" ref="I2312:J2312">_xlfn.TEXTSPLIT(A2312," ")</f>
        <v>28.10.2023</v>
      </c>
      <c r="J2312" t="str">
        <v>14:34:18</v>
      </c>
      <c r="K2312">
        <f t="shared" si="474"/>
        <v>38.483333333332432</v>
      </c>
      <c r="L2312">
        <f t="shared" si="471"/>
        <v>22.15</v>
      </c>
      <c r="M2312">
        <f t="shared" si="472"/>
        <v>0.3</v>
      </c>
      <c r="N2312">
        <f t="shared" si="468"/>
        <v>0.4975</v>
      </c>
      <c r="Q2312" t="str" cm="1">
        <f t="array" ref="Q2312:R2312">_xlfn.TEXTSPLIT(E2312," ")</f>
        <v>28.10.2023</v>
      </c>
      <c r="R2312" t="str">
        <v>14:34:18</v>
      </c>
      <c r="S2312">
        <f t="shared" si="475"/>
        <v>38.483333333332432</v>
      </c>
      <c r="T2312">
        <f t="shared" si="470"/>
        <v>38.210000000000008</v>
      </c>
      <c r="U2312">
        <f t="shared" si="473"/>
        <v>0.75</v>
      </c>
      <c r="V2312">
        <f t="shared" si="469"/>
        <v>0.85</v>
      </c>
    </row>
    <row r="2313" spans="1:22" x14ac:dyDescent="0.25">
      <c r="A2313" t="s">
        <v>4269</v>
      </c>
      <c r="B2313">
        <v>0.45</v>
      </c>
      <c r="C2313">
        <v>36.479999999999997</v>
      </c>
      <c r="E2313" t="s">
        <v>4269</v>
      </c>
      <c r="F2313">
        <v>1.2</v>
      </c>
      <c r="G2313">
        <v>116.84</v>
      </c>
      <c r="I2313" t="str" cm="1">
        <f t="array" ref="I2313:J2313">_xlfn.TEXTSPLIT(A2313," ")</f>
        <v>28.10.2023</v>
      </c>
      <c r="J2313" t="str">
        <v>14:35:18</v>
      </c>
      <c r="K2313">
        <f t="shared" si="474"/>
        <v>38.499999999999098</v>
      </c>
      <c r="L2313">
        <f t="shared" si="471"/>
        <v>22.159999999999997</v>
      </c>
      <c r="M2313">
        <f t="shared" si="472"/>
        <v>0.45</v>
      </c>
      <c r="N2313">
        <f t="shared" si="468"/>
        <v>0.5</v>
      </c>
      <c r="Q2313" t="str" cm="1">
        <f t="array" ref="Q2313:R2313">_xlfn.TEXTSPLIT(E2313," ")</f>
        <v>28.10.2023</v>
      </c>
      <c r="R2313" t="str">
        <v>14:35:18</v>
      </c>
      <c r="S2313">
        <f t="shared" si="475"/>
        <v>38.499999999999098</v>
      </c>
      <c r="T2313">
        <f t="shared" si="470"/>
        <v>38.240000000000009</v>
      </c>
      <c r="U2313">
        <f t="shared" si="473"/>
        <v>1.2</v>
      </c>
      <c r="V2313">
        <f t="shared" si="469"/>
        <v>0.85249999999999992</v>
      </c>
    </row>
    <row r="2314" spans="1:22" x14ac:dyDescent="0.25">
      <c r="A2314" t="s">
        <v>4270</v>
      </c>
      <c r="B2314">
        <v>0.45</v>
      </c>
      <c r="C2314">
        <v>36.49</v>
      </c>
      <c r="E2314" t="s">
        <v>4270</v>
      </c>
      <c r="F2314">
        <v>2.5499999999999998</v>
      </c>
      <c r="G2314">
        <v>116.89</v>
      </c>
      <c r="I2314" t="str" cm="1">
        <f t="array" ref="I2314:J2314">_xlfn.TEXTSPLIT(A2314," ")</f>
        <v>28.10.2023</v>
      </c>
      <c r="J2314" t="str">
        <v>14:36:18</v>
      </c>
      <c r="K2314">
        <f t="shared" si="474"/>
        <v>38.516666666665763</v>
      </c>
      <c r="L2314">
        <f t="shared" si="471"/>
        <v>22.17</v>
      </c>
      <c r="M2314">
        <f t="shared" si="472"/>
        <v>0.45</v>
      </c>
      <c r="N2314">
        <f t="shared" si="468"/>
        <v>0.49999999999999994</v>
      </c>
      <c r="Q2314" t="str" cm="1">
        <f t="array" ref="Q2314:R2314">_xlfn.TEXTSPLIT(E2314," ")</f>
        <v>28.10.2023</v>
      </c>
      <c r="R2314" t="str">
        <v>14:36:18</v>
      </c>
      <c r="S2314">
        <f t="shared" si="475"/>
        <v>38.516666666665763</v>
      </c>
      <c r="T2314">
        <f t="shared" si="470"/>
        <v>38.290000000000006</v>
      </c>
      <c r="U2314">
        <f t="shared" si="473"/>
        <v>2.5499999999999998</v>
      </c>
      <c r="V2314">
        <f t="shared" si="469"/>
        <v>0.84249999999999992</v>
      </c>
    </row>
    <row r="2315" spans="1:22" x14ac:dyDescent="0.25">
      <c r="A2315" t="s">
        <v>4271</v>
      </c>
      <c r="B2315">
        <v>2.25</v>
      </c>
      <c r="C2315">
        <v>36.53</v>
      </c>
      <c r="E2315" t="s">
        <v>4271</v>
      </c>
      <c r="F2315">
        <v>1.95</v>
      </c>
      <c r="G2315">
        <v>116.92</v>
      </c>
      <c r="I2315" t="str" cm="1">
        <f t="array" ref="I2315:J2315">_xlfn.TEXTSPLIT(A2315," ")</f>
        <v>28.10.2023</v>
      </c>
      <c r="J2315" t="str">
        <v>14:37:18</v>
      </c>
      <c r="K2315">
        <f t="shared" si="474"/>
        <v>38.533333333332429</v>
      </c>
      <c r="L2315">
        <f t="shared" si="471"/>
        <v>22.21</v>
      </c>
      <c r="M2315">
        <f t="shared" si="472"/>
        <v>2.25</v>
      </c>
      <c r="N2315">
        <f t="shared" si="468"/>
        <v>0.49749999999999994</v>
      </c>
      <c r="Q2315" t="str" cm="1">
        <f t="array" ref="Q2315:R2315">_xlfn.TEXTSPLIT(E2315," ")</f>
        <v>28.10.2023</v>
      </c>
      <c r="R2315" t="str">
        <v>14:37:18</v>
      </c>
      <c r="S2315">
        <f t="shared" si="475"/>
        <v>38.533333333332429</v>
      </c>
      <c r="T2315">
        <f t="shared" si="470"/>
        <v>38.320000000000007</v>
      </c>
      <c r="U2315">
        <f t="shared" si="473"/>
        <v>1.95</v>
      </c>
      <c r="V2315">
        <f t="shared" si="469"/>
        <v>0.84000000000000008</v>
      </c>
    </row>
    <row r="2316" spans="1:22" x14ac:dyDescent="0.25">
      <c r="A2316" t="s">
        <v>4272</v>
      </c>
      <c r="B2316">
        <v>1.8</v>
      </c>
      <c r="C2316">
        <v>36.56</v>
      </c>
      <c r="E2316" t="s">
        <v>4272</v>
      </c>
      <c r="F2316">
        <v>1.65</v>
      </c>
      <c r="G2316">
        <v>116.94</v>
      </c>
      <c r="I2316" t="str" cm="1">
        <f t="array" ref="I2316:J2316">_xlfn.TEXTSPLIT(A2316," ")</f>
        <v>28.10.2023</v>
      </c>
      <c r="J2316" t="str">
        <v>14:38:19</v>
      </c>
      <c r="K2316">
        <f t="shared" si="474"/>
        <v>38.549999999999095</v>
      </c>
      <c r="L2316">
        <f t="shared" si="471"/>
        <v>22.240000000000002</v>
      </c>
      <c r="M2316">
        <f t="shared" si="472"/>
        <v>1.8</v>
      </c>
      <c r="N2316">
        <f t="shared" si="468"/>
        <v>0.495</v>
      </c>
      <c r="Q2316" t="str" cm="1">
        <f t="array" ref="Q2316:R2316">_xlfn.TEXTSPLIT(E2316," ")</f>
        <v>28.10.2023</v>
      </c>
      <c r="R2316" t="str">
        <v>14:38:19</v>
      </c>
      <c r="S2316">
        <f t="shared" si="475"/>
        <v>38.549999999999095</v>
      </c>
      <c r="T2316">
        <f t="shared" si="470"/>
        <v>38.340000000000003</v>
      </c>
      <c r="U2316">
        <f t="shared" si="473"/>
        <v>1.65</v>
      </c>
      <c r="V2316">
        <f t="shared" si="469"/>
        <v>0.84750000000000003</v>
      </c>
    </row>
    <row r="2317" spans="1:22" x14ac:dyDescent="0.25">
      <c r="A2317" t="s">
        <v>4273</v>
      </c>
      <c r="B2317">
        <v>1.35</v>
      </c>
      <c r="C2317">
        <v>36.58</v>
      </c>
      <c r="E2317" t="s">
        <v>4273</v>
      </c>
      <c r="F2317">
        <v>1.5</v>
      </c>
      <c r="G2317">
        <v>116.97</v>
      </c>
      <c r="I2317" t="str" cm="1">
        <f t="array" ref="I2317:J2317">_xlfn.TEXTSPLIT(A2317," ")</f>
        <v>28.10.2023</v>
      </c>
      <c r="J2317" t="str">
        <v>14:39:19</v>
      </c>
      <c r="K2317">
        <f t="shared" si="474"/>
        <v>38.56666666666576</v>
      </c>
      <c r="L2317">
        <f t="shared" si="471"/>
        <v>22.259999999999998</v>
      </c>
      <c r="M2317">
        <f t="shared" si="472"/>
        <v>1.35</v>
      </c>
      <c r="N2317">
        <f t="shared" si="468"/>
        <v>0.4975</v>
      </c>
      <c r="Q2317" t="str" cm="1">
        <f t="array" ref="Q2317:R2317">_xlfn.TEXTSPLIT(E2317," ")</f>
        <v>28.10.2023</v>
      </c>
      <c r="R2317" t="str">
        <v>14:39:19</v>
      </c>
      <c r="S2317">
        <f t="shared" si="475"/>
        <v>38.56666666666576</v>
      </c>
      <c r="T2317">
        <f t="shared" si="470"/>
        <v>38.370000000000005</v>
      </c>
      <c r="U2317">
        <f t="shared" si="473"/>
        <v>1.5</v>
      </c>
      <c r="V2317">
        <f t="shared" si="469"/>
        <v>0.85</v>
      </c>
    </row>
    <row r="2318" spans="1:22" x14ac:dyDescent="0.25">
      <c r="A2318" t="s">
        <v>4274</v>
      </c>
      <c r="B2318">
        <v>1.65</v>
      </c>
      <c r="C2318">
        <v>36.6</v>
      </c>
      <c r="E2318" t="s">
        <v>4274</v>
      </c>
      <c r="F2318">
        <v>2.25</v>
      </c>
      <c r="G2318">
        <v>117</v>
      </c>
      <c r="I2318" t="str" cm="1">
        <f t="array" ref="I2318:J2318">_xlfn.TEXTSPLIT(A2318," ")</f>
        <v>28.10.2023</v>
      </c>
      <c r="J2318" t="str">
        <v>14:40:19</v>
      </c>
      <c r="K2318">
        <f t="shared" si="474"/>
        <v>38.583333333332426</v>
      </c>
      <c r="L2318">
        <f t="shared" si="471"/>
        <v>22.28</v>
      </c>
      <c r="M2318">
        <f t="shared" si="472"/>
        <v>1.65</v>
      </c>
      <c r="N2318">
        <f t="shared" si="468"/>
        <v>0.50750000000000006</v>
      </c>
      <c r="Q2318" t="str" cm="1">
        <f t="array" ref="Q2318:R2318">_xlfn.TEXTSPLIT(E2318," ")</f>
        <v>28.10.2023</v>
      </c>
      <c r="R2318" t="str">
        <v>14:40:19</v>
      </c>
      <c r="S2318">
        <f t="shared" si="475"/>
        <v>38.583333333332426</v>
      </c>
      <c r="T2318">
        <f t="shared" si="470"/>
        <v>38.400000000000006</v>
      </c>
      <c r="U2318">
        <f t="shared" si="473"/>
        <v>2.25</v>
      </c>
      <c r="V2318">
        <f t="shared" si="469"/>
        <v>0.86250000000000004</v>
      </c>
    </row>
    <row r="2319" spans="1:22" x14ac:dyDescent="0.25">
      <c r="A2319" t="s">
        <v>4275</v>
      </c>
      <c r="B2319">
        <v>0.9</v>
      </c>
      <c r="C2319">
        <v>36.630000000000003</v>
      </c>
      <c r="E2319" t="s">
        <v>4275</v>
      </c>
      <c r="F2319">
        <v>1.35</v>
      </c>
      <c r="G2319">
        <v>117.02</v>
      </c>
      <c r="I2319" t="str" cm="1">
        <f t="array" ref="I2319:J2319">_xlfn.TEXTSPLIT(A2319," ")</f>
        <v>28.10.2023</v>
      </c>
      <c r="J2319" t="str">
        <v>14:41:19</v>
      </c>
      <c r="K2319">
        <f t="shared" si="474"/>
        <v>38.599999999999092</v>
      </c>
      <c r="L2319">
        <f t="shared" si="471"/>
        <v>22.310000000000002</v>
      </c>
      <c r="M2319">
        <f t="shared" si="472"/>
        <v>0.9</v>
      </c>
      <c r="N2319">
        <f t="shared" si="468"/>
        <v>0.505</v>
      </c>
      <c r="Q2319" t="str" cm="1">
        <f t="array" ref="Q2319:R2319">_xlfn.TEXTSPLIT(E2319," ")</f>
        <v>28.10.2023</v>
      </c>
      <c r="R2319" t="str">
        <v>14:41:19</v>
      </c>
      <c r="S2319">
        <f t="shared" si="475"/>
        <v>38.599999999999092</v>
      </c>
      <c r="T2319">
        <f t="shared" si="470"/>
        <v>38.42</v>
      </c>
      <c r="U2319">
        <f t="shared" si="473"/>
        <v>1.35</v>
      </c>
      <c r="V2319">
        <f t="shared" si="469"/>
        <v>0.86750000000000005</v>
      </c>
    </row>
    <row r="2320" spans="1:22" x14ac:dyDescent="0.25">
      <c r="A2320" t="s">
        <v>4276</v>
      </c>
      <c r="B2320">
        <v>1.35</v>
      </c>
      <c r="C2320">
        <v>36.65</v>
      </c>
      <c r="E2320" t="s">
        <v>4276</v>
      </c>
      <c r="F2320">
        <v>1.05</v>
      </c>
      <c r="G2320">
        <v>117.04</v>
      </c>
      <c r="I2320" t="str" cm="1">
        <f t="array" ref="I2320:J2320">_xlfn.TEXTSPLIT(A2320," ")</f>
        <v>28.10.2023</v>
      </c>
      <c r="J2320" t="str">
        <v>14:42:19</v>
      </c>
      <c r="K2320">
        <f t="shared" si="474"/>
        <v>38.616666666665758</v>
      </c>
      <c r="L2320">
        <f t="shared" si="471"/>
        <v>22.33</v>
      </c>
      <c r="M2320">
        <f t="shared" si="472"/>
        <v>1.35</v>
      </c>
      <c r="N2320">
        <f t="shared" si="468"/>
        <v>0.51749999999999996</v>
      </c>
      <c r="Q2320" t="str" cm="1">
        <f t="array" ref="Q2320:R2320">_xlfn.TEXTSPLIT(E2320," ")</f>
        <v>28.10.2023</v>
      </c>
      <c r="R2320" t="str">
        <v>14:42:19</v>
      </c>
      <c r="S2320">
        <f t="shared" si="475"/>
        <v>38.616666666665758</v>
      </c>
      <c r="T2320">
        <f t="shared" si="470"/>
        <v>38.440000000000012</v>
      </c>
      <c r="U2320">
        <f t="shared" si="473"/>
        <v>1.05</v>
      </c>
      <c r="V2320">
        <f t="shared" si="469"/>
        <v>0.87</v>
      </c>
    </row>
    <row r="2321" spans="1:22" x14ac:dyDescent="0.25">
      <c r="A2321" t="s">
        <v>4277</v>
      </c>
      <c r="B2321">
        <v>0.9</v>
      </c>
      <c r="C2321">
        <v>36.659999999999997</v>
      </c>
      <c r="E2321" t="s">
        <v>4277</v>
      </c>
      <c r="F2321">
        <v>1.05</v>
      </c>
      <c r="G2321">
        <v>117.06</v>
      </c>
      <c r="I2321" t="str" cm="1">
        <f t="array" ref="I2321:J2321">_xlfn.TEXTSPLIT(A2321," ")</f>
        <v>28.10.2023</v>
      </c>
      <c r="J2321" t="str">
        <v>14:43:19</v>
      </c>
      <c r="K2321">
        <f t="shared" si="474"/>
        <v>38.633333333332423</v>
      </c>
      <c r="L2321">
        <f t="shared" si="471"/>
        <v>22.339999999999996</v>
      </c>
      <c r="M2321">
        <f t="shared" si="472"/>
        <v>0.9</v>
      </c>
      <c r="N2321">
        <f t="shared" si="468"/>
        <v>0.51749999999999996</v>
      </c>
      <c r="Q2321" t="str" cm="1">
        <f t="array" ref="Q2321:R2321">_xlfn.TEXTSPLIT(E2321," ")</f>
        <v>28.10.2023</v>
      </c>
      <c r="R2321" t="str">
        <v>14:43:19</v>
      </c>
      <c r="S2321">
        <f t="shared" si="475"/>
        <v>38.633333333332423</v>
      </c>
      <c r="T2321">
        <f t="shared" si="470"/>
        <v>38.460000000000008</v>
      </c>
      <c r="U2321">
        <f t="shared" si="473"/>
        <v>1.05</v>
      </c>
      <c r="V2321">
        <f t="shared" si="469"/>
        <v>0.875</v>
      </c>
    </row>
    <row r="2322" spans="1:22" x14ac:dyDescent="0.25">
      <c r="A2322" t="s">
        <v>4278</v>
      </c>
      <c r="B2322">
        <v>0.9</v>
      </c>
      <c r="C2322">
        <v>36.67</v>
      </c>
      <c r="E2322" t="s">
        <v>4278</v>
      </c>
      <c r="F2322">
        <v>0.9</v>
      </c>
      <c r="G2322">
        <v>117.07</v>
      </c>
      <c r="I2322" t="str" cm="1">
        <f t="array" ref="I2322:J2322">_xlfn.TEXTSPLIT(A2322," ")</f>
        <v>28.10.2023</v>
      </c>
      <c r="J2322" t="str">
        <v>14:44:19</v>
      </c>
      <c r="K2322">
        <f t="shared" si="474"/>
        <v>38.649999999999089</v>
      </c>
      <c r="L2322">
        <f t="shared" si="471"/>
        <v>22.35</v>
      </c>
      <c r="M2322">
        <f t="shared" si="472"/>
        <v>0.9</v>
      </c>
      <c r="N2322">
        <f t="shared" si="468"/>
        <v>0.52249999999999985</v>
      </c>
      <c r="Q2322" t="str" cm="1">
        <f t="array" ref="Q2322:R2322">_xlfn.TEXTSPLIT(E2322," ")</f>
        <v>28.10.2023</v>
      </c>
      <c r="R2322" t="str">
        <v>14:44:19</v>
      </c>
      <c r="S2322">
        <f t="shared" si="475"/>
        <v>38.649999999999089</v>
      </c>
      <c r="T2322">
        <f t="shared" si="470"/>
        <v>38.47</v>
      </c>
      <c r="U2322">
        <f t="shared" si="473"/>
        <v>0.9</v>
      </c>
      <c r="V2322">
        <f t="shared" si="469"/>
        <v>0.88000000000000012</v>
      </c>
    </row>
    <row r="2323" spans="1:22" x14ac:dyDescent="0.25">
      <c r="A2323" t="s">
        <v>4279</v>
      </c>
      <c r="B2323">
        <v>0.6</v>
      </c>
      <c r="C2323">
        <v>36.68</v>
      </c>
      <c r="E2323" t="s">
        <v>4279</v>
      </c>
      <c r="F2323">
        <v>1.2</v>
      </c>
      <c r="G2323">
        <v>117.09</v>
      </c>
      <c r="I2323" t="str" cm="1">
        <f t="array" ref="I2323:J2323">_xlfn.TEXTSPLIT(A2323," ")</f>
        <v>28.10.2023</v>
      </c>
      <c r="J2323" t="str">
        <v>14:45:20</v>
      </c>
      <c r="K2323">
        <f t="shared" si="474"/>
        <v>38.666666666665755</v>
      </c>
      <c r="L2323">
        <f t="shared" si="471"/>
        <v>22.36</v>
      </c>
      <c r="M2323">
        <f t="shared" si="472"/>
        <v>0.6</v>
      </c>
      <c r="N2323">
        <f t="shared" si="468"/>
        <v>0.52249999999999985</v>
      </c>
      <c r="Q2323" t="str" cm="1">
        <f t="array" ref="Q2323:R2323">_xlfn.TEXTSPLIT(E2323," ")</f>
        <v>28.10.2023</v>
      </c>
      <c r="R2323" t="str">
        <v>14:45:20</v>
      </c>
      <c r="S2323">
        <f t="shared" si="475"/>
        <v>38.666666666665755</v>
      </c>
      <c r="T2323">
        <f t="shared" si="470"/>
        <v>38.490000000000009</v>
      </c>
      <c r="U2323">
        <f t="shared" si="473"/>
        <v>1.2</v>
      </c>
      <c r="V2323">
        <f t="shared" si="469"/>
        <v>0.89250000000000007</v>
      </c>
    </row>
    <row r="2324" spans="1:22" x14ac:dyDescent="0.25">
      <c r="A2324" t="s">
        <v>4280</v>
      </c>
      <c r="B2324">
        <v>0.75</v>
      </c>
      <c r="C2324">
        <v>36.700000000000003</v>
      </c>
      <c r="E2324" t="s">
        <v>4280</v>
      </c>
      <c r="F2324">
        <v>1.35</v>
      </c>
      <c r="G2324">
        <v>117.12</v>
      </c>
      <c r="I2324" t="str" cm="1">
        <f t="array" ref="I2324:J2324">_xlfn.TEXTSPLIT(A2324," ")</f>
        <v>28.10.2023</v>
      </c>
      <c r="J2324" t="str">
        <v>14:46:20</v>
      </c>
      <c r="K2324">
        <f t="shared" si="474"/>
        <v>38.683333333332421</v>
      </c>
      <c r="L2324">
        <f t="shared" si="471"/>
        <v>22.380000000000003</v>
      </c>
      <c r="M2324">
        <f t="shared" si="472"/>
        <v>0.75</v>
      </c>
      <c r="N2324">
        <f t="shared" si="468"/>
        <v>0.52749999999999997</v>
      </c>
      <c r="Q2324" t="str" cm="1">
        <f t="array" ref="Q2324:R2324">_xlfn.TEXTSPLIT(E2324," ")</f>
        <v>28.10.2023</v>
      </c>
      <c r="R2324" t="str">
        <v>14:46:20</v>
      </c>
      <c r="S2324">
        <f t="shared" si="475"/>
        <v>38.683333333332421</v>
      </c>
      <c r="T2324">
        <f t="shared" si="470"/>
        <v>38.52000000000001</v>
      </c>
      <c r="U2324">
        <f t="shared" si="473"/>
        <v>1.35</v>
      </c>
      <c r="V2324">
        <f t="shared" si="469"/>
        <v>0.90250000000000008</v>
      </c>
    </row>
    <row r="2325" spans="1:22" x14ac:dyDescent="0.25">
      <c r="A2325" t="s">
        <v>4281</v>
      </c>
      <c r="B2325">
        <v>0.75</v>
      </c>
      <c r="C2325">
        <v>36.71</v>
      </c>
      <c r="E2325" t="s">
        <v>4281</v>
      </c>
      <c r="F2325">
        <v>1.05</v>
      </c>
      <c r="G2325">
        <v>117.13</v>
      </c>
      <c r="I2325" t="str" cm="1">
        <f t="array" ref="I2325:J2325">_xlfn.TEXTSPLIT(A2325," ")</f>
        <v>28.10.2023</v>
      </c>
      <c r="J2325" t="str">
        <v>14:47:20</v>
      </c>
      <c r="K2325">
        <f t="shared" si="474"/>
        <v>38.699999999999086</v>
      </c>
      <c r="L2325">
        <f t="shared" si="471"/>
        <v>22.39</v>
      </c>
      <c r="M2325">
        <f t="shared" si="472"/>
        <v>0.75</v>
      </c>
      <c r="N2325">
        <f t="shared" si="468"/>
        <v>0.53249999999999997</v>
      </c>
      <c r="Q2325" t="str" cm="1">
        <f t="array" ref="Q2325:R2325">_xlfn.TEXTSPLIT(E2325," ")</f>
        <v>28.10.2023</v>
      </c>
      <c r="R2325" t="str">
        <v>14:47:20</v>
      </c>
      <c r="S2325">
        <f t="shared" si="475"/>
        <v>38.699999999999086</v>
      </c>
      <c r="T2325">
        <f t="shared" si="470"/>
        <v>38.53</v>
      </c>
      <c r="U2325">
        <f t="shared" si="473"/>
        <v>1.05</v>
      </c>
      <c r="V2325">
        <f t="shared" si="469"/>
        <v>0.90250000000000008</v>
      </c>
    </row>
    <row r="2326" spans="1:22" x14ac:dyDescent="0.25">
      <c r="A2326" t="s">
        <v>4282</v>
      </c>
      <c r="B2326">
        <v>0.75</v>
      </c>
      <c r="C2326">
        <v>36.72</v>
      </c>
      <c r="E2326" t="s">
        <v>4282</v>
      </c>
      <c r="F2326">
        <v>0.75</v>
      </c>
      <c r="G2326">
        <v>117.14</v>
      </c>
      <c r="I2326" t="str" cm="1">
        <f t="array" ref="I2326:J2326">_xlfn.TEXTSPLIT(A2326," ")</f>
        <v>28.10.2023</v>
      </c>
      <c r="J2326" t="str">
        <v>14:48:20</v>
      </c>
      <c r="K2326">
        <f t="shared" si="474"/>
        <v>38.716666666665752</v>
      </c>
      <c r="L2326">
        <f t="shared" si="471"/>
        <v>22.4</v>
      </c>
      <c r="M2326">
        <f t="shared" si="472"/>
        <v>0.75</v>
      </c>
      <c r="N2326">
        <f t="shared" si="468"/>
        <v>0.53749999999999998</v>
      </c>
      <c r="Q2326" t="str" cm="1">
        <f t="array" ref="Q2326:R2326">_xlfn.TEXTSPLIT(E2326," ")</f>
        <v>28.10.2023</v>
      </c>
      <c r="R2326" t="str">
        <v>14:48:20</v>
      </c>
      <c r="S2326">
        <f t="shared" si="475"/>
        <v>38.716666666665752</v>
      </c>
      <c r="T2326">
        <f t="shared" si="470"/>
        <v>38.540000000000006</v>
      </c>
      <c r="U2326">
        <f t="shared" si="473"/>
        <v>0.75</v>
      </c>
      <c r="V2326">
        <f t="shared" si="469"/>
        <v>0.89500000000000002</v>
      </c>
    </row>
    <row r="2327" spans="1:22" x14ac:dyDescent="0.25">
      <c r="A2327" t="s">
        <v>4283</v>
      </c>
      <c r="B2327">
        <v>0.75</v>
      </c>
      <c r="C2327">
        <v>36.74</v>
      </c>
      <c r="E2327" t="s">
        <v>4283</v>
      </c>
      <c r="F2327">
        <v>0.75</v>
      </c>
      <c r="G2327">
        <v>117.16</v>
      </c>
      <c r="I2327" t="str" cm="1">
        <f t="array" ref="I2327:J2327">_xlfn.TEXTSPLIT(A2327," ")</f>
        <v>28.10.2023</v>
      </c>
      <c r="J2327" t="str">
        <v>14:49:20</v>
      </c>
      <c r="K2327">
        <f t="shared" si="474"/>
        <v>38.733333333332418</v>
      </c>
      <c r="L2327">
        <f t="shared" si="471"/>
        <v>22.42</v>
      </c>
      <c r="M2327">
        <f t="shared" si="472"/>
        <v>0.75</v>
      </c>
      <c r="N2327">
        <f t="shared" si="468"/>
        <v>0.54249999999999998</v>
      </c>
      <c r="Q2327" t="str" cm="1">
        <f t="array" ref="Q2327:R2327">_xlfn.TEXTSPLIT(E2327," ")</f>
        <v>28.10.2023</v>
      </c>
      <c r="R2327" t="str">
        <v>14:49:20</v>
      </c>
      <c r="S2327">
        <f t="shared" si="475"/>
        <v>38.733333333332418</v>
      </c>
      <c r="T2327">
        <f t="shared" si="470"/>
        <v>38.56</v>
      </c>
      <c r="U2327">
        <f t="shared" si="473"/>
        <v>0.75</v>
      </c>
      <c r="V2327">
        <f t="shared" si="469"/>
        <v>0.88749999999999996</v>
      </c>
    </row>
    <row r="2328" spans="1:22" x14ac:dyDescent="0.25">
      <c r="A2328" t="s">
        <v>4284</v>
      </c>
      <c r="B2328">
        <v>0.9</v>
      </c>
      <c r="C2328">
        <v>36.75</v>
      </c>
      <c r="E2328" t="s">
        <v>4284</v>
      </c>
      <c r="F2328">
        <v>0.6</v>
      </c>
      <c r="G2328">
        <v>117.17</v>
      </c>
      <c r="I2328" t="str" cm="1">
        <f t="array" ref="I2328:J2328">_xlfn.TEXTSPLIT(A2328," ")</f>
        <v>28.10.2023</v>
      </c>
      <c r="J2328" t="str">
        <v>14:50:20</v>
      </c>
      <c r="K2328">
        <f t="shared" si="474"/>
        <v>38.749999999999083</v>
      </c>
      <c r="L2328">
        <f t="shared" si="471"/>
        <v>22.43</v>
      </c>
      <c r="M2328">
        <f t="shared" si="472"/>
        <v>0.9</v>
      </c>
      <c r="N2328">
        <f t="shared" si="468"/>
        <v>0.55249999999999999</v>
      </c>
      <c r="Q2328" t="str" cm="1">
        <f t="array" ref="Q2328:R2328">_xlfn.TEXTSPLIT(E2328," ")</f>
        <v>28.10.2023</v>
      </c>
      <c r="R2328" t="str">
        <v>14:50:20</v>
      </c>
      <c r="S2328">
        <f t="shared" si="475"/>
        <v>38.749999999999083</v>
      </c>
      <c r="T2328">
        <f t="shared" si="470"/>
        <v>38.570000000000007</v>
      </c>
      <c r="U2328">
        <f t="shared" si="473"/>
        <v>0.6</v>
      </c>
      <c r="V2328">
        <f t="shared" si="469"/>
        <v>0.88750000000000007</v>
      </c>
    </row>
    <row r="2329" spans="1:22" x14ac:dyDescent="0.25">
      <c r="A2329" t="s">
        <v>4285</v>
      </c>
      <c r="B2329">
        <v>0.6</v>
      </c>
      <c r="C2329">
        <v>36.76</v>
      </c>
      <c r="E2329" t="s">
        <v>4285</v>
      </c>
      <c r="F2329">
        <v>0.15</v>
      </c>
      <c r="G2329">
        <v>117.17</v>
      </c>
      <c r="I2329" t="str" cm="1">
        <f t="array" ref="I2329:J2329">_xlfn.TEXTSPLIT(A2329," ")</f>
        <v>28.10.2023</v>
      </c>
      <c r="J2329" t="str">
        <v>14:51:20</v>
      </c>
      <c r="K2329">
        <f t="shared" si="474"/>
        <v>38.766666666665749</v>
      </c>
      <c r="L2329">
        <f t="shared" si="471"/>
        <v>22.439999999999998</v>
      </c>
      <c r="M2329">
        <f t="shared" si="472"/>
        <v>0.6</v>
      </c>
      <c r="N2329">
        <f t="shared" si="468"/>
        <v>0.55499999999999994</v>
      </c>
      <c r="Q2329" t="str" cm="1">
        <f t="array" ref="Q2329:R2329">_xlfn.TEXTSPLIT(E2329," ")</f>
        <v>28.10.2023</v>
      </c>
      <c r="R2329" t="str">
        <v>14:51:20</v>
      </c>
      <c r="S2329">
        <f t="shared" si="475"/>
        <v>38.766666666665749</v>
      </c>
      <c r="T2329">
        <f t="shared" si="470"/>
        <v>38.570000000000007</v>
      </c>
      <c r="U2329">
        <f t="shared" si="473"/>
        <v>0.15</v>
      </c>
      <c r="V2329">
        <f t="shared" si="469"/>
        <v>0.89000000000000012</v>
      </c>
    </row>
    <row r="2330" spans="1:22" x14ac:dyDescent="0.25">
      <c r="A2330" t="s">
        <v>4286</v>
      </c>
      <c r="B2330">
        <v>0.15</v>
      </c>
      <c r="C2330">
        <v>36.76</v>
      </c>
      <c r="E2330" t="s">
        <v>4286</v>
      </c>
      <c r="F2330">
        <v>0.15</v>
      </c>
      <c r="G2330">
        <v>117.17</v>
      </c>
      <c r="I2330" t="str" cm="1">
        <f t="array" ref="I2330:J2330">_xlfn.TEXTSPLIT(A2330," ")</f>
        <v>28.10.2023</v>
      </c>
      <c r="J2330" t="str">
        <v>14:52:21</v>
      </c>
      <c r="K2330">
        <f t="shared" si="474"/>
        <v>38.783333333332415</v>
      </c>
      <c r="L2330">
        <f t="shared" si="471"/>
        <v>22.439999999999998</v>
      </c>
      <c r="M2330">
        <f t="shared" si="472"/>
        <v>0.15</v>
      </c>
      <c r="N2330">
        <f t="shared" si="468"/>
        <v>0.55499999999999994</v>
      </c>
      <c r="Q2330" t="str" cm="1">
        <f t="array" ref="Q2330:R2330">_xlfn.TEXTSPLIT(E2330," ")</f>
        <v>28.10.2023</v>
      </c>
      <c r="R2330" t="str">
        <v>14:52:21</v>
      </c>
      <c r="S2330">
        <f t="shared" si="475"/>
        <v>38.783333333332415</v>
      </c>
      <c r="T2330">
        <f t="shared" si="470"/>
        <v>38.570000000000007</v>
      </c>
      <c r="U2330">
        <f t="shared" si="473"/>
        <v>0.15</v>
      </c>
      <c r="V2330">
        <f t="shared" si="469"/>
        <v>0.89</v>
      </c>
    </row>
    <row r="2331" spans="1:22" x14ac:dyDescent="0.25">
      <c r="A2331" t="s">
        <v>4287</v>
      </c>
      <c r="B2331">
        <v>0</v>
      </c>
      <c r="C2331">
        <v>36.76</v>
      </c>
      <c r="E2331" t="s">
        <v>4287</v>
      </c>
      <c r="F2331">
        <v>0.3</v>
      </c>
      <c r="G2331">
        <v>117.17</v>
      </c>
      <c r="I2331" t="str" cm="1">
        <f t="array" ref="I2331:J2331">_xlfn.TEXTSPLIT(A2331," ")</f>
        <v>28.10.2023</v>
      </c>
      <c r="J2331" t="str">
        <v>14:53:21</v>
      </c>
      <c r="K2331">
        <f t="shared" si="474"/>
        <v>38.799999999999081</v>
      </c>
      <c r="L2331">
        <f t="shared" si="471"/>
        <v>22.439999999999998</v>
      </c>
      <c r="M2331">
        <f t="shared" si="472"/>
        <v>0</v>
      </c>
      <c r="N2331">
        <f t="shared" si="468"/>
        <v>0.55499999999999994</v>
      </c>
      <c r="Q2331" t="str" cm="1">
        <f t="array" ref="Q2331:R2331">_xlfn.TEXTSPLIT(E2331," ")</f>
        <v>28.10.2023</v>
      </c>
      <c r="R2331" t="str">
        <v>14:53:21</v>
      </c>
      <c r="S2331">
        <f t="shared" si="475"/>
        <v>38.799999999999081</v>
      </c>
      <c r="T2331">
        <f t="shared" si="470"/>
        <v>38.570000000000007</v>
      </c>
      <c r="U2331">
        <f t="shared" si="473"/>
        <v>0.3</v>
      </c>
      <c r="V2331">
        <f t="shared" si="469"/>
        <v>0.89</v>
      </c>
    </row>
    <row r="2332" spans="1:22" x14ac:dyDescent="0.25">
      <c r="A2332" t="s">
        <v>4288</v>
      </c>
      <c r="B2332">
        <v>0</v>
      </c>
      <c r="C2332">
        <v>36.76</v>
      </c>
      <c r="E2332" t="s">
        <v>4288</v>
      </c>
      <c r="F2332">
        <v>0.3</v>
      </c>
      <c r="G2332">
        <v>117.18</v>
      </c>
      <c r="I2332" t="str" cm="1">
        <f t="array" ref="I2332:J2332">_xlfn.TEXTSPLIT(A2332," ")</f>
        <v>28.10.2023</v>
      </c>
      <c r="J2332" t="str">
        <v>14:54:21</v>
      </c>
      <c r="K2332">
        <f t="shared" si="474"/>
        <v>38.816666666665746</v>
      </c>
      <c r="L2332">
        <f t="shared" si="471"/>
        <v>22.439999999999998</v>
      </c>
      <c r="M2332">
        <f t="shared" si="472"/>
        <v>0</v>
      </c>
      <c r="N2332">
        <f t="shared" si="468"/>
        <v>0.55499999999999994</v>
      </c>
      <c r="Q2332" t="str" cm="1">
        <f t="array" ref="Q2332:R2332">_xlfn.TEXTSPLIT(E2332," ")</f>
        <v>28.10.2023</v>
      </c>
      <c r="R2332" t="str">
        <v>14:54:21</v>
      </c>
      <c r="S2332">
        <f t="shared" si="475"/>
        <v>38.816666666665746</v>
      </c>
      <c r="T2332">
        <f t="shared" si="470"/>
        <v>38.580000000000013</v>
      </c>
      <c r="U2332">
        <f t="shared" si="473"/>
        <v>0.3</v>
      </c>
      <c r="V2332">
        <f t="shared" si="469"/>
        <v>0.89</v>
      </c>
    </row>
    <row r="2333" spans="1:22" x14ac:dyDescent="0.25">
      <c r="A2333" t="s">
        <v>4289</v>
      </c>
      <c r="B2333">
        <v>0</v>
      </c>
      <c r="C2333">
        <v>36.76</v>
      </c>
      <c r="E2333" t="s">
        <v>4289</v>
      </c>
      <c r="F2333">
        <v>0.3</v>
      </c>
      <c r="G2333">
        <v>117.19</v>
      </c>
      <c r="I2333" t="str" cm="1">
        <f t="array" ref="I2333:J2333">_xlfn.TEXTSPLIT(A2333," ")</f>
        <v>28.10.2023</v>
      </c>
      <c r="J2333" t="str">
        <v>14:55:21</v>
      </c>
      <c r="K2333">
        <f t="shared" si="474"/>
        <v>38.833333333332412</v>
      </c>
      <c r="L2333">
        <f t="shared" si="471"/>
        <v>22.439999999999998</v>
      </c>
      <c r="M2333">
        <f t="shared" si="472"/>
        <v>0</v>
      </c>
      <c r="N2333">
        <f t="shared" si="468"/>
        <v>0.55499999999999994</v>
      </c>
      <c r="Q2333" t="str" cm="1">
        <f t="array" ref="Q2333:R2333">_xlfn.TEXTSPLIT(E2333," ")</f>
        <v>28.10.2023</v>
      </c>
      <c r="R2333" t="str">
        <v>14:55:21</v>
      </c>
      <c r="S2333">
        <f t="shared" si="475"/>
        <v>38.833333333332412</v>
      </c>
      <c r="T2333">
        <f t="shared" si="470"/>
        <v>38.590000000000003</v>
      </c>
      <c r="U2333">
        <f t="shared" si="473"/>
        <v>0.3</v>
      </c>
      <c r="V2333">
        <f t="shared" si="469"/>
        <v>0.8899999999999999</v>
      </c>
    </row>
    <row r="2334" spans="1:22" x14ac:dyDescent="0.25">
      <c r="A2334" t="s">
        <v>4290</v>
      </c>
      <c r="B2334">
        <v>0</v>
      </c>
      <c r="C2334">
        <v>36.76</v>
      </c>
      <c r="E2334" t="s">
        <v>4290</v>
      </c>
      <c r="F2334">
        <v>0.45</v>
      </c>
      <c r="G2334">
        <v>117.19</v>
      </c>
      <c r="I2334" t="str" cm="1">
        <f t="array" ref="I2334:J2334">_xlfn.TEXTSPLIT(A2334," ")</f>
        <v>28.10.2023</v>
      </c>
      <c r="J2334" t="str">
        <v>14:56:21</v>
      </c>
      <c r="K2334">
        <f t="shared" si="474"/>
        <v>38.849999999999078</v>
      </c>
      <c r="L2334">
        <f t="shared" si="471"/>
        <v>22.439999999999998</v>
      </c>
      <c r="M2334">
        <f t="shared" si="472"/>
        <v>0</v>
      </c>
      <c r="N2334">
        <f t="shared" si="468"/>
        <v>0.55499999999999994</v>
      </c>
      <c r="Q2334" t="str" cm="1">
        <f t="array" ref="Q2334:R2334">_xlfn.TEXTSPLIT(E2334," ")</f>
        <v>28.10.2023</v>
      </c>
      <c r="R2334" t="str">
        <v>14:56:21</v>
      </c>
      <c r="S2334">
        <f t="shared" si="475"/>
        <v>38.849999999999078</v>
      </c>
      <c r="T2334">
        <f t="shared" si="470"/>
        <v>38.590000000000003</v>
      </c>
      <c r="U2334">
        <f t="shared" si="473"/>
        <v>0.45</v>
      </c>
      <c r="V2334">
        <f t="shared" si="469"/>
        <v>0.89</v>
      </c>
    </row>
    <row r="2335" spans="1:22" x14ac:dyDescent="0.25">
      <c r="A2335" t="s">
        <v>4291</v>
      </c>
      <c r="B2335">
        <v>0</v>
      </c>
      <c r="C2335">
        <v>36.76</v>
      </c>
      <c r="E2335" t="s">
        <v>4291</v>
      </c>
      <c r="F2335">
        <v>0.75</v>
      </c>
      <c r="G2335">
        <v>117.21</v>
      </c>
      <c r="I2335" t="str" cm="1">
        <f t="array" ref="I2335:J2335">_xlfn.TEXTSPLIT(A2335," ")</f>
        <v>28.10.2023</v>
      </c>
      <c r="J2335" t="str">
        <v>14:57:21</v>
      </c>
      <c r="K2335">
        <f t="shared" si="474"/>
        <v>38.866666666665743</v>
      </c>
      <c r="L2335">
        <f t="shared" si="471"/>
        <v>22.439999999999998</v>
      </c>
      <c r="M2335">
        <f t="shared" si="472"/>
        <v>0</v>
      </c>
      <c r="N2335">
        <f t="shared" si="468"/>
        <v>0.55499999999999994</v>
      </c>
      <c r="Q2335" t="str" cm="1">
        <f t="array" ref="Q2335:R2335">_xlfn.TEXTSPLIT(E2335," ")</f>
        <v>28.10.2023</v>
      </c>
      <c r="R2335" t="str">
        <v>14:57:21</v>
      </c>
      <c r="S2335">
        <f t="shared" si="475"/>
        <v>38.866666666665743</v>
      </c>
      <c r="T2335">
        <f t="shared" si="470"/>
        <v>38.61</v>
      </c>
      <c r="U2335">
        <f t="shared" si="473"/>
        <v>0.75</v>
      </c>
      <c r="V2335">
        <f t="shared" si="469"/>
        <v>0.89499999999999991</v>
      </c>
    </row>
    <row r="2336" spans="1:22" x14ac:dyDescent="0.25">
      <c r="A2336" t="s">
        <v>4292</v>
      </c>
      <c r="B2336">
        <v>0.15</v>
      </c>
      <c r="C2336">
        <v>36.76</v>
      </c>
      <c r="E2336" t="s">
        <v>4292</v>
      </c>
      <c r="F2336">
        <v>0.75</v>
      </c>
      <c r="G2336">
        <v>117.22</v>
      </c>
      <c r="I2336" t="str" cm="1">
        <f t="array" ref="I2336:J2336">_xlfn.TEXTSPLIT(A2336," ")</f>
        <v>28.10.2023</v>
      </c>
      <c r="J2336" t="str">
        <v>14:58:22</v>
      </c>
      <c r="K2336">
        <f t="shared" si="474"/>
        <v>38.883333333332409</v>
      </c>
      <c r="L2336">
        <f t="shared" si="471"/>
        <v>22.439999999999998</v>
      </c>
      <c r="M2336">
        <f t="shared" si="472"/>
        <v>0.15</v>
      </c>
      <c r="N2336">
        <f t="shared" si="468"/>
        <v>0.55749999999999988</v>
      </c>
      <c r="Q2336" t="str" cm="1">
        <f t="array" ref="Q2336:R2336">_xlfn.TEXTSPLIT(E2336," ")</f>
        <v>28.10.2023</v>
      </c>
      <c r="R2336" t="str">
        <v>14:58:22</v>
      </c>
      <c r="S2336">
        <f t="shared" si="475"/>
        <v>38.883333333332409</v>
      </c>
      <c r="T2336">
        <f t="shared" si="470"/>
        <v>38.620000000000005</v>
      </c>
      <c r="U2336">
        <f t="shared" si="473"/>
        <v>0.75</v>
      </c>
      <c r="V2336">
        <f t="shared" si="469"/>
        <v>0.89999999999999991</v>
      </c>
    </row>
    <row r="2337" spans="1:22" x14ac:dyDescent="0.25">
      <c r="A2337" t="s">
        <v>4293</v>
      </c>
      <c r="B2337">
        <v>0.3</v>
      </c>
      <c r="C2337">
        <v>36.770000000000003</v>
      </c>
      <c r="E2337" t="s">
        <v>4293</v>
      </c>
      <c r="F2337">
        <v>0.9</v>
      </c>
      <c r="G2337">
        <v>117.24</v>
      </c>
      <c r="I2337" t="str" cm="1">
        <f t="array" ref="I2337:J2337">_xlfn.TEXTSPLIT(A2337," ")</f>
        <v>28.10.2023</v>
      </c>
      <c r="J2337" t="str">
        <v>14:59:22</v>
      </c>
      <c r="K2337">
        <f t="shared" si="474"/>
        <v>38.899999999999075</v>
      </c>
      <c r="L2337">
        <f t="shared" si="471"/>
        <v>22.450000000000003</v>
      </c>
      <c r="M2337">
        <f t="shared" si="472"/>
        <v>0.3</v>
      </c>
      <c r="N2337">
        <f t="shared" si="468"/>
        <v>0.55999999999999994</v>
      </c>
      <c r="Q2337" t="str" cm="1">
        <f t="array" ref="Q2337:R2337">_xlfn.TEXTSPLIT(E2337," ")</f>
        <v>28.10.2023</v>
      </c>
      <c r="R2337" t="str">
        <v>14:59:22</v>
      </c>
      <c r="S2337">
        <f t="shared" si="475"/>
        <v>38.899999999999075</v>
      </c>
      <c r="T2337">
        <f t="shared" si="470"/>
        <v>38.64</v>
      </c>
      <c r="U2337">
        <f t="shared" si="473"/>
        <v>0.9</v>
      </c>
      <c r="V2337">
        <f t="shared" si="469"/>
        <v>0.90499999999999992</v>
      </c>
    </row>
    <row r="2338" spans="1:22" x14ac:dyDescent="0.25">
      <c r="A2338" t="s">
        <v>4294</v>
      </c>
      <c r="B2338">
        <v>0.3</v>
      </c>
      <c r="C2338">
        <v>36.770000000000003</v>
      </c>
      <c r="E2338" t="s">
        <v>4294</v>
      </c>
      <c r="F2338">
        <v>1.05</v>
      </c>
      <c r="G2338">
        <v>117.25</v>
      </c>
      <c r="I2338" t="str" cm="1">
        <f t="array" ref="I2338:J2338">_xlfn.TEXTSPLIT(A2338," ")</f>
        <v>28.10.2023</v>
      </c>
      <c r="J2338" t="str">
        <v>15:00:22</v>
      </c>
      <c r="K2338">
        <f t="shared" si="474"/>
        <v>38.916666666665741</v>
      </c>
      <c r="L2338">
        <f t="shared" si="471"/>
        <v>22.450000000000003</v>
      </c>
      <c r="M2338">
        <f t="shared" si="472"/>
        <v>0.3</v>
      </c>
      <c r="N2338">
        <f t="shared" si="468"/>
        <v>0.56249999999999989</v>
      </c>
      <c r="Q2338" t="str" cm="1">
        <f t="array" ref="Q2338:R2338">_xlfn.TEXTSPLIT(E2338," ")</f>
        <v>28.10.2023</v>
      </c>
      <c r="R2338" t="str">
        <v>15:00:22</v>
      </c>
      <c r="S2338">
        <f t="shared" si="475"/>
        <v>38.916666666665741</v>
      </c>
      <c r="T2338">
        <f t="shared" si="470"/>
        <v>38.650000000000006</v>
      </c>
      <c r="U2338">
        <f t="shared" si="473"/>
        <v>1.05</v>
      </c>
      <c r="V2338">
        <f t="shared" si="469"/>
        <v>0.90999999999999992</v>
      </c>
    </row>
    <row r="2339" spans="1:22" x14ac:dyDescent="0.25">
      <c r="A2339" t="s">
        <v>4295</v>
      </c>
      <c r="B2339">
        <v>0.15</v>
      </c>
      <c r="C2339">
        <v>36.78</v>
      </c>
      <c r="E2339" t="s">
        <v>4295</v>
      </c>
      <c r="F2339">
        <v>0.6</v>
      </c>
      <c r="G2339">
        <v>117.26</v>
      </c>
      <c r="I2339" t="str" cm="1">
        <f t="array" ref="I2339:J2339">_xlfn.TEXTSPLIT(A2339," ")</f>
        <v>28.10.2023</v>
      </c>
      <c r="J2339" t="str">
        <v>15:01:22</v>
      </c>
      <c r="K2339">
        <f t="shared" si="474"/>
        <v>38.933333333332406</v>
      </c>
      <c r="L2339">
        <f t="shared" si="471"/>
        <v>22.46</v>
      </c>
      <c r="M2339">
        <f t="shared" si="472"/>
        <v>0.15</v>
      </c>
      <c r="N2339">
        <f t="shared" si="468"/>
        <v>0.55749999999999977</v>
      </c>
      <c r="Q2339" t="str" cm="1">
        <f t="array" ref="Q2339:R2339">_xlfn.TEXTSPLIT(E2339," ")</f>
        <v>28.10.2023</v>
      </c>
      <c r="R2339" t="str">
        <v>15:01:22</v>
      </c>
      <c r="S2339">
        <f t="shared" si="475"/>
        <v>38.933333333332406</v>
      </c>
      <c r="T2339">
        <f t="shared" si="470"/>
        <v>38.660000000000011</v>
      </c>
      <c r="U2339">
        <f t="shared" si="473"/>
        <v>0.6</v>
      </c>
      <c r="V2339">
        <f t="shared" si="469"/>
        <v>0.90749999999999997</v>
      </c>
    </row>
    <row r="2340" spans="1:22" x14ac:dyDescent="0.25">
      <c r="A2340" t="s">
        <v>4296</v>
      </c>
      <c r="B2340">
        <v>0.3</v>
      </c>
      <c r="C2340">
        <v>36.78</v>
      </c>
      <c r="E2340" t="s">
        <v>4296</v>
      </c>
      <c r="F2340">
        <v>0.75</v>
      </c>
      <c r="G2340">
        <v>117.27</v>
      </c>
      <c r="I2340" t="str" cm="1">
        <f t="array" ref="I2340:J2340">_xlfn.TEXTSPLIT(A2340," ")</f>
        <v>28.10.2023</v>
      </c>
      <c r="J2340" t="str">
        <v>15:02:22</v>
      </c>
      <c r="K2340">
        <f t="shared" si="474"/>
        <v>38.949999999999072</v>
      </c>
      <c r="L2340">
        <f t="shared" si="471"/>
        <v>22.46</v>
      </c>
      <c r="M2340">
        <f t="shared" si="472"/>
        <v>0.3</v>
      </c>
      <c r="N2340">
        <f t="shared" si="468"/>
        <v>0.55499999999999983</v>
      </c>
      <c r="Q2340" t="str" cm="1">
        <f t="array" ref="Q2340:R2340">_xlfn.TEXTSPLIT(E2340," ")</f>
        <v>28.10.2023</v>
      </c>
      <c r="R2340" t="str">
        <v>15:02:22</v>
      </c>
      <c r="S2340">
        <f t="shared" si="475"/>
        <v>38.949999999999072</v>
      </c>
      <c r="T2340">
        <f t="shared" si="470"/>
        <v>38.67</v>
      </c>
      <c r="U2340">
        <f t="shared" si="473"/>
        <v>0.75</v>
      </c>
      <c r="V2340">
        <f t="shared" si="469"/>
        <v>0.90249999999999986</v>
      </c>
    </row>
    <row r="2341" spans="1:22" x14ac:dyDescent="0.25">
      <c r="A2341" t="s">
        <v>4297</v>
      </c>
      <c r="B2341">
        <v>0.6</v>
      </c>
      <c r="C2341">
        <v>36.79</v>
      </c>
      <c r="E2341" t="s">
        <v>4297</v>
      </c>
      <c r="F2341">
        <v>0.6</v>
      </c>
      <c r="G2341">
        <v>117.29</v>
      </c>
      <c r="I2341" t="str" cm="1">
        <f t="array" ref="I2341:J2341">_xlfn.TEXTSPLIT(A2341," ")</f>
        <v>28.10.2023</v>
      </c>
      <c r="J2341" t="str">
        <v>15:03:22</v>
      </c>
      <c r="K2341">
        <f t="shared" si="474"/>
        <v>38.966666666665738</v>
      </c>
      <c r="L2341">
        <f t="shared" si="471"/>
        <v>22.47</v>
      </c>
      <c r="M2341">
        <f t="shared" si="472"/>
        <v>0.6</v>
      </c>
      <c r="N2341">
        <f t="shared" si="468"/>
        <v>0.55999999999999983</v>
      </c>
      <c r="Q2341" t="str" cm="1">
        <f t="array" ref="Q2341:R2341">_xlfn.TEXTSPLIT(E2341," ")</f>
        <v>28.10.2023</v>
      </c>
      <c r="R2341" t="str">
        <v>15:03:22</v>
      </c>
      <c r="S2341">
        <f t="shared" si="475"/>
        <v>38.966666666665738</v>
      </c>
      <c r="T2341">
        <f t="shared" si="470"/>
        <v>38.690000000000012</v>
      </c>
      <c r="U2341">
        <f t="shared" si="473"/>
        <v>0.6</v>
      </c>
      <c r="V2341">
        <f t="shared" si="469"/>
        <v>0.89999999999999991</v>
      </c>
    </row>
    <row r="2342" spans="1:22" x14ac:dyDescent="0.25">
      <c r="A2342" t="s">
        <v>4298</v>
      </c>
      <c r="B2342">
        <v>0.3</v>
      </c>
      <c r="C2342">
        <v>36.79</v>
      </c>
      <c r="E2342" t="s">
        <v>4298</v>
      </c>
      <c r="F2342">
        <v>0.75</v>
      </c>
      <c r="G2342">
        <v>117.3</v>
      </c>
      <c r="I2342" t="str" cm="1">
        <f t="array" ref="I2342:J2342">_xlfn.TEXTSPLIT(A2342," ")</f>
        <v>28.10.2023</v>
      </c>
      <c r="J2342" t="str">
        <v>15:04:22</v>
      </c>
      <c r="K2342">
        <f t="shared" si="474"/>
        <v>38.983333333332403</v>
      </c>
      <c r="L2342">
        <f t="shared" si="471"/>
        <v>22.47</v>
      </c>
      <c r="M2342">
        <f t="shared" si="472"/>
        <v>0.3</v>
      </c>
      <c r="N2342">
        <f t="shared" si="468"/>
        <v>0.55499999999999994</v>
      </c>
      <c r="Q2342" t="str" cm="1">
        <f t="array" ref="Q2342:R2342">_xlfn.TEXTSPLIT(E2342," ")</f>
        <v>28.10.2023</v>
      </c>
      <c r="R2342" t="str">
        <v>15:04:22</v>
      </c>
      <c r="S2342">
        <f t="shared" si="475"/>
        <v>38.983333333332403</v>
      </c>
      <c r="T2342">
        <f t="shared" si="470"/>
        <v>38.700000000000003</v>
      </c>
      <c r="U2342">
        <f t="shared" si="473"/>
        <v>0.75</v>
      </c>
      <c r="V2342">
        <f t="shared" si="469"/>
        <v>0.89499999999999991</v>
      </c>
    </row>
    <row r="2343" spans="1:22" x14ac:dyDescent="0.25">
      <c r="A2343" t="s">
        <v>4299</v>
      </c>
      <c r="B2343">
        <v>0.15</v>
      </c>
      <c r="C2343">
        <v>36.799999999999997</v>
      </c>
      <c r="E2343" t="s">
        <v>4299</v>
      </c>
      <c r="F2343">
        <v>0.9</v>
      </c>
      <c r="G2343">
        <v>117.32</v>
      </c>
      <c r="I2343" t="str" cm="1">
        <f t="array" ref="I2343:J2343">_xlfn.TEXTSPLIT(A2343," ")</f>
        <v>28.10.2023</v>
      </c>
      <c r="J2343" t="str">
        <v>15:05:23</v>
      </c>
      <c r="K2343">
        <f t="shared" si="474"/>
        <v>38.999999999999069</v>
      </c>
      <c r="L2343">
        <f t="shared" si="471"/>
        <v>22.479999999999997</v>
      </c>
      <c r="M2343">
        <f t="shared" si="472"/>
        <v>0.15</v>
      </c>
      <c r="N2343">
        <f t="shared" si="468"/>
        <v>0.54999999999999993</v>
      </c>
      <c r="Q2343" t="str" cm="1">
        <f t="array" ref="Q2343:R2343">_xlfn.TEXTSPLIT(E2343," ")</f>
        <v>28.10.2023</v>
      </c>
      <c r="R2343" t="str">
        <v>15:05:23</v>
      </c>
      <c r="S2343">
        <f t="shared" si="475"/>
        <v>38.999999999999069</v>
      </c>
      <c r="T2343">
        <f t="shared" si="470"/>
        <v>38.72</v>
      </c>
      <c r="U2343">
        <f t="shared" si="473"/>
        <v>0.9</v>
      </c>
      <c r="V2343">
        <f t="shared" si="469"/>
        <v>0.89749999999999974</v>
      </c>
    </row>
    <row r="2344" spans="1:22" x14ac:dyDescent="0.25">
      <c r="A2344" t="s">
        <v>4300</v>
      </c>
      <c r="B2344">
        <v>0.3</v>
      </c>
      <c r="C2344">
        <v>36.81</v>
      </c>
      <c r="E2344" t="s">
        <v>4300</v>
      </c>
      <c r="F2344">
        <v>2.4</v>
      </c>
      <c r="G2344">
        <v>117.37</v>
      </c>
      <c r="I2344" t="str" cm="1">
        <f t="array" ref="I2344:J2344">_xlfn.TEXTSPLIT(A2344," ")</f>
        <v>28.10.2023</v>
      </c>
      <c r="J2344" t="str">
        <v>15:06:23</v>
      </c>
      <c r="K2344">
        <f t="shared" si="474"/>
        <v>39.016666666665735</v>
      </c>
      <c r="L2344">
        <f t="shared" si="471"/>
        <v>22.490000000000002</v>
      </c>
      <c r="M2344">
        <f t="shared" si="472"/>
        <v>0.3</v>
      </c>
      <c r="N2344">
        <f t="shared" si="468"/>
        <v>0.54499999999999982</v>
      </c>
      <c r="Q2344" t="str" cm="1">
        <f t="array" ref="Q2344:R2344">_xlfn.TEXTSPLIT(E2344," ")</f>
        <v>28.10.2023</v>
      </c>
      <c r="R2344" t="str">
        <v>15:06:23</v>
      </c>
      <c r="S2344">
        <f t="shared" si="475"/>
        <v>39.016666666665735</v>
      </c>
      <c r="T2344">
        <f t="shared" si="470"/>
        <v>38.77000000000001</v>
      </c>
      <c r="U2344">
        <f t="shared" si="473"/>
        <v>2.4</v>
      </c>
      <c r="V2344">
        <f t="shared" si="469"/>
        <v>0.90999999999999981</v>
      </c>
    </row>
    <row r="2345" spans="1:22" x14ac:dyDescent="0.25">
      <c r="A2345" t="s">
        <v>4301</v>
      </c>
      <c r="B2345">
        <v>1.95</v>
      </c>
      <c r="C2345">
        <v>36.85</v>
      </c>
      <c r="E2345" t="s">
        <v>4301</v>
      </c>
      <c r="F2345">
        <v>1.95</v>
      </c>
      <c r="G2345">
        <v>117.4</v>
      </c>
      <c r="I2345" t="str" cm="1">
        <f t="array" ref="I2345:J2345">_xlfn.TEXTSPLIT(A2345," ")</f>
        <v>28.10.2023</v>
      </c>
      <c r="J2345" t="str">
        <v>15:07:23</v>
      </c>
      <c r="K2345">
        <f t="shared" si="474"/>
        <v>39.033333333332401</v>
      </c>
      <c r="L2345">
        <f t="shared" si="471"/>
        <v>22.53</v>
      </c>
      <c r="M2345">
        <f t="shared" si="472"/>
        <v>1.95</v>
      </c>
      <c r="N2345">
        <f t="shared" si="468"/>
        <v>0.54749999999999999</v>
      </c>
      <c r="Q2345" t="str" cm="1">
        <f t="array" ref="Q2345:R2345">_xlfn.TEXTSPLIT(E2345," ")</f>
        <v>28.10.2023</v>
      </c>
      <c r="R2345" t="str">
        <v>15:07:23</v>
      </c>
      <c r="S2345">
        <f t="shared" si="475"/>
        <v>39.033333333332401</v>
      </c>
      <c r="T2345">
        <f t="shared" si="470"/>
        <v>38.800000000000011</v>
      </c>
      <c r="U2345">
        <f t="shared" si="473"/>
        <v>1.95</v>
      </c>
      <c r="V2345">
        <f t="shared" si="469"/>
        <v>0.9149999999999997</v>
      </c>
    </row>
    <row r="2346" spans="1:22" x14ac:dyDescent="0.25">
      <c r="A2346" t="s">
        <v>4302</v>
      </c>
      <c r="B2346">
        <v>2.1</v>
      </c>
      <c r="C2346">
        <v>36.880000000000003</v>
      </c>
      <c r="E2346" t="s">
        <v>4302</v>
      </c>
      <c r="F2346">
        <v>1.5</v>
      </c>
      <c r="G2346">
        <v>117.42</v>
      </c>
      <c r="I2346" t="str" cm="1">
        <f t="array" ref="I2346:J2346">_xlfn.TEXTSPLIT(A2346," ")</f>
        <v>28.10.2023</v>
      </c>
      <c r="J2346" t="str">
        <v>15:08:23</v>
      </c>
      <c r="K2346">
        <f t="shared" si="474"/>
        <v>39.049999999999066</v>
      </c>
      <c r="L2346">
        <f t="shared" si="471"/>
        <v>22.560000000000002</v>
      </c>
      <c r="M2346">
        <f t="shared" si="472"/>
        <v>2.1</v>
      </c>
      <c r="N2346">
        <f t="shared" si="468"/>
        <v>0.54999999999999993</v>
      </c>
      <c r="Q2346" t="str" cm="1">
        <f t="array" ref="Q2346:R2346">_xlfn.TEXTSPLIT(E2346," ")</f>
        <v>28.10.2023</v>
      </c>
      <c r="R2346" t="str">
        <v>15:08:23</v>
      </c>
      <c r="S2346">
        <f t="shared" si="475"/>
        <v>39.049999999999066</v>
      </c>
      <c r="T2346">
        <f t="shared" si="470"/>
        <v>38.820000000000007</v>
      </c>
      <c r="U2346">
        <f t="shared" si="473"/>
        <v>1.5</v>
      </c>
      <c r="V2346">
        <f t="shared" si="469"/>
        <v>0.8949999999999998</v>
      </c>
    </row>
    <row r="2347" spans="1:22" x14ac:dyDescent="0.25">
      <c r="A2347" t="s">
        <v>4303</v>
      </c>
      <c r="B2347">
        <v>1.5</v>
      </c>
      <c r="C2347">
        <v>36.9</v>
      </c>
      <c r="E2347" t="s">
        <v>4303</v>
      </c>
      <c r="F2347">
        <v>1.05</v>
      </c>
      <c r="G2347">
        <v>117.44</v>
      </c>
      <c r="I2347" t="str" cm="1">
        <f t="array" ref="I2347:J2347">_xlfn.TEXTSPLIT(A2347," ")</f>
        <v>28.10.2023</v>
      </c>
      <c r="J2347" t="str">
        <v>15:09:23</v>
      </c>
      <c r="K2347">
        <f t="shared" si="474"/>
        <v>39.066666666665732</v>
      </c>
      <c r="L2347">
        <f t="shared" si="471"/>
        <v>22.58</v>
      </c>
      <c r="M2347">
        <f t="shared" si="472"/>
        <v>1.5</v>
      </c>
      <c r="N2347">
        <f t="shared" si="468"/>
        <v>0.55249999999999999</v>
      </c>
      <c r="Q2347" t="str" cm="1">
        <f t="array" ref="Q2347:R2347">_xlfn.TEXTSPLIT(E2347," ")</f>
        <v>28.10.2023</v>
      </c>
      <c r="R2347" t="str">
        <v>15:09:23</v>
      </c>
      <c r="S2347">
        <f t="shared" si="475"/>
        <v>39.066666666665732</v>
      </c>
      <c r="T2347">
        <f t="shared" si="470"/>
        <v>38.840000000000003</v>
      </c>
      <c r="U2347">
        <f t="shared" si="473"/>
        <v>1.05</v>
      </c>
      <c r="V2347">
        <f t="shared" si="469"/>
        <v>0.8899999999999999</v>
      </c>
    </row>
    <row r="2348" spans="1:22" x14ac:dyDescent="0.25">
      <c r="A2348" t="s">
        <v>4304</v>
      </c>
      <c r="B2348">
        <v>0.9</v>
      </c>
      <c r="C2348">
        <v>36.92</v>
      </c>
      <c r="E2348" t="s">
        <v>4304</v>
      </c>
      <c r="F2348">
        <v>1.35</v>
      </c>
      <c r="G2348">
        <v>117.46</v>
      </c>
      <c r="I2348" t="str" cm="1">
        <f t="array" ref="I2348:J2348">_xlfn.TEXTSPLIT(A2348," ")</f>
        <v>28.10.2023</v>
      </c>
      <c r="J2348" t="str">
        <v>15:10:23</v>
      </c>
      <c r="K2348">
        <f t="shared" si="474"/>
        <v>39.083333333332398</v>
      </c>
      <c r="L2348">
        <f t="shared" si="471"/>
        <v>22.6</v>
      </c>
      <c r="M2348">
        <f t="shared" si="472"/>
        <v>0.9</v>
      </c>
      <c r="N2348">
        <f t="shared" si="468"/>
        <v>0.54749999999999999</v>
      </c>
      <c r="Q2348" t="str" cm="1">
        <f t="array" ref="Q2348:R2348">_xlfn.TEXTSPLIT(E2348," ")</f>
        <v>28.10.2023</v>
      </c>
      <c r="R2348" t="str">
        <v>15:10:23</v>
      </c>
      <c r="S2348">
        <f t="shared" si="475"/>
        <v>39.083333333332398</v>
      </c>
      <c r="T2348">
        <f t="shared" si="470"/>
        <v>38.86</v>
      </c>
      <c r="U2348">
        <f t="shared" si="473"/>
        <v>1.35</v>
      </c>
      <c r="V2348">
        <f t="shared" si="469"/>
        <v>0.89749999999999974</v>
      </c>
    </row>
    <row r="2349" spans="1:22" x14ac:dyDescent="0.25">
      <c r="A2349" t="s">
        <v>4305</v>
      </c>
      <c r="B2349">
        <v>0.75</v>
      </c>
      <c r="C2349">
        <v>36.92</v>
      </c>
      <c r="E2349" t="s">
        <v>4305</v>
      </c>
      <c r="F2349">
        <v>1.35</v>
      </c>
      <c r="G2349">
        <v>117.49</v>
      </c>
      <c r="I2349" t="str" cm="1">
        <f t="array" ref="I2349:J2349">_xlfn.TEXTSPLIT(A2349," ")</f>
        <v>28.10.2023</v>
      </c>
      <c r="J2349" t="str">
        <v>15:11:23</v>
      </c>
      <c r="K2349">
        <f t="shared" si="474"/>
        <v>39.099999999999064</v>
      </c>
      <c r="L2349">
        <f t="shared" si="471"/>
        <v>22.6</v>
      </c>
      <c r="M2349">
        <f t="shared" si="472"/>
        <v>0.75</v>
      </c>
      <c r="N2349">
        <f t="shared" si="468"/>
        <v>0.55249999999999999</v>
      </c>
      <c r="Q2349" t="str" cm="1">
        <f t="array" ref="Q2349:R2349">_xlfn.TEXTSPLIT(E2349," ")</f>
        <v>28.10.2023</v>
      </c>
      <c r="R2349" t="str">
        <v>15:11:23</v>
      </c>
      <c r="S2349">
        <f t="shared" si="475"/>
        <v>39.099999999999064</v>
      </c>
      <c r="T2349">
        <f t="shared" si="470"/>
        <v>38.89</v>
      </c>
      <c r="U2349">
        <f t="shared" si="473"/>
        <v>1.35</v>
      </c>
      <c r="V2349">
        <f t="shared" si="469"/>
        <v>0.90749999999999986</v>
      </c>
    </row>
    <row r="2350" spans="1:22" x14ac:dyDescent="0.25">
      <c r="A2350" t="s">
        <v>4306</v>
      </c>
      <c r="B2350">
        <v>0.6</v>
      </c>
      <c r="C2350">
        <v>36.93</v>
      </c>
      <c r="E2350" t="s">
        <v>4306</v>
      </c>
      <c r="F2350">
        <v>1.2</v>
      </c>
      <c r="G2350">
        <v>117.5</v>
      </c>
      <c r="I2350" t="str" cm="1">
        <f t="array" ref="I2350:J2350">_xlfn.TEXTSPLIT(A2350," ")</f>
        <v>28.10.2023</v>
      </c>
      <c r="J2350" t="str">
        <v>15:12:24</v>
      </c>
      <c r="K2350">
        <f t="shared" si="474"/>
        <v>39.116666666665729</v>
      </c>
      <c r="L2350">
        <f t="shared" si="471"/>
        <v>22.61</v>
      </c>
      <c r="M2350">
        <f t="shared" si="472"/>
        <v>0.6</v>
      </c>
      <c r="N2350">
        <f t="shared" si="468"/>
        <v>0.55000000000000004</v>
      </c>
      <c r="Q2350" t="str" cm="1">
        <f t="array" ref="Q2350:R2350">_xlfn.TEXTSPLIT(E2350," ")</f>
        <v>28.10.2023</v>
      </c>
      <c r="R2350" t="str">
        <v>15:12:24</v>
      </c>
      <c r="S2350">
        <f t="shared" si="475"/>
        <v>39.116666666665729</v>
      </c>
      <c r="T2350">
        <f t="shared" si="470"/>
        <v>38.900000000000006</v>
      </c>
      <c r="U2350">
        <f t="shared" si="473"/>
        <v>1.2</v>
      </c>
      <c r="V2350">
        <f t="shared" si="469"/>
        <v>0.91249999999999976</v>
      </c>
    </row>
    <row r="2351" spans="1:22" x14ac:dyDescent="0.25">
      <c r="A2351" t="s">
        <v>4307</v>
      </c>
      <c r="B2351">
        <v>0.45</v>
      </c>
      <c r="C2351">
        <v>36.94</v>
      </c>
      <c r="E2351" t="s">
        <v>4307</v>
      </c>
      <c r="F2351">
        <v>0.75</v>
      </c>
      <c r="G2351">
        <v>117.52</v>
      </c>
      <c r="I2351" t="str" cm="1">
        <f t="array" ref="I2351:J2351">_xlfn.TEXTSPLIT(A2351," ")</f>
        <v>28.10.2023</v>
      </c>
      <c r="J2351" t="str">
        <v>15:13:24</v>
      </c>
      <c r="K2351">
        <f t="shared" si="474"/>
        <v>39.133333333332395</v>
      </c>
      <c r="L2351">
        <f t="shared" si="471"/>
        <v>22.619999999999997</v>
      </c>
      <c r="M2351">
        <f t="shared" si="472"/>
        <v>0.45</v>
      </c>
      <c r="N2351">
        <f t="shared" si="468"/>
        <v>0.54500000000000004</v>
      </c>
      <c r="Q2351" t="str" cm="1">
        <f t="array" ref="Q2351:R2351">_xlfn.TEXTSPLIT(E2351," ")</f>
        <v>28.10.2023</v>
      </c>
      <c r="R2351" t="str">
        <v>15:13:24</v>
      </c>
      <c r="S2351">
        <f t="shared" si="475"/>
        <v>39.133333333332395</v>
      </c>
      <c r="T2351">
        <f t="shared" si="470"/>
        <v>38.92</v>
      </c>
      <c r="U2351">
        <f t="shared" si="473"/>
        <v>0.75</v>
      </c>
      <c r="V2351">
        <f t="shared" si="469"/>
        <v>0.90749999999999986</v>
      </c>
    </row>
    <row r="2352" spans="1:22" x14ac:dyDescent="0.25">
      <c r="A2352" t="s">
        <v>4308</v>
      </c>
      <c r="B2352">
        <v>0.6</v>
      </c>
      <c r="C2352">
        <v>36.950000000000003</v>
      </c>
      <c r="E2352" t="s">
        <v>4308</v>
      </c>
      <c r="F2352">
        <v>0.75</v>
      </c>
      <c r="G2352">
        <v>117.53</v>
      </c>
      <c r="I2352" t="str" cm="1">
        <f t="array" ref="I2352:J2352">_xlfn.TEXTSPLIT(A2352," ")</f>
        <v>28.10.2023</v>
      </c>
      <c r="J2352" t="str">
        <v>15:14:24</v>
      </c>
      <c r="K2352">
        <f t="shared" si="474"/>
        <v>39.149999999999061</v>
      </c>
      <c r="L2352">
        <f t="shared" si="471"/>
        <v>22.630000000000003</v>
      </c>
      <c r="M2352">
        <f t="shared" si="472"/>
        <v>0.6</v>
      </c>
      <c r="N2352">
        <f t="shared" si="468"/>
        <v>0.54500000000000004</v>
      </c>
      <c r="Q2352" t="str" cm="1">
        <f t="array" ref="Q2352:R2352">_xlfn.TEXTSPLIT(E2352," ")</f>
        <v>28.10.2023</v>
      </c>
      <c r="R2352" t="str">
        <v>15:14:24</v>
      </c>
      <c r="S2352">
        <f t="shared" si="475"/>
        <v>39.149999999999061</v>
      </c>
      <c r="T2352">
        <f t="shared" si="470"/>
        <v>38.930000000000007</v>
      </c>
      <c r="U2352">
        <f t="shared" si="473"/>
        <v>0.75</v>
      </c>
      <c r="V2352">
        <f t="shared" si="469"/>
        <v>0.90249999999999986</v>
      </c>
    </row>
    <row r="2353" spans="1:22" x14ac:dyDescent="0.25">
      <c r="A2353" t="s">
        <v>4309</v>
      </c>
      <c r="B2353">
        <v>0.45</v>
      </c>
      <c r="C2353">
        <v>36.96</v>
      </c>
      <c r="E2353" t="s">
        <v>4309</v>
      </c>
      <c r="F2353">
        <v>0.75</v>
      </c>
      <c r="G2353">
        <v>117.54</v>
      </c>
      <c r="I2353" t="str" cm="1">
        <f t="array" ref="I2353:J2353">_xlfn.TEXTSPLIT(A2353," ")</f>
        <v>28.10.2023</v>
      </c>
      <c r="J2353" t="str">
        <v>15:15:24</v>
      </c>
      <c r="K2353">
        <f t="shared" si="474"/>
        <v>39.166666666665726</v>
      </c>
      <c r="L2353">
        <f t="shared" si="471"/>
        <v>22.64</v>
      </c>
      <c r="M2353">
        <f t="shared" si="472"/>
        <v>0.45</v>
      </c>
      <c r="N2353">
        <f t="shared" si="468"/>
        <v>0.54500000000000004</v>
      </c>
      <c r="Q2353" t="str" cm="1">
        <f t="array" ref="Q2353:R2353">_xlfn.TEXTSPLIT(E2353," ")</f>
        <v>28.10.2023</v>
      </c>
      <c r="R2353" t="str">
        <v>15:15:24</v>
      </c>
      <c r="S2353">
        <f t="shared" si="475"/>
        <v>39.166666666665726</v>
      </c>
      <c r="T2353">
        <f t="shared" si="470"/>
        <v>38.940000000000012</v>
      </c>
      <c r="U2353">
        <f t="shared" si="473"/>
        <v>0.75</v>
      </c>
      <c r="V2353">
        <f t="shared" si="469"/>
        <v>0.89499999999999991</v>
      </c>
    </row>
    <row r="2354" spans="1:22" x14ac:dyDescent="0.25">
      <c r="A2354" t="s">
        <v>4310</v>
      </c>
      <c r="B2354">
        <v>0.6</v>
      </c>
      <c r="C2354">
        <v>36.97</v>
      </c>
      <c r="E2354" t="s">
        <v>4310</v>
      </c>
      <c r="F2354">
        <v>0.6</v>
      </c>
      <c r="G2354">
        <v>117.55</v>
      </c>
      <c r="I2354" t="str" cm="1">
        <f t="array" ref="I2354:J2354">_xlfn.TEXTSPLIT(A2354," ")</f>
        <v>28.10.2023</v>
      </c>
      <c r="J2354" t="str">
        <v>15:16:24</v>
      </c>
      <c r="K2354">
        <f t="shared" si="474"/>
        <v>39.183333333332392</v>
      </c>
      <c r="L2354">
        <f t="shared" si="471"/>
        <v>22.65</v>
      </c>
      <c r="M2354">
        <f t="shared" si="472"/>
        <v>0.6</v>
      </c>
      <c r="N2354">
        <f t="shared" si="468"/>
        <v>0.55000000000000004</v>
      </c>
      <c r="Q2354" t="str" cm="1">
        <f t="array" ref="Q2354:R2354">_xlfn.TEXTSPLIT(E2354," ")</f>
        <v>28.10.2023</v>
      </c>
      <c r="R2354" t="str">
        <v>15:16:24</v>
      </c>
      <c r="S2354">
        <f t="shared" si="475"/>
        <v>39.183333333332392</v>
      </c>
      <c r="T2354">
        <f t="shared" si="470"/>
        <v>38.950000000000003</v>
      </c>
      <c r="U2354">
        <f t="shared" si="473"/>
        <v>0.6</v>
      </c>
      <c r="V2354">
        <f t="shared" si="469"/>
        <v>0.89249999999999996</v>
      </c>
    </row>
    <row r="2355" spans="1:22" x14ac:dyDescent="0.25">
      <c r="A2355" t="s">
        <v>4311</v>
      </c>
      <c r="B2355">
        <v>0.6</v>
      </c>
      <c r="C2355">
        <v>36.979999999999997</v>
      </c>
      <c r="E2355" t="s">
        <v>4311</v>
      </c>
      <c r="F2355">
        <v>0.75</v>
      </c>
      <c r="G2355">
        <v>117.56</v>
      </c>
      <c r="I2355" t="str" cm="1">
        <f t="array" ref="I2355:J2355">_xlfn.TEXTSPLIT(A2355," ")</f>
        <v>28.10.2023</v>
      </c>
      <c r="J2355" t="str">
        <v>15:17:24</v>
      </c>
      <c r="K2355">
        <f t="shared" si="474"/>
        <v>39.199999999999058</v>
      </c>
      <c r="L2355">
        <f t="shared" si="471"/>
        <v>22.659999999999997</v>
      </c>
      <c r="M2355">
        <f t="shared" si="472"/>
        <v>0.6</v>
      </c>
      <c r="N2355">
        <f t="shared" si="468"/>
        <v>0.5525000000000001</v>
      </c>
      <c r="Q2355" t="str" cm="1">
        <f t="array" ref="Q2355:R2355">_xlfn.TEXTSPLIT(E2355," ")</f>
        <v>28.10.2023</v>
      </c>
      <c r="R2355" t="str">
        <v>15:17:24</v>
      </c>
      <c r="S2355">
        <f t="shared" si="475"/>
        <v>39.199999999999058</v>
      </c>
      <c r="T2355">
        <f t="shared" si="470"/>
        <v>38.960000000000008</v>
      </c>
      <c r="U2355">
        <f t="shared" si="473"/>
        <v>0.75</v>
      </c>
      <c r="V2355">
        <f t="shared" si="469"/>
        <v>0.89250000000000007</v>
      </c>
    </row>
    <row r="2356" spans="1:22" x14ac:dyDescent="0.25">
      <c r="A2356" t="s">
        <v>4312</v>
      </c>
      <c r="B2356">
        <v>0.6</v>
      </c>
      <c r="C2356">
        <v>36.99</v>
      </c>
      <c r="E2356" t="s">
        <v>4312</v>
      </c>
      <c r="F2356">
        <v>1.05</v>
      </c>
      <c r="G2356">
        <v>117.58</v>
      </c>
      <c r="I2356" t="str" cm="1">
        <f t="array" ref="I2356:J2356">_xlfn.TEXTSPLIT(A2356," ")</f>
        <v>28.10.2023</v>
      </c>
      <c r="J2356" t="str">
        <v>15:18:24</v>
      </c>
      <c r="K2356">
        <f t="shared" si="474"/>
        <v>39.216666666665724</v>
      </c>
      <c r="L2356">
        <f t="shared" si="471"/>
        <v>22.67</v>
      </c>
      <c r="M2356">
        <f t="shared" si="472"/>
        <v>0.6</v>
      </c>
      <c r="N2356">
        <f t="shared" si="468"/>
        <v>0.5575</v>
      </c>
      <c r="Q2356" t="str" cm="1">
        <f t="array" ref="Q2356:R2356">_xlfn.TEXTSPLIT(E2356," ")</f>
        <v>28.10.2023</v>
      </c>
      <c r="R2356" t="str">
        <v>15:18:24</v>
      </c>
      <c r="S2356">
        <f t="shared" si="475"/>
        <v>39.216666666665724</v>
      </c>
      <c r="T2356">
        <f t="shared" si="470"/>
        <v>38.980000000000004</v>
      </c>
      <c r="U2356">
        <f t="shared" si="473"/>
        <v>1.05</v>
      </c>
      <c r="V2356">
        <f t="shared" si="469"/>
        <v>0.9</v>
      </c>
    </row>
    <row r="2357" spans="1:22" x14ac:dyDescent="0.25">
      <c r="A2357" t="s">
        <v>4313</v>
      </c>
      <c r="B2357">
        <v>0.6</v>
      </c>
      <c r="C2357">
        <v>37</v>
      </c>
      <c r="E2357" t="s">
        <v>4313</v>
      </c>
      <c r="F2357">
        <v>1.05</v>
      </c>
      <c r="G2357">
        <v>117.6</v>
      </c>
      <c r="I2357" t="str" cm="1">
        <f t="array" ref="I2357:J2357">_xlfn.TEXTSPLIT(A2357," ")</f>
        <v>28.10.2023</v>
      </c>
      <c r="J2357" t="str">
        <v>15:19:25</v>
      </c>
      <c r="K2357">
        <f t="shared" si="474"/>
        <v>39.233333333332389</v>
      </c>
      <c r="L2357">
        <f t="shared" si="471"/>
        <v>22.68</v>
      </c>
      <c r="M2357">
        <f t="shared" si="472"/>
        <v>0.6</v>
      </c>
      <c r="N2357">
        <f t="shared" si="468"/>
        <v>0.56000000000000016</v>
      </c>
      <c r="Q2357" t="str" cm="1">
        <f t="array" ref="Q2357:R2357">_xlfn.TEXTSPLIT(E2357," ")</f>
        <v>28.10.2023</v>
      </c>
      <c r="R2357" t="str">
        <v>15:19:25</v>
      </c>
      <c r="S2357">
        <f t="shared" si="475"/>
        <v>39.233333333332389</v>
      </c>
      <c r="T2357">
        <f t="shared" si="470"/>
        <v>39</v>
      </c>
      <c r="U2357">
        <f t="shared" si="473"/>
        <v>1.05</v>
      </c>
      <c r="V2357">
        <f t="shared" si="469"/>
        <v>0.90749999999999997</v>
      </c>
    </row>
    <row r="2358" spans="1:22" x14ac:dyDescent="0.25">
      <c r="A2358" t="s">
        <v>4314</v>
      </c>
      <c r="B2358">
        <v>0.45</v>
      </c>
      <c r="C2358">
        <v>37.01</v>
      </c>
      <c r="E2358" t="s">
        <v>4314</v>
      </c>
      <c r="F2358">
        <v>0.75</v>
      </c>
      <c r="G2358">
        <v>117.61</v>
      </c>
      <c r="I2358" t="str" cm="1">
        <f t="array" ref="I2358:J2358">_xlfn.TEXTSPLIT(A2358," ")</f>
        <v>28.10.2023</v>
      </c>
      <c r="J2358" t="str">
        <v>15:20:25</v>
      </c>
      <c r="K2358">
        <f t="shared" si="474"/>
        <v>39.249999999999055</v>
      </c>
      <c r="L2358">
        <f t="shared" si="471"/>
        <v>22.689999999999998</v>
      </c>
      <c r="M2358">
        <f t="shared" si="472"/>
        <v>0.45</v>
      </c>
      <c r="N2358">
        <f t="shared" si="468"/>
        <v>0.56000000000000016</v>
      </c>
      <c r="Q2358" t="str" cm="1">
        <f t="array" ref="Q2358:R2358">_xlfn.TEXTSPLIT(E2358," ")</f>
        <v>28.10.2023</v>
      </c>
      <c r="R2358" t="str">
        <v>15:20:25</v>
      </c>
      <c r="S2358">
        <f t="shared" si="475"/>
        <v>39.249999999999055</v>
      </c>
      <c r="T2358">
        <f t="shared" si="470"/>
        <v>39.010000000000005</v>
      </c>
      <c r="U2358">
        <f t="shared" si="473"/>
        <v>0.75</v>
      </c>
      <c r="V2358">
        <f t="shared" si="469"/>
        <v>0.91</v>
      </c>
    </row>
    <row r="2359" spans="1:22" x14ac:dyDescent="0.25">
      <c r="A2359" t="s">
        <v>4315</v>
      </c>
      <c r="B2359">
        <v>0.45</v>
      </c>
      <c r="C2359">
        <v>37.01</v>
      </c>
      <c r="E2359" t="s">
        <v>4315</v>
      </c>
      <c r="F2359">
        <v>0.3</v>
      </c>
      <c r="G2359">
        <v>117.61</v>
      </c>
      <c r="I2359" t="str" cm="1">
        <f t="array" ref="I2359:J2359">_xlfn.TEXTSPLIT(A2359," ")</f>
        <v>28.10.2023</v>
      </c>
      <c r="J2359" t="str">
        <v>15:21:25</v>
      </c>
      <c r="K2359">
        <f t="shared" si="474"/>
        <v>39.266666666665721</v>
      </c>
      <c r="L2359">
        <f t="shared" si="471"/>
        <v>22.689999999999998</v>
      </c>
      <c r="M2359">
        <f t="shared" si="472"/>
        <v>0.45</v>
      </c>
      <c r="N2359">
        <f t="shared" si="468"/>
        <v>0.56250000000000022</v>
      </c>
      <c r="Q2359" t="str" cm="1">
        <f t="array" ref="Q2359:R2359">_xlfn.TEXTSPLIT(E2359," ")</f>
        <v>28.10.2023</v>
      </c>
      <c r="R2359" t="str">
        <v>15:21:25</v>
      </c>
      <c r="S2359">
        <f t="shared" si="475"/>
        <v>39.266666666665721</v>
      </c>
      <c r="T2359">
        <f t="shared" si="470"/>
        <v>39.010000000000005</v>
      </c>
      <c r="U2359">
        <f t="shared" si="473"/>
        <v>0.3</v>
      </c>
      <c r="V2359">
        <f t="shared" si="469"/>
        <v>0.91499999999999992</v>
      </c>
    </row>
    <row r="2360" spans="1:22" x14ac:dyDescent="0.25">
      <c r="A2360" t="s">
        <v>4316</v>
      </c>
      <c r="B2360">
        <v>0.15</v>
      </c>
      <c r="C2360">
        <v>37.01</v>
      </c>
      <c r="E2360" t="s">
        <v>4316</v>
      </c>
      <c r="F2360">
        <v>0.3</v>
      </c>
      <c r="G2360">
        <v>117.62</v>
      </c>
      <c r="I2360" t="str" cm="1">
        <f t="array" ref="I2360:J2360">_xlfn.TEXTSPLIT(A2360," ")</f>
        <v>28.10.2023</v>
      </c>
      <c r="J2360" t="str">
        <v>15:22:25</v>
      </c>
      <c r="K2360">
        <f t="shared" si="474"/>
        <v>39.283333333332386</v>
      </c>
      <c r="L2360">
        <f t="shared" si="471"/>
        <v>22.689999999999998</v>
      </c>
      <c r="M2360">
        <f t="shared" si="472"/>
        <v>0.15</v>
      </c>
      <c r="N2360">
        <f t="shared" si="468"/>
        <v>0.56500000000000017</v>
      </c>
      <c r="Q2360" t="str" cm="1">
        <f t="array" ref="Q2360:R2360">_xlfn.TEXTSPLIT(E2360," ")</f>
        <v>28.10.2023</v>
      </c>
      <c r="R2360" t="str">
        <v>15:22:25</v>
      </c>
      <c r="S2360">
        <f t="shared" si="475"/>
        <v>39.283333333332386</v>
      </c>
      <c r="T2360">
        <f t="shared" si="470"/>
        <v>39.02000000000001</v>
      </c>
      <c r="U2360">
        <f t="shared" si="473"/>
        <v>0.3</v>
      </c>
      <c r="V2360">
        <f t="shared" si="469"/>
        <v>0.91749999999999987</v>
      </c>
    </row>
    <row r="2361" spans="1:22" x14ac:dyDescent="0.25">
      <c r="A2361" t="s">
        <v>4317</v>
      </c>
      <c r="B2361">
        <v>0</v>
      </c>
      <c r="C2361">
        <v>37.01</v>
      </c>
      <c r="E2361" t="s">
        <v>4317</v>
      </c>
      <c r="F2361">
        <v>0.45</v>
      </c>
      <c r="G2361">
        <v>117.62</v>
      </c>
      <c r="I2361" t="str" cm="1">
        <f t="array" ref="I2361:J2361">_xlfn.TEXTSPLIT(A2361," ")</f>
        <v>28.10.2023</v>
      </c>
      <c r="J2361" t="str">
        <v>15:23:25</v>
      </c>
      <c r="K2361">
        <f t="shared" si="474"/>
        <v>39.299999999999052</v>
      </c>
      <c r="L2361">
        <f t="shared" si="471"/>
        <v>22.689999999999998</v>
      </c>
      <c r="M2361">
        <f t="shared" si="472"/>
        <v>0</v>
      </c>
      <c r="N2361">
        <f t="shared" si="468"/>
        <v>0.56500000000000017</v>
      </c>
      <c r="Q2361" t="str" cm="1">
        <f t="array" ref="Q2361:R2361">_xlfn.TEXTSPLIT(E2361," ")</f>
        <v>28.10.2023</v>
      </c>
      <c r="R2361" t="str">
        <v>15:23:25</v>
      </c>
      <c r="S2361">
        <f t="shared" si="475"/>
        <v>39.299999999999052</v>
      </c>
      <c r="T2361">
        <f t="shared" si="470"/>
        <v>39.02000000000001</v>
      </c>
      <c r="U2361">
        <f t="shared" si="473"/>
        <v>0.45</v>
      </c>
      <c r="V2361">
        <f t="shared" si="469"/>
        <v>0.91999999999999993</v>
      </c>
    </row>
    <row r="2362" spans="1:22" x14ac:dyDescent="0.25">
      <c r="A2362" t="s">
        <v>4318</v>
      </c>
      <c r="B2362">
        <v>0</v>
      </c>
      <c r="C2362">
        <v>37.01</v>
      </c>
      <c r="E2362" t="s">
        <v>4318</v>
      </c>
      <c r="F2362">
        <v>0.15</v>
      </c>
      <c r="G2362">
        <v>117.63</v>
      </c>
      <c r="I2362" t="str" cm="1">
        <f t="array" ref="I2362:J2362">_xlfn.TEXTSPLIT(A2362," ")</f>
        <v>28.10.2023</v>
      </c>
      <c r="J2362" t="str">
        <v>15:24:25</v>
      </c>
      <c r="K2362">
        <f t="shared" si="474"/>
        <v>39.316666666665718</v>
      </c>
      <c r="L2362">
        <f t="shared" si="471"/>
        <v>22.689999999999998</v>
      </c>
      <c r="M2362">
        <f t="shared" si="472"/>
        <v>0</v>
      </c>
      <c r="N2362">
        <f t="shared" si="468"/>
        <v>0.56500000000000017</v>
      </c>
      <c r="Q2362" t="str" cm="1">
        <f t="array" ref="Q2362:R2362">_xlfn.TEXTSPLIT(E2362," ")</f>
        <v>28.10.2023</v>
      </c>
      <c r="R2362" t="str">
        <v>15:24:25</v>
      </c>
      <c r="S2362">
        <f t="shared" si="475"/>
        <v>39.316666666665718</v>
      </c>
      <c r="T2362">
        <f t="shared" si="470"/>
        <v>39.03</v>
      </c>
      <c r="U2362">
        <f t="shared" si="473"/>
        <v>0.15</v>
      </c>
      <c r="V2362">
        <f t="shared" si="469"/>
        <v>0.91499999999999992</v>
      </c>
    </row>
    <row r="2363" spans="1:22" x14ac:dyDescent="0.25">
      <c r="A2363" t="s">
        <v>4319</v>
      </c>
      <c r="B2363">
        <v>0</v>
      </c>
      <c r="C2363">
        <v>37.01</v>
      </c>
      <c r="E2363" t="s">
        <v>4319</v>
      </c>
      <c r="F2363">
        <v>0.45</v>
      </c>
      <c r="G2363">
        <v>117.64</v>
      </c>
      <c r="I2363" t="str" cm="1">
        <f t="array" ref="I2363:J2363">_xlfn.TEXTSPLIT(A2363," ")</f>
        <v>28.10.2023</v>
      </c>
      <c r="J2363" t="str">
        <v>15:25:25</v>
      </c>
      <c r="K2363">
        <f t="shared" si="474"/>
        <v>39.333333333332384</v>
      </c>
      <c r="L2363">
        <f t="shared" si="471"/>
        <v>22.689999999999998</v>
      </c>
      <c r="M2363">
        <f t="shared" si="472"/>
        <v>0</v>
      </c>
      <c r="N2363">
        <f t="shared" si="468"/>
        <v>0.56500000000000017</v>
      </c>
      <c r="Q2363" t="str" cm="1">
        <f t="array" ref="Q2363:R2363">_xlfn.TEXTSPLIT(E2363," ")</f>
        <v>28.10.2023</v>
      </c>
      <c r="R2363" t="str">
        <v>15:25:25</v>
      </c>
      <c r="S2363">
        <f t="shared" si="475"/>
        <v>39.333333333332384</v>
      </c>
      <c r="T2363">
        <f t="shared" si="470"/>
        <v>39.040000000000006</v>
      </c>
      <c r="U2363">
        <f t="shared" si="473"/>
        <v>0.45</v>
      </c>
      <c r="V2363">
        <f t="shared" si="469"/>
        <v>0.91749999999999998</v>
      </c>
    </row>
    <row r="2364" spans="1:22" x14ac:dyDescent="0.25">
      <c r="A2364" t="s">
        <v>4320</v>
      </c>
      <c r="B2364">
        <v>0</v>
      </c>
      <c r="C2364">
        <v>37.01</v>
      </c>
      <c r="E2364" t="s">
        <v>4320</v>
      </c>
      <c r="F2364">
        <v>0.3</v>
      </c>
      <c r="G2364">
        <v>117.64</v>
      </c>
      <c r="I2364" t="str" cm="1">
        <f t="array" ref="I2364:J2364">_xlfn.TEXTSPLIT(A2364," ")</f>
        <v>28.10.2023</v>
      </c>
      <c r="J2364" t="str">
        <v>15:26:25</v>
      </c>
      <c r="K2364">
        <f t="shared" si="474"/>
        <v>39.349999999999049</v>
      </c>
      <c r="L2364">
        <f t="shared" si="471"/>
        <v>22.689999999999998</v>
      </c>
      <c r="M2364">
        <f t="shared" si="472"/>
        <v>0</v>
      </c>
      <c r="N2364">
        <f t="shared" si="468"/>
        <v>0.56500000000000017</v>
      </c>
      <c r="Q2364" t="str" cm="1">
        <f t="array" ref="Q2364:R2364">_xlfn.TEXTSPLIT(E2364," ")</f>
        <v>28.10.2023</v>
      </c>
      <c r="R2364" t="str">
        <v>15:26:25</v>
      </c>
      <c r="S2364">
        <f t="shared" si="475"/>
        <v>39.349999999999049</v>
      </c>
      <c r="T2364">
        <f t="shared" si="470"/>
        <v>39.040000000000006</v>
      </c>
      <c r="U2364">
        <f t="shared" si="473"/>
        <v>0.3</v>
      </c>
      <c r="V2364">
        <f t="shared" si="469"/>
        <v>0.91249999999999987</v>
      </c>
    </row>
    <row r="2365" spans="1:22" x14ac:dyDescent="0.25">
      <c r="A2365" t="s">
        <v>4321</v>
      </c>
      <c r="B2365">
        <v>0</v>
      </c>
      <c r="C2365">
        <v>37.01</v>
      </c>
      <c r="E2365" t="s">
        <v>4321</v>
      </c>
      <c r="F2365">
        <v>0.45</v>
      </c>
      <c r="G2365">
        <v>117.65</v>
      </c>
      <c r="I2365" t="str" cm="1">
        <f t="array" ref="I2365:J2365">_xlfn.TEXTSPLIT(A2365," ")</f>
        <v>28.10.2023</v>
      </c>
      <c r="J2365" t="str">
        <v>15:27:25</v>
      </c>
      <c r="K2365">
        <f t="shared" si="474"/>
        <v>39.366666666665715</v>
      </c>
      <c r="L2365">
        <f t="shared" si="471"/>
        <v>22.689999999999998</v>
      </c>
      <c r="M2365">
        <f t="shared" si="472"/>
        <v>0</v>
      </c>
      <c r="N2365">
        <f t="shared" si="468"/>
        <v>0.56500000000000017</v>
      </c>
      <c r="Q2365" t="str" cm="1">
        <f t="array" ref="Q2365:R2365">_xlfn.TEXTSPLIT(E2365," ")</f>
        <v>28.10.2023</v>
      </c>
      <c r="R2365" t="str">
        <v>15:27:25</v>
      </c>
      <c r="S2365">
        <f t="shared" si="475"/>
        <v>39.366666666665715</v>
      </c>
      <c r="T2365">
        <f t="shared" si="470"/>
        <v>39.050000000000011</v>
      </c>
      <c r="U2365">
        <f t="shared" si="473"/>
        <v>0.45</v>
      </c>
      <c r="V2365">
        <f t="shared" si="469"/>
        <v>0.90749999999999997</v>
      </c>
    </row>
    <row r="2366" spans="1:22" x14ac:dyDescent="0.25">
      <c r="A2366" t="s">
        <v>4322</v>
      </c>
      <c r="B2366">
        <v>0.15</v>
      </c>
      <c r="C2366">
        <v>37.01</v>
      </c>
      <c r="E2366" t="s">
        <v>4322</v>
      </c>
      <c r="F2366">
        <v>0.45</v>
      </c>
      <c r="G2366">
        <v>117.66</v>
      </c>
      <c r="I2366" t="str" cm="1">
        <f t="array" ref="I2366:J2366">_xlfn.TEXTSPLIT(A2366," ")</f>
        <v>28.10.2023</v>
      </c>
      <c r="J2366" t="str">
        <v>15:28:26</v>
      </c>
      <c r="K2366">
        <f t="shared" si="474"/>
        <v>39.383333333332381</v>
      </c>
      <c r="L2366">
        <f t="shared" si="471"/>
        <v>22.689999999999998</v>
      </c>
      <c r="M2366">
        <f t="shared" si="472"/>
        <v>0.15</v>
      </c>
      <c r="N2366">
        <f t="shared" si="468"/>
        <v>0.56750000000000023</v>
      </c>
      <c r="Q2366" t="str" cm="1">
        <f t="array" ref="Q2366:R2366">_xlfn.TEXTSPLIT(E2366," ")</f>
        <v>28.10.2023</v>
      </c>
      <c r="R2366" t="str">
        <v>15:28:26</v>
      </c>
      <c r="S2366">
        <f t="shared" si="475"/>
        <v>39.383333333332381</v>
      </c>
      <c r="T2366">
        <f t="shared" si="470"/>
        <v>39.06</v>
      </c>
      <c r="U2366">
        <f t="shared" si="473"/>
        <v>0.45</v>
      </c>
      <c r="V2366">
        <f t="shared" si="469"/>
        <v>0.90250000000000008</v>
      </c>
    </row>
    <row r="2367" spans="1:22" x14ac:dyDescent="0.25">
      <c r="A2367" t="s">
        <v>4323</v>
      </c>
      <c r="B2367">
        <v>0.15</v>
      </c>
      <c r="C2367">
        <v>37.020000000000003</v>
      </c>
      <c r="E2367" t="s">
        <v>4323</v>
      </c>
      <c r="F2367">
        <v>0.6</v>
      </c>
      <c r="G2367">
        <v>117.67</v>
      </c>
      <c r="I2367" t="str" cm="1">
        <f t="array" ref="I2367:J2367">_xlfn.TEXTSPLIT(A2367," ")</f>
        <v>28.10.2023</v>
      </c>
      <c r="J2367" t="str">
        <v>15:29:26</v>
      </c>
      <c r="K2367">
        <f t="shared" si="474"/>
        <v>39.399999999999046</v>
      </c>
      <c r="L2367">
        <f t="shared" si="471"/>
        <v>22.700000000000003</v>
      </c>
      <c r="M2367">
        <f t="shared" si="472"/>
        <v>0.15</v>
      </c>
      <c r="N2367">
        <f t="shared" ref="N2367:N2430" si="476">AVERAGE(M2308:M2367)</f>
        <v>0.57000000000000017</v>
      </c>
      <c r="Q2367" t="str" cm="1">
        <f t="array" ref="Q2367:R2367">_xlfn.TEXTSPLIT(E2367," ")</f>
        <v>28.10.2023</v>
      </c>
      <c r="R2367" t="str">
        <v>15:29:26</v>
      </c>
      <c r="S2367">
        <f t="shared" si="475"/>
        <v>39.399999999999046</v>
      </c>
      <c r="T2367">
        <f t="shared" si="470"/>
        <v>39.070000000000007</v>
      </c>
      <c r="U2367">
        <f t="shared" si="473"/>
        <v>0.6</v>
      </c>
      <c r="V2367">
        <f t="shared" ref="V2367:V2430" si="477">AVERAGE(U2308:U2367)</f>
        <v>0.90250000000000008</v>
      </c>
    </row>
    <row r="2368" spans="1:22" x14ac:dyDescent="0.25">
      <c r="A2368" t="s">
        <v>4324</v>
      </c>
      <c r="B2368">
        <v>0.15</v>
      </c>
      <c r="C2368">
        <v>37.020000000000003</v>
      </c>
      <c r="E2368" t="s">
        <v>4324</v>
      </c>
      <c r="F2368">
        <v>0.45</v>
      </c>
      <c r="G2368">
        <v>117.68</v>
      </c>
      <c r="I2368" t="str" cm="1">
        <f t="array" ref="I2368:J2368">_xlfn.TEXTSPLIT(A2368," ")</f>
        <v>28.10.2023</v>
      </c>
      <c r="J2368" t="str">
        <v>15:30:26</v>
      </c>
      <c r="K2368">
        <f t="shared" si="474"/>
        <v>39.416666666665712</v>
      </c>
      <c r="L2368">
        <f t="shared" si="471"/>
        <v>22.700000000000003</v>
      </c>
      <c r="M2368">
        <f t="shared" si="472"/>
        <v>0.15</v>
      </c>
      <c r="N2368">
        <f t="shared" si="476"/>
        <v>0.57250000000000012</v>
      </c>
      <c r="Q2368" t="str" cm="1">
        <f t="array" ref="Q2368:R2368">_xlfn.TEXTSPLIT(E2368," ")</f>
        <v>28.10.2023</v>
      </c>
      <c r="R2368" t="str">
        <v>15:30:26</v>
      </c>
      <c r="S2368">
        <f t="shared" si="475"/>
        <v>39.416666666665712</v>
      </c>
      <c r="T2368">
        <f t="shared" si="470"/>
        <v>39.080000000000013</v>
      </c>
      <c r="U2368">
        <f t="shared" si="473"/>
        <v>0.45</v>
      </c>
      <c r="V2368">
        <f t="shared" si="477"/>
        <v>0.89500000000000013</v>
      </c>
    </row>
    <row r="2369" spans="1:22" x14ac:dyDescent="0.25">
      <c r="A2369" t="s">
        <v>4325</v>
      </c>
      <c r="B2369">
        <v>0.3</v>
      </c>
      <c r="C2369">
        <v>37.03</v>
      </c>
      <c r="E2369" t="s">
        <v>4325</v>
      </c>
      <c r="F2369">
        <v>0.6</v>
      </c>
      <c r="G2369">
        <v>117.69</v>
      </c>
      <c r="I2369" t="str" cm="1">
        <f t="array" ref="I2369:J2369">_xlfn.TEXTSPLIT(A2369," ")</f>
        <v>28.10.2023</v>
      </c>
      <c r="J2369" t="str">
        <v>15:31:26</v>
      </c>
      <c r="K2369">
        <f t="shared" si="474"/>
        <v>39.433333333332378</v>
      </c>
      <c r="L2369">
        <f t="shared" si="471"/>
        <v>22.71</v>
      </c>
      <c r="M2369">
        <f t="shared" si="472"/>
        <v>0.3</v>
      </c>
      <c r="N2369">
        <f t="shared" si="476"/>
        <v>0.57250000000000001</v>
      </c>
      <c r="Q2369" t="str" cm="1">
        <f t="array" ref="Q2369:R2369">_xlfn.TEXTSPLIT(E2369," ")</f>
        <v>28.10.2023</v>
      </c>
      <c r="R2369" t="str">
        <v>15:31:26</v>
      </c>
      <c r="S2369">
        <f t="shared" si="475"/>
        <v>39.433333333332378</v>
      </c>
      <c r="T2369">
        <f t="shared" si="470"/>
        <v>39.090000000000003</v>
      </c>
      <c r="U2369">
        <f t="shared" si="473"/>
        <v>0.6</v>
      </c>
      <c r="V2369">
        <f t="shared" si="477"/>
        <v>0.89500000000000013</v>
      </c>
    </row>
    <row r="2370" spans="1:22" x14ac:dyDescent="0.25">
      <c r="A2370" t="s">
        <v>4326</v>
      </c>
      <c r="B2370">
        <v>0.3</v>
      </c>
      <c r="C2370">
        <v>37.03</v>
      </c>
      <c r="E2370" t="s">
        <v>4326</v>
      </c>
      <c r="F2370">
        <v>0.6</v>
      </c>
      <c r="G2370">
        <v>117.7</v>
      </c>
      <c r="I2370" t="str" cm="1">
        <f t="array" ref="I2370:J2370">_xlfn.TEXTSPLIT(A2370," ")</f>
        <v>28.10.2023</v>
      </c>
      <c r="J2370" t="str">
        <v>15:32:26</v>
      </c>
      <c r="K2370">
        <f t="shared" si="474"/>
        <v>39.449999999999044</v>
      </c>
      <c r="L2370">
        <f t="shared" si="471"/>
        <v>22.71</v>
      </c>
      <c r="M2370">
        <f t="shared" si="472"/>
        <v>0.3</v>
      </c>
      <c r="N2370">
        <f t="shared" si="476"/>
        <v>0.57250000000000001</v>
      </c>
      <c r="Q2370" t="str" cm="1">
        <f t="array" ref="Q2370:R2370">_xlfn.TEXTSPLIT(E2370," ")</f>
        <v>28.10.2023</v>
      </c>
      <c r="R2370" t="str">
        <v>15:32:26</v>
      </c>
      <c r="S2370">
        <f t="shared" si="475"/>
        <v>39.449999999999044</v>
      </c>
      <c r="T2370">
        <f t="shared" si="470"/>
        <v>39.100000000000009</v>
      </c>
      <c r="U2370">
        <f t="shared" si="473"/>
        <v>0.6</v>
      </c>
      <c r="V2370">
        <f t="shared" si="477"/>
        <v>0.89250000000000018</v>
      </c>
    </row>
    <row r="2371" spans="1:22" x14ac:dyDescent="0.25">
      <c r="A2371" t="s">
        <v>4327</v>
      </c>
      <c r="B2371">
        <v>0.15</v>
      </c>
      <c r="C2371">
        <v>37.03</v>
      </c>
      <c r="E2371" t="s">
        <v>4327</v>
      </c>
      <c r="F2371">
        <v>1.05</v>
      </c>
      <c r="G2371">
        <v>117.72</v>
      </c>
      <c r="I2371" t="str" cm="1">
        <f t="array" ref="I2371:J2371">_xlfn.TEXTSPLIT(A2371," ")</f>
        <v>28.10.2023</v>
      </c>
      <c r="J2371" t="str">
        <v>15:33:26</v>
      </c>
      <c r="K2371">
        <f t="shared" si="474"/>
        <v>39.466666666665709</v>
      </c>
      <c r="L2371">
        <f t="shared" si="471"/>
        <v>22.71</v>
      </c>
      <c r="M2371">
        <f t="shared" si="472"/>
        <v>0.15</v>
      </c>
      <c r="N2371">
        <f t="shared" si="476"/>
        <v>0.5675</v>
      </c>
      <c r="Q2371" t="str" cm="1">
        <f t="array" ref="Q2371:R2371">_xlfn.TEXTSPLIT(E2371," ")</f>
        <v>28.10.2023</v>
      </c>
      <c r="R2371" t="str">
        <v>15:33:26</v>
      </c>
      <c r="S2371">
        <f t="shared" si="475"/>
        <v>39.466666666665709</v>
      </c>
      <c r="T2371">
        <f t="shared" ref="T2371:T2434" si="478">G2371-78.6</f>
        <v>39.120000000000005</v>
      </c>
      <c r="U2371">
        <f t="shared" si="473"/>
        <v>1.05</v>
      </c>
      <c r="V2371">
        <f t="shared" si="477"/>
        <v>0.90000000000000013</v>
      </c>
    </row>
    <row r="2372" spans="1:22" x14ac:dyDescent="0.25">
      <c r="A2372" t="s">
        <v>4328</v>
      </c>
      <c r="B2372">
        <v>0.45</v>
      </c>
      <c r="C2372">
        <v>37.04</v>
      </c>
      <c r="E2372" t="s">
        <v>4328</v>
      </c>
      <c r="F2372">
        <v>1.05</v>
      </c>
      <c r="G2372">
        <v>117.74</v>
      </c>
      <c r="I2372" t="str" cm="1">
        <f t="array" ref="I2372:J2372">_xlfn.TEXTSPLIT(A2372," ")</f>
        <v>28.10.2023</v>
      </c>
      <c r="J2372" t="str">
        <v>15:34:27</v>
      </c>
      <c r="K2372">
        <f t="shared" si="474"/>
        <v>39.483333333332375</v>
      </c>
      <c r="L2372">
        <f t="shared" ref="L2372:L2435" si="479">C2372-14.32</f>
        <v>22.72</v>
      </c>
      <c r="M2372">
        <f t="shared" ref="M2372:M2435" si="480">B2372</f>
        <v>0.45</v>
      </c>
      <c r="N2372">
        <f t="shared" si="476"/>
        <v>0.56999999999999995</v>
      </c>
      <c r="Q2372" t="str" cm="1">
        <f t="array" ref="Q2372:R2372">_xlfn.TEXTSPLIT(E2372," ")</f>
        <v>28.10.2023</v>
      </c>
      <c r="R2372" t="str">
        <v>15:34:27</v>
      </c>
      <c r="S2372">
        <f t="shared" si="475"/>
        <v>39.483333333332375</v>
      </c>
      <c r="T2372">
        <f t="shared" si="478"/>
        <v>39.14</v>
      </c>
      <c r="U2372">
        <f t="shared" ref="U2372:U2435" si="481">F2372</f>
        <v>1.05</v>
      </c>
      <c r="V2372">
        <f t="shared" si="477"/>
        <v>0.90500000000000014</v>
      </c>
    </row>
    <row r="2373" spans="1:22" x14ac:dyDescent="0.25">
      <c r="A2373" t="s">
        <v>4329</v>
      </c>
      <c r="B2373">
        <v>0.15</v>
      </c>
      <c r="C2373">
        <v>37.04</v>
      </c>
      <c r="E2373" t="s">
        <v>4329</v>
      </c>
      <c r="F2373">
        <v>1.65</v>
      </c>
      <c r="G2373">
        <v>117.77</v>
      </c>
      <c r="I2373" t="str" cm="1">
        <f t="array" ref="I2373:J2373">_xlfn.TEXTSPLIT(A2373," ")</f>
        <v>28.10.2023</v>
      </c>
      <c r="J2373" t="str">
        <v>15:35:27</v>
      </c>
      <c r="K2373">
        <f t="shared" ref="K2373:K2436" si="482">1/60+K2372</f>
        <v>39.499999999999041</v>
      </c>
      <c r="L2373">
        <f t="shared" si="479"/>
        <v>22.72</v>
      </c>
      <c r="M2373">
        <f t="shared" si="480"/>
        <v>0.15</v>
      </c>
      <c r="N2373">
        <f t="shared" si="476"/>
        <v>0.56499999999999995</v>
      </c>
      <c r="Q2373" t="str" cm="1">
        <f t="array" ref="Q2373:R2373">_xlfn.TEXTSPLIT(E2373," ")</f>
        <v>28.10.2023</v>
      </c>
      <c r="R2373" t="str">
        <v>15:35:27</v>
      </c>
      <c r="S2373">
        <f t="shared" ref="S2373:S2436" si="483">1/60+S2372</f>
        <v>39.499999999999041</v>
      </c>
      <c r="T2373">
        <f t="shared" si="478"/>
        <v>39.17</v>
      </c>
      <c r="U2373">
        <f t="shared" si="481"/>
        <v>1.65</v>
      </c>
      <c r="V2373">
        <f t="shared" si="477"/>
        <v>0.91249999999999998</v>
      </c>
    </row>
    <row r="2374" spans="1:22" x14ac:dyDescent="0.25">
      <c r="A2374" t="s">
        <v>4330</v>
      </c>
      <c r="B2374">
        <v>0.3</v>
      </c>
      <c r="C2374">
        <v>37.06</v>
      </c>
      <c r="E2374" t="s">
        <v>4330</v>
      </c>
      <c r="F2374">
        <v>1.95</v>
      </c>
      <c r="G2374">
        <v>117.81</v>
      </c>
      <c r="I2374" t="str" cm="1">
        <f t="array" ref="I2374:J2374">_xlfn.TEXTSPLIT(A2374," ")</f>
        <v>28.10.2023</v>
      </c>
      <c r="J2374" t="str">
        <v>15:36:27</v>
      </c>
      <c r="K2374">
        <f t="shared" si="482"/>
        <v>39.516666666665706</v>
      </c>
      <c r="L2374">
        <f t="shared" si="479"/>
        <v>22.740000000000002</v>
      </c>
      <c r="M2374">
        <f t="shared" si="480"/>
        <v>0.3</v>
      </c>
      <c r="N2374">
        <f t="shared" si="476"/>
        <v>0.56249999999999989</v>
      </c>
      <c r="Q2374" t="str" cm="1">
        <f t="array" ref="Q2374:R2374">_xlfn.TEXTSPLIT(E2374," ")</f>
        <v>28.10.2023</v>
      </c>
      <c r="R2374" t="str">
        <v>15:36:27</v>
      </c>
      <c r="S2374">
        <f t="shared" si="483"/>
        <v>39.516666666665706</v>
      </c>
      <c r="T2374">
        <f t="shared" si="478"/>
        <v>39.210000000000008</v>
      </c>
      <c r="U2374">
        <f t="shared" si="481"/>
        <v>1.95</v>
      </c>
      <c r="V2374">
        <f t="shared" si="477"/>
        <v>0.90250000000000008</v>
      </c>
    </row>
    <row r="2375" spans="1:22" x14ac:dyDescent="0.25">
      <c r="A2375" t="s">
        <v>4331</v>
      </c>
      <c r="B2375">
        <v>1.95</v>
      </c>
      <c r="C2375">
        <v>37.1</v>
      </c>
      <c r="E2375" t="s">
        <v>4331</v>
      </c>
      <c r="F2375">
        <v>2.25</v>
      </c>
      <c r="G2375">
        <v>117.84</v>
      </c>
      <c r="I2375" t="str" cm="1">
        <f t="array" ref="I2375:J2375">_xlfn.TEXTSPLIT(A2375," ")</f>
        <v>28.10.2023</v>
      </c>
      <c r="J2375" t="str">
        <v>15:37:27</v>
      </c>
      <c r="K2375">
        <f t="shared" si="482"/>
        <v>39.533333333332372</v>
      </c>
      <c r="L2375">
        <f t="shared" si="479"/>
        <v>22.78</v>
      </c>
      <c r="M2375">
        <f t="shared" si="480"/>
        <v>1.95</v>
      </c>
      <c r="N2375">
        <f t="shared" si="476"/>
        <v>0.5575</v>
      </c>
      <c r="Q2375" t="str" cm="1">
        <f t="array" ref="Q2375:R2375">_xlfn.TEXTSPLIT(E2375," ")</f>
        <v>28.10.2023</v>
      </c>
      <c r="R2375" t="str">
        <v>15:37:27</v>
      </c>
      <c r="S2375">
        <f t="shared" si="483"/>
        <v>39.533333333332372</v>
      </c>
      <c r="T2375">
        <f t="shared" si="478"/>
        <v>39.240000000000009</v>
      </c>
      <c r="U2375">
        <f t="shared" si="481"/>
        <v>2.25</v>
      </c>
      <c r="V2375">
        <f t="shared" si="477"/>
        <v>0.90750000000000008</v>
      </c>
    </row>
    <row r="2376" spans="1:22" x14ac:dyDescent="0.25">
      <c r="A2376" t="s">
        <v>4332</v>
      </c>
      <c r="B2376">
        <v>2.4</v>
      </c>
      <c r="C2376">
        <v>37.14</v>
      </c>
      <c r="E2376" t="s">
        <v>4332</v>
      </c>
      <c r="F2376">
        <v>1.5</v>
      </c>
      <c r="G2376">
        <v>117.87</v>
      </c>
      <c r="I2376" t="str" cm="1">
        <f t="array" ref="I2376:J2376">_xlfn.TEXTSPLIT(A2376," ")</f>
        <v>28.10.2023</v>
      </c>
      <c r="J2376" t="str">
        <v>15:38:27</v>
      </c>
      <c r="K2376">
        <f t="shared" si="482"/>
        <v>39.549999999999038</v>
      </c>
      <c r="L2376">
        <f t="shared" si="479"/>
        <v>22.82</v>
      </c>
      <c r="M2376">
        <f t="shared" si="480"/>
        <v>2.4</v>
      </c>
      <c r="N2376">
        <f t="shared" si="476"/>
        <v>0.56750000000000012</v>
      </c>
      <c r="Q2376" t="str" cm="1">
        <f t="array" ref="Q2376:R2376">_xlfn.TEXTSPLIT(E2376," ")</f>
        <v>28.10.2023</v>
      </c>
      <c r="R2376" t="str">
        <v>15:38:27</v>
      </c>
      <c r="S2376">
        <f t="shared" si="483"/>
        <v>39.549999999999038</v>
      </c>
      <c r="T2376">
        <f t="shared" si="478"/>
        <v>39.27000000000001</v>
      </c>
      <c r="U2376">
        <f t="shared" si="481"/>
        <v>1.5</v>
      </c>
      <c r="V2376">
        <f t="shared" si="477"/>
        <v>0.90500000000000003</v>
      </c>
    </row>
    <row r="2377" spans="1:22" x14ac:dyDescent="0.25">
      <c r="A2377" t="s">
        <v>4333</v>
      </c>
      <c r="B2377">
        <v>1.5</v>
      </c>
      <c r="C2377">
        <v>37.159999999999997</v>
      </c>
      <c r="E2377" t="s">
        <v>4333</v>
      </c>
      <c r="F2377">
        <v>1.5</v>
      </c>
      <c r="G2377">
        <v>117.88</v>
      </c>
      <c r="I2377" t="str" cm="1">
        <f t="array" ref="I2377:J2377">_xlfn.TEXTSPLIT(A2377," ")</f>
        <v>28.10.2023</v>
      </c>
      <c r="J2377" t="str">
        <v>15:39:27</v>
      </c>
      <c r="K2377">
        <f t="shared" si="482"/>
        <v>39.566666666665704</v>
      </c>
      <c r="L2377">
        <f t="shared" si="479"/>
        <v>22.839999999999996</v>
      </c>
      <c r="M2377">
        <f t="shared" si="480"/>
        <v>1.5</v>
      </c>
      <c r="N2377">
        <f t="shared" si="476"/>
        <v>0.57000000000000006</v>
      </c>
      <c r="Q2377" t="str" cm="1">
        <f t="array" ref="Q2377:R2377">_xlfn.TEXTSPLIT(E2377," ")</f>
        <v>28.10.2023</v>
      </c>
      <c r="R2377" t="str">
        <v>15:39:27</v>
      </c>
      <c r="S2377">
        <f t="shared" si="483"/>
        <v>39.566666666665704</v>
      </c>
      <c r="T2377">
        <f t="shared" si="478"/>
        <v>39.28</v>
      </c>
      <c r="U2377">
        <f t="shared" si="481"/>
        <v>1.5</v>
      </c>
      <c r="V2377">
        <f t="shared" si="477"/>
        <v>0.90500000000000003</v>
      </c>
    </row>
    <row r="2378" spans="1:22" x14ac:dyDescent="0.25">
      <c r="A2378" t="s">
        <v>4334</v>
      </c>
      <c r="B2378">
        <v>1.05</v>
      </c>
      <c r="C2378">
        <v>37.17</v>
      </c>
      <c r="E2378" t="s">
        <v>4334</v>
      </c>
      <c r="F2378">
        <v>0.9</v>
      </c>
      <c r="G2378">
        <v>117.9</v>
      </c>
      <c r="I2378" t="str" cm="1">
        <f t="array" ref="I2378:J2378">_xlfn.TEXTSPLIT(A2378," ")</f>
        <v>28.10.2023</v>
      </c>
      <c r="J2378" t="str">
        <v>15:40:27</v>
      </c>
      <c r="K2378">
        <f t="shared" si="482"/>
        <v>39.583333333332369</v>
      </c>
      <c r="L2378">
        <f t="shared" si="479"/>
        <v>22.85</v>
      </c>
      <c r="M2378">
        <f t="shared" si="480"/>
        <v>1.05</v>
      </c>
      <c r="N2378">
        <f t="shared" si="476"/>
        <v>0.55999999999999994</v>
      </c>
      <c r="Q2378" t="str" cm="1">
        <f t="array" ref="Q2378:R2378">_xlfn.TEXTSPLIT(E2378," ")</f>
        <v>28.10.2023</v>
      </c>
      <c r="R2378" t="str">
        <v>15:40:27</v>
      </c>
      <c r="S2378">
        <f t="shared" si="483"/>
        <v>39.583333333332369</v>
      </c>
      <c r="T2378">
        <f t="shared" si="478"/>
        <v>39.300000000000011</v>
      </c>
      <c r="U2378">
        <f t="shared" si="481"/>
        <v>0.9</v>
      </c>
      <c r="V2378">
        <f t="shared" si="477"/>
        <v>0.88249999999999995</v>
      </c>
    </row>
    <row r="2379" spans="1:22" x14ac:dyDescent="0.25">
      <c r="A2379" t="s">
        <v>4335</v>
      </c>
      <c r="B2379">
        <v>0.75</v>
      </c>
      <c r="C2379">
        <v>37.19</v>
      </c>
      <c r="E2379" t="s">
        <v>4335</v>
      </c>
      <c r="F2379">
        <v>0.6</v>
      </c>
      <c r="G2379">
        <v>117.91</v>
      </c>
      <c r="I2379" t="str" cm="1">
        <f t="array" ref="I2379:J2379">_xlfn.TEXTSPLIT(A2379," ")</f>
        <v>28.10.2023</v>
      </c>
      <c r="J2379" t="str">
        <v>15:41:28</v>
      </c>
      <c r="K2379">
        <f t="shared" si="482"/>
        <v>39.599999999999035</v>
      </c>
      <c r="L2379">
        <f t="shared" si="479"/>
        <v>22.869999999999997</v>
      </c>
      <c r="M2379">
        <f t="shared" si="480"/>
        <v>0.75</v>
      </c>
      <c r="N2379">
        <f t="shared" si="476"/>
        <v>0.55749999999999988</v>
      </c>
      <c r="Q2379" t="str" cm="1">
        <f t="array" ref="Q2379:R2379">_xlfn.TEXTSPLIT(E2379," ")</f>
        <v>28.10.2023</v>
      </c>
      <c r="R2379" t="str">
        <v>15:41:28</v>
      </c>
      <c r="S2379">
        <f t="shared" si="483"/>
        <v>39.599999999999035</v>
      </c>
      <c r="T2379">
        <f t="shared" si="478"/>
        <v>39.31</v>
      </c>
      <c r="U2379">
        <f t="shared" si="481"/>
        <v>0.6</v>
      </c>
      <c r="V2379">
        <f t="shared" si="477"/>
        <v>0.87</v>
      </c>
    </row>
    <row r="2380" spans="1:22" x14ac:dyDescent="0.25">
      <c r="A2380" t="s">
        <v>4336</v>
      </c>
      <c r="B2380">
        <v>0.75</v>
      </c>
      <c r="C2380">
        <v>37.200000000000003</v>
      </c>
      <c r="E2380" t="s">
        <v>4336</v>
      </c>
      <c r="F2380">
        <v>0.75</v>
      </c>
      <c r="G2380">
        <v>117.92</v>
      </c>
      <c r="I2380" t="str" cm="1">
        <f t="array" ref="I2380:J2380">_xlfn.TEXTSPLIT(A2380," ")</f>
        <v>28.10.2023</v>
      </c>
      <c r="J2380" t="str">
        <v>15:42:28</v>
      </c>
      <c r="K2380">
        <f t="shared" si="482"/>
        <v>39.616666666665701</v>
      </c>
      <c r="L2380">
        <f t="shared" si="479"/>
        <v>22.880000000000003</v>
      </c>
      <c r="M2380">
        <f t="shared" si="480"/>
        <v>0.75</v>
      </c>
      <c r="N2380">
        <f t="shared" si="476"/>
        <v>0.54749999999999988</v>
      </c>
      <c r="Q2380" t="str" cm="1">
        <f t="array" ref="Q2380:R2380">_xlfn.TEXTSPLIT(E2380," ")</f>
        <v>28.10.2023</v>
      </c>
      <c r="R2380" t="str">
        <v>15:42:28</v>
      </c>
      <c r="S2380">
        <f t="shared" si="483"/>
        <v>39.616666666665701</v>
      </c>
      <c r="T2380">
        <f t="shared" si="478"/>
        <v>39.320000000000007</v>
      </c>
      <c r="U2380">
        <f t="shared" si="481"/>
        <v>0.75</v>
      </c>
      <c r="V2380">
        <f t="shared" si="477"/>
        <v>0.8650000000000001</v>
      </c>
    </row>
    <row r="2381" spans="1:22" x14ac:dyDescent="0.25">
      <c r="A2381" t="s">
        <v>4337</v>
      </c>
      <c r="B2381">
        <v>0.75</v>
      </c>
      <c r="C2381">
        <v>37.21</v>
      </c>
      <c r="E2381" t="s">
        <v>4337</v>
      </c>
      <c r="F2381">
        <v>0.45</v>
      </c>
      <c r="G2381">
        <v>117.93</v>
      </c>
      <c r="I2381" t="str" cm="1">
        <f t="array" ref="I2381:J2381">_xlfn.TEXTSPLIT(A2381," ")</f>
        <v>28.10.2023</v>
      </c>
      <c r="J2381" t="str">
        <v>15:43:28</v>
      </c>
      <c r="K2381">
        <f t="shared" si="482"/>
        <v>39.633333333332367</v>
      </c>
      <c r="L2381">
        <f t="shared" si="479"/>
        <v>22.89</v>
      </c>
      <c r="M2381">
        <f t="shared" si="480"/>
        <v>0.75</v>
      </c>
      <c r="N2381">
        <f t="shared" si="476"/>
        <v>0.54499999999999993</v>
      </c>
      <c r="Q2381" t="str" cm="1">
        <f t="array" ref="Q2381:R2381">_xlfn.TEXTSPLIT(E2381," ")</f>
        <v>28.10.2023</v>
      </c>
      <c r="R2381" t="str">
        <v>15:43:28</v>
      </c>
      <c r="S2381">
        <f t="shared" si="483"/>
        <v>39.633333333332367</v>
      </c>
      <c r="T2381">
        <f t="shared" si="478"/>
        <v>39.330000000000013</v>
      </c>
      <c r="U2381">
        <f t="shared" si="481"/>
        <v>0.45</v>
      </c>
      <c r="V2381">
        <f t="shared" si="477"/>
        <v>0.8550000000000002</v>
      </c>
    </row>
    <row r="2382" spans="1:22" x14ac:dyDescent="0.25">
      <c r="A2382" t="s">
        <v>4338</v>
      </c>
      <c r="B2382">
        <v>0.75</v>
      </c>
      <c r="C2382">
        <v>37.22</v>
      </c>
      <c r="E2382" t="s">
        <v>4338</v>
      </c>
      <c r="F2382">
        <v>0.9</v>
      </c>
      <c r="G2382">
        <v>117.95</v>
      </c>
      <c r="I2382" t="str" cm="1">
        <f t="array" ref="I2382:J2382">_xlfn.TEXTSPLIT(A2382," ")</f>
        <v>28.10.2023</v>
      </c>
      <c r="J2382" t="str">
        <v>15:44:28</v>
      </c>
      <c r="K2382">
        <f t="shared" si="482"/>
        <v>39.649999999999032</v>
      </c>
      <c r="L2382">
        <f t="shared" si="479"/>
        <v>22.9</v>
      </c>
      <c r="M2382">
        <f t="shared" si="480"/>
        <v>0.75</v>
      </c>
      <c r="N2382">
        <f t="shared" si="476"/>
        <v>0.54249999999999998</v>
      </c>
      <c r="Q2382" t="str" cm="1">
        <f t="array" ref="Q2382:R2382">_xlfn.TEXTSPLIT(E2382," ")</f>
        <v>28.10.2023</v>
      </c>
      <c r="R2382" t="str">
        <v>15:44:28</v>
      </c>
      <c r="S2382">
        <f t="shared" si="483"/>
        <v>39.649999999999032</v>
      </c>
      <c r="T2382">
        <f t="shared" si="478"/>
        <v>39.350000000000009</v>
      </c>
      <c r="U2382">
        <f t="shared" si="481"/>
        <v>0.9</v>
      </c>
      <c r="V2382">
        <f t="shared" si="477"/>
        <v>0.85500000000000032</v>
      </c>
    </row>
    <row r="2383" spans="1:22" x14ac:dyDescent="0.25">
      <c r="A2383" t="s">
        <v>4339</v>
      </c>
      <c r="B2383">
        <v>0.6</v>
      </c>
      <c r="C2383">
        <v>37.229999999999997</v>
      </c>
      <c r="E2383" t="s">
        <v>4339</v>
      </c>
      <c r="F2383">
        <v>1.05</v>
      </c>
      <c r="G2383">
        <v>117.97</v>
      </c>
      <c r="I2383" t="str" cm="1">
        <f t="array" ref="I2383:J2383">_xlfn.TEXTSPLIT(A2383," ")</f>
        <v>28.10.2023</v>
      </c>
      <c r="J2383" t="str">
        <v>15:45:28</v>
      </c>
      <c r="K2383">
        <f t="shared" si="482"/>
        <v>39.666666666665698</v>
      </c>
      <c r="L2383">
        <f t="shared" si="479"/>
        <v>22.909999999999997</v>
      </c>
      <c r="M2383">
        <f t="shared" si="480"/>
        <v>0.6</v>
      </c>
      <c r="N2383">
        <f t="shared" si="476"/>
        <v>0.54249999999999998</v>
      </c>
      <c r="Q2383" t="str" cm="1">
        <f t="array" ref="Q2383:R2383">_xlfn.TEXTSPLIT(E2383," ")</f>
        <v>28.10.2023</v>
      </c>
      <c r="R2383" t="str">
        <v>15:45:28</v>
      </c>
      <c r="S2383">
        <f t="shared" si="483"/>
        <v>39.666666666665698</v>
      </c>
      <c r="T2383">
        <f t="shared" si="478"/>
        <v>39.370000000000005</v>
      </c>
      <c r="U2383">
        <f t="shared" si="481"/>
        <v>1.05</v>
      </c>
      <c r="V2383">
        <f t="shared" si="477"/>
        <v>0.85250000000000026</v>
      </c>
    </row>
    <row r="2384" spans="1:22" x14ac:dyDescent="0.25">
      <c r="A2384" t="s">
        <v>4340</v>
      </c>
      <c r="B2384">
        <v>0.6</v>
      </c>
      <c r="C2384">
        <v>37.24</v>
      </c>
      <c r="E2384" t="s">
        <v>4340</v>
      </c>
      <c r="F2384">
        <v>1.2</v>
      </c>
      <c r="G2384">
        <v>117.99</v>
      </c>
      <c r="I2384" t="str" cm="1">
        <f t="array" ref="I2384:J2384">_xlfn.TEXTSPLIT(A2384," ")</f>
        <v>28.10.2023</v>
      </c>
      <c r="J2384" t="str">
        <v>15:46:28</v>
      </c>
      <c r="K2384">
        <f t="shared" si="482"/>
        <v>39.683333333332364</v>
      </c>
      <c r="L2384">
        <f t="shared" si="479"/>
        <v>22.92</v>
      </c>
      <c r="M2384">
        <f t="shared" si="480"/>
        <v>0.6</v>
      </c>
      <c r="N2384">
        <f t="shared" si="476"/>
        <v>0.53999999999999981</v>
      </c>
      <c r="Q2384" t="str" cm="1">
        <f t="array" ref="Q2384:R2384">_xlfn.TEXTSPLIT(E2384," ")</f>
        <v>28.10.2023</v>
      </c>
      <c r="R2384" t="str">
        <v>15:46:28</v>
      </c>
      <c r="S2384">
        <f t="shared" si="483"/>
        <v>39.683333333332364</v>
      </c>
      <c r="T2384">
        <f t="shared" si="478"/>
        <v>39.39</v>
      </c>
      <c r="U2384">
        <f t="shared" si="481"/>
        <v>1.2</v>
      </c>
      <c r="V2384">
        <f t="shared" si="477"/>
        <v>0.85000000000000009</v>
      </c>
    </row>
    <row r="2385" spans="1:22" x14ac:dyDescent="0.25">
      <c r="A2385" t="s">
        <v>4341</v>
      </c>
      <c r="B2385">
        <v>0.6</v>
      </c>
      <c r="C2385">
        <v>37.25</v>
      </c>
      <c r="E2385" t="s">
        <v>4341</v>
      </c>
      <c r="F2385">
        <v>1.05</v>
      </c>
      <c r="G2385">
        <v>118</v>
      </c>
      <c r="I2385" t="str" cm="1">
        <f t="array" ref="I2385:J2385">_xlfn.TEXTSPLIT(A2385," ")</f>
        <v>28.10.2023</v>
      </c>
      <c r="J2385" t="str">
        <v>15:47:28</v>
      </c>
      <c r="K2385">
        <f t="shared" si="482"/>
        <v>39.699999999999029</v>
      </c>
      <c r="L2385">
        <f t="shared" si="479"/>
        <v>22.93</v>
      </c>
      <c r="M2385">
        <f t="shared" si="480"/>
        <v>0.6</v>
      </c>
      <c r="N2385">
        <f t="shared" si="476"/>
        <v>0.53749999999999987</v>
      </c>
      <c r="Q2385" t="str" cm="1">
        <f t="array" ref="Q2385:R2385">_xlfn.TEXTSPLIT(E2385," ")</f>
        <v>28.10.2023</v>
      </c>
      <c r="R2385" t="str">
        <v>15:47:28</v>
      </c>
      <c r="S2385">
        <f t="shared" si="483"/>
        <v>39.699999999999029</v>
      </c>
      <c r="T2385">
        <f t="shared" si="478"/>
        <v>39.400000000000006</v>
      </c>
      <c r="U2385">
        <f t="shared" si="481"/>
        <v>1.05</v>
      </c>
      <c r="V2385">
        <f t="shared" si="477"/>
        <v>0.85</v>
      </c>
    </row>
    <row r="2386" spans="1:22" x14ac:dyDescent="0.25">
      <c r="A2386" t="s">
        <v>4342</v>
      </c>
      <c r="B2386">
        <v>0.45</v>
      </c>
      <c r="C2386">
        <v>37.26</v>
      </c>
      <c r="E2386" t="s">
        <v>4342</v>
      </c>
      <c r="F2386">
        <v>0.75</v>
      </c>
      <c r="G2386">
        <v>118.01</v>
      </c>
      <c r="I2386" t="str" cm="1">
        <f t="array" ref="I2386:J2386">_xlfn.TEXTSPLIT(A2386," ")</f>
        <v>28.10.2023</v>
      </c>
      <c r="J2386" t="str">
        <v>15:48:29</v>
      </c>
      <c r="K2386">
        <f t="shared" si="482"/>
        <v>39.716666666665695</v>
      </c>
      <c r="L2386">
        <f t="shared" si="479"/>
        <v>22.939999999999998</v>
      </c>
      <c r="M2386">
        <f t="shared" si="480"/>
        <v>0.45</v>
      </c>
      <c r="N2386">
        <f t="shared" si="476"/>
        <v>0.53249999999999986</v>
      </c>
      <c r="Q2386" t="str" cm="1">
        <f t="array" ref="Q2386:R2386">_xlfn.TEXTSPLIT(E2386," ")</f>
        <v>28.10.2023</v>
      </c>
      <c r="R2386" t="str">
        <v>15:48:29</v>
      </c>
      <c r="S2386">
        <f t="shared" si="483"/>
        <v>39.716666666665695</v>
      </c>
      <c r="T2386">
        <f t="shared" si="478"/>
        <v>39.410000000000011</v>
      </c>
      <c r="U2386">
        <f t="shared" si="481"/>
        <v>0.75</v>
      </c>
      <c r="V2386">
        <f t="shared" si="477"/>
        <v>0.85</v>
      </c>
    </row>
    <row r="2387" spans="1:22" x14ac:dyDescent="0.25">
      <c r="A2387" t="s">
        <v>4343</v>
      </c>
      <c r="B2387">
        <v>0.45</v>
      </c>
      <c r="C2387">
        <v>37.26</v>
      </c>
      <c r="E2387" t="s">
        <v>4343</v>
      </c>
      <c r="F2387">
        <v>0.75</v>
      </c>
      <c r="G2387">
        <v>118.02</v>
      </c>
      <c r="I2387" t="str" cm="1">
        <f t="array" ref="I2387:J2387">_xlfn.TEXTSPLIT(A2387," ")</f>
        <v>28.10.2023</v>
      </c>
      <c r="J2387" t="str">
        <v>15:49:29</v>
      </c>
      <c r="K2387">
        <f t="shared" si="482"/>
        <v>39.733333333332361</v>
      </c>
      <c r="L2387">
        <f t="shared" si="479"/>
        <v>22.939999999999998</v>
      </c>
      <c r="M2387">
        <f t="shared" si="480"/>
        <v>0.45</v>
      </c>
      <c r="N2387">
        <f t="shared" si="476"/>
        <v>0.52749999999999986</v>
      </c>
      <c r="Q2387" t="str" cm="1">
        <f t="array" ref="Q2387:R2387">_xlfn.TEXTSPLIT(E2387," ")</f>
        <v>28.10.2023</v>
      </c>
      <c r="R2387" t="str">
        <v>15:49:29</v>
      </c>
      <c r="S2387">
        <f t="shared" si="483"/>
        <v>39.733333333332361</v>
      </c>
      <c r="T2387">
        <f t="shared" si="478"/>
        <v>39.42</v>
      </c>
      <c r="U2387">
        <f t="shared" si="481"/>
        <v>0.75</v>
      </c>
      <c r="V2387">
        <f t="shared" si="477"/>
        <v>0.85</v>
      </c>
    </row>
    <row r="2388" spans="1:22" x14ac:dyDescent="0.25">
      <c r="A2388" t="s">
        <v>4344</v>
      </c>
      <c r="B2388">
        <v>0.3</v>
      </c>
      <c r="C2388">
        <v>37.270000000000003</v>
      </c>
      <c r="E2388" t="s">
        <v>4344</v>
      </c>
      <c r="F2388">
        <v>0.45</v>
      </c>
      <c r="G2388">
        <v>118.03</v>
      </c>
      <c r="I2388" t="str" cm="1">
        <f t="array" ref="I2388:J2388">_xlfn.TEXTSPLIT(A2388," ")</f>
        <v>28.10.2023</v>
      </c>
      <c r="J2388" t="str">
        <v>15:50:29</v>
      </c>
      <c r="K2388">
        <f t="shared" si="482"/>
        <v>39.749999999999027</v>
      </c>
      <c r="L2388">
        <f t="shared" si="479"/>
        <v>22.950000000000003</v>
      </c>
      <c r="M2388">
        <f t="shared" si="480"/>
        <v>0.3</v>
      </c>
      <c r="N2388">
        <f t="shared" si="476"/>
        <v>0.51749999999999985</v>
      </c>
      <c r="Q2388" t="str" cm="1">
        <f t="array" ref="Q2388:R2388">_xlfn.TEXTSPLIT(E2388," ")</f>
        <v>28.10.2023</v>
      </c>
      <c r="R2388" t="str">
        <v>15:50:29</v>
      </c>
      <c r="S2388">
        <f t="shared" si="483"/>
        <v>39.749999999999027</v>
      </c>
      <c r="T2388">
        <f t="shared" si="478"/>
        <v>39.430000000000007</v>
      </c>
      <c r="U2388">
        <f t="shared" si="481"/>
        <v>0.45</v>
      </c>
      <c r="V2388">
        <f t="shared" si="477"/>
        <v>0.84750000000000003</v>
      </c>
    </row>
    <row r="2389" spans="1:22" x14ac:dyDescent="0.25">
      <c r="A2389" t="s">
        <v>4345</v>
      </c>
      <c r="B2389">
        <v>0.45</v>
      </c>
      <c r="C2389">
        <v>37.270000000000003</v>
      </c>
      <c r="E2389" t="s">
        <v>4345</v>
      </c>
      <c r="F2389">
        <v>0.15</v>
      </c>
      <c r="G2389">
        <v>118.03</v>
      </c>
      <c r="I2389" t="str" cm="1">
        <f t="array" ref="I2389:J2389">_xlfn.TEXTSPLIT(A2389," ")</f>
        <v>28.10.2023</v>
      </c>
      <c r="J2389" t="str">
        <v>15:51:29</v>
      </c>
      <c r="K2389">
        <f t="shared" si="482"/>
        <v>39.766666666665692</v>
      </c>
      <c r="L2389">
        <f t="shared" si="479"/>
        <v>22.950000000000003</v>
      </c>
      <c r="M2389">
        <f t="shared" si="480"/>
        <v>0.45</v>
      </c>
      <c r="N2389">
        <f t="shared" si="476"/>
        <v>0.5149999999999999</v>
      </c>
      <c r="Q2389" t="str" cm="1">
        <f t="array" ref="Q2389:R2389">_xlfn.TEXTSPLIT(E2389," ")</f>
        <v>28.10.2023</v>
      </c>
      <c r="R2389" t="str">
        <v>15:51:29</v>
      </c>
      <c r="S2389">
        <f t="shared" si="483"/>
        <v>39.766666666665692</v>
      </c>
      <c r="T2389">
        <f t="shared" si="478"/>
        <v>39.430000000000007</v>
      </c>
      <c r="U2389">
        <f t="shared" si="481"/>
        <v>0.15</v>
      </c>
      <c r="V2389">
        <f t="shared" si="477"/>
        <v>0.84750000000000014</v>
      </c>
    </row>
    <row r="2390" spans="1:22" x14ac:dyDescent="0.25">
      <c r="A2390" t="s">
        <v>4346</v>
      </c>
      <c r="B2390">
        <v>0</v>
      </c>
      <c r="C2390">
        <v>37.270000000000003</v>
      </c>
      <c r="E2390" t="s">
        <v>4346</v>
      </c>
      <c r="F2390">
        <v>0.15</v>
      </c>
      <c r="G2390">
        <v>118.04</v>
      </c>
      <c r="I2390" t="str" cm="1">
        <f t="array" ref="I2390:J2390">_xlfn.TEXTSPLIT(A2390," ")</f>
        <v>28.10.2023</v>
      </c>
      <c r="J2390" t="str">
        <v>15:52:29</v>
      </c>
      <c r="K2390">
        <f t="shared" si="482"/>
        <v>39.783333333332358</v>
      </c>
      <c r="L2390">
        <f t="shared" si="479"/>
        <v>22.950000000000003</v>
      </c>
      <c r="M2390">
        <f t="shared" si="480"/>
        <v>0</v>
      </c>
      <c r="N2390">
        <f t="shared" si="476"/>
        <v>0.51249999999999996</v>
      </c>
      <c r="Q2390" t="str" cm="1">
        <f t="array" ref="Q2390:R2390">_xlfn.TEXTSPLIT(E2390," ")</f>
        <v>28.10.2023</v>
      </c>
      <c r="R2390" t="str">
        <v>15:52:29</v>
      </c>
      <c r="S2390">
        <f t="shared" si="483"/>
        <v>39.783333333332358</v>
      </c>
      <c r="T2390">
        <f t="shared" si="478"/>
        <v>39.440000000000012</v>
      </c>
      <c r="U2390">
        <f t="shared" si="481"/>
        <v>0.15</v>
      </c>
      <c r="V2390">
        <f t="shared" si="477"/>
        <v>0.84750000000000003</v>
      </c>
    </row>
    <row r="2391" spans="1:22" x14ac:dyDescent="0.25">
      <c r="A2391" t="s">
        <v>4347</v>
      </c>
      <c r="B2391">
        <v>0</v>
      </c>
      <c r="C2391">
        <v>37.270000000000003</v>
      </c>
      <c r="E2391" t="s">
        <v>4347</v>
      </c>
      <c r="F2391">
        <v>0.3</v>
      </c>
      <c r="G2391">
        <v>118.04</v>
      </c>
      <c r="I2391" t="str" cm="1">
        <f t="array" ref="I2391:J2391">_xlfn.TEXTSPLIT(A2391," ")</f>
        <v>28.10.2023</v>
      </c>
      <c r="J2391" t="str">
        <v>15:53:29</v>
      </c>
      <c r="K2391">
        <f t="shared" si="482"/>
        <v>39.799999999999024</v>
      </c>
      <c r="L2391">
        <f t="shared" si="479"/>
        <v>22.950000000000003</v>
      </c>
      <c r="M2391">
        <f t="shared" si="480"/>
        <v>0</v>
      </c>
      <c r="N2391">
        <f t="shared" si="476"/>
        <v>0.51249999999999996</v>
      </c>
      <c r="Q2391" t="str" cm="1">
        <f t="array" ref="Q2391:R2391">_xlfn.TEXTSPLIT(E2391," ")</f>
        <v>28.10.2023</v>
      </c>
      <c r="R2391" t="str">
        <v>15:53:29</v>
      </c>
      <c r="S2391">
        <f t="shared" si="483"/>
        <v>39.799999999999024</v>
      </c>
      <c r="T2391">
        <f t="shared" si="478"/>
        <v>39.440000000000012</v>
      </c>
      <c r="U2391">
        <f t="shared" si="481"/>
        <v>0.3</v>
      </c>
      <c r="V2391">
        <f t="shared" si="477"/>
        <v>0.84750000000000003</v>
      </c>
    </row>
    <row r="2392" spans="1:22" x14ac:dyDescent="0.25">
      <c r="A2392" t="s">
        <v>4348</v>
      </c>
      <c r="B2392">
        <v>0</v>
      </c>
      <c r="C2392">
        <v>37.270000000000003</v>
      </c>
      <c r="E2392" t="s">
        <v>4348</v>
      </c>
      <c r="F2392">
        <v>0.3</v>
      </c>
      <c r="G2392">
        <v>118.04</v>
      </c>
      <c r="I2392" t="str" cm="1">
        <f t="array" ref="I2392:J2392">_xlfn.TEXTSPLIT(A2392," ")</f>
        <v>28.10.2023</v>
      </c>
      <c r="J2392" t="str">
        <v>15:54:29</v>
      </c>
      <c r="K2392">
        <f t="shared" si="482"/>
        <v>39.816666666665689</v>
      </c>
      <c r="L2392">
        <f t="shared" si="479"/>
        <v>22.950000000000003</v>
      </c>
      <c r="M2392">
        <f t="shared" si="480"/>
        <v>0</v>
      </c>
      <c r="N2392">
        <f t="shared" si="476"/>
        <v>0.51249999999999996</v>
      </c>
      <c r="Q2392" t="str" cm="1">
        <f t="array" ref="Q2392:R2392">_xlfn.TEXTSPLIT(E2392," ")</f>
        <v>28.10.2023</v>
      </c>
      <c r="R2392" t="str">
        <v>15:54:29</v>
      </c>
      <c r="S2392">
        <f t="shared" si="483"/>
        <v>39.816666666665689</v>
      </c>
      <c r="T2392">
        <f t="shared" si="478"/>
        <v>39.440000000000012</v>
      </c>
      <c r="U2392">
        <f t="shared" si="481"/>
        <v>0.3</v>
      </c>
      <c r="V2392">
        <f t="shared" si="477"/>
        <v>0.84750000000000003</v>
      </c>
    </row>
    <row r="2393" spans="1:22" x14ac:dyDescent="0.25">
      <c r="A2393" t="s">
        <v>4349</v>
      </c>
      <c r="B2393">
        <v>0</v>
      </c>
      <c r="C2393">
        <v>37.270000000000003</v>
      </c>
      <c r="E2393" t="s">
        <v>4349</v>
      </c>
      <c r="F2393">
        <v>0.3</v>
      </c>
      <c r="G2393">
        <v>118.05</v>
      </c>
      <c r="I2393" t="str" cm="1">
        <f t="array" ref="I2393:J2393">_xlfn.TEXTSPLIT(A2393," ")</f>
        <v>28.10.2023</v>
      </c>
      <c r="J2393" t="str">
        <v>15:55:30</v>
      </c>
      <c r="K2393">
        <f t="shared" si="482"/>
        <v>39.833333333332355</v>
      </c>
      <c r="L2393">
        <f t="shared" si="479"/>
        <v>22.950000000000003</v>
      </c>
      <c r="M2393">
        <f t="shared" si="480"/>
        <v>0</v>
      </c>
      <c r="N2393">
        <f t="shared" si="476"/>
        <v>0.51249999999999996</v>
      </c>
      <c r="Q2393" t="str" cm="1">
        <f t="array" ref="Q2393:R2393">_xlfn.TEXTSPLIT(E2393," ")</f>
        <v>28.10.2023</v>
      </c>
      <c r="R2393" t="str">
        <v>15:55:30</v>
      </c>
      <c r="S2393">
        <f t="shared" si="483"/>
        <v>39.833333333332355</v>
      </c>
      <c r="T2393">
        <f t="shared" si="478"/>
        <v>39.450000000000003</v>
      </c>
      <c r="U2393">
        <f t="shared" si="481"/>
        <v>0.3</v>
      </c>
      <c r="V2393">
        <f t="shared" si="477"/>
        <v>0.84750000000000003</v>
      </c>
    </row>
    <row r="2394" spans="1:22" x14ac:dyDescent="0.25">
      <c r="A2394" t="s">
        <v>4350</v>
      </c>
      <c r="B2394">
        <v>0</v>
      </c>
      <c r="C2394">
        <v>37.270000000000003</v>
      </c>
      <c r="E2394" t="s">
        <v>4350</v>
      </c>
      <c r="F2394">
        <v>0.45</v>
      </c>
      <c r="G2394">
        <v>118.06</v>
      </c>
      <c r="I2394" t="str" cm="1">
        <f t="array" ref="I2394:J2394">_xlfn.TEXTSPLIT(A2394," ")</f>
        <v>28.10.2023</v>
      </c>
      <c r="J2394" t="str">
        <v>15:56:30</v>
      </c>
      <c r="K2394">
        <f t="shared" si="482"/>
        <v>39.849999999999021</v>
      </c>
      <c r="L2394">
        <f t="shared" si="479"/>
        <v>22.950000000000003</v>
      </c>
      <c r="M2394">
        <f t="shared" si="480"/>
        <v>0</v>
      </c>
      <c r="N2394">
        <f t="shared" si="476"/>
        <v>0.51249999999999996</v>
      </c>
      <c r="Q2394" t="str" cm="1">
        <f t="array" ref="Q2394:R2394">_xlfn.TEXTSPLIT(E2394," ")</f>
        <v>28.10.2023</v>
      </c>
      <c r="R2394" t="str">
        <v>15:56:30</v>
      </c>
      <c r="S2394">
        <f t="shared" si="483"/>
        <v>39.849999999999021</v>
      </c>
      <c r="T2394">
        <f t="shared" si="478"/>
        <v>39.460000000000008</v>
      </c>
      <c r="U2394">
        <f t="shared" si="481"/>
        <v>0.45</v>
      </c>
      <c r="V2394">
        <f t="shared" si="477"/>
        <v>0.84750000000000003</v>
      </c>
    </row>
    <row r="2395" spans="1:22" x14ac:dyDescent="0.25">
      <c r="A2395" t="s">
        <v>4351</v>
      </c>
      <c r="B2395">
        <v>0</v>
      </c>
      <c r="C2395">
        <v>37.270000000000003</v>
      </c>
      <c r="E2395" t="s">
        <v>4351</v>
      </c>
      <c r="F2395">
        <v>0.45</v>
      </c>
      <c r="G2395">
        <v>118.07</v>
      </c>
      <c r="I2395" t="str" cm="1">
        <f t="array" ref="I2395:J2395">_xlfn.TEXTSPLIT(A2395," ")</f>
        <v>28.10.2023</v>
      </c>
      <c r="J2395" t="str">
        <v>15:57:30</v>
      </c>
      <c r="K2395">
        <f t="shared" si="482"/>
        <v>39.866666666665687</v>
      </c>
      <c r="L2395">
        <f t="shared" si="479"/>
        <v>22.950000000000003</v>
      </c>
      <c r="M2395">
        <f t="shared" si="480"/>
        <v>0</v>
      </c>
      <c r="N2395">
        <f t="shared" si="476"/>
        <v>0.51249999999999996</v>
      </c>
      <c r="Q2395" t="str" cm="1">
        <f t="array" ref="Q2395:R2395">_xlfn.TEXTSPLIT(E2395," ")</f>
        <v>28.10.2023</v>
      </c>
      <c r="R2395" t="str">
        <v>15:57:30</v>
      </c>
      <c r="S2395">
        <f t="shared" si="483"/>
        <v>39.866666666665687</v>
      </c>
      <c r="T2395">
        <f t="shared" si="478"/>
        <v>39.47</v>
      </c>
      <c r="U2395">
        <f t="shared" si="481"/>
        <v>0.45</v>
      </c>
      <c r="V2395">
        <f t="shared" si="477"/>
        <v>0.84250000000000003</v>
      </c>
    </row>
    <row r="2396" spans="1:22" x14ac:dyDescent="0.25">
      <c r="A2396" t="s">
        <v>4352</v>
      </c>
      <c r="B2396">
        <v>0</v>
      </c>
      <c r="C2396">
        <v>37.270000000000003</v>
      </c>
      <c r="E2396" t="s">
        <v>4352</v>
      </c>
      <c r="F2396">
        <v>0.75</v>
      </c>
      <c r="G2396">
        <v>118.08</v>
      </c>
      <c r="I2396" t="str" cm="1">
        <f t="array" ref="I2396:J2396">_xlfn.TEXTSPLIT(A2396," ")</f>
        <v>28.10.2023</v>
      </c>
      <c r="J2396" t="str">
        <v>15:58:30</v>
      </c>
      <c r="K2396">
        <f t="shared" si="482"/>
        <v>39.883333333332352</v>
      </c>
      <c r="L2396">
        <f t="shared" si="479"/>
        <v>22.950000000000003</v>
      </c>
      <c r="M2396">
        <f t="shared" si="480"/>
        <v>0</v>
      </c>
      <c r="N2396">
        <f t="shared" si="476"/>
        <v>0.5099999999999999</v>
      </c>
      <c r="Q2396" t="str" cm="1">
        <f t="array" ref="Q2396:R2396">_xlfn.TEXTSPLIT(E2396," ")</f>
        <v>28.10.2023</v>
      </c>
      <c r="R2396" t="str">
        <v>15:58:30</v>
      </c>
      <c r="S2396">
        <f t="shared" si="483"/>
        <v>39.883333333332352</v>
      </c>
      <c r="T2396">
        <f t="shared" si="478"/>
        <v>39.480000000000004</v>
      </c>
      <c r="U2396">
        <f t="shared" si="481"/>
        <v>0.75</v>
      </c>
      <c r="V2396">
        <f t="shared" si="477"/>
        <v>0.84250000000000003</v>
      </c>
    </row>
    <row r="2397" spans="1:22" x14ac:dyDescent="0.25">
      <c r="A2397" t="s">
        <v>4353</v>
      </c>
      <c r="B2397">
        <v>0.45</v>
      </c>
      <c r="C2397">
        <v>37.28</v>
      </c>
      <c r="E2397" t="s">
        <v>4353</v>
      </c>
      <c r="F2397">
        <v>0.75</v>
      </c>
      <c r="G2397">
        <v>118.1</v>
      </c>
      <c r="I2397" t="str" cm="1">
        <f t="array" ref="I2397:J2397">_xlfn.TEXTSPLIT(A2397," ")</f>
        <v>28.10.2023</v>
      </c>
      <c r="J2397" t="str">
        <v>15:59:30</v>
      </c>
      <c r="K2397">
        <f t="shared" si="482"/>
        <v>39.899999999999018</v>
      </c>
      <c r="L2397">
        <f t="shared" si="479"/>
        <v>22.96</v>
      </c>
      <c r="M2397">
        <f t="shared" si="480"/>
        <v>0.45</v>
      </c>
      <c r="N2397">
        <f t="shared" si="476"/>
        <v>0.51249999999999996</v>
      </c>
      <c r="Q2397" t="str" cm="1">
        <f t="array" ref="Q2397:R2397">_xlfn.TEXTSPLIT(E2397," ")</f>
        <v>28.10.2023</v>
      </c>
      <c r="R2397" t="str">
        <v>15:59:30</v>
      </c>
      <c r="S2397">
        <f t="shared" si="483"/>
        <v>39.899999999999018</v>
      </c>
      <c r="T2397">
        <f t="shared" si="478"/>
        <v>39.5</v>
      </c>
      <c r="U2397">
        <f t="shared" si="481"/>
        <v>0.75</v>
      </c>
      <c r="V2397">
        <f t="shared" si="477"/>
        <v>0.84</v>
      </c>
    </row>
    <row r="2398" spans="1:22" x14ac:dyDescent="0.25">
      <c r="A2398" t="s">
        <v>4354</v>
      </c>
      <c r="B2398">
        <v>0.3</v>
      </c>
      <c r="C2398">
        <v>37.28</v>
      </c>
      <c r="E2398" t="s">
        <v>4354</v>
      </c>
      <c r="F2398">
        <v>0.9</v>
      </c>
      <c r="G2398">
        <v>118.11</v>
      </c>
      <c r="I2398" t="str" cm="1">
        <f t="array" ref="I2398:J2398">_xlfn.TEXTSPLIT(A2398," ")</f>
        <v>28.10.2023</v>
      </c>
      <c r="J2398" t="str">
        <v>16:00:30</v>
      </c>
      <c r="K2398">
        <f t="shared" si="482"/>
        <v>39.916666666665684</v>
      </c>
      <c r="L2398">
        <f t="shared" si="479"/>
        <v>22.96</v>
      </c>
      <c r="M2398">
        <f t="shared" si="480"/>
        <v>0.3</v>
      </c>
      <c r="N2398">
        <f t="shared" si="476"/>
        <v>0.51249999999999996</v>
      </c>
      <c r="Q2398" t="str" cm="1">
        <f t="array" ref="Q2398:R2398">_xlfn.TEXTSPLIT(E2398," ")</f>
        <v>28.10.2023</v>
      </c>
      <c r="R2398" t="str">
        <v>16:00:30</v>
      </c>
      <c r="S2398">
        <f t="shared" si="483"/>
        <v>39.916666666665684</v>
      </c>
      <c r="T2398">
        <f t="shared" si="478"/>
        <v>39.510000000000005</v>
      </c>
      <c r="U2398">
        <f t="shared" si="481"/>
        <v>0.9</v>
      </c>
      <c r="V2398">
        <f t="shared" si="477"/>
        <v>0.83750000000000002</v>
      </c>
    </row>
    <row r="2399" spans="1:22" x14ac:dyDescent="0.25">
      <c r="A2399" t="s">
        <v>4355</v>
      </c>
      <c r="B2399">
        <v>0.15</v>
      </c>
      <c r="C2399">
        <v>37.29</v>
      </c>
      <c r="E2399" t="s">
        <v>4355</v>
      </c>
      <c r="F2399">
        <v>0.9</v>
      </c>
      <c r="G2399">
        <v>118.12</v>
      </c>
      <c r="I2399" t="str" cm="1">
        <f t="array" ref="I2399:J2399">_xlfn.TEXTSPLIT(A2399," ")</f>
        <v>28.10.2023</v>
      </c>
      <c r="J2399" t="str">
        <v>16:01:31</v>
      </c>
      <c r="K2399">
        <f t="shared" si="482"/>
        <v>39.933333333332349</v>
      </c>
      <c r="L2399">
        <f t="shared" si="479"/>
        <v>22.97</v>
      </c>
      <c r="M2399">
        <f t="shared" si="480"/>
        <v>0.15</v>
      </c>
      <c r="N2399">
        <f t="shared" si="476"/>
        <v>0.51249999999999996</v>
      </c>
      <c r="Q2399" t="str" cm="1">
        <f t="array" ref="Q2399:R2399">_xlfn.TEXTSPLIT(E2399," ")</f>
        <v>28.10.2023</v>
      </c>
      <c r="R2399" t="str">
        <v>16:01:31</v>
      </c>
      <c r="S2399">
        <f t="shared" si="483"/>
        <v>39.933333333332349</v>
      </c>
      <c r="T2399">
        <f t="shared" si="478"/>
        <v>39.52000000000001</v>
      </c>
      <c r="U2399">
        <f t="shared" si="481"/>
        <v>0.9</v>
      </c>
      <c r="V2399">
        <f t="shared" si="477"/>
        <v>0.84249999999999992</v>
      </c>
    </row>
    <row r="2400" spans="1:22" x14ac:dyDescent="0.25">
      <c r="A2400" t="s">
        <v>4356</v>
      </c>
      <c r="B2400">
        <v>0.15</v>
      </c>
      <c r="C2400">
        <v>37.29</v>
      </c>
      <c r="E2400" t="s">
        <v>4356</v>
      </c>
      <c r="F2400">
        <v>0.6</v>
      </c>
      <c r="G2400">
        <v>118.13</v>
      </c>
      <c r="I2400" t="str" cm="1">
        <f t="array" ref="I2400:J2400">_xlfn.TEXTSPLIT(A2400," ")</f>
        <v>28.10.2023</v>
      </c>
      <c r="J2400" t="str">
        <v>16:02:31</v>
      </c>
      <c r="K2400">
        <f t="shared" si="482"/>
        <v>39.949999999999015</v>
      </c>
      <c r="L2400">
        <f t="shared" si="479"/>
        <v>22.97</v>
      </c>
      <c r="M2400">
        <f t="shared" si="480"/>
        <v>0.15</v>
      </c>
      <c r="N2400">
        <f t="shared" si="476"/>
        <v>0.51</v>
      </c>
      <c r="Q2400" t="str" cm="1">
        <f t="array" ref="Q2400:R2400">_xlfn.TEXTSPLIT(E2400," ")</f>
        <v>28.10.2023</v>
      </c>
      <c r="R2400" t="str">
        <v>16:02:31</v>
      </c>
      <c r="S2400">
        <f t="shared" si="483"/>
        <v>39.949999999999015</v>
      </c>
      <c r="T2400">
        <f t="shared" si="478"/>
        <v>39.53</v>
      </c>
      <c r="U2400">
        <f t="shared" si="481"/>
        <v>0.6</v>
      </c>
      <c r="V2400">
        <f t="shared" si="477"/>
        <v>0.83999999999999986</v>
      </c>
    </row>
    <row r="2401" spans="1:22" x14ac:dyDescent="0.25">
      <c r="A2401" t="s">
        <v>4357</v>
      </c>
      <c r="B2401">
        <v>0.3</v>
      </c>
      <c r="C2401">
        <v>37.299999999999997</v>
      </c>
      <c r="E2401" t="s">
        <v>4357</v>
      </c>
      <c r="F2401">
        <v>0.6</v>
      </c>
      <c r="G2401">
        <v>118.14</v>
      </c>
      <c r="I2401" t="str" cm="1">
        <f t="array" ref="I2401:J2401">_xlfn.TEXTSPLIT(A2401," ")</f>
        <v>28.10.2023</v>
      </c>
      <c r="J2401" t="str">
        <v>16:03:31</v>
      </c>
      <c r="K2401">
        <f t="shared" si="482"/>
        <v>39.966666666665681</v>
      </c>
      <c r="L2401">
        <f t="shared" si="479"/>
        <v>22.979999999999997</v>
      </c>
      <c r="M2401">
        <f t="shared" si="480"/>
        <v>0.3</v>
      </c>
      <c r="N2401">
        <f t="shared" si="476"/>
        <v>0.505</v>
      </c>
      <c r="Q2401" t="str" cm="1">
        <f t="array" ref="Q2401:R2401">_xlfn.TEXTSPLIT(E2401," ")</f>
        <v>28.10.2023</v>
      </c>
      <c r="R2401" t="str">
        <v>16:03:31</v>
      </c>
      <c r="S2401">
        <f t="shared" si="483"/>
        <v>39.966666666665681</v>
      </c>
      <c r="T2401">
        <f t="shared" si="478"/>
        <v>39.540000000000006</v>
      </c>
      <c r="U2401">
        <f t="shared" si="481"/>
        <v>0.6</v>
      </c>
      <c r="V2401">
        <f t="shared" si="477"/>
        <v>0.84</v>
      </c>
    </row>
    <row r="2402" spans="1:22" x14ac:dyDescent="0.25">
      <c r="A2402" t="s">
        <v>4358</v>
      </c>
      <c r="B2402">
        <v>0.45</v>
      </c>
      <c r="C2402">
        <v>37.31</v>
      </c>
      <c r="E2402" t="s">
        <v>4358</v>
      </c>
      <c r="F2402">
        <v>0.6</v>
      </c>
      <c r="G2402">
        <v>118.16</v>
      </c>
      <c r="I2402" t="str" cm="1">
        <f t="array" ref="I2402:J2402">_xlfn.TEXTSPLIT(A2402," ")</f>
        <v>28.10.2023</v>
      </c>
      <c r="J2402" t="str">
        <v>16:04:31</v>
      </c>
      <c r="K2402">
        <f t="shared" si="482"/>
        <v>39.983333333332347</v>
      </c>
      <c r="L2402">
        <f t="shared" si="479"/>
        <v>22.990000000000002</v>
      </c>
      <c r="M2402">
        <f t="shared" si="480"/>
        <v>0.45</v>
      </c>
      <c r="N2402">
        <f t="shared" si="476"/>
        <v>0.50749999999999995</v>
      </c>
      <c r="Q2402" t="str" cm="1">
        <f t="array" ref="Q2402:R2402">_xlfn.TEXTSPLIT(E2402," ")</f>
        <v>28.10.2023</v>
      </c>
      <c r="R2402" t="str">
        <v>16:04:31</v>
      </c>
      <c r="S2402">
        <f t="shared" si="483"/>
        <v>39.983333333332347</v>
      </c>
      <c r="T2402">
        <f t="shared" si="478"/>
        <v>39.56</v>
      </c>
      <c r="U2402">
        <f t="shared" si="481"/>
        <v>0.6</v>
      </c>
      <c r="V2402">
        <f t="shared" si="477"/>
        <v>0.83750000000000002</v>
      </c>
    </row>
    <row r="2403" spans="1:22" x14ac:dyDescent="0.25">
      <c r="A2403" t="s">
        <v>4359</v>
      </c>
      <c r="B2403">
        <v>0.15</v>
      </c>
      <c r="C2403">
        <v>37.31</v>
      </c>
      <c r="E2403" t="s">
        <v>4359</v>
      </c>
      <c r="F2403">
        <v>1.05</v>
      </c>
      <c r="G2403">
        <v>118.18</v>
      </c>
      <c r="I2403" t="str" cm="1">
        <f t="array" ref="I2403:J2403">_xlfn.TEXTSPLIT(A2403," ")</f>
        <v>28.10.2023</v>
      </c>
      <c r="J2403" t="str">
        <v>16:05:31</v>
      </c>
      <c r="K2403">
        <f t="shared" si="482"/>
        <v>39.999999999999012</v>
      </c>
      <c r="L2403">
        <f t="shared" si="479"/>
        <v>22.990000000000002</v>
      </c>
      <c r="M2403">
        <f t="shared" si="480"/>
        <v>0.15</v>
      </c>
      <c r="N2403">
        <f t="shared" si="476"/>
        <v>0.50749999999999995</v>
      </c>
      <c r="Q2403" t="str" cm="1">
        <f t="array" ref="Q2403:R2403">_xlfn.TEXTSPLIT(E2403," ")</f>
        <v>28.10.2023</v>
      </c>
      <c r="R2403" t="str">
        <v>16:05:31</v>
      </c>
      <c r="S2403">
        <f t="shared" si="483"/>
        <v>39.999999999999012</v>
      </c>
      <c r="T2403">
        <f t="shared" si="478"/>
        <v>39.580000000000013</v>
      </c>
      <c r="U2403">
        <f t="shared" si="481"/>
        <v>1.05</v>
      </c>
      <c r="V2403">
        <f t="shared" si="477"/>
        <v>0.83999999999999986</v>
      </c>
    </row>
    <row r="2404" spans="1:22" x14ac:dyDescent="0.25">
      <c r="A2404" t="s">
        <v>4360</v>
      </c>
      <c r="B2404">
        <v>0.45</v>
      </c>
      <c r="C2404">
        <v>37.33</v>
      </c>
      <c r="E2404" t="s">
        <v>4360</v>
      </c>
      <c r="F2404">
        <v>2.5499999999999998</v>
      </c>
      <c r="G2404">
        <v>118.23</v>
      </c>
      <c r="I2404" t="str" cm="1">
        <f t="array" ref="I2404:J2404">_xlfn.TEXTSPLIT(A2404," ")</f>
        <v>28.10.2023</v>
      </c>
      <c r="J2404" t="str">
        <v>16:06:31</v>
      </c>
      <c r="K2404">
        <f t="shared" si="482"/>
        <v>40.016666666665678</v>
      </c>
      <c r="L2404">
        <f t="shared" si="479"/>
        <v>23.009999999999998</v>
      </c>
      <c r="M2404">
        <f t="shared" si="480"/>
        <v>0.45</v>
      </c>
      <c r="N2404">
        <f t="shared" si="476"/>
        <v>0.51</v>
      </c>
      <c r="Q2404" t="str" cm="1">
        <f t="array" ref="Q2404:R2404">_xlfn.TEXTSPLIT(E2404," ")</f>
        <v>28.10.2023</v>
      </c>
      <c r="R2404" t="str">
        <v>16:06:31</v>
      </c>
      <c r="S2404">
        <f t="shared" si="483"/>
        <v>40.016666666665678</v>
      </c>
      <c r="T2404">
        <f t="shared" si="478"/>
        <v>39.63000000000001</v>
      </c>
      <c r="U2404">
        <f t="shared" si="481"/>
        <v>2.5499999999999998</v>
      </c>
      <c r="V2404">
        <f t="shared" si="477"/>
        <v>0.8424999999999998</v>
      </c>
    </row>
    <row r="2405" spans="1:22" x14ac:dyDescent="0.25">
      <c r="A2405" t="s">
        <v>4361</v>
      </c>
      <c r="B2405">
        <v>1.95</v>
      </c>
      <c r="C2405">
        <v>37.369999999999997</v>
      </c>
      <c r="E2405" t="s">
        <v>4361</v>
      </c>
      <c r="F2405">
        <v>2.7</v>
      </c>
      <c r="G2405">
        <v>118.26</v>
      </c>
      <c r="I2405" t="str" cm="1">
        <f t="array" ref="I2405:J2405">_xlfn.TEXTSPLIT(A2405," ")</f>
        <v>28.10.2023</v>
      </c>
      <c r="J2405" t="str">
        <v>16:07:31</v>
      </c>
      <c r="K2405">
        <f t="shared" si="482"/>
        <v>40.033333333332344</v>
      </c>
      <c r="L2405">
        <f t="shared" si="479"/>
        <v>23.049999999999997</v>
      </c>
      <c r="M2405">
        <f t="shared" si="480"/>
        <v>1.95</v>
      </c>
      <c r="N2405">
        <f t="shared" si="476"/>
        <v>0.51</v>
      </c>
      <c r="Q2405" t="str" cm="1">
        <f t="array" ref="Q2405:R2405">_xlfn.TEXTSPLIT(E2405," ")</f>
        <v>28.10.2023</v>
      </c>
      <c r="R2405" t="str">
        <v>16:07:31</v>
      </c>
      <c r="S2405">
        <f t="shared" si="483"/>
        <v>40.033333333332344</v>
      </c>
      <c r="T2405">
        <f t="shared" si="478"/>
        <v>39.660000000000011</v>
      </c>
      <c r="U2405">
        <f t="shared" si="481"/>
        <v>2.7</v>
      </c>
      <c r="V2405">
        <f t="shared" si="477"/>
        <v>0.85499999999999998</v>
      </c>
    </row>
    <row r="2406" spans="1:22" x14ac:dyDescent="0.25">
      <c r="A2406" t="s">
        <v>4362</v>
      </c>
      <c r="B2406">
        <v>2.1</v>
      </c>
      <c r="C2406">
        <v>37.4</v>
      </c>
      <c r="E2406" t="s">
        <v>4362</v>
      </c>
      <c r="F2406">
        <v>1.5</v>
      </c>
      <c r="G2406">
        <v>118.28</v>
      </c>
      <c r="I2406" t="str" cm="1">
        <f t="array" ref="I2406:J2406">_xlfn.TEXTSPLIT(A2406," ")</f>
        <v>28.10.2023</v>
      </c>
      <c r="J2406" t="str">
        <v>16:08:32</v>
      </c>
      <c r="K2406">
        <f t="shared" si="482"/>
        <v>40.04999999999901</v>
      </c>
      <c r="L2406">
        <f t="shared" si="479"/>
        <v>23.08</v>
      </c>
      <c r="M2406">
        <f t="shared" si="480"/>
        <v>2.1</v>
      </c>
      <c r="N2406">
        <f t="shared" si="476"/>
        <v>0.51</v>
      </c>
      <c r="Q2406" t="str" cm="1">
        <f t="array" ref="Q2406:R2406">_xlfn.TEXTSPLIT(E2406," ")</f>
        <v>28.10.2023</v>
      </c>
      <c r="R2406" t="str">
        <v>16:08:32</v>
      </c>
      <c r="S2406">
        <f t="shared" si="483"/>
        <v>40.04999999999901</v>
      </c>
      <c r="T2406">
        <f t="shared" si="478"/>
        <v>39.680000000000007</v>
      </c>
      <c r="U2406">
        <f t="shared" si="481"/>
        <v>1.5</v>
      </c>
      <c r="V2406">
        <f t="shared" si="477"/>
        <v>0.85499999999999987</v>
      </c>
    </row>
    <row r="2407" spans="1:22" x14ac:dyDescent="0.25">
      <c r="A2407" t="s">
        <v>4363</v>
      </c>
      <c r="B2407">
        <v>1.2</v>
      </c>
      <c r="C2407">
        <v>37.409999999999997</v>
      </c>
      <c r="E2407" t="s">
        <v>4363</v>
      </c>
      <c r="F2407">
        <v>0.9</v>
      </c>
      <c r="G2407">
        <v>118.3</v>
      </c>
      <c r="I2407" t="str" cm="1">
        <f t="array" ref="I2407:J2407">_xlfn.TEXTSPLIT(A2407," ")</f>
        <v>28.10.2023</v>
      </c>
      <c r="J2407" t="str">
        <v>16:09:32</v>
      </c>
      <c r="K2407">
        <f t="shared" si="482"/>
        <v>40.066666666665675</v>
      </c>
      <c r="L2407">
        <f t="shared" si="479"/>
        <v>23.089999999999996</v>
      </c>
      <c r="M2407">
        <f t="shared" si="480"/>
        <v>1.2</v>
      </c>
      <c r="N2407">
        <f t="shared" si="476"/>
        <v>0.505</v>
      </c>
      <c r="Q2407" t="str" cm="1">
        <f t="array" ref="Q2407:R2407">_xlfn.TEXTSPLIT(E2407," ")</f>
        <v>28.10.2023</v>
      </c>
      <c r="R2407" t="str">
        <v>16:09:32</v>
      </c>
      <c r="S2407">
        <f t="shared" si="483"/>
        <v>40.066666666665675</v>
      </c>
      <c r="T2407">
        <f t="shared" si="478"/>
        <v>39.700000000000003</v>
      </c>
      <c r="U2407">
        <f t="shared" si="481"/>
        <v>0.9</v>
      </c>
      <c r="V2407">
        <f t="shared" si="477"/>
        <v>0.85249999999999981</v>
      </c>
    </row>
    <row r="2408" spans="1:22" x14ac:dyDescent="0.25">
      <c r="A2408" t="s">
        <v>4364</v>
      </c>
      <c r="B2408">
        <v>0.9</v>
      </c>
      <c r="C2408">
        <v>37.42</v>
      </c>
      <c r="E2408" t="s">
        <v>4364</v>
      </c>
      <c r="F2408">
        <v>1.05</v>
      </c>
      <c r="G2408">
        <v>118.32</v>
      </c>
      <c r="I2408" t="str" cm="1">
        <f t="array" ref="I2408:J2408">_xlfn.TEXTSPLIT(A2408," ")</f>
        <v>28.10.2023</v>
      </c>
      <c r="J2408" t="str">
        <v>16:10:32</v>
      </c>
      <c r="K2408">
        <f t="shared" si="482"/>
        <v>40.083333333332341</v>
      </c>
      <c r="L2408">
        <f t="shared" si="479"/>
        <v>23.1</v>
      </c>
      <c r="M2408">
        <f t="shared" si="480"/>
        <v>0.9</v>
      </c>
      <c r="N2408">
        <f t="shared" si="476"/>
        <v>0.505</v>
      </c>
      <c r="Q2408" t="str" cm="1">
        <f t="array" ref="Q2408:R2408">_xlfn.TEXTSPLIT(E2408," ")</f>
        <v>28.10.2023</v>
      </c>
      <c r="R2408" t="str">
        <v>16:10:32</v>
      </c>
      <c r="S2408">
        <f t="shared" si="483"/>
        <v>40.083333333332341</v>
      </c>
      <c r="T2408">
        <f t="shared" si="478"/>
        <v>39.72</v>
      </c>
      <c r="U2408">
        <f t="shared" si="481"/>
        <v>1.05</v>
      </c>
      <c r="V2408">
        <f t="shared" si="477"/>
        <v>0.84749999999999981</v>
      </c>
    </row>
    <row r="2409" spans="1:22" x14ac:dyDescent="0.25">
      <c r="A2409" t="s">
        <v>4365</v>
      </c>
      <c r="B2409">
        <v>0.6</v>
      </c>
      <c r="C2409">
        <v>37.43</v>
      </c>
      <c r="E2409" t="s">
        <v>4365</v>
      </c>
      <c r="F2409">
        <v>1.05</v>
      </c>
      <c r="G2409">
        <v>118.33</v>
      </c>
      <c r="I2409" t="str" cm="1">
        <f t="array" ref="I2409:J2409">_xlfn.TEXTSPLIT(A2409," ")</f>
        <v>28.10.2023</v>
      </c>
      <c r="J2409" t="str">
        <v>16:11:32</v>
      </c>
      <c r="K2409">
        <f t="shared" si="482"/>
        <v>40.099999999999007</v>
      </c>
      <c r="L2409">
        <f t="shared" si="479"/>
        <v>23.11</v>
      </c>
      <c r="M2409">
        <f t="shared" si="480"/>
        <v>0.6</v>
      </c>
      <c r="N2409">
        <f t="shared" si="476"/>
        <v>0.50250000000000006</v>
      </c>
      <c r="Q2409" t="str" cm="1">
        <f t="array" ref="Q2409:R2409">_xlfn.TEXTSPLIT(E2409," ")</f>
        <v>28.10.2023</v>
      </c>
      <c r="R2409" t="str">
        <v>16:11:32</v>
      </c>
      <c r="S2409">
        <f t="shared" si="483"/>
        <v>40.099999999999007</v>
      </c>
      <c r="T2409">
        <f t="shared" si="478"/>
        <v>39.730000000000004</v>
      </c>
      <c r="U2409">
        <f t="shared" si="481"/>
        <v>1.05</v>
      </c>
      <c r="V2409">
        <f t="shared" si="477"/>
        <v>0.84249999999999969</v>
      </c>
    </row>
    <row r="2410" spans="1:22" x14ac:dyDescent="0.25">
      <c r="A2410" t="s">
        <v>4366</v>
      </c>
      <c r="B2410">
        <v>0.6</v>
      </c>
      <c r="C2410">
        <v>37.44</v>
      </c>
      <c r="E2410" t="s">
        <v>4366</v>
      </c>
      <c r="F2410">
        <v>1.05</v>
      </c>
      <c r="G2410">
        <v>118.35</v>
      </c>
      <c r="I2410" t="str" cm="1">
        <f t="array" ref="I2410:J2410">_xlfn.TEXTSPLIT(A2410," ")</f>
        <v>28.10.2023</v>
      </c>
      <c r="J2410" t="str">
        <v>16:12:32</v>
      </c>
      <c r="K2410">
        <f t="shared" si="482"/>
        <v>40.116666666665672</v>
      </c>
      <c r="L2410">
        <f t="shared" si="479"/>
        <v>23.119999999999997</v>
      </c>
      <c r="M2410">
        <f t="shared" si="480"/>
        <v>0.6</v>
      </c>
      <c r="N2410">
        <f t="shared" si="476"/>
        <v>0.50250000000000006</v>
      </c>
      <c r="Q2410" t="str" cm="1">
        <f t="array" ref="Q2410:R2410">_xlfn.TEXTSPLIT(E2410," ")</f>
        <v>28.10.2023</v>
      </c>
      <c r="R2410" t="str">
        <v>16:12:32</v>
      </c>
      <c r="S2410">
        <f t="shared" si="483"/>
        <v>40.116666666665672</v>
      </c>
      <c r="T2410">
        <f t="shared" si="478"/>
        <v>39.75</v>
      </c>
      <c r="U2410">
        <f t="shared" si="481"/>
        <v>1.05</v>
      </c>
      <c r="V2410">
        <f t="shared" si="477"/>
        <v>0.83999999999999975</v>
      </c>
    </row>
    <row r="2411" spans="1:22" x14ac:dyDescent="0.25">
      <c r="A2411" t="s">
        <v>4367</v>
      </c>
      <c r="B2411">
        <v>0.6</v>
      </c>
      <c r="C2411">
        <v>37.450000000000003</v>
      </c>
      <c r="E2411" t="s">
        <v>4367</v>
      </c>
      <c r="F2411">
        <v>1.2</v>
      </c>
      <c r="G2411">
        <v>118.37</v>
      </c>
      <c r="I2411" t="str" cm="1">
        <f t="array" ref="I2411:J2411">_xlfn.TEXTSPLIT(A2411," ")</f>
        <v>28.10.2023</v>
      </c>
      <c r="J2411" t="str">
        <v>16:13:32</v>
      </c>
      <c r="K2411">
        <f t="shared" si="482"/>
        <v>40.133333333332338</v>
      </c>
      <c r="L2411">
        <f t="shared" si="479"/>
        <v>23.130000000000003</v>
      </c>
      <c r="M2411">
        <f t="shared" si="480"/>
        <v>0.6</v>
      </c>
      <c r="N2411">
        <f t="shared" si="476"/>
        <v>0.50500000000000012</v>
      </c>
      <c r="Q2411" t="str" cm="1">
        <f t="array" ref="Q2411:R2411">_xlfn.TEXTSPLIT(E2411," ")</f>
        <v>28.10.2023</v>
      </c>
      <c r="R2411" t="str">
        <v>16:13:32</v>
      </c>
      <c r="S2411">
        <f t="shared" si="483"/>
        <v>40.133333333332338</v>
      </c>
      <c r="T2411">
        <f t="shared" si="478"/>
        <v>39.77000000000001</v>
      </c>
      <c r="U2411">
        <f t="shared" si="481"/>
        <v>1.2</v>
      </c>
      <c r="V2411">
        <f t="shared" si="477"/>
        <v>0.84749999999999992</v>
      </c>
    </row>
    <row r="2412" spans="1:22" x14ac:dyDescent="0.25">
      <c r="A2412" t="s">
        <v>4368</v>
      </c>
      <c r="B2412">
        <v>0.75</v>
      </c>
      <c r="C2412">
        <v>37.47</v>
      </c>
      <c r="E2412" t="s">
        <v>4368</v>
      </c>
      <c r="F2412">
        <v>0.75</v>
      </c>
      <c r="G2412">
        <v>118.38</v>
      </c>
      <c r="I2412" t="str" cm="1">
        <f t="array" ref="I2412:J2412">_xlfn.TEXTSPLIT(A2412," ")</f>
        <v>28.10.2023</v>
      </c>
      <c r="J2412" t="str">
        <v>16:14:32</v>
      </c>
      <c r="K2412">
        <f t="shared" si="482"/>
        <v>40.149999999999004</v>
      </c>
      <c r="L2412">
        <f t="shared" si="479"/>
        <v>23.15</v>
      </c>
      <c r="M2412">
        <f t="shared" si="480"/>
        <v>0.75</v>
      </c>
      <c r="N2412">
        <f t="shared" si="476"/>
        <v>0.50750000000000006</v>
      </c>
      <c r="Q2412" t="str" cm="1">
        <f t="array" ref="Q2412:R2412">_xlfn.TEXTSPLIT(E2412," ")</f>
        <v>28.10.2023</v>
      </c>
      <c r="R2412" t="str">
        <v>16:14:32</v>
      </c>
      <c r="S2412">
        <f t="shared" si="483"/>
        <v>40.149999999999004</v>
      </c>
      <c r="T2412">
        <f t="shared" si="478"/>
        <v>39.78</v>
      </c>
      <c r="U2412">
        <f t="shared" si="481"/>
        <v>0.75</v>
      </c>
      <c r="V2412">
        <f t="shared" si="477"/>
        <v>0.84749999999999981</v>
      </c>
    </row>
    <row r="2413" spans="1:22" x14ac:dyDescent="0.25">
      <c r="A2413" t="s">
        <v>4369</v>
      </c>
      <c r="B2413">
        <v>0.6</v>
      </c>
      <c r="C2413">
        <v>37.47</v>
      </c>
      <c r="E2413" t="s">
        <v>4369</v>
      </c>
      <c r="F2413">
        <v>0.6</v>
      </c>
      <c r="G2413">
        <v>118.39</v>
      </c>
      <c r="I2413" t="str" cm="1">
        <f t="array" ref="I2413:J2413">_xlfn.TEXTSPLIT(A2413," ")</f>
        <v>28.10.2023</v>
      </c>
      <c r="J2413" t="str">
        <v>16:15:33</v>
      </c>
      <c r="K2413">
        <f t="shared" si="482"/>
        <v>40.16666666666567</v>
      </c>
      <c r="L2413">
        <f t="shared" si="479"/>
        <v>23.15</v>
      </c>
      <c r="M2413">
        <f t="shared" si="480"/>
        <v>0.6</v>
      </c>
      <c r="N2413">
        <f t="shared" si="476"/>
        <v>0.51</v>
      </c>
      <c r="Q2413" t="str" cm="1">
        <f t="array" ref="Q2413:R2413">_xlfn.TEXTSPLIT(E2413," ")</f>
        <v>28.10.2023</v>
      </c>
      <c r="R2413" t="str">
        <v>16:15:33</v>
      </c>
      <c r="S2413">
        <f t="shared" si="483"/>
        <v>40.16666666666567</v>
      </c>
      <c r="T2413">
        <f t="shared" si="478"/>
        <v>39.790000000000006</v>
      </c>
      <c r="U2413">
        <f t="shared" si="481"/>
        <v>0.6</v>
      </c>
      <c r="V2413">
        <f t="shared" si="477"/>
        <v>0.84499999999999986</v>
      </c>
    </row>
    <row r="2414" spans="1:22" x14ac:dyDescent="0.25">
      <c r="A2414" t="s">
        <v>4370</v>
      </c>
      <c r="B2414">
        <v>0.75</v>
      </c>
      <c r="C2414">
        <v>37.49</v>
      </c>
      <c r="E2414" t="s">
        <v>4370</v>
      </c>
      <c r="F2414">
        <v>0.6</v>
      </c>
      <c r="G2414">
        <v>118.4</v>
      </c>
      <c r="I2414" t="str" cm="1">
        <f t="array" ref="I2414:J2414">_xlfn.TEXTSPLIT(A2414," ")</f>
        <v>28.10.2023</v>
      </c>
      <c r="J2414" t="str">
        <v>16:16:33</v>
      </c>
      <c r="K2414">
        <f t="shared" si="482"/>
        <v>40.183333333332335</v>
      </c>
      <c r="L2414">
        <f t="shared" si="479"/>
        <v>23.17</v>
      </c>
      <c r="M2414">
        <f t="shared" si="480"/>
        <v>0.75</v>
      </c>
      <c r="N2414">
        <f t="shared" si="476"/>
        <v>0.51249999999999996</v>
      </c>
      <c r="Q2414" t="str" cm="1">
        <f t="array" ref="Q2414:R2414">_xlfn.TEXTSPLIT(E2414," ")</f>
        <v>28.10.2023</v>
      </c>
      <c r="R2414" t="str">
        <v>16:16:33</v>
      </c>
      <c r="S2414">
        <f t="shared" si="483"/>
        <v>40.183333333332335</v>
      </c>
      <c r="T2414">
        <f t="shared" si="478"/>
        <v>39.800000000000011</v>
      </c>
      <c r="U2414">
        <f t="shared" si="481"/>
        <v>0.6</v>
      </c>
      <c r="V2414">
        <f t="shared" si="477"/>
        <v>0.84499999999999986</v>
      </c>
    </row>
    <row r="2415" spans="1:22" x14ac:dyDescent="0.25">
      <c r="A2415" t="s">
        <v>4371</v>
      </c>
      <c r="B2415">
        <v>0.6</v>
      </c>
      <c r="C2415">
        <v>37.49</v>
      </c>
      <c r="E2415" t="s">
        <v>4371</v>
      </c>
      <c r="F2415">
        <v>0.75</v>
      </c>
      <c r="G2415">
        <v>118.41</v>
      </c>
      <c r="I2415" t="str" cm="1">
        <f t="array" ref="I2415:J2415">_xlfn.TEXTSPLIT(A2415," ")</f>
        <v>28.10.2023</v>
      </c>
      <c r="J2415" t="str">
        <v>16:17:33</v>
      </c>
      <c r="K2415">
        <f t="shared" si="482"/>
        <v>40.199999999999001</v>
      </c>
      <c r="L2415">
        <f t="shared" si="479"/>
        <v>23.17</v>
      </c>
      <c r="M2415">
        <f t="shared" si="480"/>
        <v>0.6</v>
      </c>
      <c r="N2415">
        <f t="shared" si="476"/>
        <v>0.51249999999999996</v>
      </c>
      <c r="Q2415" t="str" cm="1">
        <f t="array" ref="Q2415:R2415">_xlfn.TEXTSPLIT(E2415," ")</f>
        <v>28.10.2023</v>
      </c>
      <c r="R2415" t="str">
        <v>16:17:33</v>
      </c>
      <c r="S2415">
        <f t="shared" si="483"/>
        <v>40.199999999999001</v>
      </c>
      <c r="T2415">
        <f t="shared" si="478"/>
        <v>39.81</v>
      </c>
      <c r="U2415">
        <f t="shared" si="481"/>
        <v>0.75</v>
      </c>
      <c r="V2415">
        <f t="shared" si="477"/>
        <v>0.84499999999999986</v>
      </c>
    </row>
    <row r="2416" spans="1:22" x14ac:dyDescent="0.25">
      <c r="A2416" t="s">
        <v>4372</v>
      </c>
      <c r="B2416">
        <v>0.45</v>
      </c>
      <c r="C2416">
        <v>37.5</v>
      </c>
      <c r="E2416" t="s">
        <v>4372</v>
      </c>
      <c r="F2416">
        <v>0.6</v>
      </c>
      <c r="G2416">
        <v>118.42</v>
      </c>
      <c r="I2416" t="str" cm="1">
        <f t="array" ref="I2416:J2416">_xlfn.TEXTSPLIT(A2416," ")</f>
        <v>28.10.2023</v>
      </c>
      <c r="J2416" t="str">
        <v>16:18:33</v>
      </c>
      <c r="K2416">
        <f t="shared" si="482"/>
        <v>40.216666666665667</v>
      </c>
      <c r="L2416">
        <f t="shared" si="479"/>
        <v>23.18</v>
      </c>
      <c r="M2416">
        <f t="shared" si="480"/>
        <v>0.45</v>
      </c>
      <c r="N2416">
        <f t="shared" si="476"/>
        <v>0.51</v>
      </c>
      <c r="Q2416" t="str" cm="1">
        <f t="array" ref="Q2416:R2416">_xlfn.TEXTSPLIT(E2416," ")</f>
        <v>28.10.2023</v>
      </c>
      <c r="R2416" t="str">
        <v>16:18:33</v>
      </c>
      <c r="S2416">
        <f t="shared" si="483"/>
        <v>40.216666666665667</v>
      </c>
      <c r="T2416">
        <f t="shared" si="478"/>
        <v>39.820000000000007</v>
      </c>
      <c r="U2416">
        <f t="shared" si="481"/>
        <v>0.6</v>
      </c>
      <c r="V2416">
        <f t="shared" si="477"/>
        <v>0.83749999999999991</v>
      </c>
    </row>
    <row r="2417" spans="1:22" x14ac:dyDescent="0.25">
      <c r="A2417" t="s">
        <v>4373</v>
      </c>
      <c r="B2417">
        <v>0.3</v>
      </c>
      <c r="C2417">
        <v>37.51</v>
      </c>
      <c r="E2417" t="s">
        <v>4373</v>
      </c>
      <c r="F2417">
        <v>0.9</v>
      </c>
      <c r="G2417">
        <v>118.44</v>
      </c>
      <c r="I2417" t="str" cm="1">
        <f t="array" ref="I2417:J2417">_xlfn.TEXTSPLIT(A2417," ")</f>
        <v>28.10.2023</v>
      </c>
      <c r="J2417" t="str">
        <v>16:19:33</v>
      </c>
      <c r="K2417">
        <f t="shared" si="482"/>
        <v>40.233333333332332</v>
      </c>
      <c r="L2417">
        <f t="shared" si="479"/>
        <v>23.189999999999998</v>
      </c>
      <c r="M2417">
        <f t="shared" si="480"/>
        <v>0.3</v>
      </c>
      <c r="N2417">
        <f t="shared" si="476"/>
        <v>0.505</v>
      </c>
      <c r="Q2417" t="str" cm="1">
        <f t="array" ref="Q2417:R2417">_xlfn.TEXTSPLIT(E2417," ")</f>
        <v>28.10.2023</v>
      </c>
      <c r="R2417" t="str">
        <v>16:19:33</v>
      </c>
      <c r="S2417">
        <f t="shared" si="483"/>
        <v>40.233333333332332</v>
      </c>
      <c r="T2417">
        <f t="shared" si="478"/>
        <v>39.840000000000003</v>
      </c>
      <c r="U2417">
        <f t="shared" si="481"/>
        <v>0.9</v>
      </c>
      <c r="V2417">
        <f t="shared" si="477"/>
        <v>0.83499999999999974</v>
      </c>
    </row>
    <row r="2418" spans="1:22" x14ac:dyDescent="0.25">
      <c r="A2418" t="s">
        <v>4374</v>
      </c>
      <c r="B2418">
        <v>0.3</v>
      </c>
      <c r="C2418">
        <v>37.51</v>
      </c>
      <c r="E2418" t="s">
        <v>4374</v>
      </c>
      <c r="F2418">
        <v>0.9</v>
      </c>
      <c r="G2418">
        <v>118.45</v>
      </c>
      <c r="I2418" t="str" cm="1">
        <f t="array" ref="I2418:J2418">_xlfn.TEXTSPLIT(A2418," ")</f>
        <v>28.10.2023</v>
      </c>
      <c r="J2418" t="str">
        <v>16:20:33</v>
      </c>
      <c r="K2418">
        <f t="shared" si="482"/>
        <v>40.249999999998998</v>
      </c>
      <c r="L2418">
        <f t="shared" si="479"/>
        <v>23.189999999999998</v>
      </c>
      <c r="M2418">
        <f t="shared" si="480"/>
        <v>0.3</v>
      </c>
      <c r="N2418">
        <f t="shared" si="476"/>
        <v>0.50249999999999995</v>
      </c>
      <c r="Q2418" t="str" cm="1">
        <f t="array" ref="Q2418:R2418">_xlfn.TEXTSPLIT(E2418," ")</f>
        <v>28.10.2023</v>
      </c>
      <c r="R2418" t="str">
        <v>16:20:33</v>
      </c>
      <c r="S2418">
        <f t="shared" si="483"/>
        <v>40.249999999998998</v>
      </c>
      <c r="T2418">
        <f t="shared" si="478"/>
        <v>39.850000000000009</v>
      </c>
      <c r="U2418">
        <f t="shared" si="481"/>
        <v>0.9</v>
      </c>
      <c r="V2418">
        <f t="shared" si="477"/>
        <v>0.8374999999999998</v>
      </c>
    </row>
    <row r="2419" spans="1:22" x14ac:dyDescent="0.25">
      <c r="A2419" t="s">
        <v>4375</v>
      </c>
      <c r="B2419">
        <v>0.3</v>
      </c>
      <c r="C2419">
        <v>37.520000000000003</v>
      </c>
      <c r="E2419" t="s">
        <v>4375</v>
      </c>
      <c r="F2419">
        <v>0</v>
      </c>
      <c r="G2419">
        <v>118.45</v>
      </c>
      <c r="I2419" t="str" cm="1">
        <f t="array" ref="I2419:J2419">_xlfn.TEXTSPLIT(A2419," ")</f>
        <v>28.10.2023</v>
      </c>
      <c r="J2419" t="str">
        <v>16:21:34</v>
      </c>
      <c r="K2419">
        <f t="shared" si="482"/>
        <v>40.266666666665664</v>
      </c>
      <c r="L2419">
        <f t="shared" si="479"/>
        <v>23.200000000000003</v>
      </c>
      <c r="M2419">
        <f t="shared" si="480"/>
        <v>0.3</v>
      </c>
      <c r="N2419">
        <f t="shared" si="476"/>
        <v>0.5</v>
      </c>
      <c r="Q2419" t="str" cm="1">
        <f t="array" ref="Q2419:R2419">_xlfn.TEXTSPLIT(E2419," ")</f>
        <v>28.10.2023</v>
      </c>
      <c r="R2419" t="str">
        <v>16:21:34</v>
      </c>
      <c r="S2419">
        <f t="shared" si="483"/>
        <v>40.266666666665664</v>
      </c>
      <c r="T2419">
        <f t="shared" si="478"/>
        <v>39.850000000000009</v>
      </c>
      <c r="U2419">
        <f t="shared" si="481"/>
        <v>0</v>
      </c>
      <c r="V2419">
        <f t="shared" si="477"/>
        <v>0.8324999999999998</v>
      </c>
    </row>
    <row r="2420" spans="1:22" x14ac:dyDescent="0.25">
      <c r="A2420" t="s">
        <v>4376</v>
      </c>
      <c r="B2420">
        <v>0</v>
      </c>
      <c r="C2420">
        <v>37.520000000000003</v>
      </c>
      <c r="E2420" t="s">
        <v>4376</v>
      </c>
      <c r="F2420">
        <v>0.6</v>
      </c>
      <c r="G2420">
        <v>118.46</v>
      </c>
      <c r="I2420" t="str" cm="1">
        <f t="array" ref="I2420:J2420">_xlfn.TEXTSPLIT(A2420," ")</f>
        <v>28.10.2023</v>
      </c>
      <c r="J2420" t="str">
        <v>16:22:34</v>
      </c>
      <c r="K2420">
        <f t="shared" si="482"/>
        <v>40.28333333333233</v>
      </c>
      <c r="L2420">
        <f t="shared" si="479"/>
        <v>23.200000000000003</v>
      </c>
      <c r="M2420">
        <f t="shared" si="480"/>
        <v>0</v>
      </c>
      <c r="N2420">
        <f t="shared" si="476"/>
        <v>0.49749999999999994</v>
      </c>
      <c r="Q2420" t="str" cm="1">
        <f t="array" ref="Q2420:R2420">_xlfn.TEXTSPLIT(E2420," ")</f>
        <v>28.10.2023</v>
      </c>
      <c r="R2420" t="str">
        <v>16:22:34</v>
      </c>
      <c r="S2420">
        <f t="shared" si="483"/>
        <v>40.28333333333233</v>
      </c>
      <c r="T2420">
        <f t="shared" si="478"/>
        <v>39.86</v>
      </c>
      <c r="U2420">
        <f t="shared" si="481"/>
        <v>0.6</v>
      </c>
      <c r="V2420">
        <f t="shared" si="477"/>
        <v>0.83749999999999991</v>
      </c>
    </row>
    <row r="2421" spans="1:22" x14ac:dyDescent="0.25">
      <c r="A2421" t="s">
        <v>4377</v>
      </c>
      <c r="B2421">
        <v>0</v>
      </c>
      <c r="C2421">
        <v>37.520000000000003</v>
      </c>
      <c r="E2421" t="s">
        <v>4377</v>
      </c>
      <c r="F2421">
        <v>0.15</v>
      </c>
      <c r="G2421">
        <v>118.47</v>
      </c>
      <c r="I2421" t="str" cm="1">
        <f t="array" ref="I2421:J2421">_xlfn.TEXTSPLIT(A2421," ")</f>
        <v>28.10.2023</v>
      </c>
      <c r="J2421" t="str">
        <v>16:23:34</v>
      </c>
      <c r="K2421">
        <f t="shared" si="482"/>
        <v>40.299999999998995</v>
      </c>
      <c r="L2421">
        <f t="shared" si="479"/>
        <v>23.200000000000003</v>
      </c>
      <c r="M2421">
        <f t="shared" si="480"/>
        <v>0</v>
      </c>
      <c r="N2421">
        <f t="shared" si="476"/>
        <v>0.49749999999999994</v>
      </c>
      <c r="Q2421" t="str" cm="1">
        <f t="array" ref="Q2421:R2421">_xlfn.TEXTSPLIT(E2421," ")</f>
        <v>28.10.2023</v>
      </c>
      <c r="R2421" t="str">
        <v>16:23:34</v>
      </c>
      <c r="S2421">
        <f t="shared" si="483"/>
        <v>40.299999999998995</v>
      </c>
      <c r="T2421">
        <f t="shared" si="478"/>
        <v>39.870000000000005</v>
      </c>
      <c r="U2421">
        <f t="shared" si="481"/>
        <v>0.15</v>
      </c>
      <c r="V2421">
        <f t="shared" si="477"/>
        <v>0.8324999999999998</v>
      </c>
    </row>
    <row r="2422" spans="1:22" x14ac:dyDescent="0.25">
      <c r="A2422" t="s">
        <v>4378</v>
      </c>
      <c r="B2422">
        <v>0</v>
      </c>
      <c r="C2422">
        <v>37.520000000000003</v>
      </c>
      <c r="E2422" t="s">
        <v>4378</v>
      </c>
      <c r="F2422">
        <v>0.75</v>
      </c>
      <c r="G2422">
        <v>118.48</v>
      </c>
      <c r="I2422" t="str" cm="1">
        <f t="array" ref="I2422:J2422">_xlfn.TEXTSPLIT(A2422," ")</f>
        <v>28.10.2023</v>
      </c>
      <c r="J2422" t="str">
        <v>16:24:34</v>
      </c>
      <c r="K2422">
        <f t="shared" si="482"/>
        <v>40.316666666665661</v>
      </c>
      <c r="L2422">
        <f t="shared" si="479"/>
        <v>23.200000000000003</v>
      </c>
      <c r="M2422">
        <f t="shared" si="480"/>
        <v>0</v>
      </c>
      <c r="N2422">
        <f t="shared" si="476"/>
        <v>0.49749999999999994</v>
      </c>
      <c r="Q2422" t="str" cm="1">
        <f t="array" ref="Q2422:R2422">_xlfn.TEXTSPLIT(E2422," ")</f>
        <v>28.10.2023</v>
      </c>
      <c r="R2422" t="str">
        <v>16:24:34</v>
      </c>
      <c r="S2422">
        <f t="shared" si="483"/>
        <v>40.316666666665661</v>
      </c>
      <c r="T2422">
        <f t="shared" si="478"/>
        <v>39.88000000000001</v>
      </c>
      <c r="U2422">
        <f t="shared" si="481"/>
        <v>0.75</v>
      </c>
      <c r="V2422">
        <f t="shared" si="477"/>
        <v>0.84249999999999992</v>
      </c>
    </row>
    <row r="2423" spans="1:22" x14ac:dyDescent="0.25">
      <c r="A2423" t="s">
        <v>4379</v>
      </c>
      <c r="B2423">
        <v>0</v>
      </c>
      <c r="C2423">
        <v>37.520000000000003</v>
      </c>
      <c r="E2423" t="s">
        <v>4379</v>
      </c>
      <c r="F2423">
        <v>0.45</v>
      </c>
      <c r="G2423">
        <v>118.49</v>
      </c>
      <c r="I2423" t="str" cm="1">
        <f t="array" ref="I2423:J2423">_xlfn.TEXTSPLIT(A2423," ")</f>
        <v>28.10.2023</v>
      </c>
      <c r="J2423" t="str">
        <v>16:25:34</v>
      </c>
      <c r="K2423">
        <f t="shared" si="482"/>
        <v>40.333333333332327</v>
      </c>
      <c r="L2423">
        <f t="shared" si="479"/>
        <v>23.200000000000003</v>
      </c>
      <c r="M2423">
        <f t="shared" si="480"/>
        <v>0</v>
      </c>
      <c r="N2423">
        <f t="shared" si="476"/>
        <v>0.49749999999999994</v>
      </c>
      <c r="Q2423" t="str" cm="1">
        <f t="array" ref="Q2423:R2423">_xlfn.TEXTSPLIT(E2423," ")</f>
        <v>28.10.2023</v>
      </c>
      <c r="R2423" t="str">
        <v>16:25:34</v>
      </c>
      <c r="S2423">
        <f t="shared" si="483"/>
        <v>40.333333333332327</v>
      </c>
      <c r="T2423">
        <f t="shared" si="478"/>
        <v>39.89</v>
      </c>
      <c r="U2423">
        <f t="shared" si="481"/>
        <v>0.45</v>
      </c>
      <c r="V2423">
        <f t="shared" si="477"/>
        <v>0.84249999999999992</v>
      </c>
    </row>
    <row r="2424" spans="1:22" x14ac:dyDescent="0.25">
      <c r="A2424" t="s">
        <v>4380</v>
      </c>
      <c r="B2424">
        <v>0</v>
      </c>
      <c r="C2424">
        <v>37.520000000000003</v>
      </c>
      <c r="E2424" t="s">
        <v>4380</v>
      </c>
      <c r="F2424">
        <v>0.6</v>
      </c>
      <c r="G2424">
        <v>118.49</v>
      </c>
      <c r="I2424" t="str" cm="1">
        <f t="array" ref="I2424:J2424">_xlfn.TEXTSPLIT(A2424," ")</f>
        <v>28.10.2023</v>
      </c>
      <c r="J2424" t="str">
        <v>16:26:34</v>
      </c>
      <c r="K2424">
        <f t="shared" si="482"/>
        <v>40.349999999998992</v>
      </c>
      <c r="L2424">
        <f t="shared" si="479"/>
        <v>23.200000000000003</v>
      </c>
      <c r="M2424">
        <f t="shared" si="480"/>
        <v>0</v>
      </c>
      <c r="N2424">
        <f t="shared" si="476"/>
        <v>0.49749999999999994</v>
      </c>
      <c r="Q2424" t="str" cm="1">
        <f t="array" ref="Q2424:R2424">_xlfn.TEXTSPLIT(E2424," ")</f>
        <v>28.10.2023</v>
      </c>
      <c r="R2424" t="str">
        <v>16:26:34</v>
      </c>
      <c r="S2424">
        <f t="shared" si="483"/>
        <v>40.349999999998992</v>
      </c>
      <c r="T2424">
        <f t="shared" si="478"/>
        <v>39.89</v>
      </c>
      <c r="U2424">
        <f t="shared" si="481"/>
        <v>0.6</v>
      </c>
      <c r="V2424">
        <f t="shared" si="477"/>
        <v>0.84750000000000003</v>
      </c>
    </row>
    <row r="2425" spans="1:22" x14ac:dyDescent="0.25">
      <c r="A2425" t="s">
        <v>4381</v>
      </c>
      <c r="B2425">
        <v>0</v>
      </c>
      <c r="C2425">
        <v>37.520000000000003</v>
      </c>
      <c r="E2425" t="s">
        <v>4381</v>
      </c>
      <c r="F2425">
        <v>0.3</v>
      </c>
      <c r="G2425">
        <v>118.5</v>
      </c>
      <c r="I2425" t="str" cm="1">
        <f t="array" ref="I2425:J2425">_xlfn.TEXTSPLIT(A2425," ")</f>
        <v>28.10.2023</v>
      </c>
      <c r="J2425" t="str">
        <v>16:27:34</v>
      </c>
      <c r="K2425">
        <f t="shared" si="482"/>
        <v>40.366666666665658</v>
      </c>
      <c r="L2425">
        <f t="shared" si="479"/>
        <v>23.200000000000003</v>
      </c>
      <c r="M2425">
        <f t="shared" si="480"/>
        <v>0</v>
      </c>
      <c r="N2425">
        <f t="shared" si="476"/>
        <v>0.49749999999999994</v>
      </c>
      <c r="Q2425" t="str" cm="1">
        <f t="array" ref="Q2425:R2425">_xlfn.TEXTSPLIT(E2425," ")</f>
        <v>28.10.2023</v>
      </c>
      <c r="R2425" t="str">
        <v>16:27:34</v>
      </c>
      <c r="S2425">
        <f t="shared" si="483"/>
        <v>40.366666666665658</v>
      </c>
      <c r="T2425">
        <f t="shared" si="478"/>
        <v>39.900000000000006</v>
      </c>
      <c r="U2425">
        <f t="shared" si="481"/>
        <v>0.3</v>
      </c>
      <c r="V2425">
        <f t="shared" si="477"/>
        <v>0.84499999999999997</v>
      </c>
    </row>
    <row r="2426" spans="1:22" x14ac:dyDescent="0.25">
      <c r="A2426" t="s">
        <v>4382</v>
      </c>
      <c r="B2426">
        <v>0</v>
      </c>
      <c r="C2426">
        <v>37.520000000000003</v>
      </c>
      <c r="E2426" t="s">
        <v>4382</v>
      </c>
      <c r="F2426">
        <v>0.45</v>
      </c>
      <c r="G2426">
        <v>118.5</v>
      </c>
      <c r="I2426" t="str" cm="1">
        <f t="array" ref="I2426:J2426">_xlfn.TEXTSPLIT(A2426," ")</f>
        <v>28.10.2023</v>
      </c>
      <c r="J2426" t="str">
        <v>16:28:35</v>
      </c>
      <c r="K2426">
        <f t="shared" si="482"/>
        <v>40.383333333332324</v>
      </c>
      <c r="L2426">
        <f t="shared" si="479"/>
        <v>23.200000000000003</v>
      </c>
      <c r="M2426">
        <f t="shared" si="480"/>
        <v>0</v>
      </c>
      <c r="N2426">
        <f t="shared" si="476"/>
        <v>0.495</v>
      </c>
      <c r="Q2426" t="str" cm="1">
        <f t="array" ref="Q2426:R2426">_xlfn.TEXTSPLIT(E2426," ")</f>
        <v>28.10.2023</v>
      </c>
      <c r="R2426" t="str">
        <v>16:28:35</v>
      </c>
      <c r="S2426">
        <f t="shared" si="483"/>
        <v>40.383333333332324</v>
      </c>
      <c r="T2426">
        <f t="shared" si="478"/>
        <v>39.900000000000006</v>
      </c>
      <c r="U2426">
        <f t="shared" si="481"/>
        <v>0.45</v>
      </c>
      <c r="V2426">
        <f t="shared" si="477"/>
        <v>0.84499999999999997</v>
      </c>
    </row>
    <row r="2427" spans="1:22" x14ac:dyDescent="0.25">
      <c r="A2427" t="s">
        <v>4383</v>
      </c>
      <c r="B2427">
        <v>0</v>
      </c>
      <c r="C2427">
        <v>37.520000000000003</v>
      </c>
      <c r="E2427" t="s">
        <v>4383</v>
      </c>
      <c r="F2427">
        <v>0.6</v>
      </c>
      <c r="G2427">
        <v>118.51</v>
      </c>
      <c r="I2427" t="str" cm="1">
        <f t="array" ref="I2427:J2427">_xlfn.TEXTSPLIT(A2427," ")</f>
        <v>28.10.2023</v>
      </c>
      <c r="J2427" t="str">
        <v>16:29:35</v>
      </c>
      <c r="K2427">
        <f t="shared" si="482"/>
        <v>40.39999999999899</v>
      </c>
      <c r="L2427">
        <f t="shared" si="479"/>
        <v>23.200000000000003</v>
      </c>
      <c r="M2427">
        <f t="shared" si="480"/>
        <v>0</v>
      </c>
      <c r="N2427">
        <f t="shared" si="476"/>
        <v>0.49249999999999999</v>
      </c>
      <c r="Q2427" t="str" cm="1">
        <f t="array" ref="Q2427:R2427">_xlfn.TEXTSPLIT(E2427," ")</f>
        <v>28.10.2023</v>
      </c>
      <c r="R2427" t="str">
        <v>16:29:35</v>
      </c>
      <c r="S2427">
        <f t="shared" si="483"/>
        <v>40.39999999999899</v>
      </c>
      <c r="T2427">
        <f t="shared" si="478"/>
        <v>39.910000000000011</v>
      </c>
      <c r="U2427">
        <f t="shared" si="481"/>
        <v>0.6</v>
      </c>
      <c r="V2427">
        <f t="shared" si="477"/>
        <v>0.84500000000000008</v>
      </c>
    </row>
    <row r="2428" spans="1:22" x14ac:dyDescent="0.25">
      <c r="A2428" t="s">
        <v>4384</v>
      </c>
      <c r="B2428">
        <v>0.15</v>
      </c>
      <c r="C2428">
        <v>37.520000000000003</v>
      </c>
      <c r="E2428" t="s">
        <v>4384</v>
      </c>
      <c r="F2428">
        <v>0.6</v>
      </c>
      <c r="G2428">
        <v>118.52</v>
      </c>
      <c r="I2428" t="str" cm="1">
        <f t="array" ref="I2428:J2428">_xlfn.TEXTSPLIT(A2428," ")</f>
        <v>28.10.2023</v>
      </c>
      <c r="J2428" t="str">
        <v>16:30:35</v>
      </c>
      <c r="K2428">
        <f t="shared" si="482"/>
        <v>40.416666666665655</v>
      </c>
      <c r="L2428">
        <f t="shared" si="479"/>
        <v>23.200000000000003</v>
      </c>
      <c r="M2428">
        <f t="shared" si="480"/>
        <v>0.15</v>
      </c>
      <c r="N2428">
        <f t="shared" si="476"/>
        <v>0.49249999999999999</v>
      </c>
      <c r="Q2428" t="str" cm="1">
        <f t="array" ref="Q2428:R2428">_xlfn.TEXTSPLIT(E2428," ")</f>
        <v>28.10.2023</v>
      </c>
      <c r="R2428" t="str">
        <v>16:30:35</v>
      </c>
      <c r="S2428">
        <f t="shared" si="483"/>
        <v>40.416666666665655</v>
      </c>
      <c r="T2428">
        <f t="shared" si="478"/>
        <v>39.92</v>
      </c>
      <c r="U2428">
        <f t="shared" si="481"/>
        <v>0.6</v>
      </c>
      <c r="V2428">
        <f t="shared" si="477"/>
        <v>0.84750000000000003</v>
      </c>
    </row>
    <row r="2429" spans="1:22" x14ac:dyDescent="0.25">
      <c r="A2429" t="s">
        <v>4385</v>
      </c>
      <c r="B2429">
        <v>0.3</v>
      </c>
      <c r="C2429">
        <v>37.53</v>
      </c>
      <c r="E2429" t="s">
        <v>4385</v>
      </c>
      <c r="F2429">
        <v>0.45</v>
      </c>
      <c r="G2429">
        <v>118.53</v>
      </c>
      <c r="I2429" t="str" cm="1">
        <f t="array" ref="I2429:J2429">_xlfn.TEXTSPLIT(A2429," ")</f>
        <v>28.10.2023</v>
      </c>
      <c r="J2429" t="str">
        <v>16:31:35</v>
      </c>
      <c r="K2429">
        <f t="shared" si="482"/>
        <v>40.433333333332321</v>
      </c>
      <c r="L2429">
        <f t="shared" si="479"/>
        <v>23.21</v>
      </c>
      <c r="M2429">
        <f t="shared" si="480"/>
        <v>0.3</v>
      </c>
      <c r="N2429">
        <f t="shared" si="476"/>
        <v>0.49249999999999999</v>
      </c>
      <c r="Q2429" t="str" cm="1">
        <f t="array" ref="Q2429:R2429">_xlfn.TEXTSPLIT(E2429," ")</f>
        <v>28.10.2023</v>
      </c>
      <c r="R2429" t="str">
        <v>16:31:35</v>
      </c>
      <c r="S2429">
        <f t="shared" si="483"/>
        <v>40.433333333332321</v>
      </c>
      <c r="T2429">
        <f t="shared" si="478"/>
        <v>39.930000000000007</v>
      </c>
      <c r="U2429">
        <f t="shared" si="481"/>
        <v>0.45</v>
      </c>
      <c r="V2429">
        <f t="shared" si="477"/>
        <v>0.84500000000000008</v>
      </c>
    </row>
    <row r="2430" spans="1:22" x14ac:dyDescent="0.25">
      <c r="A2430" t="s">
        <v>4386</v>
      </c>
      <c r="B2430">
        <v>0.3</v>
      </c>
      <c r="C2430">
        <v>37.53</v>
      </c>
      <c r="E2430" t="s">
        <v>4386</v>
      </c>
      <c r="F2430">
        <v>0.6</v>
      </c>
      <c r="G2430">
        <v>118.55</v>
      </c>
      <c r="I2430" t="str" cm="1">
        <f t="array" ref="I2430:J2430">_xlfn.TEXTSPLIT(A2430," ")</f>
        <v>28.10.2023</v>
      </c>
      <c r="J2430" t="str">
        <v>16:32:35</v>
      </c>
      <c r="K2430">
        <f t="shared" si="482"/>
        <v>40.449999999998987</v>
      </c>
      <c r="L2430">
        <f t="shared" si="479"/>
        <v>23.21</v>
      </c>
      <c r="M2430">
        <f t="shared" si="480"/>
        <v>0.3</v>
      </c>
      <c r="N2430">
        <f t="shared" si="476"/>
        <v>0.49250000000000005</v>
      </c>
      <c r="Q2430" t="str" cm="1">
        <f t="array" ref="Q2430:R2430">_xlfn.TEXTSPLIT(E2430," ")</f>
        <v>28.10.2023</v>
      </c>
      <c r="R2430" t="str">
        <v>16:32:35</v>
      </c>
      <c r="S2430">
        <f t="shared" si="483"/>
        <v>40.449999999998987</v>
      </c>
      <c r="T2430">
        <f t="shared" si="478"/>
        <v>39.950000000000003</v>
      </c>
      <c r="U2430">
        <f t="shared" si="481"/>
        <v>0.6</v>
      </c>
      <c r="V2430">
        <f t="shared" si="477"/>
        <v>0.8450000000000002</v>
      </c>
    </row>
    <row r="2431" spans="1:22" x14ac:dyDescent="0.25">
      <c r="A2431" t="s">
        <v>4387</v>
      </c>
      <c r="B2431">
        <v>0.45</v>
      </c>
      <c r="C2431">
        <v>37.54</v>
      </c>
      <c r="E2431" t="s">
        <v>4387</v>
      </c>
      <c r="F2431">
        <v>0.75</v>
      </c>
      <c r="G2431">
        <v>118.56</v>
      </c>
      <c r="I2431" t="str" cm="1">
        <f t="array" ref="I2431:J2431">_xlfn.TEXTSPLIT(A2431," ")</f>
        <v>28.10.2023</v>
      </c>
      <c r="J2431" t="str">
        <v>16:33:35</v>
      </c>
      <c r="K2431">
        <f t="shared" si="482"/>
        <v>40.466666666665652</v>
      </c>
      <c r="L2431">
        <f t="shared" si="479"/>
        <v>23.22</v>
      </c>
      <c r="M2431">
        <f t="shared" si="480"/>
        <v>0.45</v>
      </c>
      <c r="N2431">
        <f t="shared" ref="N2431:N2494" si="484">AVERAGE(M2372:M2431)</f>
        <v>0.49750000000000011</v>
      </c>
      <c r="Q2431" t="str" cm="1">
        <f t="array" ref="Q2431:R2431">_xlfn.TEXTSPLIT(E2431," ")</f>
        <v>28.10.2023</v>
      </c>
      <c r="R2431" t="str">
        <v>16:33:35</v>
      </c>
      <c r="S2431">
        <f t="shared" si="483"/>
        <v>40.466666666665652</v>
      </c>
      <c r="T2431">
        <f t="shared" si="478"/>
        <v>39.960000000000008</v>
      </c>
      <c r="U2431">
        <f t="shared" si="481"/>
        <v>0.75</v>
      </c>
      <c r="V2431">
        <f t="shared" ref="V2431:V2494" si="485">AVERAGE(U2372:U2431)</f>
        <v>0.84000000000000008</v>
      </c>
    </row>
    <row r="2432" spans="1:22" x14ac:dyDescent="0.25">
      <c r="A2432" t="s">
        <v>4388</v>
      </c>
      <c r="B2432">
        <v>0.15</v>
      </c>
      <c r="C2432">
        <v>37.54</v>
      </c>
      <c r="E2432" t="s">
        <v>4388</v>
      </c>
      <c r="F2432">
        <v>1.05</v>
      </c>
      <c r="G2432">
        <v>118.58</v>
      </c>
      <c r="I2432" t="str" cm="1">
        <f t="array" ref="I2432:J2432">_xlfn.TEXTSPLIT(A2432," ")</f>
        <v>28.10.2023</v>
      </c>
      <c r="J2432" t="str">
        <v>16:34:35</v>
      </c>
      <c r="K2432">
        <f t="shared" si="482"/>
        <v>40.483333333332318</v>
      </c>
      <c r="L2432">
        <f t="shared" si="479"/>
        <v>23.22</v>
      </c>
      <c r="M2432">
        <f t="shared" si="480"/>
        <v>0.15</v>
      </c>
      <c r="N2432">
        <f t="shared" si="484"/>
        <v>0.49250000000000005</v>
      </c>
      <c r="Q2432" t="str" cm="1">
        <f t="array" ref="Q2432:R2432">_xlfn.TEXTSPLIT(E2432," ")</f>
        <v>28.10.2023</v>
      </c>
      <c r="R2432" t="str">
        <v>16:34:35</v>
      </c>
      <c r="S2432">
        <f t="shared" si="483"/>
        <v>40.483333333332318</v>
      </c>
      <c r="T2432">
        <f t="shared" si="478"/>
        <v>39.980000000000004</v>
      </c>
      <c r="U2432">
        <f t="shared" si="481"/>
        <v>1.05</v>
      </c>
      <c r="V2432">
        <f t="shared" si="485"/>
        <v>0.84000000000000008</v>
      </c>
    </row>
    <row r="2433" spans="1:22" x14ac:dyDescent="0.25">
      <c r="A2433" t="s">
        <v>4389</v>
      </c>
      <c r="B2433">
        <v>0.15</v>
      </c>
      <c r="C2433">
        <v>37.549999999999997</v>
      </c>
      <c r="E2433" t="s">
        <v>4389</v>
      </c>
      <c r="F2433">
        <v>1.8</v>
      </c>
      <c r="G2433">
        <v>118.62</v>
      </c>
      <c r="I2433" t="str" cm="1">
        <f t="array" ref="I2433:J2433">_xlfn.TEXTSPLIT(A2433," ")</f>
        <v>28.10.2023</v>
      </c>
      <c r="J2433" t="str">
        <v>16:35:36</v>
      </c>
      <c r="K2433">
        <f t="shared" si="482"/>
        <v>40.499999999998984</v>
      </c>
      <c r="L2433">
        <f t="shared" si="479"/>
        <v>23.229999999999997</v>
      </c>
      <c r="M2433">
        <f t="shared" si="480"/>
        <v>0.15</v>
      </c>
      <c r="N2433">
        <f t="shared" si="484"/>
        <v>0.49249999999999999</v>
      </c>
      <c r="Q2433" t="str" cm="1">
        <f t="array" ref="Q2433:R2433">_xlfn.TEXTSPLIT(E2433," ")</f>
        <v>28.10.2023</v>
      </c>
      <c r="R2433" t="str">
        <v>16:35:36</v>
      </c>
      <c r="S2433">
        <f t="shared" si="483"/>
        <v>40.499999999998984</v>
      </c>
      <c r="T2433">
        <f t="shared" si="478"/>
        <v>40.02000000000001</v>
      </c>
      <c r="U2433">
        <f t="shared" si="481"/>
        <v>1.8</v>
      </c>
      <c r="V2433">
        <f t="shared" si="485"/>
        <v>0.84250000000000003</v>
      </c>
    </row>
    <row r="2434" spans="1:22" x14ac:dyDescent="0.25">
      <c r="A2434" t="s">
        <v>4390</v>
      </c>
      <c r="B2434">
        <v>0.45</v>
      </c>
      <c r="C2434">
        <v>37.57</v>
      </c>
      <c r="E2434" t="s">
        <v>4390</v>
      </c>
      <c r="F2434">
        <v>1.8</v>
      </c>
      <c r="G2434">
        <v>118.65</v>
      </c>
      <c r="I2434" t="str" cm="1">
        <f t="array" ref="I2434:J2434">_xlfn.TEXTSPLIT(A2434," ")</f>
        <v>28.10.2023</v>
      </c>
      <c r="J2434" t="str">
        <v>16:36:36</v>
      </c>
      <c r="K2434">
        <f t="shared" si="482"/>
        <v>40.51666666666565</v>
      </c>
      <c r="L2434">
        <f t="shared" si="479"/>
        <v>23.25</v>
      </c>
      <c r="M2434">
        <f t="shared" si="480"/>
        <v>0.45</v>
      </c>
      <c r="N2434">
        <f t="shared" si="484"/>
        <v>0.495</v>
      </c>
      <c r="Q2434" t="str" cm="1">
        <f t="array" ref="Q2434:R2434">_xlfn.TEXTSPLIT(E2434," ")</f>
        <v>28.10.2023</v>
      </c>
      <c r="R2434" t="str">
        <v>16:36:36</v>
      </c>
      <c r="S2434">
        <f t="shared" si="483"/>
        <v>40.51666666666565</v>
      </c>
      <c r="T2434">
        <f t="shared" si="478"/>
        <v>40.050000000000011</v>
      </c>
      <c r="U2434">
        <f t="shared" si="481"/>
        <v>1.8</v>
      </c>
      <c r="V2434">
        <f t="shared" si="485"/>
        <v>0.84000000000000008</v>
      </c>
    </row>
    <row r="2435" spans="1:22" x14ac:dyDescent="0.25">
      <c r="A2435" t="s">
        <v>4391</v>
      </c>
      <c r="B2435">
        <v>2.25</v>
      </c>
      <c r="C2435">
        <v>37.61</v>
      </c>
      <c r="E2435" t="s">
        <v>4391</v>
      </c>
      <c r="F2435">
        <v>1.5</v>
      </c>
      <c r="G2435">
        <v>118.68</v>
      </c>
      <c r="I2435" t="str" cm="1">
        <f t="array" ref="I2435:J2435">_xlfn.TEXTSPLIT(A2435," ")</f>
        <v>28.10.2023</v>
      </c>
      <c r="J2435" t="str">
        <v>16:37:36</v>
      </c>
      <c r="K2435">
        <f t="shared" si="482"/>
        <v>40.533333333332315</v>
      </c>
      <c r="L2435">
        <f t="shared" si="479"/>
        <v>23.29</v>
      </c>
      <c r="M2435">
        <f t="shared" si="480"/>
        <v>2.25</v>
      </c>
      <c r="N2435">
        <f t="shared" si="484"/>
        <v>0.5</v>
      </c>
      <c r="Q2435" t="str" cm="1">
        <f t="array" ref="Q2435:R2435">_xlfn.TEXTSPLIT(E2435," ")</f>
        <v>28.10.2023</v>
      </c>
      <c r="R2435" t="str">
        <v>16:37:36</v>
      </c>
      <c r="S2435">
        <f t="shared" si="483"/>
        <v>40.533333333332315</v>
      </c>
      <c r="T2435">
        <f t="shared" ref="T2435:T2498" si="486">G2435-78.6</f>
        <v>40.080000000000013</v>
      </c>
      <c r="U2435">
        <f t="shared" si="481"/>
        <v>1.5</v>
      </c>
      <c r="V2435">
        <f t="shared" si="485"/>
        <v>0.82750000000000024</v>
      </c>
    </row>
    <row r="2436" spans="1:22" x14ac:dyDescent="0.25">
      <c r="A2436" t="s">
        <v>4392</v>
      </c>
      <c r="B2436">
        <v>2.4</v>
      </c>
      <c r="C2436">
        <v>37.64</v>
      </c>
      <c r="E2436" t="s">
        <v>4392</v>
      </c>
      <c r="F2436">
        <v>1.95</v>
      </c>
      <c r="G2436">
        <v>118.71</v>
      </c>
      <c r="I2436" t="str" cm="1">
        <f t="array" ref="I2436:J2436">_xlfn.TEXTSPLIT(A2436," ")</f>
        <v>28.10.2023</v>
      </c>
      <c r="J2436" t="str">
        <v>16:38:36</v>
      </c>
      <c r="K2436">
        <f t="shared" si="482"/>
        <v>40.549999999998981</v>
      </c>
      <c r="L2436">
        <f t="shared" ref="L2436:L2499" si="487">C2436-14.32</f>
        <v>23.32</v>
      </c>
      <c r="M2436">
        <f t="shared" ref="M2436:M2499" si="488">B2436</f>
        <v>2.4</v>
      </c>
      <c r="N2436">
        <f t="shared" si="484"/>
        <v>0.5</v>
      </c>
      <c r="Q2436" t="str" cm="1">
        <f t="array" ref="Q2436:R2436">_xlfn.TEXTSPLIT(E2436," ")</f>
        <v>28.10.2023</v>
      </c>
      <c r="R2436" t="str">
        <v>16:38:36</v>
      </c>
      <c r="S2436">
        <f t="shared" si="483"/>
        <v>40.549999999998981</v>
      </c>
      <c r="T2436">
        <f t="shared" si="486"/>
        <v>40.11</v>
      </c>
      <c r="U2436">
        <f t="shared" ref="U2436:U2499" si="489">F2436</f>
        <v>1.95</v>
      </c>
      <c r="V2436">
        <f t="shared" si="485"/>
        <v>0.83500000000000019</v>
      </c>
    </row>
    <row r="2437" spans="1:22" x14ac:dyDescent="0.25">
      <c r="A2437" t="s">
        <v>4393</v>
      </c>
      <c r="B2437">
        <v>1.05</v>
      </c>
      <c r="C2437">
        <v>37.659999999999997</v>
      </c>
      <c r="E2437" t="s">
        <v>4393</v>
      </c>
      <c r="F2437">
        <v>1.8</v>
      </c>
      <c r="G2437">
        <v>118.73</v>
      </c>
      <c r="I2437" t="str" cm="1">
        <f t="array" ref="I2437:J2437">_xlfn.TEXTSPLIT(A2437," ")</f>
        <v>28.10.2023</v>
      </c>
      <c r="J2437" t="str">
        <v>16:39:36</v>
      </c>
      <c r="K2437">
        <f t="shared" ref="K2437:K2500" si="490">1/60+K2436</f>
        <v>40.566666666665647</v>
      </c>
      <c r="L2437">
        <f t="shared" si="487"/>
        <v>23.339999999999996</v>
      </c>
      <c r="M2437">
        <f t="shared" si="488"/>
        <v>1.05</v>
      </c>
      <c r="N2437">
        <f t="shared" si="484"/>
        <v>0.49249999999999999</v>
      </c>
      <c r="Q2437" t="str" cm="1">
        <f t="array" ref="Q2437:R2437">_xlfn.TEXTSPLIT(E2437," ")</f>
        <v>28.10.2023</v>
      </c>
      <c r="R2437" t="str">
        <v>16:39:36</v>
      </c>
      <c r="S2437">
        <f t="shared" ref="S2437:S2500" si="491">1/60+S2436</f>
        <v>40.566666666665647</v>
      </c>
      <c r="T2437">
        <f t="shared" si="486"/>
        <v>40.13000000000001</v>
      </c>
      <c r="U2437">
        <f t="shared" si="489"/>
        <v>1.8</v>
      </c>
      <c r="V2437">
        <f t="shared" si="485"/>
        <v>0.84000000000000008</v>
      </c>
    </row>
    <row r="2438" spans="1:22" x14ac:dyDescent="0.25">
      <c r="A2438" t="s">
        <v>4394</v>
      </c>
      <c r="B2438">
        <v>1.05</v>
      </c>
      <c r="C2438">
        <v>37.67</v>
      </c>
      <c r="E2438" t="s">
        <v>4394</v>
      </c>
      <c r="F2438">
        <v>1.05</v>
      </c>
      <c r="G2438">
        <v>118.74</v>
      </c>
      <c r="I2438" t="str" cm="1">
        <f t="array" ref="I2438:J2438">_xlfn.TEXTSPLIT(A2438," ")</f>
        <v>28.10.2023</v>
      </c>
      <c r="J2438" t="str">
        <v>16:40:36</v>
      </c>
      <c r="K2438">
        <f t="shared" si="490"/>
        <v>40.583333333332313</v>
      </c>
      <c r="L2438">
        <f t="shared" si="487"/>
        <v>23.35</v>
      </c>
      <c r="M2438">
        <f t="shared" si="488"/>
        <v>1.05</v>
      </c>
      <c r="N2438">
        <f t="shared" si="484"/>
        <v>0.49249999999999999</v>
      </c>
      <c r="Q2438" t="str" cm="1">
        <f t="array" ref="Q2438:R2438">_xlfn.TEXTSPLIT(E2438," ")</f>
        <v>28.10.2023</v>
      </c>
      <c r="R2438" t="str">
        <v>16:40:36</v>
      </c>
      <c r="S2438">
        <f t="shared" si="491"/>
        <v>40.583333333332313</v>
      </c>
      <c r="T2438">
        <f t="shared" si="486"/>
        <v>40.14</v>
      </c>
      <c r="U2438">
        <f t="shared" si="489"/>
        <v>1.05</v>
      </c>
      <c r="V2438">
        <f t="shared" si="485"/>
        <v>0.84250000000000003</v>
      </c>
    </row>
    <row r="2439" spans="1:22" x14ac:dyDescent="0.25">
      <c r="A2439" t="s">
        <v>4395</v>
      </c>
      <c r="B2439">
        <v>0.9</v>
      </c>
      <c r="C2439">
        <v>37.68</v>
      </c>
      <c r="E2439" t="s">
        <v>4395</v>
      </c>
      <c r="F2439">
        <v>0.9</v>
      </c>
      <c r="G2439">
        <v>118.76</v>
      </c>
      <c r="I2439" t="str" cm="1">
        <f t="array" ref="I2439:J2439">_xlfn.TEXTSPLIT(A2439," ")</f>
        <v>28.10.2023</v>
      </c>
      <c r="J2439" t="str">
        <v>16:41:37</v>
      </c>
      <c r="K2439">
        <f t="shared" si="490"/>
        <v>40.599999999998978</v>
      </c>
      <c r="L2439">
        <f t="shared" si="487"/>
        <v>23.36</v>
      </c>
      <c r="M2439">
        <f t="shared" si="488"/>
        <v>0.9</v>
      </c>
      <c r="N2439">
        <f t="shared" si="484"/>
        <v>0.495</v>
      </c>
      <c r="Q2439" t="str" cm="1">
        <f t="array" ref="Q2439:R2439">_xlfn.TEXTSPLIT(E2439," ")</f>
        <v>28.10.2023</v>
      </c>
      <c r="R2439" t="str">
        <v>16:41:37</v>
      </c>
      <c r="S2439">
        <f t="shared" si="491"/>
        <v>40.599999999998978</v>
      </c>
      <c r="T2439">
        <f t="shared" si="486"/>
        <v>40.160000000000011</v>
      </c>
      <c r="U2439">
        <f t="shared" si="489"/>
        <v>0.9</v>
      </c>
      <c r="V2439">
        <f t="shared" si="485"/>
        <v>0.84750000000000003</v>
      </c>
    </row>
    <row r="2440" spans="1:22" x14ac:dyDescent="0.25">
      <c r="A2440" t="s">
        <v>4396</v>
      </c>
      <c r="B2440">
        <v>0.75</v>
      </c>
      <c r="C2440">
        <v>37.700000000000003</v>
      </c>
      <c r="E2440" t="s">
        <v>4396</v>
      </c>
      <c r="F2440">
        <v>0.9</v>
      </c>
      <c r="G2440">
        <v>118.77</v>
      </c>
      <c r="I2440" t="str" cm="1">
        <f t="array" ref="I2440:J2440">_xlfn.TEXTSPLIT(A2440," ")</f>
        <v>28.10.2023</v>
      </c>
      <c r="J2440" t="str">
        <v>16:42:37</v>
      </c>
      <c r="K2440">
        <f t="shared" si="490"/>
        <v>40.616666666665644</v>
      </c>
      <c r="L2440">
        <f t="shared" si="487"/>
        <v>23.380000000000003</v>
      </c>
      <c r="M2440">
        <f t="shared" si="488"/>
        <v>0.75</v>
      </c>
      <c r="N2440">
        <f t="shared" si="484"/>
        <v>0.49499999999999994</v>
      </c>
      <c r="Q2440" t="str" cm="1">
        <f t="array" ref="Q2440:R2440">_xlfn.TEXTSPLIT(E2440," ")</f>
        <v>28.10.2023</v>
      </c>
      <c r="R2440" t="str">
        <v>16:42:37</v>
      </c>
      <c r="S2440">
        <f t="shared" si="491"/>
        <v>40.616666666665644</v>
      </c>
      <c r="T2440">
        <f t="shared" si="486"/>
        <v>40.17</v>
      </c>
      <c r="U2440">
        <f t="shared" si="489"/>
        <v>0.9</v>
      </c>
      <c r="V2440">
        <f t="shared" si="485"/>
        <v>0.84999999999999987</v>
      </c>
    </row>
    <row r="2441" spans="1:22" x14ac:dyDescent="0.25">
      <c r="A2441" t="s">
        <v>4397</v>
      </c>
      <c r="B2441">
        <v>0.75</v>
      </c>
      <c r="C2441">
        <v>37.71</v>
      </c>
      <c r="E2441" t="s">
        <v>4397</v>
      </c>
      <c r="F2441">
        <v>0.75</v>
      </c>
      <c r="G2441">
        <v>118.78</v>
      </c>
      <c r="I2441" t="str" cm="1">
        <f t="array" ref="I2441:J2441">_xlfn.TEXTSPLIT(A2441," ")</f>
        <v>28.10.2023</v>
      </c>
      <c r="J2441" t="str">
        <v>16:43:37</v>
      </c>
      <c r="K2441">
        <f t="shared" si="490"/>
        <v>40.63333333333231</v>
      </c>
      <c r="L2441">
        <f t="shared" si="487"/>
        <v>23.39</v>
      </c>
      <c r="M2441">
        <f t="shared" si="488"/>
        <v>0.75</v>
      </c>
      <c r="N2441">
        <f t="shared" si="484"/>
        <v>0.49499999999999994</v>
      </c>
      <c r="Q2441" t="str" cm="1">
        <f t="array" ref="Q2441:R2441">_xlfn.TEXTSPLIT(E2441," ")</f>
        <v>28.10.2023</v>
      </c>
      <c r="R2441" t="str">
        <v>16:43:37</v>
      </c>
      <c r="S2441">
        <f t="shared" si="491"/>
        <v>40.63333333333231</v>
      </c>
      <c r="T2441">
        <f t="shared" si="486"/>
        <v>40.180000000000007</v>
      </c>
      <c r="U2441">
        <f t="shared" si="489"/>
        <v>0.75</v>
      </c>
      <c r="V2441">
        <f t="shared" si="485"/>
        <v>0.85499999999999998</v>
      </c>
    </row>
    <row r="2442" spans="1:22" x14ac:dyDescent="0.25">
      <c r="A2442" t="s">
        <v>4398</v>
      </c>
      <c r="B2442">
        <v>0.6</v>
      </c>
      <c r="C2442">
        <v>37.72</v>
      </c>
      <c r="E2442" t="s">
        <v>4398</v>
      </c>
      <c r="F2442">
        <v>0.9</v>
      </c>
      <c r="G2442">
        <v>118.8</v>
      </c>
      <c r="I2442" t="str" cm="1">
        <f t="array" ref="I2442:J2442">_xlfn.TEXTSPLIT(A2442," ")</f>
        <v>28.10.2023</v>
      </c>
      <c r="J2442" t="str">
        <v>16:44:37</v>
      </c>
      <c r="K2442">
        <f t="shared" si="490"/>
        <v>40.649999999998975</v>
      </c>
      <c r="L2442">
        <f t="shared" si="487"/>
        <v>23.4</v>
      </c>
      <c r="M2442">
        <f t="shared" si="488"/>
        <v>0.6</v>
      </c>
      <c r="N2442">
        <f t="shared" si="484"/>
        <v>0.49249999999999994</v>
      </c>
      <c r="Q2442" t="str" cm="1">
        <f t="array" ref="Q2442:R2442">_xlfn.TEXTSPLIT(E2442," ")</f>
        <v>28.10.2023</v>
      </c>
      <c r="R2442" t="str">
        <v>16:44:37</v>
      </c>
      <c r="S2442">
        <f t="shared" si="491"/>
        <v>40.649999999998975</v>
      </c>
      <c r="T2442">
        <f t="shared" si="486"/>
        <v>40.200000000000003</v>
      </c>
      <c r="U2442">
        <f t="shared" si="489"/>
        <v>0.9</v>
      </c>
      <c r="V2442">
        <f t="shared" si="485"/>
        <v>0.85499999999999998</v>
      </c>
    </row>
    <row r="2443" spans="1:22" x14ac:dyDescent="0.25">
      <c r="A2443" t="s">
        <v>4399</v>
      </c>
      <c r="B2443">
        <v>0.6</v>
      </c>
      <c r="C2443">
        <v>37.729999999999997</v>
      </c>
      <c r="E2443" t="s">
        <v>4399</v>
      </c>
      <c r="F2443">
        <v>0.9</v>
      </c>
      <c r="G2443">
        <v>118.82</v>
      </c>
      <c r="I2443" t="str" cm="1">
        <f t="array" ref="I2443:J2443">_xlfn.TEXTSPLIT(A2443," ")</f>
        <v>28.10.2023</v>
      </c>
      <c r="J2443" t="str">
        <v>16:45:37</v>
      </c>
      <c r="K2443">
        <f t="shared" si="490"/>
        <v>40.666666666665641</v>
      </c>
      <c r="L2443">
        <f t="shared" si="487"/>
        <v>23.409999999999997</v>
      </c>
      <c r="M2443">
        <f t="shared" si="488"/>
        <v>0.6</v>
      </c>
      <c r="N2443">
        <f t="shared" si="484"/>
        <v>0.49249999999999994</v>
      </c>
      <c r="Q2443" t="str" cm="1">
        <f t="array" ref="Q2443:R2443">_xlfn.TEXTSPLIT(E2443," ")</f>
        <v>28.10.2023</v>
      </c>
      <c r="R2443" t="str">
        <v>16:45:37</v>
      </c>
      <c r="S2443">
        <f t="shared" si="491"/>
        <v>40.666666666665641</v>
      </c>
      <c r="T2443">
        <f t="shared" si="486"/>
        <v>40.22</v>
      </c>
      <c r="U2443">
        <f t="shared" si="489"/>
        <v>0.9</v>
      </c>
      <c r="V2443">
        <f t="shared" si="485"/>
        <v>0.85249999999999981</v>
      </c>
    </row>
    <row r="2444" spans="1:22" x14ac:dyDescent="0.25">
      <c r="A2444" t="s">
        <v>4400</v>
      </c>
      <c r="B2444">
        <v>0.45</v>
      </c>
      <c r="C2444">
        <v>37.74</v>
      </c>
      <c r="E2444" t="s">
        <v>4400</v>
      </c>
      <c r="F2444">
        <v>0.9</v>
      </c>
      <c r="G2444">
        <v>118.83</v>
      </c>
      <c r="I2444" t="str" cm="1">
        <f t="array" ref="I2444:J2444">_xlfn.TEXTSPLIT(A2444," ")</f>
        <v>28.10.2023</v>
      </c>
      <c r="J2444" t="str">
        <v>16:46:37</v>
      </c>
      <c r="K2444">
        <f t="shared" si="490"/>
        <v>40.683333333332307</v>
      </c>
      <c r="L2444">
        <f t="shared" si="487"/>
        <v>23.42</v>
      </c>
      <c r="M2444">
        <f t="shared" si="488"/>
        <v>0.45</v>
      </c>
      <c r="N2444">
        <f t="shared" si="484"/>
        <v>0.48999999999999994</v>
      </c>
      <c r="Q2444" t="str" cm="1">
        <f t="array" ref="Q2444:R2444">_xlfn.TEXTSPLIT(E2444," ")</f>
        <v>28.10.2023</v>
      </c>
      <c r="R2444" t="str">
        <v>16:46:37</v>
      </c>
      <c r="S2444">
        <f t="shared" si="491"/>
        <v>40.683333333332307</v>
      </c>
      <c r="T2444">
        <f t="shared" si="486"/>
        <v>40.230000000000004</v>
      </c>
      <c r="U2444">
        <f t="shared" si="489"/>
        <v>0.9</v>
      </c>
      <c r="V2444">
        <f t="shared" si="485"/>
        <v>0.84749999999999981</v>
      </c>
    </row>
    <row r="2445" spans="1:22" x14ac:dyDescent="0.25">
      <c r="A2445" t="s">
        <v>4401</v>
      </c>
      <c r="B2445">
        <v>0.75</v>
      </c>
      <c r="C2445">
        <v>37.74</v>
      </c>
      <c r="E2445" t="s">
        <v>4401</v>
      </c>
      <c r="F2445">
        <v>0.75</v>
      </c>
      <c r="G2445">
        <v>118.85</v>
      </c>
      <c r="I2445" t="str" cm="1">
        <f t="array" ref="I2445:J2445">_xlfn.TEXTSPLIT(A2445," ")</f>
        <v>28.10.2023</v>
      </c>
      <c r="J2445" t="str">
        <v>16:47:37</v>
      </c>
      <c r="K2445">
        <f t="shared" si="490"/>
        <v>40.699999999998973</v>
      </c>
      <c r="L2445">
        <f t="shared" si="487"/>
        <v>23.42</v>
      </c>
      <c r="M2445">
        <f t="shared" si="488"/>
        <v>0.75</v>
      </c>
      <c r="N2445">
        <f t="shared" si="484"/>
        <v>0.49249999999999988</v>
      </c>
      <c r="Q2445" t="str" cm="1">
        <f t="array" ref="Q2445:R2445">_xlfn.TEXTSPLIT(E2445," ")</f>
        <v>28.10.2023</v>
      </c>
      <c r="R2445" t="str">
        <v>16:47:37</v>
      </c>
      <c r="S2445">
        <f t="shared" si="491"/>
        <v>40.699999999998973</v>
      </c>
      <c r="T2445">
        <f t="shared" si="486"/>
        <v>40.25</v>
      </c>
      <c r="U2445">
        <f t="shared" si="489"/>
        <v>0.75</v>
      </c>
      <c r="V2445">
        <f t="shared" si="485"/>
        <v>0.8424999999999998</v>
      </c>
    </row>
    <row r="2446" spans="1:22" x14ac:dyDescent="0.25">
      <c r="A2446" t="s">
        <v>4402</v>
      </c>
      <c r="B2446">
        <v>0.3</v>
      </c>
      <c r="C2446">
        <v>37.75</v>
      </c>
      <c r="E2446" t="s">
        <v>4402</v>
      </c>
      <c r="F2446">
        <v>0.75</v>
      </c>
      <c r="G2446">
        <v>118.86</v>
      </c>
      <c r="I2446" t="str" cm="1">
        <f t="array" ref="I2446:J2446">_xlfn.TEXTSPLIT(A2446," ")</f>
        <v>28.10.2023</v>
      </c>
      <c r="J2446" t="str">
        <v>16:48:38</v>
      </c>
      <c r="K2446">
        <f t="shared" si="490"/>
        <v>40.716666666665638</v>
      </c>
      <c r="L2446">
        <f t="shared" si="487"/>
        <v>23.43</v>
      </c>
      <c r="M2446">
        <f t="shared" si="488"/>
        <v>0.3</v>
      </c>
      <c r="N2446">
        <f t="shared" si="484"/>
        <v>0.49</v>
      </c>
      <c r="Q2446" t="str" cm="1">
        <f t="array" ref="Q2446:R2446">_xlfn.TEXTSPLIT(E2446," ")</f>
        <v>28.10.2023</v>
      </c>
      <c r="R2446" t="str">
        <v>16:48:38</v>
      </c>
      <c r="S2446">
        <f t="shared" si="491"/>
        <v>40.716666666665638</v>
      </c>
      <c r="T2446">
        <f t="shared" si="486"/>
        <v>40.260000000000005</v>
      </c>
      <c r="U2446">
        <f t="shared" si="489"/>
        <v>0.75</v>
      </c>
      <c r="V2446">
        <f t="shared" si="485"/>
        <v>0.84249999999999969</v>
      </c>
    </row>
    <row r="2447" spans="1:22" x14ac:dyDescent="0.25">
      <c r="A2447" t="s">
        <v>4403</v>
      </c>
      <c r="B2447">
        <v>0.6</v>
      </c>
      <c r="C2447">
        <v>37.76</v>
      </c>
      <c r="E2447" t="s">
        <v>4403</v>
      </c>
      <c r="F2447">
        <v>0.9</v>
      </c>
      <c r="G2447">
        <v>118.87</v>
      </c>
      <c r="I2447" t="str" cm="1">
        <f t="array" ref="I2447:J2447">_xlfn.TEXTSPLIT(A2447," ")</f>
        <v>28.10.2023</v>
      </c>
      <c r="J2447" t="str">
        <v>16:49:38</v>
      </c>
      <c r="K2447">
        <f t="shared" si="490"/>
        <v>40.733333333332304</v>
      </c>
      <c r="L2447">
        <f t="shared" si="487"/>
        <v>23.439999999999998</v>
      </c>
      <c r="M2447">
        <f t="shared" si="488"/>
        <v>0.6</v>
      </c>
      <c r="N2447">
        <f t="shared" si="484"/>
        <v>0.49249999999999999</v>
      </c>
      <c r="Q2447" t="str" cm="1">
        <f t="array" ref="Q2447:R2447">_xlfn.TEXTSPLIT(E2447," ")</f>
        <v>28.10.2023</v>
      </c>
      <c r="R2447" t="str">
        <v>16:49:38</v>
      </c>
      <c r="S2447">
        <f t="shared" si="491"/>
        <v>40.733333333332304</v>
      </c>
      <c r="T2447">
        <f t="shared" si="486"/>
        <v>40.27000000000001</v>
      </c>
      <c r="U2447">
        <f t="shared" si="489"/>
        <v>0.9</v>
      </c>
      <c r="V2447">
        <f t="shared" si="485"/>
        <v>0.84499999999999986</v>
      </c>
    </row>
    <row r="2448" spans="1:22" x14ac:dyDescent="0.25">
      <c r="A2448" t="s">
        <v>4404</v>
      </c>
      <c r="B2448">
        <v>0.3</v>
      </c>
      <c r="C2448">
        <v>37.76</v>
      </c>
      <c r="E2448" t="s">
        <v>4404</v>
      </c>
      <c r="F2448">
        <v>0.45</v>
      </c>
      <c r="G2448">
        <v>118.87</v>
      </c>
      <c r="I2448" t="str" cm="1">
        <f t="array" ref="I2448:J2448">_xlfn.TEXTSPLIT(A2448," ")</f>
        <v>28.10.2023</v>
      </c>
      <c r="J2448" t="str">
        <v>16:50:38</v>
      </c>
      <c r="K2448">
        <f t="shared" si="490"/>
        <v>40.74999999999897</v>
      </c>
      <c r="L2448">
        <f t="shared" si="487"/>
        <v>23.439999999999998</v>
      </c>
      <c r="M2448">
        <f t="shared" si="488"/>
        <v>0.3</v>
      </c>
      <c r="N2448">
        <f t="shared" si="484"/>
        <v>0.49249999999999999</v>
      </c>
      <c r="Q2448" t="str" cm="1">
        <f t="array" ref="Q2448:R2448">_xlfn.TEXTSPLIT(E2448," ")</f>
        <v>28.10.2023</v>
      </c>
      <c r="R2448" t="str">
        <v>16:50:38</v>
      </c>
      <c r="S2448">
        <f t="shared" si="491"/>
        <v>40.74999999999897</v>
      </c>
      <c r="T2448">
        <f t="shared" si="486"/>
        <v>40.27000000000001</v>
      </c>
      <c r="U2448">
        <f t="shared" si="489"/>
        <v>0.45</v>
      </c>
      <c r="V2448">
        <f t="shared" si="485"/>
        <v>0.84499999999999986</v>
      </c>
    </row>
    <row r="2449" spans="1:22" x14ac:dyDescent="0.25">
      <c r="A2449" t="s">
        <v>4405</v>
      </c>
      <c r="B2449">
        <v>0.45</v>
      </c>
      <c r="C2449">
        <v>37.770000000000003</v>
      </c>
      <c r="E2449" t="s">
        <v>4405</v>
      </c>
      <c r="F2449">
        <v>0</v>
      </c>
      <c r="G2449">
        <v>118.87</v>
      </c>
      <c r="I2449" t="str" cm="1">
        <f t="array" ref="I2449:J2449">_xlfn.TEXTSPLIT(A2449," ")</f>
        <v>28.10.2023</v>
      </c>
      <c r="J2449" t="str">
        <v>16:51:38</v>
      </c>
      <c r="K2449">
        <f t="shared" si="490"/>
        <v>40.766666666665635</v>
      </c>
      <c r="L2449">
        <f t="shared" si="487"/>
        <v>23.450000000000003</v>
      </c>
      <c r="M2449">
        <f t="shared" si="488"/>
        <v>0.45</v>
      </c>
      <c r="N2449">
        <f t="shared" si="484"/>
        <v>0.49250000000000005</v>
      </c>
      <c r="Q2449" t="str" cm="1">
        <f t="array" ref="Q2449:R2449">_xlfn.TEXTSPLIT(E2449," ")</f>
        <v>28.10.2023</v>
      </c>
      <c r="R2449" t="str">
        <v>16:51:38</v>
      </c>
      <c r="S2449">
        <f t="shared" si="491"/>
        <v>40.766666666665635</v>
      </c>
      <c r="T2449">
        <f t="shared" si="486"/>
        <v>40.27000000000001</v>
      </c>
      <c r="U2449">
        <f t="shared" si="489"/>
        <v>0</v>
      </c>
      <c r="V2449">
        <f t="shared" si="485"/>
        <v>0.8424999999999998</v>
      </c>
    </row>
    <row r="2450" spans="1:22" x14ac:dyDescent="0.25">
      <c r="A2450" t="s">
        <v>4406</v>
      </c>
      <c r="B2450">
        <v>0</v>
      </c>
      <c r="C2450">
        <v>37.770000000000003</v>
      </c>
      <c r="E2450" t="s">
        <v>4406</v>
      </c>
      <c r="F2450">
        <v>0.3</v>
      </c>
      <c r="G2450">
        <v>118.88</v>
      </c>
      <c r="I2450" t="str" cm="1">
        <f t="array" ref="I2450:J2450">_xlfn.TEXTSPLIT(A2450," ")</f>
        <v>28.10.2023</v>
      </c>
      <c r="J2450" t="str">
        <v>16:52:38</v>
      </c>
      <c r="K2450">
        <f t="shared" si="490"/>
        <v>40.783333333332301</v>
      </c>
      <c r="L2450">
        <f t="shared" si="487"/>
        <v>23.450000000000003</v>
      </c>
      <c r="M2450">
        <f t="shared" si="488"/>
        <v>0</v>
      </c>
      <c r="N2450">
        <f t="shared" si="484"/>
        <v>0.49250000000000005</v>
      </c>
      <c r="Q2450" t="str" cm="1">
        <f t="array" ref="Q2450:R2450">_xlfn.TEXTSPLIT(E2450," ")</f>
        <v>28.10.2023</v>
      </c>
      <c r="R2450" t="str">
        <v>16:52:38</v>
      </c>
      <c r="S2450">
        <f t="shared" si="491"/>
        <v>40.783333333332301</v>
      </c>
      <c r="T2450">
        <f t="shared" si="486"/>
        <v>40.28</v>
      </c>
      <c r="U2450">
        <f t="shared" si="489"/>
        <v>0.3</v>
      </c>
      <c r="V2450">
        <f t="shared" si="485"/>
        <v>0.84499999999999986</v>
      </c>
    </row>
    <row r="2451" spans="1:22" x14ac:dyDescent="0.25">
      <c r="A2451" t="s">
        <v>4407</v>
      </c>
      <c r="B2451">
        <v>0</v>
      </c>
      <c r="C2451">
        <v>37.770000000000003</v>
      </c>
      <c r="E2451" t="s">
        <v>4407</v>
      </c>
      <c r="F2451">
        <v>0.15</v>
      </c>
      <c r="G2451">
        <v>118.88</v>
      </c>
      <c r="I2451" t="str" cm="1">
        <f t="array" ref="I2451:J2451">_xlfn.TEXTSPLIT(A2451," ")</f>
        <v>28.10.2023</v>
      </c>
      <c r="J2451" t="str">
        <v>16:53:38</v>
      </c>
      <c r="K2451">
        <f t="shared" si="490"/>
        <v>40.799999999998967</v>
      </c>
      <c r="L2451">
        <f t="shared" si="487"/>
        <v>23.450000000000003</v>
      </c>
      <c r="M2451">
        <f t="shared" si="488"/>
        <v>0</v>
      </c>
      <c r="N2451">
        <f t="shared" si="484"/>
        <v>0.49250000000000005</v>
      </c>
      <c r="Q2451" t="str" cm="1">
        <f t="array" ref="Q2451:R2451">_xlfn.TEXTSPLIT(E2451," ")</f>
        <v>28.10.2023</v>
      </c>
      <c r="R2451" t="str">
        <v>16:53:38</v>
      </c>
      <c r="S2451">
        <f t="shared" si="491"/>
        <v>40.799999999998967</v>
      </c>
      <c r="T2451">
        <f t="shared" si="486"/>
        <v>40.28</v>
      </c>
      <c r="U2451">
        <f t="shared" si="489"/>
        <v>0.15</v>
      </c>
      <c r="V2451">
        <f t="shared" si="485"/>
        <v>0.84249999999999969</v>
      </c>
    </row>
    <row r="2452" spans="1:22" x14ac:dyDescent="0.25">
      <c r="A2452" t="s">
        <v>4408</v>
      </c>
      <c r="B2452">
        <v>0</v>
      </c>
      <c r="C2452">
        <v>37.770000000000003</v>
      </c>
      <c r="E2452" t="s">
        <v>4408</v>
      </c>
      <c r="F2452">
        <v>0.45</v>
      </c>
      <c r="G2452">
        <v>118.89</v>
      </c>
      <c r="I2452" t="str" cm="1">
        <f t="array" ref="I2452:J2452">_xlfn.TEXTSPLIT(A2452," ")</f>
        <v>28.10.2023</v>
      </c>
      <c r="J2452" t="str">
        <v>16:54:38</v>
      </c>
      <c r="K2452">
        <f t="shared" si="490"/>
        <v>40.816666666665633</v>
      </c>
      <c r="L2452">
        <f t="shared" si="487"/>
        <v>23.450000000000003</v>
      </c>
      <c r="M2452">
        <f t="shared" si="488"/>
        <v>0</v>
      </c>
      <c r="N2452">
        <f t="shared" si="484"/>
        <v>0.49250000000000005</v>
      </c>
      <c r="Q2452" t="str" cm="1">
        <f t="array" ref="Q2452:R2452">_xlfn.TEXTSPLIT(E2452," ")</f>
        <v>28.10.2023</v>
      </c>
      <c r="R2452" t="str">
        <v>16:54:38</v>
      </c>
      <c r="S2452">
        <f t="shared" si="491"/>
        <v>40.816666666665633</v>
      </c>
      <c r="T2452">
        <f t="shared" si="486"/>
        <v>40.290000000000006</v>
      </c>
      <c r="U2452">
        <f t="shared" si="489"/>
        <v>0.45</v>
      </c>
      <c r="V2452">
        <f t="shared" si="485"/>
        <v>0.84499999999999986</v>
      </c>
    </row>
    <row r="2453" spans="1:22" x14ac:dyDescent="0.25">
      <c r="A2453" t="s">
        <v>4409</v>
      </c>
      <c r="B2453">
        <v>0</v>
      </c>
      <c r="C2453">
        <v>37.770000000000003</v>
      </c>
      <c r="E2453" t="s">
        <v>4409</v>
      </c>
      <c r="F2453">
        <v>0.15</v>
      </c>
      <c r="G2453">
        <v>118.89</v>
      </c>
      <c r="I2453" t="str" cm="1">
        <f t="array" ref="I2453:J2453">_xlfn.TEXTSPLIT(A2453," ")</f>
        <v>28.10.2023</v>
      </c>
      <c r="J2453" t="str">
        <v>16:55:39</v>
      </c>
      <c r="K2453">
        <f t="shared" si="490"/>
        <v>40.833333333332298</v>
      </c>
      <c r="L2453">
        <f t="shared" si="487"/>
        <v>23.450000000000003</v>
      </c>
      <c r="M2453">
        <f t="shared" si="488"/>
        <v>0</v>
      </c>
      <c r="N2453">
        <f t="shared" si="484"/>
        <v>0.49250000000000005</v>
      </c>
      <c r="Q2453" t="str" cm="1">
        <f t="array" ref="Q2453:R2453">_xlfn.TEXTSPLIT(E2453," ")</f>
        <v>28.10.2023</v>
      </c>
      <c r="R2453" t="str">
        <v>16:55:39</v>
      </c>
      <c r="S2453">
        <f t="shared" si="491"/>
        <v>40.833333333332298</v>
      </c>
      <c r="T2453">
        <f t="shared" si="486"/>
        <v>40.290000000000006</v>
      </c>
      <c r="U2453">
        <f t="shared" si="489"/>
        <v>0.15</v>
      </c>
      <c r="V2453">
        <f t="shared" si="485"/>
        <v>0.8424999999999998</v>
      </c>
    </row>
    <row r="2454" spans="1:22" x14ac:dyDescent="0.25">
      <c r="A2454" t="s">
        <v>4410</v>
      </c>
      <c r="B2454">
        <v>0</v>
      </c>
      <c r="C2454">
        <v>37.770000000000003</v>
      </c>
      <c r="E2454" t="s">
        <v>4410</v>
      </c>
      <c r="F2454">
        <v>0.45</v>
      </c>
      <c r="G2454">
        <v>118.9</v>
      </c>
      <c r="I2454" t="str" cm="1">
        <f t="array" ref="I2454:J2454">_xlfn.TEXTSPLIT(A2454," ")</f>
        <v>28.10.2023</v>
      </c>
      <c r="J2454" t="str">
        <v>16:56:39</v>
      </c>
      <c r="K2454">
        <f t="shared" si="490"/>
        <v>40.849999999998964</v>
      </c>
      <c r="L2454">
        <f t="shared" si="487"/>
        <v>23.450000000000003</v>
      </c>
      <c r="M2454">
        <f t="shared" si="488"/>
        <v>0</v>
      </c>
      <c r="N2454">
        <f t="shared" si="484"/>
        <v>0.49250000000000005</v>
      </c>
      <c r="Q2454" t="str" cm="1">
        <f t="array" ref="Q2454:R2454">_xlfn.TEXTSPLIT(E2454," ")</f>
        <v>28.10.2023</v>
      </c>
      <c r="R2454" t="str">
        <v>16:56:39</v>
      </c>
      <c r="S2454">
        <f t="shared" si="491"/>
        <v>40.849999999998964</v>
      </c>
      <c r="T2454">
        <f t="shared" si="486"/>
        <v>40.300000000000011</v>
      </c>
      <c r="U2454">
        <f t="shared" si="489"/>
        <v>0.45</v>
      </c>
      <c r="V2454">
        <f t="shared" si="485"/>
        <v>0.8424999999999998</v>
      </c>
    </row>
    <row r="2455" spans="1:22" x14ac:dyDescent="0.25">
      <c r="A2455" t="s">
        <v>4411</v>
      </c>
      <c r="B2455">
        <v>0</v>
      </c>
      <c r="C2455">
        <v>37.770000000000003</v>
      </c>
      <c r="E2455" t="s">
        <v>4411</v>
      </c>
      <c r="F2455">
        <v>0.3</v>
      </c>
      <c r="G2455">
        <v>118.91</v>
      </c>
      <c r="I2455" t="str" cm="1">
        <f t="array" ref="I2455:J2455">_xlfn.TEXTSPLIT(A2455," ")</f>
        <v>28.10.2023</v>
      </c>
      <c r="J2455" t="str">
        <v>16:57:39</v>
      </c>
      <c r="K2455">
        <f t="shared" si="490"/>
        <v>40.86666666666563</v>
      </c>
      <c r="L2455">
        <f t="shared" si="487"/>
        <v>23.450000000000003</v>
      </c>
      <c r="M2455">
        <f t="shared" si="488"/>
        <v>0</v>
      </c>
      <c r="N2455">
        <f t="shared" si="484"/>
        <v>0.49250000000000005</v>
      </c>
      <c r="Q2455" t="str" cm="1">
        <f t="array" ref="Q2455:R2455">_xlfn.TEXTSPLIT(E2455," ")</f>
        <v>28.10.2023</v>
      </c>
      <c r="R2455" t="str">
        <v>16:57:39</v>
      </c>
      <c r="S2455">
        <f t="shared" si="491"/>
        <v>40.86666666666563</v>
      </c>
      <c r="T2455">
        <f t="shared" si="486"/>
        <v>40.31</v>
      </c>
      <c r="U2455">
        <f t="shared" si="489"/>
        <v>0.3</v>
      </c>
      <c r="V2455">
        <f t="shared" si="485"/>
        <v>0.83999999999999986</v>
      </c>
    </row>
    <row r="2456" spans="1:22" x14ac:dyDescent="0.25">
      <c r="A2456" t="s">
        <v>4412</v>
      </c>
      <c r="B2456">
        <v>0</v>
      </c>
      <c r="C2456">
        <v>37.770000000000003</v>
      </c>
      <c r="E2456" t="s">
        <v>4412</v>
      </c>
      <c r="F2456">
        <v>0.45</v>
      </c>
      <c r="G2456">
        <v>118.92</v>
      </c>
      <c r="I2456" t="str" cm="1">
        <f t="array" ref="I2456:J2456">_xlfn.TEXTSPLIT(A2456," ")</f>
        <v>28.10.2023</v>
      </c>
      <c r="J2456" t="str">
        <v>16:58:39</v>
      </c>
      <c r="K2456">
        <f t="shared" si="490"/>
        <v>40.883333333332295</v>
      </c>
      <c r="L2456">
        <f t="shared" si="487"/>
        <v>23.450000000000003</v>
      </c>
      <c r="M2456">
        <f t="shared" si="488"/>
        <v>0</v>
      </c>
      <c r="N2456">
        <f t="shared" si="484"/>
        <v>0.49250000000000005</v>
      </c>
      <c r="Q2456" t="str" cm="1">
        <f t="array" ref="Q2456:R2456">_xlfn.TEXTSPLIT(E2456," ")</f>
        <v>28.10.2023</v>
      </c>
      <c r="R2456" t="str">
        <v>16:58:39</v>
      </c>
      <c r="S2456">
        <f t="shared" si="491"/>
        <v>40.883333333332295</v>
      </c>
      <c r="T2456">
        <f t="shared" si="486"/>
        <v>40.320000000000007</v>
      </c>
      <c r="U2456">
        <f t="shared" si="489"/>
        <v>0.45</v>
      </c>
      <c r="V2456">
        <f t="shared" si="485"/>
        <v>0.83499999999999985</v>
      </c>
    </row>
    <row r="2457" spans="1:22" x14ac:dyDescent="0.25">
      <c r="A2457" t="s">
        <v>4413</v>
      </c>
      <c r="B2457">
        <v>0.3</v>
      </c>
      <c r="C2457">
        <v>37.770000000000003</v>
      </c>
      <c r="E2457" t="s">
        <v>4413</v>
      </c>
      <c r="F2457">
        <v>0.6</v>
      </c>
      <c r="G2457">
        <v>118.93</v>
      </c>
      <c r="I2457" t="str" cm="1">
        <f t="array" ref="I2457:J2457">_xlfn.TEXTSPLIT(A2457," ")</f>
        <v>28.10.2023</v>
      </c>
      <c r="J2457" t="str">
        <v>16:59:39</v>
      </c>
      <c r="K2457">
        <f t="shared" si="490"/>
        <v>40.899999999998961</v>
      </c>
      <c r="L2457">
        <f t="shared" si="487"/>
        <v>23.450000000000003</v>
      </c>
      <c r="M2457">
        <f t="shared" si="488"/>
        <v>0.3</v>
      </c>
      <c r="N2457">
        <f t="shared" si="484"/>
        <v>0.49000000000000005</v>
      </c>
      <c r="Q2457" t="str" cm="1">
        <f t="array" ref="Q2457:R2457">_xlfn.TEXTSPLIT(E2457," ")</f>
        <v>28.10.2023</v>
      </c>
      <c r="R2457" t="str">
        <v>16:59:39</v>
      </c>
      <c r="S2457">
        <f t="shared" si="491"/>
        <v>40.899999999998961</v>
      </c>
      <c r="T2457">
        <f t="shared" si="486"/>
        <v>40.330000000000013</v>
      </c>
      <c r="U2457">
        <f t="shared" si="489"/>
        <v>0.6</v>
      </c>
      <c r="V2457">
        <f t="shared" si="485"/>
        <v>0.83250000000000002</v>
      </c>
    </row>
    <row r="2458" spans="1:22" x14ac:dyDescent="0.25">
      <c r="A2458" t="s">
        <v>4414</v>
      </c>
      <c r="B2458">
        <v>0.15</v>
      </c>
      <c r="C2458">
        <v>37.78</v>
      </c>
      <c r="E2458" t="s">
        <v>4414</v>
      </c>
      <c r="F2458">
        <v>0.6</v>
      </c>
      <c r="G2458">
        <v>118.94</v>
      </c>
      <c r="I2458" t="str" cm="1">
        <f t="array" ref="I2458:J2458">_xlfn.TEXTSPLIT(A2458," ")</f>
        <v>28.10.2023</v>
      </c>
      <c r="J2458" t="str">
        <v>17:00:39</v>
      </c>
      <c r="K2458">
        <f t="shared" si="490"/>
        <v>40.916666666665627</v>
      </c>
      <c r="L2458">
        <f t="shared" si="487"/>
        <v>23.46</v>
      </c>
      <c r="M2458">
        <f t="shared" si="488"/>
        <v>0.15</v>
      </c>
      <c r="N2458">
        <f t="shared" si="484"/>
        <v>0.48750000000000004</v>
      </c>
      <c r="Q2458" t="str" cm="1">
        <f t="array" ref="Q2458:R2458">_xlfn.TEXTSPLIT(E2458," ")</f>
        <v>28.10.2023</v>
      </c>
      <c r="R2458" t="str">
        <v>17:00:39</v>
      </c>
      <c r="S2458">
        <f t="shared" si="491"/>
        <v>40.916666666665627</v>
      </c>
      <c r="T2458">
        <f t="shared" si="486"/>
        <v>40.340000000000003</v>
      </c>
      <c r="U2458">
        <f t="shared" si="489"/>
        <v>0.6</v>
      </c>
      <c r="V2458">
        <f t="shared" si="485"/>
        <v>0.82750000000000012</v>
      </c>
    </row>
    <row r="2459" spans="1:22" x14ac:dyDescent="0.25">
      <c r="A2459" t="s">
        <v>4415</v>
      </c>
      <c r="B2459">
        <v>0.15</v>
      </c>
      <c r="C2459">
        <v>37.78</v>
      </c>
      <c r="E2459" t="s">
        <v>4415</v>
      </c>
      <c r="F2459">
        <v>1.2</v>
      </c>
      <c r="G2459">
        <v>118.96</v>
      </c>
      <c r="I2459" t="str" cm="1">
        <f t="array" ref="I2459:J2459">_xlfn.TEXTSPLIT(A2459," ")</f>
        <v>28.10.2023</v>
      </c>
      <c r="J2459" t="str">
        <v>17:01:40</v>
      </c>
      <c r="K2459">
        <f t="shared" si="490"/>
        <v>40.933333333332293</v>
      </c>
      <c r="L2459">
        <f t="shared" si="487"/>
        <v>23.46</v>
      </c>
      <c r="M2459">
        <f t="shared" si="488"/>
        <v>0.15</v>
      </c>
      <c r="N2459">
        <f t="shared" si="484"/>
        <v>0.48750000000000004</v>
      </c>
      <c r="Q2459" t="str" cm="1">
        <f t="array" ref="Q2459:R2459">_xlfn.TEXTSPLIT(E2459," ")</f>
        <v>28.10.2023</v>
      </c>
      <c r="R2459" t="str">
        <v>17:01:40</v>
      </c>
      <c r="S2459">
        <f t="shared" si="491"/>
        <v>40.933333333332293</v>
      </c>
      <c r="T2459">
        <f t="shared" si="486"/>
        <v>40.36</v>
      </c>
      <c r="U2459">
        <f t="shared" si="489"/>
        <v>1.2</v>
      </c>
      <c r="V2459">
        <f t="shared" si="485"/>
        <v>0.83250000000000002</v>
      </c>
    </row>
    <row r="2460" spans="1:22" x14ac:dyDescent="0.25">
      <c r="A2460" t="s">
        <v>4416</v>
      </c>
      <c r="B2460">
        <v>0.3</v>
      </c>
      <c r="C2460">
        <v>37.79</v>
      </c>
      <c r="E2460" t="s">
        <v>4416</v>
      </c>
      <c r="F2460">
        <v>0.9</v>
      </c>
      <c r="G2460">
        <v>118.98</v>
      </c>
      <c r="I2460" t="str" cm="1">
        <f t="array" ref="I2460:J2460">_xlfn.TEXTSPLIT(A2460," ")</f>
        <v>28.10.2023</v>
      </c>
      <c r="J2460" t="str">
        <v>17:02:40</v>
      </c>
      <c r="K2460">
        <f t="shared" si="490"/>
        <v>40.949999999998958</v>
      </c>
      <c r="L2460">
        <f t="shared" si="487"/>
        <v>23.47</v>
      </c>
      <c r="M2460">
        <f t="shared" si="488"/>
        <v>0.3</v>
      </c>
      <c r="N2460">
        <f t="shared" si="484"/>
        <v>0.4900000000000001</v>
      </c>
      <c r="Q2460" t="str" cm="1">
        <f t="array" ref="Q2460:R2460">_xlfn.TEXTSPLIT(E2460," ")</f>
        <v>28.10.2023</v>
      </c>
      <c r="R2460" t="str">
        <v>17:02:40</v>
      </c>
      <c r="S2460">
        <f t="shared" si="491"/>
        <v>40.949999999998958</v>
      </c>
      <c r="T2460">
        <f t="shared" si="486"/>
        <v>40.38000000000001</v>
      </c>
      <c r="U2460">
        <f t="shared" si="489"/>
        <v>0.9</v>
      </c>
      <c r="V2460">
        <f t="shared" si="485"/>
        <v>0.83750000000000002</v>
      </c>
    </row>
    <row r="2461" spans="1:22" x14ac:dyDescent="0.25">
      <c r="A2461" t="s">
        <v>4417</v>
      </c>
      <c r="B2461">
        <v>0.3</v>
      </c>
      <c r="C2461">
        <v>37.79</v>
      </c>
      <c r="E2461" t="s">
        <v>4417</v>
      </c>
      <c r="F2461">
        <v>0.75</v>
      </c>
      <c r="G2461">
        <v>118.99</v>
      </c>
      <c r="I2461" t="str" cm="1">
        <f t="array" ref="I2461:J2461">_xlfn.TEXTSPLIT(A2461," ")</f>
        <v>28.10.2023</v>
      </c>
      <c r="J2461" t="str">
        <v>17:03:40</v>
      </c>
      <c r="K2461">
        <f t="shared" si="490"/>
        <v>40.966666666665624</v>
      </c>
      <c r="L2461">
        <f t="shared" si="487"/>
        <v>23.47</v>
      </c>
      <c r="M2461">
        <f t="shared" si="488"/>
        <v>0.3</v>
      </c>
      <c r="N2461">
        <f t="shared" si="484"/>
        <v>0.49000000000000005</v>
      </c>
      <c r="Q2461" t="str" cm="1">
        <f t="array" ref="Q2461:R2461">_xlfn.TEXTSPLIT(E2461," ")</f>
        <v>28.10.2023</v>
      </c>
      <c r="R2461" t="str">
        <v>17:03:40</v>
      </c>
      <c r="S2461">
        <f t="shared" si="491"/>
        <v>40.966666666665624</v>
      </c>
      <c r="T2461">
        <f t="shared" si="486"/>
        <v>40.39</v>
      </c>
      <c r="U2461">
        <f t="shared" si="489"/>
        <v>0.75</v>
      </c>
      <c r="V2461">
        <f t="shared" si="485"/>
        <v>0.84</v>
      </c>
    </row>
    <row r="2462" spans="1:22" x14ac:dyDescent="0.25">
      <c r="A2462" t="s">
        <v>4418</v>
      </c>
      <c r="B2462">
        <v>0.15</v>
      </c>
      <c r="C2462">
        <v>37.799999999999997</v>
      </c>
      <c r="E2462" t="s">
        <v>4418</v>
      </c>
      <c r="F2462">
        <v>0.75</v>
      </c>
      <c r="G2462">
        <v>119</v>
      </c>
      <c r="I2462" t="str" cm="1">
        <f t="array" ref="I2462:J2462">_xlfn.TEXTSPLIT(A2462," ")</f>
        <v>28.10.2023</v>
      </c>
      <c r="J2462" t="str">
        <v>17:04:40</v>
      </c>
      <c r="K2462">
        <f t="shared" si="490"/>
        <v>40.98333333333229</v>
      </c>
      <c r="L2462">
        <f t="shared" si="487"/>
        <v>23.479999999999997</v>
      </c>
      <c r="M2462">
        <f t="shared" si="488"/>
        <v>0.15</v>
      </c>
      <c r="N2462">
        <f t="shared" si="484"/>
        <v>0.4850000000000001</v>
      </c>
      <c r="Q2462" t="str" cm="1">
        <f t="array" ref="Q2462:R2462">_xlfn.TEXTSPLIT(E2462," ")</f>
        <v>28.10.2023</v>
      </c>
      <c r="R2462" t="str">
        <v>17:04:40</v>
      </c>
      <c r="S2462">
        <f t="shared" si="491"/>
        <v>40.98333333333229</v>
      </c>
      <c r="T2462">
        <f t="shared" si="486"/>
        <v>40.400000000000006</v>
      </c>
      <c r="U2462">
        <f t="shared" si="489"/>
        <v>0.75</v>
      </c>
      <c r="V2462">
        <f t="shared" si="485"/>
        <v>0.84249999999999992</v>
      </c>
    </row>
    <row r="2463" spans="1:22" x14ac:dyDescent="0.25">
      <c r="A2463" t="s">
        <v>4419</v>
      </c>
      <c r="B2463">
        <v>0.45</v>
      </c>
      <c r="C2463">
        <v>37.799999999999997</v>
      </c>
      <c r="E2463" t="s">
        <v>4419</v>
      </c>
      <c r="F2463">
        <v>1.05</v>
      </c>
      <c r="G2463">
        <v>119.03</v>
      </c>
      <c r="I2463" t="str" cm="1">
        <f t="array" ref="I2463:J2463">_xlfn.TEXTSPLIT(A2463," ")</f>
        <v>28.10.2023</v>
      </c>
      <c r="J2463" t="str">
        <v>17:05:40</v>
      </c>
      <c r="K2463">
        <f t="shared" si="490"/>
        <v>40.999999999998956</v>
      </c>
      <c r="L2463">
        <f t="shared" si="487"/>
        <v>23.479999999999997</v>
      </c>
      <c r="M2463">
        <f t="shared" si="488"/>
        <v>0.45</v>
      </c>
      <c r="N2463">
        <f t="shared" si="484"/>
        <v>0.49000000000000005</v>
      </c>
      <c r="Q2463" t="str" cm="1">
        <f t="array" ref="Q2463:R2463">_xlfn.TEXTSPLIT(E2463," ")</f>
        <v>28.10.2023</v>
      </c>
      <c r="R2463" t="str">
        <v>17:05:40</v>
      </c>
      <c r="S2463">
        <f t="shared" si="491"/>
        <v>40.999999999998956</v>
      </c>
      <c r="T2463">
        <f t="shared" si="486"/>
        <v>40.430000000000007</v>
      </c>
      <c r="U2463">
        <f t="shared" si="489"/>
        <v>1.05</v>
      </c>
      <c r="V2463">
        <f t="shared" si="485"/>
        <v>0.84249999999999992</v>
      </c>
    </row>
    <row r="2464" spans="1:22" x14ac:dyDescent="0.25">
      <c r="A2464" t="s">
        <v>4420</v>
      </c>
      <c r="B2464">
        <v>0.3</v>
      </c>
      <c r="C2464">
        <v>37.83</v>
      </c>
      <c r="E2464" t="s">
        <v>4420</v>
      </c>
      <c r="F2464">
        <v>1.65</v>
      </c>
      <c r="G2464">
        <v>119.07</v>
      </c>
      <c r="I2464" t="str" cm="1">
        <f t="array" ref="I2464:J2464">_xlfn.TEXTSPLIT(A2464," ")</f>
        <v>28.10.2023</v>
      </c>
      <c r="J2464" t="str">
        <v>17:06:40</v>
      </c>
      <c r="K2464">
        <f t="shared" si="490"/>
        <v>41.016666666665621</v>
      </c>
      <c r="L2464">
        <f t="shared" si="487"/>
        <v>23.509999999999998</v>
      </c>
      <c r="M2464">
        <f t="shared" si="488"/>
        <v>0.3</v>
      </c>
      <c r="N2464">
        <f t="shared" si="484"/>
        <v>0.48750000000000004</v>
      </c>
      <c r="Q2464" t="str" cm="1">
        <f t="array" ref="Q2464:R2464">_xlfn.TEXTSPLIT(E2464," ")</f>
        <v>28.10.2023</v>
      </c>
      <c r="R2464" t="str">
        <v>17:06:40</v>
      </c>
      <c r="S2464">
        <f t="shared" si="491"/>
        <v>41.016666666665621</v>
      </c>
      <c r="T2464">
        <f t="shared" si="486"/>
        <v>40.47</v>
      </c>
      <c r="U2464">
        <f t="shared" si="489"/>
        <v>1.65</v>
      </c>
      <c r="V2464">
        <f t="shared" si="485"/>
        <v>0.82750000000000001</v>
      </c>
    </row>
    <row r="2465" spans="1:22" x14ac:dyDescent="0.25">
      <c r="A2465" t="s">
        <v>4421</v>
      </c>
      <c r="B2465">
        <v>1.95</v>
      </c>
      <c r="C2465">
        <v>37.86</v>
      </c>
      <c r="E2465" t="s">
        <v>4421</v>
      </c>
      <c r="F2465">
        <v>2.7</v>
      </c>
      <c r="G2465">
        <v>119.11</v>
      </c>
      <c r="I2465" t="str" cm="1">
        <f t="array" ref="I2465:J2465">_xlfn.TEXTSPLIT(A2465," ")</f>
        <v>28.10.2023</v>
      </c>
      <c r="J2465" t="str">
        <v>17:07:40</v>
      </c>
      <c r="K2465">
        <f t="shared" si="490"/>
        <v>41.033333333332287</v>
      </c>
      <c r="L2465">
        <f t="shared" si="487"/>
        <v>23.54</v>
      </c>
      <c r="M2465">
        <f t="shared" si="488"/>
        <v>1.95</v>
      </c>
      <c r="N2465">
        <f t="shared" si="484"/>
        <v>0.48749999999999999</v>
      </c>
      <c r="Q2465" t="str" cm="1">
        <f t="array" ref="Q2465:R2465">_xlfn.TEXTSPLIT(E2465," ")</f>
        <v>28.10.2023</v>
      </c>
      <c r="R2465" t="str">
        <v>17:07:40</v>
      </c>
      <c r="S2465">
        <f t="shared" si="491"/>
        <v>41.033333333332287</v>
      </c>
      <c r="T2465">
        <f t="shared" si="486"/>
        <v>40.510000000000005</v>
      </c>
      <c r="U2465">
        <f t="shared" si="489"/>
        <v>2.7</v>
      </c>
      <c r="V2465">
        <f t="shared" si="485"/>
        <v>0.82750000000000001</v>
      </c>
    </row>
    <row r="2466" spans="1:22" x14ac:dyDescent="0.25">
      <c r="A2466" t="s">
        <v>4422</v>
      </c>
      <c r="B2466">
        <v>2.1</v>
      </c>
      <c r="C2466">
        <v>37.89</v>
      </c>
      <c r="E2466" t="s">
        <v>4422</v>
      </c>
      <c r="F2466">
        <v>2.1</v>
      </c>
      <c r="G2466">
        <v>119.13</v>
      </c>
      <c r="I2466" t="str" cm="1">
        <f t="array" ref="I2466:J2466">_xlfn.TEXTSPLIT(A2466," ")</f>
        <v>28.10.2023</v>
      </c>
      <c r="J2466" t="str">
        <v>17:08:41</v>
      </c>
      <c r="K2466">
        <f t="shared" si="490"/>
        <v>41.049999999998953</v>
      </c>
      <c r="L2466">
        <f t="shared" si="487"/>
        <v>23.57</v>
      </c>
      <c r="M2466">
        <f t="shared" si="488"/>
        <v>2.1</v>
      </c>
      <c r="N2466">
        <f t="shared" si="484"/>
        <v>0.48750000000000004</v>
      </c>
      <c r="Q2466" t="str" cm="1">
        <f t="array" ref="Q2466:R2466">_xlfn.TEXTSPLIT(E2466," ")</f>
        <v>28.10.2023</v>
      </c>
      <c r="R2466" t="str">
        <v>17:08:41</v>
      </c>
      <c r="S2466">
        <f t="shared" si="491"/>
        <v>41.049999999998953</v>
      </c>
      <c r="T2466">
        <f t="shared" si="486"/>
        <v>40.53</v>
      </c>
      <c r="U2466">
        <f t="shared" si="489"/>
        <v>2.1</v>
      </c>
      <c r="V2466">
        <f t="shared" si="485"/>
        <v>0.83750000000000002</v>
      </c>
    </row>
    <row r="2467" spans="1:22" x14ac:dyDescent="0.25">
      <c r="A2467" t="s">
        <v>4423</v>
      </c>
      <c r="B2467">
        <v>1.5</v>
      </c>
      <c r="C2467">
        <v>37.9</v>
      </c>
      <c r="E2467" t="s">
        <v>4423</v>
      </c>
      <c r="F2467">
        <v>1.2</v>
      </c>
      <c r="G2467">
        <v>119.15</v>
      </c>
      <c r="I2467" t="str" cm="1">
        <f t="array" ref="I2467:J2467">_xlfn.TEXTSPLIT(A2467," ")</f>
        <v>28.10.2023</v>
      </c>
      <c r="J2467" t="str">
        <v>17:09:41</v>
      </c>
      <c r="K2467">
        <f t="shared" si="490"/>
        <v>41.066666666665618</v>
      </c>
      <c r="L2467">
        <f t="shared" si="487"/>
        <v>23.58</v>
      </c>
      <c r="M2467">
        <f t="shared" si="488"/>
        <v>1.5</v>
      </c>
      <c r="N2467">
        <f t="shared" si="484"/>
        <v>0.49250000000000005</v>
      </c>
      <c r="Q2467" t="str" cm="1">
        <f t="array" ref="Q2467:R2467">_xlfn.TEXTSPLIT(E2467," ")</f>
        <v>28.10.2023</v>
      </c>
      <c r="R2467" t="str">
        <v>17:09:41</v>
      </c>
      <c r="S2467">
        <f t="shared" si="491"/>
        <v>41.066666666665618</v>
      </c>
      <c r="T2467">
        <f t="shared" si="486"/>
        <v>40.550000000000011</v>
      </c>
      <c r="U2467">
        <f t="shared" si="489"/>
        <v>1.2</v>
      </c>
      <c r="V2467">
        <f t="shared" si="485"/>
        <v>0.84249999999999992</v>
      </c>
    </row>
    <row r="2468" spans="1:22" x14ac:dyDescent="0.25">
      <c r="A2468" t="s">
        <v>4424</v>
      </c>
      <c r="B2468">
        <v>1.05</v>
      </c>
      <c r="C2468">
        <v>37.92</v>
      </c>
      <c r="E2468" t="s">
        <v>4424</v>
      </c>
      <c r="F2468">
        <v>1.05</v>
      </c>
      <c r="G2468">
        <v>119.18</v>
      </c>
      <c r="I2468" t="str" cm="1">
        <f t="array" ref="I2468:J2468">_xlfn.TEXTSPLIT(A2468," ")</f>
        <v>28.10.2023</v>
      </c>
      <c r="J2468" t="str">
        <v>17:10:41</v>
      </c>
      <c r="K2468">
        <f t="shared" si="490"/>
        <v>41.083333333332284</v>
      </c>
      <c r="L2468">
        <f t="shared" si="487"/>
        <v>23.6</v>
      </c>
      <c r="M2468">
        <f t="shared" si="488"/>
        <v>1.05</v>
      </c>
      <c r="N2468">
        <f t="shared" si="484"/>
        <v>0.49500000000000011</v>
      </c>
      <c r="Q2468" t="str" cm="1">
        <f t="array" ref="Q2468:R2468">_xlfn.TEXTSPLIT(E2468," ")</f>
        <v>28.10.2023</v>
      </c>
      <c r="R2468" t="str">
        <v>17:10:41</v>
      </c>
      <c r="S2468">
        <f t="shared" si="491"/>
        <v>41.083333333332284</v>
      </c>
      <c r="T2468">
        <f t="shared" si="486"/>
        <v>40.580000000000013</v>
      </c>
      <c r="U2468">
        <f t="shared" si="489"/>
        <v>1.05</v>
      </c>
      <c r="V2468">
        <f t="shared" si="485"/>
        <v>0.84249999999999992</v>
      </c>
    </row>
    <row r="2469" spans="1:22" x14ac:dyDescent="0.25">
      <c r="A2469" t="s">
        <v>4425</v>
      </c>
      <c r="B2469">
        <v>1.05</v>
      </c>
      <c r="C2469">
        <v>37.94</v>
      </c>
      <c r="E2469" t="s">
        <v>4425</v>
      </c>
      <c r="F2469">
        <v>1.65</v>
      </c>
      <c r="G2469">
        <v>119.21</v>
      </c>
      <c r="I2469" t="str" cm="1">
        <f t="array" ref="I2469:J2469">_xlfn.TEXTSPLIT(A2469," ")</f>
        <v>28.10.2023</v>
      </c>
      <c r="J2469" t="str">
        <v>17:11:41</v>
      </c>
      <c r="K2469">
        <f t="shared" si="490"/>
        <v>41.09999999999895</v>
      </c>
      <c r="L2469">
        <f t="shared" si="487"/>
        <v>23.619999999999997</v>
      </c>
      <c r="M2469">
        <f t="shared" si="488"/>
        <v>1.05</v>
      </c>
      <c r="N2469">
        <f t="shared" si="484"/>
        <v>0.50250000000000006</v>
      </c>
      <c r="Q2469" t="str" cm="1">
        <f t="array" ref="Q2469:R2469">_xlfn.TEXTSPLIT(E2469," ")</f>
        <v>28.10.2023</v>
      </c>
      <c r="R2469" t="str">
        <v>17:11:41</v>
      </c>
      <c r="S2469">
        <f t="shared" si="491"/>
        <v>41.09999999999895</v>
      </c>
      <c r="T2469">
        <f t="shared" si="486"/>
        <v>40.61</v>
      </c>
      <c r="U2469">
        <f t="shared" si="489"/>
        <v>1.65</v>
      </c>
      <c r="V2469">
        <f t="shared" si="485"/>
        <v>0.85249999999999992</v>
      </c>
    </row>
    <row r="2470" spans="1:22" x14ac:dyDescent="0.25">
      <c r="A2470" t="s">
        <v>4426</v>
      </c>
      <c r="B2470">
        <v>0.9</v>
      </c>
      <c r="C2470">
        <v>37.96</v>
      </c>
      <c r="E2470" t="s">
        <v>4426</v>
      </c>
      <c r="F2470">
        <v>1.65</v>
      </c>
      <c r="G2470">
        <v>119.24</v>
      </c>
      <c r="I2470" t="str" cm="1">
        <f t="array" ref="I2470:J2470">_xlfn.TEXTSPLIT(A2470," ")</f>
        <v>28.10.2023</v>
      </c>
      <c r="J2470" t="str">
        <v>17:12:41</v>
      </c>
      <c r="K2470">
        <f t="shared" si="490"/>
        <v>41.116666666665616</v>
      </c>
      <c r="L2470">
        <f t="shared" si="487"/>
        <v>23.64</v>
      </c>
      <c r="M2470">
        <f t="shared" si="488"/>
        <v>0.9</v>
      </c>
      <c r="N2470">
        <f t="shared" si="484"/>
        <v>0.50750000000000006</v>
      </c>
      <c r="Q2470" t="str" cm="1">
        <f t="array" ref="Q2470:R2470">_xlfn.TEXTSPLIT(E2470," ")</f>
        <v>28.10.2023</v>
      </c>
      <c r="R2470" t="str">
        <v>17:12:41</v>
      </c>
      <c r="S2470">
        <f t="shared" si="491"/>
        <v>41.116666666665616</v>
      </c>
      <c r="T2470">
        <f t="shared" si="486"/>
        <v>40.64</v>
      </c>
      <c r="U2470">
        <f t="shared" si="489"/>
        <v>1.65</v>
      </c>
      <c r="V2470">
        <f t="shared" si="485"/>
        <v>0.86250000000000004</v>
      </c>
    </row>
    <row r="2471" spans="1:22" x14ac:dyDescent="0.25">
      <c r="A2471" t="s">
        <v>4427</v>
      </c>
      <c r="B2471">
        <v>1.05</v>
      </c>
      <c r="C2471">
        <v>37.979999999999997</v>
      </c>
      <c r="E2471" t="s">
        <v>4427</v>
      </c>
      <c r="F2471">
        <v>1.5</v>
      </c>
      <c r="G2471">
        <v>119.25</v>
      </c>
      <c r="I2471" t="str" cm="1">
        <f t="array" ref="I2471:J2471">_xlfn.TEXTSPLIT(A2471," ")</f>
        <v>28.10.2023</v>
      </c>
      <c r="J2471" t="str">
        <v>17:13:41</v>
      </c>
      <c r="K2471">
        <f t="shared" si="490"/>
        <v>41.133333333332281</v>
      </c>
      <c r="L2471">
        <f t="shared" si="487"/>
        <v>23.659999999999997</v>
      </c>
      <c r="M2471">
        <f t="shared" si="488"/>
        <v>1.05</v>
      </c>
      <c r="N2471">
        <f t="shared" si="484"/>
        <v>0.51500000000000001</v>
      </c>
      <c r="Q2471" t="str" cm="1">
        <f t="array" ref="Q2471:R2471">_xlfn.TEXTSPLIT(E2471," ")</f>
        <v>28.10.2023</v>
      </c>
      <c r="R2471" t="str">
        <v>17:13:41</v>
      </c>
      <c r="S2471">
        <f t="shared" si="491"/>
        <v>41.133333333332281</v>
      </c>
      <c r="T2471">
        <f t="shared" si="486"/>
        <v>40.650000000000006</v>
      </c>
      <c r="U2471">
        <f t="shared" si="489"/>
        <v>1.5</v>
      </c>
      <c r="V2471">
        <f t="shared" si="485"/>
        <v>0.86749999999999983</v>
      </c>
    </row>
    <row r="2472" spans="1:22" x14ac:dyDescent="0.25">
      <c r="A2472" t="s">
        <v>4428</v>
      </c>
      <c r="B2472">
        <v>1.05</v>
      </c>
      <c r="C2472">
        <v>37.99</v>
      </c>
      <c r="E2472" t="s">
        <v>4428</v>
      </c>
      <c r="F2472">
        <v>0.9</v>
      </c>
      <c r="G2472">
        <v>119.26</v>
      </c>
      <c r="I2472" t="str" cm="1">
        <f t="array" ref="I2472:J2472">_xlfn.TEXTSPLIT(A2472," ")</f>
        <v>28.10.2023</v>
      </c>
      <c r="J2472" t="str">
        <v>17:14:42</v>
      </c>
      <c r="K2472">
        <f t="shared" si="490"/>
        <v>41.149999999998947</v>
      </c>
      <c r="L2472">
        <f t="shared" si="487"/>
        <v>23.67</v>
      </c>
      <c r="M2472">
        <f t="shared" si="488"/>
        <v>1.05</v>
      </c>
      <c r="N2472">
        <f t="shared" si="484"/>
        <v>0.52</v>
      </c>
      <c r="Q2472" t="str" cm="1">
        <f t="array" ref="Q2472:R2472">_xlfn.TEXTSPLIT(E2472," ")</f>
        <v>28.10.2023</v>
      </c>
      <c r="R2472" t="str">
        <v>17:14:42</v>
      </c>
      <c r="S2472">
        <f t="shared" si="491"/>
        <v>41.149999999998947</v>
      </c>
      <c r="T2472">
        <f t="shared" si="486"/>
        <v>40.660000000000011</v>
      </c>
      <c r="U2472">
        <f t="shared" si="489"/>
        <v>0.9</v>
      </c>
      <c r="V2472">
        <f t="shared" si="485"/>
        <v>0.86999999999999977</v>
      </c>
    </row>
    <row r="2473" spans="1:22" x14ac:dyDescent="0.25">
      <c r="A2473" t="s">
        <v>4429</v>
      </c>
      <c r="B2473">
        <v>0.45</v>
      </c>
      <c r="C2473">
        <v>38</v>
      </c>
      <c r="E2473" t="s">
        <v>4429</v>
      </c>
      <c r="F2473">
        <v>0.9</v>
      </c>
      <c r="G2473">
        <v>119.28</v>
      </c>
      <c r="I2473" t="str" cm="1">
        <f t="array" ref="I2473:J2473">_xlfn.TEXTSPLIT(A2473," ")</f>
        <v>28.10.2023</v>
      </c>
      <c r="J2473" t="str">
        <v>17:15:42</v>
      </c>
      <c r="K2473">
        <f t="shared" si="490"/>
        <v>41.166666666665613</v>
      </c>
      <c r="L2473">
        <f t="shared" si="487"/>
        <v>23.68</v>
      </c>
      <c r="M2473">
        <f t="shared" si="488"/>
        <v>0.45</v>
      </c>
      <c r="N2473">
        <f t="shared" si="484"/>
        <v>0.51750000000000007</v>
      </c>
      <c r="Q2473" t="str" cm="1">
        <f t="array" ref="Q2473:R2473">_xlfn.TEXTSPLIT(E2473," ")</f>
        <v>28.10.2023</v>
      </c>
      <c r="R2473" t="str">
        <v>17:15:42</v>
      </c>
      <c r="S2473">
        <f t="shared" si="491"/>
        <v>41.166666666665613</v>
      </c>
      <c r="T2473">
        <f t="shared" si="486"/>
        <v>40.680000000000007</v>
      </c>
      <c r="U2473">
        <f t="shared" si="489"/>
        <v>0.9</v>
      </c>
      <c r="V2473">
        <f t="shared" si="485"/>
        <v>0.87499999999999978</v>
      </c>
    </row>
    <row r="2474" spans="1:22" x14ac:dyDescent="0.25">
      <c r="A2474" t="s">
        <v>4430</v>
      </c>
      <c r="B2474">
        <v>0.75</v>
      </c>
      <c r="C2474">
        <v>38</v>
      </c>
      <c r="E2474" t="s">
        <v>4430</v>
      </c>
      <c r="F2474">
        <v>0.75</v>
      </c>
      <c r="G2474">
        <v>119.29</v>
      </c>
      <c r="I2474" t="str" cm="1">
        <f t="array" ref="I2474:J2474">_xlfn.TEXTSPLIT(A2474," ")</f>
        <v>28.10.2023</v>
      </c>
      <c r="J2474" t="str">
        <v>17:16:42</v>
      </c>
      <c r="K2474">
        <f t="shared" si="490"/>
        <v>41.183333333332278</v>
      </c>
      <c r="L2474">
        <f t="shared" si="487"/>
        <v>23.68</v>
      </c>
      <c r="M2474">
        <f t="shared" si="488"/>
        <v>0.75</v>
      </c>
      <c r="N2474">
        <f t="shared" si="484"/>
        <v>0.51749999999999996</v>
      </c>
      <c r="Q2474" t="str" cm="1">
        <f t="array" ref="Q2474:R2474">_xlfn.TEXTSPLIT(E2474," ")</f>
        <v>28.10.2023</v>
      </c>
      <c r="R2474" t="str">
        <v>17:16:42</v>
      </c>
      <c r="S2474">
        <f t="shared" si="491"/>
        <v>41.183333333332278</v>
      </c>
      <c r="T2474">
        <f t="shared" si="486"/>
        <v>40.690000000000012</v>
      </c>
      <c r="U2474">
        <f t="shared" si="489"/>
        <v>0.75</v>
      </c>
      <c r="V2474">
        <f t="shared" si="485"/>
        <v>0.87749999999999972</v>
      </c>
    </row>
    <row r="2475" spans="1:22" x14ac:dyDescent="0.25">
      <c r="A2475" t="s">
        <v>4431</v>
      </c>
      <c r="B2475">
        <v>0.3</v>
      </c>
      <c r="C2475">
        <v>38.01</v>
      </c>
      <c r="E2475" t="s">
        <v>4431</v>
      </c>
      <c r="F2475">
        <v>1.05</v>
      </c>
      <c r="G2475">
        <v>119.31</v>
      </c>
      <c r="I2475" t="str" cm="1">
        <f t="array" ref="I2475:J2475">_xlfn.TEXTSPLIT(A2475," ")</f>
        <v>28.10.2023</v>
      </c>
      <c r="J2475" t="str">
        <v>17:17:42</v>
      </c>
      <c r="K2475">
        <f t="shared" si="490"/>
        <v>41.199999999998944</v>
      </c>
      <c r="L2475">
        <f t="shared" si="487"/>
        <v>23.689999999999998</v>
      </c>
      <c r="M2475">
        <f t="shared" si="488"/>
        <v>0.3</v>
      </c>
      <c r="N2475">
        <f t="shared" si="484"/>
        <v>0.51249999999999996</v>
      </c>
      <c r="Q2475" t="str" cm="1">
        <f t="array" ref="Q2475:R2475">_xlfn.TEXTSPLIT(E2475," ")</f>
        <v>28.10.2023</v>
      </c>
      <c r="R2475" t="str">
        <v>17:17:42</v>
      </c>
      <c r="S2475">
        <f t="shared" si="491"/>
        <v>41.199999999998944</v>
      </c>
      <c r="T2475">
        <f t="shared" si="486"/>
        <v>40.710000000000008</v>
      </c>
      <c r="U2475">
        <f t="shared" si="489"/>
        <v>1.05</v>
      </c>
      <c r="V2475">
        <f t="shared" si="485"/>
        <v>0.88249999999999973</v>
      </c>
    </row>
    <row r="2476" spans="1:22" x14ac:dyDescent="0.25">
      <c r="A2476" t="s">
        <v>4432</v>
      </c>
      <c r="B2476">
        <v>0.6</v>
      </c>
      <c r="C2476">
        <v>38.020000000000003</v>
      </c>
      <c r="E2476" t="s">
        <v>4432</v>
      </c>
      <c r="F2476">
        <v>1.05</v>
      </c>
      <c r="G2476">
        <v>119.33</v>
      </c>
      <c r="I2476" t="str" cm="1">
        <f t="array" ref="I2476:J2476">_xlfn.TEXTSPLIT(A2476," ")</f>
        <v>28.10.2023</v>
      </c>
      <c r="J2476" t="str">
        <v>17:18:42</v>
      </c>
      <c r="K2476">
        <f t="shared" si="490"/>
        <v>41.21666666666561</v>
      </c>
      <c r="L2476">
        <f t="shared" si="487"/>
        <v>23.700000000000003</v>
      </c>
      <c r="M2476">
        <f t="shared" si="488"/>
        <v>0.6</v>
      </c>
      <c r="N2476">
        <f t="shared" si="484"/>
        <v>0.51500000000000001</v>
      </c>
      <c r="Q2476" t="str" cm="1">
        <f t="array" ref="Q2476:R2476">_xlfn.TEXTSPLIT(E2476," ")</f>
        <v>28.10.2023</v>
      </c>
      <c r="R2476" t="str">
        <v>17:18:42</v>
      </c>
      <c r="S2476">
        <f t="shared" si="491"/>
        <v>41.21666666666561</v>
      </c>
      <c r="T2476">
        <f t="shared" si="486"/>
        <v>40.730000000000004</v>
      </c>
      <c r="U2476">
        <f t="shared" si="489"/>
        <v>1.05</v>
      </c>
      <c r="V2476">
        <f t="shared" si="485"/>
        <v>0.88999999999999957</v>
      </c>
    </row>
    <row r="2477" spans="1:22" x14ac:dyDescent="0.25">
      <c r="A2477" t="s">
        <v>4433</v>
      </c>
      <c r="B2477">
        <v>0.3</v>
      </c>
      <c r="C2477">
        <v>38.020000000000003</v>
      </c>
      <c r="E2477" t="s">
        <v>4433</v>
      </c>
      <c r="F2477">
        <v>1.05</v>
      </c>
      <c r="G2477">
        <v>119.34</v>
      </c>
      <c r="I2477" t="str" cm="1">
        <f t="array" ref="I2477:J2477">_xlfn.TEXTSPLIT(A2477," ")</f>
        <v>28.10.2023</v>
      </c>
      <c r="J2477" t="str">
        <v>17:19:42</v>
      </c>
      <c r="K2477">
        <f t="shared" si="490"/>
        <v>41.233333333332276</v>
      </c>
      <c r="L2477">
        <f t="shared" si="487"/>
        <v>23.700000000000003</v>
      </c>
      <c r="M2477">
        <f t="shared" si="488"/>
        <v>0.3</v>
      </c>
      <c r="N2477">
        <f t="shared" si="484"/>
        <v>0.51500000000000001</v>
      </c>
      <c r="Q2477" t="str" cm="1">
        <f t="array" ref="Q2477:R2477">_xlfn.TEXTSPLIT(E2477," ")</f>
        <v>28.10.2023</v>
      </c>
      <c r="R2477" t="str">
        <v>17:19:42</v>
      </c>
      <c r="S2477">
        <f t="shared" si="491"/>
        <v>41.233333333332276</v>
      </c>
      <c r="T2477">
        <f t="shared" si="486"/>
        <v>40.740000000000009</v>
      </c>
      <c r="U2477">
        <f t="shared" si="489"/>
        <v>1.05</v>
      </c>
      <c r="V2477">
        <f t="shared" si="485"/>
        <v>0.89249999999999963</v>
      </c>
    </row>
    <row r="2478" spans="1:22" x14ac:dyDescent="0.25">
      <c r="A2478" t="s">
        <v>4434</v>
      </c>
      <c r="B2478">
        <v>0.3</v>
      </c>
      <c r="C2478">
        <v>38.03</v>
      </c>
      <c r="E2478" t="s">
        <v>4434</v>
      </c>
      <c r="F2478">
        <v>0.75</v>
      </c>
      <c r="G2478">
        <v>119.35</v>
      </c>
      <c r="I2478" t="str" cm="1">
        <f t="array" ref="I2478:J2478">_xlfn.TEXTSPLIT(A2478," ")</f>
        <v>28.10.2023</v>
      </c>
      <c r="J2478" t="str">
        <v>17:20:42</v>
      </c>
      <c r="K2478">
        <f t="shared" si="490"/>
        <v>41.249999999998941</v>
      </c>
      <c r="L2478">
        <f t="shared" si="487"/>
        <v>23.71</v>
      </c>
      <c r="M2478">
        <f t="shared" si="488"/>
        <v>0.3</v>
      </c>
      <c r="N2478">
        <f t="shared" si="484"/>
        <v>0.51500000000000012</v>
      </c>
      <c r="Q2478" t="str" cm="1">
        <f t="array" ref="Q2478:R2478">_xlfn.TEXTSPLIT(E2478," ")</f>
        <v>28.10.2023</v>
      </c>
      <c r="R2478" t="str">
        <v>17:20:42</v>
      </c>
      <c r="S2478">
        <f t="shared" si="491"/>
        <v>41.249999999998941</v>
      </c>
      <c r="T2478">
        <f t="shared" si="486"/>
        <v>40.75</v>
      </c>
      <c r="U2478">
        <f t="shared" si="489"/>
        <v>0.75</v>
      </c>
      <c r="V2478">
        <f t="shared" si="485"/>
        <v>0.88999999999999957</v>
      </c>
    </row>
    <row r="2479" spans="1:22" x14ac:dyDescent="0.25">
      <c r="A2479" t="s">
        <v>4435</v>
      </c>
      <c r="B2479">
        <v>0.6</v>
      </c>
      <c r="C2479">
        <v>38.04</v>
      </c>
      <c r="E2479" t="s">
        <v>4435</v>
      </c>
      <c r="F2479">
        <v>0.3</v>
      </c>
      <c r="G2479">
        <v>119.35</v>
      </c>
      <c r="I2479" t="str" cm="1">
        <f t="array" ref="I2479:J2479">_xlfn.TEXTSPLIT(A2479," ")</f>
        <v>28.10.2023</v>
      </c>
      <c r="J2479" t="str">
        <v>17:21:43</v>
      </c>
      <c r="K2479">
        <f t="shared" si="490"/>
        <v>41.266666666665607</v>
      </c>
      <c r="L2479">
        <f t="shared" si="487"/>
        <v>23.72</v>
      </c>
      <c r="M2479">
        <f t="shared" si="488"/>
        <v>0.6</v>
      </c>
      <c r="N2479">
        <f t="shared" si="484"/>
        <v>0.52000000000000013</v>
      </c>
      <c r="Q2479" t="str" cm="1">
        <f t="array" ref="Q2479:R2479">_xlfn.TEXTSPLIT(E2479," ")</f>
        <v>28.10.2023</v>
      </c>
      <c r="R2479" t="str">
        <v>17:21:43</v>
      </c>
      <c r="S2479">
        <f t="shared" si="491"/>
        <v>41.266666666665607</v>
      </c>
      <c r="T2479">
        <f t="shared" si="486"/>
        <v>40.75</v>
      </c>
      <c r="U2479">
        <f t="shared" si="489"/>
        <v>0.3</v>
      </c>
      <c r="V2479">
        <f t="shared" si="485"/>
        <v>0.89499999999999957</v>
      </c>
    </row>
    <row r="2480" spans="1:22" x14ac:dyDescent="0.25">
      <c r="A2480" t="s">
        <v>4436</v>
      </c>
      <c r="B2480">
        <v>0</v>
      </c>
      <c r="C2480">
        <v>38.04</v>
      </c>
      <c r="E2480" t="s">
        <v>4436</v>
      </c>
      <c r="F2480">
        <v>0.15</v>
      </c>
      <c r="G2480">
        <v>119.35</v>
      </c>
      <c r="I2480" t="str" cm="1">
        <f t="array" ref="I2480:J2480">_xlfn.TEXTSPLIT(A2480," ")</f>
        <v>28.10.2023</v>
      </c>
      <c r="J2480" t="str">
        <v>17:22:43</v>
      </c>
      <c r="K2480">
        <f t="shared" si="490"/>
        <v>41.283333333332273</v>
      </c>
      <c r="L2480">
        <f t="shared" si="487"/>
        <v>23.72</v>
      </c>
      <c r="M2480">
        <f t="shared" si="488"/>
        <v>0</v>
      </c>
      <c r="N2480">
        <f t="shared" si="484"/>
        <v>0.52000000000000013</v>
      </c>
      <c r="Q2480" t="str" cm="1">
        <f t="array" ref="Q2480:R2480">_xlfn.TEXTSPLIT(E2480," ")</f>
        <v>28.10.2023</v>
      </c>
      <c r="R2480" t="str">
        <v>17:22:43</v>
      </c>
      <c r="S2480">
        <f t="shared" si="491"/>
        <v>41.283333333332273</v>
      </c>
      <c r="T2480">
        <f t="shared" si="486"/>
        <v>40.75</v>
      </c>
      <c r="U2480">
        <f t="shared" si="489"/>
        <v>0.15</v>
      </c>
      <c r="V2480">
        <f t="shared" si="485"/>
        <v>0.88749999999999951</v>
      </c>
    </row>
    <row r="2481" spans="1:22" x14ac:dyDescent="0.25">
      <c r="A2481" t="s">
        <v>4437</v>
      </c>
      <c r="B2481">
        <v>0</v>
      </c>
      <c r="C2481">
        <v>38.04</v>
      </c>
      <c r="E2481" t="s">
        <v>4437</v>
      </c>
      <c r="F2481">
        <v>0.3</v>
      </c>
      <c r="G2481">
        <v>119.36</v>
      </c>
      <c r="I2481" t="str" cm="1">
        <f t="array" ref="I2481:J2481">_xlfn.TEXTSPLIT(A2481," ")</f>
        <v>28.10.2023</v>
      </c>
      <c r="J2481" t="str">
        <v>17:23:43</v>
      </c>
      <c r="K2481">
        <f t="shared" si="490"/>
        <v>41.299999999998938</v>
      </c>
      <c r="L2481">
        <f t="shared" si="487"/>
        <v>23.72</v>
      </c>
      <c r="M2481">
        <f t="shared" si="488"/>
        <v>0</v>
      </c>
      <c r="N2481">
        <f t="shared" si="484"/>
        <v>0.52000000000000013</v>
      </c>
      <c r="Q2481" t="str" cm="1">
        <f t="array" ref="Q2481:R2481">_xlfn.TEXTSPLIT(E2481," ")</f>
        <v>28.10.2023</v>
      </c>
      <c r="R2481" t="str">
        <v>17:23:43</v>
      </c>
      <c r="S2481">
        <f t="shared" si="491"/>
        <v>41.299999999998938</v>
      </c>
      <c r="T2481">
        <f t="shared" si="486"/>
        <v>40.760000000000005</v>
      </c>
      <c r="U2481">
        <f t="shared" si="489"/>
        <v>0.3</v>
      </c>
      <c r="V2481">
        <f t="shared" si="485"/>
        <v>0.88999999999999946</v>
      </c>
    </row>
    <row r="2482" spans="1:22" x14ac:dyDescent="0.25">
      <c r="A2482" t="s">
        <v>4438</v>
      </c>
      <c r="B2482">
        <v>0</v>
      </c>
      <c r="C2482">
        <v>38.04</v>
      </c>
      <c r="E2482" t="s">
        <v>4438</v>
      </c>
      <c r="F2482">
        <v>0.3</v>
      </c>
      <c r="G2482">
        <v>119.36</v>
      </c>
      <c r="I2482" t="str" cm="1">
        <f t="array" ref="I2482:J2482">_xlfn.TEXTSPLIT(A2482," ")</f>
        <v>28.10.2023</v>
      </c>
      <c r="J2482" t="str">
        <v>17:24:43</v>
      </c>
      <c r="K2482">
        <f t="shared" si="490"/>
        <v>41.316666666665604</v>
      </c>
      <c r="L2482">
        <f t="shared" si="487"/>
        <v>23.72</v>
      </c>
      <c r="M2482">
        <f t="shared" si="488"/>
        <v>0</v>
      </c>
      <c r="N2482">
        <f t="shared" si="484"/>
        <v>0.52000000000000013</v>
      </c>
      <c r="Q2482" t="str" cm="1">
        <f t="array" ref="Q2482:R2482">_xlfn.TEXTSPLIT(E2482," ")</f>
        <v>28.10.2023</v>
      </c>
      <c r="R2482" t="str">
        <v>17:24:43</v>
      </c>
      <c r="S2482">
        <f t="shared" si="491"/>
        <v>41.316666666665604</v>
      </c>
      <c r="T2482">
        <f t="shared" si="486"/>
        <v>40.760000000000005</v>
      </c>
      <c r="U2482">
        <f t="shared" si="489"/>
        <v>0.3</v>
      </c>
      <c r="V2482">
        <f t="shared" si="485"/>
        <v>0.88249999999999951</v>
      </c>
    </row>
    <row r="2483" spans="1:22" x14ac:dyDescent="0.25">
      <c r="A2483" t="s">
        <v>4439</v>
      </c>
      <c r="B2483">
        <v>0</v>
      </c>
      <c r="C2483">
        <v>38.04</v>
      </c>
      <c r="E2483" t="s">
        <v>4439</v>
      </c>
      <c r="F2483">
        <v>0.3</v>
      </c>
      <c r="G2483">
        <v>119.37</v>
      </c>
      <c r="I2483" t="str" cm="1">
        <f t="array" ref="I2483:J2483">_xlfn.TEXTSPLIT(A2483," ")</f>
        <v>28.10.2023</v>
      </c>
      <c r="J2483" t="str">
        <v>17:25:43</v>
      </c>
      <c r="K2483">
        <f t="shared" si="490"/>
        <v>41.33333333333227</v>
      </c>
      <c r="L2483">
        <f t="shared" si="487"/>
        <v>23.72</v>
      </c>
      <c r="M2483">
        <f t="shared" si="488"/>
        <v>0</v>
      </c>
      <c r="N2483">
        <f t="shared" si="484"/>
        <v>0.52000000000000013</v>
      </c>
      <c r="Q2483" t="str" cm="1">
        <f t="array" ref="Q2483:R2483">_xlfn.TEXTSPLIT(E2483," ")</f>
        <v>28.10.2023</v>
      </c>
      <c r="R2483" t="str">
        <v>17:25:43</v>
      </c>
      <c r="S2483">
        <f t="shared" si="491"/>
        <v>41.33333333333227</v>
      </c>
      <c r="T2483">
        <f t="shared" si="486"/>
        <v>40.77000000000001</v>
      </c>
      <c r="U2483">
        <f t="shared" si="489"/>
        <v>0.3</v>
      </c>
      <c r="V2483">
        <f t="shared" si="485"/>
        <v>0.87999999999999945</v>
      </c>
    </row>
    <row r="2484" spans="1:22" x14ac:dyDescent="0.25">
      <c r="A2484" t="s">
        <v>4440</v>
      </c>
      <c r="B2484">
        <v>0</v>
      </c>
      <c r="C2484">
        <v>38.04</v>
      </c>
      <c r="E2484" t="s">
        <v>4440</v>
      </c>
      <c r="F2484">
        <v>0.15</v>
      </c>
      <c r="G2484">
        <v>119.38</v>
      </c>
      <c r="I2484" t="str" cm="1">
        <f t="array" ref="I2484:J2484">_xlfn.TEXTSPLIT(A2484," ")</f>
        <v>28.10.2023</v>
      </c>
      <c r="J2484" t="str">
        <v>17:26:43</v>
      </c>
      <c r="K2484">
        <f t="shared" si="490"/>
        <v>41.349999999998936</v>
      </c>
      <c r="L2484">
        <f t="shared" si="487"/>
        <v>23.72</v>
      </c>
      <c r="M2484">
        <f t="shared" si="488"/>
        <v>0</v>
      </c>
      <c r="N2484">
        <f t="shared" si="484"/>
        <v>0.52000000000000013</v>
      </c>
      <c r="Q2484" t="str" cm="1">
        <f t="array" ref="Q2484:R2484">_xlfn.TEXTSPLIT(E2484," ")</f>
        <v>28.10.2023</v>
      </c>
      <c r="R2484" t="str">
        <v>17:26:43</v>
      </c>
      <c r="S2484">
        <f t="shared" si="491"/>
        <v>41.349999999998936</v>
      </c>
      <c r="T2484">
        <f t="shared" si="486"/>
        <v>40.78</v>
      </c>
      <c r="U2484">
        <f t="shared" si="489"/>
        <v>0.15</v>
      </c>
      <c r="V2484">
        <f t="shared" si="485"/>
        <v>0.87249999999999939</v>
      </c>
    </row>
    <row r="2485" spans="1:22" x14ac:dyDescent="0.25">
      <c r="A2485" t="s">
        <v>4441</v>
      </c>
      <c r="B2485">
        <v>0</v>
      </c>
      <c r="C2485">
        <v>38.04</v>
      </c>
      <c r="E2485" t="s">
        <v>4441</v>
      </c>
      <c r="F2485">
        <v>0.6</v>
      </c>
      <c r="G2485">
        <v>119.38</v>
      </c>
      <c r="I2485" t="str" cm="1">
        <f t="array" ref="I2485:J2485">_xlfn.TEXTSPLIT(A2485," ")</f>
        <v>28.10.2023</v>
      </c>
      <c r="J2485" t="str">
        <v>17:27:43</v>
      </c>
      <c r="K2485">
        <f t="shared" si="490"/>
        <v>41.366666666665601</v>
      </c>
      <c r="L2485">
        <f t="shared" si="487"/>
        <v>23.72</v>
      </c>
      <c r="M2485">
        <f t="shared" si="488"/>
        <v>0</v>
      </c>
      <c r="N2485">
        <f t="shared" si="484"/>
        <v>0.52000000000000013</v>
      </c>
      <c r="Q2485" t="str" cm="1">
        <f t="array" ref="Q2485:R2485">_xlfn.TEXTSPLIT(E2485," ")</f>
        <v>28.10.2023</v>
      </c>
      <c r="R2485" t="str">
        <v>17:27:43</v>
      </c>
      <c r="S2485">
        <f t="shared" si="491"/>
        <v>41.366666666665601</v>
      </c>
      <c r="T2485">
        <f t="shared" si="486"/>
        <v>40.78</v>
      </c>
      <c r="U2485">
        <f t="shared" si="489"/>
        <v>0.6</v>
      </c>
      <c r="V2485">
        <f t="shared" si="485"/>
        <v>0.8774999999999995</v>
      </c>
    </row>
    <row r="2486" spans="1:22" x14ac:dyDescent="0.25">
      <c r="A2486" t="s">
        <v>4442</v>
      </c>
      <c r="B2486">
        <v>0</v>
      </c>
      <c r="C2486">
        <v>38.04</v>
      </c>
      <c r="E2486" t="s">
        <v>4442</v>
      </c>
      <c r="F2486">
        <v>0.3</v>
      </c>
      <c r="G2486">
        <v>119.39</v>
      </c>
      <c r="I2486" t="str" cm="1">
        <f t="array" ref="I2486:J2486">_xlfn.TEXTSPLIT(A2486," ")</f>
        <v>28.10.2023</v>
      </c>
      <c r="J2486" t="str">
        <v>17:28:44</v>
      </c>
      <c r="K2486">
        <f t="shared" si="490"/>
        <v>41.383333333332267</v>
      </c>
      <c r="L2486">
        <f t="shared" si="487"/>
        <v>23.72</v>
      </c>
      <c r="M2486">
        <f t="shared" si="488"/>
        <v>0</v>
      </c>
      <c r="N2486">
        <f t="shared" si="484"/>
        <v>0.52000000000000013</v>
      </c>
      <c r="Q2486" t="str" cm="1">
        <f t="array" ref="Q2486:R2486">_xlfn.TEXTSPLIT(E2486," ")</f>
        <v>28.10.2023</v>
      </c>
      <c r="R2486" t="str">
        <v>17:28:44</v>
      </c>
      <c r="S2486">
        <f t="shared" si="491"/>
        <v>41.383333333332267</v>
      </c>
      <c r="T2486">
        <f t="shared" si="486"/>
        <v>40.790000000000006</v>
      </c>
      <c r="U2486">
        <f t="shared" si="489"/>
        <v>0.3</v>
      </c>
      <c r="V2486">
        <f t="shared" si="485"/>
        <v>0.87499999999999944</v>
      </c>
    </row>
    <row r="2487" spans="1:22" x14ac:dyDescent="0.25">
      <c r="A2487" t="s">
        <v>4443</v>
      </c>
      <c r="B2487">
        <v>0</v>
      </c>
      <c r="C2487">
        <v>38.04</v>
      </c>
      <c r="E2487" t="s">
        <v>4443</v>
      </c>
      <c r="F2487">
        <v>0.45</v>
      </c>
      <c r="G2487">
        <v>119.4</v>
      </c>
      <c r="I2487" t="str" cm="1">
        <f t="array" ref="I2487:J2487">_xlfn.TEXTSPLIT(A2487," ")</f>
        <v>28.10.2023</v>
      </c>
      <c r="J2487" t="str">
        <v>17:29:44</v>
      </c>
      <c r="K2487">
        <f t="shared" si="490"/>
        <v>41.399999999998933</v>
      </c>
      <c r="L2487">
        <f t="shared" si="487"/>
        <v>23.72</v>
      </c>
      <c r="M2487">
        <f t="shared" si="488"/>
        <v>0</v>
      </c>
      <c r="N2487">
        <f t="shared" si="484"/>
        <v>0.52000000000000013</v>
      </c>
      <c r="Q2487" t="str" cm="1">
        <f t="array" ref="Q2487:R2487">_xlfn.TEXTSPLIT(E2487," ")</f>
        <v>28.10.2023</v>
      </c>
      <c r="R2487" t="str">
        <v>17:29:44</v>
      </c>
      <c r="S2487">
        <f t="shared" si="491"/>
        <v>41.399999999998933</v>
      </c>
      <c r="T2487">
        <f t="shared" si="486"/>
        <v>40.800000000000011</v>
      </c>
      <c r="U2487">
        <f t="shared" si="489"/>
        <v>0.45</v>
      </c>
      <c r="V2487">
        <f t="shared" si="485"/>
        <v>0.87249999999999939</v>
      </c>
    </row>
    <row r="2488" spans="1:22" x14ac:dyDescent="0.25">
      <c r="A2488" t="s">
        <v>4444</v>
      </c>
      <c r="B2488">
        <v>0</v>
      </c>
      <c r="C2488">
        <v>38.04</v>
      </c>
      <c r="E2488" t="s">
        <v>4444</v>
      </c>
      <c r="F2488">
        <v>0.6</v>
      </c>
      <c r="G2488">
        <v>119.41</v>
      </c>
      <c r="I2488" t="str" cm="1">
        <f t="array" ref="I2488:J2488">_xlfn.TEXTSPLIT(A2488," ")</f>
        <v>28.10.2023</v>
      </c>
      <c r="J2488" t="str">
        <v>17:30:44</v>
      </c>
      <c r="K2488">
        <f t="shared" si="490"/>
        <v>41.416666666665598</v>
      </c>
      <c r="L2488">
        <f t="shared" si="487"/>
        <v>23.72</v>
      </c>
      <c r="M2488">
        <f t="shared" si="488"/>
        <v>0</v>
      </c>
      <c r="N2488">
        <f t="shared" si="484"/>
        <v>0.51750000000000007</v>
      </c>
      <c r="Q2488" t="str" cm="1">
        <f t="array" ref="Q2488:R2488">_xlfn.TEXTSPLIT(E2488," ")</f>
        <v>28.10.2023</v>
      </c>
      <c r="R2488" t="str">
        <v>17:30:44</v>
      </c>
      <c r="S2488">
        <f t="shared" si="491"/>
        <v>41.416666666665598</v>
      </c>
      <c r="T2488">
        <f t="shared" si="486"/>
        <v>40.81</v>
      </c>
      <c r="U2488">
        <f t="shared" si="489"/>
        <v>0.6</v>
      </c>
      <c r="V2488">
        <f t="shared" si="485"/>
        <v>0.8724999999999995</v>
      </c>
    </row>
    <row r="2489" spans="1:22" x14ac:dyDescent="0.25">
      <c r="A2489" t="s">
        <v>4445</v>
      </c>
      <c r="B2489">
        <v>0.15</v>
      </c>
      <c r="C2489">
        <v>38.04</v>
      </c>
      <c r="E2489" t="s">
        <v>4445</v>
      </c>
      <c r="F2489">
        <v>0.75</v>
      </c>
      <c r="G2489">
        <v>119.42</v>
      </c>
      <c r="I2489" t="str" cm="1">
        <f t="array" ref="I2489:J2489">_xlfn.TEXTSPLIT(A2489," ")</f>
        <v>28.10.2023</v>
      </c>
      <c r="J2489" t="str">
        <v>17:31:44</v>
      </c>
      <c r="K2489">
        <f t="shared" si="490"/>
        <v>41.433333333332264</v>
      </c>
      <c r="L2489">
        <f t="shared" si="487"/>
        <v>23.72</v>
      </c>
      <c r="M2489">
        <f t="shared" si="488"/>
        <v>0.15</v>
      </c>
      <c r="N2489">
        <f t="shared" si="484"/>
        <v>0.51500000000000012</v>
      </c>
      <c r="Q2489" t="str" cm="1">
        <f t="array" ref="Q2489:R2489">_xlfn.TEXTSPLIT(E2489," ")</f>
        <v>28.10.2023</v>
      </c>
      <c r="R2489" t="str">
        <v>17:31:44</v>
      </c>
      <c r="S2489">
        <f t="shared" si="491"/>
        <v>41.433333333332264</v>
      </c>
      <c r="T2489">
        <f t="shared" si="486"/>
        <v>40.820000000000007</v>
      </c>
      <c r="U2489">
        <f t="shared" si="489"/>
        <v>0.75</v>
      </c>
      <c r="V2489">
        <f t="shared" si="485"/>
        <v>0.8774999999999995</v>
      </c>
    </row>
    <row r="2490" spans="1:22" x14ac:dyDescent="0.25">
      <c r="A2490" t="s">
        <v>4446</v>
      </c>
      <c r="B2490">
        <v>0.45</v>
      </c>
      <c r="C2490">
        <v>38.049999999999997</v>
      </c>
      <c r="E2490" t="s">
        <v>4446</v>
      </c>
      <c r="F2490">
        <v>0.9</v>
      </c>
      <c r="G2490">
        <v>119.44</v>
      </c>
      <c r="I2490" t="str" cm="1">
        <f t="array" ref="I2490:J2490">_xlfn.TEXTSPLIT(A2490," ")</f>
        <v>28.10.2023</v>
      </c>
      <c r="J2490" t="str">
        <v>17:32:44</v>
      </c>
      <c r="K2490">
        <f t="shared" si="490"/>
        <v>41.44999999999893</v>
      </c>
      <c r="L2490">
        <f t="shared" si="487"/>
        <v>23.729999999999997</v>
      </c>
      <c r="M2490">
        <f t="shared" si="488"/>
        <v>0.45</v>
      </c>
      <c r="N2490">
        <f t="shared" si="484"/>
        <v>0.51750000000000018</v>
      </c>
      <c r="Q2490" t="str" cm="1">
        <f t="array" ref="Q2490:R2490">_xlfn.TEXTSPLIT(E2490," ")</f>
        <v>28.10.2023</v>
      </c>
      <c r="R2490" t="str">
        <v>17:32:44</v>
      </c>
      <c r="S2490">
        <f t="shared" si="491"/>
        <v>41.44999999999893</v>
      </c>
      <c r="T2490">
        <f t="shared" si="486"/>
        <v>40.840000000000003</v>
      </c>
      <c r="U2490">
        <f t="shared" si="489"/>
        <v>0.9</v>
      </c>
      <c r="V2490">
        <f t="shared" si="485"/>
        <v>0.88249999999999951</v>
      </c>
    </row>
    <row r="2491" spans="1:22" x14ac:dyDescent="0.25">
      <c r="A2491" t="s">
        <v>4447</v>
      </c>
      <c r="B2491">
        <v>0</v>
      </c>
      <c r="C2491">
        <v>38.06</v>
      </c>
      <c r="E2491" t="s">
        <v>4447</v>
      </c>
      <c r="F2491">
        <v>1.2</v>
      </c>
      <c r="G2491">
        <v>119.46</v>
      </c>
      <c r="I2491" t="str" cm="1">
        <f t="array" ref="I2491:J2491">_xlfn.TEXTSPLIT(A2491," ")</f>
        <v>28.10.2023</v>
      </c>
      <c r="J2491" t="str">
        <v>17:33:44</v>
      </c>
      <c r="K2491">
        <f t="shared" si="490"/>
        <v>41.466666666665596</v>
      </c>
      <c r="L2491">
        <f t="shared" si="487"/>
        <v>23.740000000000002</v>
      </c>
      <c r="M2491">
        <f t="shared" si="488"/>
        <v>0</v>
      </c>
      <c r="N2491">
        <f t="shared" si="484"/>
        <v>0.51000000000000012</v>
      </c>
      <c r="Q2491" t="str" cm="1">
        <f t="array" ref="Q2491:R2491">_xlfn.TEXTSPLIT(E2491," ")</f>
        <v>28.10.2023</v>
      </c>
      <c r="R2491" t="str">
        <v>17:33:44</v>
      </c>
      <c r="S2491">
        <f t="shared" si="491"/>
        <v>41.466666666665596</v>
      </c>
      <c r="T2491">
        <f t="shared" si="486"/>
        <v>40.86</v>
      </c>
      <c r="U2491">
        <f t="shared" si="489"/>
        <v>1.2</v>
      </c>
      <c r="V2491">
        <f t="shared" si="485"/>
        <v>0.88999999999999946</v>
      </c>
    </row>
    <row r="2492" spans="1:22" x14ac:dyDescent="0.25">
      <c r="A2492" t="s">
        <v>4448</v>
      </c>
      <c r="B2492">
        <v>0.75</v>
      </c>
      <c r="C2492">
        <v>38.06</v>
      </c>
      <c r="E2492" t="s">
        <v>4448</v>
      </c>
      <c r="F2492">
        <v>1.05</v>
      </c>
      <c r="G2492">
        <v>119.48</v>
      </c>
      <c r="I2492" t="str" cm="1">
        <f t="array" ref="I2492:J2492">_xlfn.TEXTSPLIT(A2492," ")</f>
        <v>28.10.2023</v>
      </c>
      <c r="J2492" t="str">
        <v>17:34:44</v>
      </c>
      <c r="K2492">
        <f t="shared" si="490"/>
        <v>41.483333333332261</v>
      </c>
      <c r="L2492">
        <f t="shared" si="487"/>
        <v>23.740000000000002</v>
      </c>
      <c r="M2492">
        <f t="shared" si="488"/>
        <v>0.75</v>
      </c>
      <c r="N2492">
        <f t="shared" si="484"/>
        <v>0.52000000000000013</v>
      </c>
      <c r="Q2492" t="str" cm="1">
        <f t="array" ref="Q2492:R2492">_xlfn.TEXTSPLIT(E2492," ")</f>
        <v>28.10.2023</v>
      </c>
      <c r="R2492" t="str">
        <v>17:34:44</v>
      </c>
      <c r="S2492">
        <f t="shared" si="491"/>
        <v>41.483333333332261</v>
      </c>
      <c r="T2492">
        <f t="shared" si="486"/>
        <v>40.88000000000001</v>
      </c>
      <c r="U2492">
        <f t="shared" si="489"/>
        <v>1.05</v>
      </c>
      <c r="V2492">
        <f t="shared" si="485"/>
        <v>0.88999999999999946</v>
      </c>
    </row>
    <row r="2493" spans="1:22" x14ac:dyDescent="0.25">
      <c r="A2493" t="s">
        <v>4449</v>
      </c>
      <c r="B2493">
        <v>0.3</v>
      </c>
      <c r="C2493">
        <v>38.07</v>
      </c>
      <c r="E2493" t="s">
        <v>4449</v>
      </c>
      <c r="F2493">
        <v>1.2</v>
      </c>
      <c r="G2493">
        <v>119.51</v>
      </c>
      <c r="I2493" t="str" cm="1">
        <f t="array" ref="I2493:J2493">_xlfn.TEXTSPLIT(A2493," ")</f>
        <v>28.10.2023</v>
      </c>
      <c r="J2493" t="str">
        <v>17:35:45</v>
      </c>
      <c r="K2493">
        <f t="shared" si="490"/>
        <v>41.499999999998927</v>
      </c>
      <c r="L2493">
        <f t="shared" si="487"/>
        <v>23.75</v>
      </c>
      <c r="M2493">
        <f t="shared" si="488"/>
        <v>0.3</v>
      </c>
      <c r="N2493">
        <f t="shared" si="484"/>
        <v>0.52250000000000019</v>
      </c>
      <c r="Q2493" t="str" cm="1">
        <f t="array" ref="Q2493:R2493">_xlfn.TEXTSPLIT(E2493," ")</f>
        <v>28.10.2023</v>
      </c>
      <c r="R2493" t="str">
        <v>17:35:45</v>
      </c>
      <c r="S2493">
        <f t="shared" si="491"/>
        <v>41.499999999998927</v>
      </c>
      <c r="T2493">
        <f t="shared" si="486"/>
        <v>40.910000000000011</v>
      </c>
      <c r="U2493">
        <f t="shared" si="489"/>
        <v>1.2</v>
      </c>
      <c r="V2493">
        <f t="shared" si="485"/>
        <v>0.87999999999999956</v>
      </c>
    </row>
    <row r="2494" spans="1:22" x14ac:dyDescent="0.25">
      <c r="A2494" t="s">
        <v>4450</v>
      </c>
      <c r="B2494">
        <v>0.45</v>
      </c>
      <c r="C2494">
        <v>38.090000000000003</v>
      </c>
      <c r="E2494" t="s">
        <v>4450</v>
      </c>
      <c r="F2494">
        <v>1.8</v>
      </c>
      <c r="G2494">
        <v>119.54</v>
      </c>
      <c r="I2494" t="str" cm="1">
        <f t="array" ref="I2494:J2494">_xlfn.TEXTSPLIT(A2494," ")</f>
        <v>28.10.2023</v>
      </c>
      <c r="J2494" t="str">
        <v>17:36:45</v>
      </c>
      <c r="K2494">
        <f t="shared" si="490"/>
        <v>41.516666666665593</v>
      </c>
      <c r="L2494">
        <f t="shared" si="487"/>
        <v>23.770000000000003</v>
      </c>
      <c r="M2494">
        <f t="shared" si="488"/>
        <v>0.45</v>
      </c>
      <c r="N2494">
        <f t="shared" si="484"/>
        <v>0.52250000000000019</v>
      </c>
      <c r="Q2494" t="str" cm="1">
        <f t="array" ref="Q2494:R2494">_xlfn.TEXTSPLIT(E2494," ")</f>
        <v>28.10.2023</v>
      </c>
      <c r="R2494" t="str">
        <v>17:36:45</v>
      </c>
      <c r="S2494">
        <f t="shared" si="491"/>
        <v>41.516666666665593</v>
      </c>
      <c r="T2494">
        <f t="shared" si="486"/>
        <v>40.940000000000012</v>
      </c>
      <c r="U2494">
        <f t="shared" si="489"/>
        <v>1.8</v>
      </c>
      <c r="V2494">
        <f t="shared" si="485"/>
        <v>0.87999999999999956</v>
      </c>
    </row>
    <row r="2495" spans="1:22" x14ac:dyDescent="0.25">
      <c r="A2495" t="s">
        <v>4451</v>
      </c>
      <c r="B2495">
        <v>1.95</v>
      </c>
      <c r="C2495">
        <v>38.130000000000003</v>
      </c>
      <c r="E2495" t="s">
        <v>4451</v>
      </c>
      <c r="F2495">
        <v>1.95</v>
      </c>
      <c r="G2495">
        <v>119.58</v>
      </c>
      <c r="I2495" t="str" cm="1">
        <f t="array" ref="I2495:J2495">_xlfn.TEXTSPLIT(A2495," ")</f>
        <v>28.10.2023</v>
      </c>
      <c r="J2495" t="str">
        <v>17:37:45</v>
      </c>
      <c r="K2495">
        <f t="shared" si="490"/>
        <v>41.533333333332259</v>
      </c>
      <c r="L2495">
        <f t="shared" si="487"/>
        <v>23.810000000000002</v>
      </c>
      <c r="M2495">
        <f t="shared" si="488"/>
        <v>1.95</v>
      </c>
      <c r="N2495">
        <f t="shared" ref="N2495:N2558" si="492">AVERAGE(M2436:M2495)</f>
        <v>0.51750000000000007</v>
      </c>
      <c r="Q2495" t="str" cm="1">
        <f t="array" ref="Q2495:R2495">_xlfn.TEXTSPLIT(E2495," ")</f>
        <v>28.10.2023</v>
      </c>
      <c r="R2495" t="str">
        <v>17:37:45</v>
      </c>
      <c r="S2495">
        <f t="shared" si="491"/>
        <v>41.533333333332259</v>
      </c>
      <c r="T2495">
        <f t="shared" si="486"/>
        <v>40.980000000000004</v>
      </c>
      <c r="U2495">
        <f t="shared" si="489"/>
        <v>1.95</v>
      </c>
      <c r="V2495">
        <f t="shared" ref="V2495:V2558" si="493">AVERAGE(U2436:U2495)</f>
        <v>0.88749999999999962</v>
      </c>
    </row>
    <row r="2496" spans="1:22" x14ac:dyDescent="0.25">
      <c r="A2496" t="s">
        <v>4452</v>
      </c>
      <c r="B2496">
        <v>1.95</v>
      </c>
      <c r="C2496">
        <v>38.15</v>
      </c>
      <c r="E2496" t="s">
        <v>4452</v>
      </c>
      <c r="F2496">
        <v>2.4</v>
      </c>
      <c r="G2496">
        <v>119.61</v>
      </c>
      <c r="I2496" t="str" cm="1">
        <f t="array" ref="I2496:J2496">_xlfn.TEXTSPLIT(A2496," ")</f>
        <v>28.10.2023</v>
      </c>
      <c r="J2496" t="str">
        <v>17:38:45</v>
      </c>
      <c r="K2496">
        <f t="shared" si="490"/>
        <v>41.549999999998924</v>
      </c>
      <c r="L2496">
        <f t="shared" si="487"/>
        <v>23.83</v>
      </c>
      <c r="M2496">
        <f t="shared" si="488"/>
        <v>1.95</v>
      </c>
      <c r="N2496">
        <f t="shared" si="492"/>
        <v>0.51000000000000012</v>
      </c>
      <c r="Q2496" t="str" cm="1">
        <f t="array" ref="Q2496:R2496">_xlfn.TEXTSPLIT(E2496," ")</f>
        <v>28.10.2023</v>
      </c>
      <c r="R2496" t="str">
        <v>17:38:45</v>
      </c>
      <c r="S2496">
        <f t="shared" si="491"/>
        <v>41.549999999998924</v>
      </c>
      <c r="T2496">
        <f t="shared" si="486"/>
        <v>41.010000000000005</v>
      </c>
      <c r="U2496">
        <f t="shared" si="489"/>
        <v>2.4</v>
      </c>
      <c r="V2496">
        <f t="shared" si="493"/>
        <v>0.89499999999999957</v>
      </c>
    </row>
    <row r="2497" spans="1:22" x14ac:dyDescent="0.25">
      <c r="A2497" t="s">
        <v>4453</v>
      </c>
      <c r="B2497">
        <v>1.2</v>
      </c>
      <c r="C2497">
        <v>38.17</v>
      </c>
      <c r="E2497" t="s">
        <v>4453</v>
      </c>
      <c r="F2497">
        <v>1.2</v>
      </c>
      <c r="G2497">
        <v>119.62</v>
      </c>
      <c r="I2497" t="str" cm="1">
        <f t="array" ref="I2497:J2497">_xlfn.TEXTSPLIT(A2497," ")</f>
        <v>28.10.2023</v>
      </c>
      <c r="J2497" t="str">
        <v>17:39:45</v>
      </c>
      <c r="K2497">
        <f t="shared" si="490"/>
        <v>41.56666666666559</v>
      </c>
      <c r="L2497">
        <f t="shared" si="487"/>
        <v>23.85</v>
      </c>
      <c r="M2497">
        <f t="shared" si="488"/>
        <v>1.2</v>
      </c>
      <c r="N2497">
        <f t="shared" si="492"/>
        <v>0.51249999999999996</v>
      </c>
      <c r="Q2497" t="str" cm="1">
        <f t="array" ref="Q2497:R2497">_xlfn.TEXTSPLIT(E2497," ")</f>
        <v>28.10.2023</v>
      </c>
      <c r="R2497" t="str">
        <v>17:39:45</v>
      </c>
      <c r="S2497">
        <f t="shared" si="491"/>
        <v>41.56666666666559</v>
      </c>
      <c r="T2497">
        <f t="shared" si="486"/>
        <v>41.02000000000001</v>
      </c>
      <c r="U2497">
        <f t="shared" si="489"/>
        <v>1.2</v>
      </c>
      <c r="V2497">
        <f t="shared" si="493"/>
        <v>0.88499999999999968</v>
      </c>
    </row>
    <row r="2498" spans="1:22" x14ac:dyDescent="0.25">
      <c r="A2498" t="s">
        <v>4454</v>
      </c>
      <c r="B2498">
        <v>0.9</v>
      </c>
      <c r="C2498">
        <v>38.19</v>
      </c>
      <c r="E2498" t="s">
        <v>4454</v>
      </c>
      <c r="F2498">
        <v>0.9</v>
      </c>
      <c r="G2498">
        <v>119.64</v>
      </c>
      <c r="I2498" t="str" cm="1">
        <f t="array" ref="I2498:J2498">_xlfn.TEXTSPLIT(A2498," ")</f>
        <v>28.10.2023</v>
      </c>
      <c r="J2498" t="str">
        <v>17:40:45</v>
      </c>
      <c r="K2498">
        <f t="shared" si="490"/>
        <v>41.583333333332256</v>
      </c>
      <c r="L2498">
        <f t="shared" si="487"/>
        <v>23.869999999999997</v>
      </c>
      <c r="M2498">
        <f t="shared" si="488"/>
        <v>0.9</v>
      </c>
      <c r="N2498">
        <f t="shared" si="492"/>
        <v>0.51</v>
      </c>
      <c r="Q2498" t="str" cm="1">
        <f t="array" ref="Q2498:R2498">_xlfn.TEXTSPLIT(E2498," ")</f>
        <v>28.10.2023</v>
      </c>
      <c r="R2498" t="str">
        <v>17:40:45</v>
      </c>
      <c r="S2498">
        <f t="shared" si="491"/>
        <v>41.583333333332256</v>
      </c>
      <c r="T2498">
        <f t="shared" si="486"/>
        <v>41.040000000000006</v>
      </c>
      <c r="U2498">
        <f t="shared" si="489"/>
        <v>0.9</v>
      </c>
      <c r="V2498">
        <f t="shared" si="493"/>
        <v>0.88249999999999962</v>
      </c>
    </row>
    <row r="2499" spans="1:22" x14ac:dyDescent="0.25">
      <c r="A2499" t="s">
        <v>4455</v>
      </c>
      <c r="B2499">
        <v>1.05</v>
      </c>
      <c r="C2499">
        <v>38.200000000000003</v>
      </c>
      <c r="E2499" t="s">
        <v>4455</v>
      </c>
      <c r="F2499">
        <v>0.75</v>
      </c>
      <c r="G2499">
        <v>119.65</v>
      </c>
      <c r="I2499" t="str" cm="1">
        <f t="array" ref="I2499:J2499">_xlfn.TEXTSPLIT(A2499," ")</f>
        <v>28.10.2023</v>
      </c>
      <c r="J2499" t="str">
        <v>17:41:46</v>
      </c>
      <c r="K2499">
        <f t="shared" si="490"/>
        <v>41.599999999998921</v>
      </c>
      <c r="L2499">
        <f t="shared" si="487"/>
        <v>23.880000000000003</v>
      </c>
      <c r="M2499">
        <f t="shared" si="488"/>
        <v>1.05</v>
      </c>
      <c r="N2499">
        <f t="shared" si="492"/>
        <v>0.51249999999999996</v>
      </c>
      <c r="Q2499" t="str" cm="1">
        <f t="array" ref="Q2499:R2499">_xlfn.TEXTSPLIT(E2499," ")</f>
        <v>28.10.2023</v>
      </c>
      <c r="R2499" t="str">
        <v>17:41:46</v>
      </c>
      <c r="S2499">
        <f t="shared" si="491"/>
        <v>41.599999999998921</v>
      </c>
      <c r="T2499">
        <f t="shared" ref="T2499:T2562" si="494">G2499-78.6</f>
        <v>41.050000000000011</v>
      </c>
      <c r="U2499">
        <f t="shared" si="489"/>
        <v>0.75</v>
      </c>
      <c r="V2499">
        <f t="shared" si="493"/>
        <v>0.87999999999999956</v>
      </c>
    </row>
    <row r="2500" spans="1:22" x14ac:dyDescent="0.25">
      <c r="A2500" t="s">
        <v>4456</v>
      </c>
      <c r="B2500">
        <v>0.9</v>
      </c>
      <c r="C2500">
        <v>38.22</v>
      </c>
      <c r="E2500" t="s">
        <v>4456</v>
      </c>
      <c r="F2500">
        <v>0.75</v>
      </c>
      <c r="G2500">
        <v>119.66</v>
      </c>
      <c r="I2500" t="str" cm="1">
        <f t="array" ref="I2500:J2500">_xlfn.TEXTSPLIT(A2500," ")</f>
        <v>28.10.2023</v>
      </c>
      <c r="J2500" t="str">
        <v>17:42:46</v>
      </c>
      <c r="K2500">
        <f t="shared" si="490"/>
        <v>41.616666666665587</v>
      </c>
      <c r="L2500">
        <f t="shared" ref="L2500:L2563" si="495">C2500-14.32</f>
        <v>23.9</v>
      </c>
      <c r="M2500">
        <f t="shared" ref="M2500:M2563" si="496">B2500</f>
        <v>0.9</v>
      </c>
      <c r="N2500">
        <f t="shared" si="492"/>
        <v>0.51500000000000001</v>
      </c>
      <c r="Q2500" t="str" cm="1">
        <f t="array" ref="Q2500:R2500">_xlfn.TEXTSPLIT(E2500," ")</f>
        <v>28.10.2023</v>
      </c>
      <c r="R2500" t="str">
        <v>17:42:46</v>
      </c>
      <c r="S2500">
        <f t="shared" si="491"/>
        <v>41.616666666665587</v>
      </c>
      <c r="T2500">
        <f t="shared" si="494"/>
        <v>41.06</v>
      </c>
      <c r="U2500">
        <f t="shared" ref="U2500:U2563" si="497">F2500</f>
        <v>0.75</v>
      </c>
      <c r="V2500">
        <f t="shared" si="493"/>
        <v>0.87749999999999972</v>
      </c>
    </row>
    <row r="2501" spans="1:22" x14ac:dyDescent="0.25">
      <c r="A2501" t="s">
        <v>4457</v>
      </c>
      <c r="B2501">
        <v>0.75</v>
      </c>
      <c r="C2501">
        <v>38.229999999999997</v>
      </c>
      <c r="E2501" t="s">
        <v>4457</v>
      </c>
      <c r="F2501">
        <v>0.9</v>
      </c>
      <c r="G2501">
        <v>119.67</v>
      </c>
      <c r="I2501" t="str" cm="1">
        <f t="array" ref="I2501:J2501">_xlfn.TEXTSPLIT(A2501," ")</f>
        <v>28.10.2023</v>
      </c>
      <c r="J2501" t="str">
        <v>17:43:46</v>
      </c>
      <c r="K2501">
        <f t="shared" ref="K2501:K2564" si="498">1/60+K2500</f>
        <v>41.633333333332253</v>
      </c>
      <c r="L2501">
        <f t="shared" si="495"/>
        <v>23.909999999999997</v>
      </c>
      <c r="M2501">
        <f t="shared" si="496"/>
        <v>0.75</v>
      </c>
      <c r="N2501">
        <f t="shared" si="492"/>
        <v>0.51500000000000001</v>
      </c>
      <c r="Q2501" t="str" cm="1">
        <f t="array" ref="Q2501:R2501">_xlfn.TEXTSPLIT(E2501," ")</f>
        <v>28.10.2023</v>
      </c>
      <c r="R2501" t="str">
        <v>17:43:46</v>
      </c>
      <c r="S2501">
        <f t="shared" ref="S2501:S2564" si="499">1/60+S2500</f>
        <v>41.633333333332253</v>
      </c>
      <c r="T2501">
        <f t="shared" si="494"/>
        <v>41.070000000000007</v>
      </c>
      <c r="U2501">
        <f t="shared" si="497"/>
        <v>0.9</v>
      </c>
      <c r="V2501">
        <f t="shared" si="493"/>
        <v>0.87999999999999978</v>
      </c>
    </row>
    <row r="2502" spans="1:22" x14ac:dyDescent="0.25">
      <c r="A2502" t="s">
        <v>4458</v>
      </c>
      <c r="B2502">
        <v>0.6</v>
      </c>
      <c r="C2502">
        <v>38.24</v>
      </c>
      <c r="E2502" t="s">
        <v>4458</v>
      </c>
      <c r="F2502">
        <v>0.75</v>
      </c>
      <c r="G2502">
        <v>119.69</v>
      </c>
      <c r="I2502" t="str" cm="1">
        <f t="array" ref="I2502:J2502">_xlfn.TEXTSPLIT(A2502," ")</f>
        <v>28.10.2023</v>
      </c>
      <c r="J2502" t="str">
        <v>17:44:46</v>
      </c>
      <c r="K2502">
        <f t="shared" si="498"/>
        <v>41.649999999998919</v>
      </c>
      <c r="L2502">
        <f t="shared" si="495"/>
        <v>23.92</v>
      </c>
      <c r="M2502">
        <f t="shared" si="496"/>
        <v>0.6</v>
      </c>
      <c r="N2502">
        <f t="shared" si="492"/>
        <v>0.51500000000000001</v>
      </c>
      <c r="Q2502" t="str" cm="1">
        <f t="array" ref="Q2502:R2502">_xlfn.TEXTSPLIT(E2502," ")</f>
        <v>28.10.2023</v>
      </c>
      <c r="R2502" t="str">
        <v>17:44:46</v>
      </c>
      <c r="S2502">
        <f t="shared" si="499"/>
        <v>41.649999999998919</v>
      </c>
      <c r="T2502">
        <f t="shared" si="494"/>
        <v>41.09</v>
      </c>
      <c r="U2502">
        <f t="shared" si="497"/>
        <v>0.75</v>
      </c>
      <c r="V2502">
        <f t="shared" si="493"/>
        <v>0.87749999999999984</v>
      </c>
    </row>
    <row r="2503" spans="1:22" x14ac:dyDescent="0.25">
      <c r="A2503" t="s">
        <v>4459</v>
      </c>
      <c r="B2503">
        <v>0.6</v>
      </c>
      <c r="C2503">
        <v>38.24</v>
      </c>
      <c r="E2503" t="s">
        <v>4459</v>
      </c>
      <c r="F2503">
        <v>1.2</v>
      </c>
      <c r="G2503">
        <v>119.71</v>
      </c>
      <c r="I2503" t="str" cm="1">
        <f t="array" ref="I2503:J2503">_xlfn.TEXTSPLIT(A2503," ")</f>
        <v>28.10.2023</v>
      </c>
      <c r="J2503" t="str">
        <v>17:45:46</v>
      </c>
      <c r="K2503">
        <f t="shared" si="498"/>
        <v>41.666666666665584</v>
      </c>
      <c r="L2503">
        <f t="shared" si="495"/>
        <v>23.92</v>
      </c>
      <c r="M2503">
        <f t="shared" si="496"/>
        <v>0.6</v>
      </c>
      <c r="N2503">
        <f t="shared" si="492"/>
        <v>0.51500000000000012</v>
      </c>
      <c r="Q2503" t="str" cm="1">
        <f t="array" ref="Q2503:R2503">_xlfn.TEXTSPLIT(E2503," ")</f>
        <v>28.10.2023</v>
      </c>
      <c r="R2503" t="str">
        <v>17:45:46</v>
      </c>
      <c r="S2503">
        <f t="shared" si="499"/>
        <v>41.666666666665584</v>
      </c>
      <c r="T2503">
        <f t="shared" si="494"/>
        <v>41.11</v>
      </c>
      <c r="U2503">
        <f t="shared" si="497"/>
        <v>1.2</v>
      </c>
      <c r="V2503">
        <f t="shared" si="493"/>
        <v>0.88249999999999995</v>
      </c>
    </row>
    <row r="2504" spans="1:22" x14ac:dyDescent="0.25">
      <c r="A2504" t="s">
        <v>4460</v>
      </c>
      <c r="B2504">
        <v>0.45</v>
      </c>
      <c r="C2504">
        <v>38.25</v>
      </c>
      <c r="E2504" t="s">
        <v>4460</v>
      </c>
      <c r="F2504">
        <v>0.9</v>
      </c>
      <c r="G2504">
        <v>119.73</v>
      </c>
      <c r="I2504" t="str" cm="1">
        <f t="array" ref="I2504:J2504">_xlfn.TEXTSPLIT(A2504," ")</f>
        <v>28.10.2023</v>
      </c>
      <c r="J2504" t="str">
        <v>17:46:46</v>
      </c>
      <c r="K2504">
        <f t="shared" si="498"/>
        <v>41.68333333333225</v>
      </c>
      <c r="L2504">
        <f t="shared" si="495"/>
        <v>23.93</v>
      </c>
      <c r="M2504">
        <f t="shared" si="496"/>
        <v>0.45</v>
      </c>
      <c r="N2504">
        <f t="shared" si="492"/>
        <v>0.51500000000000001</v>
      </c>
      <c r="Q2504" t="str" cm="1">
        <f t="array" ref="Q2504:R2504">_xlfn.TEXTSPLIT(E2504," ")</f>
        <v>28.10.2023</v>
      </c>
      <c r="R2504" t="str">
        <v>17:46:46</v>
      </c>
      <c r="S2504">
        <f t="shared" si="499"/>
        <v>41.68333333333225</v>
      </c>
      <c r="T2504">
        <f t="shared" si="494"/>
        <v>41.13000000000001</v>
      </c>
      <c r="U2504">
        <f t="shared" si="497"/>
        <v>0.9</v>
      </c>
      <c r="V2504">
        <f t="shared" si="493"/>
        <v>0.88250000000000006</v>
      </c>
    </row>
    <row r="2505" spans="1:22" x14ac:dyDescent="0.25">
      <c r="A2505" t="s">
        <v>4461</v>
      </c>
      <c r="B2505">
        <v>0.3</v>
      </c>
      <c r="C2505">
        <v>38.25</v>
      </c>
      <c r="E2505" t="s">
        <v>4461</v>
      </c>
      <c r="F2505">
        <v>1.05</v>
      </c>
      <c r="G2505">
        <v>119.74</v>
      </c>
      <c r="I2505" t="str" cm="1">
        <f t="array" ref="I2505:J2505">_xlfn.TEXTSPLIT(A2505," ")</f>
        <v>28.10.2023</v>
      </c>
      <c r="J2505" t="str">
        <v>17:47:46</v>
      </c>
      <c r="K2505">
        <f t="shared" si="498"/>
        <v>41.699999999998916</v>
      </c>
      <c r="L2505">
        <f t="shared" si="495"/>
        <v>23.93</v>
      </c>
      <c r="M2505">
        <f t="shared" si="496"/>
        <v>0.3</v>
      </c>
      <c r="N2505">
        <f t="shared" si="492"/>
        <v>0.50750000000000006</v>
      </c>
      <c r="Q2505" t="str" cm="1">
        <f t="array" ref="Q2505:R2505">_xlfn.TEXTSPLIT(E2505," ")</f>
        <v>28.10.2023</v>
      </c>
      <c r="R2505" t="str">
        <v>17:47:46</v>
      </c>
      <c r="S2505">
        <f t="shared" si="499"/>
        <v>41.699999999998916</v>
      </c>
      <c r="T2505">
        <f t="shared" si="494"/>
        <v>41.14</v>
      </c>
      <c r="U2505">
        <f t="shared" si="497"/>
        <v>1.05</v>
      </c>
      <c r="V2505">
        <f t="shared" si="493"/>
        <v>0.88749999999999996</v>
      </c>
    </row>
    <row r="2506" spans="1:22" x14ac:dyDescent="0.25">
      <c r="A2506" t="s">
        <v>4462</v>
      </c>
      <c r="B2506">
        <v>0.15</v>
      </c>
      <c r="C2506">
        <v>38.26</v>
      </c>
      <c r="E2506" t="s">
        <v>4462</v>
      </c>
      <c r="F2506">
        <v>0.6</v>
      </c>
      <c r="G2506">
        <v>119.75</v>
      </c>
      <c r="I2506" t="str" cm="1">
        <f t="array" ref="I2506:J2506">_xlfn.TEXTSPLIT(A2506," ")</f>
        <v>28.10.2023</v>
      </c>
      <c r="J2506" t="str">
        <v>17:48:47</v>
      </c>
      <c r="K2506">
        <f t="shared" si="498"/>
        <v>41.716666666665581</v>
      </c>
      <c r="L2506">
        <f t="shared" si="495"/>
        <v>23.939999999999998</v>
      </c>
      <c r="M2506">
        <f t="shared" si="496"/>
        <v>0.15</v>
      </c>
      <c r="N2506">
        <f t="shared" si="492"/>
        <v>0.505</v>
      </c>
      <c r="Q2506" t="str" cm="1">
        <f t="array" ref="Q2506:R2506">_xlfn.TEXTSPLIT(E2506," ")</f>
        <v>28.10.2023</v>
      </c>
      <c r="R2506" t="str">
        <v>17:48:47</v>
      </c>
      <c r="S2506">
        <f t="shared" si="499"/>
        <v>41.716666666665581</v>
      </c>
      <c r="T2506">
        <f t="shared" si="494"/>
        <v>41.150000000000006</v>
      </c>
      <c r="U2506">
        <f t="shared" si="497"/>
        <v>0.6</v>
      </c>
      <c r="V2506">
        <f t="shared" si="493"/>
        <v>0.88500000000000001</v>
      </c>
    </row>
    <row r="2507" spans="1:22" x14ac:dyDescent="0.25">
      <c r="A2507" t="s">
        <v>4463</v>
      </c>
      <c r="B2507">
        <v>0.45</v>
      </c>
      <c r="C2507">
        <v>38.270000000000003</v>
      </c>
      <c r="E2507" t="s">
        <v>4463</v>
      </c>
      <c r="F2507">
        <v>0.6</v>
      </c>
      <c r="G2507">
        <v>119.76</v>
      </c>
      <c r="I2507" t="str" cm="1">
        <f t="array" ref="I2507:J2507">_xlfn.TEXTSPLIT(A2507," ")</f>
        <v>28.10.2023</v>
      </c>
      <c r="J2507" t="str">
        <v>17:49:47</v>
      </c>
      <c r="K2507">
        <f t="shared" si="498"/>
        <v>41.733333333332247</v>
      </c>
      <c r="L2507">
        <f t="shared" si="495"/>
        <v>23.950000000000003</v>
      </c>
      <c r="M2507">
        <f t="shared" si="496"/>
        <v>0.45</v>
      </c>
      <c r="N2507">
        <f t="shared" si="492"/>
        <v>0.50249999999999995</v>
      </c>
      <c r="Q2507" t="str" cm="1">
        <f t="array" ref="Q2507:R2507">_xlfn.TEXTSPLIT(E2507," ")</f>
        <v>28.10.2023</v>
      </c>
      <c r="R2507" t="str">
        <v>17:49:47</v>
      </c>
      <c r="S2507">
        <f t="shared" si="499"/>
        <v>41.733333333332247</v>
      </c>
      <c r="T2507">
        <f t="shared" si="494"/>
        <v>41.160000000000011</v>
      </c>
      <c r="U2507">
        <f t="shared" si="497"/>
        <v>0.6</v>
      </c>
      <c r="V2507">
        <f t="shared" si="493"/>
        <v>0.88000000000000012</v>
      </c>
    </row>
    <row r="2508" spans="1:22" x14ac:dyDescent="0.25">
      <c r="A2508" t="s">
        <v>4464</v>
      </c>
      <c r="B2508">
        <v>0.45</v>
      </c>
      <c r="C2508">
        <v>38.270000000000003</v>
      </c>
      <c r="E2508" t="s">
        <v>4464</v>
      </c>
      <c r="F2508">
        <v>0.45</v>
      </c>
      <c r="G2508">
        <v>119.76</v>
      </c>
      <c r="I2508" t="str" cm="1">
        <f t="array" ref="I2508:J2508">_xlfn.TEXTSPLIT(A2508," ")</f>
        <v>28.10.2023</v>
      </c>
      <c r="J2508" t="str">
        <v>17:50:47</v>
      </c>
      <c r="K2508">
        <f t="shared" si="498"/>
        <v>41.749999999998913</v>
      </c>
      <c r="L2508">
        <f t="shared" si="495"/>
        <v>23.950000000000003</v>
      </c>
      <c r="M2508">
        <f t="shared" si="496"/>
        <v>0.45</v>
      </c>
      <c r="N2508">
        <f t="shared" si="492"/>
        <v>0.505</v>
      </c>
      <c r="Q2508" t="str" cm="1">
        <f t="array" ref="Q2508:R2508">_xlfn.TEXTSPLIT(E2508," ")</f>
        <v>28.10.2023</v>
      </c>
      <c r="R2508" t="str">
        <v>17:50:47</v>
      </c>
      <c r="S2508">
        <f t="shared" si="499"/>
        <v>41.749999999998913</v>
      </c>
      <c r="T2508">
        <f t="shared" si="494"/>
        <v>41.160000000000011</v>
      </c>
      <c r="U2508">
        <f t="shared" si="497"/>
        <v>0.45</v>
      </c>
      <c r="V2508">
        <f t="shared" si="493"/>
        <v>0.88000000000000012</v>
      </c>
    </row>
    <row r="2509" spans="1:22" x14ac:dyDescent="0.25">
      <c r="A2509" t="s">
        <v>4465</v>
      </c>
      <c r="B2509">
        <v>0.3</v>
      </c>
      <c r="C2509">
        <v>38.270000000000003</v>
      </c>
      <c r="E2509" t="s">
        <v>4465</v>
      </c>
      <c r="F2509">
        <v>0.15</v>
      </c>
      <c r="G2509">
        <v>119.76</v>
      </c>
      <c r="I2509" t="str" cm="1">
        <f t="array" ref="I2509:J2509">_xlfn.TEXTSPLIT(A2509," ")</f>
        <v>28.10.2023</v>
      </c>
      <c r="J2509" t="str">
        <v>17:51:47</v>
      </c>
      <c r="K2509">
        <f t="shared" si="498"/>
        <v>41.766666666665579</v>
      </c>
      <c r="L2509">
        <f t="shared" si="495"/>
        <v>23.950000000000003</v>
      </c>
      <c r="M2509">
        <f t="shared" si="496"/>
        <v>0.3</v>
      </c>
      <c r="N2509">
        <f t="shared" si="492"/>
        <v>0.50249999999999995</v>
      </c>
      <c r="Q2509" t="str" cm="1">
        <f t="array" ref="Q2509:R2509">_xlfn.TEXTSPLIT(E2509," ")</f>
        <v>28.10.2023</v>
      </c>
      <c r="R2509" t="str">
        <v>17:51:47</v>
      </c>
      <c r="S2509">
        <f t="shared" si="499"/>
        <v>41.766666666665579</v>
      </c>
      <c r="T2509">
        <f t="shared" si="494"/>
        <v>41.160000000000011</v>
      </c>
      <c r="U2509">
        <f t="shared" si="497"/>
        <v>0.15</v>
      </c>
      <c r="V2509">
        <f t="shared" si="493"/>
        <v>0.88250000000000006</v>
      </c>
    </row>
    <row r="2510" spans="1:22" x14ac:dyDescent="0.25">
      <c r="A2510" t="s">
        <v>4466</v>
      </c>
      <c r="B2510">
        <v>0</v>
      </c>
      <c r="C2510">
        <v>38.270000000000003</v>
      </c>
      <c r="E2510" t="s">
        <v>4466</v>
      </c>
      <c r="F2510">
        <v>0.3</v>
      </c>
      <c r="G2510">
        <v>119.77</v>
      </c>
      <c r="I2510" t="str" cm="1">
        <f t="array" ref="I2510:J2510">_xlfn.TEXTSPLIT(A2510," ")</f>
        <v>28.10.2023</v>
      </c>
      <c r="J2510" t="str">
        <v>17:52:47</v>
      </c>
      <c r="K2510">
        <f t="shared" si="498"/>
        <v>41.783333333332244</v>
      </c>
      <c r="L2510">
        <f t="shared" si="495"/>
        <v>23.950000000000003</v>
      </c>
      <c r="M2510">
        <f t="shared" si="496"/>
        <v>0</v>
      </c>
      <c r="N2510">
        <f t="shared" si="492"/>
        <v>0.50249999999999995</v>
      </c>
      <c r="Q2510" t="str" cm="1">
        <f t="array" ref="Q2510:R2510">_xlfn.TEXTSPLIT(E2510," ")</f>
        <v>28.10.2023</v>
      </c>
      <c r="R2510" t="str">
        <v>17:52:47</v>
      </c>
      <c r="S2510">
        <f t="shared" si="499"/>
        <v>41.783333333332244</v>
      </c>
      <c r="T2510">
        <f t="shared" si="494"/>
        <v>41.17</v>
      </c>
      <c r="U2510">
        <f t="shared" si="497"/>
        <v>0.3</v>
      </c>
      <c r="V2510">
        <f t="shared" si="493"/>
        <v>0.88249999999999995</v>
      </c>
    </row>
    <row r="2511" spans="1:22" x14ac:dyDescent="0.25">
      <c r="A2511" t="s">
        <v>4467</v>
      </c>
      <c r="B2511">
        <v>0</v>
      </c>
      <c r="C2511">
        <v>38.270000000000003</v>
      </c>
      <c r="E2511" t="s">
        <v>4467</v>
      </c>
      <c r="F2511">
        <v>0.3</v>
      </c>
      <c r="G2511">
        <v>119.77</v>
      </c>
      <c r="I2511" t="str" cm="1">
        <f t="array" ref="I2511:J2511">_xlfn.TEXTSPLIT(A2511," ")</f>
        <v>28.10.2023</v>
      </c>
      <c r="J2511" t="str">
        <v>17:53:47</v>
      </c>
      <c r="K2511">
        <f t="shared" si="498"/>
        <v>41.79999999999891</v>
      </c>
      <c r="L2511">
        <f t="shared" si="495"/>
        <v>23.950000000000003</v>
      </c>
      <c r="M2511">
        <f t="shared" si="496"/>
        <v>0</v>
      </c>
      <c r="N2511">
        <f t="shared" si="492"/>
        <v>0.50249999999999995</v>
      </c>
      <c r="Q2511" t="str" cm="1">
        <f t="array" ref="Q2511:R2511">_xlfn.TEXTSPLIT(E2511," ")</f>
        <v>28.10.2023</v>
      </c>
      <c r="R2511" t="str">
        <v>17:53:47</v>
      </c>
      <c r="S2511">
        <f t="shared" si="499"/>
        <v>41.79999999999891</v>
      </c>
      <c r="T2511">
        <f t="shared" si="494"/>
        <v>41.17</v>
      </c>
      <c r="U2511">
        <f t="shared" si="497"/>
        <v>0.3</v>
      </c>
      <c r="V2511">
        <f t="shared" si="493"/>
        <v>0.8849999999999999</v>
      </c>
    </row>
    <row r="2512" spans="1:22" x14ac:dyDescent="0.25">
      <c r="A2512" t="s">
        <v>4468</v>
      </c>
      <c r="B2512">
        <v>0</v>
      </c>
      <c r="C2512">
        <v>38.270000000000003</v>
      </c>
      <c r="E2512" t="s">
        <v>4468</v>
      </c>
      <c r="F2512">
        <v>0.3</v>
      </c>
      <c r="G2512">
        <v>119.78</v>
      </c>
      <c r="I2512" t="str" cm="1">
        <f t="array" ref="I2512:J2512">_xlfn.TEXTSPLIT(A2512," ")</f>
        <v>28.10.2023</v>
      </c>
      <c r="J2512" t="str">
        <v>17:54:47</v>
      </c>
      <c r="K2512">
        <f t="shared" si="498"/>
        <v>41.816666666665576</v>
      </c>
      <c r="L2512">
        <f t="shared" si="495"/>
        <v>23.950000000000003</v>
      </c>
      <c r="M2512">
        <f t="shared" si="496"/>
        <v>0</v>
      </c>
      <c r="N2512">
        <f t="shared" si="492"/>
        <v>0.50249999999999995</v>
      </c>
      <c r="Q2512" t="str" cm="1">
        <f t="array" ref="Q2512:R2512">_xlfn.TEXTSPLIT(E2512," ")</f>
        <v>28.10.2023</v>
      </c>
      <c r="R2512" t="str">
        <v>17:54:47</v>
      </c>
      <c r="S2512">
        <f t="shared" si="499"/>
        <v>41.816666666665576</v>
      </c>
      <c r="T2512">
        <f t="shared" si="494"/>
        <v>41.180000000000007</v>
      </c>
      <c r="U2512">
        <f t="shared" si="497"/>
        <v>0.3</v>
      </c>
      <c r="V2512">
        <f t="shared" si="493"/>
        <v>0.88249999999999995</v>
      </c>
    </row>
    <row r="2513" spans="1:22" x14ac:dyDescent="0.25">
      <c r="A2513" t="s">
        <v>4469</v>
      </c>
      <c r="B2513">
        <v>0</v>
      </c>
      <c r="C2513">
        <v>38.270000000000003</v>
      </c>
      <c r="E2513" t="s">
        <v>4469</v>
      </c>
      <c r="F2513">
        <v>0.3</v>
      </c>
      <c r="G2513">
        <v>119.79</v>
      </c>
      <c r="I2513" t="str" cm="1">
        <f t="array" ref="I2513:J2513">_xlfn.TEXTSPLIT(A2513," ")</f>
        <v>28.10.2023</v>
      </c>
      <c r="J2513" t="str">
        <v>17:55:48</v>
      </c>
      <c r="K2513">
        <f t="shared" si="498"/>
        <v>41.833333333332241</v>
      </c>
      <c r="L2513">
        <f t="shared" si="495"/>
        <v>23.950000000000003</v>
      </c>
      <c r="M2513">
        <f t="shared" si="496"/>
        <v>0</v>
      </c>
      <c r="N2513">
        <f t="shared" si="492"/>
        <v>0.50249999999999995</v>
      </c>
      <c r="Q2513" t="str" cm="1">
        <f t="array" ref="Q2513:R2513">_xlfn.TEXTSPLIT(E2513," ")</f>
        <v>28.10.2023</v>
      </c>
      <c r="R2513" t="str">
        <v>17:55:48</v>
      </c>
      <c r="S2513">
        <f t="shared" si="499"/>
        <v>41.833333333332241</v>
      </c>
      <c r="T2513">
        <f t="shared" si="494"/>
        <v>41.190000000000012</v>
      </c>
      <c r="U2513">
        <f t="shared" si="497"/>
        <v>0.3</v>
      </c>
      <c r="V2513">
        <f t="shared" si="493"/>
        <v>0.8849999999999999</v>
      </c>
    </row>
    <row r="2514" spans="1:22" x14ac:dyDescent="0.25">
      <c r="A2514" t="s">
        <v>4470</v>
      </c>
      <c r="B2514">
        <v>0</v>
      </c>
      <c r="C2514">
        <v>38.270000000000003</v>
      </c>
      <c r="E2514" t="s">
        <v>4470</v>
      </c>
      <c r="F2514">
        <v>0.6</v>
      </c>
      <c r="G2514">
        <v>119.79</v>
      </c>
      <c r="I2514" t="str" cm="1">
        <f t="array" ref="I2514:J2514">_xlfn.TEXTSPLIT(A2514," ")</f>
        <v>28.10.2023</v>
      </c>
      <c r="J2514" t="str">
        <v>17:56:48</v>
      </c>
      <c r="K2514">
        <f t="shared" si="498"/>
        <v>41.849999999998907</v>
      </c>
      <c r="L2514">
        <f t="shared" si="495"/>
        <v>23.950000000000003</v>
      </c>
      <c r="M2514">
        <f t="shared" si="496"/>
        <v>0</v>
      </c>
      <c r="N2514">
        <f t="shared" si="492"/>
        <v>0.50249999999999995</v>
      </c>
      <c r="Q2514" t="str" cm="1">
        <f t="array" ref="Q2514:R2514">_xlfn.TEXTSPLIT(E2514," ")</f>
        <v>28.10.2023</v>
      </c>
      <c r="R2514" t="str">
        <v>17:56:48</v>
      </c>
      <c r="S2514">
        <f t="shared" si="499"/>
        <v>41.849999999998907</v>
      </c>
      <c r="T2514">
        <f t="shared" si="494"/>
        <v>41.190000000000012</v>
      </c>
      <c r="U2514">
        <f t="shared" si="497"/>
        <v>0.6</v>
      </c>
      <c r="V2514">
        <f t="shared" si="493"/>
        <v>0.88749999999999984</v>
      </c>
    </row>
    <row r="2515" spans="1:22" x14ac:dyDescent="0.25">
      <c r="A2515" t="s">
        <v>4471</v>
      </c>
      <c r="B2515">
        <v>0</v>
      </c>
      <c r="C2515">
        <v>38.270000000000003</v>
      </c>
      <c r="E2515" t="s">
        <v>4471</v>
      </c>
      <c r="F2515">
        <v>0.6</v>
      </c>
      <c r="G2515">
        <v>119.81</v>
      </c>
      <c r="I2515" t="str" cm="1">
        <f t="array" ref="I2515:J2515">_xlfn.TEXTSPLIT(A2515," ")</f>
        <v>28.10.2023</v>
      </c>
      <c r="J2515" t="str">
        <v>17:57:48</v>
      </c>
      <c r="K2515">
        <f t="shared" si="498"/>
        <v>41.866666666665573</v>
      </c>
      <c r="L2515">
        <f t="shared" si="495"/>
        <v>23.950000000000003</v>
      </c>
      <c r="M2515">
        <f t="shared" si="496"/>
        <v>0</v>
      </c>
      <c r="N2515">
        <f t="shared" si="492"/>
        <v>0.50249999999999995</v>
      </c>
      <c r="Q2515" t="str" cm="1">
        <f t="array" ref="Q2515:R2515">_xlfn.TEXTSPLIT(E2515," ")</f>
        <v>28.10.2023</v>
      </c>
      <c r="R2515" t="str">
        <v>17:57:48</v>
      </c>
      <c r="S2515">
        <f t="shared" si="499"/>
        <v>41.866666666665573</v>
      </c>
      <c r="T2515">
        <f t="shared" si="494"/>
        <v>41.210000000000008</v>
      </c>
      <c r="U2515">
        <f t="shared" si="497"/>
        <v>0.6</v>
      </c>
      <c r="V2515">
        <f t="shared" si="493"/>
        <v>0.89249999999999985</v>
      </c>
    </row>
    <row r="2516" spans="1:22" x14ac:dyDescent="0.25">
      <c r="A2516" t="s">
        <v>4472</v>
      </c>
      <c r="B2516">
        <v>0</v>
      </c>
      <c r="C2516">
        <v>38.270000000000003</v>
      </c>
      <c r="E2516" t="s">
        <v>4472</v>
      </c>
      <c r="F2516">
        <v>0.6</v>
      </c>
      <c r="G2516">
        <v>119.82</v>
      </c>
      <c r="I2516" t="str" cm="1">
        <f t="array" ref="I2516:J2516">_xlfn.TEXTSPLIT(A2516," ")</f>
        <v>28.10.2023</v>
      </c>
      <c r="J2516" t="str">
        <v>17:58:48</v>
      </c>
      <c r="K2516">
        <f t="shared" si="498"/>
        <v>41.883333333332239</v>
      </c>
      <c r="L2516">
        <f t="shared" si="495"/>
        <v>23.950000000000003</v>
      </c>
      <c r="M2516">
        <f t="shared" si="496"/>
        <v>0</v>
      </c>
      <c r="N2516">
        <f t="shared" si="492"/>
        <v>0.50249999999999995</v>
      </c>
      <c r="Q2516" t="str" cm="1">
        <f t="array" ref="Q2516:R2516">_xlfn.TEXTSPLIT(E2516," ")</f>
        <v>28.10.2023</v>
      </c>
      <c r="R2516" t="str">
        <v>17:58:48</v>
      </c>
      <c r="S2516">
        <f t="shared" si="499"/>
        <v>41.883333333332239</v>
      </c>
      <c r="T2516">
        <f t="shared" si="494"/>
        <v>41.22</v>
      </c>
      <c r="U2516">
        <f t="shared" si="497"/>
        <v>0.6</v>
      </c>
      <c r="V2516">
        <f t="shared" si="493"/>
        <v>0.89499999999999991</v>
      </c>
    </row>
    <row r="2517" spans="1:22" x14ac:dyDescent="0.25">
      <c r="A2517" t="s">
        <v>4473</v>
      </c>
      <c r="B2517">
        <v>0</v>
      </c>
      <c r="C2517">
        <v>38.270000000000003</v>
      </c>
      <c r="E2517" t="s">
        <v>4473</v>
      </c>
      <c r="F2517">
        <v>0.6</v>
      </c>
      <c r="G2517">
        <v>119.83</v>
      </c>
      <c r="I2517" t="str" cm="1">
        <f t="array" ref="I2517:J2517">_xlfn.TEXTSPLIT(A2517," ")</f>
        <v>28.10.2023</v>
      </c>
      <c r="J2517" t="str">
        <v>17:59:48</v>
      </c>
      <c r="K2517">
        <f t="shared" si="498"/>
        <v>41.899999999998904</v>
      </c>
      <c r="L2517">
        <f t="shared" si="495"/>
        <v>23.950000000000003</v>
      </c>
      <c r="M2517">
        <f t="shared" si="496"/>
        <v>0</v>
      </c>
      <c r="N2517">
        <f t="shared" si="492"/>
        <v>0.4975</v>
      </c>
      <c r="Q2517" t="str" cm="1">
        <f t="array" ref="Q2517:R2517">_xlfn.TEXTSPLIT(E2517," ")</f>
        <v>28.10.2023</v>
      </c>
      <c r="R2517" t="str">
        <v>17:59:48</v>
      </c>
      <c r="S2517">
        <f t="shared" si="499"/>
        <v>41.899999999998904</v>
      </c>
      <c r="T2517">
        <f t="shared" si="494"/>
        <v>41.230000000000004</v>
      </c>
      <c r="U2517">
        <f t="shared" si="497"/>
        <v>0.6</v>
      </c>
      <c r="V2517">
        <f t="shared" si="493"/>
        <v>0.89499999999999991</v>
      </c>
    </row>
    <row r="2518" spans="1:22" x14ac:dyDescent="0.25">
      <c r="A2518" t="s">
        <v>4474</v>
      </c>
      <c r="B2518">
        <v>0</v>
      </c>
      <c r="C2518">
        <v>38.28</v>
      </c>
      <c r="E2518" t="s">
        <v>4474</v>
      </c>
      <c r="F2518">
        <v>0.6</v>
      </c>
      <c r="G2518">
        <v>119.84</v>
      </c>
      <c r="I2518" t="str" cm="1">
        <f t="array" ref="I2518:J2518">_xlfn.TEXTSPLIT(A2518," ")</f>
        <v>28.10.2023</v>
      </c>
      <c r="J2518" t="str">
        <v>18:00:48</v>
      </c>
      <c r="K2518">
        <f t="shared" si="498"/>
        <v>41.91666666666557</v>
      </c>
      <c r="L2518">
        <f t="shared" si="495"/>
        <v>23.96</v>
      </c>
      <c r="M2518">
        <f t="shared" si="496"/>
        <v>0</v>
      </c>
      <c r="N2518">
        <f t="shared" si="492"/>
        <v>0.495</v>
      </c>
      <c r="Q2518" t="str" cm="1">
        <f t="array" ref="Q2518:R2518">_xlfn.TEXTSPLIT(E2518," ")</f>
        <v>28.10.2023</v>
      </c>
      <c r="R2518" t="str">
        <v>18:00:48</v>
      </c>
      <c r="S2518">
        <f t="shared" si="499"/>
        <v>41.91666666666557</v>
      </c>
      <c r="T2518">
        <f t="shared" si="494"/>
        <v>41.240000000000009</v>
      </c>
      <c r="U2518">
        <f t="shared" si="497"/>
        <v>0.6</v>
      </c>
      <c r="V2518">
        <f t="shared" si="493"/>
        <v>0.89499999999999991</v>
      </c>
    </row>
    <row r="2519" spans="1:22" x14ac:dyDescent="0.25">
      <c r="A2519" t="s">
        <v>4475</v>
      </c>
      <c r="B2519">
        <v>0.3</v>
      </c>
      <c r="C2519">
        <v>38.28</v>
      </c>
      <c r="E2519" t="s">
        <v>4475</v>
      </c>
      <c r="F2519">
        <v>0.9</v>
      </c>
      <c r="G2519">
        <v>119.85</v>
      </c>
      <c r="I2519" t="str" cm="1">
        <f t="array" ref="I2519:J2519">_xlfn.TEXTSPLIT(A2519," ")</f>
        <v>28.10.2023</v>
      </c>
      <c r="J2519" t="str">
        <v>18:01:49</v>
      </c>
      <c r="K2519">
        <f t="shared" si="498"/>
        <v>41.933333333332236</v>
      </c>
      <c r="L2519">
        <f t="shared" si="495"/>
        <v>23.96</v>
      </c>
      <c r="M2519">
        <f t="shared" si="496"/>
        <v>0.3</v>
      </c>
      <c r="N2519">
        <f t="shared" si="492"/>
        <v>0.4975</v>
      </c>
      <c r="Q2519" t="str" cm="1">
        <f t="array" ref="Q2519:R2519">_xlfn.TEXTSPLIT(E2519," ")</f>
        <v>28.10.2023</v>
      </c>
      <c r="R2519" t="str">
        <v>18:01:49</v>
      </c>
      <c r="S2519">
        <f t="shared" si="499"/>
        <v>41.933333333332236</v>
      </c>
      <c r="T2519">
        <f t="shared" si="494"/>
        <v>41.25</v>
      </c>
      <c r="U2519">
        <f t="shared" si="497"/>
        <v>0.9</v>
      </c>
      <c r="V2519">
        <f t="shared" si="493"/>
        <v>0.89</v>
      </c>
    </row>
    <row r="2520" spans="1:22" x14ac:dyDescent="0.25">
      <c r="A2520" t="s">
        <v>4476</v>
      </c>
      <c r="B2520">
        <v>0.3</v>
      </c>
      <c r="C2520">
        <v>38.29</v>
      </c>
      <c r="E2520" t="s">
        <v>4476</v>
      </c>
      <c r="F2520">
        <v>0.6</v>
      </c>
      <c r="G2520">
        <v>119.86</v>
      </c>
      <c r="I2520" t="str" cm="1">
        <f t="array" ref="I2520:J2520">_xlfn.TEXTSPLIT(A2520," ")</f>
        <v>28.10.2023</v>
      </c>
      <c r="J2520" t="str">
        <v>18:02:49</v>
      </c>
      <c r="K2520">
        <f t="shared" si="498"/>
        <v>41.949999999998902</v>
      </c>
      <c r="L2520">
        <f t="shared" si="495"/>
        <v>23.97</v>
      </c>
      <c r="M2520">
        <f t="shared" si="496"/>
        <v>0.3</v>
      </c>
      <c r="N2520">
        <f t="shared" si="492"/>
        <v>0.49749999999999994</v>
      </c>
      <c r="Q2520" t="str" cm="1">
        <f t="array" ref="Q2520:R2520">_xlfn.TEXTSPLIT(E2520," ")</f>
        <v>28.10.2023</v>
      </c>
      <c r="R2520" t="str">
        <v>18:02:49</v>
      </c>
      <c r="S2520">
        <f t="shared" si="499"/>
        <v>41.949999999998902</v>
      </c>
      <c r="T2520">
        <f t="shared" si="494"/>
        <v>41.260000000000005</v>
      </c>
      <c r="U2520">
        <f t="shared" si="497"/>
        <v>0.6</v>
      </c>
      <c r="V2520">
        <f t="shared" si="493"/>
        <v>0.88500000000000001</v>
      </c>
    </row>
    <row r="2521" spans="1:22" x14ac:dyDescent="0.25">
      <c r="A2521" t="s">
        <v>4477</v>
      </c>
      <c r="B2521">
        <v>0.3</v>
      </c>
      <c r="C2521">
        <v>38.29</v>
      </c>
      <c r="E2521" t="s">
        <v>4477</v>
      </c>
      <c r="F2521">
        <v>0.6</v>
      </c>
      <c r="G2521">
        <v>119.87</v>
      </c>
      <c r="I2521" t="str" cm="1">
        <f t="array" ref="I2521:J2521">_xlfn.TEXTSPLIT(A2521," ")</f>
        <v>28.10.2023</v>
      </c>
      <c r="J2521" t="str">
        <v>18:03:49</v>
      </c>
      <c r="K2521">
        <f t="shared" si="498"/>
        <v>41.966666666665567</v>
      </c>
      <c r="L2521">
        <f t="shared" si="495"/>
        <v>23.97</v>
      </c>
      <c r="M2521">
        <f t="shared" si="496"/>
        <v>0.3</v>
      </c>
      <c r="N2521">
        <f t="shared" si="492"/>
        <v>0.4975</v>
      </c>
      <c r="Q2521" t="str" cm="1">
        <f t="array" ref="Q2521:R2521">_xlfn.TEXTSPLIT(E2521," ")</f>
        <v>28.10.2023</v>
      </c>
      <c r="R2521" t="str">
        <v>18:03:49</v>
      </c>
      <c r="S2521">
        <f t="shared" si="499"/>
        <v>41.966666666665567</v>
      </c>
      <c r="T2521">
        <f t="shared" si="494"/>
        <v>41.27000000000001</v>
      </c>
      <c r="U2521">
        <f t="shared" si="497"/>
        <v>0.6</v>
      </c>
      <c r="V2521">
        <f t="shared" si="493"/>
        <v>0.88250000000000006</v>
      </c>
    </row>
    <row r="2522" spans="1:22" x14ac:dyDescent="0.25">
      <c r="A2522" t="s">
        <v>4478</v>
      </c>
      <c r="B2522">
        <v>0.3</v>
      </c>
      <c r="C2522">
        <v>38.299999999999997</v>
      </c>
      <c r="E2522" t="s">
        <v>4478</v>
      </c>
      <c r="F2522">
        <v>0.6</v>
      </c>
      <c r="G2522">
        <v>119.89</v>
      </c>
      <c r="I2522" t="str" cm="1">
        <f t="array" ref="I2522:J2522">_xlfn.TEXTSPLIT(A2522," ")</f>
        <v>28.10.2023</v>
      </c>
      <c r="J2522" t="str">
        <v>18:04:49</v>
      </c>
      <c r="K2522">
        <f t="shared" si="498"/>
        <v>41.983333333332233</v>
      </c>
      <c r="L2522">
        <f t="shared" si="495"/>
        <v>23.979999999999997</v>
      </c>
      <c r="M2522">
        <f t="shared" si="496"/>
        <v>0.3</v>
      </c>
      <c r="N2522">
        <f t="shared" si="492"/>
        <v>0.50000000000000011</v>
      </c>
      <c r="Q2522" t="str" cm="1">
        <f t="array" ref="Q2522:R2522">_xlfn.TEXTSPLIT(E2522," ")</f>
        <v>28.10.2023</v>
      </c>
      <c r="R2522" t="str">
        <v>18:04:49</v>
      </c>
      <c r="S2522">
        <f t="shared" si="499"/>
        <v>41.983333333332233</v>
      </c>
      <c r="T2522">
        <f t="shared" si="494"/>
        <v>41.290000000000006</v>
      </c>
      <c r="U2522">
        <f t="shared" si="497"/>
        <v>0.6</v>
      </c>
      <c r="V2522">
        <f t="shared" si="493"/>
        <v>0.88000000000000012</v>
      </c>
    </row>
    <row r="2523" spans="1:22" x14ac:dyDescent="0.25">
      <c r="A2523" t="s">
        <v>4479</v>
      </c>
      <c r="B2523">
        <v>0.45</v>
      </c>
      <c r="C2523">
        <v>38.31</v>
      </c>
      <c r="E2523" t="s">
        <v>4479</v>
      </c>
      <c r="F2523">
        <v>1.05</v>
      </c>
      <c r="G2523">
        <v>119.92</v>
      </c>
      <c r="I2523" t="str" cm="1">
        <f t="array" ref="I2523:J2523">_xlfn.TEXTSPLIT(A2523," ")</f>
        <v>28.10.2023</v>
      </c>
      <c r="J2523" t="str">
        <v>18:05:49</v>
      </c>
      <c r="K2523">
        <f t="shared" si="498"/>
        <v>41.999999999998899</v>
      </c>
      <c r="L2523">
        <f t="shared" si="495"/>
        <v>23.990000000000002</v>
      </c>
      <c r="M2523">
        <f t="shared" si="496"/>
        <v>0.45</v>
      </c>
      <c r="N2523">
        <f t="shared" si="492"/>
        <v>0.5</v>
      </c>
      <c r="Q2523" t="str" cm="1">
        <f t="array" ref="Q2523:R2523">_xlfn.TEXTSPLIT(E2523," ")</f>
        <v>28.10.2023</v>
      </c>
      <c r="R2523" t="str">
        <v>18:05:49</v>
      </c>
      <c r="S2523">
        <f t="shared" si="499"/>
        <v>41.999999999998899</v>
      </c>
      <c r="T2523">
        <f t="shared" si="494"/>
        <v>41.320000000000007</v>
      </c>
      <c r="U2523">
        <f t="shared" si="497"/>
        <v>1.05</v>
      </c>
      <c r="V2523">
        <f t="shared" si="493"/>
        <v>0.88000000000000012</v>
      </c>
    </row>
    <row r="2524" spans="1:22" x14ac:dyDescent="0.25">
      <c r="A2524" t="s">
        <v>4480</v>
      </c>
      <c r="B2524">
        <v>0.3</v>
      </c>
      <c r="C2524">
        <v>38.33</v>
      </c>
      <c r="E2524" t="s">
        <v>4480</v>
      </c>
      <c r="F2524">
        <v>2.4</v>
      </c>
      <c r="G2524">
        <v>119.97</v>
      </c>
      <c r="I2524" t="str" cm="1">
        <f t="array" ref="I2524:J2524">_xlfn.TEXTSPLIT(A2524," ")</f>
        <v>28.10.2023</v>
      </c>
      <c r="J2524" t="str">
        <v>18:06:49</v>
      </c>
      <c r="K2524">
        <f t="shared" si="498"/>
        <v>42.016666666665564</v>
      </c>
      <c r="L2524">
        <f t="shared" si="495"/>
        <v>24.009999999999998</v>
      </c>
      <c r="M2524">
        <f t="shared" si="496"/>
        <v>0.3</v>
      </c>
      <c r="N2524">
        <f t="shared" si="492"/>
        <v>0.5</v>
      </c>
      <c r="Q2524" t="str" cm="1">
        <f t="array" ref="Q2524:R2524">_xlfn.TEXTSPLIT(E2524," ")</f>
        <v>28.10.2023</v>
      </c>
      <c r="R2524" t="str">
        <v>18:06:49</v>
      </c>
      <c r="S2524">
        <f t="shared" si="499"/>
        <v>42.016666666665564</v>
      </c>
      <c r="T2524">
        <f t="shared" si="494"/>
        <v>41.370000000000005</v>
      </c>
      <c r="U2524">
        <f t="shared" si="497"/>
        <v>2.4</v>
      </c>
      <c r="V2524">
        <f t="shared" si="493"/>
        <v>0.89250000000000007</v>
      </c>
    </row>
    <row r="2525" spans="1:22" x14ac:dyDescent="0.25">
      <c r="A2525" t="s">
        <v>4481</v>
      </c>
      <c r="B2525">
        <v>2.25</v>
      </c>
      <c r="C2525">
        <v>38.369999999999997</v>
      </c>
      <c r="E2525" t="s">
        <v>4481</v>
      </c>
      <c r="F2525">
        <v>2.7</v>
      </c>
      <c r="G2525">
        <v>119.99</v>
      </c>
      <c r="I2525" t="str" cm="1">
        <f t="array" ref="I2525:J2525">_xlfn.TEXTSPLIT(A2525," ")</f>
        <v>28.10.2023</v>
      </c>
      <c r="J2525" t="str">
        <v>18:07:49</v>
      </c>
      <c r="K2525">
        <f t="shared" si="498"/>
        <v>42.03333333333223</v>
      </c>
      <c r="L2525">
        <f t="shared" si="495"/>
        <v>24.049999999999997</v>
      </c>
      <c r="M2525">
        <f t="shared" si="496"/>
        <v>2.25</v>
      </c>
      <c r="N2525">
        <f t="shared" si="492"/>
        <v>0.505</v>
      </c>
      <c r="Q2525" t="str" cm="1">
        <f t="array" ref="Q2525:R2525">_xlfn.TEXTSPLIT(E2525," ")</f>
        <v>28.10.2023</v>
      </c>
      <c r="R2525" t="str">
        <v>18:07:49</v>
      </c>
      <c r="S2525">
        <f t="shared" si="499"/>
        <v>42.03333333333223</v>
      </c>
      <c r="T2525">
        <f t="shared" si="494"/>
        <v>41.39</v>
      </c>
      <c r="U2525">
        <f t="shared" si="497"/>
        <v>2.7</v>
      </c>
      <c r="V2525">
        <f t="shared" si="493"/>
        <v>0.89250000000000007</v>
      </c>
    </row>
    <row r="2526" spans="1:22" x14ac:dyDescent="0.25">
      <c r="A2526" t="s">
        <v>4482</v>
      </c>
      <c r="B2526">
        <v>1.8</v>
      </c>
      <c r="C2526">
        <v>38.39</v>
      </c>
      <c r="E2526" t="s">
        <v>4482</v>
      </c>
      <c r="F2526">
        <v>1.35</v>
      </c>
      <c r="G2526">
        <v>120.01</v>
      </c>
      <c r="I2526" t="str" cm="1">
        <f t="array" ref="I2526:J2526">_xlfn.TEXTSPLIT(A2526," ")</f>
        <v>28.10.2023</v>
      </c>
      <c r="J2526" t="str">
        <v>18:08:49</v>
      </c>
      <c r="K2526">
        <f t="shared" si="498"/>
        <v>42.049999999998896</v>
      </c>
      <c r="L2526">
        <f t="shared" si="495"/>
        <v>24.07</v>
      </c>
      <c r="M2526">
        <f t="shared" si="496"/>
        <v>1.8</v>
      </c>
      <c r="N2526">
        <f t="shared" si="492"/>
        <v>0.5</v>
      </c>
      <c r="Q2526" t="str" cm="1">
        <f t="array" ref="Q2526:R2526">_xlfn.TEXTSPLIT(E2526," ")</f>
        <v>28.10.2023</v>
      </c>
      <c r="R2526" t="str">
        <v>18:08:49</v>
      </c>
      <c r="S2526">
        <f t="shared" si="499"/>
        <v>42.049999999998896</v>
      </c>
      <c r="T2526">
        <f t="shared" si="494"/>
        <v>41.410000000000011</v>
      </c>
      <c r="U2526">
        <f t="shared" si="497"/>
        <v>1.35</v>
      </c>
      <c r="V2526">
        <f t="shared" si="493"/>
        <v>0.88000000000000012</v>
      </c>
    </row>
    <row r="2527" spans="1:22" x14ac:dyDescent="0.25">
      <c r="A2527" t="s">
        <v>4483</v>
      </c>
      <c r="B2527">
        <v>1.2</v>
      </c>
      <c r="C2527">
        <v>38.409999999999997</v>
      </c>
      <c r="E2527" t="s">
        <v>4483</v>
      </c>
      <c r="F2527">
        <v>1.05</v>
      </c>
      <c r="G2527">
        <v>120.03</v>
      </c>
      <c r="I2527" t="str" cm="1">
        <f t="array" ref="I2527:J2527">_xlfn.TEXTSPLIT(A2527," ")</f>
        <v>28.10.2023</v>
      </c>
      <c r="J2527" t="str">
        <v>18:09:50</v>
      </c>
      <c r="K2527">
        <f t="shared" si="498"/>
        <v>42.066666666665562</v>
      </c>
      <c r="L2527">
        <f t="shared" si="495"/>
        <v>24.089999999999996</v>
      </c>
      <c r="M2527">
        <f t="shared" si="496"/>
        <v>1.2</v>
      </c>
      <c r="N2527">
        <f t="shared" si="492"/>
        <v>0.495</v>
      </c>
      <c r="Q2527" t="str" cm="1">
        <f t="array" ref="Q2527:R2527">_xlfn.TEXTSPLIT(E2527," ")</f>
        <v>28.10.2023</v>
      </c>
      <c r="R2527" t="str">
        <v>18:09:50</v>
      </c>
      <c r="S2527">
        <f t="shared" si="499"/>
        <v>42.066666666665562</v>
      </c>
      <c r="T2527">
        <f t="shared" si="494"/>
        <v>41.430000000000007</v>
      </c>
      <c r="U2527">
        <f t="shared" si="497"/>
        <v>1.05</v>
      </c>
      <c r="V2527">
        <f t="shared" si="493"/>
        <v>0.87749999999999995</v>
      </c>
    </row>
    <row r="2528" spans="1:22" x14ac:dyDescent="0.25">
      <c r="A2528" t="s">
        <v>4484</v>
      </c>
      <c r="B2528">
        <v>0.6</v>
      </c>
      <c r="C2528">
        <v>38.42</v>
      </c>
      <c r="E2528" t="s">
        <v>4484</v>
      </c>
      <c r="F2528">
        <v>1.05</v>
      </c>
      <c r="G2528">
        <v>120.05</v>
      </c>
      <c r="I2528" t="str" cm="1">
        <f t="array" ref="I2528:J2528">_xlfn.TEXTSPLIT(A2528," ")</f>
        <v>28.10.2023</v>
      </c>
      <c r="J2528" t="str">
        <v>18:10:50</v>
      </c>
      <c r="K2528">
        <f t="shared" si="498"/>
        <v>42.083333333332227</v>
      </c>
      <c r="L2528">
        <f t="shared" si="495"/>
        <v>24.1</v>
      </c>
      <c r="M2528">
        <f t="shared" si="496"/>
        <v>0.6</v>
      </c>
      <c r="N2528">
        <f t="shared" si="492"/>
        <v>0.48749999999999999</v>
      </c>
      <c r="Q2528" t="str" cm="1">
        <f t="array" ref="Q2528:R2528">_xlfn.TEXTSPLIT(E2528," ")</f>
        <v>28.10.2023</v>
      </c>
      <c r="R2528" t="str">
        <v>18:10:50</v>
      </c>
      <c r="S2528">
        <f t="shared" si="499"/>
        <v>42.083333333332227</v>
      </c>
      <c r="T2528">
        <f t="shared" si="494"/>
        <v>41.45</v>
      </c>
      <c r="U2528">
        <f t="shared" si="497"/>
        <v>1.05</v>
      </c>
      <c r="V2528">
        <f t="shared" si="493"/>
        <v>0.87749999999999984</v>
      </c>
    </row>
    <row r="2529" spans="1:22" x14ac:dyDescent="0.25">
      <c r="A2529" t="s">
        <v>4485</v>
      </c>
      <c r="B2529">
        <v>0.6</v>
      </c>
      <c r="C2529">
        <v>38.43</v>
      </c>
      <c r="E2529" t="s">
        <v>4485</v>
      </c>
      <c r="F2529">
        <v>1.35</v>
      </c>
      <c r="G2529">
        <v>120.07</v>
      </c>
      <c r="I2529" t="str" cm="1">
        <f t="array" ref="I2529:J2529">_xlfn.TEXTSPLIT(A2529," ")</f>
        <v>28.10.2023</v>
      </c>
      <c r="J2529" t="str">
        <v>18:11:50</v>
      </c>
      <c r="K2529">
        <f t="shared" si="498"/>
        <v>42.099999999998893</v>
      </c>
      <c r="L2529">
        <f t="shared" si="495"/>
        <v>24.11</v>
      </c>
      <c r="M2529">
        <f t="shared" si="496"/>
        <v>0.6</v>
      </c>
      <c r="N2529">
        <f t="shared" si="492"/>
        <v>0.48000000000000009</v>
      </c>
      <c r="Q2529" t="str" cm="1">
        <f t="array" ref="Q2529:R2529">_xlfn.TEXTSPLIT(E2529," ")</f>
        <v>28.10.2023</v>
      </c>
      <c r="R2529" t="str">
        <v>18:11:50</v>
      </c>
      <c r="S2529">
        <f t="shared" si="499"/>
        <v>42.099999999998893</v>
      </c>
      <c r="T2529">
        <f t="shared" si="494"/>
        <v>41.47</v>
      </c>
      <c r="U2529">
        <f t="shared" si="497"/>
        <v>1.35</v>
      </c>
      <c r="V2529">
        <f t="shared" si="493"/>
        <v>0.87249999999999994</v>
      </c>
    </row>
    <row r="2530" spans="1:22" x14ac:dyDescent="0.25">
      <c r="A2530" t="s">
        <v>4486</v>
      </c>
      <c r="B2530">
        <v>0.6</v>
      </c>
      <c r="C2530">
        <v>38.44</v>
      </c>
      <c r="E2530" t="s">
        <v>4486</v>
      </c>
      <c r="F2530">
        <v>1.05</v>
      </c>
      <c r="G2530">
        <v>120.09</v>
      </c>
      <c r="I2530" t="str" cm="1">
        <f t="array" ref="I2530:J2530">_xlfn.TEXTSPLIT(A2530," ")</f>
        <v>28.10.2023</v>
      </c>
      <c r="J2530" t="str">
        <v>18:12:50</v>
      </c>
      <c r="K2530">
        <f t="shared" si="498"/>
        <v>42.116666666665559</v>
      </c>
      <c r="L2530">
        <f t="shared" si="495"/>
        <v>24.119999999999997</v>
      </c>
      <c r="M2530">
        <f t="shared" si="496"/>
        <v>0.6</v>
      </c>
      <c r="N2530">
        <f t="shared" si="492"/>
        <v>0.47500000000000014</v>
      </c>
      <c r="Q2530" t="str" cm="1">
        <f t="array" ref="Q2530:R2530">_xlfn.TEXTSPLIT(E2530," ")</f>
        <v>28.10.2023</v>
      </c>
      <c r="R2530" t="str">
        <v>18:12:50</v>
      </c>
      <c r="S2530">
        <f t="shared" si="499"/>
        <v>42.116666666665559</v>
      </c>
      <c r="T2530">
        <f t="shared" si="494"/>
        <v>41.490000000000009</v>
      </c>
      <c r="U2530">
        <f t="shared" si="497"/>
        <v>1.05</v>
      </c>
      <c r="V2530">
        <f t="shared" si="493"/>
        <v>0.86249999999999993</v>
      </c>
    </row>
    <row r="2531" spans="1:22" x14ac:dyDescent="0.25">
      <c r="A2531" t="s">
        <v>4487</v>
      </c>
      <c r="B2531">
        <v>0.3</v>
      </c>
      <c r="C2531">
        <v>38.450000000000003</v>
      </c>
      <c r="E2531" t="s">
        <v>4487</v>
      </c>
      <c r="F2531">
        <v>1.05</v>
      </c>
      <c r="G2531">
        <v>120.1</v>
      </c>
      <c r="I2531" t="str" cm="1">
        <f t="array" ref="I2531:J2531">_xlfn.TEXTSPLIT(A2531," ")</f>
        <v>28.10.2023</v>
      </c>
      <c r="J2531" t="str">
        <v>18:13:50</v>
      </c>
      <c r="K2531">
        <f t="shared" si="498"/>
        <v>42.133333333332224</v>
      </c>
      <c r="L2531">
        <f t="shared" si="495"/>
        <v>24.130000000000003</v>
      </c>
      <c r="M2531">
        <f t="shared" si="496"/>
        <v>0.3</v>
      </c>
      <c r="N2531">
        <f t="shared" si="492"/>
        <v>0.46250000000000013</v>
      </c>
      <c r="Q2531" t="str" cm="1">
        <f t="array" ref="Q2531:R2531">_xlfn.TEXTSPLIT(E2531," ")</f>
        <v>28.10.2023</v>
      </c>
      <c r="R2531" t="str">
        <v>18:13:50</v>
      </c>
      <c r="S2531">
        <f t="shared" si="499"/>
        <v>42.133333333332224</v>
      </c>
      <c r="T2531">
        <f t="shared" si="494"/>
        <v>41.5</v>
      </c>
      <c r="U2531">
        <f t="shared" si="497"/>
        <v>1.05</v>
      </c>
      <c r="V2531">
        <f t="shared" si="493"/>
        <v>0.85499999999999987</v>
      </c>
    </row>
    <row r="2532" spans="1:22" x14ac:dyDescent="0.25">
      <c r="A2532" t="s">
        <v>4488</v>
      </c>
      <c r="B2532">
        <v>0.75</v>
      </c>
      <c r="C2532">
        <v>38.46</v>
      </c>
      <c r="E2532" t="s">
        <v>4488</v>
      </c>
      <c r="F2532">
        <v>0.6</v>
      </c>
      <c r="G2532">
        <v>120.11</v>
      </c>
      <c r="I2532" t="str" cm="1">
        <f t="array" ref="I2532:J2532">_xlfn.TEXTSPLIT(A2532," ")</f>
        <v>28.10.2023</v>
      </c>
      <c r="J2532" t="str">
        <v>18:14:50</v>
      </c>
      <c r="K2532">
        <f t="shared" si="498"/>
        <v>42.14999999999889</v>
      </c>
      <c r="L2532">
        <f t="shared" si="495"/>
        <v>24.14</v>
      </c>
      <c r="M2532">
        <f t="shared" si="496"/>
        <v>0.75</v>
      </c>
      <c r="N2532">
        <f t="shared" si="492"/>
        <v>0.45750000000000013</v>
      </c>
      <c r="Q2532" t="str" cm="1">
        <f t="array" ref="Q2532:R2532">_xlfn.TEXTSPLIT(E2532," ")</f>
        <v>28.10.2023</v>
      </c>
      <c r="R2532" t="str">
        <v>18:14:50</v>
      </c>
      <c r="S2532">
        <f t="shared" si="499"/>
        <v>42.14999999999889</v>
      </c>
      <c r="T2532">
        <f t="shared" si="494"/>
        <v>41.510000000000005</v>
      </c>
      <c r="U2532">
        <f t="shared" si="497"/>
        <v>0.6</v>
      </c>
      <c r="V2532">
        <f t="shared" si="493"/>
        <v>0.84999999999999987</v>
      </c>
    </row>
    <row r="2533" spans="1:22" x14ac:dyDescent="0.25">
      <c r="A2533" t="s">
        <v>4489</v>
      </c>
      <c r="B2533">
        <v>0.6</v>
      </c>
      <c r="C2533">
        <v>38.47</v>
      </c>
      <c r="E2533" t="s">
        <v>4489</v>
      </c>
      <c r="F2533">
        <v>0.6</v>
      </c>
      <c r="G2533">
        <v>120.12</v>
      </c>
      <c r="I2533" t="str" cm="1">
        <f t="array" ref="I2533:J2533">_xlfn.TEXTSPLIT(A2533," ")</f>
        <v>28.10.2023</v>
      </c>
      <c r="J2533" t="str">
        <v>18:15:51</v>
      </c>
      <c r="K2533">
        <f t="shared" si="498"/>
        <v>42.166666666665556</v>
      </c>
      <c r="L2533">
        <f t="shared" si="495"/>
        <v>24.15</v>
      </c>
      <c r="M2533">
        <f t="shared" si="496"/>
        <v>0.6</v>
      </c>
      <c r="N2533">
        <f t="shared" si="492"/>
        <v>0.46000000000000013</v>
      </c>
      <c r="Q2533" t="str" cm="1">
        <f t="array" ref="Q2533:R2533">_xlfn.TEXTSPLIT(E2533," ")</f>
        <v>28.10.2023</v>
      </c>
      <c r="R2533" t="str">
        <v>18:15:51</v>
      </c>
      <c r="S2533">
        <f t="shared" si="499"/>
        <v>42.166666666665556</v>
      </c>
      <c r="T2533">
        <f t="shared" si="494"/>
        <v>41.52000000000001</v>
      </c>
      <c r="U2533">
        <f t="shared" si="497"/>
        <v>0.6</v>
      </c>
      <c r="V2533">
        <f t="shared" si="493"/>
        <v>0.84499999999999997</v>
      </c>
    </row>
    <row r="2534" spans="1:22" x14ac:dyDescent="0.25">
      <c r="A2534" t="s">
        <v>4490</v>
      </c>
      <c r="B2534">
        <v>0.6</v>
      </c>
      <c r="C2534">
        <v>38.47</v>
      </c>
      <c r="E2534" t="s">
        <v>4490</v>
      </c>
      <c r="F2534">
        <v>0.6</v>
      </c>
      <c r="G2534">
        <v>120.13</v>
      </c>
      <c r="I2534" t="str" cm="1">
        <f t="array" ref="I2534:J2534">_xlfn.TEXTSPLIT(A2534," ")</f>
        <v>28.10.2023</v>
      </c>
      <c r="J2534" t="str">
        <v>18:16:51</v>
      </c>
      <c r="K2534">
        <f t="shared" si="498"/>
        <v>42.183333333332222</v>
      </c>
      <c r="L2534">
        <f t="shared" si="495"/>
        <v>24.15</v>
      </c>
      <c r="M2534">
        <f t="shared" si="496"/>
        <v>0.6</v>
      </c>
      <c r="N2534">
        <f t="shared" si="492"/>
        <v>0.45750000000000018</v>
      </c>
      <c r="Q2534" t="str" cm="1">
        <f t="array" ref="Q2534:R2534">_xlfn.TEXTSPLIT(E2534," ")</f>
        <v>28.10.2023</v>
      </c>
      <c r="R2534" t="str">
        <v>18:16:51</v>
      </c>
      <c r="S2534">
        <f t="shared" si="499"/>
        <v>42.183333333332222</v>
      </c>
      <c r="T2534">
        <f t="shared" si="494"/>
        <v>41.53</v>
      </c>
      <c r="U2534">
        <f t="shared" si="497"/>
        <v>0.6</v>
      </c>
      <c r="V2534">
        <f t="shared" si="493"/>
        <v>0.84249999999999992</v>
      </c>
    </row>
    <row r="2535" spans="1:22" x14ac:dyDescent="0.25">
      <c r="A2535" t="s">
        <v>4491</v>
      </c>
      <c r="B2535">
        <v>0.45</v>
      </c>
      <c r="C2535">
        <v>38.479999999999997</v>
      </c>
      <c r="E2535" t="s">
        <v>4491</v>
      </c>
      <c r="F2535">
        <v>0.6</v>
      </c>
      <c r="G2535">
        <v>120.14</v>
      </c>
      <c r="I2535" t="str" cm="1">
        <f t="array" ref="I2535:J2535">_xlfn.TEXTSPLIT(A2535," ")</f>
        <v>28.10.2023</v>
      </c>
      <c r="J2535" t="str">
        <v>18:17:51</v>
      </c>
      <c r="K2535">
        <f t="shared" si="498"/>
        <v>42.199999999998887</v>
      </c>
      <c r="L2535">
        <f t="shared" si="495"/>
        <v>24.159999999999997</v>
      </c>
      <c r="M2535">
        <f t="shared" si="496"/>
        <v>0.45</v>
      </c>
      <c r="N2535">
        <f t="shared" si="492"/>
        <v>0.46000000000000013</v>
      </c>
      <c r="Q2535" t="str" cm="1">
        <f t="array" ref="Q2535:R2535">_xlfn.TEXTSPLIT(E2535," ")</f>
        <v>28.10.2023</v>
      </c>
      <c r="R2535" t="str">
        <v>18:17:51</v>
      </c>
      <c r="S2535">
        <f t="shared" si="499"/>
        <v>42.199999999998887</v>
      </c>
      <c r="T2535">
        <f t="shared" si="494"/>
        <v>41.540000000000006</v>
      </c>
      <c r="U2535">
        <f t="shared" si="497"/>
        <v>0.6</v>
      </c>
      <c r="V2535">
        <f t="shared" si="493"/>
        <v>0.83500000000000008</v>
      </c>
    </row>
    <row r="2536" spans="1:22" x14ac:dyDescent="0.25">
      <c r="A2536" t="s">
        <v>4492</v>
      </c>
      <c r="B2536">
        <v>0.45</v>
      </c>
      <c r="C2536">
        <v>38.49</v>
      </c>
      <c r="E2536" t="s">
        <v>4492</v>
      </c>
      <c r="F2536">
        <v>0.75</v>
      </c>
      <c r="G2536">
        <v>120.16</v>
      </c>
      <c r="I2536" t="str" cm="1">
        <f t="array" ref="I2536:J2536">_xlfn.TEXTSPLIT(A2536," ")</f>
        <v>28.10.2023</v>
      </c>
      <c r="J2536" t="str">
        <v>18:18:51</v>
      </c>
      <c r="K2536">
        <f t="shared" si="498"/>
        <v>42.216666666665553</v>
      </c>
      <c r="L2536">
        <f t="shared" si="495"/>
        <v>24.17</v>
      </c>
      <c r="M2536">
        <f t="shared" si="496"/>
        <v>0.45</v>
      </c>
      <c r="N2536">
        <f t="shared" si="492"/>
        <v>0.45750000000000018</v>
      </c>
      <c r="Q2536" t="str" cm="1">
        <f t="array" ref="Q2536:R2536">_xlfn.TEXTSPLIT(E2536," ")</f>
        <v>28.10.2023</v>
      </c>
      <c r="R2536" t="str">
        <v>18:18:51</v>
      </c>
      <c r="S2536">
        <f t="shared" si="499"/>
        <v>42.216666666665553</v>
      </c>
      <c r="T2536">
        <f t="shared" si="494"/>
        <v>41.56</v>
      </c>
      <c r="U2536">
        <f t="shared" si="497"/>
        <v>0.75</v>
      </c>
      <c r="V2536">
        <f t="shared" si="493"/>
        <v>0.83000000000000007</v>
      </c>
    </row>
    <row r="2537" spans="1:22" x14ac:dyDescent="0.25">
      <c r="A2537" t="s">
        <v>4493</v>
      </c>
      <c r="B2537">
        <v>0.3</v>
      </c>
      <c r="C2537">
        <v>38.49</v>
      </c>
      <c r="E2537" t="s">
        <v>4493</v>
      </c>
      <c r="F2537">
        <v>0.9</v>
      </c>
      <c r="G2537">
        <v>120.17</v>
      </c>
      <c r="I2537" t="str" cm="1">
        <f t="array" ref="I2537:J2537">_xlfn.TEXTSPLIT(A2537," ")</f>
        <v>28.10.2023</v>
      </c>
      <c r="J2537" t="str">
        <v>18:19:51</v>
      </c>
      <c r="K2537">
        <f t="shared" si="498"/>
        <v>42.233333333332219</v>
      </c>
      <c r="L2537">
        <f t="shared" si="495"/>
        <v>24.17</v>
      </c>
      <c r="M2537">
        <f t="shared" si="496"/>
        <v>0.3</v>
      </c>
      <c r="N2537">
        <f t="shared" si="492"/>
        <v>0.45750000000000018</v>
      </c>
      <c r="Q2537" t="str" cm="1">
        <f t="array" ref="Q2537:R2537">_xlfn.TEXTSPLIT(E2537," ")</f>
        <v>28.10.2023</v>
      </c>
      <c r="R2537" t="str">
        <v>18:19:51</v>
      </c>
      <c r="S2537">
        <f t="shared" si="499"/>
        <v>42.233333333332219</v>
      </c>
      <c r="T2537">
        <f t="shared" si="494"/>
        <v>41.570000000000007</v>
      </c>
      <c r="U2537">
        <f t="shared" si="497"/>
        <v>0.9</v>
      </c>
      <c r="V2537">
        <f t="shared" si="493"/>
        <v>0.82750000000000012</v>
      </c>
    </row>
    <row r="2538" spans="1:22" x14ac:dyDescent="0.25">
      <c r="A2538" t="s">
        <v>4494</v>
      </c>
      <c r="B2538">
        <v>0.45</v>
      </c>
      <c r="C2538">
        <v>38.5</v>
      </c>
      <c r="E2538" t="s">
        <v>4494</v>
      </c>
      <c r="F2538">
        <v>0.6</v>
      </c>
      <c r="G2538">
        <v>120.17</v>
      </c>
      <c r="I2538" t="str" cm="1">
        <f t="array" ref="I2538:J2538">_xlfn.TEXTSPLIT(A2538," ")</f>
        <v>28.10.2023</v>
      </c>
      <c r="J2538" t="str">
        <v>18:20:51</v>
      </c>
      <c r="K2538">
        <f t="shared" si="498"/>
        <v>42.249999999998884</v>
      </c>
      <c r="L2538">
        <f t="shared" si="495"/>
        <v>24.18</v>
      </c>
      <c r="M2538">
        <f t="shared" si="496"/>
        <v>0.45</v>
      </c>
      <c r="N2538">
        <f t="shared" si="492"/>
        <v>0.46000000000000019</v>
      </c>
      <c r="Q2538" t="str" cm="1">
        <f t="array" ref="Q2538:R2538">_xlfn.TEXTSPLIT(E2538," ")</f>
        <v>28.10.2023</v>
      </c>
      <c r="R2538" t="str">
        <v>18:20:51</v>
      </c>
      <c r="S2538">
        <f t="shared" si="499"/>
        <v>42.249999999998884</v>
      </c>
      <c r="T2538">
        <f t="shared" si="494"/>
        <v>41.570000000000007</v>
      </c>
      <c r="U2538">
        <f t="shared" si="497"/>
        <v>0.6</v>
      </c>
      <c r="V2538">
        <f t="shared" si="493"/>
        <v>0.82500000000000007</v>
      </c>
    </row>
    <row r="2539" spans="1:22" x14ac:dyDescent="0.25">
      <c r="A2539" t="s">
        <v>4495</v>
      </c>
      <c r="B2539">
        <v>0.3</v>
      </c>
      <c r="C2539">
        <v>38.5</v>
      </c>
      <c r="E2539" t="s">
        <v>4495</v>
      </c>
      <c r="F2539">
        <v>0.3</v>
      </c>
      <c r="G2539">
        <v>120.18</v>
      </c>
      <c r="I2539" t="str" cm="1">
        <f t="array" ref="I2539:J2539">_xlfn.TEXTSPLIT(A2539," ")</f>
        <v>28.10.2023</v>
      </c>
      <c r="J2539" t="str">
        <v>18:21:51</v>
      </c>
      <c r="K2539">
        <f t="shared" si="498"/>
        <v>42.26666666666555</v>
      </c>
      <c r="L2539">
        <f t="shared" si="495"/>
        <v>24.18</v>
      </c>
      <c r="M2539">
        <f t="shared" si="496"/>
        <v>0.3</v>
      </c>
      <c r="N2539">
        <f t="shared" si="492"/>
        <v>0.45500000000000013</v>
      </c>
      <c r="Q2539" t="str" cm="1">
        <f t="array" ref="Q2539:R2539">_xlfn.TEXTSPLIT(E2539," ")</f>
        <v>28.10.2023</v>
      </c>
      <c r="R2539" t="str">
        <v>18:21:51</v>
      </c>
      <c r="S2539">
        <f t="shared" si="499"/>
        <v>42.26666666666555</v>
      </c>
      <c r="T2539">
        <f t="shared" si="494"/>
        <v>41.580000000000013</v>
      </c>
      <c r="U2539">
        <f t="shared" si="497"/>
        <v>0.3</v>
      </c>
      <c r="V2539">
        <f t="shared" si="493"/>
        <v>0.82500000000000007</v>
      </c>
    </row>
    <row r="2540" spans="1:22" x14ac:dyDescent="0.25">
      <c r="A2540" t="s">
        <v>4496</v>
      </c>
      <c r="B2540">
        <v>0</v>
      </c>
      <c r="C2540">
        <v>38.5</v>
      </c>
      <c r="E2540" t="s">
        <v>4496</v>
      </c>
      <c r="F2540">
        <v>0.3</v>
      </c>
      <c r="G2540">
        <v>120.19</v>
      </c>
      <c r="I2540" t="str" cm="1">
        <f t="array" ref="I2540:J2540">_xlfn.TEXTSPLIT(A2540," ")</f>
        <v>28.10.2023</v>
      </c>
      <c r="J2540" t="str">
        <v>18:22:52</v>
      </c>
      <c r="K2540">
        <f t="shared" si="498"/>
        <v>42.283333333332216</v>
      </c>
      <c r="L2540">
        <f t="shared" si="495"/>
        <v>24.18</v>
      </c>
      <c r="M2540">
        <f t="shared" si="496"/>
        <v>0</v>
      </c>
      <c r="N2540">
        <f t="shared" si="492"/>
        <v>0.45500000000000013</v>
      </c>
      <c r="Q2540" t="str" cm="1">
        <f t="array" ref="Q2540:R2540">_xlfn.TEXTSPLIT(E2540," ")</f>
        <v>28.10.2023</v>
      </c>
      <c r="R2540" t="str">
        <v>18:22:52</v>
      </c>
      <c r="S2540">
        <f t="shared" si="499"/>
        <v>42.283333333332216</v>
      </c>
      <c r="T2540">
        <f t="shared" si="494"/>
        <v>41.59</v>
      </c>
      <c r="U2540">
        <f t="shared" si="497"/>
        <v>0.3</v>
      </c>
      <c r="V2540">
        <f t="shared" si="493"/>
        <v>0.82750000000000001</v>
      </c>
    </row>
    <row r="2541" spans="1:22" x14ac:dyDescent="0.25">
      <c r="A2541" t="s">
        <v>4497</v>
      </c>
      <c r="B2541">
        <v>0</v>
      </c>
      <c r="C2541">
        <v>38.5</v>
      </c>
      <c r="E2541" t="s">
        <v>4497</v>
      </c>
      <c r="F2541">
        <v>0.3</v>
      </c>
      <c r="G2541">
        <v>120.19</v>
      </c>
      <c r="I2541" t="str" cm="1">
        <f t="array" ref="I2541:J2541">_xlfn.TEXTSPLIT(A2541," ")</f>
        <v>28.10.2023</v>
      </c>
      <c r="J2541" t="str">
        <v>18:23:52</v>
      </c>
      <c r="K2541">
        <f t="shared" si="498"/>
        <v>42.299999999998882</v>
      </c>
      <c r="L2541">
        <f t="shared" si="495"/>
        <v>24.18</v>
      </c>
      <c r="M2541">
        <f t="shared" si="496"/>
        <v>0</v>
      </c>
      <c r="N2541">
        <f t="shared" si="492"/>
        <v>0.45500000000000013</v>
      </c>
      <c r="Q2541" t="str" cm="1">
        <f t="array" ref="Q2541:R2541">_xlfn.TEXTSPLIT(E2541," ")</f>
        <v>28.10.2023</v>
      </c>
      <c r="R2541" t="str">
        <v>18:23:52</v>
      </c>
      <c r="S2541">
        <f t="shared" si="499"/>
        <v>42.299999999998882</v>
      </c>
      <c r="T2541">
        <f t="shared" si="494"/>
        <v>41.59</v>
      </c>
      <c r="U2541">
        <f t="shared" si="497"/>
        <v>0.3</v>
      </c>
      <c r="V2541">
        <f t="shared" si="493"/>
        <v>0.82750000000000001</v>
      </c>
    </row>
    <row r="2542" spans="1:22" x14ac:dyDescent="0.25">
      <c r="A2542" t="s">
        <v>4498</v>
      </c>
      <c r="B2542">
        <v>0</v>
      </c>
      <c r="C2542">
        <v>38.5</v>
      </c>
      <c r="E2542" t="s">
        <v>4498</v>
      </c>
      <c r="F2542">
        <v>0.45</v>
      </c>
      <c r="G2542">
        <v>120.2</v>
      </c>
      <c r="I2542" t="str" cm="1">
        <f t="array" ref="I2542:J2542">_xlfn.TEXTSPLIT(A2542," ")</f>
        <v>28.10.2023</v>
      </c>
      <c r="J2542" t="str">
        <v>18:24:52</v>
      </c>
      <c r="K2542">
        <f t="shared" si="498"/>
        <v>42.316666666665547</v>
      </c>
      <c r="L2542">
        <f t="shared" si="495"/>
        <v>24.18</v>
      </c>
      <c r="M2542">
        <f t="shared" si="496"/>
        <v>0</v>
      </c>
      <c r="N2542">
        <f t="shared" si="492"/>
        <v>0.45500000000000013</v>
      </c>
      <c r="Q2542" t="str" cm="1">
        <f t="array" ref="Q2542:R2542">_xlfn.TEXTSPLIT(E2542," ")</f>
        <v>28.10.2023</v>
      </c>
      <c r="R2542" t="str">
        <v>18:24:52</v>
      </c>
      <c r="S2542">
        <f t="shared" si="499"/>
        <v>42.316666666665547</v>
      </c>
      <c r="T2542">
        <f t="shared" si="494"/>
        <v>41.600000000000009</v>
      </c>
      <c r="U2542">
        <f t="shared" si="497"/>
        <v>0.45</v>
      </c>
      <c r="V2542">
        <f t="shared" si="493"/>
        <v>0.83000000000000007</v>
      </c>
    </row>
    <row r="2543" spans="1:22" x14ac:dyDescent="0.25">
      <c r="A2543" t="s">
        <v>4499</v>
      </c>
      <c r="B2543">
        <v>0</v>
      </c>
      <c r="C2543">
        <v>38.5</v>
      </c>
      <c r="E2543" t="s">
        <v>4499</v>
      </c>
      <c r="F2543">
        <v>0.3</v>
      </c>
      <c r="G2543">
        <v>120.21</v>
      </c>
      <c r="I2543" t="str" cm="1">
        <f t="array" ref="I2543:J2543">_xlfn.TEXTSPLIT(A2543," ")</f>
        <v>28.10.2023</v>
      </c>
      <c r="J2543" t="str">
        <v>18:25:52</v>
      </c>
      <c r="K2543">
        <f t="shared" si="498"/>
        <v>42.333333333332213</v>
      </c>
      <c r="L2543">
        <f t="shared" si="495"/>
        <v>24.18</v>
      </c>
      <c r="M2543">
        <f t="shared" si="496"/>
        <v>0</v>
      </c>
      <c r="N2543">
        <f t="shared" si="492"/>
        <v>0.45500000000000013</v>
      </c>
      <c r="Q2543" t="str" cm="1">
        <f t="array" ref="Q2543:R2543">_xlfn.TEXTSPLIT(E2543," ")</f>
        <v>28.10.2023</v>
      </c>
      <c r="R2543" t="str">
        <v>18:25:52</v>
      </c>
      <c r="S2543">
        <f t="shared" si="499"/>
        <v>42.333333333332213</v>
      </c>
      <c r="T2543">
        <f t="shared" si="494"/>
        <v>41.61</v>
      </c>
      <c r="U2543">
        <f t="shared" si="497"/>
        <v>0.3</v>
      </c>
      <c r="V2543">
        <f t="shared" si="493"/>
        <v>0.83000000000000007</v>
      </c>
    </row>
    <row r="2544" spans="1:22" x14ac:dyDescent="0.25">
      <c r="A2544" t="s">
        <v>4500</v>
      </c>
      <c r="B2544">
        <v>0</v>
      </c>
      <c r="C2544">
        <v>38.5</v>
      </c>
      <c r="E2544" t="s">
        <v>4500</v>
      </c>
      <c r="F2544">
        <v>0.6</v>
      </c>
      <c r="G2544">
        <v>120.22</v>
      </c>
      <c r="I2544" t="str" cm="1">
        <f t="array" ref="I2544:J2544">_xlfn.TEXTSPLIT(A2544," ")</f>
        <v>28.10.2023</v>
      </c>
      <c r="J2544" t="str">
        <v>18:26:52</v>
      </c>
      <c r="K2544">
        <f t="shared" si="498"/>
        <v>42.349999999998879</v>
      </c>
      <c r="L2544">
        <f t="shared" si="495"/>
        <v>24.18</v>
      </c>
      <c r="M2544">
        <f t="shared" si="496"/>
        <v>0</v>
      </c>
      <c r="N2544">
        <f t="shared" si="492"/>
        <v>0.45500000000000013</v>
      </c>
      <c r="Q2544" t="str" cm="1">
        <f t="array" ref="Q2544:R2544">_xlfn.TEXTSPLIT(E2544," ")</f>
        <v>28.10.2023</v>
      </c>
      <c r="R2544" t="str">
        <v>18:26:52</v>
      </c>
      <c r="S2544">
        <f t="shared" si="499"/>
        <v>42.349999999998879</v>
      </c>
      <c r="T2544">
        <f t="shared" si="494"/>
        <v>41.620000000000005</v>
      </c>
      <c r="U2544">
        <f t="shared" si="497"/>
        <v>0.6</v>
      </c>
      <c r="V2544">
        <f t="shared" si="493"/>
        <v>0.83750000000000002</v>
      </c>
    </row>
    <row r="2545" spans="1:22" x14ac:dyDescent="0.25">
      <c r="A2545" t="s">
        <v>4501</v>
      </c>
      <c r="B2545">
        <v>0</v>
      </c>
      <c r="C2545">
        <v>38.5</v>
      </c>
      <c r="E2545" t="s">
        <v>4501</v>
      </c>
      <c r="F2545">
        <v>0.45</v>
      </c>
      <c r="G2545">
        <v>120.23</v>
      </c>
      <c r="I2545" t="str" cm="1">
        <f t="array" ref="I2545:J2545">_xlfn.TEXTSPLIT(A2545," ")</f>
        <v>28.10.2023</v>
      </c>
      <c r="J2545" t="str">
        <v>18:27:52</v>
      </c>
      <c r="K2545">
        <f t="shared" si="498"/>
        <v>42.366666666665544</v>
      </c>
      <c r="L2545">
        <f t="shared" si="495"/>
        <v>24.18</v>
      </c>
      <c r="M2545">
        <f t="shared" si="496"/>
        <v>0</v>
      </c>
      <c r="N2545">
        <f t="shared" si="492"/>
        <v>0.45500000000000013</v>
      </c>
      <c r="Q2545" t="str" cm="1">
        <f t="array" ref="Q2545:R2545">_xlfn.TEXTSPLIT(E2545," ")</f>
        <v>28.10.2023</v>
      </c>
      <c r="R2545" t="str">
        <v>18:27:52</v>
      </c>
      <c r="S2545">
        <f t="shared" si="499"/>
        <v>42.366666666665544</v>
      </c>
      <c r="T2545">
        <f t="shared" si="494"/>
        <v>41.63000000000001</v>
      </c>
      <c r="U2545">
        <f t="shared" si="497"/>
        <v>0.45</v>
      </c>
      <c r="V2545">
        <f t="shared" si="493"/>
        <v>0.83500000000000019</v>
      </c>
    </row>
    <row r="2546" spans="1:22" x14ac:dyDescent="0.25">
      <c r="A2546" t="s">
        <v>4502</v>
      </c>
      <c r="B2546">
        <v>0</v>
      </c>
      <c r="C2546">
        <v>38.5</v>
      </c>
      <c r="E2546" t="s">
        <v>4502</v>
      </c>
      <c r="F2546">
        <v>0.6</v>
      </c>
      <c r="G2546">
        <v>120.24</v>
      </c>
      <c r="I2546" t="str" cm="1">
        <f t="array" ref="I2546:J2546">_xlfn.TEXTSPLIT(A2546," ")</f>
        <v>28.10.2023</v>
      </c>
      <c r="J2546" t="str">
        <v>18:28:53</v>
      </c>
      <c r="K2546">
        <f t="shared" si="498"/>
        <v>42.38333333333221</v>
      </c>
      <c r="L2546">
        <f t="shared" si="495"/>
        <v>24.18</v>
      </c>
      <c r="M2546">
        <f t="shared" si="496"/>
        <v>0</v>
      </c>
      <c r="N2546">
        <f t="shared" si="492"/>
        <v>0.45500000000000013</v>
      </c>
      <c r="Q2546" t="str" cm="1">
        <f t="array" ref="Q2546:R2546">_xlfn.TEXTSPLIT(E2546," ")</f>
        <v>28.10.2023</v>
      </c>
      <c r="R2546" t="str">
        <v>18:28:53</v>
      </c>
      <c r="S2546">
        <f t="shared" si="499"/>
        <v>42.38333333333221</v>
      </c>
      <c r="T2546">
        <f t="shared" si="494"/>
        <v>41.64</v>
      </c>
      <c r="U2546">
        <f t="shared" si="497"/>
        <v>0.6</v>
      </c>
      <c r="V2546">
        <f t="shared" si="493"/>
        <v>0.84000000000000019</v>
      </c>
    </row>
    <row r="2547" spans="1:22" x14ac:dyDescent="0.25">
      <c r="A2547" t="s">
        <v>4503</v>
      </c>
      <c r="B2547">
        <v>0</v>
      </c>
      <c r="C2547">
        <v>38.5</v>
      </c>
      <c r="E2547" t="s">
        <v>4503</v>
      </c>
      <c r="F2547">
        <v>0.45</v>
      </c>
      <c r="G2547">
        <v>120.24</v>
      </c>
      <c r="I2547" t="str" cm="1">
        <f t="array" ref="I2547:J2547">_xlfn.TEXTSPLIT(A2547," ")</f>
        <v>28.10.2023</v>
      </c>
      <c r="J2547" t="str">
        <v>18:29:53</v>
      </c>
      <c r="K2547">
        <f t="shared" si="498"/>
        <v>42.399999999998876</v>
      </c>
      <c r="L2547">
        <f t="shared" si="495"/>
        <v>24.18</v>
      </c>
      <c r="M2547">
        <f t="shared" si="496"/>
        <v>0</v>
      </c>
      <c r="N2547">
        <f t="shared" si="492"/>
        <v>0.45500000000000013</v>
      </c>
      <c r="Q2547" t="str" cm="1">
        <f t="array" ref="Q2547:R2547">_xlfn.TEXTSPLIT(E2547," ")</f>
        <v>28.10.2023</v>
      </c>
      <c r="R2547" t="str">
        <v>18:29:53</v>
      </c>
      <c r="S2547">
        <f t="shared" si="499"/>
        <v>42.399999999998876</v>
      </c>
      <c r="T2547">
        <f t="shared" si="494"/>
        <v>41.64</v>
      </c>
      <c r="U2547">
        <f t="shared" si="497"/>
        <v>0.45</v>
      </c>
      <c r="V2547">
        <f t="shared" si="493"/>
        <v>0.84000000000000019</v>
      </c>
    </row>
    <row r="2548" spans="1:22" x14ac:dyDescent="0.25">
      <c r="A2548" t="s">
        <v>4504</v>
      </c>
      <c r="B2548">
        <v>0</v>
      </c>
      <c r="C2548">
        <v>38.5</v>
      </c>
      <c r="E2548" t="s">
        <v>4504</v>
      </c>
      <c r="F2548">
        <v>0.75</v>
      </c>
      <c r="G2548">
        <v>120.25</v>
      </c>
      <c r="I2548" t="str" cm="1">
        <f t="array" ref="I2548:J2548">_xlfn.TEXTSPLIT(A2548," ")</f>
        <v>28.10.2023</v>
      </c>
      <c r="J2548" t="str">
        <v>18:30:53</v>
      </c>
      <c r="K2548">
        <f t="shared" si="498"/>
        <v>42.416666666665542</v>
      </c>
      <c r="L2548">
        <f t="shared" si="495"/>
        <v>24.18</v>
      </c>
      <c r="M2548">
        <f t="shared" si="496"/>
        <v>0</v>
      </c>
      <c r="N2548">
        <f t="shared" si="492"/>
        <v>0.45500000000000013</v>
      </c>
      <c r="Q2548" t="str" cm="1">
        <f t="array" ref="Q2548:R2548">_xlfn.TEXTSPLIT(E2548," ")</f>
        <v>28.10.2023</v>
      </c>
      <c r="R2548" t="str">
        <v>18:30:53</v>
      </c>
      <c r="S2548">
        <f t="shared" si="499"/>
        <v>42.416666666665542</v>
      </c>
      <c r="T2548">
        <f t="shared" si="494"/>
        <v>41.650000000000006</v>
      </c>
      <c r="U2548">
        <f t="shared" si="497"/>
        <v>0.75</v>
      </c>
      <c r="V2548">
        <f t="shared" si="493"/>
        <v>0.84250000000000014</v>
      </c>
    </row>
    <row r="2549" spans="1:22" x14ac:dyDescent="0.25">
      <c r="A2549" t="s">
        <v>4505</v>
      </c>
      <c r="B2549">
        <v>0.15</v>
      </c>
      <c r="C2549">
        <v>38.51</v>
      </c>
      <c r="E2549" t="s">
        <v>4505</v>
      </c>
      <c r="F2549">
        <v>0.45</v>
      </c>
      <c r="G2549">
        <v>120.26</v>
      </c>
      <c r="I2549" t="str" cm="1">
        <f t="array" ref="I2549:J2549">_xlfn.TEXTSPLIT(A2549," ")</f>
        <v>28.10.2023</v>
      </c>
      <c r="J2549" t="str">
        <v>18:31:53</v>
      </c>
      <c r="K2549">
        <f t="shared" si="498"/>
        <v>42.433333333332207</v>
      </c>
      <c r="L2549">
        <f t="shared" si="495"/>
        <v>24.189999999999998</v>
      </c>
      <c r="M2549">
        <f t="shared" si="496"/>
        <v>0.15</v>
      </c>
      <c r="N2549">
        <f t="shared" si="492"/>
        <v>0.45500000000000013</v>
      </c>
      <c r="Q2549" t="str" cm="1">
        <f t="array" ref="Q2549:R2549">_xlfn.TEXTSPLIT(E2549," ")</f>
        <v>28.10.2023</v>
      </c>
      <c r="R2549" t="str">
        <v>18:31:53</v>
      </c>
      <c r="S2549">
        <f t="shared" si="499"/>
        <v>42.433333333332207</v>
      </c>
      <c r="T2549">
        <f t="shared" si="494"/>
        <v>41.660000000000011</v>
      </c>
      <c r="U2549">
        <f t="shared" si="497"/>
        <v>0.45</v>
      </c>
      <c r="V2549">
        <f t="shared" si="493"/>
        <v>0.83750000000000024</v>
      </c>
    </row>
    <row r="2550" spans="1:22" x14ac:dyDescent="0.25">
      <c r="A2550" t="s">
        <v>4506</v>
      </c>
      <c r="B2550">
        <v>0.3</v>
      </c>
      <c r="C2550">
        <v>38.51</v>
      </c>
      <c r="E2550" t="s">
        <v>4506</v>
      </c>
      <c r="F2550">
        <v>0.6</v>
      </c>
      <c r="G2550">
        <v>120.28</v>
      </c>
      <c r="I2550" t="str" cm="1">
        <f t="array" ref="I2550:J2550">_xlfn.TEXTSPLIT(A2550," ")</f>
        <v>28.10.2023</v>
      </c>
      <c r="J2550" t="str">
        <v>18:32:53</v>
      </c>
      <c r="K2550">
        <f t="shared" si="498"/>
        <v>42.449999999998873</v>
      </c>
      <c r="L2550">
        <f t="shared" si="495"/>
        <v>24.189999999999998</v>
      </c>
      <c r="M2550">
        <f t="shared" si="496"/>
        <v>0.3</v>
      </c>
      <c r="N2550">
        <f t="shared" si="492"/>
        <v>0.45250000000000018</v>
      </c>
      <c r="Q2550" t="str" cm="1">
        <f t="array" ref="Q2550:R2550">_xlfn.TEXTSPLIT(E2550," ")</f>
        <v>28.10.2023</v>
      </c>
      <c r="R2550" t="str">
        <v>18:32:53</v>
      </c>
      <c r="S2550">
        <f t="shared" si="499"/>
        <v>42.449999999998873</v>
      </c>
      <c r="T2550">
        <f t="shared" si="494"/>
        <v>41.680000000000007</v>
      </c>
      <c r="U2550">
        <f t="shared" si="497"/>
        <v>0.6</v>
      </c>
      <c r="V2550">
        <f t="shared" si="493"/>
        <v>0.83250000000000024</v>
      </c>
    </row>
    <row r="2551" spans="1:22" x14ac:dyDescent="0.25">
      <c r="A2551" t="s">
        <v>4507</v>
      </c>
      <c r="B2551">
        <v>0.15</v>
      </c>
      <c r="C2551">
        <v>38.520000000000003</v>
      </c>
      <c r="E2551" t="s">
        <v>4507</v>
      </c>
      <c r="F2551">
        <v>0.75</v>
      </c>
      <c r="G2551">
        <v>120.29</v>
      </c>
      <c r="I2551" t="str" cm="1">
        <f t="array" ref="I2551:J2551">_xlfn.TEXTSPLIT(A2551," ")</f>
        <v>28.10.2023</v>
      </c>
      <c r="J2551" t="str">
        <v>18:33:53</v>
      </c>
      <c r="K2551">
        <f t="shared" si="498"/>
        <v>42.466666666665539</v>
      </c>
      <c r="L2551">
        <f t="shared" si="495"/>
        <v>24.200000000000003</v>
      </c>
      <c r="M2551">
        <f t="shared" si="496"/>
        <v>0.15</v>
      </c>
      <c r="N2551">
        <f t="shared" si="492"/>
        <v>0.45500000000000013</v>
      </c>
      <c r="Q2551" t="str" cm="1">
        <f t="array" ref="Q2551:R2551">_xlfn.TEXTSPLIT(E2551," ")</f>
        <v>28.10.2023</v>
      </c>
      <c r="R2551" t="str">
        <v>18:33:53</v>
      </c>
      <c r="S2551">
        <f t="shared" si="499"/>
        <v>42.466666666665539</v>
      </c>
      <c r="T2551">
        <f t="shared" si="494"/>
        <v>41.690000000000012</v>
      </c>
      <c r="U2551">
        <f t="shared" si="497"/>
        <v>0.75</v>
      </c>
      <c r="V2551">
        <f t="shared" si="493"/>
        <v>0.82500000000000029</v>
      </c>
    </row>
    <row r="2552" spans="1:22" x14ac:dyDescent="0.25">
      <c r="A2552" t="s">
        <v>4508</v>
      </c>
      <c r="B2552">
        <v>0.3</v>
      </c>
      <c r="C2552">
        <v>38.520000000000003</v>
      </c>
      <c r="E2552" t="s">
        <v>4508</v>
      </c>
      <c r="F2552">
        <v>1.05</v>
      </c>
      <c r="G2552">
        <v>120.31</v>
      </c>
      <c r="I2552" t="str" cm="1">
        <f t="array" ref="I2552:J2552">_xlfn.TEXTSPLIT(A2552," ")</f>
        <v>28.10.2023</v>
      </c>
      <c r="J2552" t="str">
        <v>18:34:53</v>
      </c>
      <c r="K2552">
        <f t="shared" si="498"/>
        <v>42.483333333332205</v>
      </c>
      <c r="L2552">
        <f t="shared" si="495"/>
        <v>24.200000000000003</v>
      </c>
      <c r="M2552">
        <f t="shared" si="496"/>
        <v>0.3</v>
      </c>
      <c r="N2552">
        <f t="shared" si="492"/>
        <v>0.44750000000000012</v>
      </c>
      <c r="Q2552" t="str" cm="1">
        <f t="array" ref="Q2552:R2552">_xlfn.TEXTSPLIT(E2552," ")</f>
        <v>28.10.2023</v>
      </c>
      <c r="R2552" t="str">
        <v>18:34:53</v>
      </c>
      <c r="S2552">
        <f t="shared" si="499"/>
        <v>42.483333333332205</v>
      </c>
      <c r="T2552">
        <f t="shared" si="494"/>
        <v>41.710000000000008</v>
      </c>
      <c r="U2552">
        <f t="shared" si="497"/>
        <v>1.05</v>
      </c>
      <c r="V2552">
        <f t="shared" si="493"/>
        <v>0.82500000000000029</v>
      </c>
    </row>
    <row r="2553" spans="1:22" x14ac:dyDescent="0.25">
      <c r="A2553" t="s">
        <v>4509</v>
      </c>
      <c r="B2553">
        <v>0.15</v>
      </c>
      <c r="C2553">
        <v>38.520000000000003</v>
      </c>
      <c r="E2553" t="s">
        <v>4509</v>
      </c>
      <c r="F2553">
        <v>1.2</v>
      </c>
      <c r="G2553">
        <v>120.35</v>
      </c>
      <c r="I2553" t="str" cm="1">
        <f t="array" ref="I2553:J2553">_xlfn.TEXTSPLIT(A2553," ")</f>
        <v>28.10.2023</v>
      </c>
      <c r="J2553" t="str">
        <v>18:35:54</v>
      </c>
      <c r="K2553">
        <f t="shared" si="498"/>
        <v>42.49999999999887</v>
      </c>
      <c r="L2553">
        <f t="shared" si="495"/>
        <v>24.200000000000003</v>
      </c>
      <c r="M2553">
        <f t="shared" si="496"/>
        <v>0.15</v>
      </c>
      <c r="N2553">
        <f t="shared" si="492"/>
        <v>0.44500000000000012</v>
      </c>
      <c r="Q2553" t="str" cm="1">
        <f t="array" ref="Q2553:R2553">_xlfn.TEXTSPLIT(E2553," ")</f>
        <v>28.10.2023</v>
      </c>
      <c r="R2553" t="str">
        <v>18:35:54</v>
      </c>
      <c r="S2553">
        <f t="shared" si="499"/>
        <v>42.49999999999887</v>
      </c>
      <c r="T2553">
        <f t="shared" si="494"/>
        <v>41.75</v>
      </c>
      <c r="U2553">
        <f t="shared" si="497"/>
        <v>1.2</v>
      </c>
      <c r="V2553">
        <f t="shared" si="493"/>
        <v>0.82500000000000029</v>
      </c>
    </row>
    <row r="2554" spans="1:22" x14ac:dyDescent="0.25">
      <c r="A2554" t="s">
        <v>4510</v>
      </c>
      <c r="B2554">
        <v>0.3</v>
      </c>
      <c r="C2554">
        <v>38.56</v>
      </c>
      <c r="E2554" t="s">
        <v>4510</v>
      </c>
      <c r="F2554">
        <v>1.95</v>
      </c>
      <c r="G2554">
        <v>120.37</v>
      </c>
      <c r="I2554" t="str" cm="1">
        <f t="array" ref="I2554:J2554">_xlfn.TEXTSPLIT(A2554," ")</f>
        <v>28.10.2023</v>
      </c>
      <c r="J2554" t="str">
        <v>18:36:54</v>
      </c>
      <c r="K2554">
        <f t="shared" si="498"/>
        <v>42.516666666665536</v>
      </c>
      <c r="L2554">
        <f t="shared" si="495"/>
        <v>24.240000000000002</v>
      </c>
      <c r="M2554">
        <f t="shared" si="496"/>
        <v>0.3</v>
      </c>
      <c r="N2554">
        <f t="shared" si="492"/>
        <v>0.44250000000000012</v>
      </c>
      <c r="Q2554" t="str" cm="1">
        <f t="array" ref="Q2554:R2554">_xlfn.TEXTSPLIT(E2554," ")</f>
        <v>28.10.2023</v>
      </c>
      <c r="R2554" t="str">
        <v>18:36:54</v>
      </c>
      <c r="S2554">
        <f t="shared" si="499"/>
        <v>42.516666666665536</v>
      </c>
      <c r="T2554">
        <f t="shared" si="494"/>
        <v>41.77000000000001</v>
      </c>
      <c r="U2554">
        <f t="shared" si="497"/>
        <v>1.95</v>
      </c>
      <c r="V2554">
        <f t="shared" si="493"/>
        <v>0.82750000000000035</v>
      </c>
    </row>
    <row r="2555" spans="1:22" x14ac:dyDescent="0.25">
      <c r="A2555" t="s">
        <v>4511</v>
      </c>
      <c r="B2555">
        <v>2.7</v>
      </c>
      <c r="C2555">
        <v>38.6</v>
      </c>
      <c r="E2555" t="s">
        <v>4511</v>
      </c>
      <c r="F2555">
        <v>1.65</v>
      </c>
      <c r="G2555">
        <v>120.4</v>
      </c>
      <c r="I2555" t="str" cm="1">
        <f t="array" ref="I2555:J2555">_xlfn.TEXTSPLIT(A2555," ")</f>
        <v>28.10.2023</v>
      </c>
      <c r="J2555" t="str">
        <v>18:37:54</v>
      </c>
      <c r="K2555">
        <f t="shared" si="498"/>
        <v>42.533333333332202</v>
      </c>
      <c r="L2555">
        <f t="shared" si="495"/>
        <v>24.28</v>
      </c>
      <c r="M2555">
        <f t="shared" si="496"/>
        <v>2.7</v>
      </c>
      <c r="N2555">
        <f t="shared" si="492"/>
        <v>0.45500000000000007</v>
      </c>
      <c r="Q2555" t="str" cm="1">
        <f t="array" ref="Q2555:R2555">_xlfn.TEXTSPLIT(E2555," ")</f>
        <v>28.10.2023</v>
      </c>
      <c r="R2555" t="str">
        <v>18:37:54</v>
      </c>
      <c r="S2555">
        <f t="shared" si="499"/>
        <v>42.533333333332202</v>
      </c>
      <c r="T2555">
        <f t="shared" si="494"/>
        <v>41.800000000000011</v>
      </c>
      <c r="U2555">
        <f t="shared" si="497"/>
        <v>1.65</v>
      </c>
      <c r="V2555">
        <f t="shared" si="493"/>
        <v>0.82250000000000034</v>
      </c>
    </row>
    <row r="2556" spans="1:22" x14ac:dyDescent="0.25">
      <c r="A2556" t="s">
        <v>4512</v>
      </c>
      <c r="B2556">
        <v>2.25</v>
      </c>
      <c r="C2556">
        <v>38.619999999999997</v>
      </c>
      <c r="E2556" t="s">
        <v>4512</v>
      </c>
      <c r="F2556">
        <v>1.5</v>
      </c>
      <c r="G2556">
        <v>120.43</v>
      </c>
      <c r="I2556" t="str" cm="1">
        <f t="array" ref="I2556:J2556">_xlfn.TEXTSPLIT(A2556," ")</f>
        <v>28.10.2023</v>
      </c>
      <c r="J2556" t="str">
        <v>18:38:54</v>
      </c>
      <c r="K2556">
        <f t="shared" si="498"/>
        <v>42.549999999998867</v>
      </c>
      <c r="L2556">
        <f t="shared" si="495"/>
        <v>24.299999999999997</v>
      </c>
      <c r="M2556">
        <f t="shared" si="496"/>
        <v>2.25</v>
      </c>
      <c r="N2556">
        <f t="shared" si="492"/>
        <v>0.46000000000000008</v>
      </c>
      <c r="Q2556" t="str" cm="1">
        <f t="array" ref="Q2556:R2556">_xlfn.TEXTSPLIT(E2556," ")</f>
        <v>28.10.2023</v>
      </c>
      <c r="R2556" t="str">
        <v>18:38:54</v>
      </c>
      <c r="S2556">
        <f t="shared" si="499"/>
        <v>42.549999999998867</v>
      </c>
      <c r="T2556">
        <f t="shared" si="494"/>
        <v>41.830000000000013</v>
      </c>
      <c r="U2556">
        <f t="shared" si="497"/>
        <v>1.5</v>
      </c>
      <c r="V2556">
        <f t="shared" si="493"/>
        <v>0.80750000000000033</v>
      </c>
    </row>
    <row r="2557" spans="1:22" x14ac:dyDescent="0.25">
      <c r="A2557" t="s">
        <v>4513</v>
      </c>
      <c r="B2557">
        <v>1.2</v>
      </c>
      <c r="C2557">
        <v>38.64</v>
      </c>
      <c r="E2557" t="s">
        <v>4513</v>
      </c>
      <c r="F2557">
        <v>1.65</v>
      </c>
      <c r="G2557">
        <v>120.46</v>
      </c>
      <c r="I2557" t="str" cm="1">
        <f t="array" ref="I2557:J2557">_xlfn.TEXTSPLIT(A2557," ")</f>
        <v>28.10.2023</v>
      </c>
      <c r="J2557" t="str">
        <v>18:39:54</v>
      </c>
      <c r="K2557">
        <f t="shared" si="498"/>
        <v>42.566666666665533</v>
      </c>
      <c r="L2557">
        <f t="shared" si="495"/>
        <v>24.32</v>
      </c>
      <c r="M2557">
        <f t="shared" si="496"/>
        <v>1.2</v>
      </c>
      <c r="N2557">
        <f t="shared" si="492"/>
        <v>0.45999999999999996</v>
      </c>
      <c r="Q2557" t="str" cm="1">
        <f t="array" ref="Q2557:R2557">_xlfn.TEXTSPLIT(E2557," ")</f>
        <v>28.10.2023</v>
      </c>
      <c r="R2557" t="str">
        <v>18:39:54</v>
      </c>
      <c r="S2557">
        <f t="shared" si="499"/>
        <v>42.566666666665533</v>
      </c>
      <c r="T2557">
        <f t="shared" si="494"/>
        <v>41.86</v>
      </c>
      <c r="U2557">
        <f t="shared" si="497"/>
        <v>1.65</v>
      </c>
      <c r="V2557">
        <f t="shared" si="493"/>
        <v>0.81500000000000017</v>
      </c>
    </row>
    <row r="2558" spans="1:22" x14ac:dyDescent="0.25">
      <c r="A2558" t="s">
        <v>4514</v>
      </c>
      <c r="B2558">
        <v>1.05</v>
      </c>
      <c r="C2558">
        <v>38.659999999999997</v>
      </c>
      <c r="E2558" t="s">
        <v>4514</v>
      </c>
      <c r="F2558">
        <v>1.8</v>
      </c>
      <c r="G2558">
        <v>120.47</v>
      </c>
      <c r="I2558" t="str" cm="1">
        <f t="array" ref="I2558:J2558">_xlfn.TEXTSPLIT(A2558," ")</f>
        <v>28.10.2023</v>
      </c>
      <c r="J2558" t="str">
        <v>18:40:54</v>
      </c>
      <c r="K2558">
        <f t="shared" si="498"/>
        <v>42.583333333332199</v>
      </c>
      <c r="L2558">
        <f t="shared" si="495"/>
        <v>24.339999999999996</v>
      </c>
      <c r="M2558">
        <f t="shared" si="496"/>
        <v>1.05</v>
      </c>
      <c r="N2558">
        <f t="shared" si="492"/>
        <v>0.46249999999999997</v>
      </c>
      <c r="Q2558" t="str" cm="1">
        <f t="array" ref="Q2558:R2558">_xlfn.TEXTSPLIT(E2558," ")</f>
        <v>28.10.2023</v>
      </c>
      <c r="R2558" t="str">
        <v>18:40:54</v>
      </c>
      <c r="S2558">
        <f t="shared" si="499"/>
        <v>42.583333333332199</v>
      </c>
      <c r="T2558">
        <f t="shared" si="494"/>
        <v>41.870000000000005</v>
      </c>
      <c r="U2558">
        <f t="shared" si="497"/>
        <v>1.8</v>
      </c>
      <c r="V2558">
        <f t="shared" si="493"/>
        <v>0.83000000000000018</v>
      </c>
    </row>
    <row r="2559" spans="1:22" x14ac:dyDescent="0.25">
      <c r="A2559" t="s">
        <v>4515</v>
      </c>
      <c r="B2559">
        <v>0.9</v>
      </c>
      <c r="C2559">
        <v>38.67</v>
      </c>
      <c r="E2559" t="s">
        <v>4515</v>
      </c>
      <c r="F2559">
        <v>0.9</v>
      </c>
      <c r="G2559">
        <v>120.49</v>
      </c>
      <c r="I2559" t="str" cm="1">
        <f t="array" ref="I2559:J2559">_xlfn.TEXTSPLIT(A2559," ")</f>
        <v>28.10.2023</v>
      </c>
      <c r="J2559" t="str">
        <v>18:41:54</v>
      </c>
      <c r="K2559">
        <f t="shared" si="498"/>
        <v>42.599999999998865</v>
      </c>
      <c r="L2559">
        <f t="shared" si="495"/>
        <v>24.35</v>
      </c>
      <c r="M2559">
        <f t="shared" si="496"/>
        <v>0.9</v>
      </c>
      <c r="N2559">
        <f t="shared" ref="N2559:N2622" si="500">AVERAGE(M2500:M2559)</f>
        <v>0.45999999999999991</v>
      </c>
      <c r="Q2559" t="str" cm="1">
        <f t="array" ref="Q2559:R2559">_xlfn.TEXTSPLIT(E2559," ")</f>
        <v>28.10.2023</v>
      </c>
      <c r="R2559" t="str">
        <v>18:41:54</v>
      </c>
      <c r="S2559">
        <f t="shared" si="499"/>
        <v>42.599999999998865</v>
      </c>
      <c r="T2559">
        <f t="shared" si="494"/>
        <v>41.89</v>
      </c>
      <c r="U2559">
        <f t="shared" si="497"/>
        <v>0.9</v>
      </c>
      <c r="V2559">
        <f t="shared" ref="V2559:V2622" si="501">AVERAGE(U2500:U2559)</f>
        <v>0.83250000000000013</v>
      </c>
    </row>
    <row r="2560" spans="1:22" x14ac:dyDescent="0.25">
      <c r="A2560" t="s">
        <v>4516</v>
      </c>
      <c r="B2560">
        <v>0.75</v>
      </c>
      <c r="C2560">
        <v>38.67</v>
      </c>
      <c r="E2560" t="s">
        <v>4516</v>
      </c>
      <c r="F2560">
        <v>0.6</v>
      </c>
      <c r="G2560">
        <v>120.49</v>
      </c>
      <c r="I2560" t="str" cm="1">
        <f t="array" ref="I2560:J2560">_xlfn.TEXTSPLIT(A2560," ")</f>
        <v>28.10.2023</v>
      </c>
      <c r="J2560" t="str">
        <v>18:42:54</v>
      </c>
      <c r="K2560">
        <f t="shared" si="498"/>
        <v>42.61666666666553</v>
      </c>
      <c r="L2560">
        <f t="shared" si="495"/>
        <v>24.35</v>
      </c>
      <c r="M2560">
        <f t="shared" si="496"/>
        <v>0.75</v>
      </c>
      <c r="N2560">
        <f t="shared" si="500"/>
        <v>0.45749999999999991</v>
      </c>
      <c r="Q2560" t="str" cm="1">
        <f t="array" ref="Q2560:R2560">_xlfn.TEXTSPLIT(E2560," ")</f>
        <v>28.10.2023</v>
      </c>
      <c r="R2560" t="str">
        <v>18:42:54</v>
      </c>
      <c r="S2560">
        <f t="shared" si="499"/>
        <v>42.61666666666553</v>
      </c>
      <c r="T2560">
        <f t="shared" si="494"/>
        <v>41.89</v>
      </c>
      <c r="U2560">
        <f t="shared" si="497"/>
        <v>0.6</v>
      </c>
      <c r="V2560">
        <f t="shared" si="501"/>
        <v>0.83000000000000029</v>
      </c>
    </row>
    <row r="2561" spans="1:22" x14ac:dyDescent="0.25">
      <c r="A2561" t="s">
        <v>4517</v>
      </c>
      <c r="B2561">
        <v>0.45</v>
      </c>
      <c r="C2561">
        <v>38.68</v>
      </c>
      <c r="E2561" t="s">
        <v>4517</v>
      </c>
      <c r="F2561">
        <v>0.6</v>
      </c>
      <c r="G2561">
        <v>120.5</v>
      </c>
      <c r="I2561" t="str" cm="1">
        <f t="array" ref="I2561:J2561">_xlfn.TEXTSPLIT(A2561," ")</f>
        <v>28.10.2023</v>
      </c>
      <c r="J2561" t="str">
        <v>18:43:54</v>
      </c>
      <c r="K2561">
        <f t="shared" si="498"/>
        <v>42.633333333332196</v>
      </c>
      <c r="L2561">
        <f t="shared" si="495"/>
        <v>24.36</v>
      </c>
      <c r="M2561">
        <f t="shared" si="496"/>
        <v>0.45</v>
      </c>
      <c r="N2561">
        <f t="shared" si="500"/>
        <v>0.4524999999999999</v>
      </c>
      <c r="Q2561" t="str" cm="1">
        <f t="array" ref="Q2561:R2561">_xlfn.TEXTSPLIT(E2561," ")</f>
        <v>28.10.2023</v>
      </c>
      <c r="R2561" t="str">
        <v>18:43:54</v>
      </c>
      <c r="S2561">
        <f t="shared" si="499"/>
        <v>42.633333333332196</v>
      </c>
      <c r="T2561">
        <f t="shared" si="494"/>
        <v>41.900000000000006</v>
      </c>
      <c r="U2561">
        <f t="shared" si="497"/>
        <v>0.6</v>
      </c>
      <c r="V2561">
        <f t="shared" si="501"/>
        <v>0.8250000000000004</v>
      </c>
    </row>
    <row r="2562" spans="1:22" x14ac:dyDescent="0.25">
      <c r="A2562" t="s">
        <v>4518</v>
      </c>
      <c r="B2562">
        <v>0.45</v>
      </c>
      <c r="C2562">
        <v>38.69</v>
      </c>
      <c r="E2562" t="s">
        <v>4518</v>
      </c>
      <c r="F2562">
        <v>0.75</v>
      </c>
      <c r="G2562">
        <v>120.52</v>
      </c>
      <c r="I2562" t="str" cm="1">
        <f t="array" ref="I2562:J2562">_xlfn.TEXTSPLIT(A2562," ")</f>
        <v>28.10.2023</v>
      </c>
      <c r="J2562" t="str">
        <v>18:44:55</v>
      </c>
      <c r="K2562">
        <f t="shared" si="498"/>
        <v>42.649999999998862</v>
      </c>
      <c r="L2562">
        <f t="shared" si="495"/>
        <v>24.369999999999997</v>
      </c>
      <c r="M2562">
        <f t="shared" si="496"/>
        <v>0.45</v>
      </c>
      <c r="N2562">
        <f t="shared" si="500"/>
        <v>0.4499999999999999</v>
      </c>
      <c r="Q2562" t="str" cm="1">
        <f t="array" ref="Q2562:R2562">_xlfn.TEXTSPLIT(E2562," ")</f>
        <v>28.10.2023</v>
      </c>
      <c r="R2562" t="str">
        <v>18:44:55</v>
      </c>
      <c r="S2562">
        <f t="shared" si="499"/>
        <v>42.649999999998862</v>
      </c>
      <c r="T2562">
        <f t="shared" si="494"/>
        <v>41.92</v>
      </c>
      <c r="U2562">
        <f t="shared" si="497"/>
        <v>0.75</v>
      </c>
      <c r="V2562">
        <f t="shared" si="501"/>
        <v>0.8250000000000004</v>
      </c>
    </row>
    <row r="2563" spans="1:22" x14ac:dyDescent="0.25">
      <c r="A2563" t="s">
        <v>4519</v>
      </c>
      <c r="B2563">
        <v>0.75</v>
      </c>
      <c r="C2563">
        <v>38.71</v>
      </c>
      <c r="E2563" t="s">
        <v>4519</v>
      </c>
      <c r="F2563">
        <v>0.6</v>
      </c>
      <c r="G2563">
        <v>120.53</v>
      </c>
      <c r="I2563" t="str" cm="1">
        <f t="array" ref="I2563:J2563">_xlfn.TEXTSPLIT(A2563," ")</f>
        <v>28.10.2023</v>
      </c>
      <c r="J2563" t="str">
        <v>18:45:55</v>
      </c>
      <c r="K2563">
        <f t="shared" si="498"/>
        <v>42.666666666665527</v>
      </c>
      <c r="L2563">
        <f t="shared" si="495"/>
        <v>24.39</v>
      </c>
      <c r="M2563">
        <f t="shared" si="496"/>
        <v>0.75</v>
      </c>
      <c r="N2563">
        <f t="shared" si="500"/>
        <v>0.4524999999999999</v>
      </c>
      <c r="Q2563" t="str" cm="1">
        <f t="array" ref="Q2563:R2563">_xlfn.TEXTSPLIT(E2563," ")</f>
        <v>28.10.2023</v>
      </c>
      <c r="R2563" t="str">
        <v>18:45:55</v>
      </c>
      <c r="S2563">
        <f t="shared" si="499"/>
        <v>42.666666666665527</v>
      </c>
      <c r="T2563">
        <f t="shared" ref="T2563:T2624" si="502">G2563-78.6</f>
        <v>41.930000000000007</v>
      </c>
      <c r="U2563">
        <f t="shared" si="497"/>
        <v>0.6</v>
      </c>
      <c r="V2563">
        <f t="shared" si="501"/>
        <v>0.81500000000000028</v>
      </c>
    </row>
    <row r="2564" spans="1:22" x14ac:dyDescent="0.25">
      <c r="A2564" t="s">
        <v>4520</v>
      </c>
      <c r="B2564">
        <v>0.9</v>
      </c>
      <c r="C2564">
        <v>38.72</v>
      </c>
      <c r="E2564" t="s">
        <v>4520</v>
      </c>
      <c r="F2564">
        <v>0.9</v>
      </c>
      <c r="G2564">
        <v>120.55</v>
      </c>
      <c r="I2564" t="str" cm="1">
        <f t="array" ref="I2564:J2564">_xlfn.TEXTSPLIT(A2564," ")</f>
        <v>28.10.2023</v>
      </c>
      <c r="J2564" t="str">
        <v>18:46:55</v>
      </c>
      <c r="K2564">
        <f t="shared" si="498"/>
        <v>42.683333333332193</v>
      </c>
      <c r="L2564">
        <f t="shared" ref="L2564:L2624" si="503">C2564-14.32</f>
        <v>24.4</v>
      </c>
      <c r="M2564">
        <f t="shared" ref="M2564:M2624" si="504">B2564</f>
        <v>0.9</v>
      </c>
      <c r="N2564">
        <f t="shared" si="500"/>
        <v>0.45999999999999991</v>
      </c>
      <c r="Q2564" t="str" cm="1">
        <f t="array" ref="Q2564:R2564">_xlfn.TEXTSPLIT(E2564," ")</f>
        <v>28.10.2023</v>
      </c>
      <c r="R2564" t="str">
        <v>18:46:55</v>
      </c>
      <c r="S2564">
        <f t="shared" si="499"/>
        <v>42.683333333332193</v>
      </c>
      <c r="T2564">
        <f t="shared" si="502"/>
        <v>41.95</v>
      </c>
      <c r="U2564">
        <f t="shared" ref="U2564:U2624" si="505">F2564</f>
        <v>0.9</v>
      </c>
      <c r="V2564">
        <f t="shared" si="501"/>
        <v>0.81500000000000017</v>
      </c>
    </row>
    <row r="2565" spans="1:22" x14ac:dyDescent="0.25">
      <c r="A2565" t="s">
        <v>4521</v>
      </c>
      <c r="B2565">
        <v>0.75</v>
      </c>
      <c r="C2565">
        <v>38.72</v>
      </c>
      <c r="E2565" t="s">
        <v>4521</v>
      </c>
      <c r="F2565">
        <v>0.9</v>
      </c>
      <c r="G2565">
        <v>120.57</v>
      </c>
      <c r="I2565" t="str" cm="1">
        <f t="array" ref="I2565:J2565">_xlfn.TEXTSPLIT(A2565," ")</f>
        <v>28.10.2023</v>
      </c>
      <c r="J2565" t="str">
        <v>18:47:55</v>
      </c>
      <c r="K2565">
        <f t="shared" ref="K2565:K2624" si="506">1/60+K2564</f>
        <v>42.699999999998859</v>
      </c>
      <c r="L2565">
        <f t="shared" si="503"/>
        <v>24.4</v>
      </c>
      <c r="M2565">
        <f t="shared" si="504"/>
        <v>0.75</v>
      </c>
      <c r="N2565">
        <f t="shared" si="500"/>
        <v>0.46749999999999997</v>
      </c>
      <c r="Q2565" t="str" cm="1">
        <f t="array" ref="Q2565:R2565">_xlfn.TEXTSPLIT(E2565," ")</f>
        <v>28.10.2023</v>
      </c>
      <c r="R2565" t="str">
        <v>18:47:55</v>
      </c>
      <c r="S2565">
        <f t="shared" ref="S2565:S2624" si="507">1/60+S2564</f>
        <v>42.699999999998859</v>
      </c>
      <c r="T2565">
        <f t="shared" si="502"/>
        <v>41.97</v>
      </c>
      <c r="U2565">
        <f t="shared" si="505"/>
        <v>0.9</v>
      </c>
      <c r="V2565">
        <f t="shared" si="501"/>
        <v>0.81250000000000022</v>
      </c>
    </row>
    <row r="2566" spans="1:22" x14ac:dyDescent="0.25">
      <c r="A2566" t="s">
        <v>4522</v>
      </c>
      <c r="B2566">
        <v>0.15</v>
      </c>
      <c r="C2566">
        <v>38.74</v>
      </c>
      <c r="E2566" t="s">
        <v>4522</v>
      </c>
      <c r="F2566">
        <v>1.2</v>
      </c>
      <c r="G2566">
        <v>120.58</v>
      </c>
      <c r="I2566" t="str" cm="1">
        <f t="array" ref="I2566:J2566">_xlfn.TEXTSPLIT(A2566," ")</f>
        <v>28.10.2023</v>
      </c>
      <c r="J2566" t="str">
        <v>18:48:55</v>
      </c>
      <c r="K2566">
        <f t="shared" si="506"/>
        <v>42.716666666665525</v>
      </c>
      <c r="L2566">
        <f t="shared" si="503"/>
        <v>24.42</v>
      </c>
      <c r="M2566">
        <f t="shared" si="504"/>
        <v>0.15</v>
      </c>
      <c r="N2566">
        <f t="shared" si="500"/>
        <v>0.46749999999999997</v>
      </c>
      <c r="Q2566" t="str" cm="1">
        <f t="array" ref="Q2566:R2566">_xlfn.TEXTSPLIT(E2566," ")</f>
        <v>28.10.2023</v>
      </c>
      <c r="R2566" t="str">
        <v>18:48:55</v>
      </c>
      <c r="S2566">
        <f t="shared" si="507"/>
        <v>42.716666666665525</v>
      </c>
      <c r="T2566">
        <f t="shared" si="502"/>
        <v>41.980000000000004</v>
      </c>
      <c r="U2566">
        <f t="shared" si="505"/>
        <v>1.2</v>
      </c>
      <c r="V2566">
        <f t="shared" si="501"/>
        <v>0.82250000000000012</v>
      </c>
    </row>
    <row r="2567" spans="1:22" x14ac:dyDescent="0.25">
      <c r="A2567" t="s">
        <v>4523</v>
      </c>
      <c r="B2567">
        <v>0.6</v>
      </c>
      <c r="C2567">
        <v>38.74</v>
      </c>
      <c r="E2567" t="s">
        <v>4523</v>
      </c>
      <c r="F2567">
        <v>0.75</v>
      </c>
      <c r="G2567">
        <v>120.59</v>
      </c>
      <c r="I2567" t="str" cm="1">
        <f t="array" ref="I2567:J2567">_xlfn.TEXTSPLIT(A2567," ")</f>
        <v>28.10.2023</v>
      </c>
      <c r="J2567" t="str">
        <v>18:49:55</v>
      </c>
      <c r="K2567">
        <f t="shared" si="506"/>
        <v>42.73333333333219</v>
      </c>
      <c r="L2567">
        <f t="shared" si="503"/>
        <v>24.42</v>
      </c>
      <c r="M2567">
        <f t="shared" si="504"/>
        <v>0.6</v>
      </c>
      <c r="N2567">
        <f t="shared" si="500"/>
        <v>0.47</v>
      </c>
      <c r="Q2567" t="str" cm="1">
        <f t="array" ref="Q2567:R2567">_xlfn.TEXTSPLIT(E2567," ")</f>
        <v>28.10.2023</v>
      </c>
      <c r="R2567" t="str">
        <v>18:49:55</v>
      </c>
      <c r="S2567">
        <f t="shared" si="507"/>
        <v>42.73333333333219</v>
      </c>
      <c r="T2567">
        <f t="shared" si="502"/>
        <v>41.990000000000009</v>
      </c>
      <c r="U2567">
        <f t="shared" si="505"/>
        <v>0.75</v>
      </c>
      <c r="V2567">
        <f t="shared" si="501"/>
        <v>0.82500000000000029</v>
      </c>
    </row>
    <row r="2568" spans="1:22" x14ac:dyDescent="0.25">
      <c r="A2568" t="s">
        <v>4524</v>
      </c>
      <c r="B2568">
        <v>0.3</v>
      </c>
      <c r="C2568">
        <v>38.74</v>
      </c>
      <c r="E2568" t="s">
        <v>4524</v>
      </c>
      <c r="F2568">
        <v>0.45</v>
      </c>
      <c r="G2568">
        <v>120.59</v>
      </c>
      <c r="I2568" t="str" cm="1">
        <f t="array" ref="I2568:J2568">_xlfn.TEXTSPLIT(A2568," ")</f>
        <v>28.10.2023</v>
      </c>
      <c r="J2568" t="str">
        <v>18:50:56</v>
      </c>
      <c r="K2568">
        <f t="shared" si="506"/>
        <v>42.749999999998856</v>
      </c>
      <c r="L2568">
        <f t="shared" si="503"/>
        <v>24.42</v>
      </c>
      <c r="M2568">
        <f t="shared" si="504"/>
        <v>0.3</v>
      </c>
      <c r="N2568">
        <f t="shared" si="500"/>
        <v>0.46749999999999997</v>
      </c>
      <c r="Q2568" t="str" cm="1">
        <f t="array" ref="Q2568:R2568">_xlfn.TEXTSPLIT(E2568," ")</f>
        <v>28.10.2023</v>
      </c>
      <c r="R2568" t="str">
        <v>18:50:56</v>
      </c>
      <c r="S2568">
        <f t="shared" si="507"/>
        <v>42.749999999998856</v>
      </c>
      <c r="T2568">
        <f t="shared" si="502"/>
        <v>41.990000000000009</v>
      </c>
      <c r="U2568">
        <f t="shared" si="505"/>
        <v>0.45</v>
      </c>
      <c r="V2568">
        <f t="shared" si="501"/>
        <v>0.82500000000000029</v>
      </c>
    </row>
    <row r="2569" spans="1:22" x14ac:dyDescent="0.25">
      <c r="A2569" t="s">
        <v>4525</v>
      </c>
      <c r="B2569">
        <v>0.3</v>
      </c>
      <c r="C2569">
        <v>38.74</v>
      </c>
      <c r="E2569" t="s">
        <v>4525</v>
      </c>
      <c r="F2569">
        <v>0.15</v>
      </c>
      <c r="G2569">
        <v>120.59</v>
      </c>
      <c r="I2569" t="str" cm="1">
        <f t="array" ref="I2569:J2569">_xlfn.TEXTSPLIT(A2569," ")</f>
        <v>28.10.2023</v>
      </c>
      <c r="J2569" t="str">
        <v>18:51:56</v>
      </c>
      <c r="K2569">
        <f t="shared" si="506"/>
        <v>42.766666666665522</v>
      </c>
      <c r="L2569">
        <f t="shared" si="503"/>
        <v>24.42</v>
      </c>
      <c r="M2569">
        <f t="shared" si="504"/>
        <v>0.3</v>
      </c>
      <c r="N2569">
        <f t="shared" si="500"/>
        <v>0.46750000000000003</v>
      </c>
      <c r="Q2569" t="str" cm="1">
        <f t="array" ref="Q2569:R2569">_xlfn.TEXTSPLIT(E2569," ")</f>
        <v>28.10.2023</v>
      </c>
      <c r="R2569" t="str">
        <v>18:51:56</v>
      </c>
      <c r="S2569">
        <f t="shared" si="507"/>
        <v>42.766666666665522</v>
      </c>
      <c r="T2569">
        <f t="shared" si="502"/>
        <v>41.990000000000009</v>
      </c>
      <c r="U2569">
        <f t="shared" si="505"/>
        <v>0.15</v>
      </c>
      <c r="V2569">
        <f t="shared" si="501"/>
        <v>0.82500000000000029</v>
      </c>
    </row>
    <row r="2570" spans="1:22" x14ac:dyDescent="0.25">
      <c r="A2570" t="s">
        <v>4526</v>
      </c>
      <c r="B2570">
        <v>0</v>
      </c>
      <c r="C2570">
        <v>38.74</v>
      </c>
      <c r="E2570" t="s">
        <v>4526</v>
      </c>
      <c r="F2570">
        <v>0.15</v>
      </c>
      <c r="G2570">
        <v>120.6</v>
      </c>
      <c r="I2570" t="str" cm="1">
        <f t="array" ref="I2570:J2570">_xlfn.TEXTSPLIT(A2570," ")</f>
        <v>28.10.2023</v>
      </c>
      <c r="J2570" t="str">
        <v>18:52:56</v>
      </c>
      <c r="K2570">
        <f t="shared" si="506"/>
        <v>42.783333333332187</v>
      </c>
      <c r="L2570">
        <f t="shared" si="503"/>
        <v>24.42</v>
      </c>
      <c r="M2570">
        <f t="shared" si="504"/>
        <v>0</v>
      </c>
      <c r="N2570">
        <f t="shared" si="500"/>
        <v>0.46750000000000003</v>
      </c>
      <c r="Q2570" t="str" cm="1">
        <f t="array" ref="Q2570:R2570">_xlfn.TEXTSPLIT(E2570," ")</f>
        <v>28.10.2023</v>
      </c>
      <c r="R2570" t="str">
        <v>18:52:56</v>
      </c>
      <c r="S2570">
        <f t="shared" si="507"/>
        <v>42.783333333332187</v>
      </c>
      <c r="T2570">
        <f t="shared" si="502"/>
        <v>42</v>
      </c>
      <c r="U2570">
        <f t="shared" si="505"/>
        <v>0.15</v>
      </c>
      <c r="V2570">
        <f t="shared" si="501"/>
        <v>0.82250000000000023</v>
      </c>
    </row>
    <row r="2571" spans="1:22" x14ac:dyDescent="0.25">
      <c r="A2571" t="s">
        <v>4527</v>
      </c>
      <c r="B2571">
        <v>0</v>
      </c>
      <c r="C2571">
        <v>38.74</v>
      </c>
      <c r="E2571" t="s">
        <v>4527</v>
      </c>
      <c r="F2571">
        <v>0.15</v>
      </c>
      <c r="G2571">
        <v>120.6</v>
      </c>
      <c r="I2571" t="str" cm="1">
        <f t="array" ref="I2571:J2571">_xlfn.TEXTSPLIT(A2571," ")</f>
        <v>28.10.2023</v>
      </c>
      <c r="J2571" t="str">
        <v>18:53:56</v>
      </c>
      <c r="K2571">
        <f t="shared" si="506"/>
        <v>42.799999999998853</v>
      </c>
      <c r="L2571">
        <f t="shared" si="503"/>
        <v>24.42</v>
      </c>
      <c r="M2571">
        <f t="shared" si="504"/>
        <v>0</v>
      </c>
      <c r="N2571">
        <f t="shared" si="500"/>
        <v>0.46750000000000003</v>
      </c>
      <c r="Q2571" t="str" cm="1">
        <f t="array" ref="Q2571:R2571">_xlfn.TEXTSPLIT(E2571," ")</f>
        <v>28.10.2023</v>
      </c>
      <c r="R2571" t="str">
        <v>18:53:56</v>
      </c>
      <c r="S2571">
        <f t="shared" si="507"/>
        <v>42.799999999998853</v>
      </c>
      <c r="T2571">
        <f t="shared" si="502"/>
        <v>42</v>
      </c>
      <c r="U2571">
        <f t="shared" si="505"/>
        <v>0.15</v>
      </c>
      <c r="V2571">
        <f t="shared" si="501"/>
        <v>0.82000000000000017</v>
      </c>
    </row>
    <row r="2572" spans="1:22" x14ac:dyDescent="0.25">
      <c r="A2572" t="s">
        <v>4528</v>
      </c>
      <c r="B2572">
        <v>0</v>
      </c>
      <c r="C2572">
        <v>38.74</v>
      </c>
      <c r="E2572" t="s">
        <v>4528</v>
      </c>
      <c r="F2572">
        <v>0.3</v>
      </c>
      <c r="G2572">
        <v>120.6</v>
      </c>
      <c r="I2572" t="str" cm="1">
        <f t="array" ref="I2572:J2572">_xlfn.TEXTSPLIT(A2572," ")</f>
        <v>28.10.2023</v>
      </c>
      <c r="J2572" t="str">
        <v>18:54:56</v>
      </c>
      <c r="K2572">
        <f t="shared" si="506"/>
        <v>42.816666666665519</v>
      </c>
      <c r="L2572">
        <f t="shared" si="503"/>
        <v>24.42</v>
      </c>
      <c r="M2572">
        <f t="shared" si="504"/>
        <v>0</v>
      </c>
      <c r="N2572">
        <f t="shared" si="500"/>
        <v>0.46750000000000003</v>
      </c>
      <c r="Q2572" t="str" cm="1">
        <f t="array" ref="Q2572:R2572">_xlfn.TEXTSPLIT(E2572," ")</f>
        <v>28.10.2023</v>
      </c>
      <c r="R2572" t="str">
        <v>18:54:56</v>
      </c>
      <c r="S2572">
        <f t="shared" si="507"/>
        <v>42.816666666665519</v>
      </c>
      <c r="T2572">
        <f t="shared" si="502"/>
        <v>42</v>
      </c>
      <c r="U2572">
        <f t="shared" si="505"/>
        <v>0.3</v>
      </c>
      <c r="V2572">
        <f t="shared" si="501"/>
        <v>0.82000000000000017</v>
      </c>
    </row>
    <row r="2573" spans="1:22" x14ac:dyDescent="0.25">
      <c r="A2573" t="s">
        <v>4529</v>
      </c>
      <c r="B2573">
        <v>0</v>
      </c>
      <c r="C2573">
        <v>38.74</v>
      </c>
      <c r="E2573" t="s">
        <v>4529</v>
      </c>
      <c r="F2573">
        <v>0.3</v>
      </c>
      <c r="G2573">
        <v>120.61</v>
      </c>
      <c r="I2573" t="str" cm="1">
        <f t="array" ref="I2573:J2573">_xlfn.TEXTSPLIT(A2573," ")</f>
        <v>28.10.2023</v>
      </c>
      <c r="J2573" t="str">
        <v>18:55:56</v>
      </c>
      <c r="K2573">
        <f t="shared" si="506"/>
        <v>42.833333333332185</v>
      </c>
      <c r="L2573">
        <f t="shared" si="503"/>
        <v>24.42</v>
      </c>
      <c r="M2573">
        <f t="shared" si="504"/>
        <v>0</v>
      </c>
      <c r="N2573">
        <f t="shared" si="500"/>
        <v>0.46750000000000003</v>
      </c>
      <c r="Q2573" t="str" cm="1">
        <f t="array" ref="Q2573:R2573">_xlfn.TEXTSPLIT(E2573," ")</f>
        <v>28.10.2023</v>
      </c>
      <c r="R2573" t="str">
        <v>18:55:56</v>
      </c>
      <c r="S2573">
        <f t="shared" si="507"/>
        <v>42.833333333332185</v>
      </c>
      <c r="T2573">
        <f t="shared" si="502"/>
        <v>42.010000000000005</v>
      </c>
      <c r="U2573">
        <f t="shared" si="505"/>
        <v>0.3</v>
      </c>
      <c r="V2573">
        <f t="shared" si="501"/>
        <v>0.82000000000000006</v>
      </c>
    </row>
    <row r="2574" spans="1:22" x14ac:dyDescent="0.25">
      <c r="A2574" t="s">
        <v>4530</v>
      </c>
      <c r="B2574">
        <v>0</v>
      </c>
      <c r="C2574">
        <v>38.74</v>
      </c>
      <c r="E2574" t="s">
        <v>4530</v>
      </c>
      <c r="F2574">
        <v>0.3</v>
      </c>
      <c r="G2574">
        <v>120.61</v>
      </c>
      <c r="I2574" t="str" cm="1">
        <f t="array" ref="I2574:J2574">_xlfn.TEXTSPLIT(A2574," ")</f>
        <v>28.10.2023</v>
      </c>
      <c r="J2574" t="str">
        <v>18:56:56</v>
      </c>
      <c r="K2574">
        <f t="shared" si="506"/>
        <v>42.84999999999885</v>
      </c>
      <c r="L2574">
        <f t="shared" si="503"/>
        <v>24.42</v>
      </c>
      <c r="M2574">
        <f t="shared" si="504"/>
        <v>0</v>
      </c>
      <c r="N2574">
        <f t="shared" si="500"/>
        <v>0.46750000000000003</v>
      </c>
      <c r="Q2574" t="str" cm="1">
        <f t="array" ref="Q2574:R2574">_xlfn.TEXTSPLIT(E2574," ")</f>
        <v>28.10.2023</v>
      </c>
      <c r="R2574" t="str">
        <v>18:56:56</v>
      </c>
      <c r="S2574">
        <f t="shared" si="507"/>
        <v>42.84999999999885</v>
      </c>
      <c r="T2574">
        <f t="shared" si="502"/>
        <v>42.010000000000005</v>
      </c>
      <c r="U2574">
        <f t="shared" si="505"/>
        <v>0.3</v>
      </c>
      <c r="V2574">
        <f t="shared" si="501"/>
        <v>0.81499999999999995</v>
      </c>
    </row>
    <row r="2575" spans="1:22" x14ac:dyDescent="0.25">
      <c r="A2575" t="s">
        <v>4531</v>
      </c>
      <c r="B2575">
        <v>0</v>
      </c>
      <c r="C2575">
        <v>38.74</v>
      </c>
      <c r="E2575" t="s">
        <v>4531</v>
      </c>
      <c r="F2575">
        <v>0.45</v>
      </c>
      <c r="G2575">
        <v>120.62</v>
      </c>
      <c r="I2575" t="str" cm="1">
        <f t="array" ref="I2575:J2575">_xlfn.TEXTSPLIT(A2575," ")</f>
        <v>28.10.2023</v>
      </c>
      <c r="J2575" t="str">
        <v>18:57:57</v>
      </c>
      <c r="K2575">
        <f t="shared" si="506"/>
        <v>42.866666666665516</v>
      </c>
      <c r="L2575">
        <f t="shared" si="503"/>
        <v>24.42</v>
      </c>
      <c r="M2575">
        <f t="shared" si="504"/>
        <v>0</v>
      </c>
      <c r="N2575">
        <f t="shared" si="500"/>
        <v>0.46750000000000003</v>
      </c>
      <c r="Q2575" t="str" cm="1">
        <f t="array" ref="Q2575:R2575">_xlfn.TEXTSPLIT(E2575," ")</f>
        <v>28.10.2023</v>
      </c>
      <c r="R2575" t="str">
        <v>18:57:57</v>
      </c>
      <c r="S2575">
        <f t="shared" si="507"/>
        <v>42.866666666665516</v>
      </c>
      <c r="T2575">
        <f t="shared" si="502"/>
        <v>42.02000000000001</v>
      </c>
      <c r="U2575">
        <f t="shared" si="505"/>
        <v>0.45</v>
      </c>
      <c r="V2575">
        <f t="shared" si="501"/>
        <v>0.8125</v>
      </c>
    </row>
    <row r="2576" spans="1:22" x14ac:dyDescent="0.25">
      <c r="A2576" t="s">
        <v>4532</v>
      </c>
      <c r="B2576">
        <v>0</v>
      </c>
      <c r="C2576">
        <v>38.74</v>
      </c>
      <c r="E2576" t="s">
        <v>4532</v>
      </c>
      <c r="F2576">
        <v>0.3</v>
      </c>
      <c r="G2576">
        <v>120.63</v>
      </c>
      <c r="I2576" t="str" cm="1">
        <f t="array" ref="I2576:J2576">_xlfn.TEXTSPLIT(A2576," ")</f>
        <v>28.10.2023</v>
      </c>
      <c r="J2576" t="str">
        <v>18:58:57</v>
      </c>
      <c r="K2576">
        <f t="shared" si="506"/>
        <v>42.883333333332182</v>
      </c>
      <c r="L2576">
        <f t="shared" si="503"/>
        <v>24.42</v>
      </c>
      <c r="M2576">
        <f t="shared" si="504"/>
        <v>0</v>
      </c>
      <c r="N2576">
        <f t="shared" si="500"/>
        <v>0.46750000000000003</v>
      </c>
      <c r="Q2576" t="str" cm="1">
        <f t="array" ref="Q2576:R2576">_xlfn.TEXTSPLIT(E2576," ")</f>
        <v>28.10.2023</v>
      </c>
      <c r="R2576" t="str">
        <v>18:58:57</v>
      </c>
      <c r="S2576">
        <f t="shared" si="507"/>
        <v>42.883333333332182</v>
      </c>
      <c r="T2576">
        <f t="shared" si="502"/>
        <v>42.03</v>
      </c>
      <c r="U2576">
        <f t="shared" si="505"/>
        <v>0.3</v>
      </c>
      <c r="V2576">
        <f t="shared" si="501"/>
        <v>0.8075</v>
      </c>
    </row>
    <row r="2577" spans="1:22" x14ac:dyDescent="0.25">
      <c r="A2577" t="s">
        <v>4533</v>
      </c>
      <c r="B2577">
        <v>0</v>
      </c>
      <c r="C2577">
        <v>38.75</v>
      </c>
      <c r="E2577" t="s">
        <v>4533</v>
      </c>
      <c r="F2577">
        <v>0.6</v>
      </c>
      <c r="G2577">
        <v>120.64</v>
      </c>
      <c r="I2577" t="str" cm="1">
        <f t="array" ref="I2577:J2577">_xlfn.TEXTSPLIT(A2577," ")</f>
        <v>28.10.2023</v>
      </c>
      <c r="J2577" t="str">
        <v>18:59:57</v>
      </c>
      <c r="K2577">
        <f t="shared" si="506"/>
        <v>42.899999999998847</v>
      </c>
      <c r="L2577">
        <f t="shared" si="503"/>
        <v>24.43</v>
      </c>
      <c r="M2577">
        <f t="shared" si="504"/>
        <v>0</v>
      </c>
      <c r="N2577">
        <f t="shared" si="500"/>
        <v>0.46750000000000003</v>
      </c>
      <c r="Q2577" t="str" cm="1">
        <f t="array" ref="Q2577:R2577">_xlfn.TEXTSPLIT(E2577," ")</f>
        <v>28.10.2023</v>
      </c>
      <c r="R2577" t="str">
        <v>18:59:57</v>
      </c>
      <c r="S2577">
        <f t="shared" si="507"/>
        <v>42.899999999998847</v>
      </c>
      <c r="T2577">
        <f t="shared" si="502"/>
        <v>42.040000000000006</v>
      </c>
      <c r="U2577">
        <f t="shared" si="505"/>
        <v>0.6</v>
      </c>
      <c r="V2577">
        <f t="shared" si="501"/>
        <v>0.8075</v>
      </c>
    </row>
    <row r="2578" spans="1:22" x14ac:dyDescent="0.25">
      <c r="A2578" t="s">
        <v>4534</v>
      </c>
      <c r="B2578">
        <v>0</v>
      </c>
      <c r="C2578">
        <v>38.75</v>
      </c>
      <c r="E2578" t="s">
        <v>4534</v>
      </c>
      <c r="F2578">
        <v>0.45</v>
      </c>
      <c r="G2578">
        <v>120.65</v>
      </c>
      <c r="I2578" t="str" cm="1">
        <f t="array" ref="I2578:J2578">_xlfn.TEXTSPLIT(A2578," ")</f>
        <v>28.10.2023</v>
      </c>
      <c r="J2578" t="str">
        <v>19:00:57</v>
      </c>
      <c r="K2578">
        <f t="shared" si="506"/>
        <v>42.916666666665513</v>
      </c>
      <c r="L2578">
        <f t="shared" si="503"/>
        <v>24.43</v>
      </c>
      <c r="M2578">
        <f t="shared" si="504"/>
        <v>0</v>
      </c>
      <c r="N2578">
        <f t="shared" si="500"/>
        <v>0.46750000000000003</v>
      </c>
      <c r="Q2578" t="str" cm="1">
        <f t="array" ref="Q2578:R2578">_xlfn.TEXTSPLIT(E2578," ")</f>
        <v>28.10.2023</v>
      </c>
      <c r="R2578" t="str">
        <v>19:00:57</v>
      </c>
      <c r="S2578">
        <f t="shared" si="507"/>
        <v>42.916666666665513</v>
      </c>
      <c r="T2578">
        <f t="shared" si="502"/>
        <v>42.050000000000011</v>
      </c>
      <c r="U2578">
        <f t="shared" si="505"/>
        <v>0.45</v>
      </c>
      <c r="V2578">
        <f t="shared" si="501"/>
        <v>0.80500000000000005</v>
      </c>
    </row>
    <row r="2579" spans="1:22" x14ac:dyDescent="0.25">
      <c r="A2579" t="s">
        <v>4535</v>
      </c>
      <c r="B2579">
        <v>0.3</v>
      </c>
      <c r="C2579">
        <v>38.75</v>
      </c>
      <c r="E2579" t="s">
        <v>4535</v>
      </c>
      <c r="F2579">
        <v>0.9</v>
      </c>
      <c r="G2579">
        <v>120.67</v>
      </c>
      <c r="I2579" t="str" cm="1">
        <f t="array" ref="I2579:J2579">_xlfn.TEXTSPLIT(A2579," ")</f>
        <v>28.10.2023</v>
      </c>
      <c r="J2579" t="str">
        <v>19:01:57</v>
      </c>
      <c r="K2579">
        <f t="shared" si="506"/>
        <v>42.933333333332179</v>
      </c>
      <c r="L2579">
        <f t="shared" si="503"/>
        <v>24.43</v>
      </c>
      <c r="M2579">
        <f t="shared" si="504"/>
        <v>0.3</v>
      </c>
      <c r="N2579">
        <f t="shared" si="500"/>
        <v>0.46750000000000003</v>
      </c>
      <c r="Q2579" t="str" cm="1">
        <f t="array" ref="Q2579:R2579">_xlfn.TEXTSPLIT(E2579," ")</f>
        <v>28.10.2023</v>
      </c>
      <c r="R2579" t="str">
        <v>19:01:57</v>
      </c>
      <c r="S2579">
        <f t="shared" si="507"/>
        <v>42.933333333332179</v>
      </c>
      <c r="T2579">
        <f t="shared" si="502"/>
        <v>42.070000000000007</v>
      </c>
      <c r="U2579">
        <f t="shared" si="505"/>
        <v>0.9</v>
      </c>
      <c r="V2579">
        <f t="shared" si="501"/>
        <v>0.80499999999999994</v>
      </c>
    </row>
    <row r="2580" spans="1:22" x14ac:dyDescent="0.25">
      <c r="A2580" t="s">
        <v>4536</v>
      </c>
      <c r="B2580">
        <v>0</v>
      </c>
      <c r="C2580">
        <v>38.76</v>
      </c>
      <c r="E2580" t="s">
        <v>4536</v>
      </c>
      <c r="F2580">
        <v>1.05</v>
      </c>
      <c r="G2580">
        <v>120.69</v>
      </c>
      <c r="I2580" t="str" cm="1">
        <f t="array" ref="I2580:J2580">_xlfn.TEXTSPLIT(A2580," ")</f>
        <v>28.10.2023</v>
      </c>
      <c r="J2580" t="str">
        <v>19:02:57</v>
      </c>
      <c r="K2580">
        <f t="shared" si="506"/>
        <v>42.949999999998845</v>
      </c>
      <c r="L2580">
        <f t="shared" si="503"/>
        <v>24.439999999999998</v>
      </c>
      <c r="M2580">
        <f t="shared" si="504"/>
        <v>0</v>
      </c>
      <c r="N2580">
        <f t="shared" si="500"/>
        <v>0.46250000000000002</v>
      </c>
      <c r="Q2580" t="str" cm="1">
        <f t="array" ref="Q2580:R2580">_xlfn.TEXTSPLIT(E2580," ")</f>
        <v>28.10.2023</v>
      </c>
      <c r="R2580" t="str">
        <v>19:02:57</v>
      </c>
      <c r="S2580">
        <f t="shared" si="507"/>
        <v>42.949999999998845</v>
      </c>
      <c r="T2580">
        <f t="shared" si="502"/>
        <v>42.09</v>
      </c>
      <c r="U2580">
        <f t="shared" si="505"/>
        <v>1.05</v>
      </c>
      <c r="V2580">
        <f t="shared" si="501"/>
        <v>0.8125</v>
      </c>
    </row>
    <row r="2581" spans="1:22" x14ac:dyDescent="0.25">
      <c r="A2581" t="s">
        <v>4537</v>
      </c>
      <c r="B2581">
        <v>0.45</v>
      </c>
      <c r="C2581">
        <v>38.76</v>
      </c>
      <c r="E2581" t="s">
        <v>4537</v>
      </c>
      <c r="F2581">
        <v>0.9</v>
      </c>
      <c r="G2581">
        <v>120.7</v>
      </c>
      <c r="I2581" t="str" cm="1">
        <f t="array" ref="I2581:J2581">_xlfn.TEXTSPLIT(A2581," ")</f>
        <v>28.10.2023</v>
      </c>
      <c r="J2581" t="str">
        <v>19:03:58</v>
      </c>
      <c r="K2581">
        <f t="shared" si="506"/>
        <v>42.96666666666551</v>
      </c>
      <c r="L2581">
        <f t="shared" si="503"/>
        <v>24.439999999999998</v>
      </c>
      <c r="M2581">
        <f t="shared" si="504"/>
        <v>0.45</v>
      </c>
      <c r="N2581">
        <f t="shared" si="500"/>
        <v>0.46499999999999997</v>
      </c>
      <c r="Q2581" t="str" cm="1">
        <f t="array" ref="Q2581:R2581">_xlfn.TEXTSPLIT(E2581," ")</f>
        <v>28.10.2023</v>
      </c>
      <c r="R2581" t="str">
        <v>19:03:58</v>
      </c>
      <c r="S2581">
        <f t="shared" si="507"/>
        <v>42.96666666666551</v>
      </c>
      <c r="T2581">
        <f t="shared" si="502"/>
        <v>42.100000000000009</v>
      </c>
      <c r="U2581">
        <f t="shared" si="505"/>
        <v>0.9</v>
      </c>
      <c r="V2581">
        <f t="shared" si="501"/>
        <v>0.81749999999999978</v>
      </c>
    </row>
    <row r="2582" spans="1:22" x14ac:dyDescent="0.25">
      <c r="A2582" t="s">
        <v>4538</v>
      </c>
      <c r="B2582">
        <v>0.15</v>
      </c>
      <c r="C2582">
        <v>38.770000000000003</v>
      </c>
      <c r="E2582" t="s">
        <v>4538</v>
      </c>
      <c r="F2582">
        <v>0.75</v>
      </c>
      <c r="G2582">
        <v>120.71</v>
      </c>
      <c r="I2582" t="str" cm="1">
        <f t="array" ref="I2582:J2582">_xlfn.TEXTSPLIT(A2582," ")</f>
        <v>28.10.2023</v>
      </c>
      <c r="J2582" t="str">
        <v>19:04:58</v>
      </c>
      <c r="K2582">
        <f t="shared" si="506"/>
        <v>42.983333333332176</v>
      </c>
      <c r="L2582">
        <f t="shared" si="503"/>
        <v>24.450000000000003</v>
      </c>
      <c r="M2582">
        <f t="shared" si="504"/>
        <v>0.15</v>
      </c>
      <c r="N2582">
        <f t="shared" si="500"/>
        <v>0.46249999999999997</v>
      </c>
      <c r="Q2582" t="str" cm="1">
        <f t="array" ref="Q2582:R2582">_xlfn.TEXTSPLIT(E2582," ")</f>
        <v>28.10.2023</v>
      </c>
      <c r="R2582" t="str">
        <v>19:04:58</v>
      </c>
      <c r="S2582">
        <f t="shared" si="507"/>
        <v>42.983333333332176</v>
      </c>
      <c r="T2582">
        <f t="shared" si="502"/>
        <v>42.11</v>
      </c>
      <c r="U2582">
        <f t="shared" si="505"/>
        <v>0.75</v>
      </c>
      <c r="V2582">
        <f t="shared" si="501"/>
        <v>0.82</v>
      </c>
    </row>
    <row r="2583" spans="1:22" x14ac:dyDescent="0.25">
      <c r="A2583" t="s">
        <v>4539</v>
      </c>
      <c r="B2583">
        <v>0.45</v>
      </c>
      <c r="C2583">
        <v>38.770000000000003</v>
      </c>
      <c r="E2583" t="s">
        <v>4539</v>
      </c>
      <c r="F2583">
        <v>1.2</v>
      </c>
      <c r="G2583">
        <v>120.74</v>
      </c>
      <c r="I2583" t="str" cm="1">
        <f t="array" ref="I2583:J2583">_xlfn.TEXTSPLIT(A2583," ")</f>
        <v>28.10.2023</v>
      </c>
      <c r="J2583" t="str">
        <v>19:05:58</v>
      </c>
      <c r="K2583">
        <f t="shared" si="506"/>
        <v>42.999999999998842</v>
      </c>
      <c r="L2583">
        <f t="shared" si="503"/>
        <v>24.450000000000003</v>
      </c>
      <c r="M2583">
        <f t="shared" si="504"/>
        <v>0.45</v>
      </c>
      <c r="N2583">
        <f t="shared" si="500"/>
        <v>0.46249999999999997</v>
      </c>
      <c r="Q2583" t="str" cm="1">
        <f t="array" ref="Q2583:R2583">_xlfn.TEXTSPLIT(E2583," ")</f>
        <v>28.10.2023</v>
      </c>
      <c r="R2583" t="str">
        <v>19:05:58</v>
      </c>
      <c r="S2583">
        <f t="shared" si="507"/>
        <v>42.999999999998842</v>
      </c>
      <c r="T2583">
        <f t="shared" si="502"/>
        <v>42.14</v>
      </c>
      <c r="U2583">
        <f t="shared" si="505"/>
        <v>1.2</v>
      </c>
      <c r="V2583">
        <f t="shared" si="501"/>
        <v>0.8224999999999999</v>
      </c>
    </row>
    <row r="2584" spans="1:22" x14ac:dyDescent="0.25">
      <c r="A2584" t="s">
        <v>4540</v>
      </c>
      <c r="B2584">
        <v>0.3</v>
      </c>
      <c r="C2584">
        <v>38.81</v>
      </c>
      <c r="E2584" t="s">
        <v>4540</v>
      </c>
      <c r="F2584">
        <v>1.8</v>
      </c>
      <c r="G2584">
        <v>120.78</v>
      </c>
      <c r="I2584" t="str" cm="1">
        <f t="array" ref="I2584:J2584">_xlfn.TEXTSPLIT(A2584," ")</f>
        <v>28.10.2023</v>
      </c>
      <c r="J2584" t="str">
        <v>19:06:58</v>
      </c>
      <c r="K2584">
        <f t="shared" si="506"/>
        <v>43.016666666665508</v>
      </c>
      <c r="L2584">
        <f t="shared" si="503"/>
        <v>24.490000000000002</v>
      </c>
      <c r="M2584">
        <f t="shared" si="504"/>
        <v>0.3</v>
      </c>
      <c r="N2584">
        <f t="shared" si="500"/>
        <v>0.46249999999999997</v>
      </c>
      <c r="Q2584" t="str" cm="1">
        <f t="array" ref="Q2584:R2584">_xlfn.TEXTSPLIT(E2584," ")</f>
        <v>28.10.2023</v>
      </c>
      <c r="R2584" t="str">
        <v>19:06:58</v>
      </c>
      <c r="S2584">
        <f t="shared" si="507"/>
        <v>43.016666666665508</v>
      </c>
      <c r="T2584">
        <f t="shared" si="502"/>
        <v>42.180000000000007</v>
      </c>
      <c r="U2584">
        <f t="shared" si="505"/>
        <v>1.8</v>
      </c>
      <c r="V2584">
        <f t="shared" si="501"/>
        <v>0.81249999999999989</v>
      </c>
    </row>
    <row r="2585" spans="1:22" x14ac:dyDescent="0.25">
      <c r="A2585" t="s">
        <v>4541</v>
      </c>
      <c r="B2585">
        <v>2.25</v>
      </c>
      <c r="C2585">
        <v>38.840000000000003</v>
      </c>
      <c r="E2585" t="s">
        <v>4541</v>
      </c>
      <c r="F2585">
        <v>2.1</v>
      </c>
      <c r="G2585">
        <v>120.81</v>
      </c>
      <c r="I2585" t="str" cm="1">
        <f t="array" ref="I2585:J2585">_xlfn.TEXTSPLIT(A2585," ")</f>
        <v>28.10.2023</v>
      </c>
      <c r="J2585" t="str">
        <v>19:07:58</v>
      </c>
      <c r="K2585">
        <f t="shared" si="506"/>
        <v>43.033333333332173</v>
      </c>
      <c r="L2585">
        <f t="shared" si="503"/>
        <v>24.520000000000003</v>
      </c>
      <c r="M2585">
        <f t="shared" si="504"/>
        <v>2.25</v>
      </c>
      <c r="N2585">
        <f t="shared" si="500"/>
        <v>0.46250000000000002</v>
      </c>
      <c r="Q2585" t="str" cm="1">
        <f t="array" ref="Q2585:R2585">_xlfn.TEXTSPLIT(E2585," ")</f>
        <v>28.10.2023</v>
      </c>
      <c r="R2585" t="str">
        <v>19:07:58</v>
      </c>
      <c r="S2585">
        <f t="shared" si="507"/>
        <v>43.033333333332173</v>
      </c>
      <c r="T2585">
        <f t="shared" si="502"/>
        <v>42.210000000000008</v>
      </c>
      <c r="U2585">
        <f t="shared" si="505"/>
        <v>2.1</v>
      </c>
      <c r="V2585">
        <f t="shared" si="501"/>
        <v>0.80249999999999977</v>
      </c>
    </row>
    <row r="2586" spans="1:22" x14ac:dyDescent="0.25">
      <c r="A2586" t="s">
        <v>4542</v>
      </c>
      <c r="B2586">
        <v>1.8</v>
      </c>
      <c r="C2586">
        <v>38.86</v>
      </c>
      <c r="E2586" t="s">
        <v>4542</v>
      </c>
      <c r="F2586">
        <v>2.1</v>
      </c>
      <c r="G2586">
        <v>120.83</v>
      </c>
      <c r="I2586" t="str" cm="1">
        <f t="array" ref="I2586:J2586">_xlfn.TEXTSPLIT(A2586," ")</f>
        <v>28.10.2023</v>
      </c>
      <c r="J2586" t="str">
        <v>19:08:58</v>
      </c>
      <c r="K2586">
        <f t="shared" si="506"/>
        <v>43.049999999998839</v>
      </c>
      <c r="L2586">
        <f t="shared" si="503"/>
        <v>24.54</v>
      </c>
      <c r="M2586">
        <f t="shared" si="504"/>
        <v>1.8</v>
      </c>
      <c r="N2586">
        <f t="shared" si="500"/>
        <v>0.46249999999999997</v>
      </c>
      <c r="Q2586" t="str" cm="1">
        <f t="array" ref="Q2586:R2586">_xlfn.TEXTSPLIT(E2586," ")</f>
        <v>28.10.2023</v>
      </c>
      <c r="R2586" t="str">
        <v>19:08:58</v>
      </c>
      <c r="S2586">
        <f t="shared" si="507"/>
        <v>43.049999999998839</v>
      </c>
      <c r="T2586">
        <f t="shared" si="502"/>
        <v>42.230000000000004</v>
      </c>
      <c r="U2586">
        <f t="shared" si="505"/>
        <v>2.1</v>
      </c>
      <c r="V2586">
        <f t="shared" si="501"/>
        <v>0.81499999999999984</v>
      </c>
    </row>
    <row r="2587" spans="1:22" x14ac:dyDescent="0.25">
      <c r="A2587" t="s">
        <v>4543</v>
      </c>
      <c r="B2587">
        <v>1.35</v>
      </c>
      <c r="C2587">
        <v>38.869999999999997</v>
      </c>
      <c r="E2587" t="s">
        <v>4543</v>
      </c>
      <c r="F2587">
        <v>1.05</v>
      </c>
      <c r="G2587">
        <v>120.85</v>
      </c>
      <c r="I2587" t="str" cm="1">
        <f t="array" ref="I2587:J2587">_xlfn.TEXTSPLIT(A2587," ")</f>
        <v>28.10.2023</v>
      </c>
      <c r="J2587" t="str">
        <v>19:09:58</v>
      </c>
      <c r="K2587">
        <f t="shared" si="506"/>
        <v>43.066666666665505</v>
      </c>
      <c r="L2587">
        <f t="shared" si="503"/>
        <v>24.549999999999997</v>
      </c>
      <c r="M2587">
        <f t="shared" si="504"/>
        <v>1.35</v>
      </c>
      <c r="N2587">
        <f t="shared" si="500"/>
        <v>0.46500000000000002</v>
      </c>
      <c r="Q2587" t="str" cm="1">
        <f t="array" ref="Q2587:R2587">_xlfn.TEXTSPLIT(E2587," ")</f>
        <v>28.10.2023</v>
      </c>
      <c r="R2587" t="str">
        <v>19:09:58</v>
      </c>
      <c r="S2587">
        <f t="shared" si="507"/>
        <v>43.066666666665505</v>
      </c>
      <c r="T2587">
        <f t="shared" si="502"/>
        <v>42.25</v>
      </c>
      <c r="U2587">
        <f t="shared" si="505"/>
        <v>1.05</v>
      </c>
      <c r="V2587">
        <f t="shared" si="501"/>
        <v>0.81499999999999972</v>
      </c>
    </row>
    <row r="2588" spans="1:22" x14ac:dyDescent="0.25">
      <c r="A2588" t="s">
        <v>4544</v>
      </c>
      <c r="B2588">
        <v>0.6</v>
      </c>
      <c r="C2588">
        <v>38.880000000000003</v>
      </c>
      <c r="E2588" t="s">
        <v>4544</v>
      </c>
      <c r="F2588">
        <v>0.6</v>
      </c>
      <c r="G2588">
        <v>120.86</v>
      </c>
      <c r="I2588" t="str" cm="1">
        <f t="array" ref="I2588:J2588">_xlfn.TEXTSPLIT(A2588," ")</f>
        <v>28.10.2023</v>
      </c>
      <c r="J2588" t="str">
        <v>19:10:59</v>
      </c>
      <c r="K2588">
        <f t="shared" si="506"/>
        <v>43.08333333333217</v>
      </c>
      <c r="L2588">
        <f t="shared" si="503"/>
        <v>24.560000000000002</v>
      </c>
      <c r="M2588">
        <f t="shared" si="504"/>
        <v>0.6</v>
      </c>
      <c r="N2588">
        <f t="shared" si="500"/>
        <v>0.46500000000000002</v>
      </c>
      <c r="Q2588" t="str" cm="1">
        <f t="array" ref="Q2588:R2588">_xlfn.TEXTSPLIT(E2588," ")</f>
        <v>28.10.2023</v>
      </c>
      <c r="R2588" t="str">
        <v>19:10:59</v>
      </c>
      <c r="S2588">
        <f t="shared" si="507"/>
        <v>43.08333333333217</v>
      </c>
      <c r="T2588">
        <f t="shared" si="502"/>
        <v>42.260000000000005</v>
      </c>
      <c r="U2588">
        <f t="shared" si="505"/>
        <v>0.6</v>
      </c>
      <c r="V2588">
        <f t="shared" si="501"/>
        <v>0.80749999999999966</v>
      </c>
    </row>
    <row r="2589" spans="1:22" x14ac:dyDescent="0.25">
      <c r="A2589" t="s">
        <v>4545</v>
      </c>
      <c r="B2589">
        <v>0.75</v>
      </c>
      <c r="C2589">
        <v>38.9</v>
      </c>
      <c r="E2589" t="s">
        <v>4545</v>
      </c>
      <c r="F2589">
        <v>0.6</v>
      </c>
      <c r="G2589">
        <v>120.87</v>
      </c>
      <c r="I2589" t="str" cm="1">
        <f t="array" ref="I2589:J2589">_xlfn.TEXTSPLIT(A2589," ")</f>
        <v>28.10.2023</v>
      </c>
      <c r="J2589" t="str">
        <v>19:11:59</v>
      </c>
      <c r="K2589">
        <f t="shared" si="506"/>
        <v>43.099999999998836</v>
      </c>
      <c r="L2589">
        <f t="shared" si="503"/>
        <v>24.58</v>
      </c>
      <c r="M2589">
        <f t="shared" si="504"/>
        <v>0.75</v>
      </c>
      <c r="N2589">
        <f t="shared" si="500"/>
        <v>0.46750000000000003</v>
      </c>
      <c r="Q2589" t="str" cm="1">
        <f t="array" ref="Q2589:R2589">_xlfn.TEXTSPLIT(E2589," ")</f>
        <v>28.10.2023</v>
      </c>
      <c r="R2589" t="str">
        <v>19:11:59</v>
      </c>
      <c r="S2589">
        <f t="shared" si="507"/>
        <v>43.099999999998836</v>
      </c>
      <c r="T2589">
        <f t="shared" si="502"/>
        <v>42.27000000000001</v>
      </c>
      <c r="U2589">
        <f t="shared" si="505"/>
        <v>0.6</v>
      </c>
      <c r="V2589">
        <f t="shared" si="501"/>
        <v>0.79499999999999971</v>
      </c>
    </row>
    <row r="2590" spans="1:22" x14ac:dyDescent="0.25">
      <c r="A2590" t="s">
        <v>4546</v>
      </c>
      <c r="B2590">
        <v>0.75</v>
      </c>
      <c r="C2590">
        <v>38.9</v>
      </c>
      <c r="E2590" t="s">
        <v>4546</v>
      </c>
      <c r="F2590">
        <v>0.75</v>
      </c>
      <c r="G2590">
        <v>120.88</v>
      </c>
      <c r="I2590" t="str" cm="1">
        <f t="array" ref="I2590:J2590">_xlfn.TEXTSPLIT(A2590," ")</f>
        <v>28.10.2023</v>
      </c>
      <c r="J2590" t="str">
        <v>19:12:59</v>
      </c>
      <c r="K2590">
        <f t="shared" si="506"/>
        <v>43.116666666665502</v>
      </c>
      <c r="L2590">
        <f t="shared" si="503"/>
        <v>24.58</v>
      </c>
      <c r="M2590">
        <f t="shared" si="504"/>
        <v>0.75</v>
      </c>
      <c r="N2590">
        <f t="shared" si="500"/>
        <v>0.47</v>
      </c>
      <c r="Q2590" t="str" cm="1">
        <f t="array" ref="Q2590:R2590">_xlfn.TEXTSPLIT(E2590," ")</f>
        <v>28.10.2023</v>
      </c>
      <c r="R2590" t="str">
        <v>19:12:59</v>
      </c>
      <c r="S2590">
        <f t="shared" si="507"/>
        <v>43.116666666665502</v>
      </c>
      <c r="T2590">
        <f t="shared" si="502"/>
        <v>42.28</v>
      </c>
      <c r="U2590">
        <f t="shared" si="505"/>
        <v>0.75</v>
      </c>
      <c r="V2590">
        <f t="shared" si="501"/>
        <v>0.78999999999999981</v>
      </c>
    </row>
    <row r="2591" spans="1:22" x14ac:dyDescent="0.25">
      <c r="A2591" t="s">
        <v>4547</v>
      </c>
      <c r="B2591">
        <v>0.45</v>
      </c>
      <c r="C2591">
        <v>38.909999999999997</v>
      </c>
      <c r="E2591" t="s">
        <v>4547</v>
      </c>
      <c r="F2591">
        <v>0.75</v>
      </c>
      <c r="G2591">
        <v>120.9</v>
      </c>
      <c r="I2591" t="str" cm="1">
        <f t="array" ref="I2591:J2591">_xlfn.TEXTSPLIT(A2591," ")</f>
        <v>28.10.2023</v>
      </c>
      <c r="J2591" t="str">
        <v>19:13:59</v>
      </c>
      <c r="K2591">
        <f t="shared" si="506"/>
        <v>43.133333333332168</v>
      </c>
      <c r="L2591">
        <f t="shared" si="503"/>
        <v>24.589999999999996</v>
      </c>
      <c r="M2591">
        <f t="shared" si="504"/>
        <v>0.45</v>
      </c>
      <c r="N2591">
        <f t="shared" si="500"/>
        <v>0.47250000000000003</v>
      </c>
      <c r="Q2591" t="str" cm="1">
        <f t="array" ref="Q2591:R2591">_xlfn.TEXTSPLIT(E2591," ")</f>
        <v>28.10.2023</v>
      </c>
      <c r="R2591" t="str">
        <v>19:13:59</v>
      </c>
      <c r="S2591">
        <f t="shared" si="507"/>
        <v>43.133333333332168</v>
      </c>
      <c r="T2591">
        <f t="shared" si="502"/>
        <v>42.300000000000011</v>
      </c>
      <c r="U2591">
        <f t="shared" si="505"/>
        <v>0.75</v>
      </c>
      <c r="V2591">
        <f t="shared" si="501"/>
        <v>0.78499999999999992</v>
      </c>
    </row>
    <row r="2592" spans="1:22" x14ac:dyDescent="0.25">
      <c r="A2592" t="s">
        <v>4548</v>
      </c>
      <c r="B2592">
        <v>0.45</v>
      </c>
      <c r="C2592">
        <v>38.92</v>
      </c>
      <c r="E2592" t="s">
        <v>4548</v>
      </c>
      <c r="F2592">
        <v>0.9</v>
      </c>
      <c r="G2592">
        <v>120.92</v>
      </c>
      <c r="I2592" t="str" cm="1">
        <f t="array" ref="I2592:J2592">_xlfn.TEXTSPLIT(A2592," ")</f>
        <v>28.10.2023</v>
      </c>
      <c r="J2592" t="str">
        <v>19:14:59</v>
      </c>
      <c r="K2592">
        <f t="shared" si="506"/>
        <v>43.149999999998833</v>
      </c>
      <c r="L2592">
        <f t="shared" si="503"/>
        <v>24.6</v>
      </c>
      <c r="M2592">
        <f t="shared" si="504"/>
        <v>0.45</v>
      </c>
      <c r="N2592">
        <f t="shared" si="500"/>
        <v>0.46750000000000003</v>
      </c>
      <c r="Q2592" t="str" cm="1">
        <f t="array" ref="Q2592:R2592">_xlfn.TEXTSPLIT(E2592," ")</f>
        <v>28.10.2023</v>
      </c>
      <c r="R2592" t="str">
        <v>19:14:59</v>
      </c>
      <c r="S2592">
        <f t="shared" si="507"/>
        <v>43.149999999998833</v>
      </c>
      <c r="T2592">
        <f t="shared" si="502"/>
        <v>42.320000000000007</v>
      </c>
      <c r="U2592">
        <f t="shared" si="505"/>
        <v>0.9</v>
      </c>
      <c r="V2592">
        <f t="shared" si="501"/>
        <v>0.78999999999999981</v>
      </c>
    </row>
    <row r="2593" spans="1:22" x14ac:dyDescent="0.25">
      <c r="A2593" t="s">
        <v>4549</v>
      </c>
      <c r="B2593">
        <v>0.3</v>
      </c>
      <c r="C2593">
        <v>38.92</v>
      </c>
      <c r="E2593" t="s">
        <v>4549</v>
      </c>
      <c r="F2593">
        <v>1.2</v>
      </c>
      <c r="G2593">
        <v>120.93</v>
      </c>
      <c r="I2593" t="str" cm="1">
        <f t="array" ref="I2593:J2593">_xlfn.TEXTSPLIT(A2593," ")</f>
        <v>28.10.2023</v>
      </c>
      <c r="J2593" t="str">
        <v>19:15:59</v>
      </c>
      <c r="K2593">
        <f t="shared" si="506"/>
        <v>43.166666666665499</v>
      </c>
      <c r="L2593">
        <f t="shared" si="503"/>
        <v>24.6</v>
      </c>
      <c r="M2593">
        <f t="shared" si="504"/>
        <v>0.3</v>
      </c>
      <c r="N2593">
        <f t="shared" si="500"/>
        <v>0.46250000000000002</v>
      </c>
      <c r="Q2593" t="str" cm="1">
        <f t="array" ref="Q2593:R2593">_xlfn.TEXTSPLIT(E2593," ")</f>
        <v>28.10.2023</v>
      </c>
      <c r="R2593" t="str">
        <v>19:15:59</v>
      </c>
      <c r="S2593">
        <f t="shared" si="507"/>
        <v>43.166666666665499</v>
      </c>
      <c r="T2593">
        <f t="shared" si="502"/>
        <v>42.330000000000013</v>
      </c>
      <c r="U2593">
        <f t="shared" si="505"/>
        <v>1.2</v>
      </c>
      <c r="V2593">
        <f t="shared" si="501"/>
        <v>0.79999999999999993</v>
      </c>
    </row>
    <row r="2594" spans="1:22" x14ac:dyDescent="0.25">
      <c r="A2594" t="s">
        <v>4550</v>
      </c>
      <c r="B2594">
        <v>0.45</v>
      </c>
      <c r="C2594">
        <v>38.93</v>
      </c>
      <c r="E2594" t="s">
        <v>4550</v>
      </c>
      <c r="F2594">
        <v>1.05</v>
      </c>
      <c r="G2594">
        <v>120.95</v>
      </c>
      <c r="I2594" t="str" cm="1">
        <f t="array" ref="I2594:J2594">_xlfn.TEXTSPLIT(A2594," ")</f>
        <v>28.10.2023</v>
      </c>
      <c r="J2594" t="str">
        <v>19:17:00</v>
      </c>
      <c r="K2594">
        <f t="shared" si="506"/>
        <v>43.183333333332165</v>
      </c>
      <c r="L2594">
        <f t="shared" si="503"/>
        <v>24.61</v>
      </c>
      <c r="M2594">
        <f t="shared" si="504"/>
        <v>0.45</v>
      </c>
      <c r="N2594">
        <f t="shared" si="500"/>
        <v>0.46</v>
      </c>
      <c r="Q2594" t="str" cm="1">
        <f t="array" ref="Q2594:R2594">_xlfn.TEXTSPLIT(E2594," ")</f>
        <v>28.10.2023</v>
      </c>
      <c r="R2594" t="str">
        <v>19:17:00</v>
      </c>
      <c r="S2594">
        <f t="shared" si="507"/>
        <v>43.183333333332165</v>
      </c>
      <c r="T2594">
        <f t="shared" si="502"/>
        <v>42.350000000000009</v>
      </c>
      <c r="U2594">
        <f t="shared" si="505"/>
        <v>1.05</v>
      </c>
      <c r="V2594">
        <f t="shared" si="501"/>
        <v>0.80749999999999988</v>
      </c>
    </row>
    <row r="2595" spans="1:22" x14ac:dyDescent="0.25">
      <c r="A2595" t="s">
        <v>4551</v>
      </c>
      <c r="B2595">
        <v>0.6</v>
      </c>
      <c r="C2595">
        <v>38.94</v>
      </c>
      <c r="E2595" t="s">
        <v>4551</v>
      </c>
      <c r="F2595">
        <v>0.75</v>
      </c>
      <c r="G2595">
        <v>120.96</v>
      </c>
      <c r="I2595" t="str" cm="1">
        <f t="array" ref="I2595:J2595">_xlfn.TEXTSPLIT(A2595," ")</f>
        <v>28.10.2023</v>
      </c>
      <c r="J2595" t="str">
        <v>19:18:00</v>
      </c>
      <c r="K2595">
        <f t="shared" si="506"/>
        <v>43.19999999999883</v>
      </c>
      <c r="L2595">
        <f t="shared" si="503"/>
        <v>24.619999999999997</v>
      </c>
      <c r="M2595">
        <f t="shared" si="504"/>
        <v>0.6</v>
      </c>
      <c r="N2595">
        <f t="shared" si="500"/>
        <v>0.46250000000000008</v>
      </c>
      <c r="Q2595" t="str" cm="1">
        <f t="array" ref="Q2595:R2595">_xlfn.TEXTSPLIT(E2595," ")</f>
        <v>28.10.2023</v>
      </c>
      <c r="R2595" t="str">
        <v>19:18:00</v>
      </c>
      <c r="S2595">
        <f t="shared" si="507"/>
        <v>43.19999999999883</v>
      </c>
      <c r="T2595">
        <f t="shared" si="502"/>
        <v>42.36</v>
      </c>
      <c r="U2595">
        <f t="shared" si="505"/>
        <v>0.75</v>
      </c>
      <c r="V2595">
        <f t="shared" si="501"/>
        <v>0.80999999999999994</v>
      </c>
    </row>
    <row r="2596" spans="1:22" x14ac:dyDescent="0.25">
      <c r="A2596" t="s">
        <v>4552</v>
      </c>
      <c r="B2596">
        <v>0.3</v>
      </c>
      <c r="C2596">
        <v>38.950000000000003</v>
      </c>
      <c r="E2596" t="s">
        <v>4552</v>
      </c>
      <c r="F2596">
        <v>0.6</v>
      </c>
      <c r="G2596">
        <v>120.97</v>
      </c>
      <c r="I2596" t="str" cm="1">
        <f t="array" ref="I2596:J2596">_xlfn.TEXTSPLIT(A2596," ")</f>
        <v>28.10.2023</v>
      </c>
      <c r="J2596" t="str">
        <v>19:19:00</v>
      </c>
      <c r="K2596">
        <f t="shared" si="506"/>
        <v>43.216666666665496</v>
      </c>
      <c r="L2596">
        <f t="shared" si="503"/>
        <v>24.630000000000003</v>
      </c>
      <c r="M2596">
        <f t="shared" si="504"/>
        <v>0.3</v>
      </c>
      <c r="N2596">
        <f t="shared" si="500"/>
        <v>0.46</v>
      </c>
      <c r="Q2596" t="str" cm="1">
        <f t="array" ref="Q2596:R2596">_xlfn.TEXTSPLIT(E2596," ")</f>
        <v>28.10.2023</v>
      </c>
      <c r="R2596" t="str">
        <v>19:19:00</v>
      </c>
      <c r="S2596">
        <f t="shared" si="507"/>
        <v>43.216666666665496</v>
      </c>
      <c r="T2596">
        <f t="shared" si="502"/>
        <v>42.370000000000005</v>
      </c>
      <c r="U2596">
        <f t="shared" si="505"/>
        <v>0.6</v>
      </c>
      <c r="V2596">
        <f t="shared" si="501"/>
        <v>0.80749999999999988</v>
      </c>
    </row>
    <row r="2597" spans="1:22" x14ac:dyDescent="0.25">
      <c r="A2597" t="s">
        <v>4553</v>
      </c>
      <c r="B2597">
        <v>0.6</v>
      </c>
      <c r="C2597">
        <v>38.96</v>
      </c>
      <c r="E2597" t="s">
        <v>4553</v>
      </c>
      <c r="F2597">
        <v>0.6</v>
      </c>
      <c r="G2597">
        <v>120.97</v>
      </c>
      <c r="I2597" t="str" cm="1">
        <f t="array" ref="I2597:J2597">_xlfn.TEXTSPLIT(A2597," ")</f>
        <v>28.10.2023</v>
      </c>
      <c r="J2597" t="str">
        <v>19:20:00</v>
      </c>
      <c r="K2597">
        <f t="shared" si="506"/>
        <v>43.233333333332162</v>
      </c>
      <c r="L2597">
        <f t="shared" si="503"/>
        <v>24.64</v>
      </c>
      <c r="M2597">
        <f t="shared" si="504"/>
        <v>0.6</v>
      </c>
      <c r="N2597">
        <f t="shared" si="500"/>
        <v>0.46500000000000008</v>
      </c>
      <c r="Q2597" t="str" cm="1">
        <f t="array" ref="Q2597:R2597">_xlfn.TEXTSPLIT(E2597," ")</f>
        <v>28.10.2023</v>
      </c>
      <c r="R2597" t="str">
        <v>19:20:00</v>
      </c>
      <c r="S2597">
        <f t="shared" si="507"/>
        <v>43.233333333332162</v>
      </c>
      <c r="T2597">
        <f t="shared" si="502"/>
        <v>42.370000000000005</v>
      </c>
      <c r="U2597">
        <f t="shared" si="505"/>
        <v>0.6</v>
      </c>
      <c r="V2597">
        <f t="shared" si="501"/>
        <v>0.80249999999999999</v>
      </c>
    </row>
    <row r="2598" spans="1:22" x14ac:dyDescent="0.25">
      <c r="A2598" t="s">
        <v>4554</v>
      </c>
      <c r="B2598">
        <v>0.45</v>
      </c>
      <c r="C2598">
        <v>38.97</v>
      </c>
      <c r="E2598" t="s">
        <v>4554</v>
      </c>
      <c r="F2598">
        <v>0</v>
      </c>
      <c r="G2598">
        <v>120.97</v>
      </c>
      <c r="I2598" t="str" cm="1">
        <f t="array" ref="I2598:J2598">_xlfn.TEXTSPLIT(A2598," ")</f>
        <v>28.10.2023</v>
      </c>
      <c r="J2598" t="str">
        <v>19:21:00</v>
      </c>
      <c r="K2598">
        <f t="shared" si="506"/>
        <v>43.249999999998828</v>
      </c>
      <c r="L2598">
        <f t="shared" si="503"/>
        <v>24.65</v>
      </c>
      <c r="M2598">
        <f t="shared" si="504"/>
        <v>0.45</v>
      </c>
      <c r="N2598">
        <f t="shared" si="500"/>
        <v>0.46500000000000008</v>
      </c>
      <c r="Q2598" t="str" cm="1">
        <f t="array" ref="Q2598:R2598">_xlfn.TEXTSPLIT(E2598," ")</f>
        <v>28.10.2023</v>
      </c>
      <c r="R2598" t="str">
        <v>19:21:00</v>
      </c>
      <c r="S2598">
        <f t="shared" si="507"/>
        <v>43.249999999998828</v>
      </c>
      <c r="T2598">
        <f t="shared" si="502"/>
        <v>42.370000000000005</v>
      </c>
      <c r="U2598">
        <f t="shared" si="505"/>
        <v>0</v>
      </c>
      <c r="V2598">
        <f t="shared" si="501"/>
        <v>0.79249999999999998</v>
      </c>
    </row>
    <row r="2599" spans="1:22" x14ac:dyDescent="0.25">
      <c r="A2599" t="s">
        <v>4555</v>
      </c>
      <c r="B2599">
        <v>0.6</v>
      </c>
      <c r="C2599">
        <v>38.97</v>
      </c>
      <c r="E2599" t="s">
        <v>4555</v>
      </c>
      <c r="F2599">
        <v>0</v>
      </c>
      <c r="G2599">
        <v>120.98</v>
      </c>
      <c r="I2599" t="str" cm="1">
        <f t="array" ref="I2599:J2599">_xlfn.TEXTSPLIT(A2599," ")</f>
        <v>28.10.2023</v>
      </c>
      <c r="J2599" t="str">
        <v>19:22:00</v>
      </c>
      <c r="K2599">
        <f t="shared" si="506"/>
        <v>43.266666666665493</v>
      </c>
      <c r="L2599">
        <f t="shared" si="503"/>
        <v>24.65</v>
      </c>
      <c r="M2599">
        <f t="shared" si="504"/>
        <v>0.6</v>
      </c>
      <c r="N2599">
        <f t="shared" si="500"/>
        <v>0.47000000000000014</v>
      </c>
      <c r="Q2599" t="str" cm="1">
        <f t="array" ref="Q2599:R2599">_xlfn.TEXTSPLIT(E2599," ")</f>
        <v>28.10.2023</v>
      </c>
      <c r="R2599" t="str">
        <v>19:22:00</v>
      </c>
      <c r="S2599">
        <f t="shared" si="507"/>
        <v>43.266666666665493</v>
      </c>
      <c r="T2599">
        <f t="shared" si="502"/>
        <v>42.38000000000001</v>
      </c>
      <c r="U2599">
        <f t="shared" si="505"/>
        <v>0</v>
      </c>
      <c r="V2599">
        <f t="shared" si="501"/>
        <v>0.78749999999999998</v>
      </c>
    </row>
    <row r="2600" spans="1:22" x14ac:dyDescent="0.25">
      <c r="A2600" t="s">
        <v>4556</v>
      </c>
      <c r="B2600">
        <v>0</v>
      </c>
      <c r="C2600">
        <v>38.97</v>
      </c>
      <c r="E2600" t="s">
        <v>4556</v>
      </c>
      <c r="F2600">
        <v>0.3</v>
      </c>
      <c r="G2600">
        <v>120.98</v>
      </c>
      <c r="I2600" t="str" cm="1">
        <f t="array" ref="I2600:J2600">_xlfn.TEXTSPLIT(A2600," ")</f>
        <v>28.10.2023</v>
      </c>
      <c r="J2600" t="str">
        <v>19:23:00</v>
      </c>
      <c r="K2600">
        <f t="shared" si="506"/>
        <v>43.283333333332159</v>
      </c>
      <c r="L2600">
        <f t="shared" si="503"/>
        <v>24.65</v>
      </c>
      <c r="M2600">
        <f t="shared" si="504"/>
        <v>0</v>
      </c>
      <c r="N2600">
        <f t="shared" si="500"/>
        <v>0.47000000000000014</v>
      </c>
      <c r="Q2600" t="str" cm="1">
        <f t="array" ref="Q2600:R2600">_xlfn.TEXTSPLIT(E2600," ")</f>
        <v>28.10.2023</v>
      </c>
      <c r="R2600" t="str">
        <v>19:23:00</v>
      </c>
      <c r="S2600">
        <f t="shared" si="507"/>
        <v>43.283333333332159</v>
      </c>
      <c r="T2600">
        <f t="shared" si="502"/>
        <v>42.38000000000001</v>
      </c>
      <c r="U2600">
        <f t="shared" si="505"/>
        <v>0.3</v>
      </c>
      <c r="V2600">
        <f t="shared" si="501"/>
        <v>0.78749999999999987</v>
      </c>
    </row>
    <row r="2601" spans="1:22" x14ac:dyDescent="0.25">
      <c r="A2601" t="s">
        <v>4557</v>
      </c>
      <c r="B2601">
        <v>0</v>
      </c>
      <c r="C2601">
        <v>38.97</v>
      </c>
      <c r="E2601" t="s">
        <v>4557</v>
      </c>
      <c r="F2601">
        <v>0.15</v>
      </c>
      <c r="G2601">
        <v>120.99</v>
      </c>
      <c r="I2601" t="str" cm="1">
        <f t="array" ref="I2601:J2601">_xlfn.TEXTSPLIT(A2601," ")</f>
        <v>28.10.2023</v>
      </c>
      <c r="J2601" t="str">
        <v>19:24:00</v>
      </c>
      <c r="K2601">
        <f t="shared" si="506"/>
        <v>43.299999999998825</v>
      </c>
      <c r="L2601">
        <f t="shared" si="503"/>
        <v>24.65</v>
      </c>
      <c r="M2601">
        <f t="shared" si="504"/>
        <v>0</v>
      </c>
      <c r="N2601">
        <f t="shared" si="500"/>
        <v>0.47000000000000014</v>
      </c>
      <c r="Q2601" t="str" cm="1">
        <f t="array" ref="Q2601:R2601">_xlfn.TEXTSPLIT(E2601," ")</f>
        <v>28.10.2023</v>
      </c>
      <c r="R2601" t="str">
        <v>19:24:00</v>
      </c>
      <c r="S2601">
        <f t="shared" si="507"/>
        <v>43.299999999998825</v>
      </c>
      <c r="T2601">
        <f t="shared" si="502"/>
        <v>42.39</v>
      </c>
      <c r="U2601">
        <f t="shared" si="505"/>
        <v>0.15</v>
      </c>
      <c r="V2601">
        <f t="shared" si="501"/>
        <v>0.78499999999999992</v>
      </c>
    </row>
    <row r="2602" spans="1:22" x14ac:dyDescent="0.25">
      <c r="A2602" t="s">
        <v>4558</v>
      </c>
      <c r="B2602">
        <v>0</v>
      </c>
      <c r="C2602">
        <v>38.97</v>
      </c>
      <c r="E2602" t="s">
        <v>4558</v>
      </c>
      <c r="F2602">
        <v>0.3</v>
      </c>
      <c r="G2602">
        <v>120.99</v>
      </c>
      <c r="I2602" t="str" cm="1">
        <f t="array" ref="I2602:J2602">_xlfn.TEXTSPLIT(A2602," ")</f>
        <v>28.10.2023</v>
      </c>
      <c r="J2602" t="str">
        <v>19:25:00</v>
      </c>
      <c r="K2602">
        <f t="shared" si="506"/>
        <v>43.31666666666549</v>
      </c>
      <c r="L2602">
        <f t="shared" si="503"/>
        <v>24.65</v>
      </c>
      <c r="M2602">
        <f t="shared" si="504"/>
        <v>0</v>
      </c>
      <c r="N2602">
        <f t="shared" si="500"/>
        <v>0.47000000000000014</v>
      </c>
      <c r="Q2602" t="str" cm="1">
        <f t="array" ref="Q2602:R2602">_xlfn.TEXTSPLIT(E2602," ")</f>
        <v>28.10.2023</v>
      </c>
      <c r="R2602" t="str">
        <v>19:25:00</v>
      </c>
      <c r="S2602">
        <f t="shared" si="507"/>
        <v>43.31666666666549</v>
      </c>
      <c r="T2602">
        <f t="shared" si="502"/>
        <v>42.39</v>
      </c>
      <c r="U2602">
        <f t="shared" si="505"/>
        <v>0.3</v>
      </c>
      <c r="V2602">
        <f t="shared" si="501"/>
        <v>0.78249999999999997</v>
      </c>
    </row>
    <row r="2603" spans="1:22" x14ac:dyDescent="0.25">
      <c r="A2603" t="s">
        <v>4559</v>
      </c>
      <c r="B2603">
        <v>0</v>
      </c>
      <c r="C2603">
        <v>38.97</v>
      </c>
      <c r="E2603" t="s">
        <v>4559</v>
      </c>
      <c r="F2603">
        <v>0.15</v>
      </c>
      <c r="G2603">
        <v>120.99</v>
      </c>
      <c r="I2603" t="str" cm="1">
        <f t="array" ref="I2603:J2603">_xlfn.TEXTSPLIT(A2603," ")</f>
        <v>28.10.2023</v>
      </c>
      <c r="J2603" t="str">
        <v>19:26:01</v>
      </c>
      <c r="K2603">
        <f t="shared" si="506"/>
        <v>43.333333333332156</v>
      </c>
      <c r="L2603">
        <f t="shared" si="503"/>
        <v>24.65</v>
      </c>
      <c r="M2603">
        <f t="shared" si="504"/>
        <v>0</v>
      </c>
      <c r="N2603">
        <f t="shared" si="500"/>
        <v>0.47000000000000014</v>
      </c>
      <c r="Q2603" t="str" cm="1">
        <f t="array" ref="Q2603:R2603">_xlfn.TEXTSPLIT(E2603," ")</f>
        <v>28.10.2023</v>
      </c>
      <c r="R2603" t="str">
        <v>19:26:01</v>
      </c>
      <c r="S2603">
        <f t="shared" si="507"/>
        <v>43.333333333332156</v>
      </c>
      <c r="T2603">
        <f t="shared" si="502"/>
        <v>42.39</v>
      </c>
      <c r="U2603">
        <f t="shared" si="505"/>
        <v>0.15</v>
      </c>
      <c r="V2603">
        <f t="shared" si="501"/>
        <v>0.7799999999999998</v>
      </c>
    </row>
    <row r="2604" spans="1:22" x14ac:dyDescent="0.25">
      <c r="A2604" t="s">
        <v>4560</v>
      </c>
      <c r="B2604">
        <v>0</v>
      </c>
      <c r="C2604">
        <v>38.97</v>
      </c>
      <c r="E2604" t="s">
        <v>4560</v>
      </c>
      <c r="F2604">
        <v>0.3</v>
      </c>
      <c r="G2604">
        <v>121</v>
      </c>
      <c r="I2604" t="str" cm="1">
        <f t="array" ref="I2604:J2604">_xlfn.TEXTSPLIT(A2604," ")</f>
        <v>28.10.2023</v>
      </c>
      <c r="J2604" t="str">
        <v>19:27:01</v>
      </c>
      <c r="K2604">
        <f t="shared" si="506"/>
        <v>43.349999999998822</v>
      </c>
      <c r="L2604">
        <f t="shared" si="503"/>
        <v>24.65</v>
      </c>
      <c r="M2604">
        <f t="shared" si="504"/>
        <v>0</v>
      </c>
      <c r="N2604">
        <f t="shared" si="500"/>
        <v>0.47000000000000014</v>
      </c>
      <c r="Q2604" t="str" cm="1">
        <f t="array" ref="Q2604:R2604">_xlfn.TEXTSPLIT(E2604," ")</f>
        <v>28.10.2023</v>
      </c>
      <c r="R2604" t="str">
        <v>19:27:01</v>
      </c>
      <c r="S2604">
        <f t="shared" si="507"/>
        <v>43.349999999998822</v>
      </c>
      <c r="T2604">
        <f t="shared" si="502"/>
        <v>42.400000000000006</v>
      </c>
      <c r="U2604">
        <f t="shared" si="505"/>
        <v>0.3</v>
      </c>
      <c r="V2604">
        <f t="shared" si="501"/>
        <v>0.7749999999999998</v>
      </c>
    </row>
    <row r="2605" spans="1:22" x14ac:dyDescent="0.25">
      <c r="A2605" t="s">
        <v>4561</v>
      </c>
      <c r="B2605">
        <v>0</v>
      </c>
      <c r="C2605">
        <v>38.97</v>
      </c>
      <c r="E2605" t="s">
        <v>4561</v>
      </c>
      <c r="F2605">
        <v>0.45</v>
      </c>
      <c r="G2605">
        <v>121.01</v>
      </c>
      <c r="I2605" t="str" cm="1">
        <f t="array" ref="I2605:J2605">_xlfn.TEXTSPLIT(A2605," ")</f>
        <v>28.10.2023</v>
      </c>
      <c r="J2605" t="str">
        <v>19:28:01</v>
      </c>
      <c r="K2605">
        <f t="shared" si="506"/>
        <v>43.366666666665488</v>
      </c>
      <c r="L2605">
        <f t="shared" si="503"/>
        <v>24.65</v>
      </c>
      <c r="M2605">
        <f t="shared" si="504"/>
        <v>0</v>
      </c>
      <c r="N2605">
        <f t="shared" si="500"/>
        <v>0.47000000000000014</v>
      </c>
      <c r="Q2605" t="str" cm="1">
        <f t="array" ref="Q2605:R2605">_xlfn.TEXTSPLIT(E2605," ")</f>
        <v>28.10.2023</v>
      </c>
      <c r="R2605" t="str">
        <v>19:28:01</v>
      </c>
      <c r="S2605">
        <f t="shared" si="507"/>
        <v>43.366666666665488</v>
      </c>
      <c r="T2605">
        <f t="shared" si="502"/>
        <v>42.410000000000011</v>
      </c>
      <c r="U2605">
        <f t="shared" si="505"/>
        <v>0.45</v>
      </c>
      <c r="V2605">
        <f t="shared" si="501"/>
        <v>0.77499999999999991</v>
      </c>
    </row>
    <row r="2606" spans="1:22" x14ac:dyDescent="0.25">
      <c r="A2606" t="s">
        <v>4562</v>
      </c>
      <c r="B2606">
        <v>0.3</v>
      </c>
      <c r="C2606">
        <v>38.97</v>
      </c>
      <c r="E2606" t="s">
        <v>4562</v>
      </c>
      <c r="F2606">
        <v>0.75</v>
      </c>
      <c r="G2606">
        <v>121.02</v>
      </c>
      <c r="I2606" t="str" cm="1">
        <f t="array" ref="I2606:J2606">_xlfn.TEXTSPLIT(A2606," ")</f>
        <v>28.10.2023</v>
      </c>
      <c r="J2606" t="str">
        <v>19:29:01</v>
      </c>
      <c r="K2606">
        <f t="shared" si="506"/>
        <v>43.383333333332153</v>
      </c>
      <c r="L2606">
        <f t="shared" si="503"/>
        <v>24.65</v>
      </c>
      <c r="M2606">
        <f t="shared" si="504"/>
        <v>0.3</v>
      </c>
      <c r="N2606">
        <f t="shared" si="500"/>
        <v>0.4750000000000002</v>
      </c>
      <c r="Q2606" t="str" cm="1">
        <f t="array" ref="Q2606:R2606">_xlfn.TEXTSPLIT(E2606," ")</f>
        <v>28.10.2023</v>
      </c>
      <c r="R2606" t="str">
        <v>19:29:01</v>
      </c>
      <c r="S2606">
        <f t="shared" si="507"/>
        <v>43.383333333332153</v>
      </c>
      <c r="T2606">
        <f t="shared" si="502"/>
        <v>42.42</v>
      </c>
      <c r="U2606">
        <f t="shared" si="505"/>
        <v>0.75</v>
      </c>
      <c r="V2606">
        <f t="shared" si="501"/>
        <v>0.77749999999999975</v>
      </c>
    </row>
    <row r="2607" spans="1:22" x14ac:dyDescent="0.25">
      <c r="A2607" t="s">
        <v>4563</v>
      </c>
      <c r="B2607">
        <v>0.15</v>
      </c>
      <c r="C2607">
        <v>38.97</v>
      </c>
      <c r="E2607" t="s">
        <v>4563</v>
      </c>
      <c r="F2607">
        <v>0.75</v>
      </c>
      <c r="G2607">
        <v>121.04</v>
      </c>
      <c r="I2607" t="str" cm="1">
        <f t="array" ref="I2607:J2607">_xlfn.TEXTSPLIT(A2607," ")</f>
        <v>28.10.2023</v>
      </c>
      <c r="J2607" t="str">
        <v>19:30:01</v>
      </c>
      <c r="K2607">
        <f t="shared" si="506"/>
        <v>43.399999999998819</v>
      </c>
      <c r="L2607">
        <f t="shared" si="503"/>
        <v>24.65</v>
      </c>
      <c r="M2607">
        <f t="shared" si="504"/>
        <v>0.15</v>
      </c>
      <c r="N2607">
        <f t="shared" si="500"/>
        <v>0.47750000000000015</v>
      </c>
      <c r="Q2607" t="str" cm="1">
        <f t="array" ref="Q2607:R2607">_xlfn.TEXTSPLIT(E2607," ")</f>
        <v>28.10.2023</v>
      </c>
      <c r="R2607" t="str">
        <v>19:30:01</v>
      </c>
      <c r="S2607">
        <f t="shared" si="507"/>
        <v>43.399999999998819</v>
      </c>
      <c r="T2607">
        <f t="shared" si="502"/>
        <v>42.440000000000012</v>
      </c>
      <c r="U2607">
        <f t="shared" si="505"/>
        <v>0.75</v>
      </c>
      <c r="V2607">
        <f t="shared" si="501"/>
        <v>0.78249999999999986</v>
      </c>
    </row>
    <row r="2608" spans="1:22" x14ac:dyDescent="0.25">
      <c r="A2608" t="s">
        <v>4564</v>
      </c>
      <c r="B2608">
        <v>0.15</v>
      </c>
      <c r="C2608">
        <v>38.979999999999997</v>
      </c>
      <c r="E2608" t="s">
        <v>4564</v>
      </c>
      <c r="F2608">
        <v>0.9</v>
      </c>
      <c r="G2608">
        <v>121.05</v>
      </c>
      <c r="I2608" t="str" cm="1">
        <f t="array" ref="I2608:J2608">_xlfn.TEXTSPLIT(A2608," ")</f>
        <v>28.10.2023</v>
      </c>
      <c r="J2608" t="str">
        <v>19:31:01</v>
      </c>
      <c r="K2608">
        <f t="shared" si="506"/>
        <v>43.416666666665485</v>
      </c>
      <c r="L2608">
        <f t="shared" si="503"/>
        <v>24.659999999999997</v>
      </c>
      <c r="M2608">
        <f t="shared" si="504"/>
        <v>0.15</v>
      </c>
      <c r="N2608">
        <f t="shared" si="500"/>
        <v>0.48000000000000015</v>
      </c>
      <c r="Q2608" t="str" cm="1">
        <f t="array" ref="Q2608:R2608">_xlfn.TEXTSPLIT(E2608," ")</f>
        <v>28.10.2023</v>
      </c>
      <c r="R2608" t="str">
        <v>19:31:01</v>
      </c>
      <c r="S2608">
        <f t="shared" si="507"/>
        <v>43.416666666665485</v>
      </c>
      <c r="T2608">
        <f t="shared" si="502"/>
        <v>42.45</v>
      </c>
      <c r="U2608">
        <f t="shared" si="505"/>
        <v>0.9</v>
      </c>
      <c r="V2608">
        <f t="shared" si="501"/>
        <v>0.78499999999999981</v>
      </c>
    </row>
    <row r="2609" spans="1:22" x14ac:dyDescent="0.25">
      <c r="A2609" t="s">
        <v>4565</v>
      </c>
      <c r="B2609">
        <v>0.3</v>
      </c>
      <c r="C2609">
        <v>38.979999999999997</v>
      </c>
      <c r="E2609" t="s">
        <v>4565</v>
      </c>
      <c r="F2609">
        <v>0.75</v>
      </c>
      <c r="G2609">
        <v>121.06</v>
      </c>
      <c r="I2609" t="str" cm="1">
        <f t="array" ref="I2609:J2609">_xlfn.TEXTSPLIT(A2609," ")</f>
        <v>28.10.2023</v>
      </c>
      <c r="J2609" t="str">
        <v>19:32:01</v>
      </c>
      <c r="K2609">
        <f t="shared" si="506"/>
        <v>43.433333333332151</v>
      </c>
      <c r="L2609">
        <f t="shared" si="503"/>
        <v>24.659999999999997</v>
      </c>
      <c r="M2609">
        <f t="shared" si="504"/>
        <v>0.3</v>
      </c>
      <c r="N2609">
        <f t="shared" si="500"/>
        <v>0.4825000000000001</v>
      </c>
      <c r="Q2609" t="str" cm="1">
        <f t="array" ref="Q2609:R2609">_xlfn.TEXTSPLIT(E2609," ")</f>
        <v>28.10.2023</v>
      </c>
      <c r="R2609" t="str">
        <v>19:32:01</v>
      </c>
      <c r="S2609">
        <f t="shared" si="507"/>
        <v>43.433333333332151</v>
      </c>
      <c r="T2609">
        <f t="shared" si="502"/>
        <v>42.460000000000008</v>
      </c>
      <c r="U2609">
        <f t="shared" si="505"/>
        <v>0.75</v>
      </c>
      <c r="V2609">
        <f t="shared" si="501"/>
        <v>0.7899999999999997</v>
      </c>
    </row>
    <row r="2610" spans="1:22" x14ac:dyDescent="0.25">
      <c r="A2610" t="s">
        <v>4566</v>
      </c>
      <c r="B2610">
        <v>0.15</v>
      </c>
      <c r="C2610">
        <v>38.99</v>
      </c>
      <c r="E2610" t="s">
        <v>4566</v>
      </c>
      <c r="F2610">
        <v>0.75</v>
      </c>
      <c r="G2610">
        <v>121.07</v>
      </c>
      <c r="I2610" t="str" cm="1">
        <f t="array" ref="I2610:J2610">_xlfn.TEXTSPLIT(A2610," ")</f>
        <v>28.10.2023</v>
      </c>
      <c r="J2610" t="str">
        <v>19:33:02</v>
      </c>
      <c r="K2610">
        <f t="shared" si="506"/>
        <v>43.449999999998816</v>
      </c>
      <c r="L2610">
        <f t="shared" si="503"/>
        <v>24.67</v>
      </c>
      <c r="M2610">
        <f t="shared" si="504"/>
        <v>0.15</v>
      </c>
      <c r="N2610">
        <f t="shared" si="500"/>
        <v>0.48000000000000009</v>
      </c>
      <c r="Q2610" t="str" cm="1">
        <f t="array" ref="Q2610:R2610">_xlfn.TEXTSPLIT(E2610," ")</f>
        <v>28.10.2023</v>
      </c>
      <c r="R2610" t="str">
        <v>19:33:02</v>
      </c>
      <c r="S2610">
        <f t="shared" si="507"/>
        <v>43.449999999998816</v>
      </c>
      <c r="T2610">
        <f t="shared" si="502"/>
        <v>42.47</v>
      </c>
      <c r="U2610">
        <f t="shared" si="505"/>
        <v>0.75</v>
      </c>
      <c r="V2610">
        <f t="shared" si="501"/>
        <v>0.79249999999999987</v>
      </c>
    </row>
    <row r="2611" spans="1:22" x14ac:dyDescent="0.25">
      <c r="A2611" t="s">
        <v>4567</v>
      </c>
      <c r="B2611">
        <v>0.3</v>
      </c>
      <c r="C2611">
        <v>38.99</v>
      </c>
      <c r="E2611" t="s">
        <v>4567</v>
      </c>
      <c r="F2611">
        <v>0.45</v>
      </c>
      <c r="G2611">
        <v>121.08</v>
      </c>
      <c r="I2611" t="str" cm="1">
        <f t="array" ref="I2611:J2611">_xlfn.TEXTSPLIT(A2611," ")</f>
        <v>28.10.2023</v>
      </c>
      <c r="J2611" t="str">
        <v>19:34:02</v>
      </c>
      <c r="K2611">
        <f t="shared" si="506"/>
        <v>43.466666666665482</v>
      </c>
      <c r="L2611">
        <f t="shared" si="503"/>
        <v>24.67</v>
      </c>
      <c r="M2611">
        <f t="shared" si="504"/>
        <v>0.3</v>
      </c>
      <c r="N2611">
        <f t="shared" si="500"/>
        <v>0.48250000000000004</v>
      </c>
      <c r="Q2611" t="str" cm="1">
        <f t="array" ref="Q2611:R2611">_xlfn.TEXTSPLIT(E2611," ")</f>
        <v>28.10.2023</v>
      </c>
      <c r="R2611" t="str">
        <v>19:34:02</v>
      </c>
      <c r="S2611">
        <f t="shared" si="507"/>
        <v>43.466666666665482</v>
      </c>
      <c r="T2611">
        <f t="shared" si="502"/>
        <v>42.480000000000004</v>
      </c>
      <c r="U2611">
        <f t="shared" si="505"/>
        <v>0.45</v>
      </c>
      <c r="V2611">
        <f t="shared" si="501"/>
        <v>0.78749999999999987</v>
      </c>
    </row>
    <row r="2612" spans="1:22" x14ac:dyDescent="0.25">
      <c r="A2612" t="s">
        <v>4568</v>
      </c>
      <c r="B2612">
        <v>0.15</v>
      </c>
      <c r="C2612">
        <v>38.99</v>
      </c>
      <c r="E2612" t="s">
        <v>4568</v>
      </c>
      <c r="F2612">
        <v>1.05</v>
      </c>
      <c r="G2612">
        <v>121.1</v>
      </c>
      <c r="I2612" t="str" cm="1">
        <f t="array" ref="I2612:J2612">_xlfn.TEXTSPLIT(A2612," ")</f>
        <v>28.10.2023</v>
      </c>
      <c r="J2612" t="str">
        <v>19:35:02</v>
      </c>
      <c r="K2612">
        <f t="shared" si="506"/>
        <v>43.483333333332148</v>
      </c>
      <c r="L2612">
        <f t="shared" si="503"/>
        <v>24.67</v>
      </c>
      <c r="M2612">
        <f t="shared" si="504"/>
        <v>0.15</v>
      </c>
      <c r="N2612">
        <f t="shared" si="500"/>
        <v>0.48000000000000009</v>
      </c>
      <c r="Q2612" t="str" cm="1">
        <f t="array" ref="Q2612:R2612">_xlfn.TEXTSPLIT(E2612," ")</f>
        <v>28.10.2023</v>
      </c>
      <c r="R2612" t="str">
        <v>19:35:02</v>
      </c>
      <c r="S2612">
        <f t="shared" si="507"/>
        <v>43.483333333332148</v>
      </c>
      <c r="T2612">
        <f t="shared" si="502"/>
        <v>42.5</v>
      </c>
      <c r="U2612">
        <f t="shared" si="505"/>
        <v>1.05</v>
      </c>
      <c r="V2612">
        <f t="shared" si="501"/>
        <v>0.78749999999999987</v>
      </c>
    </row>
    <row r="2613" spans="1:22" x14ac:dyDescent="0.25">
      <c r="A2613" t="s">
        <v>4569</v>
      </c>
      <c r="B2613">
        <v>0.3</v>
      </c>
      <c r="C2613">
        <v>39</v>
      </c>
      <c r="E2613" t="s">
        <v>4569</v>
      </c>
      <c r="F2613">
        <v>1.5</v>
      </c>
      <c r="G2613">
        <v>121.13</v>
      </c>
      <c r="I2613" t="str" cm="1">
        <f t="array" ref="I2613:J2613">_xlfn.TEXTSPLIT(A2613," ")</f>
        <v>28.10.2023</v>
      </c>
      <c r="J2613" t="str">
        <v>19:36:02</v>
      </c>
      <c r="K2613">
        <f t="shared" si="506"/>
        <v>43.499999999998813</v>
      </c>
      <c r="L2613">
        <f t="shared" si="503"/>
        <v>24.68</v>
      </c>
      <c r="M2613">
        <f t="shared" si="504"/>
        <v>0.3</v>
      </c>
      <c r="N2613">
        <f t="shared" si="500"/>
        <v>0.4825000000000001</v>
      </c>
      <c r="Q2613" t="str" cm="1">
        <f t="array" ref="Q2613:R2613">_xlfn.TEXTSPLIT(E2613," ")</f>
        <v>28.10.2023</v>
      </c>
      <c r="R2613" t="str">
        <v>19:36:02</v>
      </c>
      <c r="S2613">
        <f t="shared" si="507"/>
        <v>43.499999999998813</v>
      </c>
      <c r="T2613">
        <f t="shared" si="502"/>
        <v>42.53</v>
      </c>
      <c r="U2613">
        <f t="shared" si="505"/>
        <v>1.5</v>
      </c>
      <c r="V2613">
        <f t="shared" si="501"/>
        <v>0.79249999999999987</v>
      </c>
    </row>
    <row r="2614" spans="1:22" x14ac:dyDescent="0.25">
      <c r="A2614" t="s">
        <v>4570</v>
      </c>
      <c r="B2614">
        <v>1.8</v>
      </c>
      <c r="C2614">
        <v>39.03</v>
      </c>
      <c r="E2614" t="s">
        <v>4570</v>
      </c>
      <c r="F2614">
        <v>2.85</v>
      </c>
      <c r="G2614">
        <v>121.17</v>
      </c>
      <c r="I2614" t="str" cm="1">
        <f t="array" ref="I2614:J2614">_xlfn.TEXTSPLIT(A2614," ")</f>
        <v>28.10.2023</v>
      </c>
      <c r="J2614" t="str">
        <v>19:37:02</v>
      </c>
      <c r="K2614">
        <f t="shared" si="506"/>
        <v>43.516666666665479</v>
      </c>
      <c r="L2614">
        <f t="shared" si="503"/>
        <v>24.71</v>
      </c>
      <c r="M2614">
        <f t="shared" si="504"/>
        <v>1.8</v>
      </c>
      <c r="N2614">
        <f t="shared" si="500"/>
        <v>0.50750000000000006</v>
      </c>
      <c r="Q2614" t="str" cm="1">
        <f t="array" ref="Q2614:R2614">_xlfn.TEXTSPLIT(E2614," ")</f>
        <v>28.10.2023</v>
      </c>
      <c r="R2614" t="str">
        <v>19:37:02</v>
      </c>
      <c r="S2614">
        <f t="shared" si="507"/>
        <v>43.516666666665479</v>
      </c>
      <c r="T2614">
        <f t="shared" si="502"/>
        <v>42.570000000000007</v>
      </c>
      <c r="U2614">
        <f t="shared" si="505"/>
        <v>2.85</v>
      </c>
      <c r="V2614">
        <f t="shared" si="501"/>
        <v>0.8075</v>
      </c>
    </row>
    <row r="2615" spans="1:22" x14ac:dyDescent="0.25">
      <c r="A2615" t="s">
        <v>4571</v>
      </c>
      <c r="B2615">
        <v>2.5499999999999998</v>
      </c>
      <c r="C2615">
        <v>39.07</v>
      </c>
      <c r="E2615" t="s">
        <v>4571</v>
      </c>
      <c r="F2615">
        <v>1.65</v>
      </c>
      <c r="G2615">
        <v>121.2</v>
      </c>
      <c r="I2615" t="str" cm="1">
        <f t="array" ref="I2615:J2615">_xlfn.TEXTSPLIT(A2615," ")</f>
        <v>28.10.2023</v>
      </c>
      <c r="J2615" t="str">
        <v>19:38:02</v>
      </c>
      <c r="K2615">
        <f t="shared" si="506"/>
        <v>43.533333333332145</v>
      </c>
      <c r="L2615">
        <f t="shared" si="503"/>
        <v>24.75</v>
      </c>
      <c r="M2615">
        <f t="shared" si="504"/>
        <v>2.5499999999999998</v>
      </c>
      <c r="N2615">
        <f t="shared" si="500"/>
        <v>0.50500000000000012</v>
      </c>
      <c r="Q2615" t="str" cm="1">
        <f t="array" ref="Q2615:R2615">_xlfn.TEXTSPLIT(E2615," ")</f>
        <v>28.10.2023</v>
      </c>
      <c r="R2615" t="str">
        <v>19:38:02</v>
      </c>
      <c r="S2615">
        <f t="shared" si="507"/>
        <v>43.533333333332145</v>
      </c>
      <c r="T2615">
        <f t="shared" si="502"/>
        <v>42.600000000000009</v>
      </c>
      <c r="U2615">
        <f t="shared" si="505"/>
        <v>1.65</v>
      </c>
      <c r="V2615">
        <f t="shared" si="501"/>
        <v>0.80749999999999988</v>
      </c>
    </row>
    <row r="2616" spans="1:22" x14ac:dyDescent="0.25">
      <c r="A2616" t="s">
        <v>4572</v>
      </c>
      <c r="B2616">
        <v>1.8</v>
      </c>
      <c r="C2616">
        <v>39.1</v>
      </c>
      <c r="E2616" t="s">
        <v>4572</v>
      </c>
      <c r="F2616">
        <v>1.35</v>
      </c>
      <c r="G2616">
        <v>121.22</v>
      </c>
      <c r="I2616" t="str" cm="1">
        <f t="array" ref="I2616:J2616">_xlfn.TEXTSPLIT(A2616," ")</f>
        <v>28.10.2023</v>
      </c>
      <c r="J2616" t="str">
        <v>19:39:03</v>
      </c>
      <c r="K2616">
        <f t="shared" si="506"/>
        <v>43.549999999998811</v>
      </c>
      <c r="L2616">
        <f t="shared" si="503"/>
        <v>24.78</v>
      </c>
      <c r="M2616">
        <f t="shared" si="504"/>
        <v>1.8</v>
      </c>
      <c r="N2616">
        <f t="shared" si="500"/>
        <v>0.49750000000000011</v>
      </c>
      <c r="Q2616" t="str" cm="1">
        <f t="array" ref="Q2616:R2616">_xlfn.TEXTSPLIT(E2616," ")</f>
        <v>28.10.2023</v>
      </c>
      <c r="R2616" t="str">
        <v>19:39:03</v>
      </c>
      <c r="S2616">
        <f t="shared" si="507"/>
        <v>43.549999999998811</v>
      </c>
      <c r="T2616">
        <f t="shared" si="502"/>
        <v>42.620000000000005</v>
      </c>
      <c r="U2616">
        <f t="shared" si="505"/>
        <v>1.35</v>
      </c>
      <c r="V2616">
        <f t="shared" si="501"/>
        <v>0.80499999999999994</v>
      </c>
    </row>
    <row r="2617" spans="1:22" x14ac:dyDescent="0.25">
      <c r="A2617" t="s">
        <v>4573</v>
      </c>
      <c r="B2617">
        <v>0.9</v>
      </c>
      <c r="C2617">
        <v>39.119999999999997</v>
      </c>
      <c r="E2617" t="s">
        <v>4573</v>
      </c>
      <c r="F2617">
        <v>1.35</v>
      </c>
      <c r="G2617">
        <v>121.24</v>
      </c>
      <c r="I2617" t="str" cm="1">
        <f t="array" ref="I2617:J2617">_xlfn.TEXTSPLIT(A2617," ")</f>
        <v>28.10.2023</v>
      </c>
      <c r="J2617" t="str">
        <v>19:40:03</v>
      </c>
      <c r="K2617">
        <f t="shared" si="506"/>
        <v>43.566666666665476</v>
      </c>
      <c r="L2617">
        <f t="shared" si="503"/>
        <v>24.799999999999997</v>
      </c>
      <c r="M2617">
        <f t="shared" si="504"/>
        <v>0.9</v>
      </c>
      <c r="N2617">
        <f t="shared" si="500"/>
        <v>0.49249999999999999</v>
      </c>
      <c r="Q2617" t="str" cm="1">
        <f t="array" ref="Q2617:R2617">_xlfn.TEXTSPLIT(E2617," ")</f>
        <v>28.10.2023</v>
      </c>
      <c r="R2617" t="str">
        <v>19:40:03</v>
      </c>
      <c r="S2617">
        <f t="shared" si="507"/>
        <v>43.566666666665476</v>
      </c>
      <c r="T2617">
        <f t="shared" si="502"/>
        <v>42.64</v>
      </c>
      <c r="U2617">
        <f t="shared" si="505"/>
        <v>1.35</v>
      </c>
      <c r="V2617">
        <f t="shared" si="501"/>
        <v>0.8</v>
      </c>
    </row>
    <row r="2618" spans="1:22" x14ac:dyDescent="0.25">
      <c r="A2618" t="s">
        <v>4574</v>
      </c>
      <c r="B2618">
        <v>0.9</v>
      </c>
      <c r="C2618">
        <v>39.130000000000003</v>
      </c>
      <c r="E2618" t="s">
        <v>4574</v>
      </c>
      <c r="F2618">
        <v>1.5</v>
      </c>
      <c r="G2618">
        <v>121.27</v>
      </c>
      <c r="I2618" t="str" cm="1">
        <f t="array" ref="I2618:J2618">_xlfn.TEXTSPLIT(A2618," ")</f>
        <v>28.10.2023</v>
      </c>
      <c r="J2618" t="str">
        <v>19:41:03</v>
      </c>
      <c r="K2618">
        <f t="shared" si="506"/>
        <v>43.583333333332142</v>
      </c>
      <c r="L2618">
        <f t="shared" si="503"/>
        <v>24.810000000000002</v>
      </c>
      <c r="M2618">
        <f t="shared" si="504"/>
        <v>0.9</v>
      </c>
      <c r="N2618">
        <f t="shared" si="500"/>
        <v>0.49</v>
      </c>
      <c r="Q2618" t="str" cm="1">
        <f t="array" ref="Q2618:R2618">_xlfn.TEXTSPLIT(E2618," ")</f>
        <v>28.10.2023</v>
      </c>
      <c r="R2618" t="str">
        <v>19:41:03</v>
      </c>
      <c r="S2618">
        <f t="shared" si="507"/>
        <v>43.583333333332142</v>
      </c>
      <c r="T2618">
        <f t="shared" si="502"/>
        <v>42.67</v>
      </c>
      <c r="U2618">
        <f t="shared" si="505"/>
        <v>1.5</v>
      </c>
      <c r="V2618">
        <f t="shared" si="501"/>
        <v>0.79500000000000015</v>
      </c>
    </row>
    <row r="2619" spans="1:22" x14ac:dyDescent="0.25">
      <c r="A2619" t="s">
        <v>4575</v>
      </c>
      <c r="B2619">
        <v>0.9</v>
      </c>
      <c r="C2619">
        <v>39.15</v>
      </c>
      <c r="E2619" t="s">
        <v>4575</v>
      </c>
      <c r="F2619">
        <v>1.5</v>
      </c>
      <c r="G2619">
        <v>121.29</v>
      </c>
      <c r="I2619" t="str" cm="1">
        <f t="array" ref="I2619:J2619">_xlfn.TEXTSPLIT(A2619," ")</f>
        <v>28.10.2023</v>
      </c>
      <c r="J2619" t="str">
        <v>19:42:03</v>
      </c>
      <c r="K2619">
        <f t="shared" si="506"/>
        <v>43.599999999998808</v>
      </c>
      <c r="L2619">
        <f t="shared" si="503"/>
        <v>24.83</v>
      </c>
      <c r="M2619">
        <f t="shared" si="504"/>
        <v>0.9</v>
      </c>
      <c r="N2619">
        <f t="shared" si="500"/>
        <v>0.49</v>
      </c>
      <c r="Q2619" t="str" cm="1">
        <f t="array" ref="Q2619:R2619">_xlfn.TEXTSPLIT(E2619," ")</f>
        <v>28.10.2023</v>
      </c>
      <c r="R2619" t="str">
        <v>19:42:03</v>
      </c>
      <c r="S2619">
        <f t="shared" si="507"/>
        <v>43.599999999998808</v>
      </c>
      <c r="T2619">
        <f t="shared" si="502"/>
        <v>42.690000000000012</v>
      </c>
      <c r="U2619">
        <f t="shared" si="505"/>
        <v>1.5</v>
      </c>
      <c r="V2619">
        <f t="shared" si="501"/>
        <v>0.80500000000000005</v>
      </c>
    </row>
    <row r="2620" spans="1:22" x14ac:dyDescent="0.25">
      <c r="A2620" t="s">
        <v>4576</v>
      </c>
      <c r="B2620">
        <v>1.2</v>
      </c>
      <c r="C2620">
        <v>39.17</v>
      </c>
      <c r="E2620" t="s">
        <v>4576</v>
      </c>
      <c r="F2620">
        <v>1.2</v>
      </c>
      <c r="G2620">
        <v>121.31</v>
      </c>
      <c r="I2620" t="str" cm="1">
        <f t="array" ref="I2620:J2620">_xlfn.TEXTSPLIT(A2620," ")</f>
        <v>28.10.2023</v>
      </c>
      <c r="J2620" t="str">
        <v>19:43:03</v>
      </c>
      <c r="K2620">
        <f t="shared" si="506"/>
        <v>43.616666666665473</v>
      </c>
      <c r="L2620">
        <f t="shared" si="503"/>
        <v>24.85</v>
      </c>
      <c r="M2620">
        <f t="shared" si="504"/>
        <v>1.2</v>
      </c>
      <c r="N2620">
        <f t="shared" si="500"/>
        <v>0.49749999999999994</v>
      </c>
      <c r="Q2620" t="str" cm="1">
        <f t="array" ref="Q2620:R2620">_xlfn.TEXTSPLIT(E2620," ")</f>
        <v>28.10.2023</v>
      </c>
      <c r="R2620" t="str">
        <v>19:43:03</v>
      </c>
      <c r="S2620">
        <f t="shared" si="507"/>
        <v>43.616666666665473</v>
      </c>
      <c r="T2620">
        <f t="shared" si="502"/>
        <v>42.710000000000008</v>
      </c>
      <c r="U2620">
        <f t="shared" si="505"/>
        <v>1.2</v>
      </c>
      <c r="V2620">
        <f t="shared" si="501"/>
        <v>0.81500000000000017</v>
      </c>
    </row>
    <row r="2621" spans="1:22" x14ac:dyDescent="0.25">
      <c r="A2621" t="s">
        <v>4577</v>
      </c>
      <c r="B2621">
        <v>0.9</v>
      </c>
      <c r="C2621">
        <v>39.18</v>
      </c>
      <c r="E2621" t="s">
        <v>4577</v>
      </c>
      <c r="F2621">
        <v>0.75</v>
      </c>
      <c r="G2621">
        <v>121.33</v>
      </c>
      <c r="I2621" t="str" cm="1">
        <f t="array" ref="I2621:J2621">_xlfn.TEXTSPLIT(A2621," ")</f>
        <v>28.10.2023</v>
      </c>
      <c r="J2621" t="str">
        <v>19:44:03</v>
      </c>
      <c r="K2621">
        <f t="shared" si="506"/>
        <v>43.633333333332139</v>
      </c>
      <c r="L2621">
        <f t="shared" si="503"/>
        <v>24.86</v>
      </c>
      <c r="M2621">
        <f t="shared" si="504"/>
        <v>0.9</v>
      </c>
      <c r="N2621">
        <f t="shared" si="500"/>
        <v>0.50499999999999989</v>
      </c>
      <c r="Q2621" t="str" cm="1">
        <f t="array" ref="Q2621:R2621">_xlfn.TEXTSPLIT(E2621," ")</f>
        <v>28.10.2023</v>
      </c>
      <c r="R2621" t="str">
        <v>19:44:03</v>
      </c>
      <c r="S2621">
        <f t="shared" si="507"/>
        <v>43.633333333332139</v>
      </c>
      <c r="T2621">
        <f t="shared" si="502"/>
        <v>42.730000000000004</v>
      </c>
      <c r="U2621">
        <f t="shared" si="505"/>
        <v>0.75</v>
      </c>
      <c r="V2621">
        <f t="shared" si="501"/>
        <v>0.81750000000000023</v>
      </c>
    </row>
    <row r="2622" spans="1:22" x14ac:dyDescent="0.25">
      <c r="A2622" t="s">
        <v>4578</v>
      </c>
      <c r="B2622">
        <v>1.2</v>
      </c>
      <c r="C2622">
        <v>39.200000000000003</v>
      </c>
      <c r="E2622" t="s">
        <v>4578</v>
      </c>
      <c r="F2622">
        <v>0.9</v>
      </c>
      <c r="G2622">
        <v>121.34</v>
      </c>
      <c r="I2622" t="str" cm="1">
        <f t="array" ref="I2622:J2622">_xlfn.TEXTSPLIT(A2622," ")</f>
        <v>28.10.2023</v>
      </c>
      <c r="J2622" t="str">
        <v>19:45:03</v>
      </c>
      <c r="K2622">
        <f t="shared" si="506"/>
        <v>43.649999999998805</v>
      </c>
      <c r="L2622">
        <f t="shared" si="503"/>
        <v>24.880000000000003</v>
      </c>
      <c r="M2622">
        <f t="shared" si="504"/>
        <v>1.2</v>
      </c>
      <c r="N2622">
        <f t="shared" si="500"/>
        <v>0.51749999999999985</v>
      </c>
      <c r="Q2622" t="str" cm="1">
        <f t="array" ref="Q2622:R2622">_xlfn.TEXTSPLIT(E2622," ")</f>
        <v>28.10.2023</v>
      </c>
      <c r="R2622" t="str">
        <v>19:45:03</v>
      </c>
      <c r="S2622">
        <f t="shared" si="507"/>
        <v>43.649999999998805</v>
      </c>
      <c r="T2622">
        <f t="shared" si="502"/>
        <v>42.740000000000009</v>
      </c>
      <c r="U2622">
        <f t="shared" si="505"/>
        <v>0.9</v>
      </c>
      <c r="V2622">
        <f t="shared" si="501"/>
        <v>0.82000000000000017</v>
      </c>
    </row>
    <row r="2623" spans="1:22" x14ac:dyDescent="0.25">
      <c r="A2623" t="s">
        <v>4579</v>
      </c>
      <c r="B2623">
        <v>0.75</v>
      </c>
      <c r="C2623">
        <v>39.22</v>
      </c>
      <c r="E2623" t="s">
        <v>4579</v>
      </c>
      <c r="F2623">
        <v>0.6</v>
      </c>
      <c r="G2623">
        <v>121.35</v>
      </c>
      <c r="I2623" t="str" cm="1">
        <f t="array" ref="I2623:J2623">_xlfn.TEXTSPLIT(A2623," ")</f>
        <v>28.10.2023</v>
      </c>
      <c r="J2623" t="str">
        <v>19:46:04</v>
      </c>
      <c r="K2623">
        <f t="shared" si="506"/>
        <v>43.666666666665471</v>
      </c>
      <c r="L2623">
        <f t="shared" si="503"/>
        <v>24.9</v>
      </c>
      <c r="M2623">
        <f t="shared" si="504"/>
        <v>0.75</v>
      </c>
      <c r="N2623">
        <f t="shared" ref="N2623:N2624" si="508">AVERAGE(M2564:M2623)</f>
        <v>0.51749999999999985</v>
      </c>
      <c r="Q2623" t="str" cm="1">
        <f t="array" ref="Q2623:R2623">_xlfn.TEXTSPLIT(E2623," ")</f>
        <v>28.10.2023</v>
      </c>
      <c r="R2623" t="str">
        <v>19:46:04</v>
      </c>
      <c r="S2623">
        <f t="shared" si="507"/>
        <v>43.666666666665471</v>
      </c>
      <c r="T2623">
        <f t="shared" si="502"/>
        <v>42.75</v>
      </c>
      <c r="U2623">
        <f t="shared" si="505"/>
        <v>0.6</v>
      </c>
      <c r="V2623">
        <f t="shared" ref="V2623:V2624" si="509">AVERAGE(U2564:U2623)</f>
        <v>0.82000000000000017</v>
      </c>
    </row>
    <row r="2624" spans="1:22" x14ac:dyDescent="0.25">
      <c r="A2624" t="s">
        <v>4580</v>
      </c>
      <c r="B2624">
        <v>0.45</v>
      </c>
      <c r="C2624">
        <v>39.22</v>
      </c>
      <c r="E2624" t="s">
        <v>4580</v>
      </c>
      <c r="F2624">
        <v>0.9</v>
      </c>
      <c r="G2624">
        <v>121.37</v>
      </c>
      <c r="I2624" t="str" cm="1">
        <f t="array" ref="I2624:J2624">_xlfn.TEXTSPLIT(A2624," ")</f>
        <v>28.10.2023</v>
      </c>
      <c r="J2624" t="str">
        <v>19:47:04</v>
      </c>
      <c r="K2624">
        <f t="shared" si="506"/>
        <v>43.683333333332136</v>
      </c>
      <c r="L2624">
        <f t="shared" si="503"/>
        <v>24.9</v>
      </c>
      <c r="M2624">
        <f t="shared" si="504"/>
        <v>0.45</v>
      </c>
      <c r="N2624">
        <f t="shared" si="508"/>
        <v>0.5099999999999999</v>
      </c>
      <c r="Q2624" t="str" cm="1">
        <f t="array" ref="Q2624:R2624">_xlfn.TEXTSPLIT(E2624," ")</f>
        <v>28.10.2023</v>
      </c>
      <c r="R2624" t="str">
        <v>19:47:04</v>
      </c>
      <c r="S2624">
        <f t="shared" si="507"/>
        <v>43.683333333332136</v>
      </c>
      <c r="T2624">
        <f t="shared" si="502"/>
        <v>42.77000000000001</v>
      </c>
      <c r="U2624">
        <f t="shared" si="505"/>
        <v>0.9</v>
      </c>
      <c r="V2624">
        <f t="shared" si="509"/>
        <v>0.82000000000000006</v>
      </c>
    </row>
    <row r="2625" spans="5:7" x14ac:dyDescent="0.25">
      <c r="E2625" t="s">
        <v>4581</v>
      </c>
      <c r="F2625">
        <v>1.2</v>
      </c>
      <c r="G2625">
        <v>121.39</v>
      </c>
    </row>
  </sheetData>
  <mergeCells count="2">
    <mergeCell ref="X2:X8"/>
    <mergeCell ref="X11:X14"/>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321D37-A109-4EDF-95B0-15CE99A6213F}">
  <dimension ref="A1:V25"/>
  <sheetViews>
    <sheetView workbookViewId="0">
      <selection activeCell="Y16" sqref="Y16"/>
    </sheetView>
  </sheetViews>
  <sheetFormatPr defaultRowHeight="15" x14ac:dyDescent="0.25"/>
  <cols>
    <col min="2" max="2" width="12" bestFit="1" customWidth="1"/>
  </cols>
  <sheetData>
    <row r="1" spans="1:22" x14ac:dyDescent="0.25">
      <c r="A1" t="s">
        <v>4582</v>
      </c>
      <c r="B1" t="s">
        <v>4583</v>
      </c>
    </row>
    <row r="2" spans="1:22" x14ac:dyDescent="0.25">
      <c r="A2" t="s">
        <v>4584</v>
      </c>
    </row>
    <row r="3" spans="1:22" x14ac:dyDescent="0.25">
      <c r="A3">
        <v>1</v>
      </c>
      <c r="B3">
        <f>1+A3</f>
        <v>2</v>
      </c>
      <c r="C3">
        <f t="shared" ref="C3:R4" si="0">1+B3</f>
        <v>3</v>
      </c>
      <c r="D3">
        <f t="shared" si="0"/>
        <v>4</v>
      </c>
      <c r="E3">
        <f t="shared" si="0"/>
        <v>5</v>
      </c>
      <c r="F3">
        <f t="shared" si="0"/>
        <v>6</v>
      </c>
      <c r="G3">
        <f t="shared" si="0"/>
        <v>7</v>
      </c>
      <c r="H3">
        <f t="shared" si="0"/>
        <v>8</v>
      </c>
      <c r="I3">
        <f t="shared" si="0"/>
        <v>9</v>
      </c>
      <c r="J3">
        <f t="shared" si="0"/>
        <v>10</v>
      </c>
      <c r="K3">
        <f t="shared" si="0"/>
        <v>11</v>
      </c>
      <c r="L3">
        <f t="shared" si="0"/>
        <v>12</v>
      </c>
      <c r="M3">
        <f t="shared" si="0"/>
        <v>13</v>
      </c>
      <c r="N3">
        <f t="shared" si="0"/>
        <v>14</v>
      </c>
      <c r="O3">
        <f t="shared" si="0"/>
        <v>15</v>
      </c>
      <c r="P3">
        <f t="shared" si="0"/>
        <v>16</v>
      </c>
      <c r="Q3">
        <f t="shared" si="0"/>
        <v>17</v>
      </c>
      <c r="R3">
        <f t="shared" si="0"/>
        <v>18</v>
      </c>
      <c r="S3">
        <f t="shared" ref="S3:V4" si="1">1+R3</f>
        <v>19</v>
      </c>
      <c r="T3">
        <f t="shared" si="1"/>
        <v>20</v>
      </c>
      <c r="U3">
        <f t="shared" si="1"/>
        <v>21</v>
      </c>
      <c r="V3">
        <f t="shared" si="1"/>
        <v>22</v>
      </c>
    </row>
    <row r="4" spans="1:22" x14ac:dyDescent="0.25">
      <c r="B4">
        <v>1</v>
      </c>
      <c r="C4">
        <f>1+B4</f>
        <v>2</v>
      </c>
      <c r="D4">
        <f t="shared" si="0"/>
        <v>3</v>
      </c>
      <c r="E4">
        <f t="shared" si="0"/>
        <v>4</v>
      </c>
      <c r="F4">
        <f t="shared" si="0"/>
        <v>5</v>
      </c>
      <c r="G4">
        <f t="shared" si="0"/>
        <v>6</v>
      </c>
      <c r="H4">
        <f t="shared" si="0"/>
        <v>7</v>
      </c>
      <c r="I4">
        <f t="shared" si="0"/>
        <v>8</v>
      </c>
      <c r="J4">
        <f t="shared" si="0"/>
        <v>9</v>
      </c>
      <c r="K4">
        <f t="shared" si="0"/>
        <v>10</v>
      </c>
      <c r="L4">
        <f t="shared" si="0"/>
        <v>11</v>
      </c>
      <c r="M4">
        <f t="shared" si="0"/>
        <v>12</v>
      </c>
      <c r="N4">
        <f t="shared" si="0"/>
        <v>13</v>
      </c>
      <c r="O4">
        <f t="shared" si="0"/>
        <v>14</v>
      </c>
      <c r="P4">
        <f t="shared" si="0"/>
        <v>15</v>
      </c>
      <c r="Q4">
        <f t="shared" si="0"/>
        <v>16</v>
      </c>
      <c r="R4">
        <f t="shared" si="0"/>
        <v>17</v>
      </c>
      <c r="S4">
        <f t="shared" si="1"/>
        <v>18</v>
      </c>
      <c r="T4">
        <f t="shared" si="1"/>
        <v>19</v>
      </c>
      <c r="U4">
        <f t="shared" si="1"/>
        <v>20</v>
      </c>
      <c r="V4">
        <f t="shared" si="1"/>
        <v>21</v>
      </c>
    </row>
    <row r="5" spans="1:22" x14ac:dyDescent="0.25">
      <c r="A5" s="41" t="s">
        <v>4585</v>
      </c>
      <c r="B5" s="38" t="s">
        <v>4</v>
      </c>
      <c r="C5" s="38" t="s">
        <v>42</v>
      </c>
      <c r="D5" s="38" t="s">
        <v>43</v>
      </c>
      <c r="E5" s="38" t="s">
        <v>342</v>
      </c>
      <c r="F5" s="38" t="s">
        <v>345</v>
      </c>
      <c r="G5" s="38" t="s">
        <v>346</v>
      </c>
      <c r="H5" s="38" t="s">
        <v>48</v>
      </c>
      <c r="I5" s="38" t="s">
        <v>49</v>
      </c>
      <c r="J5" s="38" t="s">
        <v>4586</v>
      </c>
      <c r="K5" s="38" t="s">
        <v>4587</v>
      </c>
      <c r="L5" s="38" t="s">
        <v>4588</v>
      </c>
      <c r="M5" s="38" t="s">
        <v>4589</v>
      </c>
      <c r="N5" s="38" t="s">
        <v>4590</v>
      </c>
      <c r="O5" s="38" t="s">
        <v>4591</v>
      </c>
      <c r="P5" s="38" t="s">
        <v>4592</v>
      </c>
      <c r="Q5" s="38" t="s">
        <v>4593</v>
      </c>
      <c r="R5" s="38" t="s">
        <v>4594</v>
      </c>
      <c r="S5" s="38" t="s">
        <v>4595</v>
      </c>
      <c r="T5" s="38" t="s">
        <v>4596</v>
      </c>
      <c r="U5" s="38" t="s">
        <v>4597</v>
      </c>
      <c r="V5" s="42" t="s">
        <v>4598</v>
      </c>
    </row>
    <row r="6" spans="1:22" x14ac:dyDescent="0.25">
      <c r="A6" s="41" t="s">
        <v>4599</v>
      </c>
      <c r="B6" s="38" t="s">
        <v>4600</v>
      </c>
      <c r="C6" s="38" t="s">
        <v>69</v>
      </c>
      <c r="D6" s="38"/>
      <c r="E6" s="38" t="s">
        <v>74</v>
      </c>
      <c r="F6" s="38" t="s">
        <v>75</v>
      </c>
      <c r="G6" s="38" t="s">
        <v>76</v>
      </c>
      <c r="H6" s="38" t="s">
        <v>78</v>
      </c>
      <c r="I6" s="38" t="s">
        <v>78</v>
      </c>
      <c r="J6" s="139" t="s">
        <v>4601</v>
      </c>
      <c r="K6" s="139"/>
      <c r="L6" s="139"/>
      <c r="M6" s="139"/>
      <c r="N6" s="38" t="s">
        <v>70</v>
      </c>
      <c r="O6" s="139" t="s">
        <v>4602</v>
      </c>
      <c r="P6" s="139"/>
      <c r="Q6" s="139"/>
      <c r="R6" s="139"/>
      <c r="S6" s="139"/>
      <c r="T6" s="139"/>
      <c r="U6" s="139"/>
      <c r="V6" s="142"/>
    </row>
    <row r="7" spans="1:22" x14ac:dyDescent="0.25">
      <c r="A7">
        <v>0</v>
      </c>
      <c r="B7">
        <v>30.838100000000001</v>
      </c>
      <c r="C7">
        <v>75.742344696981988</v>
      </c>
      <c r="D7">
        <v>5.49</v>
      </c>
      <c r="E7">
        <v>2739</v>
      </c>
      <c r="F7">
        <v>58.5</v>
      </c>
      <c r="G7">
        <v>100</v>
      </c>
      <c r="H7">
        <v>0</v>
      </c>
      <c r="I7">
        <v>0</v>
      </c>
      <c r="J7">
        <v>1401</v>
      </c>
      <c r="K7">
        <v>362</v>
      </c>
      <c r="L7">
        <v>179.6</v>
      </c>
      <c r="M7">
        <v>47.2</v>
      </c>
      <c r="N7">
        <v>283.69</v>
      </c>
      <c r="O7">
        <v>97.708100000000002</v>
      </c>
      <c r="P7">
        <v>1.5048999999999999</v>
      </c>
      <c r="Q7">
        <v>4529</v>
      </c>
      <c r="R7">
        <v>1423</v>
      </c>
      <c r="S7">
        <v>127.6</v>
      </c>
      <c r="T7">
        <v>0</v>
      </c>
      <c r="U7">
        <v>0</v>
      </c>
      <c r="V7">
        <v>0</v>
      </c>
    </row>
    <row r="8" spans="1:22" x14ac:dyDescent="0.25">
      <c r="A8">
        <v>14</v>
      </c>
      <c r="B8">
        <v>28.822299999999998</v>
      </c>
      <c r="C8">
        <v>74.309128695489264</v>
      </c>
      <c r="D8">
        <v>5.27</v>
      </c>
      <c r="E8">
        <v>2123</v>
      </c>
      <c r="F8">
        <v>49.4</v>
      </c>
      <c r="G8">
        <v>100</v>
      </c>
      <c r="H8">
        <v>0</v>
      </c>
      <c r="I8">
        <v>0</v>
      </c>
      <c r="J8">
        <v>934</v>
      </c>
      <c r="K8">
        <v>266</v>
      </c>
      <c r="L8">
        <v>104.30000000000001</v>
      </c>
      <c r="M8">
        <v>23.78</v>
      </c>
      <c r="N8">
        <v>283.69</v>
      </c>
      <c r="O8">
        <v>99.148799999999994</v>
      </c>
      <c r="P8">
        <v>1.2155</v>
      </c>
      <c r="Q8">
        <v>4654</v>
      </c>
      <c r="R8">
        <v>1423</v>
      </c>
      <c r="S8">
        <v>176.1</v>
      </c>
      <c r="T8">
        <v>0</v>
      </c>
      <c r="U8">
        <v>0</v>
      </c>
      <c r="V8">
        <v>0</v>
      </c>
    </row>
    <row r="9" spans="1:22" x14ac:dyDescent="0.25">
      <c r="A9">
        <v>21</v>
      </c>
      <c r="B9">
        <v>29.7972</v>
      </c>
      <c r="C9">
        <v>74.081457318137282</v>
      </c>
      <c r="D9">
        <v>5.4</v>
      </c>
      <c r="E9">
        <v>2231</v>
      </c>
      <c r="F9">
        <v>68</v>
      </c>
      <c r="G9">
        <v>100</v>
      </c>
      <c r="H9">
        <v>0</v>
      </c>
      <c r="I9">
        <v>0</v>
      </c>
      <c r="J9">
        <v>1042</v>
      </c>
      <c r="K9">
        <v>314</v>
      </c>
      <c r="L9">
        <v>130.4</v>
      </c>
      <c r="M9">
        <v>38.700000000000003</v>
      </c>
      <c r="N9">
        <v>296.66000000000003</v>
      </c>
      <c r="O9">
        <v>95.339200000000005</v>
      </c>
      <c r="P9">
        <v>1.2736000000000001</v>
      </c>
      <c r="Q9">
        <v>4097</v>
      </c>
      <c r="R9">
        <v>1519</v>
      </c>
      <c r="S9">
        <v>167.3</v>
      </c>
      <c r="T9">
        <v>0</v>
      </c>
      <c r="U9">
        <v>0</v>
      </c>
      <c r="V9">
        <v>0</v>
      </c>
    </row>
    <row r="10" spans="1:22" x14ac:dyDescent="0.25">
      <c r="A10">
        <v>33</v>
      </c>
      <c r="B10">
        <v>28.619299999999999</v>
      </c>
      <c r="C10">
        <v>74.952916388590921</v>
      </c>
      <c r="D10">
        <v>5.61</v>
      </c>
      <c r="E10">
        <v>2127</v>
      </c>
      <c r="F10">
        <v>44.8</v>
      </c>
      <c r="G10">
        <v>100</v>
      </c>
      <c r="H10">
        <v>0</v>
      </c>
      <c r="I10">
        <v>0</v>
      </c>
      <c r="J10">
        <v>826</v>
      </c>
      <c r="K10">
        <v>200</v>
      </c>
      <c r="L10">
        <v>83.7</v>
      </c>
      <c r="M10">
        <v>11.8</v>
      </c>
      <c r="N10">
        <v>296.66000000000003</v>
      </c>
      <c r="O10">
        <v>93.738600000000005</v>
      </c>
      <c r="P10">
        <v>1.0436000000000001</v>
      </c>
      <c r="Q10">
        <v>3802</v>
      </c>
      <c r="R10">
        <v>1384</v>
      </c>
      <c r="S10">
        <v>173.3</v>
      </c>
      <c r="T10">
        <v>0</v>
      </c>
      <c r="U10">
        <v>0</v>
      </c>
      <c r="V10">
        <v>0</v>
      </c>
    </row>
    <row r="11" spans="1:22" x14ac:dyDescent="0.25">
      <c r="A11">
        <v>40</v>
      </c>
      <c r="B11">
        <v>38.593699999999998</v>
      </c>
      <c r="C11">
        <v>72.526344973402402</v>
      </c>
      <c r="D11">
        <v>5.53</v>
      </c>
      <c r="E11">
        <v>2870</v>
      </c>
      <c r="F11">
        <v>47</v>
      </c>
      <c r="G11">
        <v>100</v>
      </c>
      <c r="H11">
        <v>0</v>
      </c>
      <c r="I11">
        <v>0</v>
      </c>
      <c r="J11">
        <v>874</v>
      </c>
      <c r="K11">
        <v>209</v>
      </c>
      <c r="L11">
        <v>81.300000000000011</v>
      </c>
      <c r="M11">
        <v>12.5</v>
      </c>
      <c r="N11">
        <v>290</v>
      </c>
      <c r="O11">
        <v>99.812799999999996</v>
      </c>
      <c r="P11">
        <v>1.2051000000000001</v>
      </c>
      <c r="Q11">
        <v>4950</v>
      </c>
      <c r="R11">
        <v>1712</v>
      </c>
      <c r="S11">
        <v>198.2</v>
      </c>
      <c r="T11">
        <v>0</v>
      </c>
      <c r="U11">
        <v>0</v>
      </c>
      <c r="V11">
        <v>0</v>
      </c>
    </row>
    <row r="12" spans="1:22" x14ac:dyDescent="0.25">
      <c r="A12">
        <v>47</v>
      </c>
      <c r="B12">
        <v>32.595700000000001</v>
      </c>
      <c r="C12">
        <v>72.104602754351035</v>
      </c>
      <c r="D12">
        <v>5.85</v>
      </c>
      <c r="E12">
        <v>2907</v>
      </c>
      <c r="F12">
        <v>85</v>
      </c>
      <c r="G12">
        <v>100</v>
      </c>
      <c r="H12">
        <v>0</v>
      </c>
      <c r="I12">
        <v>0</v>
      </c>
      <c r="J12">
        <v>588</v>
      </c>
      <c r="K12">
        <v>176</v>
      </c>
      <c r="L12">
        <v>70.2</v>
      </c>
      <c r="M12">
        <v>30.5</v>
      </c>
      <c r="N12">
        <v>290</v>
      </c>
      <c r="O12">
        <v>89.939300000000003</v>
      </c>
      <c r="P12">
        <v>0.94089999999999996</v>
      </c>
      <c r="Q12">
        <v>3812</v>
      </c>
      <c r="R12">
        <v>2346</v>
      </c>
      <c r="S12">
        <v>185.9</v>
      </c>
      <c r="T12">
        <v>0</v>
      </c>
      <c r="U12">
        <v>0</v>
      </c>
      <c r="V12">
        <v>0</v>
      </c>
    </row>
    <row r="13" spans="1:22" x14ac:dyDescent="0.25">
      <c r="A13">
        <v>59</v>
      </c>
      <c r="B13">
        <v>28.149899999999999</v>
      </c>
      <c r="C13">
        <v>72.30718403973016</v>
      </c>
      <c r="D13">
        <v>5.56</v>
      </c>
      <c r="E13">
        <v>2598</v>
      </c>
      <c r="F13">
        <v>67.2</v>
      </c>
      <c r="G13">
        <v>100</v>
      </c>
      <c r="H13">
        <v>0</v>
      </c>
      <c r="I13">
        <v>0</v>
      </c>
      <c r="J13">
        <v>737</v>
      </c>
      <c r="K13">
        <v>176</v>
      </c>
      <c r="L13">
        <v>73.5</v>
      </c>
      <c r="M13">
        <v>28.490000000000002</v>
      </c>
      <c r="N13">
        <v>290</v>
      </c>
      <c r="O13">
        <v>87.5184</v>
      </c>
      <c r="P13">
        <v>0.84550000000000003</v>
      </c>
      <c r="Q13">
        <v>3029</v>
      </c>
      <c r="R13">
        <v>1373</v>
      </c>
      <c r="S13">
        <v>191.6</v>
      </c>
      <c r="T13">
        <v>0</v>
      </c>
      <c r="U13">
        <v>0</v>
      </c>
      <c r="V13">
        <v>0</v>
      </c>
    </row>
    <row r="14" spans="1:22" x14ac:dyDescent="0.25">
      <c r="A14">
        <v>66</v>
      </c>
      <c r="B14">
        <v>39.285600000000002</v>
      </c>
      <c r="C14">
        <v>66.449284216099542</v>
      </c>
      <c r="D14">
        <v>5.75</v>
      </c>
      <c r="E14">
        <v>3029</v>
      </c>
      <c r="F14">
        <v>50</v>
      </c>
      <c r="G14">
        <v>100</v>
      </c>
      <c r="H14">
        <v>0</v>
      </c>
      <c r="I14">
        <v>0</v>
      </c>
      <c r="J14">
        <v>723</v>
      </c>
      <c r="K14">
        <v>193</v>
      </c>
      <c r="L14">
        <v>103.5</v>
      </c>
      <c r="M14">
        <v>29.5</v>
      </c>
      <c r="N14">
        <v>255.93</v>
      </c>
      <c r="O14">
        <v>99.5441</v>
      </c>
      <c r="P14">
        <v>1.0919000000000001</v>
      </c>
      <c r="Q14">
        <v>4961</v>
      </c>
      <c r="R14">
        <v>1449</v>
      </c>
      <c r="S14">
        <v>198.6</v>
      </c>
      <c r="T14">
        <v>0</v>
      </c>
      <c r="U14">
        <v>0</v>
      </c>
      <c r="V14">
        <v>0</v>
      </c>
    </row>
    <row r="15" spans="1:22" x14ac:dyDescent="0.25">
      <c r="A15">
        <v>77</v>
      </c>
      <c r="B15">
        <v>27.079899999999999</v>
      </c>
      <c r="C15">
        <v>68.800106351943697</v>
      </c>
      <c r="D15">
        <v>5.65</v>
      </c>
      <c r="E15">
        <v>2452</v>
      </c>
      <c r="F15">
        <v>86.8</v>
      </c>
      <c r="G15">
        <v>100</v>
      </c>
      <c r="H15">
        <v>0</v>
      </c>
      <c r="I15">
        <v>0</v>
      </c>
      <c r="J15">
        <v>518</v>
      </c>
      <c r="K15">
        <v>167</v>
      </c>
      <c r="L15">
        <v>69.400000000000006</v>
      </c>
      <c r="M15">
        <v>32.44</v>
      </c>
      <c r="N15">
        <v>255.93</v>
      </c>
      <c r="O15">
        <v>79.956800000000001</v>
      </c>
      <c r="P15">
        <v>0.8659</v>
      </c>
      <c r="Q15">
        <v>3008</v>
      </c>
      <c r="R15">
        <v>925</v>
      </c>
      <c r="S15">
        <v>140</v>
      </c>
      <c r="T15">
        <v>0</v>
      </c>
      <c r="U15">
        <v>0</v>
      </c>
      <c r="V15">
        <v>0</v>
      </c>
    </row>
    <row r="16" spans="1:22" x14ac:dyDescent="0.25">
      <c r="A16">
        <v>85</v>
      </c>
      <c r="B16">
        <v>30.642800000000001</v>
      </c>
      <c r="C16">
        <v>69.441761196757483</v>
      </c>
      <c r="D16">
        <v>5.54</v>
      </c>
      <c r="E16">
        <v>2627</v>
      </c>
      <c r="F16">
        <v>95.2</v>
      </c>
      <c r="G16">
        <v>100</v>
      </c>
      <c r="H16">
        <v>0</v>
      </c>
      <c r="I16">
        <v>0</v>
      </c>
      <c r="J16">
        <v>500</v>
      </c>
      <c r="K16">
        <v>217</v>
      </c>
      <c r="L16">
        <v>77.2</v>
      </c>
      <c r="M16">
        <v>36.1</v>
      </c>
      <c r="N16">
        <v>265.08999999999997</v>
      </c>
      <c r="O16">
        <v>88.7209</v>
      </c>
      <c r="P16">
        <v>0.90700000000000003</v>
      </c>
      <c r="Q16">
        <v>3689</v>
      </c>
      <c r="R16">
        <v>1309</v>
      </c>
      <c r="S16">
        <v>174</v>
      </c>
      <c r="T16">
        <v>0</v>
      </c>
      <c r="U16">
        <v>0</v>
      </c>
      <c r="V16">
        <v>0</v>
      </c>
    </row>
    <row r="17" spans="1:22" x14ac:dyDescent="0.25">
      <c r="A17">
        <v>93</v>
      </c>
      <c r="B17">
        <v>28.415400000000002</v>
      </c>
      <c r="C17">
        <v>69.317693926532783</v>
      </c>
      <c r="D17">
        <v>5.58</v>
      </c>
      <c r="E17">
        <v>2802</v>
      </c>
      <c r="F17">
        <v>100</v>
      </c>
      <c r="G17">
        <v>100</v>
      </c>
      <c r="H17">
        <v>0</v>
      </c>
      <c r="I17">
        <v>0</v>
      </c>
      <c r="J17">
        <v>569</v>
      </c>
      <c r="K17">
        <v>227</v>
      </c>
      <c r="L17">
        <v>91.4</v>
      </c>
      <c r="M17">
        <v>47.9</v>
      </c>
      <c r="N17">
        <v>265.08999999999997</v>
      </c>
      <c r="O17">
        <v>80.411500000000004</v>
      </c>
      <c r="P17">
        <v>0.8377</v>
      </c>
      <c r="Q17">
        <v>3059</v>
      </c>
      <c r="R17">
        <v>1232</v>
      </c>
      <c r="S17">
        <v>189.4</v>
      </c>
      <c r="T17">
        <v>0</v>
      </c>
      <c r="U17">
        <v>0</v>
      </c>
      <c r="V17">
        <v>0</v>
      </c>
    </row>
    <row r="18" spans="1:22" x14ac:dyDescent="0.25">
      <c r="A18">
        <v>98</v>
      </c>
      <c r="B18">
        <v>25.9389</v>
      </c>
      <c r="C18">
        <v>69.494851362239714</v>
      </c>
      <c r="D18">
        <v>5.93</v>
      </c>
      <c r="E18">
        <v>2978</v>
      </c>
      <c r="F18">
        <v>98.8</v>
      </c>
      <c r="G18">
        <v>100</v>
      </c>
      <c r="H18">
        <v>0</v>
      </c>
      <c r="I18">
        <v>0</v>
      </c>
      <c r="J18">
        <v>436</v>
      </c>
      <c r="K18">
        <v>231</v>
      </c>
      <c r="L18">
        <v>88.7</v>
      </c>
      <c r="M18">
        <v>66.8</v>
      </c>
      <c r="N18">
        <v>226.6</v>
      </c>
      <c r="O18">
        <v>78.454099999999997</v>
      </c>
      <c r="P18">
        <v>0.66620000000000001</v>
      </c>
      <c r="Q18">
        <v>3059</v>
      </c>
      <c r="R18">
        <v>1125</v>
      </c>
      <c r="S18">
        <v>188.5</v>
      </c>
      <c r="T18">
        <v>0</v>
      </c>
      <c r="U18">
        <v>0</v>
      </c>
      <c r="V18">
        <v>0</v>
      </c>
    </row>
    <row r="19" spans="1:22" x14ac:dyDescent="0.25">
      <c r="A19" t="s">
        <v>4603</v>
      </c>
    </row>
    <row r="20" spans="1:22" x14ac:dyDescent="0.25">
      <c r="A20">
        <v>0</v>
      </c>
      <c r="B20">
        <f>AVERAGE(B7:B18)</f>
        <v>30.731566666666666</v>
      </c>
      <c r="C20">
        <f t="shared" ref="C20:V20" si="2">AVERAGE(C7:C18)</f>
        <v>71.627306326688014</v>
      </c>
      <c r="D20">
        <f t="shared" si="2"/>
        <v>5.5966666666666667</v>
      </c>
      <c r="E20">
        <f t="shared" si="2"/>
        <v>2623.5833333333335</v>
      </c>
      <c r="F20">
        <f t="shared" si="2"/>
        <v>70.891666666666666</v>
      </c>
      <c r="G20">
        <f t="shared" si="2"/>
        <v>100</v>
      </c>
      <c r="H20">
        <f t="shared" si="2"/>
        <v>0</v>
      </c>
      <c r="I20">
        <f t="shared" si="2"/>
        <v>0</v>
      </c>
      <c r="J20">
        <f t="shared" si="2"/>
        <v>762.33333333333337</v>
      </c>
      <c r="K20">
        <f t="shared" si="2"/>
        <v>228.16666666666666</v>
      </c>
      <c r="L20">
        <f t="shared" si="2"/>
        <v>96.100000000000009</v>
      </c>
      <c r="M20">
        <f t="shared" si="2"/>
        <v>33.80916666666667</v>
      </c>
      <c r="N20">
        <f t="shared" si="2"/>
        <v>274.94499999999999</v>
      </c>
      <c r="O20">
        <f t="shared" si="2"/>
        <v>90.857716666666661</v>
      </c>
      <c r="P20">
        <f t="shared" si="2"/>
        <v>1.03315</v>
      </c>
      <c r="Q20">
        <f t="shared" si="2"/>
        <v>3887.4166666666665</v>
      </c>
      <c r="R20">
        <f t="shared" si="2"/>
        <v>1435</v>
      </c>
      <c r="S20">
        <f t="shared" si="2"/>
        <v>175.875</v>
      </c>
      <c r="T20">
        <f t="shared" si="2"/>
        <v>0</v>
      </c>
      <c r="U20">
        <f t="shared" si="2"/>
        <v>0</v>
      </c>
      <c r="V20">
        <f t="shared" si="2"/>
        <v>0</v>
      </c>
    </row>
    <row r="21" spans="1:22" x14ac:dyDescent="0.25">
      <c r="A21">
        <v>98</v>
      </c>
      <c r="B21">
        <f>B20</f>
        <v>30.731566666666666</v>
      </c>
      <c r="C21">
        <f t="shared" ref="C21:V21" si="3">C20</f>
        <v>71.627306326688014</v>
      </c>
      <c r="D21">
        <f t="shared" si="3"/>
        <v>5.5966666666666667</v>
      </c>
      <c r="E21">
        <f t="shared" si="3"/>
        <v>2623.5833333333335</v>
      </c>
      <c r="F21">
        <f t="shared" si="3"/>
        <v>70.891666666666666</v>
      </c>
      <c r="G21">
        <f t="shared" si="3"/>
        <v>100</v>
      </c>
      <c r="H21">
        <f t="shared" si="3"/>
        <v>0</v>
      </c>
      <c r="I21">
        <f t="shared" si="3"/>
        <v>0</v>
      </c>
      <c r="J21">
        <f t="shared" si="3"/>
        <v>762.33333333333337</v>
      </c>
      <c r="K21">
        <f t="shared" si="3"/>
        <v>228.16666666666666</v>
      </c>
      <c r="L21">
        <f t="shared" si="3"/>
        <v>96.100000000000009</v>
      </c>
      <c r="M21">
        <f t="shared" si="3"/>
        <v>33.80916666666667</v>
      </c>
      <c r="N21">
        <f t="shared" si="3"/>
        <v>274.94499999999999</v>
      </c>
      <c r="O21">
        <f t="shared" si="3"/>
        <v>90.857716666666661</v>
      </c>
      <c r="P21">
        <f t="shared" si="3"/>
        <v>1.03315</v>
      </c>
      <c r="Q21">
        <f t="shared" si="3"/>
        <v>3887.4166666666665</v>
      </c>
      <c r="R21">
        <f t="shared" si="3"/>
        <v>1435</v>
      </c>
      <c r="S21">
        <f t="shared" si="3"/>
        <v>175.875</v>
      </c>
      <c r="T21">
        <f t="shared" si="3"/>
        <v>0</v>
      </c>
      <c r="U21">
        <f t="shared" si="3"/>
        <v>0</v>
      </c>
      <c r="V21">
        <f t="shared" si="3"/>
        <v>0</v>
      </c>
    </row>
    <row r="23" spans="1:22" x14ac:dyDescent="0.25">
      <c r="A23" t="s">
        <v>4604</v>
      </c>
    </row>
    <row r="24" spans="1:22" x14ac:dyDescent="0.25">
      <c r="A24">
        <v>0</v>
      </c>
      <c r="B24">
        <v>153.08000000000001</v>
      </c>
      <c r="C24">
        <v>71.17</v>
      </c>
      <c r="D24">
        <v>3.72</v>
      </c>
      <c r="E24">
        <v>0</v>
      </c>
      <c r="F24">
        <v>105.2</v>
      </c>
      <c r="G24">
        <v>0</v>
      </c>
      <c r="H24">
        <v>0</v>
      </c>
      <c r="I24">
        <v>0</v>
      </c>
      <c r="J24">
        <v>4471.29</v>
      </c>
      <c r="K24">
        <v>46.61</v>
      </c>
      <c r="L24">
        <v>422.26</v>
      </c>
      <c r="M24">
        <v>33.51</v>
      </c>
      <c r="N24">
        <v>0</v>
      </c>
      <c r="O24">
        <v>140.63</v>
      </c>
      <c r="P24">
        <v>84.49</v>
      </c>
      <c r="Q24">
        <v>136581.78</v>
      </c>
      <c r="R24">
        <v>45236.92</v>
      </c>
      <c r="S24">
        <v>137.47999999999999</v>
      </c>
      <c r="T24">
        <v>166000</v>
      </c>
      <c r="U24">
        <v>136581.78</v>
      </c>
      <c r="V24">
        <v>20132.84</v>
      </c>
    </row>
    <row r="25" spans="1:22" x14ac:dyDescent="0.25">
      <c r="A25">
        <v>4</v>
      </c>
      <c r="B25">
        <v>153.08000000000001</v>
      </c>
      <c r="C25">
        <v>71.17</v>
      </c>
      <c r="D25">
        <v>3.72</v>
      </c>
      <c r="E25">
        <v>0</v>
      </c>
      <c r="F25">
        <v>105.2</v>
      </c>
      <c r="G25">
        <v>0</v>
      </c>
      <c r="H25">
        <v>0</v>
      </c>
      <c r="I25">
        <v>0</v>
      </c>
      <c r="J25">
        <v>4471.29</v>
      </c>
      <c r="K25">
        <v>46.61</v>
      </c>
      <c r="L25">
        <v>422.26</v>
      </c>
      <c r="M25">
        <v>33.51</v>
      </c>
      <c r="N25">
        <v>0</v>
      </c>
      <c r="O25">
        <v>140.63</v>
      </c>
      <c r="P25">
        <v>84.49</v>
      </c>
      <c r="Q25">
        <v>136581.78</v>
      </c>
      <c r="R25">
        <v>45236.92</v>
      </c>
      <c r="S25">
        <v>137.47999999999999</v>
      </c>
      <c r="T25">
        <v>166000</v>
      </c>
      <c r="U25">
        <v>136581.78</v>
      </c>
      <c r="V25">
        <v>20132.84</v>
      </c>
    </row>
  </sheetData>
  <mergeCells count="2">
    <mergeCell ref="J6:M6"/>
    <mergeCell ref="O6:V6"/>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A9B1D4-6F20-4B2D-BBA1-32084450130F}">
  <dimension ref="A1:AK55"/>
  <sheetViews>
    <sheetView topLeftCell="Y1" workbookViewId="0">
      <selection activeCell="AG12" sqref="AG12"/>
    </sheetView>
  </sheetViews>
  <sheetFormatPr defaultRowHeight="15" x14ac:dyDescent="0.25"/>
  <sheetData>
    <row r="1" spans="1:37" x14ac:dyDescent="0.25">
      <c r="A1" t="s">
        <v>4605</v>
      </c>
      <c r="B1" t="s">
        <v>4606</v>
      </c>
    </row>
    <row r="2" spans="1:37" x14ac:dyDescent="0.25">
      <c r="A2" t="s">
        <v>4607</v>
      </c>
    </row>
    <row r="3" spans="1:37" x14ac:dyDescent="0.25">
      <c r="A3">
        <v>1</v>
      </c>
      <c r="B3">
        <f>1+A3</f>
        <v>2</v>
      </c>
      <c r="C3">
        <f t="shared" ref="C3:R4" si="0">1+B3</f>
        <v>3</v>
      </c>
      <c r="D3">
        <f t="shared" si="0"/>
        <v>4</v>
      </c>
      <c r="E3">
        <f t="shared" si="0"/>
        <v>5</v>
      </c>
      <c r="F3">
        <f t="shared" si="0"/>
        <v>6</v>
      </c>
      <c r="G3">
        <f t="shared" si="0"/>
        <v>7</v>
      </c>
      <c r="H3">
        <f t="shared" si="0"/>
        <v>8</v>
      </c>
      <c r="I3">
        <f t="shared" si="0"/>
        <v>9</v>
      </c>
      <c r="J3">
        <f t="shared" si="0"/>
        <v>10</v>
      </c>
      <c r="K3">
        <f t="shared" si="0"/>
        <v>11</v>
      </c>
      <c r="L3">
        <f t="shared" si="0"/>
        <v>12</v>
      </c>
      <c r="M3">
        <f t="shared" si="0"/>
        <v>13</v>
      </c>
      <c r="N3">
        <f t="shared" si="0"/>
        <v>14</v>
      </c>
      <c r="O3">
        <f t="shared" si="0"/>
        <v>15</v>
      </c>
      <c r="P3">
        <f t="shared" si="0"/>
        <v>16</v>
      </c>
      <c r="Q3">
        <f t="shared" si="0"/>
        <v>17</v>
      </c>
      <c r="R3">
        <f t="shared" si="0"/>
        <v>18</v>
      </c>
      <c r="S3">
        <f t="shared" ref="S3:AF4" si="1">1+R3</f>
        <v>19</v>
      </c>
      <c r="T3">
        <f t="shared" si="1"/>
        <v>20</v>
      </c>
      <c r="U3">
        <f t="shared" si="1"/>
        <v>21</v>
      </c>
      <c r="V3">
        <f t="shared" si="1"/>
        <v>22</v>
      </c>
      <c r="W3">
        <f t="shared" si="1"/>
        <v>23</v>
      </c>
      <c r="X3">
        <f t="shared" si="1"/>
        <v>24</v>
      </c>
      <c r="Y3">
        <f t="shared" si="1"/>
        <v>25</v>
      </c>
      <c r="Z3">
        <f t="shared" si="1"/>
        <v>26</v>
      </c>
      <c r="AA3">
        <f t="shared" si="1"/>
        <v>27</v>
      </c>
      <c r="AB3">
        <f t="shared" si="1"/>
        <v>28</v>
      </c>
      <c r="AC3">
        <f t="shared" si="1"/>
        <v>29</v>
      </c>
      <c r="AD3">
        <f t="shared" si="1"/>
        <v>30</v>
      </c>
      <c r="AE3">
        <f t="shared" si="1"/>
        <v>31</v>
      </c>
      <c r="AF3">
        <f t="shared" si="1"/>
        <v>32</v>
      </c>
    </row>
    <row r="4" spans="1:37" x14ac:dyDescent="0.25">
      <c r="B4">
        <v>1</v>
      </c>
      <c r="C4">
        <f>1+B4</f>
        <v>2</v>
      </c>
      <c r="D4">
        <f t="shared" si="0"/>
        <v>3</v>
      </c>
      <c r="E4">
        <f t="shared" si="0"/>
        <v>4</v>
      </c>
      <c r="F4">
        <f t="shared" si="0"/>
        <v>5</v>
      </c>
      <c r="G4">
        <f t="shared" si="0"/>
        <v>6</v>
      </c>
      <c r="H4">
        <f t="shared" si="0"/>
        <v>7</v>
      </c>
      <c r="I4">
        <f t="shared" si="0"/>
        <v>8</v>
      </c>
      <c r="J4">
        <f t="shared" si="0"/>
        <v>9</v>
      </c>
      <c r="K4">
        <f t="shared" si="0"/>
        <v>10</v>
      </c>
      <c r="L4">
        <f t="shared" si="0"/>
        <v>11</v>
      </c>
      <c r="M4">
        <f t="shared" si="0"/>
        <v>12</v>
      </c>
      <c r="N4">
        <f t="shared" si="0"/>
        <v>13</v>
      </c>
      <c r="O4">
        <f t="shared" si="0"/>
        <v>14</v>
      </c>
      <c r="P4">
        <f t="shared" si="0"/>
        <v>15</v>
      </c>
      <c r="Q4">
        <f t="shared" si="0"/>
        <v>16</v>
      </c>
      <c r="R4">
        <f t="shared" si="0"/>
        <v>17</v>
      </c>
      <c r="S4">
        <f t="shared" si="1"/>
        <v>18</v>
      </c>
      <c r="T4">
        <f t="shared" si="1"/>
        <v>19</v>
      </c>
      <c r="U4">
        <f t="shared" si="1"/>
        <v>20</v>
      </c>
      <c r="V4">
        <f t="shared" si="1"/>
        <v>21</v>
      </c>
      <c r="W4">
        <f t="shared" si="1"/>
        <v>22</v>
      </c>
      <c r="X4">
        <f t="shared" si="1"/>
        <v>23</v>
      </c>
      <c r="Y4">
        <f t="shared" si="1"/>
        <v>24</v>
      </c>
      <c r="Z4">
        <f t="shared" si="1"/>
        <v>25</v>
      </c>
      <c r="AA4">
        <f t="shared" si="1"/>
        <v>26</v>
      </c>
      <c r="AB4">
        <f t="shared" si="1"/>
        <v>27</v>
      </c>
      <c r="AC4">
        <f t="shared" si="1"/>
        <v>28</v>
      </c>
      <c r="AD4">
        <f t="shared" si="1"/>
        <v>29</v>
      </c>
      <c r="AE4">
        <f t="shared" si="1"/>
        <v>30</v>
      </c>
      <c r="AF4">
        <f t="shared" si="1"/>
        <v>31</v>
      </c>
    </row>
    <row r="5" spans="1:37" ht="19.5" x14ac:dyDescent="0.35">
      <c r="A5" s="41" t="s">
        <v>4585</v>
      </c>
      <c r="B5" s="38" t="s">
        <v>4608</v>
      </c>
      <c r="C5" s="38" t="s">
        <v>4609</v>
      </c>
      <c r="D5" s="38" t="s">
        <v>4610</v>
      </c>
      <c r="E5" s="38" t="s">
        <v>4611</v>
      </c>
      <c r="F5" s="38" t="s">
        <v>4612</v>
      </c>
      <c r="G5" s="38" t="s">
        <v>4613</v>
      </c>
      <c r="H5" s="38" t="s">
        <v>4614</v>
      </c>
      <c r="I5" s="38" t="s">
        <v>4615</v>
      </c>
      <c r="J5" s="38" t="s">
        <v>4616</v>
      </c>
      <c r="K5" s="38" t="s">
        <v>4617</v>
      </c>
      <c r="L5" s="38" t="s">
        <v>4618</v>
      </c>
      <c r="M5" s="38" t="s">
        <v>346</v>
      </c>
      <c r="N5" s="38" t="s">
        <v>4619</v>
      </c>
      <c r="O5" s="38" t="s">
        <v>4620</v>
      </c>
      <c r="P5" s="38" t="s">
        <v>4621</v>
      </c>
      <c r="Q5" s="38" t="s">
        <v>4622</v>
      </c>
      <c r="R5" s="38" t="s">
        <v>4623</v>
      </c>
      <c r="S5" s="38" t="s">
        <v>4624</v>
      </c>
      <c r="T5" s="38" t="s">
        <v>4625</v>
      </c>
      <c r="U5" s="38" t="s">
        <v>4626</v>
      </c>
      <c r="V5" s="38" t="s">
        <v>4627</v>
      </c>
      <c r="W5" s="38" t="s">
        <v>4628</v>
      </c>
      <c r="X5" s="38" t="s">
        <v>4629</v>
      </c>
      <c r="Y5" s="38" t="s">
        <v>4630</v>
      </c>
      <c r="Z5" s="38" t="s">
        <v>4631</v>
      </c>
      <c r="AA5" s="38" t="s">
        <v>4632</v>
      </c>
      <c r="AB5" s="38" t="s">
        <v>65</v>
      </c>
      <c r="AC5" s="38" t="s">
        <v>4633</v>
      </c>
      <c r="AD5" s="38" t="s">
        <v>4634</v>
      </c>
      <c r="AE5" s="38" t="s">
        <v>48</v>
      </c>
      <c r="AF5" s="38" t="s">
        <v>49</v>
      </c>
    </row>
    <row r="6" spans="1:37" x14ac:dyDescent="0.25">
      <c r="A6" s="41" t="s">
        <v>4599</v>
      </c>
      <c r="B6" s="43" t="s">
        <v>79</v>
      </c>
      <c r="C6" s="43" t="s">
        <v>79</v>
      </c>
      <c r="D6" s="43" t="s">
        <v>79</v>
      </c>
      <c r="E6" s="43" t="s">
        <v>79</v>
      </c>
      <c r="F6" s="43" t="s">
        <v>79</v>
      </c>
      <c r="G6" s="43" t="s">
        <v>79</v>
      </c>
      <c r="H6" s="43" t="s">
        <v>79</v>
      </c>
      <c r="I6" s="43" t="s">
        <v>79</v>
      </c>
      <c r="J6" s="43" t="s">
        <v>79</v>
      </c>
      <c r="K6" s="38" t="s">
        <v>4635</v>
      </c>
      <c r="L6" s="38" t="s">
        <v>75</v>
      </c>
      <c r="M6" s="38" t="s">
        <v>76</v>
      </c>
      <c r="N6" s="43" t="s">
        <v>79</v>
      </c>
      <c r="O6" s="43" t="s">
        <v>79</v>
      </c>
      <c r="P6" s="43" t="s">
        <v>79</v>
      </c>
      <c r="Q6" s="43" t="s">
        <v>79</v>
      </c>
      <c r="R6" s="43" t="s">
        <v>79</v>
      </c>
      <c r="S6" s="43" t="s">
        <v>79</v>
      </c>
      <c r="T6" s="43" t="s">
        <v>79</v>
      </c>
      <c r="U6" s="43" t="s">
        <v>79</v>
      </c>
      <c r="V6" s="43" t="s">
        <v>79</v>
      </c>
      <c r="W6" s="43" t="s">
        <v>79</v>
      </c>
      <c r="X6" s="43" t="s">
        <v>79</v>
      </c>
      <c r="Y6" s="43" t="s">
        <v>79</v>
      </c>
      <c r="Z6" s="43" t="s">
        <v>79</v>
      </c>
      <c r="AA6" s="43" t="s">
        <v>79</v>
      </c>
      <c r="AB6" s="43" t="s">
        <v>79</v>
      </c>
      <c r="AC6" s="43" t="s">
        <v>78</v>
      </c>
      <c r="AD6" s="43" t="s">
        <v>78</v>
      </c>
      <c r="AE6" s="43" t="s">
        <v>78</v>
      </c>
      <c r="AF6" s="43" t="s">
        <v>78</v>
      </c>
    </row>
    <row r="7" spans="1:37" x14ac:dyDescent="0.25">
      <c r="A7">
        <v>0</v>
      </c>
      <c r="B7">
        <v>1.6E-2</v>
      </c>
      <c r="C7">
        <v>8.0000000000000002E-3</v>
      </c>
      <c r="D7">
        <v>0</v>
      </c>
      <c r="E7">
        <v>2E-3</v>
      </c>
      <c r="F7">
        <v>2E-3</v>
      </c>
      <c r="G7">
        <v>0.01</v>
      </c>
      <c r="H7">
        <v>2.7E-2</v>
      </c>
      <c r="I7" s="44">
        <v>1E-8</v>
      </c>
      <c r="J7" s="44">
        <v>1.0000000000000001E-5</v>
      </c>
      <c r="K7">
        <v>384</v>
      </c>
      <c r="L7">
        <v>700</v>
      </c>
      <c r="M7">
        <v>713</v>
      </c>
      <c r="N7">
        <v>2.7E-2</v>
      </c>
      <c r="O7">
        <v>0</v>
      </c>
      <c r="P7">
        <v>9.0820000000000007</v>
      </c>
      <c r="Q7">
        <v>9.5429999999999993</v>
      </c>
      <c r="R7">
        <v>12.768000000000001</v>
      </c>
      <c r="S7">
        <v>0</v>
      </c>
      <c r="T7">
        <v>0</v>
      </c>
      <c r="U7">
        <v>0</v>
      </c>
      <c r="V7">
        <v>0</v>
      </c>
      <c r="W7">
        <v>0</v>
      </c>
      <c r="X7">
        <v>0</v>
      </c>
      <c r="Y7">
        <v>0</v>
      </c>
      <c r="Z7">
        <v>12.332000000000001</v>
      </c>
      <c r="AA7">
        <v>0</v>
      </c>
      <c r="AB7">
        <v>0</v>
      </c>
      <c r="AC7">
        <v>3.4094300000000002E-3</v>
      </c>
      <c r="AD7">
        <v>7.1999999999999998E-3</v>
      </c>
      <c r="AE7">
        <v>7.0000000000000001E-3</v>
      </c>
      <c r="AF7">
        <v>1.2999999999999999E-2</v>
      </c>
    </row>
    <row r="8" spans="1:37" x14ac:dyDescent="0.25">
      <c r="A8">
        <v>732</v>
      </c>
      <c r="B8">
        <v>1.6E-2</v>
      </c>
      <c r="C8">
        <v>8.0000000000000002E-3</v>
      </c>
      <c r="D8">
        <v>0</v>
      </c>
      <c r="E8">
        <v>2E-3</v>
      </c>
      <c r="F8">
        <v>2E-3</v>
      </c>
      <c r="G8">
        <v>0.01</v>
      </c>
      <c r="H8">
        <v>2.7E-2</v>
      </c>
      <c r="I8" s="44">
        <v>1E-8</v>
      </c>
      <c r="J8" s="44">
        <v>1.0000000000000001E-5</v>
      </c>
      <c r="K8">
        <v>384</v>
      </c>
      <c r="L8">
        <v>700</v>
      </c>
      <c r="M8">
        <v>713</v>
      </c>
      <c r="N8">
        <v>2.7E-2</v>
      </c>
      <c r="O8">
        <v>0</v>
      </c>
      <c r="P8">
        <v>9.0820000000000007</v>
      </c>
      <c r="Q8">
        <v>9.5429999999999993</v>
      </c>
      <c r="R8">
        <v>12.768000000000001</v>
      </c>
      <c r="S8">
        <v>0</v>
      </c>
      <c r="T8">
        <v>0</v>
      </c>
      <c r="U8">
        <v>0</v>
      </c>
      <c r="V8">
        <v>0</v>
      </c>
      <c r="W8">
        <v>0</v>
      </c>
      <c r="X8">
        <v>0</v>
      </c>
      <c r="Y8">
        <v>0</v>
      </c>
      <c r="Z8">
        <v>12.332000000000001</v>
      </c>
      <c r="AA8">
        <v>0</v>
      </c>
      <c r="AB8">
        <v>0</v>
      </c>
      <c r="AC8">
        <v>3.4094300000000002E-3</v>
      </c>
      <c r="AD8">
        <v>7.1999999999999998E-3</v>
      </c>
      <c r="AE8">
        <v>7.0000000000000001E-3</v>
      </c>
      <c r="AF8">
        <v>1.2999999999999999E-2</v>
      </c>
    </row>
    <row r="10" spans="1:37" x14ac:dyDescent="0.25">
      <c r="A10" t="s">
        <v>4636</v>
      </c>
    </row>
    <row r="11" spans="1:37" x14ac:dyDescent="0.25">
      <c r="A11">
        <v>1</v>
      </c>
      <c r="B11">
        <f>1+A11</f>
        <v>2</v>
      </c>
      <c r="C11">
        <f t="shared" ref="C11:AF12" si="2">1+B11</f>
        <v>3</v>
      </c>
      <c r="D11">
        <f t="shared" si="2"/>
        <v>4</v>
      </c>
      <c r="E11">
        <f t="shared" si="2"/>
        <v>5</v>
      </c>
      <c r="F11">
        <f t="shared" si="2"/>
        <v>6</v>
      </c>
      <c r="G11">
        <f t="shared" si="2"/>
        <v>7</v>
      </c>
      <c r="H11">
        <f t="shared" si="2"/>
        <v>8</v>
      </c>
      <c r="I11">
        <f t="shared" si="2"/>
        <v>9</v>
      </c>
      <c r="J11">
        <f t="shared" si="2"/>
        <v>10</v>
      </c>
      <c r="K11">
        <f t="shared" si="2"/>
        <v>11</v>
      </c>
      <c r="L11">
        <f t="shared" si="2"/>
        <v>12</v>
      </c>
      <c r="M11">
        <f t="shared" si="2"/>
        <v>13</v>
      </c>
      <c r="N11">
        <f t="shared" si="2"/>
        <v>14</v>
      </c>
      <c r="O11">
        <f t="shared" si="2"/>
        <v>15</v>
      </c>
      <c r="P11">
        <f t="shared" si="2"/>
        <v>16</v>
      </c>
      <c r="Q11">
        <f t="shared" si="2"/>
        <v>17</v>
      </c>
      <c r="R11">
        <f t="shared" si="2"/>
        <v>18</v>
      </c>
      <c r="S11">
        <f t="shared" si="2"/>
        <v>19</v>
      </c>
      <c r="T11">
        <f t="shared" si="2"/>
        <v>20</v>
      </c>
      <c r="U11">
        <f t="shared" si="2"/>
        <v>21</v>
      </c>
      <c r="V11">
        <f t="shared" si="2"/>
        <v>22</v>
      </c>
      <c r="W11">
        <f t="shared" si="2"/>
        <v>23</v>
      </c>
      <c r="X11">
        <f t="shared" si="2"/>
        <v>24</v>
      </c>
      <c r="Y11">
        <f t="shared" si="2"/>
        <v>25</v>
      </c>
      <c r="Z11">
        <f t="shared" si="2"/>
        <v>26</v>
      </c>
      <c r="AA11">
        <f t="shared" si="2"/>
        <v>27</v>
      </c>
      <c r="AB11">
        <f t="shared" si="2"/>
        <v>28</v>
      </c>
      <c r="AC11">
        <f t="shared" si="2"/>
        <v>29</v>
      </c>
      <c r="AD11">
        <f t="shared" si="2"/>
        <v>30</v>
      </c>
      <c r="AE11">
        <f t="shared" si="2"/>
        <v>31</v>
      </c>
      <c r="AF11">
        <f t="shared" si="2"/>
        <v>32</v>
      </c>
      <c r="AG11" t="s">
        <v>4637</v>
      </c>
    </row>
    <row r="12" spans="1:37" x14ac:dyDescent="0.25">
      <c r="B12">
        <v>1</v>
      </c>
      <c r="C12">
        <f>1+B12</f>
        <v>2</v>
      </c>
      <c r="D12">
        <f t="shared" si="2"/>
        <v>3</v>
      </c>
      <c r="E12">
        <f t="shared" si="2"/>
        <v>4</v>
      </c>
      <c r="F12">
        <f t="shared" si="2"/>
        <v>5</v>
      </c>
      <c r="G12">
        <f t="shared" si="2"/>
        <v>6</v>
      </c>
      <c r="H12">
        <f t="shared" si="2"/>
        <v>7</v>
      </c>
      <c r="I12">
        <f t="shared" si="2"/>
        <v>8</v>
      </c>
      <c r="J12">
        <f t="shared" si="2"/>
        <v>9</v>
      </c>
      <c r="K12">
        <f t="shared" si="2"/>
        <v>10</v>
      </c>
      <c r="L12">
        <f t="shared" si="2"/>
        <v>11</v>
      </c>
      <c r="M12">
        <f t="shared" si="2"/>
        <v>12</v>
      </c>
      <c r="N12">
        <f t="shared" si="2"/>
        <v>13</v>
      </c>
      <c r="O12">
        <f t="shared" si="2"/>
        <v>14</v>
      </c>
      <c r="P12">
        <f t="shared" si="2"/>
        <v>15</v>
      </c>
      <c r="Q12">
        <f t="shared" si="2"/>
        <v>16</v>
      </c>
      <c r="R12">
        <f t="shared" si="2"/>
        <v>17</v>
      </c>
      <c r="S12">
        <f t="shared" si="2"/>
        <v>18</v>
      </c>
      <c r="T12">
        <f t="shared" si="2"/>
        <v>19</v>
      </c>
      <c r="U12">
        <f t="shared" si="2"/>
        <v>20</v>
      </c>
      <c r="V12">
        <f t="shared" si="2"/>
        <v>21</v>
      </c>
      <c r="W12">
        <f t="shared" si="2"/>
        <v>22</v>
      </c>
      <c r="X12">
        <f t="shared" si="2"/>
        <v>23</v>
      </c>
      <c r="Y12">
        <f t="shared" si="2"/>
        <v>24</v>
      </c>
      <c r="Z12">
        <f t="shared" si="2"/>
        <v>25</v>
      </c>
      <c r="AA12">
        <f t="shared" si="2"/>
        <v>26</v>
      </c>
      <c r="AB12">
        <f t="shared" si="2"/>
        <v>27</v>
      </c>
      <c r="AC12">
        <f t="shared" si="2"/>
        <v>28</v>
      </c>
      <c r="AD12">
        <f t="shared" si="2"/>
        <v>29</v>
      </c>
      <c r="AE12">
        <f t="shared" si="2"/>
        <v>30</v>
      </c>
      <c r="AF12">
        <f t="shared" si="2"/>
        <v>31</v>
      </c>
      <c r="AG12" t="s">
        <v>4638</v>
      </c>
    </row>
    <row r="13" spans="1:37" ht="19.5" x14ac:dyDescent="0.35">
      <c r="A13" s="41" t="s">
        <v>4585</v>
      </c>
      <c r="B13" s="38" t="s">
        <v>4608</v>
      </c>
      <c r="C13" s="38" t="s">
        <v>4609</v>
      </c>
      <c r="D13" s="38" t="s">
        <v>4610</v>
      </c>
      <c r="E13" s="38" t="s">
        <v>4611</v>
      </c>
      <c r="F13" s="38" t="s">
        <v>4612</v>
      </c>
      <c r="G13" s="38" t="s">
        <v>4613</v>
      </c>
      <c r="H13" s="38" t="s">
        <v>4614</v>
      </c>
      <c r="I13" s="38" t="s">
        <v>4615</v>
      </c>
      <c r="J13" s="38" t="s">
        <v>4616</v>
      </c>
      <c r="K13" s="38" t="s">
        <v>4617</v>
      </c>
      <c r="L13" s="38" t="s">
        <v>4618</v>
      </c>
      <c r="M13" s="38" t="s">
        <v>346</v>
      </c>
      <c r="N13" s="38" t="s">
        <v>4619</v>
      </c>
      <c r="O13" s="38" t="s">
        <v>4620</v>
      </c>
      <c r="P13" s="38" t="s">
        <v>4621</v>
      </c>
      <c r="Q13" s="38" t="s">
        <v>4622</v>
      </c>
      <c r="R13" s="38" t="s">
        <v>4623</v>
      </c>
      <c r="S13" s="38" t="s">
        <v>4624</v>
      </c>
      <c r="T13" s="38" t="s">
        <v>4625</v>
      </c>
      <c r="U13" s="38" t="s">
        <v>4626</v>
      </c>
      <c r="V13" s="38" t="s">
        <v>4627</v>
      </c>
      <c r="W13" s="38" t="s">
        <v>4628</v>
      </c>
      <c r="X13" s="38" t="s">
        <v>4629</v>
      </c>
      <c r="Y13" s="38" t="s">
        <v>4630</v>
      </c>
      <c r="Z13" s="38" t="s">
        <v>4631</v>
      </c>
      <c r="AA13" s="38" t="s">
        <v>4632</v>
      </c>
      <c r="AB13" s="38" t="s">
        <v>65</v>
      </c>
      <c r="AC13" s="38" t="s">
        <v>4633</v>
      </c>
      <c r="AD13" s="38" t="s">
        <v>4634</v>
      </c>
      <c r="AE13" s="38" t="s">
        <v>48</v>
      </c>
      <c r="AF13" s="38" t="s">
        <v>49</v>
      </c>
      <c r="AG13" s="49" t="s">
        <v>4624</v>
      </c>
      <c r="AH13">
        <v>3.0456799999999999</v>
      </c>
      <c r="AI13">
        <f>ROUND(AH13,3)</f>
        <v>3.0459999999999998</v>
      </c>
      <c r="AK13" t="str">
        <f t="shared" ref="AK13:AK47" si="3">_xlfn.CONCAT(AG13,"=",AI13,",")</f>
        <v>xsu=3.046,</v>
      </c>
    </row>
    <row r="14" spans="1:37" x14ac:dyDescent="0.25">
      <c r="A14" s="41" t="s">
        <v>4599</v>
      </c>
      <c r="B14" s="43" t="s">
        <v>79</v>
      </c>
      <c r="C14" s="43" t="s">
        <v>79</v>
      </c>
      <c r="D14" s="43" t="s">
        <v>79</v>
      </c>
      <c r="E14" s="43" t="s">
        <v>79</v>
      </c>
      <c r="F14" s="43" t="s">
        <v>79</v>
      </c>
      <c r="G14" s="43" t="s">
        <v>79</v>
      </c>
      <c r="H14" s="43" t="s">
        <v>79</v>
      </c>
      <c r="I14" s="43" t="s">
        <v>79</v>
      </c>
      <c r="J14" s="43" t="s">
        <v>79</v>
      </c>
      <c r="K14" s="38" t="s">
        <v>4635</v>
      </c>
      <c r="L14" s="38" t="s">
        <v>75</v>
      </c>
      <c r="M14" s="38" t="s">
        <v>76</v>
      </c>
      <c r="N14" s="43" t="s">
        <v>79</v>
      </c>
      <c r="O14" s="43" t="s">
        <v>79</v>
      </c>
      <c r="P14" s="43" t="s">
        <v>79</v>
      </c>
      <c r="Q14" s="43" t="s">
        <v>79</v>
      </c>
      <c r="R14" s="43" t="s">
        <v>79</v>
      </c>
      <c r="S14" s="43" t="s">
        <v>79</v>
      </c>
      <c r="T14" s="43" t="s">
        <v>79</v>
      </c>
      <c r="U14" s="43" t="s">
        <v>79</v>
      </c>
      <c r="V14" s="43" t="s">
        <v>79</v>
      </c>
      <c r="W14" s="43" t="s">
        <v>79</v>
      </c>
      <c r="X14" s="43" t="s">
        <v>79</v>
      </c>
      <c r="Y14" s="43" t="s">
        <v>79</v>
      </c>
      <c r="Z14" s="43" t="s">
        <v>79</v>
      </c>
      <c r="AA14" s="43" t="s">
        <v>79</v>
      </c>
      <c r="AB14" s="43" t="s">
        <v>79</v>
      </c>
      <c r="AC14" s="43" t="s">
        <v>78</v>
      </c>
      <c r="AD14" s="43" t="s">
        <v>78</v>
      </c>
      <c r="AE14" s="43" t="s">
        <v>78</v>
      </c>
      <c r="AF14" s="43" t="s">
        <v>78</v>
      </c>
      <c r="AG14" s="49" t="s">
        <v>4625</v>
      </c>
      <c r="AH14">
        <v>0.67666999999999999</v>
      </c>
      <c r="AI14">
        <f t="shared" ref="AI14:AI38" si="4">ROUND(AH14,3)</f>
        <v>0.67700000000000005</v>
      </c>
      <c r="AK14" t="str">
        <f t="shared" si="3"/>
        <v>xaa=0.677,</v>
      </c>
    </row>
    <row r="15" spans="1:37" x14ac:dyDescent="0.25">
      <c r="A15">
        <v>0</v>
      </c>
      <c r="B15">
        <v>0</v>
      </c>
      <c r="C15">
        <v>0</v>
      </c>
      <c r="D15">
        <v>0</v>
      </c>
      <c r="E15">
        <v>0</v>
      </c>
      <c r="F15">
        <v>0</v>
      </c>
      <c r="G15">
        <v>0</v>
      </c>
      <c r="H15">
        <v>0.4</v>
      </c>
      <c r="I15" s="44">
        <v>0</v>
      </c>
      <c r="J15" s="44">
        <v>0</v>
      </c>
      <c r="K15">
        <v>2000</v>
      </c>
      <c r="L15">
        <v>4000</v>
      </c>
      <c r="M15">
        <v>500</v>
      </c>
      <c r="N15">
        <v>0</v>
      </c>
      <c r="O15">
        <v>0</v>
      </c>
      <c r="P15">
        <v>0</v>
      </c>
      <c r="Q15">
        <v>0</v>
      </c>
      <c r="R15">
        <v>0</v>
      </c>
      <c r="S15">
        <v>0</v>
      </c>
      <c r="T15">
        <v>0</v>
      </c>
      <c r="U15">
        <v>0</v>
      </c>
      <c r="V15">
        <v>0</v>
      </c>
      <c r="W15">
        <v>0</v>
      </c>
      <c r="X15">
        <v>0</v>
      </c>
      <c r="Y15">
        <v>0</v>
      </c>
      <c r="Z15">
        <v>0</v>
      </c>
      <c r="AA15">
        <v>0</v>
      </c>
      <c r="AB15">
        <v>0</v>
      </c>
      <c r="AC15">
        <v>3.4094300000000002E-3</v>
      </c>
      <c r="AD15">
        <v>7.1999999999999998E-3</v>
      </c>
      <c r="AE15">
        <v>5.1999999999999998E-2</v>
      </c>
      <c r="AF15">
        <v>2.5999999999999999E-2</v>
      </c>
      <c r="AG15" t="s">
        <v>4639</v>
      </c>
      <c r="AH15">
        <v>0.340835</v>
      </c>
      <c r="AI15">
        <f t="shared" si="4"/>
        <v>0.34100000000000003</v>
      </c>
      <c r="AK15" t="str">
        <f t="shared" si="3"/>
        <v>xfa=0.341,</v>
      </c>
    </row>
    <row r="16" spans="1:37" x14ac:dyDescent="0.25">
      <c r="A16">
        <v>1000</v>
      </c>
      <c r="B16">
        <v>0</v>
      </c>
      <c r="C16">
        <v>0</v>
      </c>
      <c r="D16">
        <v>0</v>
      </c>
      <c r="E16">
        <v>0</v>
      </c>
      <c r="F16">
        <v>0</v>
      </c>
      <c r="G16">
        <v>0</v>
      </c>
      <c r="H16">
        <v>0.4</v>
      </c>
      <c r="I16" s="44">
        <v>0</v>
      </c>
      <c r="J16" s="44">
        <v>0</v>
      </c>
      <c r="K16">
        <v>2000</v>
      </c>
      <c r="L16">
        <v>4000</v>
      </c>
      <c r="M16">
        <v>500</v>
      </c>
      <c r="N16">
        <v>0</v>
      </c>
      <c r="O16">
        <v>0</v>
      </c>
      <c r="P16">
        <v>0</v>
      </c>
      <c r="Q16">
        <v>0</v>
      </c>
      <c r="R16">
        <v>0</v>
      </c>
      <c r="S16">
        <v>0</v>
      </c>
      <c r="T16">
        <v>0</v>
      </c>
      <c r="U16">
        <v>0</v>
      </c>
      <c r="V16">
        <v>0</v>
      </c>
      <c r="W16">
        <v>0</v>
      </c>
      <c r="X16">
        <v>0</v>
      </c>
      <c r="Y16">
        <v>0</v>
      </c>
      <c r="Z16">
        <v>0</v>
      </c>
      <c r="AA16">
        <v>0</v>
      </c>
      <c r="AB16">
        <v>0</v>
      </c>
      <c r="AC16">
        <v>3.4094300000000002E-3</v>
      </c>
      <c r="AD16">
        <v>7.1999999999999998E-3</v>
      </c>
      <c r="AE16">
        <v>5.1999999999999998E-2</v>
      </c>
      <c r="AF16">
        <v>2.5999999999999999E-2</v>
      </c>
      <c r="AG16" t="s">
        <v>4640</v>
      </c>
      <c r="AH16">
        <v>0.55785899999999999</v>
      </c>
      <c r="AI16">
        <f t="shared" si="4"/>
        <v>0.55800000000000005</v>
      </c>
      <c r="AK16" t="str">
        <f t="shared" si="3"/>
        <v>xc4=0.558,</v>
      </c>
    </row>
    <row r="17" spans="33:37" x14ac:dyDescent="0.25">
      <c r="AG17" t="s">
        <v>4641</v>
      </c>
      <c r="AH17">
        <v>0.36488999999999999</v>
      </c>
      <c r="AI17">
        <f t="shared" si="4"/>
        <v>0.36499999999999999</v>
      </c>
      <c r="AK17" t="str">
        <f t="shared" si="3"/>
        <v>xpro=0.365,</v>
      </c>
    </row>
    <row r="18" spans="33:37" x14ac:dyDescent="0.25">
      <c r="AG18" t="s">
        <v>4642</v>
      </c>
      <c r="AH18">
        <v>1.54389</v>
      </c>
      <c r="AI18">
        <f t="shared" si="4"/>
        <v>1.544</v>
      </c>
      <c r="AK18" t="str">
        <f t="shared" si="3"/>
        <v>xac=1.544,</v>
      </c>
    </row>
    <row r="19" spans="33:37" x14ac:dyDescent="0.25">
      <c r="AG19" t="s">
        <v>4643</v>
      </c>
      <c r="AH19">
        <v>0.72709299999999999</v>
      </c>
      <c r="AI19">
        <f t="shared" si="4"/>
        <v>0.72699999999999998</v>
      </c>
      <c r="AK19" t="str">
        <f t="shared" si="3"/>
        <v>xh2=0.727,</v>
      </c>
    </row>
    <row r="20" spans="33:37" x14ac:dyDescent="0.25">
      <c r="AG20" t="s">
        <v>4644</v>
      </c>
      <c r="AH20" s="44">
        <v>1.2719899999999999E-28</v>
      </c>
      <c r="AI20">
        <f t="shared" si="4"/>
        <v>0</v>
      </c>
      <c r="AK20" t="str">
        <f t="shared" si="3"/>
        <v>xc =0,</v>
      </c>
    </row>
    <row r="21" spans="33:37" x14ac:dyDescent="0.25">
      <c r="AG21" t="s">
        <v>4645</v>
      </c>
      <c r="AH21">
        <v>37.9831</v>
      </c>
      <c r="AI21">
        <f t="shared" si="4"/>
        <v>37.982999999999997</v>
      </c>
      <c r="AK21" t="str">
        <f t="shared" si="3"/>
        <v>xi=37.983,</v>
      </c>
    </row>
    <row r="22" spans="33:37" x14ac:dyDescent="0.25">
      <c r="AG22" t="s">
        <v>4646</v>
      </c>
      <c r="AH22">
        <v>1.1613100000000001</v>
      </c>
      <c r="AI22">
        <f t="shared" si="4"/>
        <v>1.161</v>
      </c>
      <c r="AK22" t="str">
        <f t="shared" si="3"/>
        <v>xchr=1.161,</v>
      </c>
    </row>
    <row r="23" spans="33:37" x14ac:dyDescent="0.25">
      <c r="AG23" t="s">
        <v>4647</v>
      </c>
      <c r="AH23">
        <v>0.95308400000000004</v>
      </c>
      <c r="AI23">
        <f t="shared" si="4"/>
        <v>0.95299999999999996</v>
      </c>
      <c r="AK23" t="str">
        <f t="shared" si="3"/>
        <v>xchm=0.953,</v>
      </c>
    </row>
    <row r="24" spans="33:37" x14ac:dyDescent="0.25">
      <c r="AG24" t="s">
        <v>4648</v>
      </c>
      <c r="AH24">
        <v>14.264900000000001</v>
      </c>
      <c r="AI24">
        <f t="shared" si="4"/>
        <v>14.265000000000001</v>
      </c>
      <c r="AK24" t="str">
        <f t="shared" si="3"/>
        <v>xchs=14.265,</v>
      </c>
    </row>
    <row r="25" spans="33:37" x14ac:dyDescent="0.25">
      <c r="AG25" t="s">
        <v>4649</v>
      </c>
      <c r="AH25">
        <v>0.21207400000000001</v>
      </c>
      <c r="AI25">
        <f t="shared" si="4"/>
        <v>0.21199999999999999</v>
      </c>
      <c r="AK25" t="str">
        <f t="shared" si="3"/>
        <v>xprr=0.212,</v>
      </c>
    </row>
    <row r="26" spans="33:37" x14ac:dyDescent="0.25">
      <c r="AG26" t="s">
        <v>4650</v>
      </c>
      <c r="AH26">
        <v>1.1960900000000001</v>
      </c>
      <c r="AI26">
        <f t="shared" si="4"/>
        <v>1.196</v>
      </c>
      <c r="AK26" t="str">
        <f t="shared" si="3"/>
        <v>xprs=1.196,</v>
      </c>
    </row>
    <row r="27" spans="33:37" x14ac:dyDescent="0.25">
      <c r="AG27" t="s">
        <v>4623</v>
      </c>
      <c r="AH27">
        <v>1.01529</v>
      </c>
      <c r="AI27">
        <f t="shared" si="4"/>
        <v>1.0149999999999999</v>
      </c>
      <c r="AK27" t="str">
        <f t="shared" si="3"/>
        <v>xli=1.015,</v>
      </c>
    </row>
    <row r="28" spans="33:37" x14ac:dyDescent="0.25">
      <c r="AG28" t="s">
        <v>4651</v>
      </c>
      <c r="AH28">
        <v>0.59170599999999995</v>
      </c>
      <c r="AI28">
        <f t="shared" si="4"/>
        <v>0.59199999999999997</v>
      </c>
      <c r="AK28" t="str">
        <f t="shared" si="3"/>
        <v>xp=0.592,</v>
      </c>
    </row>
    <row r="29" spans="33:37" x14ac:dyDescent="0.25">
      <c r="AG29" t="s">
        <v>4619</v>
      </c>
      <c r="AH29">
        <v>0.147927</v>
      </c>
      <c r="AI29">
        <f t="shared" si="4"/>
        <v>0.14799999999999999</v>
      </c>
      <c r="AK29" t="str">
        <f t="shared" si="3"/>
        <v>si=0.148,</v>
      </c>
    </row>
    <row r="30" spans="33:37" x14ac:dyDescent="0.25">
      <c r="AG30" t="s">
        <v>4608</v>
      </c>
      <c r="AH30">
        <v>2.98357E-2</v>
      </c>
      <c r="AI30">
        <f t="shared" si="4"/>
        <v>0.03</v>
      </c>
      <c r="AK30" t="str">
        <f t="shared" si="3"/>
        <v>su=0.03,</v>
      </c>
    </row>
    <row r="31" spans="33:37" x14ac:dyDescent="0.25">
      <c r="AG31" t="s">
        <v>4609</v>
      </c>
      <c r="AH31">
        <v>3.1604300000000002E-2</v>
      </c>
      <c r="AI31">
        <f t="shared" si="4"/>
        <v>3.2000000000000001E-2</v>
      </c>
      <c r="AK31" t="str">
        <f t="shared" si="3"/>
        <v>aa=0.032,</v>
      </c>
    </row>
    <row r="32" spans="33:37" x14ac:dyDescent="0.25">
      <c r="AG32" t="s">
        <v>4610</v>
      </c>
      <c r="AH32">
        <v>5.6535299999999997E-2</v>
      </c>
      <c r="AI32">
        <f t="shared" si="4"/>
        <v>5.7000000000000002E-2</v>
      </c>
      <c r="AK32" t="str">
        <f t="shared" si="3"/>
        <v>fa=0.057,</v>
      </c>
    </row>
    <row r="33" spans="33:37" x14ac:dyDescent="0.25">
      <c r="AG33" t="s">
        <v>4611</v>
      </c>
      <c r="AH33">
        <v>4.6228700000000003E-3</v>
      </c>
      <c r="AI33">
        <f t="shared" si="4"/>
        <v>5.0000000000000001E-3</v>
      </c>
      <c r="AK33" t="str">
        <f t="shared" si="3"/>
        <v>va=0.005,</v>
      </c>
    </row>
    <row r="34" spans="33:37" x14ac:dyDescent="0.25">
      <c r="AG34" t="s">
        <v>4612</v>
      </c>
      <c r="AH34">
        <v>8.3790700000000006E-3</v>
      </c>
      <c r="AI34">
        <f t="shared" si="4"/>
        <v>8.0000000000000002E-3</v>
      </c>
      <c r="AK34" t="str">
        <f t="shared" si="3"/>
        <v>bu=0.008,</v>
      </c>
    </row>
    <row r="35" spans="33:37" x14ac:dyDescent="0.25">
      <c r="AG35" t="s">
        <v>4613</v>
      </c>
      <c r="AH35">
        <v>6.5303899999999998E-2</v>
      </c>
      <c r="AI35">
        <f t="shared" si="4"/>
        <v>6.5000000000000002E-2</v>
      </c>
      <c r="AK35" t="str">
        <f t="shared" si="3"/>
        <v>pro=0.065,</v>
      </c>
    </row>
    <row r="36" spans="33:37" x14ac:dyDescent="0.25">
      <c r="AG36" t="s">
        <v>4614</v>
      </c>
      <c r="AH36">
        <v>0.55673600000000001</v>
      </c>
      <c r="AI36">
        <f t="shared" si="4"/>
        <v>0.55700000000000005</v>
      </c>
      <c r="AK36" t="str">
        <f t="shared" si="3"/>
        <v>ac=0.557,</v>
      </c>
    </row>
    <row r="37" spans="33:37" x14ac:dyDescent="0.25">
      <c r="AG37" t="s">
        <v>4615</v>
      </c>
      <c r="AH37" s="44">
        <v>8.2941800000000002E-7</v>
      </c>
      <c r="AI37">
        <f t="shared" si="4"/>
        <v>0</v>
      </c>
      <c r="AK37" t="str">
        <f t="shared" si="3"/>
        <v>h2=0,</v>
      </c>
    </row>
    <row r="38" spans="33:37" x14ac:dyDescent="0.25">
      <c r="AG38" t="s">
        <v>4616</v>
      </c>
      <c r="AH38">
        <v>5.7056099999999998E-2</v>
      </c>
      <c r="AI38">
        <f t="shared" si="4"/>
        <v>5.7000000000000002E-2</v>
      </c>
      <c r="AK38" t="str">
        <f t="shared" si="3"/>
        <v>ch4=0.057,</v>
      </c>
    </row>
    <row r="39" spans="33:37" x14ac:dyDescent="0.25">
      <c r="AG39" t="s">
        <v>4617</v>
      </c>
      <c r="AH39">
        <v>0.22855900000000001</v>
      </c>
      <c r="AI39">
        <f>ROUND(AH39*12*1000,3)</f>
        <v>2742.7080000000001</v>
      </c>
      <c r="AK39" t="str">
        <f t="shared" si="3"/>
        <v>tic=2742.708,</v>
      </c>
    </row>
    <row r="40" spans="33:37" x14ac:dyDescent="0.25">
      <c r="AG40" t="s">
        <v>4618</v>
      </c>
      <c r="AH40">
        <v>0.14468200000000001</v>
      </c>
      <c r="AI40">
        <f>ROUND(AH40*14*1000,3)</f>
        <v>2025.548</v>
      </c>
      <c r="AK40" t="str">
        <f t="shared" si="3"/>
        <v>tan=2025.548,</v>
      </c>
    </row>
    <row r="41" spans="33:37" x14ac:dyDescent="0.25">
      <c r="AG41" t="s">
        <v>4652</v>
      </c>
      <c r="AH41">
        <v>4.7808700000000004E-3</v>
      </c>
      <c r="AI41">
        <f>ROUND(AH41*31*1000,3)</f>
        <v>148.20699999999999</v>
      </c>
      <c r="AK41" t="str">
        <f t="shared" si="3"/>
        <v>ortop=148.207,</v>
      </c>
    </row>
    <row r="42" spans="33:37" x14ac:dyDescent="0.25">
      <c r="AG42" t="s">
        <v>4653</v>
      </c>
      <c r="AH42">
        <v>0.112651</v>
      </c>
      <c r="AI42">
        <f>ROUND(AH42,3)</f>
        <v>0.113</v>
      </c>
      <c r="AK42" t="str">
        <f t="shared" si="3"/>
        <v>cat=0.113,</v>
      </c>
    </row>
    <row r="43" spans="33:37" x14ac:dyDescent="0.25">
      <c r="AG43" t="s">
        <v>4654</v>
      </c>
      <c r="AH43" s="44">
        <v>3.2938400000000003E-5</v>
      </c>
      <c r="AI43">
        <f t="shared" ref="AI43:AI55" si="5">ROUND(AH43,3)</f>
        <v>0</v>
      </c>
      <c r="AK43" t="str">
        <f t="shared" si="3"/>
        <v>ca =0,</v>
      </c>
    </row>
    <row r="44" spans="33:37" x14ac:dyDescent="0.25">
      <c r="AG44" t="s">
        <v>4655</v>
      </c>
      <c r="AH44" s="44">
        <v>5.5565200000000001E-5</v>
      </c>
      <c r="AI44">
        <f t="shared" si="5"/>
        <v>0</v>
      </c>
      <c r="AK44" t="str">
        <f t="shared" si="3"/>
        <v>mg=0,</v>
      </c>
    </row>
    <row r="45" spans="33:37" x14ac:dyDescent="0.25">
      <c r="AG45" t="s">
        <v>4656</v>
      </c>
      <c r="AH45">
        <v>1.4460499999999999E-2</v>
      </c>
      <c r="AI45">
        <f t="shared" si="5"/>
        <v>1.4E-2</v>
      </c>
      <c r="AK45" t="str">
        <f t="shared" si="3"/>
        <v>an=0.014,</v>
      </c>
    </row>
    <row r="46" spans="33:37" x14ac:dyDescent="0.25">
      <c r="AG46" t="s">
        <v>4657</v>
      </c>
      <c r="AH46">
        <v>19.650500000000001</v>
      </c>
      <c r="AI46">
        <f t="shared" si="5"/>
        <v>19.651</v>
      </c>
      <c r="AK46" t="str">
        <f t="shared" si="3"/>
        <v>ash=19.651,</v>
      </c>
    </row>
    <row r="47" spans="33:37" x14ac:dyDescent="0.25">
      <c r="AG47" t="s">
        <v>4658</v>
      </c>
      <c r="AH47">
        <v>14.4374</v>
      </c>
      <c r="AI47">
        <f t="shared" si="5"/>
        <v>14.436999999999999</v>
      </c>
      <c r="AK47" t="str">
        <f t="shared" si="3"/>
        <v>xlig=14.437,</v>
      </c>
    </row>
    <row r="48" spans="33:37" x14ac:dyDescent="0.25">
      <c r="AH48" s="44">
        <v>2.8557299999999998E-5</v>
      </c>
      <c r="AI48">
        <f t="shared" si="5"/>
        <v>0</v>
      </c>
    </row>
    <row r="49" spans="33:35" x14ac:dyDescent="0.25">
      <c r="AH49">
        <v>1.27199</v>
      </c>
      <c r="AI49">
        <f t="shared" si="5"/>
        <v>1.272</v>
      </c>
    </row>
    <row r="50" spans="33:35" x14ac:dyDescent="0.25">
      <c r="AH50">
        <v>1.65083E-2</v>
      </c>
      <c r="AI50">
        <f t="shared" si="5"/>
        <v>1.7000000000000001E-2</v>
      </c>
    </row>
    <row r="51" spans="33:35" x14ac:dyDescent="0.25">
      <c r="AH51" s="44">
        <v>3.3699499999999998E-6</v>
      </c>
      <c r="AI51">
        <f t="shared" si="5"/>
        <v>0</v>
      </c>
    </row>
    <row r="52" spans="33:35" x14ac:dyDescent="0.25">
      <c r="AG52" t="s">
        <v>4659</v>
      </c>
      <c r="AH52" s="44">
        <v>1.38933E-11</v>
      </c>
      <c r="AI52">
        <f t="shared" si="5"/>
        <v>0</v>
      </c>
    </row>
    <row r="53" spans="33:35" x14ac:dyDescent="0.25">
      <c r="AG53" t="s">
        <v>4660</v>
      </c>
      <c r="AH53">
        <v>9.3457699999999998E-3</v>
      </c>
      <c r="AI53">
        <f t="shared" si="5"/>
        <v>8.9999999999999993E-3</v>
      </c>
    </row>
    <row r="54" spans="33:35" x14ac:dyDescent="0.25">
      <c r="AG54" t="s">
        <v>4661</v>
      </c>
      <c r="AH54">
        <v>5.0322400000000003E-3</v>
      </c>
      <c r="AI54">
        <f t="shared" si="5"/>
        <v>5.0000000000000001E-3</v>
      </c>
    </row>
    <row r="55" spans="33:35" x14ac:dyDescent="0.25">
      <c r="AG55" t="s">
        <v>4662</v>
      </c>
      <c r="AH55" s="44">
        <v>2.1447699999999998E-9</v>
      </c>
      <c r="AI55">
        <f t="shared" si="5"/>
        <v>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CB514-D9DC-40B7-BE4C-FB11EB1FAD18}">
  <dimension ref="A1:AQ184"/>
  <sheetViews>
    <sheetView zoomScale="70" zoomScaleNormal="70" workbookViewId="0">
      <pane xSplit="1" ySplit="2" topLeftCell="O160" activePane="bottomRight" state="frozen"/>
      <selection pane="topRight" activeCell="B1" sqref="B1"/>
      <selection pane="bottomLeft" activeCell="A3" sqref="A3"/>
      <selection pane="bottomRight" activeCell="V175" sqref="V175"/>
    </sheetView>
  </sheetViews>
  <sheetFormatPr defaultRowHeight="15" x14ac:dyDescent="0.25"/>
  <cols>
    <col min="1" max="1" width="86.42578125" bestFit="1" customWidth="1"/>
    <col min="2" max="3" width="12" bestFit="1" customWidth="1"/>
    <col min="10" max="13" width="12" bestFit="1" customWidth="1"/>
    <col min="14" max="14" width="11" bestFit="1" customWidth="1"/>
    <col min="18" max="19" width="11" bestFit="1" customWidth="1"/>
    <col min="21" max="21" width="11" bestFit="1" customWidth="1"/>
    <col min="26" max="26" width="11" bestFit="1" customWidth="1"/>
    <col min="28" max="32" width="12" bestFit="1" customWidth="1"/>
    <col min="34" max="34" width="12" bestFit="1" customWidth="1"/>
    <col min="35" max="35" width="12.7109375" bestFit="1" customWidth="1"/>
    <col min="36" max="36" width="12" bestFit="1" customWidth="1"/>
    <col min="37" max="37" width="11" bestFit="1" customWidth="1"/>
    <col min="38" max="39" width="12" bestFit="1" customWidth="1"/>
    <col min="40" max="41" width="11" bestFit="1" customWidth="1"/>
    <col min="42" max="43" width="12" bestFit="1" customWidth="1"/>
  </cols>
  <sheetData>
    <row r="1" spans="1:35" x14ac:dyDescent="0.25">
      <c r="A1" s="38" t="s">
        <v>4663</v>
      </c>
    </row>
    <row r="2" spans="1:35" x14ac:dyDescent="0.25">
      <c r="A2" s="38" t="s">
        <v>4664</v>
      </c>
    </row>
    <row r="3" spans="1:35" x14ac:dyDescent="0.25">
      <c r="A3">
        <v>1</v>
      </c>
      <c r="B3">
        <f>1+A3</f>
        <v>2</v>
      </c>
      <c r="C3">
        <f t="shared" ref="C3:R4" si="0">1+B3</f>
        <v>3</v>
      </c>
      <c r="D3">
        <f t="shared" si="0"/>
        <v>4</v>
      </c>
      <c r="E3">
        <f t="shared" si="0"/>
        <v>5</v>
      </c>
      <c r="F3">
        <f t="shared" si="0"/>
        <v>6</v>
      </c>
      <c r="G3">
        <f t="shared" si="0"/>
        <v>7</v>
      </c>
      <c r="H3">
        <f t="shared" si="0"/>
        <v>8</v>
      </c>
      <c r="I3">
        <f t="shared" si="0"/>
        <v>9</v>
      </c>
      <c r="J3">
        <f t="shared" si="0"/>
        <v>10</v>
      </c>
      <c r="K3">
        <f t="shared" si="0"/>
        <v>11</v>
      </c>
      <c r="L3">
        <f t="shared" si="0"/>
        <v>12</v>
      </c>
      <c r="M3">
        <f t="shared" si="0"/>
        <v>13</v>
      </c>
      <c r="N3">
        <f t="shared" si="0"/>
        <v>14</v>
      </c>
      <c r="O3">
        <f t="shared" si="0"/>
        <v>15</v>
      </c>
      <c r="P3">
        <f t="shared" si="0"/>
        <v>16</v>
      </c>
      <c r="Q3">
        <f t="shared" si="0"/>
        <v>17</v>
      </c>
      <c r="R3">
        <f t="shared" si="0"/>
        <v>18</v>
      </c>
      <c r="S3">
        <f t="shared" ref="S3:AA4" si="1">1+R3</f>
        <v>19</v>
      </c>
      <c r="T3">
        <f t="shared" si="1"/>
        <v>20</v>
      </c>
      <c r="U3">
        <f t="shared" si="1"/>
        <v>21</v>
      </c>
      <c r="V3">
        <f t="shared" si="1"/>
        <v>22</v>
      </c>
      <c r="W3">
        <f t="shared" si="1"/>
        <v>23</v>
      </c>
      <c r="X3">
        <f t="shared" si="1"/>
        <v>24</v>
      </c>
      <c r="Y3">
        <f t="shared" si="1"/>
        <v>25</v>
      </c>
      <c r="Z3">
        <f t="shared" si="1"/>
        <v>26</v>
      </c>
      <c r="AA3">
        <f t="shared" si="1"/>
        <v>27</v>
      </c>
    </row>
    <row r="4" spans="1:35" x14ac:dyDescent="0.25">
      <c r="B4">
        <v>1</v>
      </c>
      <c r="C4">
        <f>1+B4</f>
        <v>2</v>
      </c>
      <c r="D4">
        <f t="shared" si="0"/>
        <v>3</v>
      </c>
      <c r="E4">
        <f t="shared" si="0"/>
        <v>4</v>
      </c>
      <c r="F4">
        <f t="shared" si="0"/>
        <v>5</v>
      </c>
      <c r="G4">
        <f t="shared" si="0"/>
        <v>6</v>
      </c>
      <c r="H4">
        <f t="shared" si="0"/>
        <v>7</v>
      </c>
      <c r="I4">
        <f t="shared" si="0"/>
        <v>8</v>
      </c>
      <c r="J4">
        <f t="shared" si="0"/>
        <v>9</v>
      </c>
      <c r="K4">
        <f t="shared" si="0"/>
        <v>10</v>
      </c>
      <c r="L4">
        <f t="shared" si="0"/>
        <v>11</v>
      </c>
      <c r="M4">
        <f t="shared" si="0"/>
        <v>12</v>
      </c>
      <c r="N4">
        <f t="shared" si="0"/>
        <v>13</v>
      </c>
      <c r="O4">
        <f t="shared" si="0"/>
        <v>14</v>
      </c>
      <c r="P4">
        <f t="shared" si="0"/>
        <v>15</v>
      </c>
      <c r="Q4">
        <f t="shared" si="0"/>
        <v>16</v>
      </c>
      <c r="R4">
        <f t="shared" si="0"/>
        <v>17</v>
      </c>
      <c r="S4">
        <f t="shared" si="1"/>
        <v>18</v>
      </c>
      <c r="T4">
        <f t="shared" si="1"/>
        <v>19</v>
      </c>
      <c r="U4">
        <f t="shared" si="1"/>
        <v>20</v>
      </c>
      <c r="V4">
        <f t="shared" si="1"/>
        <v>21</v>
      </c>
      <c r="W4">
        <f t="shared" si="1"/>
        <v>22</v>
      </c>
      <c r="X4">
        <f t="shared" si="1"/>
        <v>23</v>
      </c>
      <c r="Y4">
        <f t="shared" si="1"/>
        <v>24</v>
      </c>
      <c r="Z4">
        <f t="shared" si="1"/>
        <v>25</v>
      </c>
      <c r="AA4">
        <f t="shared" si="1"/>
        <v>26</v>
      </c>
    </row>
    <row r="5" spans="1:35" x14ac:dyDescent="0.25">
      <c r="A5" s="41" t="s">
        <v>4585</v>
      </c>
      <c r="B5" s="38" t="s">
        <v>4</v>
      </c>
      <c r="C5" s="38" t="s">
        <v>42</v>
      </c>
      <c r="D5" s="38" t="s">
        <v>43</v>
      </c>
      <c r="E5" s="38" t="s">
        <v>342</v>
      </c>
      <c r="F5" s="38" t="s">
        <v>345</v>
      </c>
      <c r="G5" s="38" t="s">
        <v>346</v>
      </c>
      <c r="H5" s="38" t="s">
        <v>48</v>
      </c>
      <c r="I5" s="38" t="s">
        <v>49</v>
      </c>
      <c r="J5" s="38" t="s">
        <v>4586</v>
      </c>
      <c r="K5" s="38" t="s">
        <v>4587</v>
      </c>
      <c r="L5" s="38" t="s">
        <v>4588</v>
      </c>
      <c r="M5" s="38" t="s">
        <v>4589</v>
      </c>
      <c r="N5" s="38" t="s">
        <v>4665</v>
      </c>
      <c r="O5" s="38" t="s">
        <v>4666</v>
      </c>
      <c r="P5" s="38" t="s">
        <v>4667</v>
      </c>
      <c r="Q5" s="38" t="s">
        <v>4590</v>
      </c>
      <c r="R5" s="38" t="s">
        <v>4668</v>
      </c>
      <c r="S5" s="38" t="s">
        <v>4669</v>
      </c>
      <c r="T5" s="38" t="s">
        <v>18</v>
      </c>
      <c r="U5" s="38" t="s">
        <v>4670</v>
      </c>
      <c r="V5" s="38" t="s">
        <v>86</v>
      </c>
      <c r="W5" s="38" t="s">
        <v>4671</v>
      </c>
      <c r="X5" s="38" t="s">
        <v>4672</v>
      </c>
      <c r="Y5" s="38" t="s">
        <v>4673</v>
      </c>
      <c r="Z5" s="38" t="s">
        <v>4674</v>
      </c>
      <c r="AA5" s="38" t="s">
        <v>4675</v>
      </c>
      <c r="AB5" s="38"/>
      <c r="AC5" s="38" t="s">
        <v>24</v>
      </c>
      <c r="AD5" s="38" t="s">
        <v>10</v>
      </c>
      <c r="AE5" s="42" t="s">
        <v>4676</v>
      </c>
      <c r="AF5" s="38" t="s">
        <v>4677</v>
      </c>
      <c r="AG5" s="38" t="s">
        <v>60</v>
      </c>
      <c r="AH5" s="38" t="s">
        <v>59</v>
      </c>
      <c r="AI5" s="38" t="s">
        <v>4678</v>
      </c>
    </row>
    <row r="6" spans="1:35" x14ac:dyDescent="0.25">
      <c r="A6" s="41" t="s">
        <v>4599</v>
      </c>
      <c r="B6" s="38" t="s">
        <v>4600</v>
      </c>
      <c r="C6" s="38" t="s">
        <v>69</v>
      </c>
      <c r="D6" s="38"/>
      <c r="E6" s="38" t="s">
        <v>74</v>
      </c>
      <c r="F6" s="38" t="s">
        <v>75</v>
      </c>
      <c r="G6" s="38" t="s">
        <v>76</v>
      </c>
      <c r="H6" s="38" t="s">
        <v>78</v>
      </c>
      <c r="I6" s="38" t="s">
        <v>78</v>
      </c>
      <c r="J6" s="38" t="s">
        <v>79</v>
      </c>
      <c r="K6" s="38" t="s">
        <v>79</v>
      </c>
      <c r="L6" s="38" t="s">
        <v>79</v>
      </c>
      <c r="M6" s="38" t="s">
        <v>79</v>
      </c>
      <c r="N6" s="38" t="s">
        <v>69</v>
      </c>
      <c r="O6" s="38" t="s">
        <v>69</v>
      </c>
      <c r="P6" s="38" t="s">
        <v>69</v>
      </c>
      <c r="Q6" s="38" t="s">
        <v>70</v>
      </c>
      <c r="R6" s="38" t="s">
        <v>69</v>
      </c>
      <c r="S6" s="38" t="s">
        <v>69</v>
      </c>
      <c r="T6" s="38" t="s">
        <v>69</v>
      </c>
      <c r="U6" s="38" t="s">
        <v>69</v>
      </c>
      <c r="V6" s="38" t="s">
        <v>69</v>
      </c>
      <c r="W6" s="38" t="s">
        <v>69</v>
      </c>
      <c r="X6" s="38" t="s">
        <v>68</v>
      </c>
      <c r="Y6" s="38" t="s">
        <v>68</v>
      </c>
      <c r="Z6" s="38" t="s">
        <v>68</v>
      </c>
      <c r="AA6" s="38" t="s">
        <v>68</v>
      </c>
      <c r="AB6" s="38"/>
      <c r="AC6" s="38" t="s">
        <v>69</v>
      </c>
      <c r="AD6" s="38" t="s">
        <v>69</v>
      </c>
      <c r="AE6" s="42"/>
    </row>
    <row r="7" spans="1:35" x14ac:dyDescent="0.25">
      <c r="A7">
        <v>0</v>
      </c>
      <c r="B7">
        <v>346</v>
      </c>
      <c r="C7">
        <v>96.5</v>
      </c>
      <c r="D7">
        <v>4.3</v>
      </c>
      <c r="E7">
        <v>2000</v>
      </c>
      <c r="F7">
        <v>764</v>
      </c>
      <c r="G7">
        <v>0</v>
      </c>
      <c r="H7">
        <v>7.0000000000000001E-3</v>
      </c>
      <c r="I7">
        <v>1.2999999999999999E-2</v>
      </c>
      <c r="J7">
        <v>10.7</v>
      </c>
      <c r="K7">
        <v>0.42</v>
      </c>
      <c r="L7">
        <v>0.16</v>
      </c>
      <c r="M7">
        <v>0.02</v>
      </c>
      <c r="N7">
        <v>0.9</v>
      </c>
      <c r="O7">
        <v>0</v>
      </c>
      <c r="P7">
        <v>0</v>
      </c>
      <c r="Q7">
        <v>352</v>
      </c>
      <c r="R7">
        <v>6.9</v>
      </c>
      <c r="S7">
        <v>2.6</v>
      </c>
      <c r="T7">
        <v>22.3</v>
      </c>
      <c r="U7">
        <v>14.7</v>
      </c>
      <c r="V7">
        <v>1.7</v>
      </c>
      <c r="W7">
        <f>31.2+13.4</f>
        <v>44.6</v>
      </c>
      <c r="X7">
        <v>77</v>
      </c>
      <c r="Y7">
        <v>100</v>
      </c>
      <c r="Z7">
        <v>36</v>
      </c>
      <c r="AA7">
        <v>80</v>
      </c>
      <c r="AC7">
        <f>W7+V7+U7+T7+N7</f>
        <v>84.2</v>
      </c>
      <c r="AD7">
        <f>(J7/1.07+K7/1.51+L7/1.82+M7/2.04)/(B7)*10^2</f>
        <v>2.9988039609378472</v>
      </c>
      <c r="AE7">
        <f>100*(T7*Z7/100+U7*AA7/100+W7+N7)/(N7+T7+U7+V7+W7)</f>
        <v>77.539192399049895</v>
      </c>
      <c r="AF7">
        <f>(AD7+R7*X7/100+S7*Y7/100+AE7*AC7/100)/C7*100</f>
        <v>78.963527420660995</v>
      </c>
      <c r="AG7">
        <f>(R7*0.496+S7*1.014+(T7+U7+W7+V7+N7)*0.415)/(C7)*1000</f>
        <v>424.88911917098443</v>
      </c>
      <c r="AH7">
        <f>AG7*AF7/100</f>
        <v>335.50743612398526</v>
      </c>
      <c r="AI7">
        <f>(T7*(100-Z7)/100+U7*(100-AA7)/100+V7)/V7</f>
        <v>11.124705882352941</v>
      </c>
    </row>
    <row r="8" spans="1:35" x14ac:dyDescent="0.25">
      <c r="A8">
        <v>2000</v>
      </c>
      <c r="B8">
        <v>346</v>
      </c>
      <c r="C8">
        <v>96.5</v>
      </c>
      <c r="D8">
        <v>4.3</v>
      </c>
      <c r="E8">
        <v>2000</v>
      </c>
      <c r="F8">
        <v>764</v>
      </c>
      <c r="G8">
        <v>0</v>
      </c>
      <c r="H8">
        <v>7.0000000000000001E-3</v>
      </c>
      <c r="I8">
        <v>1.2999999999999999E-2</v>
      </c>
      <c r="J8">
        <v>10.7</v>
      </c>
      <c r="K8">
        <v>0.42</v>
      </c>
      <c r="L8">
        <v>0.16</v>
      </c>
      <c r="M8">
        <v>0.02</v>
      </c>
      <c r="N8">
        <v>0.9</v>
      </c>
      <c r="O8">
        <v>0</v>
      </c>
      <c r="P8">
        <v>0</v>
      </c>
      <c r="Q8">
        <v>352</v>
      </c>
      <c r="R8">
        <v>6.9</v>
      </c>
      <c r="S8">
        <v>2.6</v>
      </c>
      <c r="T8">
        <v>22.3</v>
      </c>
      <c r="U8">
        <v>14.7</v>
      </c>
      <c r="V8">
        <v>1.7</v>
      </c>
      <c r="W8">
        <f>31.2+13.4</f>
        <v>44.6</v>
      </c>
      <c r="X8">
        <v>77</v>
      </c>
      <c r="Y8">
        <v>100</v>
      </c>
      <c r="Z8">
        <v>36</v>
      </c>
      <c r="AA8">
        <v>80</v>
      </c>
      <c r="AE8">
        <f>AE7-82.5</f>
        <v>-4.9608076009501048</v>
      </c>
    </row>
    <row r="10" spans="1:35" x14ac:dyDescent="0.25">
      <c r="A10" s="38" t="s">
        <v>4679</v>
      </c>
    </row>
    <row r="11" spans="1:35" x14ac:dyDescent="0.25">
      <c r="A11">
        <v>1</v>
      </c>
      <c r="B11">
        <f>1+A11</f>
        <v>2</v>
      </c>
      <c r="C11">
        <f t="shared" ref="C11:AA12" si="2">1+B11</f>
        <v>3</v>
      </c>
      <c r="D11">
        <f t="shared" si="2"/>
        <v>4</v>
      </c>
      <c r="E11">
        <f t="shared" si="2"/>
        <v>5</v>
      </c>
      <c r="F11">
        <f t="shared" si="2"/>
        <v>6</v>
      </c>
      <c r="G11">
        <f t="shared" si="2"/>
        <v>7</v>
      </c>
      <c r="H11">
        <f t="shared" si="2"/>
        <v>8</v>
      </c>
      <c r="I11">
        <f t="shared" si="2"/>
        <v>9</v>
      </c>
      <c r="J11">
        <f t="shared" si="2"/>
        <v>10</v>
      </c>
      <c r="K11">
        <f t="shared" si="2"/>
        <v>11</v>
      </c>
      <c r="L11">
        <f t="shared" si="2"/>
        <v>12</v>
      </c>
      <c r="M11">
        <f t="shared" si="2"/>
        <v>13</v>
      </c>
      <c r="N11">
        <f t="shared" si="2"/>
        <v>14</v>
      </c>
      <c r="O11">
        <f t="shared" si="2"/>
        <v>15</v>
      </c>
      <c r="P11">
        <f t="shared" si="2"/>
        <v>16</v>
      </c>
      <c r="Q11">
        <f t="shared" si="2"/>
        <v>17</v>
      </c>
      <c r="R11">
        <f t="shared" si="2"/>
        <v>18</v>
      </c>
      <c r="S11">
        <f t="shared" si="2"/>
        <v>19</v>
      </c>
      <c r="T11">
        <f t="shared" si="2"/>
        <v>20</v>
      </c>
      <c r="U11">
        <f t="shared" si="2"/>
        <v>21</v>
      </c>
      <c r="V11">
        <f t="shared" si="2"/>
        <v>22</v>
      </c>
      <c r="W11">
        <f t="shared" si="2"/>
        <v>23</v>
      </c>
      <c r="X11">
        <f t="shared" si="2"/>
        <v>24</v>
      </c>
      <c r="Y11">
        <f t="shared" si="2"/>
        <v>25</v>
      </c>
      <c r="Z11">
        <f t="shared" si="2"/>
        <v>26</v>
      </c>
      <c r="AA11">
        <f t="shared" si="2"/>
        <v>27</v>
      </c>
    </row>
    <row r="12" spans="1:35" x14ac:dyDescent="0.25">
      <c r="B12">
        <v>1</v>
      </c>
      <c r="C12">
        <f>1+B12</f>
        <v>2</v>
      </c>
      <c r="D12">
        <f t="shared" si="2"/>
        <v>3</v>
      </c>
      <c r="E12">
        <f t="shared" si="2"/>
        <v>4</v>
      </c>
      <c r="F12">
        <f t="shared" si="2"/>
        <v>5</v>
      </c>
      <c r="G12">
        <f t="shared" si="2"/>
        <v>6</v>
      </c>
      <c r="H12">
        <f t="shared" si="2"/>
        <v>7</v>
      </c>
      <c r="I12">
        <f t="shared" si="2"/>
        <v>8</v>
      </c>
      <c r="J12">
        <f t="shared" si="2"/>
        <v>9</v>
      </c>
      <c r="K12">
        <f t="shared" si="2"/>
        <v>10</v>
      </c>
      <c r="L12">
        <f t="shared" si="2"/>
        <v>11</v>
      </c>
      <c r="M12">
        <f t="shared" si="2"/>
        <v>12</v>
      </c>
      <c r="N12">
        <f t="shared" si="2"/>
        <v>13</v>
      </c>
      <c r="O12">
        <f t="shared" si="2"/>
        <v>14</v>
      </c>
      <c r="P12">
        <f t="shared" si="2"/>
        <v>15</v>
      </c>
      <c r="Q12">
        <f t="shared" si="2"/>
        <v>16</v>
      </c>
      <c r="R12">
        <f t="shared" si="2"/>
        <v>17</v>
      </c>
      <c r="S12">
        <f t="shared" si="2"/>
        <v>18</v>
      </c>
      <c r="T12">
        <f t="shared" si="2"/>
        <v>19</v>
      </c>
      <c r="U12">
        <f t="shared" si="2"/>
        <v>20</v>
      </c>
      <c r="V12">
        <f t="shared" si="2"/>
        <v>21</v>
      </c>
      <c r="W12">
        <f t="shared" si="2"/>
        <v>22</v>
      </c>
      <c r="X12">
        <f t="shared" si="2"/>
        <v>23</v>
      </c>
      <c r="Y12">
        <f t="shared" si="2"/>
        <v>24</v>
      </c>
      <c r="Z12">
        <f t="shared" si="2"/>
        <v>25</v>
      </c>
      <c r="AA12">
        <f t="shared" si="2"/>
        <v>26</v>
      </c>
    </row>
    <row r="13" spans="1:35" x14ac:dyDescent="0.25">
      <c r="A13" s="41" t="s">
        <v>4585</v>
      </c>
      <c r="B13" s="38" t="s">
        <v>4</v>
      </c>
      <c r="C13" s="38" t="s">
        <v>42</v>
      </c>
      <c r="D13" s="38" t="s">
        <v>43</v>
      </c>
      <c r="E13" s="38" t="s">
        <v>342</v>
      </c>
      <c r="F13" s="38" t="s">
        <v>345</v>
      </c>
      <c r="G13" s="38" t="s">
        <v>346</v>
      </c>
      <c r="H13" s="38" t="s">
        <v>48</v>
      </c>
      <c r="I13" s="38" t="s">
        <v>49</v>
      </c>
      <c r="J13" s="38" t="s">
        <v>4586</v>
      </c>
      <c r="K13" s="38" t="s">
        <v>4587</v>
      </c>
      <c r="L13" s="38" t="s">
        <v>4588</v>
      </c>
      <c r="M13" s="38" t="s">
        <v>4589</v>
      </c>
      <c r="N13" s="38" t="s">
        <v>4665</v>
      </c>
      <c r="O13" s="38" t="s">
        <v>4666</v>
      </c>
      <c r="P13" s="38" t="s">
        <v>4667</v>
      </c>
      <c r="Q13" s="38" t="s">
        <v>4590</v>
      </c>
      <c r="R13" s="38" t="s">
        <v>4668</v>
      </c>
      <c r="S13" s="38" t="s">
        <v>4669</v>
      </c>
      <c r="T13" s="38" t="s">
        <v>18</v>
      </c>
      <c r="U13" s="38" t="s">
        <v>4670</v>
      </c>
      <c r="V13" s="38" t="s">
        <v>86</v>
      </c>
      <c r="W13" s="38" t="s">
        <v>4671</v>
      </c>
      <c r="X13" s="38" t="s">
        <v>4672</v>
      </c>
      <c r="Y13" s="38" t="s">
        <v>4673</v>
      </c>
      <c r="Z13" s="38" t="s">
        <v>4674</v>
      </c>
      <c r="AA13" s="38" t="s">
        <v>4675</v>
      </c>
      <c r="AB13" s="38"/>
      <c r="AC13" s="38" t="s">
        <v>24</v>
      </c>
      <c r="AD13" s="38" t="s">
        <v>10</v>
      </c>
      <c r="AE13" s="42" t="s">
        <v>4676</v>
      </c>
      <c r="AF13" s="38" t="s">
        <v>4677</v>
      </c>
      <c r="AG13" s="38" t="s">
        <v>60</v>
      </c>
      <c r="AH13" s="38" t="s">
        <v>59</v>
      </c>
      <c r="AI13" s="38" t="s">
        <v>4678</v>
      </c>
    </row>
    <row r="14" spans="1:35" x14ac:dyDescent="0.25">
      <c r="A14" s="41" t="s">
        <v>4599</v>
      </c>
      <c r="B14" s="38" t="s">
        <v>4600</v>
      </c>
      <c r="C14" s="38" t="s">
        <v>69</v>
      </c>
      <c r="D14" s="38"/>
      <c r="E14" s="38" t="s">
        <v>74</v>
      </c>
      <c r="F14" s="38" t="s">
        <v>75</v>
      </c>
      <c r="G14" s="38" t="s">
        <v>76</v>
      </c>
      <c r="H14" s="38" t="s">
        <v>78</v>
      </c>
      <c r="I14" s="38" t="s">
        <v>78</v>
      </c>
      <c r="J14" s="38" t="s">
        <v>79</v>
      </c>
      <c r="K14" s="38" t="s">
        <v>79</v>
      </c>
      <c r="L14" s="38" t="s">
        <v>79</v>
      </c>
      <c r="M14" s="38" t="s">
        <v>79</v>
      </c>
      <c r="N14" s="38" t="s">
        <v>69</v>
      </c>
      <c r="O14" s="38" t="s">
        <v>69</v>
      </c>
      <c r="P14" s="38" t="s">
        <v>69</v>
      </c>
      <c r="Q14" s="38" t="s">
        <v>70</v>
      </c>
      <c r="R14" s="38" t="s">
        <v>69</v>
      </c>
      <c r="S14" s="38" t="s">
        <v>69</v>
      </c>
      <c r="T14" s="38" t="s">
        <v>69</v>
      </c>
      <c r="U14" s="38" t="s">
        <v>69</v>
      </c>
      <c r="V14" s="38" t="s">
        <v>69</v>
      </c>
      <c r="W14" s="38" t="s">
        <v>69</v>
      </c>
      <c r="X14" s="38" t="s">
        <v>68</v>
      </c>
      <c r="Y14" s="38" t="s">
        <v>68</v>
      </c>
      <c r="Z14" s="38" t="s">
        <v>68</v>
      </c>
      <c r="AA14" s="38" t="s">
        <v>68</v>
      </c>
      <c r="AB14" s="38"/>
      <c r="AC14" s="38" t="s">
        <v>69</v>
      </c>
      <c r="AD14" s="38" t="s">
        <v>69</v>
      </c>
      <c r="AE14" s="42"/>
    </row>
    <row r="15" spans="1:35" x14ac:dyDescent="0.25">
      <c r="A15">
        <v>0</v>
      </c>
      <c r="B15">
        <v>300</v>
      </c>
      <c r="C15">
        <v>94</v>
      </c>
      <c r="D15">
        <v>4.3</v>
      </c>
      <c r="E15">
        <v>2000</v>
      </c>
      <c r="F15">
        <v>764</v>
      </c>
      <c r="G15">
        <v>0</v>
      </c>
      <c r="H15">
        <v>7.0000000000000001E-3</v>
      </c>
      <c r="I15">
        <v>1.2999999999999999E-2</v>
      </c>
      <c r="J15">
        <v>10.7</v>
      </c>
      <c r="K15">
        <v>0.42</v>
      </c>
      <c r="L15">
        <v>0.16</v>
      </c>
      <c r="M15">
        <v>0.02</v>
      </c>
      <c r="N15">
        <v>2.38</v>
      </c>
      <c r="O15">
        <v>0</v>
      </c>
      <c r="P15">
        <v>0</v>
      </c>
      <c r="Q15">
        <v>352</v>
      </c>
      <c r="R15">
        <v>7.44</v>
      </c>
      <c r="S15">
        <v>3.86</v>
      </c>
      <c r="T15">
        <v>20.11</v>
      </c>
      <c r="U15">
        <v>15.16</v>
      </c>
      <c r="V15">
        <v>4.97</v>
      </c>
      <c r="W15">
        <v>37.279999999999994</v>
      </c>
      <c r="X15">
        <v>77</v>
      </c>
      <c r="Y15">
        <v>100</v>
      </c>
      <c r="Z15">
        <v>36</v>
      </c>
      <c r="AA15">
        <v>80</v>
      </c>
      <c r="AC15">
        <f>W15+V15+U15+T15+N15</f>
        <v>79.899999999999991</v>
      </c>
      <c r="AD15">
        <f>(J15/1.07+K15/1.51+L15/1.82+M15/2.04)/(B15)*10^2</f>
        <v>3.45862056828165</v>
      </c>
      <c r="AE15">
        <f>100*(T15*Z15/100+U15*AA15/100+W15+N15)/(N15+T15+U15+V15+W15)</f>
        <v>73.876846057571981</v>
      </c>
      <c r="AF15">
        <f>(AD15+R15*X15/100+S15*Y15/100+AE15*AC15/100)/C15*100</f>
        <v>76.675553796044312</v>
      </c>
      <c r="AG15">
        <f>(R15*0.496+S15*1.014+(T15+U15+W15+V15+N15)*0.415)/(C15)*1000</f>
        <v>433.64659574468078</v>
      </c>
      <c r="AH15">
        <f>AG15*AF15/100</f>
        <v>332.50092880492753</v>
      </c>
      <c r="AI15">
        <f>(T15*(100-Z15)/100+U15*(100-AA15)/100+V15)/V15</f>
        <v>4.1996780684104627</v>
      </c>
    </row>
    <row r="16" spans="1:35" x14ac:dyDescent="0.25">
      <c r="A16">
        <v>1000</v>
      </c>
      <c r="B16">
        <v>300</v>
      </c>
      <c r="C16">
        <v>94</v>
      </c>
      <c r="D16">
        <v>4.3</v>
      </c>
      <c r="E16">
        <v>2000</v>
      </c>
      <c r="F16">
        <v>764</v>
      </c>
      <c r="G16">
        <v>0</v>
      </c>
      <c r="H16">
        <v>7.0000000000000001E-3</v>
      </c>
      <c r="I16">
        <v>1.2999999999999999E-2</v>
      </c>
      <c r="J16">
        <v>10.7</v>
      </c>
      <c r="K16">
        <v>0.42</v>
      </c>
      <c r="L16">
        <v>0.16</v>
      </c>
      <c r="M16">
        <v>0.02</v>
      </c>
      <c r="N16">
        <v>2.38</v>
      </c>
      <c r="O16">
        <v>0</v>
      </c>
      <c r="P16">
        <v>0</v>
      </c>
      <c r="Q16">
        <v>352</v>
      </c>
      <c r="R16">
        <v>7.44</v>
      </c>
      <c r="S16">
        <v>3.86</v>
      </c>
      <c r="T16">
        <v>20.11</v>
      </c>
      <c r="U16">
        <v>15.16</v>
      </c>
      <c r="V16">
        <v>4.97</v>
      </c>
      <c r="W16">
        <v>37.279999999999994</v>
      </c>
      <c r="X16">
        <v>77</v>
      </c>
      <c r="Y16">
        <v>100</v>
      </c>
      <c r="Z16">
        <v>36</v>
      </c>
      <c r="AA16">
        <v>80</v>
      </c>
      <c r="AC16">
        <f>AC15-83.57+3.67</f>
        <v>0</v>
      </c>
      <c r="AE16">
        <f>AE15-82.5</f>
        <v>-8.6231539424280186</v>
      </c>
    </row>
    <row r="18" spans="1:35" x14ac:dyDescent="0.25">
      <c r="A18" s="38" t="s">
        <v>4680</v>
      </c>
    </row>
    <row r="19" spans="1:35" x14ac:dyDescent="0.25">
      <c r="A19">
        <v>1</v>
      </c>
      <c r="B19">
        <f>1+A19</f>
        <v>2</v>
      </c>
      <c r="C19">
        <f t="shared" ref="C19:AA20" si="3">1+B19</f>
        <v>3</v>
      </c>
      <c r="D19">
        <f t="shared" si="3"/>
        <v>4</v>
      </c>
      <c r="E19">
        <f t="shared" si="3"/>
        <v>5</v>
      </c>
      <c r="F19">
        <f t="shared" si="3"/>
        <v>6</v>
      </c>
      <c r="G19">
        <f t="shared" si="3"/>
        <v>7</v>
      </c>
      <c r="H19">
        <f t="shared" si="3"/>
        <v>8</v>
      </c>
      <c r="I19">
        <f t="shared" si="3"/>
        <v>9</v>
      </c>
      <c r="J19">
        <f t="shared" si="3"/>
        <v>10</v>
      </c>
      <c r="K19">
        <f t="shared" si="3"/>
        <v>11</v>
      </c>
      <c r="L19">
        <f t="shared" si="3"/>
        <v>12</v>
      </c>
      <c r="M19">
        <f t="shared" si="3"/>
        <v>13</v>
      </c>
      <c r="N19">
        <f t="shared" si="3"/>
        <v>14</v>
      </c>
      <c r="O19">
        <f t="shared" si="3"/>
        <v>15</v>
      </c>
      <c r="P19">
        <f t="shared" si="3"/>
        <v>16</v>
      </c>
      <c r="Q19">
        <f t="shared" si="3"/>
        <v>17</v>
      </c>
      <c r="R19">
        <f t="shared" si="3"/>
        <v>18</v>
      </c>
      <c r="S19">
        <f t="shared" si="3"/>
        <v>19</v>
      </c>
      <c r="T19">
        <f t="shared" si="3"/>
        <v>20</v>
      </c>
      <c r="U19">
        <f t="shared" si="3"/>
        <v>21</v>
      </c>
      <c r="V19">
        <f t="shared" si="3"/>
        <v>22</v>
      </c>
      <c r="W19">
        <f t="shared" si="3"/>
        <v>23</v>
      </c>
      <c r="X19">
        <f t="shared" si="3"/>
        <v>24</v>
      </c>
      <c r="Y19">
        <f t="shared" si="3"/>
        <v>25</v>
      </c>
      <c r="Z19">
        <f t="shared" si="3"/>
        <v>26</v>
      </c>
      <c r="AA19">
        <f t="shared" si="3"/>
        <v>27</v>
      </c>
    </row>
    <row r="20" spans="1:35" x14ac:dyDescent="0.25">
      <c r="B20">
        <v>1</v>
      </c>
      <c r="C20">
        <f>1+B20</f>
        <v>2</v>
      </c>
      <c r="D20">
        <f t="shared" si="3"/>
        <v>3</v>
      </c>
      <c r="E20">
        <f t="shared" si="3"/>
        <v>4</v>
      </c>
      <c r="F20">
        <f t="shared" si="3"/>
        <v>5</v>
      </c>
      <c r="G20">
        <f t="shared" si="3"/>
        <v>6</v>
      </c>
      <c r="H20">
        <f t="shared" si="3"/>
        <v>7</v>
      </c>
      <c r="I20">
        <f t="shared" si="3"/>
        <v>8</v>
      </c>
      <c r="J20">
        <f t="shared" si="3"/>
        <v>9</v>
      </c>
      <c r="K20">
        <f t="shared" si="3"/>
        <v>10</v>
      </c>
      <c r="L20">
        <f t="shared" si="3"/>
        <v>11</v>
      </c>
      <c r="M20">
        <f t="shared" si="3"/>
        <v>12</v>
      </c>
      <c r="N20">
        <f t="shared" si="3"/>
        <v>13</v>
      </c>
      <c r="O20">
        <f t="shared" si="3"/>
        <v>14</v>
      </c>
      <c r="P20">
        <f t="shared" si="3"/>
        <v>15</v>
      </c>
      <c r="Q20">
        <f t="shared" si="3"/>
        <v>16</v>
      </c>
      <c r="R20">
        <f t="shared" si="3"/>
        <v>17</v>
      </c>
      <c r="S20">
        <f t="shared" si="3"/>
        <v>18</v>
      </c>
      <c r="T20">
        <f t="shared" si="3"/>
        <v>19</v>
      </c>
      <c r="U20">
        <f t="shared" si="3"/>
        <v>20</v>
      </c>
      <c r="V20">
        <f t="shared" si="3"/>
        <v>21</v>
      </c>
      <c r="W20">
        <f t="shared" si="3"/>
        <v>22</v>
      </c>
      <c r="X20">
        <f t="shared" si="3"/>
        <v>23</v>
      </c>
      <c r="Y20">
        <f t="shared" si="3"/>
        <v>24</v>
      </c>
      <c r="Z20">
        <f t="shared" si="3"/>
        <v>25</v>
      </c>
      <c r="AA20">
        <f t="shared" si="3"/>
        <v>26</v>
      </c>
    </row>
    <row r="21" spans="1:35" x14ac:dyDescent="0.25">
      <c r="A21" s="41" t="s">
        <v>4585</v>
      </c>
      <c r="B21" s="38" t="s">
        <v>4</v>
      </c>
      <c r="C21" s="38" t="s">
        <v>42</v>
      </c>
      <c r="D21" s="38" t="s">
        <v>43</v>
      </c>
      <c r="E21" s="38" t="s">
        <v>342</v>
      </c>
      <c r="F21" s="38" t="s">
        <v>345</v>
      </c>
      <c r="G21" s="38" t="s">
        <v>346</v>
      </c>
      <c r="H21" s="38" t="s">
        <v>48</v>
      </c>
      <c r="I21" s="38" t="s">
        <v>49</v>
      </c>
      <c r="J21" s="38" t="s">
        <v>4586</v>
      </c>
      <c r="K21" s="38" t="s">
        <v>4587</v>
      </c>
      <c r="L21" s="38" t="s">
        <v>4588</v>
      </c>
      <c r="M21" s="38" t="s">
        <v>4589</v>
      </c>
      <c r="N21" s="38" t="s">
        <v>4665</v>
      </c>
      <c r="O21" s="38" t="s">
        <v>4666</v>
      </c>
      <c r="P21" s="38" t="s">
        <v>4667</v>
      </c>
      <c r="Q21" s="38" t="s">
        <v>4590</v>
      </c>
      <c r="R21" s="38" t="s">
        <v>4668</v>
      </c>
      <c r="S21" s="38" t="s">
        <v>4669</v>
      </c>
      <c r="T21" s="38" t="s">
        <v>18</v>
      </c>
      <c r="U21" s="38" t="s">
        <v>4670</v>
      </c>
      <c r="V21" s="38" t="s">
        <v>86</v>
      </c>
      <c r="W21" s="38" t="s">
        <v>4671</v>
      </c>
      <c r="X21" s="38" t="s">
        <v>4672</v>
      </c>
      <c r="Y21" s="38" t="s">
        <v>4673</v>
      </c>
      <c r="Z21" s="38" t="s">
        <v>4674</v>
      </c>
      <c r="AA21" s="38" t="s">
        <v>4675</v>
      </c>
      <c r="AB21" s="38"/>
      <c r="AC21" s="38" t="s">
        <v>24</v>
      </c>
      <c r="AD21" s="38" t="s">
        <v>10</v>
      </c>
      <c r="AE21" s="42" t="s">
        <v>4676</v>
      </c>
      <c r="AF21" s="38" t="s">
        <v>4677</v>
      </c>
      <c r="AG21" s="38" t="s">
        <v>60</v>
      </c>
      <c r="AH21" s="38" t="s">
        <v>59</v>
      </c>
      <c r="AI21" s="38" t="s">
        <v>4678</v>
      </c>
    </row>
    <row r="22" spans="1:35" x14ac:dyDescent="0.25">
      <c r="A22" s="41" t="s">
        <v>4599</v>
      </c>
      <c r="B22" s="38" t="s">
        <v>4600</v>
      </c>
      <c r="C22" s="38" t="s">
        <v>69</v>
      </c>
      <c r="D22" s="38"/>
      <c r="E22" s="38" t="s">
        <v>74</v>
      </c>
      <c r="F22" s="38" t="s">
        <v>75</v>
      </c>
      <c r="G22" s="38" t="s">
        <v>76</v>
      </c>
      <c r="H22" s="38" t="s">
        <v>78</v>
      </c>
      <c r="I22" s="38" t="s">
        <v>78</v>
      </c>
      <c r="J22" s="38" t="s">
        <v>79</v>
      </c>
      <c r="K22" s="38" t="s">
        <v>79</v>
      </c>
      <c r="L22" s="38" t="s">
        <v>79</v>
      </c>
      <c r="M22" s="38" t="s">
        <v>79</v>
      </c>
      <c r="N22" s="38" t="s">
        <v>69</v>
      </c>
      <c r="O22" s="38" t="s">
        <v>69</v>
      </c>
      <c r="P22" s="38" t="s">
        <v>69</v>
      </c>
      <c r="Q22" s="38" t="s">
        <v>70</v>
      </c>
      <c r="R22" s="38" t="s">
        <v>69</v>
      </c>
      <c r="S22" s="38" t="s">
        <v>69</v>
      </c>
      <c r="T22" s="38" t="s">
        <v>69</v>
      </c>
      <c r="U22" s="38" t="s">
        <v>69</v>
      </c>
      <c r="V22" s="38" t="s">
        <v>69</v>
      </c>
      <c r="W22" s="38" t="s">
        <v>69</v>
      </c>
      <c r="X22" s="38" t="s">
        <v>68</v>
      </c>
      <c r="Y22" s="38" t="s">
        <v>68</v>
      </c>
      <c r="Z22" s="38" t="s">
        <v>68</v>
      </c>
      <c r="AA22" s="38" t="s">
        <v>68</v>
      </c>
      <c r="AB22" s="38"/>
      <c r="AC22" s="38" t="s">
        <v>69</v>
      </c>
      <c r="AD22" s="38" t="s">
        <v>69</v>
      </c>
      <c r="AE22" s="42"/>
    </row>
    <row r="23" spans="1:35" x14ac:dyDescent="0.25">
      <c r="A23">
        <v>0</v>
      </c>
      <c r="B23">
        <v>73</v>
      </c>
      <c r="C23">
        <v>79.900000000000006</v>
      </c>
      <c r="D23">
        <v>7.21</v>
      </c>
      <c r="E23">
        <v>12741</v>
      </c>
      <c r="F23">
        <v>1400</v>
      </c>
      <c r="G23">
        <v>650</v>
      </c>
      <c r="H23">
        <v>7.0000000000000001E-3</v>
      </c>
      <c r="I23">
        <v>1.2999999999999999E-2</v>
      </c>
      <c r="J23">
        <v>7.68</v>
      </c>
      <c r="K23">
        <v>0</v>
      </c>
      <c r="L23">
        <v>0</v>
      </c>
      <c r="M23">
        <v>0</v>
      </c>
      <c r="N23">
        <v>0</v>
      </c>
      <c r="O23">
        <v>0</v>
      </c>
      <c r="P23">
        <v>0</v>
      </c>
      <c r="Q23">
        <v>174</v>
      </c>
      <c r="R23">
        <v>16.899999999999999</v>
      </c>
      <c r="S23">
        <v>5.3</v>
      </c>
      <c r="T23">
        <v>18.2</v>
      </c>
      <c r="U23">
        <v>11.1</v>
      </c>
      <c r="V23">
        <v>14.9</v>
      </c>
      <c r="W23">
        <v>13.5</v>
      </c>
      <c r="X23">
        <v>73</v>
      </c>
      <c r="Y23">
        <v>50</v>
      </c>
      <c r="Z23">
        <v>28</v>
      </c>
      <c r="AA23">
        <v>28</v>
      </c>
      <c r="AC23">
        <f>W23+V23+U23+T23+N23</f>
        <v>57.7</v>
      </c>
      <c r="AD23">
        <f>(J23/1.07+K23/1.51+L23/1.82+M23/2.04)/(B23)*10^2</f>
        <v>9.8322877992574576</v>
      </c>
      <c r="AE23">
        <f>100*(T23*Z23/100+U23*AA23/100+W23+N23)/(N23+T23+U23+V23+W23)</f>
        <v>37.615251299826696</v>
      </c>
      <c r="AF23">
        <f>(AD23+R23*X23/100+S23*Y23/100+AE23*AC23/100)/C23*100</f>
        <v>58.226893365779041</v>
      </c>
      <c r="AG23">
        <f>(R23*0.496+S23*1.014+AC23*0.415)/(C23)*1000</f>
        <v>471.86608260325409</v>
      </c>
      <c r="AH23">
        <f>AG23*AF23/100</f>
        <v>274.75296074667563</v>
      </c>
      <c r="AI23">
        <f>(T23*(100-Z23)/100+U23*(100-AA23)/100+V23)/V23</f>
        <v>2.4158389261744961</v>
      </c>
    </row>
    <row r="24" spans="1:35" x14ac:dyDescent="0.25">
      <c r="A24">
        <v>2000</v>
      </c>
      <c r="B24">
        <v>73</v>
      </c>
      <c r="C24">
        <v>79.900000000000006</v>
      </c>
      <c r="D24">
        <v>7.21</v>
      </c>
      <c r="E24">
        <v>12741</v>
      </c>
      <c r="F24">
        <v>1400</v>
      </c>
      <c r="G24">
        <v>650</v>
      </c>
      <c r="H24">
        <v>7.0000000000000001E-3</v>
      </c>
      <c r="I24">
        <v>1.2999999999999999E-2</v>
      </c>
      <c r="J24">
        <v>7.68</v>
      </c>
      <c r="K24">
        <v>0</v>
      </c>
      <c r="L24">
        <v>0</v>
      </c>
      <c r="M24">
        <v>0</v>
      </c>
      <c r="N24">
        <v>0</v>
      </c>
      <c r="O24">
        <v>0</v>
      </c>
      <c r="P24">
        <v>0</v>
      </c>
      <c r="Q24">
        <v>174</v>
      </c>
      <c r="R24">
        <v>16.899999999999999</v>
      </c>
      <c r="S24">
        <v>5.3</v>
      </c>
      <c r="T24">
        <v>18.2</v>
      </c>
      <c r="U24">
        <v>11.1</v>
      </c>
      <c r="V24">
        <v>14.9</v>
      </c>
      <c r="W24">
        <v>13.5</v>
      </c>
      <c r="X24">
        <v>73</v>
      </c>
      <c r="Y24">
        <v>50</v>
      </c>
      <c r="Z24">
        <v>28</v>
      </c>
      <c r="AA24">
        <v>28</v>
      </c>
      <c r="AE24">
        <f>AE23-31</f>
        <v>6.6152512998266957</v>
      </c>
    </row>
    <row r="26" spans="1:35" x14ac:dyDescent="0.25">
      <c r="A26" s="38" t="s">
        <v>4681</v>
      </c>
    </row>
    <row r="27" spans="1:35" x14ac:dyDescent="0.25">
      <c r="A27">
        <v>1</v>
      </c>
      <c r="B27">
        <f>1+A27</f>
        <v>2</v>
      </c>
      <c r="C27">
        <f t="shared" ref="C27:AA28" si="4">1+B27</f>
        <v>3</v>
      </c>
      <c r="D27">
        <f t="shared" si="4"/>
        <v>4</v>
      </c>
      <c r="E27">
        <f t="shared" si="4"/>
        <v>5</v>
      </c>
      <c r="F27">
        <f t="shared" si="4"/>
        <v>6</v>
      </c>
      <c r="G27">
        <f t="shared" si="4"/>
        <v>7</v>
      </c>
      <c r="H27">
        <f t="shared" si="4"/>
        <v>8</v>
      </c>
      <c r="I27">
        <f t="shared" si="4"/>
        <v>9</v>
      </c>
      <c r="J27">
        <f t="shared" si="4"/>
        <v>10</v>
      </c>
      <c r="K27">
        <f t="shared" si="4"/>
        <v>11</v>
      </c>
      <c r="L27">
        <f t="shared" si="4"/>
        <v>12</v>
      </c>
      <c r="M27">
        <f t="shared" si="4"/>
        <v>13</v>
      </c>
      <c r="N27">
        <f t="shared" si="4"/>
        <v>14</v>
      </c>
      <c r="O27">
        <f t="shared" si="4"/>
        <v>15</v>
      </c>
      <c r="P27">
        <f t="shared" si="4"/>
        <v>16</v>
      </c>
      <c r="Q27">
        <f t="shared" si="4"/>
        <v>17</v>
      </c>
      <c r="R27">
        <f t="shared" si="4"/>
        <v>18</v>
      </c>
      <c r="S27">
        <f t="shared" si="4"/>
        <v>19</v>
      </c>
      <c r="T27">
        <f t="shared" si="4"/>
        <v>20</v>
      </c>
      <c r="U27">
        <f t="shared" si="4"/>
        <v>21</v>
      </c>
      <c r="V27">
        <f t="shared" si="4"/>
        <v>22</v>
      </c>
      <c r="W27">
        <f t="shared" si="4"/>
        <v>23</v>
      </c>
      <c r="X27">
        <f t="shared" si="4"/>
        <v>24</v>
      </c>
      <c r="Y27">
        <f t="shared" si="4"/>
        <v>25</v>
      </c>
      <c r="Z27">
        <f t="shared" si="4"/>
        <v>26</v>
      </c>
      <c r="AA27">
        <f t="shared" si="4"/>
        <v>27</v>
      </c>
    </row>
    <row r="28" spans="1:35" x14ac:dyDescent="0.25">
      <c r="B28">
        <v>1</v>
      </c>
      <c r="C28">
        <f>1+B28</f>
        <v>2</v>
      </c>
      <c r="D28">
        <f t="shared" si="4"/>
        <v>3</v>
      </c>
      <c r="E28">
        <f t="shared" si="4"/>
        <v>4</v>
      </c>
      <c r="F28">
        <f t="shared" si="4"/>
        <v>5</v>
      </c>
      <c r="G28">
        <f t="shared" si="4"/>
        <v>6</v>
      </c>
      <c r="H28">
        <f t="shared" si="4"/>
        <v>7</v>
      </c>
      <c r="I28">
        <f t="shared" si="4"/>
        <v>8</v>
      </c>
      <c r="J28">
        <f t="shared" si="4"/>
        <v>9</v>
      </c>
      <c r="K28">
        <f t="shared" si="4"/>
        <v>10</v>
      </c>
      <c r="L28">
        <f t="shared" si="4"/>
        <v>11</v>
      </c>
      <c r="M28">
        <f t="shared" si="4"/>
        <v>12</v>
      </c>
      <c r="N28">
        <f t="shared" si="4"/>
        <v>13</v>
      </c>
      <c r="O28">
        <f t="shared" si="4"/>
        <v>14</v>
      </c>
      <c r="P28">
        <f t="shared" si="4"/>
        <v>15</v>
      </c>
      <c r="Q28">
        <f t="shared" si="4"/>
        <v>16</v>
      </c>
      <c r="R28">
        <f t="shared" si="4"/>
        <v>17</v>
      </c>
      <c r="S28">
        <f t="shared" si="4"/>
        <v>18</v>
      </c>
      <c r="T28">
        <f t="shared" si="4"/>
        <v>19</v>
      </c>
      <c r="U28">
        <f t="shared" si="4"/>
        <v>20</v>
      </c>
      <c r="V28">
        <f t="shared" si="4"/>
        <v>21</v>
      </c>
      <c r="W28">
        <f t="shared" si="4"/>
        <v>22</v>
      </c>
      <c r="X28">
        <f t="shared" si="4"/>
        <v>23</v>
      </c>
      <c r="Y28">
        <f t="shared" si="4"/>
        <v>24</v>
      </c>
      <c r="Z28">
        <f t="shared" si="4"/>
        <v>25</v>
      </c>
      <c r="AA28">
        <f t="shared" si="4"/>
        <v>26</v>
      </c>
    </row>
    <row r="29" spans="1:35" x14ac:dyDescent="0.25">
      <c r="A29" s="41" t="s">
        <v>4585</v>
      </c>
      <c r="B29" s="38" t="s">
        <v>4</v>
      </c>
      <c r="C29" s="38" t="s">
        <v>42</v>
      </c>
      <c r="D29" s="38" t="s">
        <v>43</v>
      </c>
      <c r="E29" s="38" t="s">
        <v>342</v>
      </c>
      <c r="F29" s="38" t="s">
        <v>345</v>
      </c>
      <c r="G29" s="38" t="s">
        <v>346</v>
      </c>
      <c r="H29" s="38" t="s">
        <v>48</v>
      </c>
      <c r="I29" s="38" t="s">
        <v>49</v>
      </c>
      <c r="J29" s="38" t="s">
        <v>4586</v>
      </c>
      <c r="K29" s="38" t="s">
        <v>4587</v>
      </c>
      <c r="L29" s="38" t="s">
        <v>4588</v>
      </c>
      <c r="M29" s="38" t="s">
        <v>4589</v>
      </c>
      <c r="N29" s="38" t="s">
        <v>4665</v>
      </c>
      <c r="O29" s="38" t="s">
        <v>4666</v>
      </c>
      <c r="P29" s="38" t="s">
        <v>4667</v>
      </c>
      <c r="Q29" s="38" t="s">
        <v>4590</v>
      </c>
      <c r="R29" s="38" t="s">
        <v>4668</v>
      </c>
      <c r="S29" s="38" t="s">
        <v>4669</v>
      </c>
      <c r="T29" s="38" t="s">
        <v>18</v>
      </c>
      <c r="U29" s="38" t="s">
        <v>4670</v>
      </c>
      <c r="V29" s="38" t="s">
        <v>86</v>
      </c>
      <c r="W29" s="38" t="s">
        <v>4671</v>
      </c>
      <c r="X29" s="38" t="s">
        <v>4672</v>
      </c>
      <c r="Y29" s="38" t="s">
        <v>4673</v>
      </c>
      <c r="Z29" s="38" t="s">
        <v>4674</v>
      </c>
      <c r="AA29" s="38" t="s">
        <v>4675</v>
      </c>
      <c r="AB29" s="38"/>
      <c r="AC29" s="38" t="s">
        <v>24</v>
      </c>
      <c r="AD29" s="38" t="s">
        <v>10</v>
      </c>
      <c r="AE29" s="42" t="s">
        <v>4676</v>
      </c>
      <c r="AF29" s="38" t="s">
        <v>4677</v>
      </c>
      <c r="AG29" s="38" t="s">
        <v>60</v>
      </c>
      <c r="AH29" s="38" t="s">
        <v>59</v>
      </c>
      <c r="AI29" s="38" t="s">
        <v>4678</v>
      </c>
    </row>
    <row r="30" spans="1:35" x14ac:dyDescent="0.25">
      <c r="A30" s="41" t="s">
        <v>4599</v>
      </c>
      <c r="B30" s="38" t="s">
        <v>4600</v>
      </c>
      <c r="C30" s="38" t="s">
        <v>69</v>
      </c>
      <c r="D30" s="38"/>
      <c r="E30" s="38" t="s">
        <v>74</v>
      </c>
      <c r="F30" s="38" t="s">
        <v>75</v>
      </c>
      <c r="G30" s="38" t="s">
        <v>76</v>
      </c>
      <c r="H30" s="38" t="s">
        <v>78</v>
      </c>
      <c r="I30" s="38" t="s">
        <v>78</v>
      </c>
      <c r="J30" s="38" t="s">
        <v>79</v>
      </c>
      <c r="K30" s="38" t="s">
        <v>79</v>
      </c>
      <c r="L30" s="38" t="s">
        <v>79</v>
      </c>
      <c r="M30" s="38" t="s">
        <v>79</v>
      </c>
      <c r="N30" s="38" t="s">
        <v>69</v>
      </c>
      <c r="O30" s="38" t="s">
        <v>69</v>
      </c>
      <c r="P30" s="38" t="s">
        <v>69</v>
      </c>
      <c r="Q30" s="38" t="s">
        <v>70</v>
      </c>
      <c r="R30" s="38" t="s">
        <v>69</v>
      </c>
      <c r="S30" s="38" t="s">
        <v>69</v>
      </c>
      <c r="T30" s="38" t="s">
        <v>69</v>
      </c>
      <c r="U30" s="38" t="s">
        <v>69</v>
      </c>
      <c r="V30" s="38" t="s">
        <v>69</v>
      </c>
      <c r="W30" s="38" t="s">
        <v>69</v>
      </c>
      <c r="X30" s="38" t="s">
        <v>68</v>
      </c>
      <c r="Y30" s="38" t="s">
        <v>68</v>
      </c>
      <c r="Z30" s="38" t="s">
        <v>68</v>
      </c>
      <c r="AA30" s="38" t="s">
        <v>68</v>
      </c>
      <c r="AB30" s="38"/>
      <c r="AC30" s="38" t="s">
        <v>69</v>
      </c>
      <c r="AD30" s="38" t="s">
        <v>69</v>
      </c>
      <c r="AE30" s="42"/>
    </row>
    <row r="31" spans="1:35" x14ac:dyDescent="0.25">
      <c r="A31">
        <v>0</v>
      </c>
      <c r="B31">
        <v>230</v>
      </c>
      <c r="C31">
        <v>60</v>
      </c>
      <c r="D31">
        <v>7.5</v>
      </c>
      <c r="E31">
        <v>5000</v>
      </c>
      <c r="F31">
        <v>500</v>
      </c>
      <c r="G31">
        <v>400</v>
      </c>
      <c r="H31">
        <v>7.0000000000000001E-3</v>
      </c>
      <c r="I31">
        <v>1.2999999999999999E-2</v>
      </c>
      <c r="J31">
        <v>0</v>
      </c>
      <c r="K31">
        <v>0</v>
      </c>
      <c r="L31">
        <v>0</v>
      </c>
      <c r="M31">
        <v>0</v>
      </c>
      <c r="N31">
        <v>0</v>
      </c>
      <c r="O31">
        <v>0</v>
      </c>
      <c r="P31">
        <v>0</v>
      </c>
      <c r="Q31">
        <v>204</v>
      </c>
      <c r="R31">
        <v>8.59</v>
      </c>
      <c r="S31">
        <v>2.56</v>
      </c>
      <c r="T31">
        <v>38.979999999999997</v>
      </c>
      <c r="U31">
        <v>0</v>
      </c>
      <c r="V31">
        <v>9.33</v>
      </c>
      <c r="W31">
        <v>0</v>
      </c>
      <c r="X31">
        <v>50</v>
      </c>
      <c r="Y31">
        <v>85</v>
      </c>
      <c r="Z31">
        <v>58.249615187275516</v>
      </c>
      <c r="AA31">
        <v>100</v>
      </c>
      <c r="AC31">
        <f>W31+V31+U31+T31+N31</f>
        <v>48.309999999999995</v>
      </c>
      <c r="AD31">
        <f>(J31/1.07+K31/1.51+L31/1.82+M31/2.04)/(B31)*10^2</f>
        <v>0</v>
      </c>
      <c r="AE31">
        <f>100*(T31*Z31/100+U31*AA31/100+W31+N31)/(N31+T31+U31+V31+W31)</f>
        <v>46.999999999999986</v>
      </c>
      <c r="AF31">
        <f>(AD31+R31*X31/100+S31*Y31/100+AE31*AC31/100)/C31*100</f>
        <v>48.627833333333321</v>
      </c>
      <c r="AG31">
        <f>(R31*0.496+S31*1.014+AC31*0.415)/(C31)*1000</f>
        <v>448.41883333333334</v>
      </c>
      <c r="AH31">
        <f>AG31*AF31/100</f>
        <v>218.05636290861105</v>
      </c>
      <c r="AI31">
        <f>(T31*(100-Z31)/100+U31*(100-AA31)/100+V31)/V31</f>
        <v>2.7442979635584139</v>
      </c>
    </row>
    <row r="32" spans="1:35" x14ac:dyDescent="0.25">
      <c r="A32">
        <v>2000</v>
      </c>
      <c r="B32">
        <v>230</v>
      </c>
      <c r="C32">
        <v>60</v>
      </c>
      <c r="D32">
        <v>7.5</v>
      </c>
      <c r="E32">
        <v>5000</v>
      </c>
      <c r="F32">
        <v>500</v>
      </c>
      <c r="G32">
        <v>400</v>
      </c>
      <c r="H32">
        <v>7.0000000000000001E-3</v>
      </c>
      <c r="I32">
        <v>1.2999999999999999E-2</v>
      </c>
      <c r="J32">
        <v>0</v>
      </c>
      <c r="K32">
        <v>0</v>
      </c>
      <c r="L32">
        <v>0</v>
      </c>
      <c r="M32">
        <v>0</v>
      </c>
      <c r="N32">
        <v>0</v>
      </c>
      <c r="O32">
        <v>0</v>
      </c>
      <c r="P32">
        <v>0</v>
      </c>
      <c r="Q32">
        <v>204</v>
      </c>
      <c r="R32">
        <v>8.59</v>
      </c>
      <c r="S32">
        <v>2.56</v>
      </c>
      <c r="T32">
        <v>38.979999999999997</v>
      </c>
      <c r="U32">
        <v>0</v>
      </c>
      <c r="V32">
        <v>9.33</v>
      </c>
      <c r="W32">
        <v>0</v>
      </c>
      <c r="X32">
        <v>50</v>
      </c>
      <c r="Y32">
        <v>85</v>
      </c>
      <c r="Z32">
        <v>58.249615187275516</v>
      </c>
      <c r="AA32">
        <v>100</v>
      </c>
      <c r="AE32">
        <f>AE31-47</f>
        <v>0</v>
      </c>
    </row>
    <row r="34" spans="1:35" x14ac:dyDescent="0.25">
      <c r="A34" s="38" t="s">
        <v>4682</v>
      </c>
    </row>
    <row r="35" spans="1:35" x14ac:dyDescent="0.25">
      <c r="A35">
        <v>1</v>
      </c>
      <c r="B35">
        <f>1+A35</f>
        <v>2</v>
      </c>
      <c r="C35">
        <f t="shared" ref="C35:AA36" si="5">1+B35</f>
        <v>3</v>
      </c>
      <c r="D35">
        <f t="shared" si="5"/>
        <v>4</v>
      </c>
      <c r="E35">
        <f t="shared" si="5"/>
        <v>5</v>
      </c>
      <c r="F35">
        <f t="shared" si="5"/>
        <v>6</v>
      </c>
      <c r="G35">
        <f t="shared" si="5"/>
        <v>7</v>
      </c>
      <c r="H35">
        <f t="shared" si="5"/>
        <v>8</v>
      </c>
      <c r="I35">
        <f t="shared" si="5"/>
        <v>9</v>
      </c>
      <c r="J35">
        <f t="shared" si="5"/>
        <v>10</v>
      </c>
      <c r="K35">
        <f t="shared" si="5"/>
        <v>11</v>
      </c>
      <c r="L35">
        <f t="shared" si="5"/>
        <v>12</v>
      </c>
      <c r="M35">
        <f t="shared" si="5"/>
        <v>13</v>
      </c>
      <c r="N35">
        <f t="shared" si="5"/>
        <v>14</v>
      </c>
      <c r="O35">
        <f t="shared" si="5"/>
        <v>15</v>
      </c>
      <c r="P35">
        <f t="shared" si="5"/>
        <v>16</v>
      </c>
      <c r="Q35">
        <f t="shared" si="5"/>
        <v>17</v>
      </c>
      <c r="R35">
        <f t="shared" si="5"/>
        <v>18</v>
      </c>
      <c r="S35">
        <f t="shared" si="5"/>
        <v>19</v>
      </c>
      <c r="T35">
        <f t="shared" si="5"/>
        <v>20</v>
      </c>
      <c r="U35">
        <f t="shared" si="5"/>
        <v>21</v>
      </c>
      <c r="V35">
        <f t="shared" si="5"/>
        <v>22</v>
      </c>
      <c r="W35">
        <f t="shared" si="5"/>
        <v>23</v>
      </c>
      <c r="X35">
        <f t="shared" si="5"/>
        <v>24</v>
      </c>
      <c r="Y35">
        <f t="shared" si="5"/>
        <v>25</v>
      </c>
      <c r="Z35">
        <f t="shared" si="5"/>
        <v>26</v>
      </c>
      <c r="AA35">
        <f t="shared" si="5"/>
        <v>27</v>
      </c>
    </row>
    <row r="36" spans="1:35" x14ac:dyDescent="0.25">
      <c r="B36">
        <v>1</v>
      </c>
      <c r="C36">
        <f>1+B36</f>
        <v>2</v>
      </c>
      <c r="D36">
        <f t="shared" si="5"/>
        <v>3</v>
      </c>
      <c r="E36">
        <f t="shared" si="5"/>
        <v>4</v>
      </c>
      <c r="F36">
        <f t="shared" si="5"/>
        <v>5</v>
      </c>
      <c r="G36">
        <f t="shared" si="5"/>
        <v>6</v>
      </c>
      <c r="H36">
        <f t="shared" si="5"/>
        <v>7</v>
      </c>
      <c r="I36">
        <f t="shared" si="5"/>
        <v>8</v>
      </c>
      <c r="J36">
        <f t="shared" si="5"/>
        <v>9</v>
      </c>
      <c r="K36">
        <f t="shared" si="5"/>
        <v>10</v>
      </c>
      <c r="L36">
        <f t="shared" si="5"/>
        <v>11</v>
      </c>
      <c r="M36">
        <f t="shared" si="5"/>
        <v>12</v>
      </c>
      <c r="N36">
        <f t="shared" si="5"/>
        <v>13</v>
      </c>
      <c r="O36">
        <f t="shared" si="5"/>
        <v>14</v>
      </c>
      <c r="P36">
        <f t="shared" si="5"/>
        <v>15</v>
      </c>
      <c r="Q36">
        <f t="shared" si="5"/>
        <v>16</v>
      </c>
      <c r="R36">
        <f t="shared" si="5"/>
        <v>17</v>
      </c>
      <c r="S36">
        <f t="shared" si="5"/>
        <v>18</v>
      </c>
      <c r="T36">
        <f t="shared" si="5"/>
        <v>19</v>
      </c>
      <c r="U36">
        <f t="shared" si="5"/>
        <v>20</v>
      </c>
      <c r="V36">
        <f t="shared" si="5"/>
        <v>21</v>
      </c>
      <c r="W36">
        <f t="shared" si="5"/>
        <v>22</v>
      </c>
      <c r="X36">
        <f t="shared" si="5"/>
        <v>23</v>
      </c>
      <c r="Y36">
        <f t="shared" si="5"/>
        <v>24</v>
      </c>
      <c r="Z36">
        <f t="shared" si="5"/>
        <v>25</v>
      </c>
      <c r="AA36">
        <f t="shared" si="5"/>
        <v>26</v>
      </c>
    </row>
    <row r="37" spans="1:35" x14ac:dyDescent="0.25">
      <c r="A37" s="41" t="s">
        <v>4585</v>
      </c>
      <c r="B37" s="38" t="s">
        <v>4</v>
      </c>
      <c r="C37" s="38" t="s">
        <v>42</v>
      </c>
      <c r="D37" s="38" t="s">
        <v>43</v>
      </c>
      <c r="E37" s="38" t="s">
        <v>342</v>
      </c>
      <c r="F37" s="38" t="s">
        <v>345</v>
      </c>
      <c r="G37" s="38" t="s">
        <v>346</v>
      </c>
      <c r="H37" s="38" t="s">
        <v>48</v>
      </c>
      <c r="I37" s="38" t="s">
        <v>49</v>
      </c>
      <c r="J37" s="38" t="s">
        <v>4586</v>
      </c>
      <c r="K37" s="38" t="s">
        <v>4587</v>
      </c>
      <c r="L37" s="38" t="s">
        <v>4588</v>
      </c>
      <c r="M37" s="38" t="s">
        <v>4589</v>
      </c>
      <c r="N37" s="38" t="s">
        <v>4665</v>
      </c>
      <c r="O37" s="38" t="s">
        <v>4666</v>
      </c>
      <c r="P37" s="38" t="s">
        <v>4667</v>
      </c>
      <c r="Q37" s="38" t="s">
        <v>4590</v>
      </c>
      <c r="R37" s="38" t="s">
        <v>4668</v>
      </c>
      <c r="S37" s="38" t="s">
        <v>4669</v>
      </c>
      <c r="T37" s="38" t="s">
        <v>18</v>
      </c>
      <c r="U37" s="38" t="s">
        <v>4670</v>
      </c>
      <c r="V37" s="38" t="s">
        <v>86</v>
      </c>
      <c r="W37" s="38" t="s">
        <v>4671</v>
      </c>
      <c r="X37" s="38" t="s">
        <v>4672</v>
      </c>
      <c r="Y37" s="38" t="s">
        <v>4673</v>
      </c>
      <c r="Z37" s="38" t="s">
        <v>4674</v>
      </c>
      <c r="AA37" s="38" t="s">
        <v>4675</v>
      </c>
      <c r="AB37" s="38"/>
      <c r="AC37" s="38" t="s">
        <v>24</v>
      </c>
      <c r="AD37" s="38" t="s">
        <v>10</v>
      </c>
      <c r="AE37" s="42" t="s">
        <v>4676</v>
      </c>
      <c r="AF37" s="38" t="s">
        <v>4677</v>
      </c>
      <c r="AG37" s="38" t="s">
        <v>60</v>
      </c>
      <c r="AH37" s="38" t="s">
        <v>59</v>
      </c>
      <c r="AI37" s="38" t="s">
        <v>4678</v>
      </c>
    </row>
    <row r="38" spans="1:35" x14ac:dyDescent="0.25">
      <c r="A38" s="41" t="s">
        <v>4599</v>
      </c>
      <c r="B38" s="38" t="s">
        <v>4600</v>
      </c>
      <c r="C38" s="38" t="s">
        <v>69</v>
      </c>
      <c r="D38" s="38"/>
      <c r="E38" s="38" t="s">
        <v>74</v>
      </c>
      <c r="F38" s="38" t="s">
        <v>75</v>
      </c>
      <c r="G38" s="38" t="s">
        <v>76</v>
      </c>
      <c r="H38" s="38" t="s">
        <v>78</v>
      </c>
      <c r="I38" s="38" t="s">
        <v>78</v>
      </c>
      <c r="J38" s="38" t="s">
        <v>79</v>
      </c>
      <c r="K38" s="38" t="s">
        <v>79</v>
      </c>
      <c r="L38" s="38" t="s">
        <v>79</v>
      </c>
      <c r="M38" s="38" t="s">
        <v>79</v>
      </c>
      <c r="N38" s="38" t="s">
        <v>69</v>
      </c>
      <c r="O38" s="38" t="s">
        <v>69</v>
      </c>
      <c r="P38" s="38" t="s">
        <v>69</v>
      </c>
      <c r="Q38" s="38" t="s">
        <v>70</v>
      </c>
      <c r="R38" s="38" t="s">
        <v>69</v>
      </c>
      <c r="S38" s="38" t="s">
        <v>69</v>
      </c>
      <c r="T38" s="38" t="s">
        <v>69</v>
      </c>
      <c r="U38" s="38" t="s">
        <v>69</v>
      </c>
      <c r="V38" s="38" t="s">
        <v>69</v>
      </c>
      <c r="W38" s="38" t="s">
        <v>69</v>
      </c>
      <c r="X38" s="38" t="s">
        <v>68</v>
      </c>
      <c r="Y38" s="38" t="s">
        <v>68</v>
      </c>
      <c r="Z38" s="38" t="s">
        <v>68</v>
      </c>
      <c r="AA38" s="38" t="s">
        <v>68</v>
      </c>
      <c r="AB38" s="38"/>
      <c r="AC38" s="38" t="s">
        <v>69</v>
      </c>
      <c r="AD38" s="38" t="s">
        <v>69</v>
      </c>
      <c r="AE38" s="42"/>
    </row>
    <row r="39" spans="1:35" x14ac:dyDescent="0.25">
      <c r="A39">
        <v>0</v>
      </c>
      <c r="B39">
        <v>800</v>
      </c>
      <c r="C39">
        <v>99</v>
      </c>
      <c r="D39">
        <v>0</v>
      </c>
      <c r="E39">
        <v>0</v>
      </c>
      <c r="F39">
        <v>0</v>
      </c>
      <c r="G39">
        <v>0</v>
      </c>
      <c r="H39">
        <v>0</v>
      </c>
      <c r="I39">
        <v>0</v>
      </c>
      <c r="J39">
        <v>0</v>
      </c>
      <c r="K39">
        <v>0</v>
      </c>
      <c r="L39">
        <v>0</v>
      </c>
      <c r="M39">
        <v>0</v>
      </c>
      <c r="N39">
        <v>2.89</v>
      </c>
      <c r="O39">
        <v>0</v>
      </c>
      <c r="P39">
        <v>0</v>
      </c>
      <c r="Q39">
        <v>0</v>
      </c>
      <c r="R39">
        <v>18</v>
      </c>
      <c r="S39">
        <v>6</v>
      </c>
      <c r="T39">
        <v>0</v>
      </c>
      <c r="U39">
        <v>3.45</v>
      </c>
      <c r="V39">
        <v>0</v>
      </c>
      <c r="W39">
        <v>69</v>
      </c>
      <c r="X39">
        <v>50</v>
      </c>
      <c r="Y39">
        <v>50</v>
      </c>
      <c r="Z39">
        <v>0</v>
      </c>
      <c r="AA39">
        <v>0</v>
      </c>
      <c r="AC39">
        <f>W39+V39+U39+T39+N39</f>
        <v>75.34</v>
      </c>
      <c r="AD39">
        <f>(J39/1.07+K39/1.51+L39/1.82+M39/2.04)/(B39)*10^2</f>
        <v>0</v>
      </c>
      <c r="AE39">
        <f>100*(T39*Z39/100+U39*AA39/100+W39+N39)/(N39+T39+U39+V39+W39)</f>
        <v>95.420759224847359</v>
      </c>
      <c r="AF39">
        <f>(AD39+R39*X39/100+S39*Y39/100+AE39*AC39/100)/C39*100</f>
        <v>84.73737373737373</v>
      </c>
      <c r="AG39">
        <f>(R39*0.496+S39*1.014+AC39*0.415)/(C39)*1000</f>
        <v>467.45555555555558</v>
      </c>
      <c r="AH39">
        <f>AG39*AF39/100</f>
        <v>396.10956116722781</v>
      </c>
      <c r="AI39" t="e">
        <f>(T39*(100-Z39)/100+U39*(100-AA39)/100+V39)/V39</f>
        <v>#DIV/0!</v>
      </c>
    </row>
    <row r="40" spans="1:35" x14ac:dyDescent="0.25">
      <c r="A40">
        <v>2000</v>
      </c>
      <c r="B40">
        <v>800</v>
      </c>
      <c r="C40">
        <v>99</v>
      </c>
      <c r="D40">
        <v>0</v>
      </c>
      <c r="E40">
        <v>0</v>
      </c>
      <c r="F40">
        <v>0</v>
      </c>
      <c r="G40">
        <v>0</v>
      </c>
      <c r="H40">
        <v>0</v>
      </c>
      <c r="I40">
        <v>0</v>
      </c>
      <c r="J40">
        <v>0</v>
      </c>
      <c r="K40">
        <v>0</v>
      </c>
      <c r="L40">
        <v>0</v>
      </c>
      <c r="M40">
        <v>0</v>
      </c>
      <c r="N40">
        <v>2.89</v>
      </c>
      <c r="O40">
        <v>0</v>
      </c>
      <c r="P40">
        <v>0</v>
      </c>
      <c r="Q40">
        <v>0</v>
      </c>
      <c r="R40">
        <v>18</v>
      </c>
      <c r="S40">
        <v>6</v>
      </c>
      <c r="T40">
        <v>0</v>
      </c>
      <c r="U40">
        <v>3.45</v>
      </c>
      <c r="V40">
        <v>0</v>
      </c>
      <c r="W40">
        <v>69</v>
      </c>
      <c r="X40">
        <v>50</v>
      </c>
      <c r="Y40">
        <v>50</v>
      </c>
      <c r="Z40">
        <v>0</v>
      </c>
      <c r="AA40">
        <v>0</v>
      </c>
      <c r="AE40">
        <f>AE39-90</f>
        <v>5.4207592248473588</v>
      </c>
    </row>
    <row r="42" spans="1:35" x14ac:dyDescent="0.25">
      <c r="A42" s="38" t="s">
        <v>4683</v>
      </c>
    </row>
    <row r="43" spans="1:35" x14ac:dyDescent="0.25">
      <c r="A43">
        <v>1</v>
      </c>
      <c r="B43">
        <f>1+A43</f>
        <v>2</v>
      </c>
      <c r="C43">
        <f t="shared" ref="C43:AA44" si="6">1+B43</f>
        <v>3</v>
      </c>
      <c r="D43">
        <f t="shared" si="6"/>
        <v>4</v>
      </c>
      <c r="E43">
        <f t="shared" si="6"/>
        <v>5</v>
      </c>
      <c r="F43">
        <f t="shared" si="6"/>
        <v>6</v>
      </c>
      <c r="G43">
        <f t="shared" si="6"/>
        <v>7</v>
      </c>
      <c r="H43">
        <f t="shared" si="6"/>
        <v>8</v>
      </c>
      <c r="I43">
        <f t="shared" si="6"/>
        <v>9</v>
      </c>
      <c r="J43">
        <f t="shared" si="6"/>
        <v>10</v>
      </c>
      <c r="K43">
        <f t="shared" si="6"/>
        <v>11</v>
      </c>
      <c r="L43">
        <f t="shared" si="6"/>
        <v>12</v>
      </c>
      <c r="M43">
        <f t="shared" si="6"/>
        <v>13</v>
      </c>
      <c r="N43">
        <f t="shared" si="6"/>
        <v>14</v>
      </c>
      <c r="O43">
        <f t="shared" si="6"/>
        <v>15</v>
      </c>
      <c r="P43">
        <f t="shared" si="6"/>
        <v>16</v>
      </c>
      <c r="Q43">
        <f t="shared" si="6"/>
        <v>17</v>
      </c>
      <c r="R43">
        <f t="shared" si="6"/>
        <v>18</v>
      </c>
      <c r="S43">
        <f t="shared" si="6"/>
        <v>19</v>
      </c>
      <c r="T43">
        <f t="shared" si="6"/>
        <v>20</v>
      </c>
      <c r="U43">
        <f t="shared" si="6"/>
        <v>21</v>
      </c>
      <c r="V43">
        <f t="shared" si="6"/>
        <v>22</v>
      </c>
      <c r="W43">
        <f t="shared" si="6"/>
        <v>23</v>
      </c>
      <c r="X43">
        <f t="shared" si="6"/>
        <v>24</v>
      </c>
      <c r="Y43">
        <f t="shared" si="6"/>
        <v>25</v>
      </c>
      <c r="Z43">
        <f t="shared" si="6"/>
        <v>26</v>
      </c>
      <c r="AA43">
        <f t="shared" si="6"/>
        <v>27</v>
      </c>
    </row>
    <row r="44" spans="1:35" x14ac:dyDescent="0.25">
      <c r="B44">
        <v>1</v>
      </c>
      <c r="C44">
        <f>1+B44</f>
        <v>2</v>
      </c>
      <c r="D44">
        <f t="shared" si="6"/>
        <v>3</v>
      </c>
      <c r="E44">
        <f t="shared" si="6"/>
        <v>4</v>
      </c>
      <c r="F44">
        <f t="shared" si="6"/>
        <v>5</v>
      </c>
      <c r="G44">
        <f t="shared" si="6"/>
        <v>6</v>
      </c>
      <c r="H44">
        <f t="shared" si="6"/>
        <v>7</v>
      </c>
      <c r="I44">
        <f t="shared" si="6"/>
        <v>8</v>
      </c>
      <c r="J44">
        <f t="shared" si="6"/>
        <v>9</v>
      </c>
      <c r="K44">
        <f t="shared" si="6"/>
        <v>10</v>
      </c>
      <c r="L44">
        <f t="shared" si="6"/>
        <v>11</v>
      </c>
      <c r="M44">
        <f t="shared" si="6"/>
        <v>12</v>
      </c>
      <c r="N44">
        <f t="shared" si="6"/>
        <v>13</v>
      </c>
      <c r="O44">
        <f t="shared" si="6"/>
        <v>14</v>
      </c>
      <c r="P44">
        <f t="shared" si="6"/>
        <v>15</v>
      </c>
      <c r="Q44">
        <f t="shared" si="6"/>
        <v>16</v>
      </c>
      <c r="R44">
        <f t="shared" si="6"/>
        <v>17</v>
      </c>
      <c r="S44">
        <f t="shared" si="6"/>
        <v>18</v>
      </c>
      <c r="T44">
        <f t="shared" si="6"/>
        <v>19</v>
      </c>
      <c r="U44">
        <f t="shared" si="6"/>
        <v>20</v>
      </c>
      <c r="V44">
        <f t="shared" si="6"/>
        <v>21</v>
      </c>
      <c r="W44">
        <f t="shared" si="6"/>
        <v>22</v>
      </c>
      <c r="X44">
        <f t="shared" si="6"/>
        <v>23</v>
      </c>
      <c r="Y44">
        <f t="shared" si="6"/>
        <v>24</v>
      </c>
      <c r="Z44">
        <f t="shared" si="6"/>
        <v>25</v>
      </c>
      <c r="AA44">
        <f t="shared" si="6"/>
        <v>26</v>
      </c>
    </row>
    <row r="45" spans="1:35" x14ac:dyDescent="0.25">
      <c r="A45" s="41" t="s">
        <v>4585</v>
      </c>
      <c r="B45" s="38" t="s">
        <v>4</v>
      </c>
      <c r="C45" s="38" t="s">
        <v>42</v>
      </c>
      <c r="D45" s="38" t="s">
        <v>43</v>
      </c>
      <c r="E45" s="38" t="s">
        <v>342</v>
      </c>
      <c r="F45" s="38" t="s">
        <v>345</v>
      </c>
      <c r="G45" s="38" t="s">
        <v>346</v>
      </c>
      <c r="H45" s="38" t="s">
        <v>48</v>
      </c>
      <c r="I45" s="38" t="s">
        <v>49</v>
      </c>
      <c r="J45" s="38" t="s">
        <v>4586</v>
      </c>
      <c r="K45" s="38" t="s">
        <v>4587</v>
      </c>
      <c r="L45" s="38" t="s">
        <v>4588</v>
      </c>
      <c r="M45" s="38" t="s">
        <v>4589</v>
      </c>
      <c r="N45" s="38" t="s">
        <v>4665</v>
      </c>
      <c r="O45" s="38" t="s">
        <v>4666</v>
      </c>
      <c r="P45" s="38" t="s">
        <v>4667</v>
      </c>
      <c r="Q45" s="38" t="s">
        <v>4590</v>
      </c>
      <c r="R45" s="38" t="s">
        <v>4668</v>
      </c>
      <c r="S45" s="38" t="s">
        <v>4669</v>
      </c>
      <c r="T45" s="38" t="s">
        <v>18</v>
      </c>
      <c r="U45" s="38" t="s">
        <v>4670</v>
      </c>
      <c r="V45" s="38" t="s">
        <v>86</v>
      </c>
      <c r="W45" s="38" t="s">
        <v>4671</v>
      </c>
      <c r="X45" s="38" t="s">
        <v>4672</v>
      </c>
      <c r="Y45" s="38" t="s">
        <v>4673</v>
      </c>
      <c r="Z45" s="38" t="s">
        <v>4674</v>
      </c>
      <c r="AA45" s="38" t="s">
        <v>4675</v>
      </c>
      <c r="AB45" s="38"/>
      <c r="AC45" s="38" t="s">
        <v>24</v>
      </c>
      <c r="AD45" s="38" t="s">
        <v>10</v>
      </c>
      <c r="AE45" s="42" t="s">
        <v>4676</v>
      </c>
      <c r="AF45" s="38" t="s">
        <v>4677</v>
      </c>
      <c r="AG45" s="38" t="s">
        <v>60</v>
      </c>
      <c r="AH45" s="38" t="s">
        <v>59</v>
      </c>
      <c r="AI45" s="38" t="s">
        <v>4678</v>
      </c>
    </row>
    <row r="46" spans="1:35" x14ac:dyDescent="0.25">
      <c r="A46" s="41" t="s">
        <v>4599</v>
      </c>
      <c r="B46" s="38" t="s">
        <v>4600</v>
      </c>
      <c r="C46" s="38" t="s">
        <v>69</v>
      </c>
      <c r="D46" s="38"/>
      <c r="E46" s="38" t="s">
        <v>74</v>
      </c>
      <c r="F46" s="38" t="s">
        <v>75</v>
      </c>
      <c r="G46" s="38" t="s">
        <v>76</v>
      </c>
      <c r="H46" s="38" t="s">
        <v>78</v>
      </c>
      <c r="I46" s="38" t="s">
        <v>78</v>
      </c>
      <c r="J46" s="38" t="s">
        <v>79</v>
      </c>
      <c r="K46" s="38" t="s">
        <v>79</v>
      </c>
      <c r="L46" s="38" t="s">
        <v>79</v>
      </c>
      <c r="M46" s="38" t="s">
        <v>79</v>
      </c>
      <c r="N46" s="38" t="s">
        <v>69</v>
      </c>
      <c r="O46" s="38" t="s">
        <v>69</v>
      </c>
      <c r="P46" s="38" t="s">
        <v>69</v>
      </c>
      <c r="Q46" s="38" t="s">
        <v>70</v>
      </c>
      <c r="R46" s="38" t="s">
        <v>69</v>
      </c>
      <c r="S46" s="38" t="s">
        <v>69</v>
      </c>
      <c r="T46" s="38" t="s">
        <v>69</v>
      </c>
      <c r="U46" s="38" t="s">
        <v>69</v>
      </c>
      <c r="V46" s="38" t="s">
        <v>69</v>
      </c>
      <c r="W46" s="38" t="s">
        <v>69</v>
      </c>
      <c r="X46" s="38" t="s">
        <v>68</v>
      </c>
      <c r="Y46" s="38" t="s">
        <v>68</v>
      </c>
      <c r="Z46" s="38" t="s">
        <v>68</v>
      </c>
      <c r="AA46" s="38" t="s">
        <v>68</v>
      </c>
      <c r="AB46" s="38"/>
      <c r="AC46" s="38" t="s">
        <v>69</v>
      </c>
      <c r="AD46" s="38" t="s">
        <v>69</v>
      </c>
      <c r="AE46" s="42"/>
    </row>
    <row r="47" spans="1:35" x14ac:dyDescent="0.25">
      <c r="A47">
        <v>0</v>
      </c>
      <c r="B47">
        <v>800</v>
      </c>
      <c r="C47">
        <v>97</v>
      </c>
      <c r="D47">
        <v>0</v>
      </c>
      <c r="E47">
        <v>0</v>
      </c>
      <c r="F47">
        <v>0</v>
      </c>
      <c r="G47">
        <v>0</v>
      </c>
      <c r="H47">
        <v>0</v>
      </c>
      <c r="I47">
        <v>0</v>
      </c>
      <c r="J47">
        <v>0</v>
      </c>
      <c r="K47">
        <v>0</v>
      </c>
      <c r="L47">
        <v>0</v>
      </c>
      <c r="M47">
        <v>0</v>
      </c>
      <c r="N47">
        <v>0</v>
      </c>
      <c r="O47">
        <v>0</v>
      </c>
      <c r="P47">
        <v>0</v>
      </c>
      <c r="Q47">
        <v>306</v>
      </c>
      <c r="R47">
        <v>15.9</v>
      </c>
      <c r="S47">
        <v>2.9</v>
      </c>
      <c r="T47">
        <v>4.5</v>
      </c>
      <c r="U47">
        <v>12.5</v>
      </c>
      <c r="V47">
        <v>0</v>
      </c>
      <c r="W47">
        <v>61</v>
      </c>
      <c r="X47">
        <v>50</v>
      </c>
      <c r="Y47">
        <v>50</v>
      </c>
      <c r="Z47">
        <v>0</v>
      </c>
      <c r="AA47" s="32">
        <v>0</v>
      </c>
      <c r="AC47">
        <f>W47+V47+U47+T47+N47</f>
        <v>78</v>
      </c>
      <c r="AD47">
        <f>(J47/1.07+K47/1.51+L47/1.82+M47/2.04)/(B47)*10^2</f>
        <v>0</v>
      </c>
      <c r="AE47">
        <f>100*(T47*Z47/100+U47*AA47/100+W47+N47)/(N47+T47+U47+V47+W47)</f>
        <v>78.205128205128204</v>
      </c>
      <c r="AF47">
        <f>(AD47+R47*X47/100+S47*Y47/100+AE47*AC47/100)/C47*100</f>
        <v>72.577319587628878</v>
      </c>
      <c r="AG47">
        <f>(R47*0.496+S47*1.014+AC47*0.415)/(C47)*1000</f>
        <v>445.32989690721649</v>
      </c>
      <c r="AH47">
        <f>AG47*AF47/100</f>
        <v>323.20850249760872</v>
      </c>
      <c r="AI47" t="e">
        <f>(T47*(100-Z47)/100+U47*(100-AA47)/100+V47)/V47</f>
        <v>#DIV/0!</v>
      </c>
    </row>
    <row r="48" spans="1:35" x14ac:dyDescent="0.25">
      <c r="A48">
        <v>2000</v>
      </c>
      <c r="B48">
        <v>800</v>
      </c>
      <c r="C48">
        <v>97</v>
      </c>
      <c r="D48">
        <v>0</v>
      </c>
      <c r="E48">
        <v>0</v>
      </c>
      <c r="F48">
        <v>0</v>
      </c>
      <c r="G48">
        <v>0</v>
      </c>
      <c r="H48">
        <v>0</v>
      </c>
      <c r="I48">
        <v>0</v>
      </c>
      <c r="J48">
        <v>0</v>
      </c>
      <c r="K48">
        <v>0</v>
      </c>
      <c r="L48">
        <v>0</v>
      </c>
      <c r="M48">
        <v>0</v>
      </c>
      <c r="N48">
        <v>0</v>
      </c>
      <c r="O48">
        <v>0</v>
      </c>
      <c r="P48">
        <v>0</v>
      </c>
      <c r="Q48">
        <v>306</v>
      </c>
      <c r="R48">
        <v>15.9</v>
      </c>
      <c r="S48">
        <v>2.9</v>
      </c>
      <c r="T48">
        <v>4.5</v>
      </c>
      <c r="U48">
        <v>12.5</v>
      </c>
      <c r="V48">
        <v>0</v>
      </c>
      <c r="W48">
        <v>61</v>
      </c>
      <c r="X48">
        <v>50</v>
      </c>
      <c r="Y48">
        <v>50</v>
      </c>
      <c r="Z48">
        <v>0</v>
      </c>
      <c r="AA48" s="32">
        <v>0</v>
      </c>
      <c r="AE48">
        <f>AE47-70</f>
        <v>8.2051282051282044</v>
      </c>
    </row>
    <row r="50" spans="1:41" x14ac:dyDescent="0.25">
      <c r="A50" s="38" t="s">
        <v>4684</v>
      </c>
    </row>
    <row r="51" spans="1:41" x14ac:dyDescent="0.25">
      <c r="A51">
        <v>1</v>
      </c>
      <c r="B51">
        <f>1+A51</f>
        <v>2</v>
      </c>
      <c r="C51">
        <f t="shared" ref="C51:AA52" si="7">1+B51</f>
        <v>3</v>
      </c>
      <c r="D51">
        <f t="shared" si="7"/>
        <v>4</v>
      </c>
      <c r="E51">
        <f t="shared" si="7"/>
        <v>5</v>
      </c>
      <c r="F51">
        <f t="shared" si="7"/>
        <v>6</v>
      </c>
      <c r="G51">
        <f t="shared" si="7"/>
        <v>7</v>
      </c>
      <c r="H51">
        <f t="shared" si="7"/>
        <v>8</v>
      </c>
      <c r="I51">
        <f t="shared" si="7"/>
        <v>9</v>
      </c>
      <c r="J51">
        <f t="shared" si="7"/>
        <v>10</v>
      </c>
      <c r="K51">
        <f t="shared" si="7"/>
        <v>11</v>
      </c>
      <c r="L51">
        <f t="shared" si="7"/>
        <v>12</v>
      </c>
      <c r="M51">
        <f t="shared" si="7"/>
        <v>13</v>
      </c>
      <c r="N51">
        <f t="shared" si="7"/>
        <v>14</v>
      </c>
      <c r="O51">
        <f t="shared" si="7"/>
        <v>15</v>
      </c>
      <c r="P51">
        <f t="shared" si="7"/>
        <v>16</v>
      </c>
      <c r="Q51">
        <f t="shared" si="7"/>
        <v>17</v>
      </c>
      <c r="R51">
        <f t="shared" si="7"/>
        <v>18</v>
      </c>
      <c r="S51">
        <f t="shared" si="7"/>
        <v>19</v>
      </c>
      <c r="T51">
        <f t="shared" si="7"/>
        <v>20</v>
      </c>
      <c r="U51">
        <f t="shared" si="7"/>
        <v>21</v>
      </c>
      <c r="V51">
        <f t="shared" si="7"/>
        <v>22</v>
      </c>
      <c r="W51">
        <f t="shared" si="7"/>
        <v>23</v>
      </c>
      <c r="X51">
        <f t="shared" si="7"/>
        <v>24</v>
      </c>
      <c r="Y51">
        <f t="shared" si="7"/>
        <v>25</v>
      </c>
      <c r="Z51">
        <f t="shared" si="7"/>
        <v>26</v>
      </c>
      <c r="AA51">
        <f t="shared" si="7"/>
        <v>27</v>
      </c>
    </row>
    <row r="52" spans="1:41" x14ac:dyDescent="0.25">
      <c r="B52">
        <v>1</v>
      </c>
      <c r="C52">
        <f>1+B52</f>
        <v>2</v>
      </c>
      <c r="D52">
        <f t="shared" si="7"/>
        <v>3</v>
      </c>
      <c r="E52">
        <f t="shared" si="7"/>
        <v>4</v>
      </c>
      <c r="F52">
        <f t="shared" si="7"/>
        <v>5</v>
      </c>
      <c r="G52">
        <f t="shared" si="7"/>
        <v>6</v>
      </c>
      <c r="H52">
        <f t="shared" si="7"/>
        <v>7</v>
      </c>
      <c r="I52">
        <f t="shared" si="7"/>
        <v>8</v>
      </c>
      <c r="J52">
        <f t="shared" si="7"/>
        <v>9</v>
      </c>
      <c r="K52">
        <f t="shared" si="7"/>
        <v>10</v>
      </c>
      <c r="L52">
        <f t="shared" si="7"/>
        <v>11</v>
      </c>
      <c r="M52">
        <f t="shared" si="7"/>
        <v>12</v>
      </c>
      <c r="N52">
        <f t="shared" si="7"/>
        <v>13</v>
      </c>
      <c r="O52">
        <f t="shared" si="7"/>
        <v>14</v>
      </c>
      <c r="P52">
        <f t="shared" si="7"/>
        <v>15</v>
      </c>
      <c r="Q52">
        <f t="shared" si="7"/>
        <v>16</v>
      </c>
      <c r="R52">
        <f t="shared" si="7"/>
        <v>17</v>
      </c>
      <c r="S52">
        <f t="shared" si="7"/>
        <v>18</v>
      </c>
      <c r="T52">
        <f t="shared" si="7"/>
        <v>19</v>
      </c>
      <c r="U52">
        <f t="shared" si="7"/>
        <v>20</v>
      </c>
      <c r="V52">
        <f t="shared" si="7"/>
        <v>21</v>
      </c>
      <c r="W52">
        <f t="shared" si="7"/>
        <v>22</v>
      </c>
      <c r="X52">
        <f t="shared" si="7"/>
        <v>23</v>
      </c>
      <c r="Y52">
        <f t="shared" si="7"/>
        <v>24</v>
      </c>
      <c r="Z52">
        <f t="shared" si="7"/>
        <v>25</v>
      </c>
      <c r="AA52">
        <f t="shared" si="7"/>
        <v>26</v>
      </c>
    </row>
    <row r="53" spans="1:41" x14ac:dyDescent="0.25">
      <c r="A53" s="41" t="s">
        <v>4585</v>
      </c>
      <c r="B53" s="38" t="s">
        <v>4</v>
      </c>
      <c r="C53" s="38" t="s">
        <v>42</v>
      </c>
      <c r="D53" s="38" t="s">
        <v>43</v>
      </c>
      <c r="E53" s="38" t="s">
        <v>342</v>
      </c>
      <c r="F53" s="38" t="s">
        <v>345</v>
      </c>
      <c r="G53" s="38" t="s">
        <v>346</v>
      </c>
      <c r="H53" s="38" t="s">
        <v>48</v>
      </c>
      <c r="I53" s="38" t="s">
        <v>49</v>
      </c>
      <c r="J53" s="38" t="s">
        <v>4586</v>
      </c>
      <c r="K53" s="38" t="s">
        <v>4587</v>
      </c>
      <c r="L53" s="38" t="s">
        <v>4588</v>
      </c>
      <c r="M53" s="38" t="s">
        <v>4589</v>
      </c>
      <c r="N53" s="38" t="s">
        <v>4665</v>
      </c>
      <c r="O53" s="38" t="s">
        <v>4666</v>
      </c>
      <c r="P53" s="38" t="s">
        <v>4667</v>
      </c>
      <c r="Q53" s="38" t="s">
        <v>4590</v>
      </c>
      <c r="R53" s="38" t="s">
        <v>4668</v>
      </c>
      <c r="S53" s="38" t="s">
        <v>4669</v>
      </c>
      <c r="T53" s="38" t="s">
        <v>18</v>
      </c>
      <c r="U53" s="38" t="s">
        <v>4670</v>
      </c>
      <c r="V53" s="38" t="s">
        <v>86</v>
      </c>
      <c r="W53" s="38" t="s">
        <v>4671</v>
      </c>
      <c r="X53" s="38" t="s">
        <v>4672</v>
      </c>
      <c r="Y53" s="38" t="s">
        <v>4673</v>
      </c>
      <c r="Z53" s="38" t="s">
        <v>4674</v>
      </c>
      <c r="AA53" s="38" t="s">
        <v>4675</v>
      </c>
      <c r="AC53" s="38" t="s">
        <v>24</v>
      </c>
      <c r="AD53" s="38" t="s">
        <v>10</v>
      </c>
      <c r="AE53" s="42" t="s">
        <v>4676</v>
      </c>
      <c r="AF53" s="38" t="s">
        <v>4677</v>
      </c>
      <c r="AG53" s="38" t="s">
        <v>60</v>
      </c>
      <c r="AH53" s="38" t="s">
        <v>59</v>
      </c>
      <c r="AI53" s="38" t="s">
        <v>4678</v>
      </c>
      <c r="AJ53" s="38" t="s">
        <v>4685</v>
      </c>
      <c r="AK53" s="38" t="s">
        <v>461</v>
      </c>
      <c r="AL53" s="38" t="s">
        <v>92</v>
      </c>
      <c r="AM53" s="38" t="s">
        <v>95</v>
      </c>
      <c r="AN53" s="38" t="s">
        <v>4686</v>
      </c>
      <c r="AO53" s="38" t="s">
        <v>4686</v>
      </c>
    </row>
    <row r="54" spans="1:41" x14ac:dyDescent="0.25">
      <c r="A54" s="41" t="s">
        <v>4599</v>
      </c>
      <c r="B54" s="38" t="s">
        <v>4600</v>
      </c>
      <c r="C54" s="38" t="s">
        <v>69</v>
      </c>
      <c r="D54" s="38"/>
      <c r="E54" s="38" t="s">
        <v>74</v>
      </c>
      <c r="F54" s="38" t="s">
        <v>75</v>
      </c>
      <c r="G54" s="38" t="s">
        <v>76</v>
      </c>
      <c r="H54" s="38" t="s">
        <v>78</v>
      </c>
      <c r="I54" s="38" t="s">
        <v>78</v>
      </c>
      <c r="J54" s="38" t="s">
        <v>79</v>
      </c>
      <c r="K54" s="38" t="s">
        <v>79</v>
      </c>
      <c r="L54" s="38" t="s">
        <v>79</v>
      </c>
      <c r="M54" s="38" t="s">
        <v>79</v>
      </c>
      <c r="N54" s="38" t="s">
        <v>69</v>
      </c>
      <c r="O54" s="38" t="s">
        <v>69</v>
      </c>
      <c r="P54" s="38" t="s">
        <v>69</v>
      </c>
      <c r="Q54" s="38" t="s">
        <v>70</v>
      </c>
      <c r="R54" s="38" t="s">
        <v>69</v>
      </c>
      <c r="S54" s="38" t="s">
        <v>69</v>
      </c>
      <c r="T54" s="38" t="s">
        <v>69</v>
      </c>
      <c r="U54" s="38" t="s">
        <v>69</v>
      </c>
      <c r="V54" s="38" t="s">
        <v>69</v>
      </c>
      <c r="W54" s="38" t="s">
        <v>69</v>
      </c>
      <c r="X54" s="38" t="s">
        <v>68</v>
      </c>
      <c r="Y54" s="38" t="s">
        <v>68</v>
      </c>
      <c r="Z54" s="38" t="s">
        <v>68</v>
      </c>
      <c r="AA54" s="38" t="s">
        <v>68</v>
      </c>
      <c r="AC54" s="38" t="s">
        <v>69</v>
      </c>
      <c r="AD54" s="38" t="s">
        <v>69</v>
      </c>
      <c r="AE54" s="42"/>
    </row>
    <row r="55" spans="1:41" x14ac:dyDescent="0.25">
      <c r="A55">
        <v>0</v>
      </c>
      <c r="B55">
        <v>250</v>
      </c>
      <c r="C55">
        <v>97</v>
      </c>
      <c r="D55">
        <v>0</v>
      </c>
      <c r="E55">
        <v>0</v>
      </c>
      <c r="F55">
        <v>167</v>
      </c>
      <c r="G55">
        <v>0</v>
      </c>
      <c r="H55">
        <v>0</v>
      </c>
      <c r="I55">
        <v>0</v>
      </c>
      <c r="J55">
        <v>10.7</v>
      </c>
      <c r="K55">
        <v>7.7</v>
      </c>
      <c r="L55">
        <v>7.2</v>
      </c>
      <c r="M55">
        <v>0</v>
      </c>
      <c r="N55">
        <v>0</v>
      </c>
      <c r="O55">
        <v>0</v>
      </c>
      <c r="P55">
        <v>0</v>
      </c>
      <c r="Q55">
        <v>273</v>
      </c>
      <c r="R55">
        <v>19.5</v>
      </c>
      <c r="S55">
        <v>10</v>
      </c>
      <c r="T55">
        <v>19.25</v>
      </c>
      <c r="U55">
        <v>19.25</v>
      </c>
      <c r="V55">
        <v>0</v>
      </c>
      <c r="W55">
        <v>29</v>
      </c>
      <c r="X55">
        <v>70</v>
      </c>
      <c r="Y55">
        <v>90</v>
      </c>
      <c r="Z55">
        <v>0</v>
      </c>
      <c r="AA55" s="32">
        <v>28</v>
      </c>
      <c r="AC55">
        <f>W55+V55+U55+T55+N55</f>
        <v>67.5</v>
      </c>
      <c r="AD55">
        <f>(J55/1.07+K55/1.51+L55/1.82+M55/2.04)/(B55)*10^2</f>
        <v>7.6221526817553302</v>
      </c>
      <c r="AE55">
        <f>100*(T55*Z55/100+U55*AA55/100+W55+N55)/(N55+T55+U55+V55+W55)</f>
        <v>50.94814814814815</v>
      </c>
      <c r="AF55">
        <f>(AD55+R55*X55/100+S55*Y55/100+AE55*AC55/100)/C55*100</f>
        <v>66.662013073974563</v>
      </c>
      <c r="AG55">
        <f>(R55*0.496+S55*1.014+AC55*0.415)/(C55)*1000</f>
        <v>493.03608247422682</v>
      </c>
      <c r="AH55">
        <f>AG55*AF55/100</f>
        <v>328.66777775838113</v>
      </c>
      <c r="AI55" t="e">
        <f>(T55*(100-Z55)/100+U55*(100-AA55)/100+V55)/V55</f>
        <v>#DIV/0!</v>
      </c>
      <c r="AJ55">
        <f>J55+K55+L55+M55+(R55+O55)*B55/100*'Substrate characterization'!$BR$3+(S55+P55)*B55/100*'Substrate characterization'!$BS$3+(T55+U55+W55)*B55/100*'Substrate characterization'!$BT$3+V55*B55/100*'Substrate characterization'!$BU$3+N55*B55/100*1.07</f>
        <v>372.16510876331296</v>
      </c>
      <c r="AK55">
        <f>AJ55/(B55*C55/100)</f>
        <v>1.5347014794363421</v>
      </c>
      <c r="AL55">
        <f>B55/100*'Substrate characterization'!$D$4*(R55*'Substrate characterization'!$P$4/(SUMPRODUCT('Substrate characterization'!$D$4:$D$7,'Substrate characterization'!$P$4:$P$7))+S55*'Substrate characterization'!$Q$4/(SUMPRODUCT('Substrate characterization'!$D$4:$D$7,'Substrate characterization'!$Q$4:$Q$7))+(T55+U55+W55)*'Substrate characterization'!$AI$4/(SUMPRODUCT('Substrate characterization'!$D$4:$D$7,'Substrate characterization'!$AI$4:$AI$7))+N55*'Substrate characterization'!$AH$4/(SUMPRODUCT('Substrate characterization'!$D$4:$D$7,'Substrate characterization'!$AH$4:$AH$7))+V55*'Substrate characterization'!$AE$4/(SUMPRODUCT('Substrate characterization'!$D$4:$D$7,'Substrate characterization'!$AE$4:$AE$7)))</f>
        <v>133.49223403663086</v>
      </c>
      <c r="AM55">
        <f>R55*B55/100*'Substrate characterization'!$D$6*('Substrate characterization'!$P$6/(SUMPRODUCT('Substrate characterization'!$D$4:$D$7,'Substrate characterization'!$P$4:$P$7)))</f>
        <v>8.2727272727272734</v>
      </c>
      <c r="AN55">
        <f>AL55/AM55</f>
        <v>16.136423894537796</v>
      </c>
      <c r="AO55">
        <f>AN55*14/12</f>
        <v>18.825827876960762</v>
      </c>
    </row>
    <row r="56" spans="1:41" x14ac:dyDescent="0.25">
      <c r="A56">
        <v>2000</v>
      </c>
      <c r="B56">
        <v>250</v>
      </c>
      <c r="C56">
        <v>97</v>
      </c>
      <c r="D56">
        <v>0</v>
      </c>
      <c r="E56">
        <v>0</v>
      </c>
      <c r="F56">
        <v>167</v>
      </c>
      <c r="G56">
        <v>0</v>
      </c>
      <c r="H56">
        <v>0</v>
      </c>
      <c r="I56">
        <v>0</v>
      </c>
      <c r="J56">
        <v>10.7</v>
      </c>
      <c r="K56">
        <v>7.7</v>
      </c>
      <c r="L56">
        <v>7.2</v>
      </c>
      <c r="M56">
        <v>0</v>
      </c>
      <c r="N56">
        <v>0</v>
      </c>
      <c r="O56">
        <v>0</v>
      </c>
      <c r="P56">
        <v>0</v>
      </c>
      <c r="Q56">
        <v>273</v>
      </c>
      <c r="R56">
        <v>19.5</v>
      </c>
      <c r="S56">
        <v>10</v>
      </c>
      <c r="T56">
        <v>19.25</v>
      </c>
      <c r="U56">
        <v>19.25</v>
      </c>
      <c r="V56">
        <v>0</v>
      </c>
      <c r="W56">
        <v>29</v>
      </c>
      <c r="X56">
        <v>70</v>
      </c>
      <c r="Y56">
        <v>90</v>
      </c>
      <c r="Z56">
        <v>0</v>
      </c>
      <c r="AA56" s="32">
        <v>28</v>
      </c>
      <c r="AE56">
        <f>AE55-60</f>
        <v>-9.0518518518518505</v>
      </c>
      <c r="AJ56">
        <f>J56+K56+L56+M56+(R56+O56)*B56/100*'Substrate characterization'!$BR$3+(S56+P56)*B56/100*'Substrate characterization'!$BS$3+(T56+U56+W56)*B56/100*'Substrate characterization'!$BT$3+V56*B56/100*'Substrate characterization'!$BU$3+N56*B56/100*1.07</f>
        <v>372.16510876331296</v>
      </c>
      <c r="AK56">
        <f>AJ56/(B56*C56/100)</f>
        <v>1.5347014794363421</v>
      </c>
    </row>
    <row r="58" spans="1:41" x14ac:dyDescent="0.25">
      <c r="A58" s="38" t="s">
        <v>4687</v>
      </c>
    </row>
    <row r="59" spans="1:41" x14ac:dyDescent="0.25">
      <c r="A59">
        <v>1</v>
      </c>
      <c r="B59">
        <f>1+A59</f>
        <v>2</v>
      </c>
      <c r="C59">
        <f t="shared" ref="C59:AA60" si="8">1+B59</f>
        <v>3</v>
      </c>
      <c r="D59">
        <f t="shared" si="8"/>
        <v>4</v>
      </c>
      <c r="E59">
        <f t="shared" si="8"/>
        <v>5</v>
      </c>
      <c r="F59">
        <f t="shared" si="8"/>
        <v>6</v>
      </c>
      <c r="G59">
        <f t="shared" si="8"/>
        <v>7</v>
      </c>
      <c r="H59">
        <f t="shared" si="8"/>
        <v>8</v>
      </c>
      <c r="I59">
        <f t="shared" si="8"/>
        <v>9</v>
      </c>
      <c r="J59">
        <f t="shared" si="8"/>
        <v>10</v>
      </c>
      <c r="K59">
        <f t="shared" si="8"/>
        <v>11</v>
      </c>
      <c r="L59">
        <f t="shared" si="8"/>
        <v>12</v>
      </c>
      <c r="M59">
        <f t="shared" si="8"/>
        <v>13</v>
      </c>
      <c r="N59">
        <f t="shared" si="8"/>
        <v>14</v>
      </c>
      <c r="O59">
        <f t="shared" si="8"/>
        <v>15</v>
      </c>
      <c r="P59">
        <f t="shared" si="8"/>
        <v>16</v>
      </c>
      <c r="Q59">
        <f t="shared" si="8"/>
        <v>17</v>
      </c>
      <c r="R59">
        <f t="shared" si="8"/>
        <v>18</v>
      </c>
      <c r="S59">
        <f t="shared" si="8"/>
        <v>19</v>
      </c>
      <c r="T59">
        <f t="shared" si="8"/>
        <v>20</v>
      </c>
      <c r="U59">
        <f t="shared" si="8"/>
        <v>21</v>
      </c>
      <c r="V59">
        <f t="shared" si="8"/>
        <v>22</v>
      </c>
      <c r="W59">
        <f t="shared" si="8"/>
        <v>23</v>
      </c>
      <c r="X59">
        <f t="shared" si="8"/>
        <v>24</v>
      </c>
      <c r="Y59">
        <f t="shared" si="8"/>
        <v>25</v>
      </c>
      <c r="Z59">
        <f t="shared" si="8"/>
        <v>26</v>
      </c>
      <c r="AA59">
        <f t="shared" si="8"/>
        <v>27</v>
      </c>
    </row>
    <row r="60" spans="1:41" x14ac:dyDescent="0.25">
      <c r="B60">
        <v>1</v>
      </c>
      <c r="C60">
        <f>1+B60</f>
        <v>2</v>
      </c>
      <c r="D60">
        <f t="shared" si="8"/>
        <v>3</v>
      </c>
      <c r="E60">
        <f t="shared" si="8"/>
        <v>4</v>
      </c>
      <c r="F60">
        <f t="shared" si="8"/>
        <v>5</v>
      </c>
      <c r="G60">
        <f t="shared" si="8"/>
        <v>6</v>
      </c>
      <c r="H60">
        <f t="shared" si="8"/>
        <v>7</v>
      </c>
      <c r="I60">
        <f t="shared" si="8"/>
        <v>8</v>
      </c>
      <c r="J60">
        <f t="shared" si="8"/>
        <v>9</v>
      </c>
      <c r="K60">
        <f t="shared" si="8"/>
        <v>10</v>
      </c>
      <c r="L60">
        <f t="shared" si="8"/>
        <v>11</v>
      </c>
      <c r="M60">
        <f t="shared" si="8"/>
        <v>12</v>
      </c>
      <c r="N60">
        <f t="shared" si="8"/>
        <v>13</v>
      </c>
      <c r="O60">
        <f t="shared" si="8"/>
        <v>14</v>
      </c>
      <c r="P60">
        <f t="shared" si="8"/>
        <v>15</v>
      </c>
      <c r="Q60">
        <f t="shared" si="8"/>
        <v>16</v>
      </c>
      <c r="R60">
        <f t="shared" si="8"/>
        <v>17</v>
      </c>
      <c r="S60">
        <f t="shared" si="8"/>
        <v>18</v>
      </c>
      <c r="T60">
        <f t="shared" si="8"/>
        <v>19</v>
      </c>
      <c r="U60">
        <f t="shared" si="8"/>
        <v>20</v>
      </c>
      <c r="V60">
        <f t="shared" si="8"/>
        <v>21</v>
      </c>
      <c r="W60">
        <f t="shared" si="8"/>
        <v>22</v>
      </c>
      <c r="X60">
        <f t="shared" si="8"/>
        <v>23</v>
      </c>
      <c r="Y60">
        <f t="shared" si="8"/>
        <v>24</v>
      </c>
      <c r="Z60">
        <f t="shared" si="8"/>
        <v>25</v>
      </c>
      <c r="AA60">
        <f t="shared" si="8"/>
        <v>26</v>
      </c>
    </row>
    <row r="61" spans="1:41" x14ac:dyDescent="0.25">
      <c r="A61" s="41" t="s">
        <v>4585</v>
      </c>
      <c r="B61" s="38" t="s">
        <v>4</v>
      </c>
      <c r="C61" s="38" t="s">
        <v>42</v>
      </c>
      <c r="D61" s="38" t="s">
        <v>43</v>
      </c>
      <c r="E61" s="38" t="s">
        <v>342</v>
      </c>
      <c r="F61" s="38" t="s">
        <v>345</v>
      </c>
      <c r="G61" s="38" t="s">
        <v>346</v>
      </c>
      <c r="H61" s="38" t="s">
        <v>48</v>
      </c>
      <c r="I61" s="38" t="s">
        <v>49</v>
      </c>
      <c r="J61" s="38" t="s">
        <v>4586</v>
      </c>
      <c r="K61" s="38" t="s">
        <v>4587</v>
      </c>
      <c r="L61" s="38" t="s">
        <v>4588</v>
      </c>
      <c r="M61" s="38" t="s">
        <v>4589</v>
      </c>
      <c r="N61" s="38" t="s">
        <v>4665</v>
      </c>
      <c r="O61" s="38" t="s">
        <v>4666</v>
      </c>
      <c r="P61" s="38" t="s">
        <v>4667</v>
      </c>
      <c r="Q61" s="38" t="s">
        <v>4590</v>
      </c>
      <c r="R61" s="38" t="s">
        <v>4668</v>
      </c>
      <c r="S61" s="38" t="s">
        <v>4669</v>
      </c>
      <c r="T61" s="38" t="s">
        <v>18</v>
      </c>
      <c r="U61" s="38" t="s">
        <v>4670</v>
      </c>
      <c r="V61" s="38" t="s">
        <v>86</v>
      </c>
      <c r="W61" s="38" t="s">
        <v>4671</v>
      </c>
      <c r="X61" s="38" t="s">
        <v>4672</v>
      </c>
      <c r="Y61" s="38" t="s">
        <v>4673</v>
      </c>
      <c r="Z61" s="38" t="s">
        <v>4674</v>
      </c>
      <c r="AA61" s="38" t="s">
        <v>4675</v>
      </c>
      <c r="AB61" s="38"/>
      <c r="AC61" s="38" t="s">
        <v>24</v>
      </c>
      <c r="AD61" s="38" t="s">
        <v>10</v>
      </c>
      <c r="AE61" s="42" t="s">
        <v>4676</v>
      </c>
      <c r="AF61" s="38" t="s">
        <v>4677</v>
      </c>
      <c r="AG61" s="38" t="s">
        <v>60</v>
      </c>
      <c r="AH61" s="38" t="s">
        <v>59</v>
      </c>
      <c r="AI61" s="38" t="s">
        <v>4678</v>
      </c>
    </row>
    <row r="62" spans="1:41" x14ac:dyDescent="0.25">
      <c r="A62" s="41" t="s">
        <v>4599</v>
      </c>
      <c r="B62" s="38" t="s">
        <v>4600</v>
      </c>
      <c r="C62" s="38" t="s">
        <v>69</v>
      </c>
      <c r="D62" s="38"/>
      <c r="E62" s="38" t="s">
        <v>74</v>
      </c>
      <c r="F62" s="38" t="s">
        <v>75</v>
      </c>
      <c r="G62" s="38" t="s">
        <v>76</v>
      </c>
      <c r="H62" s="38" t="s">
        <v>78</v>
      </c>
      <c r="I62" s="38" t="s">
        <v>78</v>
      </c>
      <c r="J62" s="38" t="s">
        <v>79</v>
      </c>
      <c r="K62" s="38" t="s">
        <v>79</v>
      </c>
      <c r="L62" s="38" t="s">
        <v>79</v>
      </c>
      <c r="M62" s="38" t="s">
        <v>79</v>
      </c>
      <c r="N62" s="38" t="s">
        <v>69</v>
      </c>
      <c r="O62" s="38" t="s">
        <v>69</v>
      </c>
      <c r="P62" s="38" t="s">
        <v>69</v>
      </c>
      <c r="Q62" s="38" t="s">
        <v>70</v>
      </c>
      <c r="R62" s="38" t="s">
        <v>69</v>
      </c>
      <c r="S62" s="38" t="s">
        <v>69</v>
      </c>
      <c r="T62" s="38" t="s">
        <v>69</v>
      </c>
      <c r="U62" s="38" t="s">
        <v>69</v>
      </c>
      <c r="V62" s="38" t="s">
        <v>69</v>
      </c>
      <c r="W62" s="38" t="s">
        <v>69</v>
      </c>
      <c r="X62" s="38" t="s">
        <v>68</v>
      </c>
      <c r="Y62" s="38" t="s">
        <v>68</v>
      </c>
      <c r="Z62" s="38" t="s">
        <v>68</v>
      </c>
      <c r="AA62" s="38" t="s">
        <v>68</v>
      </c>
      <c r="AB62" s="38"/>
      <c r="AC62" s="38" t="s">
        <v>69</v>
      </c>
      <c r="AD62" s="38" t="s">
        <v>69</v>
      </c>
      <c r="AE62" s="42"/>
    </row>
    <row r="63" spans="1:41" x14ac:dyDescent="0.25">
      <c r="A63">
        <v>0</v>
      </c>
      <c r="B63">
        <v>32</v>
      </c>
      <c r="C63">
        <v>90.8</v>
      </c>
      <c r="D63">
        <v>7.21</v>
      </c>
      <c r="E63">
        <v>12741</v>
      </c>
      <c r="F63">
        <v>1400</v>
      </c>
      <c r="G63">
        <v>650</v>
      </c>
      <c r="H63">
        <v>7.0000000000000001E-3</v>
      </c>
      <c r="I63">
        <v>1.2999999999999999E-2</v>
      </c>
      <c r="J63">
        <v>7.68</v>
      </c>
      <c r="K63">
        <v>0</v>
      </c>
      <c r="L63">
        <v>0</v>
      </c>
      <c r="M63">
        <v>0</v>
      </c>
      <c r="N63">
        <v>0</v>
      </c>
      <c r="O63">
        <v>0</v>
      </c>
      <c r="P63">
        <v>0</v>
      </c>
      <c r="Q63">
        <v>174</v>
      </c>
      <c r="R63">
        <v>27</v>
      </c>
      <c r="S63">
        <v>12</v>
      </c>
      <c r="T63">
        <v>0</v>
      </c>
      <c r="U63">
        <v>0</v>
      </c>
      <c r="V63">
        <v>0</v>
      </c>
      <c r="W63">
        <v>28</v>
      </c>
      <c r="X63">
        <v>73</v>
      </c>
      <c r="Y63">
        <v>50</v>
      </c>
      <c r="Z63">
        <v>28</v>
      </c>
      <c r="AA63">
        <v>28</v>
      </c>
      <c r="AC63">
        <f>W63+V63+U63+T63+N63</f>
        <v>28</v>
      </c>
      <c r="AD63">
        <f>(J63/1.07+K63/1.51+L63/1.82+M63/2.04)/(B63)*10^2</f>
        <v>22.42990654205607</v>
      </c>
      <c r="AE63">
        <f>100*(T63*Z63/100+U63*AA63/100+W63+N63)/(N63+T63+U63+V63+W63)</f>
        <v>100</v>
      </c>
      <c r="AF63">
        <f>(AD63+R63*X63/100+S63*Y63/100+AE63*AC63/100)/C63*100</f>
        <v>83.854522623409764</v>
      </c>
      <c r="AG63">
        <f>(R63*0.496+S63*1.014+AC63*0.415)/(C63)*1000</f>
        <v>409.47136563876654</v>
      </c>
      <c r="AH63">
        <f>AG63*AF63/100</f>
        <v>343.36025893594444</v>
      </c>
      <c r="AI63" t="e">
        <f>(T63*(100-Z63)/100+U63*(100-AA63)/100+V63)/V63</f>
        <v>#DIV/0!</v>
      </c>
    </row>
    <row r="64" spans="1:41" x14ac:dyDescent="0.25">
      <c r="A64">
        <v>2000</v>
      </c>
      <c r="B64">
        <v>32</v>
      </c>
      <c r="C64">
        <v>90.8</v>
      </c>
      <c r="D64">
        <v>7.21</v>
      </c>
      <c r="E64">
        <v>12741</v>
      </c>
      <c r="F64">
        <v>1400</v>
      </c>
      <c r="G64">
        <v>650</v>
      </c>
      <c r="H64">
        <v>7.0000000000000001E-3</v>
      </c>
      <c r="I64">
        <v>1.2999999999999999E-2</v>
      </c>
      <c r="J64">
        <v>7.68</v>
      </c>
      <c r="K64">
        <v>0</v>
      </c>
      <c r="L64">
        <v>0</v>
      </c>
      <c r="M64">
        <v>0</v>
      </c>
      <c r="N64">
        <v>0</v>
      </c>
      <c r="O64">
        <v>0</v>
      </c>
      <c r="P64">
        <v>0</v>
      </c>
      <c r="Q64">
        <v>174</v>
      </c>
      <c r="R64">
        <v>27</v>
      </c>
      <c r="S64">
        <v>12</v>
      </c>
      <c r="T64">
        <v>0</v>
      </c>
      <c r="U64">
        <v>0</v>
      </c>
      <c r="V64">
        <v>0</v>
      </c>
      <c r="W64">
        <v>28</v>
      </c>
      <c r="X64">
        <v>73</v>
      </c>
      <c r="Y64">
        <v>50</v>
      </c>
      <c r="Z64">
        <v>28</v>
      </c>
      <c r="AA64">
        <v>28</v>
      </c>
      <c r="AE64">
        <f>AE63-31</f>
        <v>69</v>
      </c>
      <c r="AF64" t="s">
        <v>4688</v>
      </c>
    </row>
    <row r="66" spans="1:35" x14ac:dyDescent="0.25">
      <c r="A66" s="38" t="s">
        <v>4689</v>
      </c>
    </row>
    <row r="67" spans="1:35" x14ac:dyDescent="0.25">
      <c r="A67">
        <v>1</v>
      </c>
      <c r="B67">
        <f>1+A67</f>
        <v>2</v>
      </c>
      <c r="C67">
        <f t="shared" ref="C67:AA68" si="9">1+B67</f>
        <v>3</v>
      </c>
      <c r="D67">
        <f t="shared" si="9"/>
        <v>4</v>
      </c>
      <c r="E67">
        <f t="shared" si="9"/>
        <v>5</v>
      </c>
      <c r="F67">
        <f t="shared" si="9"/>
        <v>6</v>
      </c>
      <c r="G67">
        <f t="shared" si="9"/>
        <v>7</v>
      </c>
      <c r="H67">
        <f t="shared" si="9"/>
        <v>8</v>
      </c>
      <c r="I67">
        <f t="shared" si="9"/>
        <v>9</v>
      </c>
      <c r="J67">
        <f t="shared" si="9"/>
        <v>10</v>
      </c>
      <c r="K67">
        <f t="shared" si="9"/>
        <v>11</v>
      </c>
      <c r="L67">
        <f t="shared" si="9"/>
        <v>12</v>
      </c>
      <c r="M67">
        <f t="shared" si="9"/>
        <v>13</v>
      </c>
      <c r="N67">
        <f t="shared" si="9"/>
        <v>14</v>
      </c>
      <c r="O67">
        <f t="shared" si="9"/>
        <v>15</v>
      </c>
      <c r="P67">
        <f t="shared" si="9"/>
        <v>16</v>
      </c>
      <c r="Q67">
        <f t="shared" si="9"/>
        <v>17</v>
      </c>
      <c r="R67">
        <f t="shared" si="9"/>
        <v>18</v>
      </c>
      <c r="S67">
        <f t="shared" si="9"/>
        <v>19</v>
      </c>
      <c r="T67">
        <f t="shared" si="9"/>
        <v>20</v>
      </c>
      <c r="U67">
        <f t="shared" si="9"/>
        <v>21</v>
      </c>
      <c r="V67">
        <f t="shared" si="9"/>
        <v>22</v>
      </c>
      <c r="W67">
        <f t="shared" si="9"/>
        <v>23</v>
      </c>
      <c r="X67">
        <f t="shared" si="9"/>
        <v>24</v>
      </c>
      <c r="Y67">
        <f t="shared" si="9"/>
        <v>25</v>
      </c>
      <c r="Z67">
        <f t="shared" si="9"/>
        <v>26</v>
      </c>
      <c r="AA67">
        <f t="shared" si="9"/>
        <v>27</v>
      </c>
    </row>
    <row r="68" spans="1:35" x14ac:dyDescent="0.25">
      <c r="B68">
        <v>1</v>
      </c>
      <c r="C68">
        <f>1+B68</f>
        <v>2</v>
      </c>
      <c r="D68">
        <f t="shared" si="9"/>
        <v>3</v>
      </c>
      <c r="E68">
        <f t="shared" si="9"/>
        <v>4</v>
      </c>
      <c r="F68">
        <f t="shared" si="9"/>
        <v>5</v>
      </c>
      <c r="G68">
        <f t="shared" si="9"/>
        <v>6</v>
      </c>
      <c r="H68">
        <f t="shared" si="9"/>
        <v>7</v>
      </c>
      <c r="I68">
        <f t="shared" si="9"/>
        <v>8</v>
      </c>
      <c r="J68">
        <f t="shared" si="9"/>
        <v>9</v>
      </c>
      <c r="K68">
        <f t="shared" si="9"/>
        <v>10</v>
      </c>
      <c r="L68">
        <f t="shared" si="9"/>
        <v>11</v>
      </c>
      <c r="M68">
        <f t="shared" si="9"/>
        <v>12</v>
      </c>
      <c r="N68">
        <f t="shared" si="9"/>
        <v>13</v>
      </c>
      <c r="O68">
        <f t="shared" si="9"/>
        <v>14</v>
      </c>
      <c r="P68">
        <f t="shared" si="9"/>
        <v>15</v>
      </c>
      <c r="Q68">
        <f t="shared" si="9"/>
        <v>16</v>
      </c>
      <c r="R68">
        <f t="shared" si="9"/>
        <v>17</v>
      </c>
      <c r="S68">
        <f t="shared" si="9"/>
        <v>18</v>
      </c>
      <c r="T68">
        <f t="shared" si="9"/>
        <v>19</v>
      </c>
      <c r="U68">
        <f t="shared" si="9"/>
        <v>20</v>
      </c>
      <c r="V68">
        <f t="shared" si="9"/>
        <v>21</v>
      </c>
      <c r="W68">
        <f t="shared" si="9"/>
        <v>22</v>
      </c>
      <c r="X68">
        <f t="shared" si="9"/>
        <v>23</v>
      </c>
      <c r="Y68">
        <f t="shared" si="9"/>
        <v>24</v>
      </c>
      <c r="Z68">
        <f t="shared" si="9"/>
        <v>25</v>
      </c>
      <c r="AA68">
        <f t="shared" si="9"/>
        <v>26</v>
      </c>
    </row>
    <row r="69" spans="1:35" x14ac:dyDescent="0.25">
      <c r="A69" s="41" t="s">
        <v>4585</v>
      </c>
      <c r="B69" s="38" t="s">
        <v>4</v>
      </c>
      <c r="C69" s="38" t="s">
        <v>42</v>
      </c>
      <c r="D69" s="38" t="s">
        <v>43</v>
      </c>
      <c r="E69" s="38" t="s">
        <v>342</v>
      </c>
      <c r="F69" s="38" t="s">
        <v>345</v>
      </c>
      <c r="G69" s="38" t="s">
        <v>346</v>
      </c>
      <c r="H69" s="38" t="s">
        <v>48</v>
      </c>
      <c r="I69" s="38" t="s">
        <v>49</v>
      </c>
      <c r="J69" s="38" t="s">
        <v>4586</v>
      </c>
      <c r="K69" s="38" t="s">
        <v>4587</v>
      </c>
      <c r="L69" s="38" t="s">
        <v>4588</v>
      </c>
      <c r="M69" s="38" t="s">
        <v>4589</v>
      </c>
      <c r="N69" s="38" t="s">
        <v>4665</v>
      </c>
      <c r="O69" s="38" t="s">
        <v>4666</v>
      </c>
      <c r="P69" s="38" t="s">
        <v>4667</v>
      </c>
      <c r="Q69" s="38" t="s">
        <v>4590</v>
      </c>
      <c r="R69" s="38" t="s">
        <v>4668</v>
      </c>
      <c r="S69" s="38" t="s">
        <v>4669</v>
      </c>
      <c r="T69" s="38" t="s">
        <v>18</v>
      </c>
      <c r="U69" s="38" t="s">
        <v>4670</v>
      </c>
      <c r="V69" s="38" t="s">
        <v>86</v>
      </c>
      <c r="W69" s="38" t="s">
        <v>4671</v>
      </c>
      <c r="X69" s="38" t="s">
        <v>4672</v>
      </c>
      <c r="Y69" s="38" t="s">
        <v>4673</v>
      </c>
      <c r="Z69" s="38" t="s">
        <v>4674</v>
      </c>
      <c r="AA69" s="38" t="s">
        <v>4675</v>
      </c>
      <c r="AB69" s="38"/>
      <c r="AC69" s="38" t="s">
        <v>24</v>
      </c>
      <c r="AD69" s="38" t="s">
        <v>10</v>
      </c>
      <c r="AE69" s="42" t="s">
        <v>4676</v>
      </c>
      <c r="AF69" s="38" t="s">
        <v>4677</v>
      </c>
      <c r="AG69" s="38" t="s">
        <v>60</v>
      </c>
      <c r="AH69" s="38" t="s">
        <v>59</v>
      </c>
      <c r="AI69" s="38" t="s">
        <v>4678</v>
      </c>
    </row>
    <row r="70" spans="1:35" x14ac:dyDescent="0.25">
      <c r="A70" s="41" t="s">
        <v>4599</v>
      </c>
      <c r="B70" s="38" t="s">
        <v>4600</v>
      </c>
      <c r="C70" s="38" t="s">
        <v>69</v>
      </c>
      <c r="D70" s="38"/>
      <c r="E70" s="38" t="s">
        <v>74</v>
      </c>
      <c r="F70" s="38" t="s">
        <v>75</v>
      </c>
      <c r="G70" s="38" t="s">
        <v>76</v>
      </c>
      <c r="H70" s="38" t="s">
        <v>78</v>
      </c>
      <c r="I70" s="38" t="s">
        <v>78</v>
      </c>
      <c r="J70" s="38" t="s">
        <v>79</v>
      </c>
      <c r="K70" s="38" t="s">
        <v>79</v>
      </c>
      <c r="L70" s="38" t="s">
        <v>79</v>
      </c>
      <c r="M70" s="38" t="s">
        <v>79</v>
      </c>
      <c r="N70" s="38" t="s">
        <v>69</v>
      </c>
      <c r="O70" s="38" t="s">
        <v>69</v>
      </c>
      <c r="P70" s="38" t="s">
        <v>69</v>
      </c>
      <c r="Q70" s="38" t="s">
        <v>70</v>
      </c>
      <c r="R70" s="38" t="s">
        <v>69</v>
      </c>
      <c r="S70" s="38" t="s">
        <v>69</v>
      </c>
      <c r="T70" s="38" t="s">
        <v>69</v>
      </c>
      <c r="U70" s="38" t="s">
        <v>69</v>
      </c>
      <c r="V70" s="38" t="s">
        <v>69</v>
      </c>
      <c r="W70" s="38" t="s">
        <v>69</v>
      </c>
      <c r="X70" s="38" t="s">
        <v>68</v>
      </c>
      <c r="Y70" s="38" t="s">
        <v>68</v>
      </c>
      <c r="Z70" s="38" t="s">
        <v>68</v>
      </c>
      <c r="AA70" s="38" t="s">
        <v>68</v>
      </c>
      <c r="AB70" s="38"/>
      <c r="AC70" s="38" t="s">
        <v>69</v>
      </c>
      <c r="AD70" s="38" t="s">
        <v>69</v>
      </c>
      <c r="AE70" s="42"/>
    </row>
    <row r="71" spans="1:35" x14ac:dyDescent="0.25">
      <c r="A71">
        <v>0</v>
      </c>
      <c r="B71">
        <v>50</v>
      </c>
      <c r="C71">
        <v>94.94</v>
      </c>
      <c r="D71">
        <v>5</v>
      </c>
      <c r="E71">
        <v>0</v>
      </c>
      <c r="F71">
        <v>0</v>
      </c>
      <c r="G71">
        <v>260</v>
      </c>
      <c r="H71">
        <f>0.13/40</f>
        <v>3.2500000000000003E-3</v>
      </c>
      <c r="I71">
        <f>0.16/24.3</f>
        <v>6.5843621399176953E-3</v>
      </c>
      <c r="J71">
        <v>1</v>
      </c>
      <c r="K71">
        <v>0</v>
      </c>
      <c r="L71">
        <v>0</v>
      </c>
      <c r="M71">
        <v>0</v>
      </c>
      <c r="N71">
        <f>4.1/(1.5+5.5+1.6+0.8+0.5)*100</f>
        <v>41.414141414141412</v>
      </c>
      <c r="O71">
        <v>0</v>
      </c>
      <c r="P71">
        <v>0</v>
      </c>
      <c r="Q71" s="32">
        <v>506</v>
      </c>
      <c r="R71">
        <f>0.8/(1.5+5.5+1.6+0.8+0.5)*100</f>
        <v>8.0808080808080813</v>
      </c>
      <c r="S71">
        <f>1.5/(1.5+5.5+1.6+0.8+0.5)*100</f>
        <v>15.151515151515152</v>
      </c>
      <c r="T71">
        <v>0</v>
      </c>
      <c r="U71">
        <v>30.303030303030297</v>
      </c>
      <c r="V71">
        <v>0</v>
      </c>
      <c r="W71">
        <v>0</v>
      </c>
      <c r="X71">
        <v>100</v>
      </c>
      <c r="Y71">
        <v>100</v>
      </c>
      <c r="Z71">
        <v>0</v>
      </c>
      <c r="AA71">
        <v>99</v>
      </c>
      <c r="AC71">
        <f>W71+V71+U71+T71+N71</f>
        <v>71.717171717171709</v>
      </c>
      <c r="AD71">
        <f>(J71/1.07+K71/1.51+L71/1.82+M71/2.04)/(B71)*10^2</f>
        <v>1.8691588785046727</v>
      </c>
      <c r="AE71">
        <f>100*(T71*Z71/100+U71*AA71/100+W71+N71)/(N71+T71+U71+V71+W71)</f>
        <v>99.577464788732399</v>
      </c>
      <c r="AF71">
        <f>(AD71+R71*X71/100+S71*Y71/100+AE71*AC71/100)/C71*100</f>
        <v>101.65959924686045</v>
      </c>
      <c r="AG71">
        <f>(R71*0.496+S71*1.014+AC71*0.415)/(C71)*1000</f>
        <v>517.53047645190054</v>
      </c>
      <c r="AH71">
        <f>AG71*AF71/100</f>
        <v>526.11940834136954</v>
      </c>
      <c r="AI71" t="e">
        <f>(T71*(100-Z71)/100+U71*(100-AA71)/100+V71)/V71</f>
        <v>#DIV/0!</v>
      </c>
    </row>
    <row r="72" spans="1:35" x14ac:dyDescent="0.25">
      <c r="A72">
        <v>2000</v>
      </c>
      <c r="B72">
        <v>50</v>
      </c>
      <c r="C72">
        <v>94.94</v>
      </c>
      <c r="D72">
        <v>5</v>
      </c>
      <c r="E72">
        <v>0</v>
      </c>
      <c r="F72">
        <v>0</v>
      </c>
      <c r="G72">
        <v>260</v>
      </c>
      <c r="H72">
        <f>0.13/40</f>
        <v>3.2500000000000003E-3</v>
      </c>
      <c r="I72">
        <f>0.16/24.3</f>
        <v>6.5843621399176953E-3</v>
      </c>
      <c r="J72">
        <v>1</v>
      </c>
      <c r="K72">
        <v>0</v>
      </c>
      <c r="L72">
        <v>0</v>
      </c>
      <c r="M72">
        <v>0</v>
      </c>
      <c r="N72">
        <f>4.1/(1.5+5.5+1.6+0.8+0.5)*100</f>
        <v>41.414141414141412</v>
      </c>
      <c r="O72">
        <v>0</v>
      </c>
      <c r="P72">
        <v>0</v>
      </c>
      <c r="Q72" s="32">
        <v>506</v>
      </c>
      <c r="R72">
        <f>0.8/(1.5+5.5+1.6+0.8+0.5)*100</f>
        <v>8.0808080808080813</v>
      </c>
      <c r="S72">
        <f>1.5/(1.5+5.5+1.6+0.8+0.5)*100</f>
        <v>15.151515151515152</v>
      </c>
      <c r="T72">
        <v>0</v>
      </c>
      <c r="U72">
        <v>30.303030303030297</v>
      </c>
      <c r="V72">
        <v>0</v>
      </c>
      <c r="W72">
        <v>0</v>
      </c>
      <c r="X72">
        <v>100</v>
      </c>
      <c r="Y72">
        <v>100</v>
      </c>
      <c r="Z72">
        <v>0</v>
      </c>
      <c r="AA72">
        <v>99</v>
      </c>
      <c r="AE72">
        <f>AE71-31</f>
        <v>68.577464788732399</v>
      </c>
    </row>
    <row r="74" spans="1:35" x14ac:dyDescent="0.25">
      <c r="A74" s="38" t="s">
        <v>4690</v>
      </c>
    </row>
    <row r="75" spans="1:35" x14ac:dyDescent="0.25">
      <c r="A75">
        <v>1</v>
      </c>
      <c r="B75">
        <f>1+A75</f>
        <v>2</v>
      </c>
      <c r="C75">
        <f t="shared" ref="C75:AA76" si="10">1+B75</f>
        <v>3</v>
      </c>
      <c r="D75">
        <f t="shared" si="10"/>
        <v>4</v>
      </c>
      <c r="E75">
        <f t="shared" si="10"/>
        <v>5</v>
      </c>
      <c r="F75">
        <f t="shared" si="10"/>
        <v>6</v>
      </c>
      <c r="G75">
        <f t="shared" si="10"/>
        <v>7</v>
      </c>
      <c r="H75">
        <f t="shared" si="10"/>
        <v>8</v>
      </c>
      <c r="I75">
        <f t="shared" si="10"/>
        <v>9</v>
      </c>
      <c r="J75">
        <f t="shared" si="10"/>
        <v>10</v>
      </c>
      <c r="K75">
        <f t="shared" si="10"/>
        <v>11</v>
      </c>
      <c r="L75">
        <f t="shared" si="10"/>
        <v>12</v>
      </c>
      <c r="M75">
        <f t="shared" si="10"/>
        <v>13</v>
      </c>
      <c r="N75">
        <f t="shared" si="10"/>
        <v>14</v>
      </c>
      <c r="O75">
        <f t="shared" si="10"/>
        <v>15</v>
      </c>
      <c r="P75">
        <f t="shared" si="10"/>
        <v>16</v>
      </c>
      <c r="Q75">
        <f t="shared" si="10"/>
        <v>17</v>
      </c>
      <c r="R75">
        <f t="shared" si="10"/>
        <v>18</v>
      </c>
      <c r="S75">
        <f t="shared" si="10"/>
        <v>19</v>
      </c>
      <c r="T75">
        <f t="shared" si="10"/>
        <v>20</v>
      </c>
      <c r="U75">
        <f t="shared" si="10"/>
        <v>21</v>
      </c>
      <c r="V75">
        <f t="shared" si="10"/>
        <v>22</v>
      </c>
      <c r="W75">
        <f t="shared" si="10"/>
        <v>23</v>
      </c>
      <c r="X75">
        <f t="shared" si="10"/>
        <v>24</v>
      </c>
      <c r="Y75">
        <f t="shared" si="10"/>
        <v>25</v>
      </c>
      <c r="Z75">
        <f t="shared" si="10"/>
        <v>26</v>
      </c>
      <c r="AA75">
        <f t="shared" si="10"/>
        <v>27</v>
      </c>
    </row>
    <row r="76" spans="1:35" x14ac:dyDescent="0.25">
      <c r="B76">
        <v>1</v>
      </c>
      <c r="C76">
        <f>1+B76</f>
        <v>2</v>
      </c>
      <c r="D76">
        <f t="shared" si="10"/>
        <v>3</v>
      </c>
      <c r="E76">
        <f t="shared" si="10"/>
        <v>4</v>
      </c>
      <c r="F76">
        <f t="shared" si="10"/>
        <v>5</v>
      </c>
      <c r="G76">
        <f t="shared" si="10"/>
        <v>6</v>
      </c>
      <c r="H76">
        <f t="shared" si="10"/>
        <v>7</v>
      </c>
      <c r="I76">
        <f t="shared" si="10"/>
        <v>8</v>
      </c>
      <c r="J76">
        <f t="shared" si="10"/>
        <v>9</v>
      </c>
      <c r="K76">
        <f t="shared" si="10"/>
        <v>10</v>
      </c>
      <c r="L76">
        <f t="shared" si="10"/>
        <v>11</v>
      </c>
      <c r="M76">
        <f t="shared" si="10"/>
        <v>12</v>
      </c>
      <c r="N76">
        <f t="shared" si="10"/>
        <v>13</v>
      </c>
      <c r="O76">
        <f t="shared" si="10"/>
        <v>14</v>
      </c>
      <c r="P76">
        <f t="shared" si="10"/>
        <v>15</v>
      </c>
      <c r="Q76">
        <f t="shared" si="10"/>
        <v>16</v>
      </c>
      <c r="R76">
        <f t="shared" si="10"/>
        <v>17</v>
      </c>
      <c r="S76">
        <f t="shared" si="10"/>
        <v>18</v>
      </c>
      <c r="T76">
        <f t="shared" si="10"/>
        <v>19</v>
      </c>
      <c r="U76">
        <f t="shared" si="10"/>
        <v>20</v>
      </c>
      <c r="V76">
        <f t="shared" si="10"/>
        <v>21</v>
      </c>
      <c r="W76">
        <f t="shared" si="10"/>
        <v>22</v>
      </c>
      <c r="X76">
        <f t="shared" si="10"/>
        <v>23</v>
      </c>
      <c r="Y76">
        <f t="shared" si="10"/>
        <v>24</v>
      </c>
      <c r="Z76">
        <f t="shared" si="10"/>
        <v>25</v>
      </c>
      <c r="AA76">
        <f t="shared" si="10"/>
        <v>26</v>
      </c>
    </row>
    <row r="77" spans="1:35" x14ac:dyDescent="0.25">
      <c r="A77" s="41" t="s">
        <v>4585</v>
      </c>
      <c r="B77" s="38" t="s">
        <v>4</v>
      </c>
      <c r="C77" s="38" t="s">
        <v>42</v>
      </c>
      <c r="D77" s="38" t="s">
        <v>43</v>
      </c>
      <c r="E77" s="38" t="s">
        <v>342</v>
      </c>
      <c r="F77" s="38" t="s">
        <v>345</v>
      </c>
      <c r="G77" s="38" t="s">
        <v>346</v>
      </c>
      <c r="H77" s="38" t="s">
        <v>48</v>
      </c>
      <c r="I77" s="38" t="s">
        <v>49</v>
      </c>
      <c r="J77" s="38" t="s">
        <v>4586</v>
      </c>
      <c r="K77" s="38" t="s">
        <v>4587</v>
      </c>
      <c r="L77" s="38" t="s">
        <v>4588</v>
      </c>
      <c r="M77" s="38" t="s">
        <v>4589</v>
      </c>
      <c r="N77" s="38" t="s">
        <v>4665</v>
      </c>
      <c r="O77" s="38" t="s">
        <v>4666</v>
      </c>
      <c r="P77" s="38" t="s">
        <v>4667</v>
      </c>
      <c r="Q77" s="38" t="s">
        <v>4590</v>
      </c>
      <c r="R77" s="38" t="s">
        <v>4668</v>
      </c>
      <c r="S77" s="38" t="s">
        <v>4669</v>
      </c>
      <c r="T77" s="38" t="s">
        <v>18</v>
      </c>
      <c r="U77" s="38" t="s">
        <v>4670</v>
      </c>
      <c r="V77" s="38" t="s">
        <v>86</v>
      </c>
      <c r="W77" s="38" t="s">
        <v>4671</v>
      </c>
      <c r="X77" s="38" t="s">
        <v>4672</v>
      </c>
      <c r="Y77" s="38" t="s">
        <v>4673</v>
      </c>
      <c r="Z77" s="38" t="s">
        <v>4674</v>
      </c>
      <c r="AA77" s="38" t="s">
        <v>4675</v>
      </c>
      <c r="AC77" s="38" t="s">
        <v>24</v>
      </c>
      <c r="AD77" s="38" t="s">
        <v>10</v>
      </c>
      <c r="AE77" s="42" t="s">
        <v>4676</v>
      </c>
      <c r="AF77" s="38" t="s">
        <v>4677</v>
      </c>
      <c r="AG77" s="38" t="s">
        <v>60</v>
      </c>
      <c r="AH77" s="38" t="s">
        <v>59</v>
      </c>
      <c r="AI77" s="38" t="s">
        <v>4678</v>
      </c>
    </row>
    <row r="78" spans="1:35" x14ac:dyDescent="0.25">
      <c r="A78" s="41" t="s">
        <v>4599</v>
      </c>
      <c r="B78" s="38" t="s">
        <v>4600</v>
      </c>
      <c r="C78" s="38" t="s">
        <v>69</v>
      </c>
      <c r="D78" s="38"/>
      <c r="E78" s="38" t="s">
        <v>74</v>
      </c>
      <c r="F78" s="38" t="s">
        <v>75</v>
      </c>
      <c r="G78" s="38" t="s">
        <v>76</v>
      </c>
      <c r="H78" s="38" t="s">
        <v>78</v>
      </c>
      <c r="I78" s="38" t="s">
        <v>78</v>
      </c>
      <c r="J78" s="38" t="s">
        <v>79</v>
      </c>
      <c r="K78" s="38" t="s">
        <v>79</v>
      </c>
      <c r="L78" s="38" t="s">
        <v>79</v>
      </c>
      <c r="M78" s="38" t="s">
        <v>79</v>
      </c>
      <c r="N78" s="38" t="s">
        <v>69</v>
      </c>
      <c r="O78" s="38" t="s">
        <v>69</v>
      </c>
      <c r="P78" s="38" t="s">
        <v>69</v>
      </c>
      <c r="Q78" s="38" t="s">
        <v>70</v>
      </c>
      <c r="R78" s="38" t="s">
        <v>69</v>
      </c>
      <c r="S78" s="38" t="s">
        <v>69</v>
      </c>
      <c r="T78" s="38" t="s">
        <v>69</v>
      </c>
      <c r="U78" s="38" t="s">
        <v>69</v>
      </c>
      <c r="V78" s="38" t="s">
        <v>69</v>
      </c>
      <c r="W78" s="38" t="s">
        <v>69</v>
      </c>
      <c r="X78" s="38" t="s">
        <v>68</v>
      </c>
      <c r="Y78" s="38" t="s">
        <v>68</v>
      </c>
      <c r="Z78" s="38" t="s">
        <v>68</v>
      </c>
      <c r="AA78" s="38" t="s">
        <v>68</v>
      </c>
      <c r="AC78" s="38" t="s">
        <v>69</v>
      </c>
      <c r="AD78" s="38" t="s">
        <v>69</v>
      </c>
      <c r="AE78" s="42"/>
    </row>
    <row r="79" spans="1:35" x14ac:dyDescent="0.25">
      <c r="A79">
        <v>0</v>
      </c>
      <c r="B79">
        <v>466</v>
      </c>
      <c r="C79">
        <v>83.7</v>
      </c>
      <c r="D79">
        <v>6</v>
      </c>
      <c r="E79">
        <v>0</v>
      </c>
      <c r="F79">
        <v>0</v>
      </c>
      <c r="G79">
        <v>0</v>
      </c>
      <c r="H79">
        <f>0.022/40</f>
        <v>5.4999999999999992E-4</v>
      </c>
      <c r="I79">
        <f>0.16/24.3</f>
        <v>6.5843621399176953E-3</v>
      </c>
      <c r="J79">
        <v>0</v>
      </c>
      <c r="K79">
        <v>0</v>
      </c>
      <c r="L79">
        <v>0</v>
      </c>
      <c r="M79">
        <v>0</v>
      </c>
      <c r="N79">
        <v>3.0696821515892423</v>
      </c>
      <c r="O79">
        <v>0</v>
      </c>
      <c r="P79">
        <v>0</v>
      </c>
      <c r="Q79">
        <v>350</v>
      </c>
      <c r="R79">
        <v>13.608924205378976</v>
      </c>
      <c r="S79">
        <v>2.2511002444987778</v>
      </c>
      <c r="T79">
        <v>5.6993765281173605</v>
      </c>
      <c r="U79">
        <v>1.5655378973105136</v>
      </c>
      <c r="V79">
        <v>0</v>
      </c>
      <c r="W79">
        <v>57.505378973105145</v>
      </c>
      <c r="X79">
        <v>50</v>
      </c>
      <c r="Y79">
        <v>50</v>
      </c>
      <c r="Z79">
        <v>0</v>
      </c>
      <c r="AA79">
        <v>50</v>
      </c>
      <c r="AC79">
        <f>W79+V79+U79+T79+N79</f>
        <v>67.839975550122261</v>
      </c>
      <c r="AD79">
        <f>(J79/1.07+K79/1.51+L79/1.82+M79/2.04)/(B79)*10^2</f>
        <v>0</v>
      </c>
      <c r="AE79">
        <f>100*(T79*Z79/100+U79*AA79/100+W79+N79)/(N79+T79+U79+V79+W79)</f>
        <v>90.444947209653108</v>
      </c>
      <c r="AF79">
        <f>(AD79+R79*X79/100+S79*Y79/100+AE79*AC79/100)/C79*100</f>
        <v>82.781173594132042</v>
      </c>
      <c r="AG79">
        <f>(R79*0.496+S79*1.014+AC79*0.415)/(C79)*1000</f>
        <v>444.2799511002446</v>
      </c>
      <c r="AH79">
        <f>AG79*AF79/100</f>
        <v>367.78015756421848</v>
      </c>
      <c r="AI79" t="e">
        <f>(T79*(100-Z79)/100+U79*(100-AA79)/100+V79)/V79</f>
        <v>#DIV/0!</v>
      </c>
    </row>
    <row r="80" spans="1:35" x14ac:dyDescent="0.25">
      <c r="A80">
        <v>2000</v>
      </c>
      <c r="B80">
        <v>466</v>
      </c>
      <c r="C80">
        <v>83.7</v>
      </c>
      <c r="D80">
        <v>6</v>
      </c>
      <c r="E80">
        <v>0</v>
      </c>
      <c r="F80">
        <v>0</v>
      </c>
      <c r="G80">
        <v>0</v>
      </c>
      <c r="H80">
        <f>0.022/40</f>
        <v>5.4999999999999992E-4</v>
      </c>
      <c r="I80">
        <f>0.16/24.3</f>
        <v>6.5843621399176953E-3</v>
      </c>
      <c r="J80">
        <v>0</v>
      </c>
      <c r="K80">
        <v>0</v>
      </c>
      <c r="L80">
        <v>0</v>
      </c>
      <c r="M80">
        <v>0</v>
      </c>
      <c r="N80">
        <v>3.0696821515892423</v>
      </c>
      <c r="O80">
        <v>0</v>
      </c>
      <c r="P80">
        <v>0</v>
      </c>
      <c r="Q80">
        <v>350</v>
      </c>
      <c r="R80">
        <v>13.608924205378976</v>
      </c>
      <c r="S80">
        <v>2.2511002444987778</v>
      </c>
      <c r="T80">
        <v>5.6993765281173605</v>
      </c>
      <c r="U80">
        <v>1.5655378973105136</v>
      </c>
      <c r="V80">
        <v>0</v>
      </c>
      <c r="W80">
        <v>57.505378973105145</v>
      </c>
      <c r="X80">
        <v>50</v>
      </c>
      <c r="Y80">
        <v>50</v>
      </c>
      <c r="Z80">
        <v>0</v>
      </c>
      <c r="AA80">
        <v>50</v>
      </c>
      <c r="AE80">
        <f>AE79-31</f>
        <v>59.444947209653108</v>
      </c>
    </row>
    <row r="82" spans="1:37" x14ac:dyDescent="0.25">
      <c r="A82" s="38" t="s">
        <v>4691</v>
      </c>
    </row>
    <row r="83" spans="1:37" x14ac:dyDescent="0.25">
      <c r="A83">
        <v>1</v>
      </c>
      <c r="B83">
        <f>1+A83</f>
        <v>2</v>
      </c>
      <c r="C83">
        <f t="shared" ref="C83" si="11">1+B83</f>
        <v>3</v>
      </c>
      <c r="D83">
        <f t="shared" ref="D83:D84" si="12">1+C83</f>
        <v>4</v>
      </c>
      <c r="E83">
        <f t="shared" ref="E83:E84" si="13">1+D83</f>
        <v>5</v>
      </c>
      <c r="F83">
        <f t="shared" ref="F83:F84" si="14">1+E83</f>
        <v>6</v>
      </c>
      <c r="G83">
        <f t="shared" ref="G83:G84" si="15">1+F83</f>
        <v>7</v>
      </c>
      <c r="H83">
        <f t="shared" ref="H83:H84" si="16">1+G83</f>
        <v>8</v>
      </c>
      <c r="I83">
        <f t="shared" ref="I83:I84" si="17">1+H83</f>
        <v>9</v>
      </c>
      <c r="J83">
        <f t="shared" ref="J83:J84" si="18">1+I83</f>
        <v>10</v>
      </c>
      <c r="K83">
        <f t="shared" ref="K83:K84" si="19">1+J83</f>
        <v>11</v>
      </c>
      <c r="L83">
        <f t="shared" ref="L83:L84" si="20">1+K83</f>
        <v>12</v>
      </c>
      <c r="M83">
        <f t="shared" ref="M83:M84" si="21">1+L83</f>
        <v>13</v>
      </c>
      <c r="N83">
        <f t="shared" ref="N83:N84" si="22">1+M83</f>
        <v>14</v>
      </c>
      <c r="O83">
        <f t="shared" ref="O83:O84" si="23">1+N83</f>
        <v>15</v>
      </c>
      <c r="P83">
        <f t="shared" ref="P83:P84" si="24">1+O83</f>
        <v>16</v>
      </c>
      <c r="Q83">
        <f t="shared" ref="Q83:Q84" si="25">1+P83</f>
        <v>17</v>
      </c>
      <c r="R83">
        <f t="shared" ref="R83:R84" si="26">1+Q83</f>
        <v>18</v>
      </c>
      <c r="S83">
        <f t="shared" ref="S83:S84" si="27">1+R83</f>
        <v>19</v>
      </c>
      <c r="T83">
        <f t="shared" ref="T83:T84" si="28">1+S83</f>
        <v>20</v>
      </c>
      <c r="U83">
        <f t="shared" ref="U83:U84" si="29">1+T83</f>
        <v>21</v>
      </c>
      <c r="V83">
        <f t="shared" ref="V83:V84" si="30">1+U83</f>
        <v>22</v>
      </c>
      <c r="W83">
        <f t="shared" ref="W83:W84" si="31">1+V83</f>
        <v>23</v>
      </c>
      <c r="X83">
        <f t="shared" ref="X83:X84" si="32">1+W83</f>
        <v>24</v>
      </c>
      <c r="Y83">
        <f t="shared" ref="Y83:Y84" si="33">1+X83</f>
        <v>25</v>
      </c>
      <c r="Z83">
        <f t="shared" ref="Z83:Z84" si="34">1+Y83</f>
        <v>26</v>
      </c>
      <c r="AA83">
        <f t="shared" ref="AA83:AA84" si="35">1+Z83</f>
        <v>27</v>
      </c>
    </row>
    <row r="84" spans="1:37" x14ac:dyDescent="0.25">
      <c r="B84">
        <v>1</v>
      </c>
      <c r="C84">
        <f>1+B84</f>
        <v>2</v>
      </c>
      <c r="D84">
        <f t="shared" si="12"/>
        <v>3</v>
      </c>
      <c r="E84">
        <f t="shared" si="13"/>
        <v>4</v>
      </c>
      <c r="F84">
        <f t="shared" si="14"/>
        <v>5</v>
      </c>
      <c r="G84">
        <f t="shared" si="15"/>
        <v>6</v>
      </c>
      <c r="H84">
        <f t="shared" si="16"/>
        <v>7</v>
      </c>
      <c r="I84">
        <f t="shared" si="17"/>
        <v>8</v>
      </c>
      <c r="J84">
        <f t="shared" si="18"/>
        <v>9</v>
      </c>
      <c r="K84">
        <f t="shared" si="19"/>
        <v>10</v>
      </c>
      <c r="L84">
        <f t="shared" si="20"/>
        <v>11</v>
      </c>
      <c r="M84">
        <f t="shared" si="21"/>
        <v>12</v>
      </c>
      <c r="N84">
        <f t="shared" si="22"/>
        <v>13</v>
      </c>
      <c r="O84">
        <f t="shared" si="23"/>
        <v>14</v>
      </c>
      <c r="P84">
        <f t="shared" si="24"/>
        <v>15</v>
      </c>
      <c r="Q84">
        <f t="shared" si="25"/>
        <v>16</v>
      </c>
      <c r="R84">
        <f t="shared" si="26"/>
        <v>17</v>
      </c>
      <c r="S84">
        <f t="shared" si="27"/>
        <v>18</v>
      </c>
      <c r="T84">
        <f t="shared" si="28"/>
        <v>19</v>
      </c>
      <c r="U84">
        <f t="shared" si="29"/>
        <v>20</v>
      </c>
      <c r="V84">
        <f t="shared" si="30"/>
        <v>21</v>
      </c>
      <c r="W84">
        <f t="shared" si="31"/>
        <v>22</v>
      </c>
      <c r="X84">
        <f t="shared" si="32"/>
        <v>23</v>
      </c>
      <c r="Y84">
        <f t="shared" si="33"/>
        <v>24</v>
      </c>
      <c r="Z84">
        <f t="shared" si="34"/>
        <v>25</v>
      </c>
      <c r="AA84">
        <f t="shared" si="35"/>
        <v>26</v>
      </c>
    </row>
    <row r="85" spans="1:37" x14ac:dyDescent="0.25">
      <c r="A85" s="41" t="s">
        <v>4585</v>
      </c>
      <c r="B85" s="38" t="s">
        <v>4</v>
      </c>
      <c r="C85" s="38" t="s">
        <v>42</v>
      </c>
      <c r="D85" s="38" t="s">
        <v>43</v>
      </c>
      <c r="E85" s="38" t="s">
        <v>342</v>
      </c>
      <c r="F85" s="38" t="s">
        <v>345</v>
      </c>
      <c r="G85" s="38" t="s">
        <v>346</v>
      </c>
      <c r="H85" s="38" t="s">
        <v>48</v>
      </c>
      <c r="I85" s="38" t="s">
        <v>49</v>
      </c>
      <c r="J85" s="38" t="s">
        <v>4586</v>
      </c>
      <c r="K85" s="38" t="s">
        <v>4587</v>
      </c>
      <c r="L85" s="38" t="s">
        <v>4588</v>
      </c>
      <c r="M85" s="38" t="s">
        <v>4589</v>
      </c>
      <c r="N85" s="38" t="s">
        <v>4665</v>
      </c>
      <c r="O85" s="38" t="s">
        <v>4666</v>
      </c>
      <c r="P85" s="38" t="s">
        <v>4667</v>
      </c>
      <c r="Q85" s="38" t="s">
        <v>4590</v>
      </c>
      <c r="R85" s="38" t="s">
        <v>4668</v>
      </c>
      <c r="S85" s="38" t="s">
        <v>4669</v>
      </c>
      <c r="T85" s="38" t="s">
        <v>18</v>
      </c>
      <c r="U85" s="38" t="s">
        <v>4670</v>
      </c>
      <c r="V85" s="38" t="s">
        <v>86</v>
      </c>
      <c r="W85" s="38" t="s">
        <v>4671</v>
      </c>
      <c r="X85" s="38" t="s">
        <v>4672</v>
      </c>
      <c r="Y85" s="38" t="s">
        <v>4673</v>
      </c>
      <c r="Z85" s="38" t="s">
        <v>4674</v>
      </c>
      <c r="AA85" s="38" t="s">
        <v>4675</v>
      </c>
      <c r="AB85" s="38"/>
      <c r="AC85" s="38" t="s">
        <v>24</v>
      </c>
      <c r="AD85" s="38" t="s">
        <v>10</v>
      </c>
      <c r="AE85" s="42" t="s">
        <v>4676</v>
      </c>
      <c r="AF85" s="38" t="s">
        <v>4677</v>
      </c>
      <c r="AG85" s="38" t="s">
        <v>60</v>
      </c>
      <c r="AH85" s="38" t="s">
        <v>59</v>
      </c>
      <c r="AI85" s="38" t="s">
        <v>4678</v>
      </c>
    </row>
    <row r="86" spans="1:37" x14ac:dyDescent="0.25">
      <c r="A86" s="41" t="s">
        <v>4599</v>
      </c>
      <c r="B86" s="38" t="s">
        <v>4600</v>
      </c>
      <c r="C86" s="38" t="s">
        <v>69</v>
      </c>
      <c r="D86" s="38"/>
      <c r="E86" s="38" t="s">
        <v>74</v>
      </c>
      <c r="F86" s="38" t="s">
        <v>75</v>
      </c>
      <c r="G86" s="38" t="s">
        <v>76</v>
      </c>
      <c r="H86" s="38" t="s">
        <v>78</v>
      </c>
      <c r="I86" s="38" t="s">
        <v>78</v>
      </c>
      <c r="J86" s="38" t="s">
        <v>79</v>
      </c>
      <c r="K86" s="38" t="s">
        <v>79</v>
      </c>
      <c r="L86" s="38" t="s">
        <v>79</v>
      </c>
      <c r="M86" s="38" t="s">
        <v>79</v>
      </c>
      <c r="N86" s="38" t="s">
        <v>69</v>
      </c>
      <c r="O86" s="38" t="s">
        <v>69</v>
      </c>
      <c r="P86" s="38" t="s">
        <v>69</v>
      </c>
      <c r="Q86" s="38" t="s">
        <v>70</v>
      </c>
      <c r="R86" s="38" t="s">
        <v>69</v>
      </c>
      <c r="S86" s="38" t="s">
        <v>69</v>
      </c>
      <c r="T86" s="38" t="s">
        <v>69</v>
      </c>
      <c r="U86" s="38" t="s">
        <v>69</v>
      </c>
      <c r="V86" s="38" t="s">
        <v>69</v>
      </c>
      <c r="W86" s="38" t="s">
        <v>69</v>
      </c>
      <c r="X86" s="38" t="s">
        <v>68</v>
      </c>
      <c r="Y86" s="38" t="s">
        <v>68</v>
      </c>
      <c r="Z86" s="38" t="s">
        <v>68</v>
      </c>
      <c r="AA86" s="38" t="s">
        <v>68</v>
      </c>
      <c r="AB86" s="38"/>
      <c r="AC86" s="38" t="s">
        <v>69</v>
      </c>
      <c r="AD86" s="38" t="s">
        <v>69</v>
      </c>
      <c r="AE86" s="42"/>
    </row>
    <row r="87" spans="1:37" x14ac:dyDescent="0.25">
      <c r="A87">
        <v>0</v>
      </c>
      <c r="B87">
        <v>265.7</v>
      </c>
      <c r="C87">
        <v>95.9</v>
      </c>
      <c r="D87">
        <v>4.3</v>
      </c>
      <c r="E87">
        <v>2000</v>
      </c>
      <c r="F87">
        <v>764</v>
      </c>
      <c r="G87">
        <v>0</v>
      </c>
      <c r="H87">
        <v>7.0000000000000001E-3</v>
      </c>
      <c r="I87">
        <v>1.2999999999999999E-2</v>
      </c>
      <c r="J87">
        <v>9.4578011070578913</v>
      </c>
      <c r="K87">
        <v>2.6068637605075335</v>
      </c>
      <c r="L87">
        <v>0.4152586185567011</v>
      </c>
      <c r="M87">
        <v>0</v>
      </c>
      <c r="N87">
        <v>0.65684978413957196</v>
      </c>
      <c r="O87">
        <v>0</v>
      </c>
      <c r="P87">
        <v>0</v>
      </c>
      <c r="Q87">
        <v>352</v>
      </c>
      <c r="R87">
        <v>6.857098445595855</v>
      </c>
      <c r="S87">
        <v>2.5838341968911922</v>
      </c>
      <c r="T87">
        <v>22.161347150259068</v>
      </c>
      <c r="U87">
        <v>14.60860103626943</v>
      </c>
      <c r="V87">
        <v>1.6894300518134715</v>
      </c>
      <c r="W87">
        <v>44.322694300518137</v>
      </c>
      <c r="X87">
        <v>77</v>
      </c>
      <c r="Y87">
        <v>100</v>
      </c>
      <c r="Z87">
        <v>36</v>
      </c>
      <c r="AA87">
        <v>80</v>
      </c>
      <c r="AC87">
        <f>W87+V87+U87+T87+N87</f>
        <v>83.438922322999687</v>
      </c>
      <c r="AD87">
        <f>(J87/1.07+K87/1.51+L87/1.82+M87/2.04)/(B88)*10^2</f>
        <v>4.0623373627098465</v>
      </c>
      <c r="AE87">
        <f>100*(T87*Z87/100+U87*AA87/100+W87+N87)/(N87+T87+U87+V87+W87)</f>
        <v>77.47524547059912</v>
      </c>
      <c r="AF87">
        <f>(AD87+R87*X87/100+S87*Y87/100+AE87*AC87/100)/C87*100</f>
        <v>79.844261992154713</v>
      </c>
      <c r="AG87">
        <f>(R87*0.496+S87*1.014+(T87+U87+W87+V87+N87)*0.415)/(C87)*1000</f>
        <v>423.86112063303523</v>
      </c>
      <c r="AH87">
        <f>AG87*AF87/100</f>
        <v>338.42878364112357</v>
      </c>
      <c r="AI87">
        <f>(T87*(100-Z87)/100+U87*(100-AA87)/100+V87)/V87</f>
        <v>11.124705882352943</v>
      </c>
    </row>
    <row r="88" spans="1:37" x14ac:dyDescent="0.25">
      <c r="A88">
        <v>2000</v>
      </c>
      <c r="B88">
        <v>265.7</v>
      </c>
      <c r="C88">
        <v>95.9</v>
      </c>
      <c r="D88">
        <v>4.3</v>
      </c>
      <c r="E88">
        <v>2000</v>
      </c>
      <c r="F88">
        <v>764</v>
      </c>
      <c r="G88">
        <v>0</v>
      </c>
      <c r="H88">
        <v>7.0000000000000001E-3</v>
      </c>
      <c r="I88">
        <v>1.2999999999999999E-2</v>
      </c>
      <c r="J88">
        <v>9.4578011070578913</v>
      </c>
      <c r="K88">
        <v>2.6068637605075335</v>
      </c>
      <c r="L88">
        <v>0.4152586185567011</v>
      </c>
      <c r="M88">
        <v>0</v>
      </c>
      <c r="N88">
        <v>0.65684978413957196</v>
      </c>
      <c r="O88">
        <v>0</v>
      </c>
      <c r="P88">
        <v>0</v>
      </c>
      <c r="Q88">
        <v>352</v>
      </c>
      <c r="R88">
        <v>6.857098445595855</v>
      </c>
      <c r="S88">
        <v>2.5838341968911922</v>
      </c>
      <c r="T88">
        <v>22.161347150259068</v>
      </c>
      <c r="U88">
        <v>14.60860103626943</v>
      </c>
      <c r="V88">
        <v>1.6894300518134715</v>
      </c>
      <c r="W88">
        <v>44.322694300518137</v>
      </c>
      <c r="X88">
        <v>77</v>
      </c>
      <c r="Y88">
        <v>100</v>
      </c>
      <c r="Z88">
        <v>36</v>
      </c>
      <c r="AA88">
        <v>80</v>
      </c>
      <c r="AE88">
        <f>AE87-82.5</f>
        <v>-5.0247545294008802</v>
      </c>
    </row>
    <row r="90" spans="1:37" x14ac:dyDescent="0.25">
      <c r="A90" s="38" t="s">
        <v>4692</v>
      </c>
    </row>
    <row r="91" spans="1:37" x14ac:dyDescent="0.25">
      <c r="A91">
        <v>1</v>
      </c>
      <c r="B91">
        <f>1+A91</f>
        <v>2</v>
      </c>
      <c r="C91">
        <f t="shared" ref="C91" si="36">1+B91</f>
        <v>3</v>
      </c>
      <c r="D91">
        <f t="shared" ref="D91:D92" si="37">1+C91</f>
        <v>4</v>
      </c>
      <c r="E91">
        <f t="shared" ref="E91:E92" si="38">1+D91</f>
        <v>5</v>
      </c>
      <c r="F91">
        <f t="shared" ref="F91:F92" si="39">1+E91</f>
        <v>6</v>
      </c>
      <c r="G91">
        <f t="shared" ref="G91:G92" si="40">1+F91</f>
        <v>7</v>
      </c>
      <c r="H91">
        <f t="shared" ref="H91:H92" si="41">1+G91</f>
        <v>8</v>
      </c>
      <c r="I91">
        <f t="shared" ref="I91:I92" si="42">1+H91</f>
        <v>9</v>
      </c>
      <c r="J91">
        <f t="shared" ref="J91:J92" si="43">1+I91</f>
        <v>10</v>
      </c>
      <c r="K91">
        <f t="shared" ref="K91:K92" si="44">1+J91</f>
        <v>11</v>
      </c>
      <c r="L91">
        <f t="shared" ref="L91:L92" si="45">1+K91</f>
        <v>12</v>
      </c>
      <c r="M91">
        <f t="shared" ref="M91:M92" si="46">1+L91</f>
        <v>13</v>
      </c>
      <c r="N91">
        <f t="shared" ref="N91:N92" si="47">1+M91</f>
        <v>14</v>
      </c>
      <c r="O91">
        <f t="shared" ref="O91:O92" si="48">1+N91</f>
        <v>15</v>
      </c>
      <c r="P91">
        <f t="shared" ref="P91:P92" si="49">1+O91</f>
        <v>16</v>
      </c>
      <c r="Q91">
        <f t="shared" ref="Q91:Q92" si="50">1+P91</f>
        <v>17</v>
      </c>
      <c r="R91">
        <f t="shared" ref="R91:R92" si="51">1+Q91</f>
        <v>18</v>
      </c>
      <c r="S91">
        <f t="shared" ref="S91:S92" si="52">1+R91</f>
        <v>19</v>
      </c>
      <c r="T91">
        <f t="shared" ref="T91:T92" si="53">1+S91</f>
        <v>20</v>
      </c>
      <c r="U91">
        <f t="shared" ref="U91:U92" si="54">1+T91</f>
        <v>21</v>
      </c>
      <c r="V91">
        <f t="shared" ref="V91:V92" si="55">1+U91</f>
        <v>22</v>
      </c>
      <c r="W91">
        <f t="shared" ref="W91:W92" si="56">1+V91</f>
        <v>23</v>
      </c>
      <c r="X91">
        <f t="shared" ref="X91:X92" si="57">1+W91</f>
        <v>24</v>
      </c>
      <c r="Y91">
        <f t="shared" ref="Y91:Y92" si="58">1+X91</f>
        <v>25</v>
      </c>
      <c r="Z91">
        <f t="shared" ref="Z91:Z92" si="59">1+Y91</f>
        <v>26</v>
      </c>
      <c r="AA91">
        <f t="shared" ref="AA91:AA92" si="60">1+Z91</f>
        <v>27</v>
      </c>
    </row>
    <row r="92" spans="1:37" x14ac:dyDescent="0.25">
      <c r="B92">
        <v>1</v>
      </c>
      <c r="C92">
        <f>1+B92</f>
        <v>2</v>
      </c>
      <c r="D92">
        <f t="shared" si="37"/>
        <v>3</v>
      </c>
      <c r="E92">
        <f t="shared" si="38"/>
        <v>4</v>
      </c>
      <c r="F92">
        <f t="shared" si="39"/>
        <v>5</v>
      </c>
      <c r="G92">
        <f t="shared" si="40"/>
        <v>6</v>
      </c>
      <c r="H92">
        <f t="shared" si="41"/>
        <v>7</v>
      </c>
      <c r="I92">
        <f t="shared" si="42"/>
        <v>8</v>
      </c>
      <c r="J92">
        <f t="shared" si="43"/>
        <v>9</v>
      </c>
      <c r="K92">
        <f t="shared" si="44"/>
        <v>10</v>
      </c>
      <c r="L92">
        <f t="shared" si="45"/>
        <v>11</v>
      </c>
      <c r="M92">
        <f t="shared" si="46"/>
        <v>12</v>
      </c>
      <c r="N92">
        <f t="shared" si="47"/>
        <v>13</v>
      </c>
      <c r="O92">
        <f t="shared" si="48"/>
        <v>14</v>
      </c>
      <c r="P92">
        <f t="shared" si="49"/>
        <v>15</v>
      </c>
      <c r="Q92">
        <f t="shared" si="50"/>
        <v>16</v>
      </c>
      <c r="R92">
        <f t="shared" si="51"/>
        <v>17</v>
      </c>
      <c r="S92">
        <f t="shared" si="52"/>
        <v>18</v>
      </c>
      <c r="T92">
        <f t="shared" si="53"/>
        <v>19</v>
      </c>
      <c r="U92">
        <f t="shared" si="54"/>
        <v>20</v>
      </c>
      <c r="V92">
        <f t="shared" si="55"/>
        <v>21</v>
      </c>
      <c r="W92">
        <f t="shared" si="56"/>
        <v>22</v>
      </c>
      <c r="X92">
        <f t="shared" si="57"/>
        <v>23</v>
      </c>
      <c r="Y92">
        <f t="shared" si="58"/>
        <v>24</v>
      </c>
      <c r="Z92">
        <f t="shared" si="59"/>
        <v>25</v>
      </c>
      <c r="AA92">
        <f t="shared" si="60"/>
        <v>26</v>
      </c>
    </row>
    <row r="93" spans="1:37" x14ac:dyDescent="0.25">
      <c r="A93" s="41" t="s">
        <v>4585</v>
      </c>
      <c r="B93" s="38" t="s">
        <v>4</v>
      </c>
      <c r="C93" s="38" t="s">
        <v>42</v>
      </c>
      <c r="D93" s="38" t="s">
        <v>43</v>
      </c>
      <c r="E93" s="38" t="s">
        <v>342</v>
      </c>
      <c r="F93" s="38" t="s">
        <v>345</v>
      </c>
      <c r="G93" s="38" t="s">
        <v>346</v>
      </c>
      <c r="H93" s="38" t="s">
        <v>48</v>
      </c>
      <c r="I93" s="38" t="s">
        <v>49</v>
      </c>
      <c r="J93" s="38" t="s">
        <v>4586</v>
      </c>
      <c r="K93" s="38" t="s">
        <v>4587</v>
      </c>
      <c r="L93" s="38" t="s">
        <v>4588</v>
      </c>
      <c r="M93" s="38" t="s">
        <v>4589</v>
      </c>
      <c r="N93" s="38" t="s">
        <v>4665</v>
      </c>
      <c r="O93" s="38" t="s">
        <v>4666</v>
      </c>
      <c r="P93" s="38" t="s">
        <v>4667</v>
      </c>
      <c r="Q93" s="38" t="s">
        <v>4590</v>
      </c>
      <c r="R93" s="38" t="s">
        <v>4668</v>
      </c>
      <c r="S93" s="38" t="s">
        <v>4669</v>
      </c>
      <c r="T93" s="38" t="s">
        <v>18</v>
      </c>
      <c r="U93" s="38" t="s">
        <v>4670</v>
      </c>
      <c r="V93" s="38" t="s">
        <v>86</v>
      </c>
      <c r="W93" s="38" t="s">
        <v>4671</v>
      </c>
      <c r="X93" s="38" t="s">
        <v>4672</v>
      </c>
      <c r="Y93" s="38" t="s">
        <v>4673</v>
      </c>
      <c r="Z93" s="38" t="s">
        <v>4674</v>
      </c>
      <c r="AA93" s="38" t="s">
        <v>4675</v>
      </c>
      <c r="AB93" s="38"/>
      <c r="AC93" s="38" t="s">
        <v>24</v>
      </c>
      <c r="AD93" s="38" t="s">
        <v>10</v>
      </c>
      <c r="AE93" s="42" t="s">
        <v>4676</v>
      </c>
      <c r="AF93" s="38" t="s">
        <v>4677</v>
      </c>
      <c r="AG93" s="38" t="s">
        <v>60</v>
      </c>
      <c r="AH93" s="38" t="s">
        <v>59</v>
      </c>
      <c r="AI93" s="38" t="s">
        <v>4678</v>
      </c>
      <c r="AJ93" s="38" t="s">
        <v>4685</v>
      </c>
      <c r="AK93" s="38" t="s">
        <v>461</v>
      </c>
    </row>
    <row r="94" spans="1:37" x14ac:dyDescent="0.25">
      <c r="A94" s="41" t="s">
        <v>4599</v>
      </c>
      <c r="B94" s="38" t="s">
        <v>4600</v>
      </c>
      <c r="C94" s="38" t="s">
        <v>69</v>
      </c>
      <c r="D94" s="38"/>
      <c r="E94" s="38" t="s">
        <v>74</v>
      </c>
      <c r="F94" s="38" t="s">
        <v>75</v>
      </c>
      <c r="G94" s="38" t="s">
        <v>76</v>
      </c>
      <c r="H94" s="38" t="s">
        <v>78</v>
      </c>
      <c r="I94" s="38" t="s">
        <v>78</v>
      </c>
      <c r="J94" s="38" t="s">
        <v>79</v>
      </c>
      <c r="K94" s="38" t="s">
        <v>79</v>
      </c>
      <c r="L94" s="38" t="s">
        <v>79</v>
      </c>
      <c r="M94" s="38" t="s">
        <v>79</v>
      </c>
      <c r="N94" s="38" t="s">
        <v>69</v>
      </c>
      <c r="O94" s="38" t="s">
        <v>69</v>
      </c>
      <c r="P94" s="38" t="s">
        <v>69</v>
      </c>
      <c r="Q94" s="38" t="s">
        <v>70</v>
      </c>
      <c r="R94" s="38" t="s">
        <v>69</v>
      </c>
      <c r="S94" s="38" t="s">
        <v>69</v>
      </c>
      <c r="T94" s="38" t="s">
        <v>69</v>
      </c>
      <c r="U94" s="38" t="s">
        <v>69</v>
      </c>
      <c r="V94" s="38" t="s">
        <v>69</v>
      </c>
      <c r="W94" s="38" t="s">
        <v>69</v>
      </c>
      <c r="X94" s="38" t="s">
        <v>68</v>
      </c>
      <c r="Y94" s="38" t="s">
        <v>68</v>
      </c>
      <c r="Z94" s="38" t="s">
        <v>68</v>
      </c>
      <c r="AA94" s="38" t="s">
        <v>68</v>
      </c>
      <c r="AB94" s="38"/>
      <c r="AC94" s="38" t="s">
        <v>69</v>
      </c>
      <c r="AD94" s="38" t="s">
        <v>69</v>
      </c>
      <c r="AE94" s="42"/>
    </row>
    <row r="95" spans="1:37" x14ac:dyDescent="0.25">
      <c r="A95">
        <v>0</v>
      </c>
      <c r="B95">
        <v>76.900000000000006</v>
      </c>
      <c r="C95">
        <v>85.4</v>
      </c>
      <c r="D95">
        <v>5</v>
      </c>
      <c r="E95">
        <v>0</v>
      </c>
      <c r="F95">
        <v>0</v>
      </c>
      <c r="G95">
        <v>260</v>
      </c>
      <c r="H95">
        <f>0.13/40</f>
        <v>3.2500000000000003E-3</v>
      </c>
      <c r="I95">
        <f>0.16/24.3</f>
        <v>6.5843621399176953E-3</v>
      </c>
      <c r="J95">
        <f>J71*(NIR!B95*C95/100)/(NIR!B71*C71/100)</f>
        <v>1.3834548135664635</v>
      </c>
      <c r="K95">
        <v>0</v>
      </c>
      <c r="L95">
        <v>0</v>
      </c>
      <c r="M95">
        <v>0</v>
      </c>
      <c r="N95">
        <v>37.229133439659755</v>
      </c>
      <c r="O95">
        <v>0</v>
      </c>
      <c r="P95">
        <v>0</v>
      </c>
      <c r="Q95" s="32">
        <v>506</v>
      </c>
      <c r="R95">
        <v>7.2642211589580015</v>
      </c>
      <c r="S95">
        <v>13.620414673046252</v>
      </c>
      <c r="T95">
        <v>0</v>
      </c>
      <c r="U95">
        <v>27.238105263157898</v>
      </c>
      <c r="V95">
        <v>0</v>
      </c>
      <c r="W95">
        <v>0</v>
      </c>
      <c r="X95">
        <v>100</v>
      </c>
      <c r="Y95">
        <v>100</v>
      </c>
      <c r="Z95">
        <v>0</v>
      </c>
      <c r="AA95">
        <v>38</v>
      </c>
      <c r="AC95">
        <f>W95+V95+U95+T95+N95</f>
        <v>64.467238702817653</v>
      </c>
      <c r="AD95">
        <f>(J95/1.07+K95/1.51+L95/1.82+M95/2.04)/(B95)*10^2</f>
        <v>1.6813373522677386</v>
      </c>
      <c r="AE95">
        <f>100*(T95*Z95/100+U95*AA95/100+W95+N95)/(N95+T95+U95+V95+W95)</f>
        <v>73.804329760412415</v>
      </c>
      <c r="AF95">
        <f>(AD95+R95*X95/100+S95*Y95/100+AE95*AC95/100)/C95*100</f>
        <v>82.1376892551894</v>
      </c>
      <c r="AG95">
        <f>(R95*0.496+S95*1.014+AC95*0.415)/(C95)*1000</f>
        <v>517.19037745879848</v>
      </c>
      <c r="AH95">
        <f>AG95*AF95/100</f>
        <v>424.80822509484904</v>
      </c>
      <c r="AI95" t="e">
        <f>(T95*(100-Z95)/100+U95*(100-AA95)/100+V95)/V95</f>
        <v>#DIV/0!</v>
      </c>
      <c r="AJ95">
        <f>J95+K95+L95+M95+(R95+O95)*B95/100*'Substrate characterization'!$BR$3+(S95+P95)*B95/100*'Substrate characterization'!$BS$3+(T95+U95+W95)*B95/100*'Substrate characterization'!$BT$3+V95*B95/100*'Substrate characterization'!$BU$3+N95*B95/100*1.07</f>
        <v>95.539332891268671</v>
      </c>
      <c r="AK95">
        <f>AJ95/(B95*C95/100)</f>
        <v>1.4547822515214663</v>
      </c>
    </row>
    <row r="96" spans="1:37" x14ac:dyDescent="0.25">
      <c r="A96">
        <v>2000</v>
      </c>
      <c r="B96">
        <v>76.900000000000006</v>
      </c>
      <c r="C96">
        <v>85.4</v>
      </c>
      <c r="D96">
        <v>5</v>
      </c>
      <c r="E96">
        <v>0</v>
      </c>
      <c r="F96">
        <v>0</v>
      </c>
      <c r="G96">
        <v>260</v>
      </c>
      <c r="H96">
        <f>0.13/40</f>
        <v>3.2500000000000003E-3</v>
      </c>
      <c r="I96">
        <f>0.16/24.3</f>
        <v>6.5843621399176953E-3</v>
      </c>
      <c r="J96">
        <f>J72*(NIR!B96*C96/100)/(NIR!B72*C72/100)</f>
        <v>1.3834548135664635</v>
      </c>
      <c r="K96">
        <v>0</v>
      </c>
      <c r="L96">
        <v>0</v>
      </c>
      <c r="M96">
        <v>0</v>
      </c>
      <c r="N96">
        <v>37.229133439659755</v>
      </c>
      <c r="O96">
        <v>0</v>
      </c>
      <c r="P96">
        <v>0</v>
      </c>
      <c r="Q96" s="32">
        <v>506</v>
      </c>
      <c r="R96">
        <v>7.2642211589580015</v>
      </c>
      <c r="S96">
        <v>13.620414673046252</v>
      </c>
      <c r="T96">
        <v>0</v>
      </c>
      <c r="U96">
        <v>27.238105263157898</v>
      </c>
      <c r="V96">
        <v>0</v>
      </c>
      <c r="W96">
        <v>0</v>
      </c>
      <c r="X96">
        <v>100</v>
      </c>
      <c r="Y96">
        <v>100</v>
      </c>
      <c r="Z96">
        <v>0</v>
      </c>
      <c r="AA96">
        <v>38</v>
      </c>
      <c r="AE96">
        <f>AE95-31</f>
        <v>42.804329760412415</v>
      </c>
      <c r="AJ96">
        <f>J96+K96+L96+M96+(R96+O96)*B96/100*'Substrate characterization'!$BR$3+(S96+P96)*B96/100*'Substrate characterization'!$BS$3+(T96+U96+W96)*B96/100*'Substrate characterization'!$BT$3+V96*B96/100*'Substrate characterization'!$BU$3+N96*B96/100*1.07</f>
        <v>95.539332891268671</v>
      </c>
      <c r="AK96">
        <f>AJ96/(B96*C96/100)</f>
        <v>1.4547822515214663</v>
      </c>
    </row>
    <row r="98" spans="1:43" x14ac:dyDescent="0.25">
      <c r="A98" s="38" t="s">
        <v>4693</v>
      </c>
    </row>
    <row r="99" spans="1:43" x14ac:dyDescent="0.25">
      <c r="A99">
        <v>1</v>
      </c>
      <c r="B99">
        <f>1+A99</f>
        <v>2</v>
      </c>
      <c r="C99">
        <f t="shared" ref="C99" si="61">1+B99</f>
        <v>3</v>
      </c>
      <c r="D99">
        <f t="shared" ref="D99:D100" si="62">1+C99</f>
        <v>4</v>
      </c>
      <c r="E99">
        <f t="shared" ref="E99:E100" si="63">1+D99</f>
        <v>5</v>
      </c>
      <c r="F99">
        <f t="shared" ref="F99:F100" si="64">1+E99</f>
        <v>6</v>
      </c>
      <c r="G99">
        <f t="shared" ref="G99:G100" si="65">1+F99</f>
        <v>7</v>
      </c>
      <c r="H99">
        <f t="shared" ref="H99:H100" si="66">1+G99</f>
        <v>8</v>
      </c>
      <c r="I99">
        <f t="shared" ref="I99:I100" si="67">1+H99</f>
        <v>9</v>
      </c>
      <c r="J99">
        <f t="shared" ref="J99:J100" si="68">1+I99</f>
        <v>10</v>
      </c>
      <c r="K99">
        <f t="shared" ref="K99:K100" si="69">1+J99</f>
        <v>11</v>
      </c>
      <c r="L99">
        <f t="shared" ref="L99:L100" si="70">1+K99</f>
        <v>12</v>
      </c>
      <c r="M99">
        <f t="shared" ref="M99:M100" si="71">1+L99</f>
        <v>13</v>
      </c>
      <c r="N99">
        <f t="shared" ref="N99:N100" si="72">1+M99</f>
        <v>14</v>
      </c>
      <c r="O99">
        <f t="shared" ref="O99:O100" si="73">1+N99</f>
        <v>15</v>
      </c>
      <c r="P99">
        <f t="shared" ref="P99:P100" si="74">1+O99</f>
        <v>16</v>
      </c>
      <c r="Q99">
        <f t="shared" ref="Q99:Q100" si="75">1+P99</f>
        <v>17</v>
      </c>
      <c r="R99">
        <f t="shared" ref="R99:R100" si="76">1+Q99</f>
        <v>18</v>
      </c>
      <c r="S99">
        <f t="shared" ref="S99:S100" si="77">1+R99</f>
        <v>19</v>
      </c>
      <c r="T99">
        <f t="shared" ref="T99:T100" si="78">1+S99</f>
        <v>20</v>
      </c>
      <c r="U99">
        <f t="shared" ref="U99:U100" si="79">1+T99</f>
        <v>21</v>
      </c>
      <c r="V99">
        <f t="shared" ref="V99:V100" si="80">1+U99</f>
        <v>22</v>
      </c>
      <c r="W99">
        <f t="shared" ref="W99:W100" si="81">1+V99</f>
        <v>23</v>
      </c>
      <c r="X99">
        <f t="shared" ref="X99:X100" si="82">1+W99</f>
        <v>24</v>
      </c>
      <c r="Y99">
        <f t="shared" ref="Y99:Y100" si="83">1+X99</f>
        <v>25</v>
      </c>
      <c r="Z99">
        <f t="shared" ref="Z99:Z100" si="84">1+Y99</f>
        <v>26</v>
      </c>
      <c r="AA99">
        <f t="shared" ref="AA99:AA100" si="85">1+Z99</f>
        <v>27</v>
      </c>
    </row>
    <row r="100" spans="1:43" x14ac:dyDescent="0.25">
      <c r="B100">
        <v>1</v>
      </c>
      <c r="C100">
        <f>1+B100</f>
        <v>2</v>
      </c>
      <c r="D100">
        <f t="shared" si="62"/>
        <v>3</v>
      </c>
      <c r="E100">
        <f t="shared" si="63"/>
        <v>4</v>
      </c>
      <c r="F100">
        <f t="shared" si="64"/>
        <v>5</v>
      </c>
      <c r="G100">
        <f t="shared" si="65"/>
        <v>6</v>
      </c>
      <c r="H100">
        <f t="shared" si="66"/>
        <v>7</v>
      </c>
      <c r="I100">
        <f t="shared" si="67"/>
        <v>8</v>
      </c>
      <c r="J100">
        <f t="shared" si="68"/>
        <v>9</v>
      </c>
      <c r="K100">
        <f t="shared" si="69"/>
        <v>10</v>
      </c>
      <c r="L100">
        <f t="shared" si="70"/>
        <v>11</v>
      </c>
      <c r="M100">
        <f t="shared" si="71"/>
        <v>12</v>
      </c>
      <c r="N100">
        <f t="shared" si="72"/>
        <v>13</v>
      </c>
      <c r="O100">
        <f t="shared" si="73"/>
        <v>14</v>
      </c>
      <c r="P100">
        <f t="shared" si="74"/>
        <v>15</v>
      </c>
      <c r="Q100">
        <f t="shared" si="75"/>
        <v>16</v>
      </c>
      <c r="R100">
        <f t="shared" si="76"/>
        <v>17</v>
      </c>
      <c r="S100">
        <f t="shared" si="77"/>
        <v>18</v>
      </c>
      <c r="T100">
        <f t="shared" si="78"/>
        <v>19</v>
      </c>
      <c r="U100">
        <f t="shared" si="79"/>
        <v>20</v>
      </c>
      <c r="V100">
        <f t="shared" si="80"/>
        <v>21</v>
      </c>
      <c r="W100">
        <f t="shared" si="81"/>
        <v>22</v>
      </c>
      <c r="X100">
        <f t="shared" si="82"/>
        <v>23</v>
      </c>
      <c r="Y100">
        <f t="shared" si="83"/>
        <v>24</v>
      </c>
      <c r="Z100">
        <f t="shared" si="84"/>
        <v>25</v>
      </c>
      <c r="AA100">
        <f t="shared" si="85"/>
        <v>26</v>
      </c>
    </row>
    <row r="101" spans="1:43" x14ac:dyDescent="0.25">
      <c r="A101" s="41" t="s">
        <v>4585</v>
      </c>
      <c r="B101" s="38" t="s">
        <v>4</v>
      </c>
      <c r="C101" s="38" t="s">
        <v>42</v>
      </c>
      <c r="D101" s="38" t="s">
        <v>43</v>
      </c>
      <c r="E101" s="38" t="s">
        <v>342</v>
      </c>
      <c r="F101" s="38" t="s">
        <v>345</v>
      </c>
      <c r="G101" s="38" t="s">
        <v>346</v>
      </c>
      <c r="H101" s="38" t="s">
        <v>48</v>
      </c>
      <c r="I101" s="38" t="s">
        <v>49</v>
      </c>
      <c r="J101" s="38" t="s">
        <v>4586</v>
      </c>
      <c r="K101" s="38" t="s">
        <v>4587</v>
      </c>
      <c r="L101" s="38" t="s">
        <v>4588</v>
      </c>
      <c r="M101" s="38" t="s">
        <v>4589</v>
      </c>
      <c r="N101" s="38" t="s">
        <v>4665</v>
      </c>
      <c r="O101" s="38" t="s">
        <v>4666</v>
      </c>
      <c r="P101" s="38" t="s">
        <v>4667</v>
      </c>
      <c r="Q101" s="38" t="s">
        <v>4590</v>
      </c>
      <c r="R101" s="38" t="s">
        <v>4668</v>
      </c>
      <c r="S101" s="38" t="s">
        <v>4669</v>
      </c>
      <c r="T101" s="38" t="s">
        <v>18</v>
      </c>
      <c r="U101" s="38" t="s">
        <v>4670</v>
      </c>
      <c r="V101" s="38" t="s">
        <v>86</v>
      </c>
      <c r="W101" s="38" t="s">
        <v>4671</v>
      </c>
      <c r="X101" s="38" t="s">
        <v>4672</v>
      </c>
      <c r="Y101" s="38" t="s">
        <v>4673</v>
      </c>
      <c r="Z101" s="38" t="s">
        <v>4674</v>
      </c>
      <c r="AA101" s="38" t="s">
        <v>4675</v>
      </c>
      <c r="AB101" s="38"/>
      <c r="AC101" s="38" t="s">
        <v>24</v>
      </c>
      <c r="AD101" s="38" t="s">
        <v>10</v>
      </c>
      <c r="AE101" s="42" t="s">
        <v>4676</v>
      </c>
      <c r="AF101" s="38" t="s">
        <v>4677</v>
      </c>
      <c r="AG101" s="38" t="s">
        <v>60</v>
      </c>
      <c r="AH101" s="38" t="s">
        <v>59</v>
      </c>
      <c r="AI101" s="38" t="s">
        <v>4678</v>
      </c>
      <c r="AJ101" s="38" t="s">
        <v>4685</v>
      </c>
      <c r="AK101" s="38" t="s">
        <v>461</v>
      </c>
      <c r="AL101" s="38" t="s">
        <v>92</v>
      </c>
      <c r="AM101" s="38" t="s">
        <v>95</v>
      </c>
      <c r="AN101" s="38" t="s">
        <v>4686</v>
      </c>
      <c r="AO101" s="38" t="s">
        <v>4686</v>
      </c>
    </row>
    <row r="102" spans="1:43" x14ac:dyDescent="0.25">
      <c r="A102" s="41" t="s">
        <v>4599</v>
      </c>
      <c r="B102" s="38" t="s">
        <v>4600</v>
      </c>
      <c r="C102" s="38" t="s">
        <v>69</v>
      </c>
      <c r="D102" s="38"/>
      <c r="E102" s="38" t="s">
        <v>74</v>
      </c>
      <c r="F102" s="38" t="s">
        <v>75</v>
      </c>
      <c r="G102" s="38" t="s">
        <v>76</v>
      </c>
      <c r="H102" s="38" t="s">
        <v>78</v>
      </c>
      <c r="I102" s="38" t="s">
        <v>78</v>
      </c>
      <c r="J102" s="38" t="s">
        <v>79</v>
      </c>
      <c r="K102" s="38" t="s">
        <v>79</v>
      </c>
      <c r="L102" s="38" t="s">
        <v>79</v>
      </c>
      <c r="M102" s="38" t="s">
        <v>79</v>
      </c>
      <c r="N102" s="38" t="s">
        <v>69</v>
      </c>
      <c r="O102" s="38" t="s">
        <v>69</v>
      </c>
      <c r="P102" s="38" t="s">
        <v>69</v>
      </c>
      <c r="Q102" s="38" t="s">
        <v>70</v>
      </c>
      <c r="R102" s="38" t="s">
        <v>69</v>
      </c>
      <c r="S102" s="38" t="s">
        <v>69</v>
      </c>
      <c r="T102" s="38" t="s">
        <v>69</v>
      </c>
      <c r="U102" s="38" t="s">
        <v>69</v>
      </c>
      <c r="V102" s="38" t="s">
        <v>69</v>
      </c>
      <c r="W102" s="38" t="s">
        <v>69</v>
      </c>
      <c r="X102" s="38" t="s">
        <v>68</v>
      </c>
      <c r="Y102" s="38" t="s">
        <v>68</v>
      </c>
      <c r="Z102" s="38" t="s">
        <v>68</v>
      </c>
      <c r="AA102" s="38" t="s">
        <v>68</v>
      </c>
      <c r="AB102" s="38"/>
      <c r="AC102" s="38" t="s">
        <v>69</v>
      </c>
      <c r="AD102" s="38" t="s">
        <v>69</v>
      </c>
      <c r="AE102" s="42"/>
    </row>
    <row r="103" spans="1:43" x14ac:dyDescent="0.25">
      <c r="A103">
        <v>0</v>
      </c>
      <c r="B103" s="31">
        <v>58.4</v>
      </c>
      <c r="C103" s="31">
        <f>(B103-(4.7666-4.2815)/(42.6476-4.2815)*1000)/B103*100</f>
        <v>78.349358289440232</v>
      </c>
      <c r="D103">
        <v>7.21</v>
      </c>
      <c r="E103">
        <v>12741</v>
      </c>
      <c r="F103">
        <v>1400</v>
      </c>
      <c r="G103">
        <v>650</v>
      </c>
      <c r="H103">
        <v>7.0000000000000001E-3</v>
      </c>
      <c r="I103">
        <v>1.2999999999999999E-2</v>
      </c>
      <c r="J103">
        <f>3273.13/1000</f>
        <v>3.2731300000000001</v>
      </c>
      <c r="K103">
        <f>2009.81/1000</f>
        <v>2.0098099999999999</v>
      </c>
      <c r="L103">
        <f>555.1/1000</f>
        <v>0.55510000000000004</v>
      </c>
      <c r="M103">
        <f>497.76/1000</f>
        <v>0.49775999999999998</v>
      </c>
      <c r="N103">
        <v>0</v>
      </c>
      <c r="O103">
        <v>0</v>
      </c>
      <c r="P103">
        <v>0</v>
      </c>
      <c r="Q103" s="32">
        <v>200</v>
      </c>
      <c r="R103">
        <v>14.710268630390896</v>
      </c>
      <c r="S103">
        <v>4.6132795113060219</v>
      </c>
      <c r="T103">
        <v>15.841827755805582</v>
      </c>
      <c r="U103">
        <v>9.6617740708484607</v>
      </c>
      <c r="V103">
        <v>12.969408437445228</v>
      </c>
      <c r="W103">
        <v>11.750806302383261</v>
      </c>
      <c r="X103">
        <v>73</v>
      </c>
      <c r="Y103">
        <v>50</v>
      </c>
      <c r="Z103">
        <v>10</v>
      </c>
      <c r="AA103">
        <v>28</v>
      </c>
      <c r="AC103">
        <f>W103+V103+U103+T103+N103</f>
        <v>50.223816566482533</v>
      </c>
      <c r="AD103">
        <f>(J103/1.07+K103/1.51+L103/1.82+M103/2.04)/(B103)*10^2</f>
        <v>8.4571917808219172</v>
      </c>
      <c r="AE103">
        <f>100*(T103*Z103/100+U103*AA103/100+W103+N103)/(N103+T103+U103+V103+W103)</f>
        <v>31.93760831889081</v>
      </c>
      <c r="AF103">
        <f>(AD103+R103*X103/100+S103*Y103/100+AE103*AC103/100)/C103*100</f>
        <v>47.91693802490478</v>
      </c>
      <c r="AG103">
        <f>AJ103*0.35/(B103*C103)*100000</f>
        <v>484.96186365155296</v>
      </c>
      <c r="AH103" s="32">
        <f>AG103*AF103/100</f>
        <v>232.37887565033787</v>
      </c>
      <c r="AI103">
        <f>(T103*(100-Z103)/100+U103*(100-AA103)/100+V103)/V103</f>
        <v>2.6357046979865775</v>
      </c>
      <c r="AJ103">
        <f>J103+K103+L103+M103+(R103+O103)*B103/100*'Substrate characterization'!$BR$3+(S103+P103)*B103/100*'Substrate characterization'!$BS$3+(T103+U103+W103)*B103/100*'Substrate characterization'!$BT$3+V103*B103/100*'Substrate characterization'!$BU$3+N103*B103/100*1.07</f>
        <v>63.39979221193974</v>
      </c>
      <c r="AK103">
        <f>AJ103/(B103*C103/100)</f>
        <v>1.385605324718723</v>
      </c>
      <c r="AL103">
        <f>B103/100*'Substrate characterization'!$D$4*(R103*'Substrate characterization'!$P$4/(SUMPRODUCT('Substrate characterization'!$D$4:$D$7,'Substrate characterization'!$P$4:$P$7))+S103*'Substrate characterization'!$Q$4/(SUMPRODUCT('Substrate characterization'!$D$4:$D$7,'Substrate characterization'!$Q$4:$Q$7))+(T103+U103+W103)*'Substrate characterization'!$AI$4/(SUMPRODUCT('Substrate characterization'!$D$4:$D$7,'Substrate characterization'!$AI$4:$AI$7))+N103*'Substrate characterization'!$AH$4/(SUMPRODUCT('Substrate characterization'!$D$4:$D$7,'Substrate characterization'!$AH$4:$AH$7))+V103*'Substrate characterization'!$AE$4/(SUMPRODUCT('Substrate characterization'!$D$4:$D$7,'Substrate characterization'!$AE$4:$AE$7)))</f>
        <v>23.516337309341282</v>
      </c>
      <c r="AM103">
        <f>R103*B103/100*'Substrate characterization'!$D$6*('Substrate characterization'!$P$6/(SUMPRODUCT('Substrate characterization'!$D$4:$D$7,'Substrate characterization'!$P$4:$P$7)))</f>
        <v>1.4578321978433448</v>
      </c>
      <c r="AN103">
        <f>AL103/AM103</f>
        <v>16.131031640082004</v>
      </c>
      <c r="AO103">
        <f>AN103*14/12</f>
        <v>18.819536913429005</v>
      </c>
    </row>
    <row r="104" spans="1:43" x14ac:dyDescent="0.25">
      <c r="A104">
        <v>2000</v>
      </c>
      <c r="B104" s="31">
        <v>58.4</v>
      </c>
      <c r="C104" s="31">
        <f>(B104-(4.7666-4.2815)/(42.6476-4.2815)*1000)/B104*100</f>
        <v>78.349358289440232</v>
      </c>
      <c r="D104">
        <v>7.21</v>
      </c>
      <c r="E104">
        <v>12741</v>
      </c>
      <c r="F104">
        <v>1400</v>
      </c>
      <c r="G104">
        <v>650</v>
      </c>
      <c r="H104">
        <v>7.0000000000000001E-3</v>
      </c>
      <c r="I104">
        <v>1.2999999999999999E-2</v>
      </c>
      <c r="J104">
        <f>3273.13/1000</f>
        <v>3.2731300000000001</v>
      </c>
      <c r="K104">
        <f>2009.81/1000</f>
        <v>2.0098099999999999</v>
      </c>
      <c r="L104">
        <f>555.1/1000</f>
        <v>0.55510000000000004</v>
      </c>
      <c r="M104">
        <f>497.76/1000</f>
        <v>0.49775999999999998</v>
      </c>
      <c r="N104">
        <v>0</v>
      </c>
      <c r="O104">
        <v>0</v>
      </c>
      <c r="P104">
        <v>0</v>
      </c>
      <c r="Q104" s="32">
        <v>200</v>
      </c>
      <c r="R104">
        <v>14.710268630390896</v>
      </c>
      <c r="S104">
        <v>4.6132795113060219</v>
      </c>
      <c r="T104">
        <v>15.841827755805582</v>
      </c>
      <c r="U104">
        <v>9.6617740708484607</v>
      </c>
      <c r="V104">
        <v>12.969408437445228</v>
      </c>
      <c r="W104">
        <v>11.750806302383261</v>
      </c>
      <c r="X104">
        <v>73</v>
      </c>
      <c r="Y104">
        <v>50</v>
      </c>
      <c r="Z104">
        <v>10</v>
      </c>
      <c r="AA104">
        <v>28</v>
      </c>
      <c r="AD104">
        <f>SUM(J103:M103)/(AD103*B103/100)</f>
        <v>1.2828102854828913</v>
      </c>
      <c r="AE104">
        <f>AE103-31</f>
        <v>0.93760831889080976</v>
      </c>
      <c r="AJ104">
        <f>J104+K104+L104+M104+(R104+O104)*B104/100*'Substrate characterization'!$BR$3+(S104+P104)*B104/100*'Substrate characterization'!$BS$3+(T104+U104+W104)*B104/100*'Substrate characterization'!$BT$3+V104*B104/100*'Substrate characterization'!$BU$3+N104*B104/100*1.07</f>
        <v>63.39979221193974</v>
      </c>
      <c r="AK104">
        <f>AJ104/(B104*C104/100)</f>
        <v>1.385605324718723</v>
      </c>
    </row>
    <row r="105" spans="1:43" x14ac:dyDescent="0.25">
      <c r="B105" s="31"/>
      <c r="C105" s="31"/>
      <c r="Q105" s="32"/>
    </row>
    <row r="106" spans="1:43" x14ac:dyDescent="0.25">
      <c r="A106" s="38" t="s">
        <v>4694</v>
      </c>
    </row>
    <row r="107" spans="1:43" x14ac:dyDescent="0.25">
      <c r="A107">
        <v>1</v>
      </c>
      <c r="B107">
        <f>1+A107</f>
        <v>2</v>
      </c>
      <c r="C107">
        <f t="shared" ref="C107" si="86">1+B107</f>
        <v>3</v>
      </c>
      <c r="D107">
        <f t="shared" ref="D107:D108" si="87">1+C107</f>
        <v>4</v>
      </c>
      <c r="E107">
        <f t="shared" ref="E107:E108" si="88">1+D107</f>
        <v>5</v>
      </c>
      <c r="F107">
        <f t="shared" ref="F107:F108" si="89">1+E107</f>
        <v>6</v>
      </c>
      <c r="G107">
        <f t="shared" ref="G107:G108" si="90">1+F107</f>
        <v>7</v>
      </c>
      <c r="H107">
        <f t="shared" ref="H107:H108" si="91">1+G107</f>
        <v>8</v>
      </c>
      <c r="I107">
        <f t="shared" ref="I107:I108" si="92">1+H107</f>
        <v>9</v>
      </c>
      <c r="J107">
        <f t="shared" ref="J107:J108" si="93">1+I107</f>
        <v>10</v>
      </c>
      <c r="K107">
        <f t="shared" ref="K107:K108" si="94">1+J107</f>
        <v>11</v>
      </c>
      <c r="L107">
        <f t="shared" ref="L107:L108" si="95">1+K107</f>
        <v>12</v>
      </c>
      <c r="M107">
        <f t="shared" ref="M107:M108" si="96">1+L107</f>
        <v>13</v>
      </c>
      <c r="N107">
        <f t="shared" ref="N107:N108" si="97">1+M107</f>
        <v>14</v>
      </c>
      <c r="O107">
        <f t="shared" ref="O107:O108" si="98">1+N107</f>
        <v>15</v>
      </c>
      <c r="P107">
        <f t="shared" ref="P107:P108" si="99">1+O107</f>
        <v>16</v>
      </c>
      <c r="Q107">
        <f t="shared" ref="Q107:Q108" si="100">1+P107</f>
        <v>17</v>
      </c>
      <c r="R107">
        <f t="shared" ref="R107:R108" si="101">1+Q107</f>
        <v>18</v>
      </c>
      <c r="S107">
        <f t="shared" ref="S107:S108" si="102">1+R107</f>
        <v>19</v>
      </c>
      <c r="T107">
        <f t="shared" ref="T107:T108" si="103">1+S107</f>
        <v>20</v>
      </c>
      <c r="U107">
        <f t="shared" ref="U107:U108" si="104">1+T107</f>
        <v>21</v>
      </c>
      <c r="V107">
        <f t="shared" ref="V107:V108" si="105">1+U107</f>
        <v>22</v>
      </c>
      <c r="W107">
        <f t="shared" ref="W107:W108" si="106">1+V107</f>
        <v>23</v>
      </c>
      <c r="X107">
        <f t="shared" ref="X107:X108" si="107">1+W107</f>
        <v>24</v>
      </c>
      <c r="Y107">
        <f t="shared" ref="Y107:Y108" si="108">1+X107</f>
        <v>25</v>
      </c>
      <c r="Z107">
        <f t="shared" ref="Z107:Z108" si="109">1+Y107</f>
        <v>26</v>
      </c>
      <c r="AA107">
        <f t="shared" ref="AA107:AA108" si="110">1+Z107</f>
        <v>27</v>
      </c>
    </row>
    <row r="108" spans="1:43" x14ac:dyDescent="0.25">
      <c r="B108">
        <v>1</v>
      </c>
      <c r="C108">
        <f>1+B108</f>
        <v>2</v>
      </c>
      <c r="D108">
        <f t="shared" si="87"/>
        <v>3</v>
      </c>
      <c r="E108">
        <f t="shared" si="88"/>
        <v>4</v>
      </c>
      <c r="F108">
        <f t="shared" si="89"/>
        <v>5</v>
      </c>
      <c r="G108">
        <f t="shared" si="90"/>
        <v>6</v>
      </c>
      <c r="H108">
        <f t="shared" si="91"/>
        <v>7</v>
      </c>
      <c r="I108">
        <f t="shared" si="92"/>
        <v>8</v>
      </c>
      <c r="J108">
        <f t="shared" si="93"/>
        <v>9</v>
      </c>
      <c r="K108">
        <f t="shared" si="94"/>
        <v>10</v>
      </c>
      <c r="L108">
        <f t="shared" si="95"/>
        <v>11</v>
      </c>
      <c r="M108">
        <f t="shared" si="96"/>
        <v>12</v>
      </c>
      <c r="N108">
        <f t="shared" si="97"/>
        <v>13</v>
      </c>
      <c r="O108">
        <f t="shared" si="98"/>
        <v>14</v>
      </c>
      <c r="P108">
        <f t="shared" si="99"/>
        <v>15</v>
      </c>
      <c r="Q108">
        <f t="shared" si="100"/>
        <v>16</v>
      </c>
      <c r="R108">
        <f t="shared" si="101"/>
        <v>17</v>
      </c>
      <c r="S108">
        <f t="shared" si="102"/>
        <v>18</v>
      </c>
      <c r="T108">
        <f t="shared" si="103"/>
        <v>19</v>
      </c>
      <c r="U108">
        <f t="shared" si="104"/>
        <v>20</v>
      </c>
      <c r="V108">
        <f t="shared" si="105"/>
        <v>21</v>
      </c>
      <c r="W108">
        <f t="shared" si="106"/>
        <v>22</v>
      </c>
      <c r="X108">
        <f t="shared" si="107"/>
        <v>23</v>
      </c>
      <c r="Y108">
        <f t="shared" si="108"/>
        <v>24</v>
      </c>
      <c r="Z108">
        <f t="shared" si="109"/>
        <v>25</v>
      </c>
      <c r="AA108">
        <f t="shared" si="110"/>
        <v>26</v>
      </c>
    </row>
    <row r="109" spans="1:43" x14ac:dyDescent="0.25">
      <c r="A109" s="41" t="s">
        <v>4585</v>
      </c>
      <c r="B109" s="38" t="s">
        <v>4</v>
      </c>
      <c r="C109" s="38" t="s">
        <v>42</v>
      </c>
      <c r="D109" s="38" t="s">
        <v>43</v>
      </c>
      <c r="E109" s="38" t="s">
        <v>342</v>
      </c>
      <c r="F109" s="38" t="s">
        <v>345</v>
      </c>
      <c r="G109" s="38" t="s">
        <v>346</v>
      </c>
      <c r="H109" s="38" t="s">
        <v>48</v>
      </c>
      <c r="I109" s="38" t="s">
        <v>49</v>
      </c>
      <c r="J109" s="38" t="s">
        <v>4586</v>
      </c>
      <c r="K109" s="38" t="s">
        <v>4587</v>
      </c>
      <c r="L109" s="38" t="s">
        <v>4588</v>
      </c>
      <c r="M109" s="38" t="s">
        <v>4589</v>
      </c>
      <c r="N109" s="38" t="s">
        <v>4665</v>
      </c>
      <c r="O109" s="38" t="s">
        <v>4666</v>
      </c>
      <c r="P109" s="38" t="s">
        <v>4667</v>
      </c>
      <c r="Q109" s="38" t="s">
        <v>4590</v>
      </c>
      <c r="R109" s="38" t="s">
        <v>4668</v>
      </c>
      <c r="S109" s="38" t="s">
        <v>4669</v>
      </c>
      <c r="T109" s="38" t="s">
        <v>18</v>
      </c>
      <c r="U109" s="38" t="s">
        <v>4670</v>
      </c>
      <c r="V109" s="38" t="s">
        <v>86</v>
      </c>
      <c r="W109" s="38" t="s">
        <v>4671</v>
      </c>
      <c r="X109" s="38" t="s">
        <v>4672</v>
      </c>
      <c r="Y109" s="38" t="s">
        <v>4673</v>
      </c>
      <c r="Z109" s="38" t="s">
        <v>4674</v>
      </c>
      <c r="AA109" s="38" t="s">
        <v>4675</v>
      </c>
      <c r="AB109" s="38"/>
      <c r="AC109" s="38" t="s">
        <v>24</v>
      </c>
      <c r="AD109" s="38" t="s">
        <v>10</v>
      </c>
      <c r="AE109" s="42" t="s">
        <v>4676</v>
      </c>
      <c r="AF109" s="38" t="s">
        <v>4677</v>
      </c>
      <c r="AG109" s="38" t="s">
        <v>60</v>
      </c>
      <c r="AH109" s="38" t="s">
        <v>59</v>
      </c>
      <c r="AI109" s="38" t="s">
        <v>4678</v>
      </c>
      <c r="AJ109" s="38" t="s">
        <v>4685</v>
      </c>
      <c r="AK109" s="38" t="s">
        <v>461</v>
      </c>
      <c r="AL109" s="38" t="s">
        <v>92</v>
      </c>
      <c r="AM109" s="38" t="s">
        <v>95</v>
      </c>
      <c r="AN109" s="38" t="s">
        <v>4686</v>
      </c>
      <c r="AO109" s="38" t="s">
        <v>4686</v>
      </c>
      <c r="AP109" s="38" t="s">
        <v>4695</v>
      </c>
      <c r="AQ109" s="38" t="s">
        <v>4696</v>
      </c>
    </row>
    <row r="110" spans="1:43" x14ac:dyDescent="0.25">
      <c r="A110" s="41" t="s">
        <v>4599</v>
      </c>
      <c r="B110" s="38" t="s">
        <v>4600</v>
      </c>
      <c r="C110" s="38" t="s">
        <v>69</v>
      </c>
      <c r="D110" s="38"/>
      <c r="E110" s="38" t="s">
        <v>74</v>
      </c>
      <c r="F110" s="38" t="s">
        <v>75</v>
      </c>
      <c r="G110" s="38" t="s">
        <v>76</v>
      </c>
      <c r="H110" s="38" t="s">
        <v>78</v>
      </c>
      <c r="I110" s="38" t="s">
        <v>78</v>
      </c>
      <c r="J110" s="38" t="s">
        <v>79</v>
      </c>
      <c r="K110" s="38" t="s">
        <v>79</v>
      </c>
      <c r="L110" s="38" t="s">
        <v>79</v>
      </c>
      <c r="M110" s="38" t="s">
        <v>79</v>
      </c>
      <c r="N110" s="38" t="s">
        <v>69</v>
      </c>
      <c r="O110" s="38" t="s">
        <v>69</v>
      </c>
      <c r="P110" s="38" t="s">
        <v>69</v>
      </c>
      <c r="Q110" s="38" t="s">
        <v>70</v>
      </c>
      <c r="R110" s="38" t="s">
        <v>69</v>
      </c>
      <c r="S110" s="38" t="s">
        <v>69</v>
      </c>
      <c r="T110" s="38" t="s">
        <v>69</v>
      </c>
      <c r="U110" s="38" t="s">
        <v>69</v>
      </c>
      <c r="V110" s="38" t="s">
        <v>69</v>
      </c>
      <c r="W110" s="38" t="s">
        <v>69</v>
      </c>
      <c r="X110" s="38" t="s">
        <v>68</v>
      </c>
      <c r="Y110" s="38" t="s">
        <v>68</v>
      </c>
      <c r="Z110" s="38" t="s">
        <v>68</v>
      </c>
      <c r="AA110" s="38" t="s">
        <v>68</v>
      </c>
      <c r="AB110" s="38"/>
      <c r="AC110" s="38" t="s">
        <v>69</v>
      </c>
      <c r="AD110" s="38" t="s">
        <v>69</v>
      </c>
      <c r="AE110" s="42"/>
    </row>
    <row r="111" spans="1:43" x14ac:dyDescent="0.25">
      <c r="A111">
        <v>0</v>
      </c>
      <c r="B111" s="31">
        <v>58.4</v>
      </c>
      <c r="C111" s="31">
        <f>(B111-(4.7666-4.2815)/(42.6476-4.2815)*1000)/B111*100</f>
        <v>78.349358289440232</v>
      </c>
      <c r="D111">
        <v>7.21</v>
      </c>
      <c r="E111">
        <v>12741</v>
      </c>
      <c r="F111">
        <v>1400</v>
      </c>
      <c r="G111">
        <v>650</v>
      </c>
      <c r="H111">
        <v>7.0000000000000001E-3</v>
      </c>
      <c r="I111">
        <v>1.2999999999999999E-2</v>
      </c>
      <c r="J111">
        <f>3273.13/1000</f>
        <v>3.2731300000000001</v>
      </c>
      <c r="K111">
        <f>2009.81/1000</f>
        <v>2.0098099999999999</v>
      </c>
      <c r="L111">
        <f>555.1/1000</f>
        <v>0.55510000000000004</v>
      </c>
      <c r="M111">
        <f>497.76/1000</f>
        <v>0.49775999999999998</v>
      </c>
      <c r="N111">
        <v>0</v>
      </c>
      <c r="O111">
        <v>0</v>
      </c>
      <c r="P111">
        <v>0</v>
      </c>
      <c r="Q111" s="32">
        <v>200</v>
      </c>
      <c r="R111">
        <v>14.710268630390896</v>
      </c>
      <c r="S111">
        <v>4.6132795113060219</v>
      </c>
      <c r="T111">
        <v>15.841827755805582</v>
      </c>
      <c r="U111">
        <v>9.6617740708484607</v>
      </c>
      <c r="V111">
        <v>12.969408437445228</v>
      </c>
      <c r="W111">
        <v>11.750806302383261</v>
      </c>
      <c r="X111">
        <v>50</v>
      </c>
      <c r="Y111">
        <v>50</v>
      </c>
      <c r="Z111">
        <v>10</v>
      </c>
      <c r="AA111">
        <v>25</v>
      </c>
      <c r="AC111">
        <f>W111+V111+U111+T111+N111</f>
        <v>50.223816566482533</v>
      </c>
      <c r="AD111">
        <f>(J111/1.07+K111/1.51+L111/1.82+M111/2.04)/(B111)*10^2</f>
        <v>8.4571917808219172</v>
      </c>
      <c r="AE111">
        <f>100*(T111*Z111/100+U111*AA111/100+W111+N111)/(N111+T111+U111+V111+W111)</f>
        <v>31.360485268630846</v>
      </c>
      <c r="AF111">
        <f>(AD111+R111*X111/100+S111*Y111/100+AE111*AC111/100)/C111*100</f>
        <v>43.22868647146425</v>
      </c>
      <c r="AG111">
        <f>AJ111*0.35/(B111*C111)*100000</f>
        <v>484.96186365155296</v>
      </c>
      <c r="AH111">
        <f>AG111*AF111/100</f>
        <v>209.64264354409977</v>
      </c>
      <c r="AI111">
        <f>(T111*(100-Z111)/100+U111*(100-AA111)/100+V111)/V111</f>
        <v>2.6580536912751676</v>
      </c>
      <c r="AJ111">
        <f>J111+K111+L111+M111+(R111+O111)*B111/100*'Substrate characterization'!$BR$3+(S111+P111)*B111/100*'Substrate characterization'!$BS$3+(T111+U111+W111)*B111/100*'Substrate characterization'!$BT$3+V111*B111/100*'Substrate characterization'!$BU$3+N111*B111/100*1.07</f>
        <v>63.39979221193974</v>
      </c>
      <c r="AK111">
        <f>AJ111/(B111*C111/100)</f>
        <v>1.385605324718723</v>
      </c>
      <c r="AL111">
        <f>B111/100*'Substrate characterization'!$D$4*(R111*'Substrate characterization'!$P$4/(SUMPRODUCT('Substrate characterization'!$D$4:$D$7,'Substrate characterization'!$P$4:$P$7))+S111*'Substrate characterization'!$Q$4/(SUMPRODUCT('Substrate characterization'!$D$4:$D$7,'Substrate characterization'!$Q$4:$Q$7))+(T111+U111+W111)*'Substrate characterization'!$AI$4/(SUMPRODUCT('Substrate characterization'!$D$4:$D$7,'Substrate characterization'!$AI$4:$AI$7))+N111*'Substrate characterization'!$AH$4/(SUMPRODUCT('Substrate characterization'!$D$4:$D$7,'Substrate characterization'!$AH$4:$AH$7))+V111*'Substrate characterization'!$AE$4/(SUMPRODUCT('Substrate characterization'!$D$4:$D$7,'Substrate characterization'!$AE$4:$AE$7)))</f>
        <v>23.516337309341282</v>
      </c>
      <c r="AM111">
        <f>R111*B111/100*'Substrate characterization'!$D$6*('Substrate characterization'!$P$6/(SUMPRODUCT('Substrate characterization'!$D$4:$D$7,'Substrate characterization'!$P$4:$P$7)))</f>
        <v>1.4578321978433448</v>
      </c>
      <c r="AN111">
        <f>AL111/AM111</f>
        <v>16.131031640082004</v>
      </c>
      <c r="AO111">
        <f>AN111*14/12</f>
        <v>18.819536913429005</v>
      </c>
      <c r="AP111">
        <f>J111+K111+L111+M111+(R111*X111/100+O111)*B111/100*'Substrate characterization'!$BR$3+(S111*Y111/100+P111)*B111/100*'Substrate characterization'!$BS$3+(T111*Z111/100+U111*AA111/100+W111)*B111/100*'Substrate characterization'!$BT$3+V111*B111/100*'Substrate characterization'!$BU$3*0+N111*B111/100*1.07</f>
        <v>27.68836190984937</v>
      </c>
      <c r="AQ111">
        <f>AP111/AJ111*100</f>
        <v>43.672638259270144</v>
      </c>
    </row>
    <row r="112" spans="1:43" x14ac:dyDescent="0.25">
      <c r="A112">
        <v>2000</v>
      </c>
      <c r="B112" s="31">
        <v>58.4</v>
      </c>
      <c r="C112" s="31">
        <f>(B112-(4.7666-4.2815)/(42.6476-4.2815)*1000)/B112*100</f>
        <v>78.349358289440232</v>
      </c>
      <c r="D112">
        <v>7.21</v>
      </c>
      <c r="E112">
        <v>12741</v>
      </c>
      <c r="F112">
        <v>1400</v>
      </c>
      <c r="G112">
        <v>650</v>
      </c>
      <c r="H112">
        <v>7.0000000000000001E-3</v>
      </c>
      <c r="I112">
        <v>1.2999999999999999E-2</v>
      </c>
      <c r="J112">
        <f>3273.13/1000</f>
        <v>3.2731300000000001</v>
      </c>
      <c r="K112">
        <f>2009.81/1000</f>
        <v>2.0098099999999999</v>
      </c>
      <c r="L112">
        <f>555.1/1000</f>
        <v>0.55510000000000004</v>
      </c>
      <c r="M112">
        <f>497.76/1000</f>
        <v>0.49775999999999998</v>
      </c>
      <c r="N112">
        <v>0</v>
      </c>
      <c r="O112">
        <v>0</v>
      </c>
      <c r="P112">
        <v>0</v>
      </c>
      <c r="Q112" s="32">
        <v>200</v>
      </c>
      <c r="R112">
        <v>14.710268630390896</v>
      </c>
      <c r="S112">
        <v>4.6132795113060219</v>
      </c>
      <c r="T112">
        <v>15.841827755805582</v>
      </c>
      <c r="U112">
        <v>9.6617740708484607</v>
      </c>
      <c r="V112">
        <v>12.969408437445228</v>
      </c>
      <c r="W112">
        <v>11.750806302383261</v>
      </c>
      <c r="X112">
        <v>50</v>
      </c>
      <c r="Y112">
        <v>50</v>
      </c>
      <c r="Z112">
        <v>10</v>
      </c>
      <c r="AA112">
        <v>25</v>
      </c>
      <c r="AD112">
        <f>SUM(J111:M111)/(AD111*B111/100)</f>
        <v>1.2828102854828913</v>
      </c>
      <c r="AE112">
        <f>AE111-31</f>
        <v>0.36048526863084618</v>
      </c>
      <c r="AJ112">
        <f>J112+K112+L112+M112+(R112+O112)*B112/100*'Substrate characterization'!$BR$3+(S112+P112)*B112/100*'Substrate characterization'!$BS$3+(T112+U112+W112)*B112/100*'Substrate characterization'!$BT$3+V112*B112/100*'Substrate characterization'!$BU$3+N112*B112/100*1.07</f>
        <v>63.39979221193974</v>
      </c>
      <c r="AK112">
        <f>AJ112/(B112*C112/100)</f>
        <v>1.385605324718723</v>
      </c>
      <c r="AP112">
        <f>AJ111*(AH111/AK111)/350</f>
        <v>27.406897398859236</v>
      </c>
    </row>
    <row r="113" spans="1:35" x14ac:dyDescent="0.25">
      <c r="B113" s="31"/>
      <c r="C113" s="31"/>
      <c r="Q113" s="32"/>
    </row>
    <row r="114" spans="1:35" x14ac:dyDescent="0.25">
      <c r="A114" s="38" t="s">
        <v>4697</v>
      </c>
    </row>
    <row r="115" spans="1:35" x14ac:dyDescent="0.25">
      <c r="A115">
        <v>1</v>
      </c>
      <c r="B115">
        <f>1+A115</f>
        <v>2</v>
      </c>
      <c r="C115">
        <f t="shared" ref="C115" si="111">1+B115</f>
        <v>3</v>
      </c>
      <c r="D115">
        <f t="shared" ref="D115:D116" si="112">1+C115</f>
        <v>4</v>
      </c>
      <c r="E115">
        <f t="shared" ref="E115:E116" si="113">1+D115</f>
        <v>5</v>
      </c>
      <c r="F115">
        <f t="shared" ref="F115:F116" si="114">1+E115</f>
        <v>6</v>
      </c>
      <c r="G115">
        <f t="shared" ref="G115:G116" si="115">1+F115</f>
        <v>7</v>
      </c>
      <c r="H115">
        <f t="shared" ref="H115:H116" si="116">1+G115</f>
        <v>8</v>
      </c>
      <c r="I115">
        <f t="shared" ref="I115:I116" si="117">1+H115</f>
        <v>9</v>
      </c>
      <c r="J115">
        <f t="shared" ref="J115:J116" si="118">1+I115</f>
        <v>10</v>
      </c>
      <c r="K115">
        <f t="shared" ref="K115:K116" si="119">1+J115</f>
        <v>11</v>
      </c>
      <c r="L115">
        <f t="shared" ref="L115:L116" si="120">1+K115</f>
        <v>12</v>
      </c>
      <c r="M115">
        <f t="shared" ref="M115:M116" si="121">1+L115</f>
        <v>13</v>
      </c>
      <c r="N115">
        <f t="shared" ref="N115:N116" si="122">1+M115</f>
        <v>14</v>
      </c>
      <c r="O115">
        <f t="shared" ref="O115:O116" si="123">1+N115</f>
        <v>15</v>
      </c>
      <c r="P115">
        <f t="shared" ref="P115:P116" si="124">1+O115</f>
        <v>16</v>
      </c>
      <c r="Q115">
        <f t="shared" ref="Q115:Q116" si="125">1+P115</f>
        <v>17</v>
      </c>
      <c r="R115">
        <f t="shared" ref="R115:R116" si="126">1+Q115</f>
        <v>18</v>
      </c>
      <c r="S115">
        <f t="shared" ref="S115:S116" si="127">1+R115</f>
        <v>19</v>
      </c>
      <c r="T115">
        <f t="shared" ref="T115:T116" si="128">1+S115</f>
        <v>20</v>
      </c>
      <c r="U115">
        <f t="shared" ref="U115:U116" si="129">1+T115</f>
        <v>21</v>
      </c>
      <c r="V115">
        <f t="shared" ref="V115:V116" si="130">1+U115</f>
        <v>22</v>
      </c>
      <c r="W115">
        <f t="shared" ref="W115:W116" si="131">1+V115</f>
        <v>23</v>
      </c>
      <c r="X115">
        <f t="shared" ref="X115:X116" si="132">1+W115</f>
        <v>24</v>
      </c>
      <c r="Y115">
        <f t="shared" ref="Y115:Y116" si="133">1+X115</f>
        <v>25</v>
      </c>
      <c r="Z115">
        <f t="shared" ref="Z115:Z116" si="134">1+Y115</f>
        <v>26</v>
      </c>
      <c r="AA115">
        <f t="shared" ref="AA115:AA116" si="135">1+Z115</f>
        <v>27</v>
      </c>
    </row>
    <row r="116" spans="1:35" x14ac:dyDescent="0.25">
      <c r="B116">
        <v>1</v>
      </c>
      <c r="C116">
        <f>1+B116</f>
        <v>2</v>
      </c>
      <c r="D116">
        <f t="shared" si="112"/>
        <v>3</v>
      </c>
      <c r="E116">
        <f t="shared" si="113"/>
        <v>4</v>
      </c>
      <c r="F116">
        <f t="shared" si="114"/>
        <v>5</v>
      </c>
      <c r="G116">
        <f t="shared" si="115"/>
        <v>6</v>
      </c>
      <c r="H116">
        <f t="shared" si="116"/>
        <v>7</v>
      </c>
      <c r="I116">
        <f t="shared" si="117"/>
        <v>8</v>
      </c>
      <c r="J116">
        <f t="shared" si="118"/>
        <v>9</v>
      </c>
      <c r="K116">
        <f t="shared" si="119"/>
        <v>10</v>
      </c>
      <c r="L116">
        <f t="shared" si="120"/>
        <v>11</v>
      </c>
      <c r="M116">
        <f t="shared" si="121"/>
        <v>12</v>
      </c>
      <c r="N116">
        <f t="shared" si="122"/>
        <v>13</v>
      </c>
      <c r="O116">
        <f t="shared" si="123"/>
        <v>14</v>
      </c>
      <c r="P116">
        <f t="shared" si="124"/>
        <v>15</v>
      </c>
      <c r="Q116">
        <f t="shared" si="125"/>
        <v>16</v>
      </c>
      <c r="R116">
        <f t="shared" si="126"/>
        <v>17</v>
      </c>
      <c r="S116">
        <f t="shared" si="127"/>
        <v>18</v>
      </c>
      <c r="T116">
        <f t="shared" si="128"/>
        <v>19</v>
      </c>
      <c r="U116">
        <f t="shared" si="129"/>
        <v>20</v>
      </c>
      <c r="V116">
        <f t="shared" si="130"/>
        <v>21</v>
      </c>
      <c r="W116">
        <f t="shared" si="131"/>
        <v>22</v>
      </c>
      <c r="X116">
        <f t="shared" si="132"/>
        <v>23</v>
      </c>
      <c r="Y116">
        <f t="shared" si="133"/>
        <v>24</v>
      </c>
      <c r="Z116">
        <f t="shared" si="134"/>
        <v>25</v>
      </c>
      <c r="AA116">
        <f t="shared" si="135"/>
        <v>26</v>
      </c>
    </row>
    <row r="117" spans="1:35" x14ac:dyDescent="0.25">
      <c r="A117" s="41" t="s">
        <v>4585</v>
      </c>
      <c r="B117" s="38" t="s">
        <v>4</v>
      </c>
      <c r="C117" s="38" t="s">
        <v>42</v>
      </c>
      <c r="D117" s="38" t="s">
        <v>43</v>
      </c>
      <c r="E117" s="38" t="s">
        <v>342</v>
      </c>
      <c r="F117" s="38" t="s">
        <v>345</v>
      </c>
      <c r="G117" s="38" t="s">
        <v>346</v>
      </c>
      <c r="H117" s="38" t="s">
        <v>48</v>
      </c>
      <c r="I117" s="38" t="s">
        <v>49</v>
      </c>
      <c r="J117" s="38" t="s">
        <v>4586</v>
      </c>
      <c r="K117" s="38" t="s">
        <v>4587</v>
      </c>
      <c r="L117" s="38" t="s">
        <v>4588</v>
      </c>
      <c r="M117" s="38" t="s">
        <v>4589</v>
      </c>
      <c r="N117" s="38" t="s">
        <v>4665</v>
      </c>
      <c r="O117" s="38" t="s">
        <v>4666</v>
      </c>
      <c r="P117" s="38" t="s">
        <v>4667</v>
      </c>
      <c r="Q117" s="38" t="s">
        <v>4590</v>
      </c>
      <c r="R117" s="38" t="s">
        <v>4668</v>
      </c>
      <c r="S117" s="38" t="s">
        <v>4669</v>
      </c>
      <c r="T117" s="38" t="s">
        <v>18</v>
      </c>
      <c r="U117" s="38" t="s">
        <v>4670</v>
      </c>
      <c r="V117" s="38" t="s">
        <v>86</v>
      </c>
      <c r="W117" s="38" t="s">
        <v>4671</v>
      </c>
      <c r="X117" s="38" t="s">
        <v>4672</v>
      </c>
      <c r="Y117" s="38" t="s">
        <v>4673</v>
      </c>
      <c r="Z117" s="38" t="s">
        <v>4674</v>
      </c>
      <c r="AA117" s="38" t="s">
        <v>4675</v>
      </c>
      <c r="AC117" s="38" t="s">
        <v>24</v>
      </c>
      <c r="AD117" s="38" t="s">
        <v>10</v>
      </c>
      <c r="AE117" s="42" t="s">
        <v>4676</v>
      </c>
      <c r="AF117" s="38" t="s">
        <v>4677</v>
      </c>
      <c r="AG117" s="38" t="s">
        <v>60</v>
      </c>
      <c r="AH117" s="38" t="s">
        <v>59</v>
      </c>
      <c r="AI117" s="38" t="s">
        <v>4678</v>
      </c>
    </row>
    <row r="118" spans="1:35" x14ac:dyDescent="0.25">
      <c r="A118" s="41" t="s">
        <v>4599</v>
      </c>
      <c r="B118" s="38" t="s">
        <v>4600</v>
      </c>
      <c r="C118" s="38" t="s">
        <v>69</v>
      </c>
      <c r="D118" s="38"/>
      <c r="E118" s="38" t="s">
        <v>74</v>
      </c>
      <c r="F118" s="38" t="s">
        <v>75</v>
      </c>
      <c r="G118" s="38" t="s">
        <v>76</v>
      </c>
      <c r="H118" s="38" t="s">
        <v>78</v>
      </c>
      <c r="I118" s="38" t="s">
        <v>78</v>
      </c>
      <c r="J118" s="38" t="s">
        <v>79</v>
      </c>
      <c r="K118" s="38" t="s">
        <v>79</v>
      </c>
      <c r="L118" s="38" t="s">
        <v>79</v>
      </c>
      <c r="M118" s="38" t="s">
        <v>79</v>
      </c>
      <c r="N118" s="38" t="s">
        <v>69</v>
      </c>
      <c r="O118" s="38" t="s">
        <v>69</v>
      </c>
      <c r="P118" s="38" t="s">
        <v>69</v>
      </c>
      <c r="Q118" s="38" t="s">
        <v>70</v>
      </c>
      <c r="R118" s="38" t="s">
        <v>69</v>
      </c>
      <c r="S118" s="38" t="s">
        <v>69</v>
      </c>
      <c r="T118" s="38" t="s">
        <v>69</v>
      </c>
      <c r="U118" s="38" t="s">
        <v>69</v>
      </c>
      <c r="V118" s="38" t="s">
        <v>69</v>
      </c>
      <c r="W118" s="38" t="s">
        <v>69</v>
      </c>
      <c r="X118" s="38" t="s">
        <v>68</v>
      </c>
      <c r="Y118" s="38" t="s">
        <v>68</v>
      </c>
      <c r="Z118" s="38" t="s">
        <v>68</v>
      </c>
      <c r="AA118" s="38" t="s">
        <v>68</v>
      </c>
      <c r="AC118" s="38" t="s">
        <v>69</v>
      </c>
      <c r="AD118" s="38" t="s">
        <v>69</v>
      </c>
      <c r="AE118" s="42"/>
    </row>
    <row r="119" spans="1:35" x14ac:dyDescent="0.25">
      <c r="A119">
        <v>0</v>
      </c>
      <c r="B119">
        <v>466</v>
      </c>
      <c r="C119">
        <v>83.7</v>
      </c>
      <c r="D119">
        <v>6</v>
      </c>
      <c r="E119">
        <v>0</v>
      </c>
      <c r="F119">
        <v>0</v>
      </c>
      <c r="G119">
        <v>0</v>
      </c>
      <c r="H119">
        <f>0.022/40</f>
        <v>5.4999999999999992E-4</v>
      </c>
      <c r="I119">
        <f>0.16/24.3</f>
        <v>6.5843621399176953E-3</v>
      </c>
      <c r="J119">
        <v>0</v>
      </c>
      <c r="K119">
        <v>0</v>
      </c>
      <c r="L119">
        <v>0</v>
      </c>
      <c r="M119">
        <v>0</v>
      </c>
      <c r="N119">
        <v>3.0696821515892423</v>
      </c>
      <c r="O119">
        <v>0</v>
      </c>
      <c r="P119">
        <v>0</v>
      </c>
      <c r="Q119">
        <v>350</v>
      </c>
      <c r="R119">
        <v>13.608924205378976</v>
      </c>
      <c r="S119">
        <v>2.2511002444987778</v>
      </c>
      <c r="T119">
        <v>5.6993765281173605</v>
      </c>
      <c r="U119">
        <v>1.5655378973105136</v>
      </c>
      <c r="V119">
        <v>0</v>
      </c>
      <c r="W119">
        <v>57.505378973105145</v>
      </c>
      <c r="X119">
        <v>50</v>
      </c>
      <c r="Y119">
        <v>50</v>
      </c>
      <c r="Z119">
        <v>0</v>
      </c>
      <c r="AA119">
        <v>50</v>
      </c>
      <c r="AC119">
        <f>W119+V119+U119+T119+N119</f>
        <v>67.839975550122261</v>
      </c>
      <c r="AD119">
        <f>(J119/1.07+K119/1.51+L119/1.82+M119/2.04)/(B119)*10^2</f>
        <v>0</v>
      </c>
      <c r="AE119">
        <f>100*(T119*Z119/100+U119*AA119/100+W119+N119)/(N119+T119+U119+V119+W119)</f>
        <v>90.444947209653108</v>
      </c>
      <c r="AF119">
        <f>(AD119+R119*X119/100+S119*Y119/100+AE119*AC119/100)/C119*100</f>
        <v>82.781173594132042</v>
      </c>
      <c r="AG119">
        <f>(R119*0.496+S119*1.014+AC119*0.415)/(C119)*1000</f>
        <v>444.2799511002446</v>
      </c>
      <c r="AH119">
        <f>AG119*AF119/100</f>
        <v>367.78015756421848</v>
      </c>
      <c r="AI119" t="e">
        <f>(T119*(100-Z119)/100+U119*(100-AA119)/100+V119)/V119</f>
        <v>#DIV/0!</v>
      </c>
    </row>
    <row r="120" spans="1:35" x14ac:dyDescent="0.25">
      <c r="A120">
        <v>2000</v>
      </c>
      <c r="B120">
        <v>466</v>
      </c>
      <c r="C120">
        <v>83.7</v>
      </c>
      <c r="D120">
        <v>6</v>
      </c>
      <c r="E120">
        <v>0</v>
      </c>
      <c r="F120">
        <v>0</v>
      </c>
      <c r="G120">
        <v>0</v>
      </c>
      <c r="H120">
        <f>0.022/40</f>
        <v>5.4999999999999992E-4</v>
      </c>
      <c r="I120">
        <f>0.16/24.3</f>
        <v>6.5843621399176953E-3</v>
      </c>
      <c r="J120">
        <v>0</v>
      </c>
      <c r="K120">
        <v>0</v>
      </c>
      <c r="L120">
        <v>0</v>
      </c>
      <c r="M120">
        <v>0</v>
      </c>
      <c r="N120">
        <v>3.0696821515892423</v>
      </c>
      <c r="O120">
        <v>0</v>
      </c>
      <c r="P120">
        <v>0</v>
      </c>
      <c r="Q120">
        <v>350</v>
      </c>
      <c r="R120">
        <v>13.608924205378976</v>
      </c>
      <c r="S120">
        <v>2.2511002444987778</v>
      </c>
      <c r="T120">
        <v>5.6993765281173605</v>
      </c>
      <c r="U120">
        <v>1.5655378973105136</v>
      </c>
      <c r="V120">
        <v>0</v>
      </c>
      <c r="W120">
        <v>57.505378973105145</v>
      </c>
      <c r="X120">
        <v>50</v>
      </c>
      <c r="Y120">
        <v>50</v>
      </c>
      <c r="Z120">
        <v>0</v>
      </c>
      <c r="AA120">
        <v>50</v>
      </c>
      <c r="AE120">
        <f>AE119-31</f>
        <v>59.444947209653108</v>
      </c>
    </row>
    <row r="122" spans="1:35" x14ac:dyDescent="0.25">
      <c r="A122" s="38" t="s">
        <v>4698</v>
      </c>
    </row>
    <row r="123" spans="1:35" x14ac:dyDescent="0.25">
      <c r="A123">
        <v>1</v>
      </c>
      <c r="B123">
        <f>1+A123</f>
        <v>2</v>
      </c>
      <c r="C123">
        <f t="shared" ref="C123" si="136">1+B123</f>
        <v>3</v>
      </c>
      <c r="D123">
        <f t="shared" ref="D123:D124" si="137">1+C123</f>
        <v>4</v>
      </c>
      <c r="E123">
        <f t="shared" ref="E123:E124" si="138">1+D123</f>
        <v>5</v>
      </c>
      <c r="F123">
        <f t="shared" ref="F123:F124" si="139">1+E123</f>
        <v>6</v>
      </c>
      <c r="G123">
        <f t="shared" ref="G123:G124" si="140">1+F123</f>
        <v>7</v>
      </c>
      <c r="H123">
        <f t="shared" ref="H123:H124" si="141">1+G123</f>
        <v>8</v>
      </c>
      <c r="I123">
        <f t="shared" ref="I123:I124" si="142">1+H123</f>
        <v>9</v>
      </c>
      <c r="J123">
        <f t="shared" ref="J123:J124" si="143">1+I123</f>
        <v>10</v>
      </c>
      <c r="K123">
        <f t="shared" ref="K123:K124" si="144">1+J123</f>
        <v>11</v>
      </c>
      <c r="L123">
        <f t="shared" ref="L123:L124" si="145">1+K123</f>
        <v>12</v>
      </c>
      <c r="M123">
        <f t="shared" ref="M123:M124" si="146">1+L123</f>
        <v>13</v>
      </c>
      <c r="N123">
        <f t="shared" ref="N123:N124" si="147">1+M123</f>
        <v>14</v>
      </c>
      <c r="O123">
        <f t="shared" ref="O123:O124" si="148">1+N123</f>
        <v>15</v>
      </c>
      <c r="P123">
        <f t="shared" ref="P123:P124" si="149">1+O123</f>
        <v>16</v>
      </c>
      <c r="Q123">
        <f t="shared" ref="Q123:Q124" si="150">1+P123</f>
        <v>17</v>
      </c>
      <c r="R123">
        <f t="shared" ref="R123:R124" si="151">1+Q123</f>
        <v>18</v>
      </c>
      <c r="S123">
        <f t="shared" ref="S123:S124" si="152">1+R123</f>
        <v>19</v>
      </c>
      <c r="T123">
        <f t="shared" ref="T123:T124" si="153">1+S123</f>
        <v>20</v>
      </c>
      <c r="U123">
        <f t="shared" ref="U123:U124" si="154">1+T123</f>
        <v>21</v>
      </c>
      <c r="V123">
        <f t="shared" ref="V123:V124" si="155">1+U123</f>
        <v>22</v>
      </c>
      <c r="W123">
        <f t="shared" ref="W123:W124" si="156">1+V123</f>
        <v>23</v>
      </c>
      <c r="X123">
        <f t="shared" ref="X123:X124" si="157">1+W123</f>
        <v>24</v>
      </c>
      <c r="Y123">
        <f t="shared" ref="Y123:Y124" si="158">1+X123</f>
        <v>25</v>
      </c>
      <c r="Z123">
        <f t="shared" ref="Z123:Z124" si="159">1+Y123</f>
        <v>26</v>
      </c>
      <c r="AA123">
        <f t="shared" ref="AA123:AA124" si="160">1+Z123</f>
        <v>27</v>
      </c>
    </row>
    <row r="124" spans="1:35" x14ac:dyDescent="0.25">
      <c r="B124">
        <v>1</v>
      </c>
      <c r="C124">
        <f>1+B124</f>
        <v>2</v>
      </c>
      <c r="D124">
        <f t="shared" si="137"/>
        <v>3</v>
      </c>
      <c r="E124">
        <f t="shared" si="138"/>
        <v>4</v>
      </c>
      <c r="F124">
        <f t="shared" si="139"/>
        <v>5</v>
      </c>
      <c r="G124">
        <f t="shared" si="140"/>
        <v>6</v>
      </c>
      <c r="H124">
        <f t="shared" si="141"/>
        <v>7</v>
      </c>
      <c r="I124">
        <f t="shared" si="142"/>
        <v>8</v>
      </c>
      <c r="J124">
        <f t="shared" si="143"/>
        <v>9</v>
      </c>
      <c r="K124">
        <f t="shared" si="144"/>
        <v>10</v>
      </c>
      <c r="L124">
        <f t="shared" si="145"/>
        <v>11</v>
      </c>
      <c r="M124">
        <f t="shared" si="146"/>
        <v>12</v>
      </c>
      <c r="N124">
        <f t="shared" si="147"/>
        <v>13</v>
      </c>
      <c r="O124">
        <f t="shared" si="148"/>
        <v>14</v>
      </c>
      <c r="P124">
        <f t="shared" si="149"/>
        <v>15</v>
      </c>
      <c r="Q124">
        <f t="shared" si="150"/>
        <v>16</v>
      </c>
      <c r="R124">
        <f t="shared" si="151"/>
        <v>17</v>
      </c>
      <c r="S124">
        <f t="shared" si="152"/>
        <v>18</v>
      </c>
      <c r="T124">
        <f t="shared" si="153"/>
        <v>19</v>
      </c>
      <c r="U124">
        <f t="shared" si="154"/>
        <v>20</v>
      </c>
      <c r="V124">
        <f t="shared" si="155"/>
        <v>21</v>
      </c>
      <c r="W124">
        <f t="shared" si="156"/>
        <v>22</v>
      </c>
      <c r="X124">
        <f t="shared" si="157"/>
        <v>23</v>
      </c>
      <c r="Y124">
        <f t="shared" si="158"/>
        <v>24</v>
      </c>
      <c r="Z124">
        <f t="shared" si="159"/>
        <v>25</v>
      </c>
      <c r="AA124">
        <f t="shared" si="160"/>
        <v>26</v>
      </c>
    </row>
    <row r="125" spans="1:35" x14ac:dyDescent="0.25">
      <c r="A125" s="41" t="s">
        <v>4585</v>
      </c>
      <c r="B125" s="38" t="s">
        <v>4</v>
      </c>
      <c r="C125" s="38" t="s">
        <v>42</v>
      </c>
      <c r="D125" s="38" t="s">
        <v>43</v>
      </c>
      <c r="E125" s="38" t="s">
        <v>342</v>
      </c>
      <c r="F125" s="38" t="s">
        <v>345</v>
      </c>
      <c r="G125" s="38" t="s">
        <v>346</v>
      </c>
      <c r="H125" s="38" t="s">
        <v>48</v>
      </c>
      <c r="I125" s="38" t="s">
        <v>49</v>
      </c>
      <c r="J125" s="38" t="s">
        <v>4586</v>
      </c>
      <c r="K125" s="38" t="s">
        <v>4587</v>
      </c>
      <c r="L125" s="38" t="s">
        <v>4588</v>
      </c>
      <c r="M125" s="38" t="s">
        <v>4589</v>
      </c>
      <c r="N125" s="38" t="s">
        <v>4665</v>
      </c>
      <c r="O125" s="38" t="s">
        <v>4666</v>
      </c>
      <c r="P125" s="38" t="s">
        <v>4667</v>
      </c>
      <c r="Q125" s="38" t="s">
        <v>4590</v>
      </c>
      <c r="R125" s="38" t="s">
        <v>4668</v>
      </c>
      <c r="S125" s="38" t="s">
        <v>4669</v>
      </c>
      <c r="T125" s="38" t="s">
        <v>18</v>
      </c>
      <c r="U125" s="38" t="s">
        <v>4670</v>
      </c>
      <c r="V125" s="38" t="s">
        <v>86</v>
      </c>
      <c r="W125" s="38" t="s">
        <v>4671</v>
      </c>
      <c r="X125" s="38" t="s">
        <v>4672</v>
      </c>
      <c r="Y125" s="38" t="s">
        <v>4673</v>
      </c>
      <c r="Z125" s="38" t="s">
        <v>4674</v>
      </c>
      <c r="AA125" s="38" t="s">
        <v>4675</v>
      </c>
      <c r="AB125" s="38"/>
      <c r="AC125" s="38" t="s">
        <v>24</v>
      </c>
      <c r="AD125" s="38" t="s">
        <v>10</v>
      </c>
      <c r="AE125" s="42" t="s">
        <v>4676</v>
      </c>
      <c r="AF125" s="38" t="s">
        <v>4677</v>
      </c>
      <c r="AG125" s="38" t="s">
        <v>60</v>
      </c>
      <c r="AH125" s="38" t="s">
        <v>59</v>
      </c>
      <c r="AI125" s="38" t="s">
        <v>4678</v>
      </c>
    </row>
    <row r="126" spans="1:35" x14ac:dyDescent="0.25">
      <c r="A126" s="41" t="s">
        <v>4599</v>
      </c>
      <c r="B126" s="38" t="s">
        <v>4600</v>
      </c>
      <c r="C126" s="38" t="s">
        <v>69</v>
      </c>
      <c r="D126" s="38"/>
      <c r="E126" s="38" t="s">
        <v>74</v>
      </c>
      <c r="F126" s="38" t="s">
        <v>75</v>
      </c>
      <c r="G126" s="38" t="s">
        <v>76</v>
      </c>
      <c r="H126" s="38" t="s">
        <v>78</v>
      </c>
      <c r="I126" s="38" t="s">
        <v>78</v>
      </c>
      <c r="J126" s="38" t="s">
        <v>79</v>
      </c>
      <c r="K126" s="38" t="s">
        <v>79</v>
      </c>
      <c r="L126" s="38" t="s">
        <v>79</v>
      </c>
      <c r="M126" s="38" t="s">
        <v>79</v>
      </c>
      <c r="N126" s="38" t="s">
        <v>69</v>
      </c>
      <c r="O126" s="38" t="s">
        <v>69</v>
      </c>
      <c r="P126" s="38" t="s">
        <v>69</v>
      </c>
      <c r="Q126" s="38" t="s">
        <v>70</v>
      </c>
      <c r="R126" s="38" t="s">
        <v>69</v>
      </c>
      <c r="S126" s="38" t="s">
        <v>69</v>
      </c>
      <c r="T126" s="38" t="s">
        <v>69</v>
      </c>
      <c r="U126" s="38" t="s">
        <v>69</v>
      </c>
      <c r="V126" s="38" t="s">
        <v>69</v>
      </c>
      <c r="W126" s="38" t="s">
        <v>69</v>
      </c>
      <c r="X126" s="38" t="s">
        <v>68</v>
      </c>
      <c r="Y126" s="38" t="s">
        <v>68</v>
      </c>
      <c r="Z126" s="38" t="s">
        <v>68</v>
      </c>
      <c r="AA126" s="38" t="s">
        <v>68</v>
      </c>
      <c r="AB126" s="38"/>
      <c r="AC126" s="38" t="s">
        <v>69</v>
      </c>
      <c r="AD126" s="38" t="s">
        <v>69</v>
      </c>
      <c r="AE126" s="42"/>
    </row>
    <row r="127" spans="1:35" x14ac:dyDescent="0.25">
      <c r="A127">
        <v>0</v>
      </c>
      <c r="B127">
        <v>672.2</v>
      </c>
      <c r="C127">
        <v>99</v>
      </c>
      <c r="D127">
        <v>0</v>
      </c>
      <c r="E127">
        <v>0</v>
      </c>
      <c r="F127">
        <v>0</v>
      </c>
      <c r="G127">
        <v>0</v>
      </c>
      <c r="H127">
        <v>0</v>
      </c>
      <c r="I127">
        <v>0</v>
      </c>
      <c r="J127">
        <v>0</v>
      </c>
      <c r="K127">
        <v>0</v>
      </c>
      <c r="L127">
        <v>0</v>
      </c>
      <c r="M127">
        <v>0</v>
      </c>
      <c r="N127">
        <v>2.89</v>
      </c>
      <c r="O127">
        <v>0</v>
      </c>
      <c r="P127">
        <v>0</v>
      </c>
      <c r="Q127">
        <v>0</v>
      </c>
      <c r="R127">
        <v>17.809439002671418</v>
      </c>
      <c r="S127">
        <v>6.2333036509349959</v>
      </c>
      <c r="T127">
        <v>0</v>
      </c>
      <c r="U127">
        <v>3.45</v>
      </c>
      <c r="V127">
        <v>0</v>
      </c>
      <c r="W127">
        <v>69.456812110418539</v>
      </c>
      <c r="X127">
        <v>35</v>
      </c>
      <c r="Y127">
        <v>40</v>
      </c>
      <c r="Z127">
        <v>0</v>
      </c>
      <c r="AA127">
        <v>0</v>
      </c>
      <c r="AC127">
        <f>W127+V127+U127+T127+N127</f>
        <v>75.796812110418543</v>
      </c>
      <c r="AD127">
        <f>(J127/1.07+K127/1.51+L127/1.82+M127/2.04)/(B127)*10^2</f>
        <v>0</v>
      </c>
      <c r="AE127">
        <f>100*(T127*Z127/100+U127*AA127/100+W127+N127)/(N127+T127+U127+V127+W127)</f>
        <v>95.448357386094102</v>
      </c>
      <c r="AF127">
        <f>(AD127+R127*X127/100+S127*Y127/100+AE127*AC127/100)/C127*100</f>
        <v>81.892360830027826</v>
      </c>
      <c r="AG127">
        <f>(R127*0.496+S127*1.014+AC127*0.415)/(C127)*1000</f>
        <v>470.805340133301</v>
      </c>
      <c r="AH127">
        <f>AG127*AF127/100</f>
        <v>385.5536079490027</v>
      </c>
      <c r="AI127" t="e">
        <f>(T127*(100-Z127)/100+U127*(100-AA127)/100+V127)/V127</f>
        <v>#DIV/0!</v>
      </c>
    </row>
    <row r="128" spans="1:35" x14ac:dyDescent="0.25">
      <c r="A128">
        <v>2000</v>
      </c>
      <c r="B128">
        <v>672.2</v>
      </c>
      <c r="C128">
        <v>99</v>
      </c>
      <c r="D128">
        <v>0</v>
      </c>
      <c r="E128">
        <v>0</v>
      </c>
      <c r="F128">
        <v>0</v>
      </c>
      <c r="G128">
        <v>0</v>
      </c>
      <c r="H128">
        <v>0</v>
      </c>
      <c r="I128">
        <v>0</v>
      </c>
      <c r="J128">
        <v>0</v>
      </c>
      <c r="K128">
        <v>0</v>
      </c>
      <c r="L128">
        <v>0</v>
      </c>
      <c r="M128">
        <v>0</v>
      </c>
      <c r="N128">
        <v>2.89</v>
      </c>
      <c r="O128">
        <v>0</v>
      </c>
      <c r="P128">
        <v>0</v>
      </c>
      <c r="Q128">
        <v>0</v>
      </c>
      <c r="R128">
        <v>17.809439002671418</v>
      </c>
      <c r="S128">
        <v>6.2333036509349959</v>
      </c>
      <c r="T128">
        <v>0</v>
      </c>
      <c r="U128">
        <v>3.45</v>
      </c>
      <c r="V128">
        <v>0</v>
      </c>
      <c r="W128">
        <v>69.456812110418539</v>
      </c>
      <c r="X128">
        <v>35</v>
      </c>
      <c r="Y128">
        <v>40</v>
      </c>
      <c r="Z128">
        <v>0</v>
      </c>
      <c r="AA128">
        <v>0</v>
      </c>
      <c r="AE128">
        <f>AE127-90</f>
        <v>5.4483573860941021</v>
      </c>
    </row>
    <row r="130" spans="1:39" x14ac:dyDescent="0.25">
      <c r="A130" s="38" t="s">
        <v>4699</v>
      </c>
    </row>
    <row r="131" spans="1:39" x14ac:dyDescent="0.25">
      <c r="A131">
        <v>1</v>
      </c>
      <c r="B131">
        <f>1+A131</f>
        <v>2</v>
      </c>
      <c r="C131">
        <f t="shared" ref="C131" si="161">1+B131</f>
        <v>3</v>
      </c>
      <c r="D131">
        <f t="shared" ref="D131:D132" si="162">1+C131</f>
        <v>4</v>
      </c>
      <c r="E131">
        <f t="shared" ref="E131:E132" si="163">1+D131</f>
        <v>5</v>
      </c>
      <c r="F131">
        <f t="shared" ref="F131:F132" si="164">1+E131</f>
        <v>6</v>
      </c>
      <c r="G131">
        <f t="shared" ref="G131:G132" si="165">1+F131</f>
        <v>7</v>
      </c>
      <c r="H131">
        <f t="shared" ref="H131:H132" si="166">1+G131</f>
        <v>8</v>
      </c>
      <c r="I131">
        <f t="shared" ref="I131:I132" si="167">1+H131</f>
        <v>9</v>
      </c>
      <c r="J131">
        <f t="shared" ref="J131:J132" si="168">1+I131</f>
        <v>10</v>
      </c>
      <c r="K131">
        <f t="shared" ref="K131:K132" si="169">1+J131</f>
        <v>11</v>
      </c>
      <c r="L131">
        <f t="shared" ref="L131:L132" si="170">1+K131</f>
        <v>12</v>
      </c>
      <c r="M131">
        <f t="shared" ref="M131:M132" si="171">1+L131</f>
        <v>13</v>
      </c>
      <c r="N131">
        <f t="shared" ref="N131:N132" si="172">1+M131</f>
        <v>14</v>
      </c>
      <c r="O131">
        <f t="shared" ref="O131:O132" si="173">1+N131</f>
        <v>15</v>
      </c>
      <c r="P131">
        <f t="shared" ref="P131:P132" si="174">1+O131</f>
        <v>16</v>
      </c>
      <c r="Q131">
        <f t="shared" ref="Q131:Q132" si="175">1+P131</f>
        <v>17</v>
      </c>
      <c r="R131">
        <f t="shared" ref="R131:R132" si="176">1+Q131</f>
        <v>18</v>
      </c>
      <c r="S131">
        <f t="shared" ref="S131:S132" si="177">1+R131</f>
        <v>19</v>
      </c>
      <c r="T131">
        <f t="shared" ref="T131:T132" si="178">1+S131</f>
        <v>20</v>
      </c>
      <c r="U131">
        <f t="shared" ref="U131:U132" si="179">1+T131</f>
        <v>21</v>
      </c>
      <c r="V131">
        <f t="shared" ref="V131:V132" si="180">1+U131</f>
        <v>22</v>
      </c>
      <c r="W131">
        <f t="shared" ref="W131:W132" si="181">1+V131</f>
        <v>23</v>
      </c>
      <c r="X131">
        <f t="shared" ref="X131:X132" si="182">1+W131</f>
        <v>24</v>
      </c>
      <c r="Y131">
        <f t="shared" ref="Y131:Y132" si="183">1+X131</f>
        <v>25</v>
      </c>
      <c r="Z131">
        <f t="shared" ref="Z131:Z132" si="184">1+Y131</f>
        <v>26</v>
      </c>
      <c r="AA131">
        <f t="shared" ref="AA131:AA132" si="185">1+Z131</f>
        <v>27</v>
      </c>
    </row>
    <row r="132" spans="1:39" x14ac:dyDescent="0.25">
      <c r="B132">
        <v>1</v>
      </c>
      <c r="C132">
        <f>1+B132</f>
        <v>2</v>
      </c>
      <c r="D132">
        <f t="shared" si="162"/>
        <v>3</v>
      </c>
      <c r="E132">
        <f t="shared" si="163"/>
        <v>4</v>
      </c>
      <c r="F132">
        <f t="shared" si="164"/>
        <v>5</v>
      </c>
      <c r="G132">
        <f t="shared" si="165"/>
        <v>6</v>
      </c>
      <c r="H132">
        <f t="shared" si="166"/>
        <v>7</v>
      </c>
      <c r="I132">
        <f t="shared" si="167"/>
        <v>8</v>
      </c>
      <c r="J132">
        <f t="shared" si="168"/>
        <v>9</v>
      </c>
      <c r="K132">
        <f t="shared" si="169"/>
        <v>10</v>
      </c>
      <c r="L132">
        <f t="shared" si="170"/>
        <v>11</v>
      </c>
      <c r="M132">
        <f t="shared" si="171"/>
        <v>12</v>
      </c>
      <c r="N132">
        <f t="shared" si="172"/>
        <v>13</v>
      </c>
      <c r="O132">
        <f t="shared" si="173"/>
        <v>14</v>
      </c>
      <c r="P132">
        <f t="shared" si="174"/>
        <v>15</v>
      </c>
      <c r="Q132">
        <f t="shared" si="175"/>
        <v>16</v>
      </c>
      <c r="R132">
        <f t="shared" si="176"/>
        <v>17</v>
      </c>
      <c r="S132">
        <f t="shared" si="177"/>
        <v>18</v>
      </c>
      <c r="T132">
        <f t="shared" si="178"/>
        <v>19</v>
      </c>
      <c r="U132">
        <f t="shared" si="179"/>
        <v>20</v>
      </c>
      <c r="V132">
        <f t="shared" si="180"/>
        <v>21</v>
      </c>
      <c r="W132">
        <f t="shared" si="181"/>
        <v>22</v>
      </c>
      <c r="X132">
        <f t="shared" si="182"/>
        <v>23</v>
      </c>
      <c r="Y132">
        <f t="shared" si="183"/>
        <v>24</v>
      </c>
      <c r="Z132">
        <f t="shared" si="184"/>
        <v>25</v>
      </c>
      <c r="AA132">
        <f t="shared" si="185"/>
        <v>26</v>
      </c>
    </row>
    <row r="133" spans="1:39" x14ac:dyDescent="0.25">
      <c r="A133" s="41" t="s">
        <v>4585</v>
      </c>
      <c r="B133" s="38" t="s">
        <v>4</v>
      </c>
      <c r="C133" s="38" t="s">
        <v>42</v>
      </c>
      <c r="D133" s="38" t="s">
        <v>43</v>
      </c>
      <c r="E133" s="38" t="s">
        <v>342</v>
      </c>
      <c r="F133" s="38" t="s">
        <v>345</v>
      </c>
      <c r="G133" s="38" t="s">
        <v>346</v>
      </c>
      <c r="H133" s="38" t="s">
        <v>48</v>
      </c>
      <c r="I133" s="38" t="s">
        <v>49</v>
      </c>
      <c r="J133" s="38" t="s">
        <v>4586</v>
      </c>
      <c r="K133" s="38" t="s">
        <v>4587</v>
      </c>
      <c r="L133" s="38" t="s">
        <v>4588</v>
      </c>
      <c r="M133" s="38" t="s">
        <v>4589</v>
      </c>
      <c r="N133" s="38" t="s">
        <v>4665</v>
      </c>
      <c r="O133" s="38" t="s">
        <v>4666</v>
      </c>
      <c r="P133" s="38" t="s">
        <v>4667</v>
      </c>
      <c r="Q133" s="38" t="s">
        <v>4590</v>
      </c>
      <c r="R133" s="38" t="s">
        <v>4668</v>
      </c>
      <c r="S133" s="38" t="s">
        <v>4669</v>
      </c>
      <c r="T133" s="38" t="s">
        <v>18</v>
      </c>
      <c r="U133" s="38" t="s">
        <v>4670</v>
      </c>
      <c r="V133" s="38" t="s">
        <v>86</v>
      </c>
      <c r="W133" s="38" t="s">
        <v>4671</v>
      </c>
      <c r="X133" s="38" t="s">
        <v>4672</v>
      </c>
      <c r="Y133" s="38" t="s">
        <v>4673</v>
      </c>
      <c r="Z133" s="38" t="s">
        <v>4674</v>
      </c>
      <c r="AA133" s="38" t="s">
        <v>4675</v>
      </c>
      <c r="AB133" s="38"/>
      <c r="AC133" s="38" t="s">
        <v>24</v>
      </c>
      <c r="AD133" s="38" t="s">
        <v>10</v>
      </c>
      <c r="AE133" s="42" t="s">
        <v>4676</v>
      </c>
      <c r="AF133" s="38" t="s">
        <v>4677</v>
      </c>
      <c r="AG133" s="38" t="s">
        <v>60</v>
      </c>
      <c r="AH133" s="38" t="s">
        <v>59</v>
      </c>
      <c r="AI133" s="38" t="s">
        <v>4678</v>
      </c>
      <c r="AJ133" s="38" t="s">
        <v>4685</v>
      </c>
      <c r="AK133" s="38" t="s">
        <v>461</v>
      </c>
      <c r="AL133" s="38" t="s">
        <v>62</v>
      </c>
      <c r="AM133" s="38" t="s">
        <v>63</v>
      </c>
    </row>
    <row r="134" spans="1:39" x14ac:dyDescent="0.25">
      <c r="A134" s="41" t="s">
        <v>4599</v>
      </c>
      <c r="B134" s="38" t="s">
        <v>4600</v>
      </c>
      <c r="C134" s="38" t="s">
        <v>69</v>
      </c>
      <c r="D134" s="38"/>
      <c r="E134" s="38" t="s">
        <v>74</v>
      </c>
      <c r="F134" s="38" t="s">
        <v>75</v>
      </c>
      <c r="G134" s="38" t="s">
        <v>76</v>
      </c>
      <c r="H134" s="38" t="s">
        <v>78</v>
      </c>
      <c r="I134" s="38" t="s">
        <v>78</v>
      </c>
      <c r="J134" s="38" t="s">
        <v>79</v>
      </c>
      <c r="K134" s="38" t="s">
        <v>79</v>
      </c>
      <c r="L134" s="38" t="s">
        <v>79</v>
      </c>
      <c r="M134" s="38" t="s">
        <v>79</v>
      </c>
      <c r="N134" s="38" t="s">
        <v>69</v>
      </c>
      <c r="O134" s="38" t="s">
        <v>69</v>
      </c>
      <c r="P134" s="38" t="s">
        <v>69</v>
      </c>
      <c r="Q134" s="38" t="s">
        <v>70</v>
      </c>
      <c r="R134" s="38" t="s">
        <v>69</v>
      </c>
      <c r="S134" s="38" t="s">
        <v>69</v>
      </c>
      <c r="T134" s="38" t="s">
        <v>69</v>
      </c>
      <c r="U134" s="38" t="s">
        <v>69</v>
      </c>
      <c r="V134" s="38" t="s">
        <v>69</v>
      </c>
      <c r="W134" s="38" t="s">
        <v>69</v>
      </c>
      <c r="X134" s="38" t="s">
        <v>68</v>
      </c>
      <c r="Y134" s="38" t="s">
        <v>68</v>
      </c>
      <c r="Z134" s="38" t="s">
        <v>68</v>
      </c>
      <c r="AA134" s="38" t="s">
        <v>68</v>
      </c>
      <c r="AB134" s="38"/>
      <c r="AC134" s="38" t="s">
        <v>69</v>
      </c>
      <c r="AD134" s="38" t="s">
        <v>69</v>
      </c>
      <c r="AE134" s="42"/>
    </row>
    <row r="135" spans="1:39" x14ac:dyDescent="0.25">
      <c r="A135">
        <v>0</v>
      </c>
      <c r="B135">
        <v>76.900000000000006</v>
      </c>
      <c r="C135">
        <v>85.4</v>
      </c>
      <c r="D135">
        <v>5</v>
      </c>
      <c r="E135">
        <v>0</v>
      </c>
      <c r="F135">
        <v>0</v>
      </c>
      <c r="G135">
        <v>260</v>
      </c>
      <c r="H135">
        <f>0.13/40</f>
        <v>3.2500000000000003E-3</v>
      </c>
      <c r="I135">
        <f>0.16/24.3</f>
        <v>6.5843621399176953E-3</v>
      </c>
      <c r="J135" s="32">
        <v>1.785357764</v>
      </c>
      <c r="K135">
        <v>0</v>
      </c>
      <c r="L135">
        <v>0</v>
      </c>
      <c r="M135">
        <v>0</v>
      </c>
      <c r="N135">
        <v>0</v>
      </c>
      <c r="O135">
        <v>0</v>
      </c>
      <c r="P135">
        <v>0</v>
      </c>
      <c r="Q135" s="32">
        <v>506</v>
      </c>
      <c r="R135">
        <v>16.821212121212124</v>
      </c>
      <c r="S135">
        <v>0</v>
      </c>
      <c r="T135">
        <v>0</v>
      </c>
      <c r="U135">
        <v>28.803090909090916</v>
      </c>
      <c r="V135">
        <v>0</v>
      </c>
      <c r="W135">
        <v>39.77569696969698</v>
      </c>
      <c r="X135">
        <v>100</v>
      </c>
      <c r="Y135">
        <v>100</v>
      </c>
      <c r="Z135">
        <v>0</v>
      </c>
      <c r="AA135">
        <v>38</v>
      </c>
      <c r="AC135">
        <f>W135+V135+U135+T135+N135</f>
        <v>68.578787878787892</v>
      </c>
      <c r="AD135">
        <f>(J135/1.07+K135/1.51+L135/1.82+M135/2.04)/(B135)*10^2</f>
        <v>2.1697771884836476</v>
      </c>
      <c r="AE135">
        <f>100*(T135*Z135/100+U135*AA135/100+W135+N135)/(N135+T135+U135+V135+W135)</f>
        <v>73.960000000000008</v>
      </c>
      <c r="AF135">
        <f>(AD135+R135*X135/100+S135*Y135/100+AE135*AC135/100)/C135*100</f>
        <v>81.629813612233363</v>
      </c>
      <c r="AG135">
        <f>(R135*0.496+S135*1.014+AC135*0.415)/(C135)*1000</f>
        <v>430.9545454545455</v>
      </c>
      <c r="AH135">
        <f>AG135*AF135/100</f>
        <v>351.78739220799298</v>
      </c>
      <c r="AI135" t="e">
        <f>(T135*(100-Z135)/100+U135*(100-AA135)/100+V135)/V135</f>
        <v>#DIV/0!</v>
      </c>
      <c r="AJ135">
        <f>J135+K135+L135+M135+(R135+O135)*B135/100*'Substrate characterization'!$BR$3+(S135+P135)*B135/100*'Substrate characterization'!$BS$3+(T135+U135+W135)*B135/100*'Substrate characterization'!$BT$3+V135*B135/100*'Substrate characterization'!$BU$3+N135*B135/100*1.07</f>
        <v>84.084499939477595</v>
      </c>
      <c r="AK135">
        <f>AJ135/(B135*C135/100)</f>
        <v>1.2803589311140045</v>
      </c>
    </row>
    <row r="136" spans="1:39" x14ac:dyDescent="0.25">
      <c r="A136">
        <v>2000</v>
      </c>
      <c r="B136">
        <v>76.900000000000006</v>
      </c>
      <c r="C136">
        <v>85.4</v>
      </c>
      <c r="D136">
        <v>5</v>
      </c>
      <c r="E136">
        <v>0</v>
      </c>
      <c r="F136">
        <v>0</v>
      </c>
      <c r="G136">
        <v>260</v>
      </c>
      <c r="H136">
        <f>0.13/40</f>
        <v>3.2500000000000003E-3</v>
      </c>
      <c r="I136">
        <f>0.16/24.3</f>
        <v>6.5843621399176953E-3</v>
      </c>
      <c r="J136" s="32">
        <v>1.785357764</v>
      </c>
      <c r="K136">
        <v>0</v>
      </c>
      <c r="L136">
        <v>0</v>
      </c>
      <c r="M136">
        <v>0</v>
      </c>
      <c r="N136">
        <v>0</v>
      </c>
      <c r="O136">
        <v>0</v>
      </c>
      <c r="P136">
        <v>0</v>
      </c>
      <c r="Q136" s="32">
        <v>506</v>
      </c>
      <c r="R136">
        <v>16.821212121212124</v>
      </c>
      <c r="S136">
        <v>0</v>
      </c>
      <c r="T136">
        <v>0</v>
      </c>
      <c r="U136">
        <v>28.803090909090916</v>
      </c>
      <c r="V136">
        <v>0</v>
      </c>
      <c r="W136">
        <v>39.77569696969698</v>
      </c>
      <c r="X136">
        <v>100</v>
      </c>
      <c r="Y136">
        <v>100</v>
      </c>
      <c r="Z136">
        <v>0</v>
      </c>
      <c r="AA136">
        <v>38</v>
      </c>
      <c r="AE136">
        <f>AE135-90</f>
        <v>-16.039999999999992</v>
      </c>
      <c r="AJ136">
        <f>J136+K136+L136+M136+(R136+O136)*B136/100*'Substrate characterization'!$BR$3+(S136+P136)*B136/100*'Substrate characterization'!$BS$3+(T136+U136+W136)*B136/100*'Substrate characterization'!$BT$3+V136*B136/100*'Substrate characterization'!$BU$3+N136*B136/100*1.07</f>
        <v>84.084499939477595</v>
      </c>
      <c r="AK136">
        <f>AJ136/(B136*C136/100)</f>
        <v>1.2803589311140045</v>
      </c>
    </row>
    <row r="138" spans="1:39" x14ac:dyDescent="0.25">
      <c r="A138" s="38" t="s">
        <v>4700</v>
      </c>
    </row>
    <row r="139" spans="1:39" x14ac:dyDescent="0.25">
      <c r="A139">
        <v>1</v>
      </c>
      <c r="B139">
        <f>1+A139</f>
        <v>2</v>
      </c>
      <c r="C139">
        <f t="shared" ref="C139" si="186">1+B139</f>
        <v>3</v>
      </c>
      <c r="D139">
        <f t="shared" ref="D139:D140" si="187">1+C139</f>
        <v>4</v>
      </c>
      <c r="E139">
        <f t="shared" ref="E139:E140" si="188">1+D139</f>
        <v>5</v>
      </c>
      <c r="F139">
        <f t="shared" ref="F139:F140" si="189">1+E139</f>
        <v>6</v>
      </c>
      <c r="G139">
        <f t="shared" ref="G139:G140" si="190">1+F139</f>
        <v>7</v>
      </c>
      <c r="H139">
        <f t="shared" ref="H139:H140" si="191">1+G139</f>
        <v>8</v>
      </c>
      <c r="I139">
        <f t="shared" ref="I139:I140" si="192">1+H139</f>
        <v>9</v>
      </c>
      <c r="J139">
        <f t="shared" ref="J139:J140" si="193">1+I139</f>
        <v>10</v>
      </c>
      <c r="K139">
        <f t="shared" ref="K139:K140" si="194">1+J139</f>
        <v>11</v>
      </c>
      <c r="L139">
        <f t="shared" ref="L139:L140" si="195">1+K139</f>
        <v>12</v>
      </c>
      <c r="M139">
        <f t="shared" ref="M139:M140" si="196">1+L139</f>
        <v>13</v>
      </c>
      <c r="N139">
        <f t="shared" ref="N139:N140" si="197">1+M139</f>
        <v>14</v>
      </c>
      <c r="O139">
        <f t="shared" ref="O139:O140" si="198">1+N139</f>
        <v>15</v>
      </c>
      <c r="P139">
        <f t="shared" ref="P139:P140" si="199">1+O139</f>
        <v>16</v>
      </c>
      <c r="Q139">
        <f t="shared" ref="Q139:Q140" si="200">1+P139</f>
        <v>17</v>
      </c>
      <c r="R139">
        <f t="shared" ref="R139:R140" si="201">1+Q139</f>
        <v>18</v>
      </c>
      <c r="S139">
        <f t="shared" ref="S139:S140" si="202">1+R139</f>
        <v>19</v>
      </c>
      <c r="T139">
        <f t="shared" ref="T139:T140" si="203">1+S139</f>
        <v>20</v>
      </c>
      <c r="U139">
        <f t="shared" ref="U139:U140" si="204">1+T139</f>
        <v>21</v>
      </c>
      <c r="V139">
        <f t="shared" ref="V139:V140" si="205">1+U139</f>
        <v>22</v>
      </c>
      <c r="W139">
        <f t="shared" ref="W139:W140" si="206">1+V139</f>
        <v>23</v>
      </c>
      <c r="X139">
        <f t="shared" ref="X139:X140" si="207">1+W139</f>
        <v>24</v>
      </c>
      <c r="Y139">
        <f t="shared" ref="Y139:Y140" si="208">1+X139</f>
        <v>25</v>
      </c>
      <c r="Z139">
        <f t="shared" ref="Z139:Z140" si="209">1+Y139</f>
        <v>26</v>
      </c>
      <c r="AA139">
        <f t="shared" ref="AA139:AA140" si="210">1+Z139</f>
        <v>27</v>
      </c>
    </row>
    <row r="140" spans="1:39" x14ac:dyDescent="0.25">
      <c r="B140">
        <v>1</v>
      </c>
      <c r="C140">
        <f>1+B140</f>
        <v>2</v>
      </c>
      <c r="D140">
        <f t="shared" si="187"/>
        <v>3</v>
      </c>
      <c r="E140">
        <f t="shared" si="188"/>
        <v>4</v>
      </c>
      <c r="F140">
        <f t="shared" si="189"/>
        <v>5</v>
      </c>
      <c r="G140">
        <f t="shared" si="190"/>
        <v>6</v>
      </c>
      <c r="H140">
        <f t="shared" si="191"/>
        <v>7</v>
      </c>
      <c r="I140">
        <f t="shared" si="192"/>
        <v>8</v>
      </c>
      <c r="J140">
        <f t="shared" si="193"/>
        <v>9</v>
      </c>
      <c r="K140">
        <f t="shared" si="194"/>
        <v>10</v>
      </c>
      <c r="L140">
        <f t="shared" si="195"/>
        <v>11</v>
      </c>
      <c r="M140">
        <f t="shared" si="196"/>
        <v>12</v>
      </c>
      <c r="N140">
        <f t="shared" si="197"/>
        <v>13</v>
      </c>
      <c r="O140">
        <f t="shared" si="198"/>
        <v>14</v>
      </c>
      <c r="P140">
        <f t="shared" si="199"/>
        <v>15</v>
      </c>
      <c r="Q140">
        <f t="shared" si="200"/>
        <v>16</v>
      </c>
      <c r="R140">
        <f t="shared" si="201"/>
        <v>17</v>
      </c>
      <c r="S140">
        <f t="shared" si="202"/>
        <v>18</v>
      </c>
      <c r="T140">
        <f t="shared" si="203"/>
        <v>19</v>
      </c>
      <c r="U140">
        <f t="shared" si="204"/>
        <v>20</v>
      </c>
      <c r="V140">
        <f t="shared" si="205"/>
        <v>21</v>
      </c>
      <c r="W140">
        <f t="shared" si="206"/>
        <v>22</v>
      </c>
      <c r="X140">
        <f t="shared" si="207"/>
        <v>23</v>
      </c>
      <c r="Y140">
        <f t="shared" si="208"/>
        <v>24</v>
      </c>
      <c r="Z140">
        <f t="shared" si="209"/>
        <v>25</v>
      </c>
      <c r="AA140">
        <f t="shared" si="210"/>
        <v>26</v>
      </c>
    </row>
    <row r="141" spans="1:39" x14ac:dyDescent="0.25">
      <c r="A141" s="41" t="s">
        <v>4585</v>
      </c>
      <c r="B141" s="38" t="s">
        <v>4</v>
      </c>
      <c r="C141" s="38" t="s">
        <v>42</v>
      </c>
      <c r="D141" s="38" t="s">
        <v>43</v>
      </c>
      <c r="E141" s="38" t="s">
        <v>342</v>
      </c>
      <c r="F141" s="38" t="s">
        <v>345</v>
      </c>
      <c r="G141" s="38" t="s">
        <v>346</v>
      </c>
      <c r="H141" s="38" t="s">
        <v>48</v>
      </c>
      <c r="I141" s="38" t="s">
        <v>49</v>
      </c>
      <c r="J141" s="38" t="s">
        <v>4586</v>
      </c>
      <c r="K141" s="38" t="s">
        <v>4587</v>
      </c>
      <c r="L141" s="38" t="s">
        <v>4588</v>
      </c>
      <c r="M141" s="38" t="s">
        <v>4589</v>
      </c>
      <c r="N141" s="38" t="s">
        <v>4665</v>
      </c>
      <c r="O141" s="38" t="s">
        <v>4666</v>
      </c>
      <c r="P141" s="38" t="s">
        <v>4667</v>
      </c>
      <c r="Q141" s="38" t="s">
        <v>4590</v>
      </c>
      <c r="R141" s="38" t="s">
        <v>4668</v>
      </c>
      <c r="S141" s="38" t="s">
        <v>4669</v>
      </c>
      <c r="T141" s="38" t="s">
        <v>18</v>
      </c>
      <c r="U141" s="38" t="s">
        <v>4670</v>
      </c>
      <c r="V141" s="38" t="s">
        <v>86</v>
      </c>
      <c r="W141" s="38" t="s">
        <v>4671</v>
      </c>
      <c r="X141" s="38" t="s">
        <v>4672</v>
      </c>
      <c r="Y141" s="38" t="s">
        <v>4673</v>
      </c>
      <c r="Z141" s="38" t="s">
        <v>4674</v>
      </c>
      <c r="AA141" s="38" t="s">
        <v>4675</v>
      </c>
      <c r="AB141" s="38"/>
      <c r="AC141" s="38" t="s">
        <v>24</v>
      </c>
      <c r="AD141" s="38" t="s">
        <v>10</v>
      </c>
      <c r="AE141" s="42" t="s">
        <v>4676</v>
      </c>
      <c r="AF141" s="38" t="s">
        <v>4677</v>
      </c>
      <c r="AG141" s="38" t="s">
        <v>60</v>
      </c>
      <c r="AH141" s="38" t="s">
        <v>59</v>
      </c>
      <c r="AI141" s="38" t="s">
        <v>4678</v>
      </c>
      <c r="AJ141" s="38" t="s">
        <v>4685</v>
      </c>
      <c r="AK141" s="38" t="s">
        <v>461</v>
      </c>
      <c r="AL141" s="38" t="s">
        <v>62</v>
      </c>
      <c r="AM141" s="38" t="s">
        <v>63</v>
      </c>
    </row>
    <row r="142" spans="1:39" x14ac:dyDescent="0.25">
      <c r="A142" s="41" t="s">
        <v>4599</v>
      </c>
      <c r="B142" s="38" t="s">
        <v>4600</v>
      </c>
      <c r="C142" s="38" t="s">
        <v>69</v>
      </c>
      <c r="D142" s="38"/>
      <c r="E142" s="38" t="s">
        <v>74</v>
      </c>
      <c r="F142" s="38" t="s">
        <v>75</v>
      </c>
      <c r="G142" s="38" t="s">
        <v>76</v>
      </c>
      <c r="H142" s="38" t="s">
        <v>78</v>
      </c>
      <c r="I142" s="38" t="s">
        <v>78</v>
      </c>
      <c r="J142" s="38" t="s">
        <v>79</v>
      </c>
      <c r="K142" s="38" t="s">
        <v>79</v>
      </c>
      <c r="L142" s="38" t="s">
        <v>79</v>
      </c>
      <c r="M142" s="38" t="s">
        <v>79</v>
      </c>
      <c r="N142" s="38" t="s">
        <v>69</v>
      </c>
      <c r="O142" s="38" t="s">
        <v>69</v>
      </c>
      <c r="P142" s="38" t="s">
        <v>69</v>
      </c>
      <c r="Q142" s="38" t="s">
        <v>70</v>
      </c>
      <c r="R142" s="38" t="s">
        <v>69</v>
      </c>
      <c r="S142" s="38" t="s">
        <v>69</v>
      </c>
      <c r="T142" s="38" t="s">
        <v>69</v>
      </c>
      <c r="U142" s="38" t="s">
        <v>69</v>
      </c>
      <c r="V142" s="38" t="s">
        <v>69</v>
      </c>
      <c r="W142" s="38" t="s">
        <v>69</v>
      </c>
      <c r="X142" s="38" t="s">
        <v>68</v>
      </c>
      <c r="Y142" s="38" t="s">
        <v>68</v>
      </c>
      <c r="Z142" s="38" t="s">
        <v>68</v>
      </c>
      <c r="AA142" s="38" t="s">
        <v>68</v>
      </c>
      <c r="AB142" s="38"/>
      <c r="AC142" s="38" t="s">
        <v>69</v>
      </c>
      <c r="AD142" s="38" t="s">
        <v>69</v>
      </c>
      <c r="AE142" s="42"/>
    </row>
    <row r="143" spans="1:39" x14ac:dyDescent="0.25">
      <c r="A143">
        <v>0</v>
      </c>
      <c r="B143">
        <v>76.900000000000006</v>
      </c>
      <c r="C143">
        <v>85.4</v>
      </c>
      <c r="D143">
        <v>5</v>
      </c>
      <c r="E143">
        <v>0</v>
      </c>
      <c r="F143">
        <v>0</v>
      </c>
      <c r="G143">
        <v>260</v>
      </c>
      <c r="H143">
        <f>0.13/40</f>
        <v>3.2500000000000003E-3</v>
      </c>
      <c r="I143">
        <f>0.16/24.3</f>
        <v>6.5843621399176953E-3</v>
      </c>
      <c r="J143" s="32">
        <v>1.785357764</v>
      </c>
      <c r="K143">
        <v>0</v>
      </c>
      <c r="L143">
        <v>0</v>
      </c>
      <c r="M143" s="91">
        <v>0</v>
      </c>
      <c r="N143">
        <v>39.77569696969698</v>
      </c>
      <c r="O143">
        <v>0</v>
      </c>
      <c r="P143">
        <v>0</v>
      </c>
      <c r="Q143" s="32">
        <v>506</v>
      </c>
      <c r="R143">
        <v>16.821212121212124</v>
      </c>
      <c r="S143">
        <v>0</v>
      </c>
      <c r="T143">
        <v>0</v>
      </c>
      <c r="U143">
        <v>28.803090909090916</v>
      </c>
      <c r="V143">
        <v>0</v>
      </c>
      <c r="W143">
        <v>0</v>
      </c>
      <c r="X143">
        <v>100</v>
      </c>
      <c r="Y143">
        <v>100</v>
      </c>
      <c r="Z143">
        <v>0</v>
      </c>
      <c r="AA143">
        <v>38</v>
      </c>
      <c r="AC143">
        <f>W143+V143+U143+T143+N143</f>
        <v>68.578787878787892</v>
      </c>
      <c r="AD143">
        <f>(J143/1.07+K143/1.51+L143/1.82+M143/2.04)/(B143)*10^2</f>
        <v>2.1697771884836476</v>
      </c>
      <c r="AE143">
        <f>100*(T143*Z143/100+U143*AA143/100+W143+N143)/(N143+T143+U143+V143+W143)</f>
        <v>73.960000000000008</v>
      </c>
      <c r="AF143">
        <f>(AD143+R143*X143/100+S143*Y143/100+AE143*AC143/100)/C143*100</f>
        <v>81.629813612233363</v>
      </c>
      <c r="AG143">
        <f>(R143*0.496+S143*1.014+AC143*0.415)/(C143)*1000</f>
        <v>430.9545454545455</v>
      </c>
      <c r="AH143">
        <f>AG143*AF143/100</f>
        <v>351.78739220799298</v>
      </c>
      <c r="AI143" t="e">
        <f>(T143*(100-Z143)/100+U143*(100-AA143)/100+V143)/V143</f>
        <v>#DIV/0!</v>
      </c>
      <c r="AJ143">
        <f>J143+K143+L143+M143+(R143+O143)*B143/100*'Substrate characterization'!$BR$3+(S143+P143)*B143/100*'Substrate characterization'!$BS$3+(T143+U143+W143)*B143/100*'Substrate characterization'!$BT$3+V143*B143/100*'Substrate characterization'!$BU$3+N143*B143/100*1.07</f>
        <v>80.561271824079171</v>
      </c>
      <c r="AK143">
        <f>AJ143/(B143*C143/100)</f>
        <v>1.2267105584989653</v>
      </c>
    </row>
    <row r="144" spans="1:39" x14ac:dyDescent="0.25">
      <c r="A144">
        <v>2000</v>
      </c>
      <c r="B144">
        <v>76.900000000000006</v>
      </c>
      <c r="C144">
        <v>85.4</v>
      </c>
      <c r="D144">
        <v>5</v>
      </c>
      <c r="E144">
        <v>0</v>
      </c>
      <c r="F144">
        <v>0</v>
      </c>
      <c r="G144">
        <v>260</v>
      </c>
      <c r="H144">
        <f>0.13/40</f>
        <v>3.2500000000000003E-3</v>
      </c>
      <c r="I144">
        <f>0.16/24.3</f>
        <v>6.5843621399176953E-3</v>
      </c>
      <c r="J144" s="32">
        <v>1.785357764</v>
      </c>
      <c r="K144">
        <v>0</v>
      </c>
      <c r="L144">
        <v>0</v>
      </c>
      <c r="M144" s="91">
        <v>0</v>
      </c>
      <c r="N144">
        <v>39.77569696969698</v>
      </c>
      <c r="O144">
        <v>0</v>
      </c>
      <c r="P144">
        <v>0</v>
      </c>
      <c r="Q144" s="32">
        <v>506</v>
      </c>
      <c r="R144">
        <v>16.821212121212124</v>
      </c>
      <c r="S144">
        <v>0</v>
      </c>
      <c r="T144">
        <v>0</v>
      </c>
      <c r="U144">
        <v>28.803090909090916</v>
      </c>
      <c r="V144">
        <v>0</v>
      </c>
      <c r="W144">
        <v>0</v>
      </c>
      <c r="X144">
        <v>100</v>
      </c>
      <c r="Y144">
        <v>100</v>
      </c>
      <c r="Z144">
        <v>0</v>
      </c>
      <c r="AA144">
        <v>38</v>
      </c>
      <c r="AE144">
        <f>AE143-90</f>
        <v>-16.039999999999992</v>
      </c>
      <c r="AJ144">
        <f>J144+K144+L144+M144+(R144+O144)*B144/100*'Substrate characterization'!$BR$3+(S144+P144)*B144/100*'Substrate characterization'!$BS$3+(T144+U144+W144)*B144/100*'Substrate characterization'!$BT$3+V144*B144/100*'Substrate characterization'!$BU$3+N144*B144/100*1.07</f>
        <v>80.561271824079171</v>
      </c>
      <c r="AK144">
        <f>AJ144/(B144*C144/100)</f>
        <v>1.2267105584989653</v>
      </c>
    </row>
    <row r="146" spans="1:43" x14ac:dyDescent="0.25">
      <c r="A146" s="38" t="s">
        <v>4701</v>
      </c>
    </row>
    <row r="147" spans="1:43" x14ac:dyDescent="0.25">
      <c r="A147">
        <v>1</v>
      </c>
      <c r="B147">
        <f>1+A147</f>
        <v>2</v>
      </c>
      <c r="C147">
        <f t="shared" ref="C147" si="211">1+B147</f>
        <v>3</v>
      </c>
      <c r="D147">
        <f t="shared" ref="D147:D148" si="212">1+C147</f>
        <v>4</v>
      </c>
      <c r="E147">
        <f t="shared" ref="E147:E148" si="213">1+D147</f>
        <v>5</v>
      </c>
      <c r="F147">
        <f t="shared" ref="F147:F148" si="214">1+E147</f>
        <v>6</v>
      </c>
      <c r="G147">
        <f t="shared" ref="G147:G148" si="215">1+F147</f>
        <v>7</v>
      </c>
      <c r="H147">
        <f t="shared" ref="H147:H148" si="216">1+G147</f>
        <v>8</v>
      </c>
      <c r="I147">
        <f t="shared" ref="I147:I148" si="217">1+H147</f>
        <v>9</v>
      </c>
      <c r="J147">
        <f t="shared" ref="J147:J148" si="218">1+I147</f>
        <v>10</v>
      </c>
      <c r="K147">
        <f t="shared" ref="K147:K148" si="219">1+J147</f>
        <v>11</v>
      </c>
      <c r="L147">
        <f t="shared" ref="L147:L148" si="220">1+K147</f>
        <v>12</v>
      </c>
      <c r="M147">
        <f t="shared" ref="M147:M148" si="221">1+L147</f>
        <v>13</v>
      </c>
      <c r="N147">
        <f t="shared" ref="N147:N148" si="222">1+M147</f>
        <v>14</v>
      </c>
      <c r="O147">
        <f t="shared" ref="O147:O148" si="223">1+N147</f>
        <v>15</v>
      </c>
      <c r="P147">
        <f t="shared" ref="P147:P148" si="224">1+O147</f>
        <v>16</v>
      </c>
      <c r="Q147">
        <f t="shared" ref="Q147:Q148" si="225">1+P147</f>
        <v>17</v>
      </c>
      <c r="R147">
        <f t="shared" ref="R147:R148" si="226">1+Q147</f>
        <v>18</v>
      </c>
      <c r="S147">
        <f t="shared" ref="S147:S148" si="227">1+R147</f>
        <v>19</v>
      </c>
      <c r="T147">
        <f t="shared" ref="T147:T148" si="228">1+S147</f>
        <v>20</v>
      </c>
      <c r="U147">
        <f t="shared" ref="U147:U148" si="229">1+T147</f>
        <v>21</v>
      </c>
      <c r="V147">
        <f t="shared" ref="V147:V148" si="230">1+U147</f>
        <v>22</v>
      </c>
      <c r="W147">
        <f t="shared" ref="W147:W148" si="231">1+V147</f>
        <v>23</v>
      </c>
      <c r="X147">
        <f t="shared" ref="X147:X148" si="232">1+W147</f>
        <v>24</v>
      </c>
      <c r="Y147">
        <f t="shared" ref="Y147:Y148" si="233">1+X147</f>
        <v>25</v>
      </c>
      <c r="Z147">
        <f t="shared" ref="Z147:Z148" si="234">1+Y147</f>
        <v>26</v>
      </c>
      <c r="AA147">
        <f t="shared" ref="AA147:AA148" si="235">1+Z147</f>
        <v>27</v>
      </c>
    </row>
    <row r="148" spans="1:43" x14ac:dyDescent="0.25">
      <c r="B148">
        <v>1</v>
      </c>
      <c r="C148">
        <f>1+B148</f>
        <v>2</v>
      </c>
      <c r="D148">
        <f t="shared" si="212"/>
        <v>3</v>
      </c>
      <c r="E148">
        <f t="shared" si="213"/>
        <v>4</v>
      </c>
      <c r="F148">
        <f t="shared" si="214"/>
        <v>5</v>
      </c>
      <c r="G148">
        <f t="shared" si="215"/>
        <v>6</v>
      </c>
      <c r="H148">
        <f t="shared" si="216"/>
        <v>7</v>
      </c>
      <c r="I148">
        <f t="shared" si="217"/>
        <v>8</v>
      </c>
      <c r="J148">
        <f t="shared" si="218"/>
        <v>9</v>
      </c>
      <c r="K148">
        <f t="shared" si="219"/>
        <v>10</v>
      </c>
      <c r="L148">
        <f t="shared" si="220"/>
        <v>11</v>
      </c>
      <c r="M148">
        <f t="shared" si="221"/>
        <v>12</v>
      </c>
      <c r="N148">
        <f t="shared" si="222"/>
        <v>13</v>
      </c>
      <c r="O148">
        <f t="shared" si="223"/>
        <v>14</v>
      </c>
      <c r="P148">
        <f t="shared" si="224"/>
        <v>15</v>
      </c>
      <c r="Q148">
        <f t="shared" si="225"/>
        <v>16</v>
      </c>
      <c r="R148">
        <f t="shared" si="226"/>
        <v>17</v>
      </c>
      <c r="S148">
        <f t="shared" si="227"/>
        <v>18</v>
      </c>
      <c r="T148">
        <f t="shared" si="228"/>
        <v>19</v>
      </c>
      <c r="U148">
        <f t="shared" si="229"/>
        <v>20</v>
      </c>
      <c r="V148">
        <f t="shared" si="230"/>
        <v>21</v>
      </c>
      <c r="W148">
        <f t="shared" si="231"/>
        <v>22</v>
      </c>
      <c r="X148">
        <f t="shared" si="232"/>
        <v>23</v>
      </c>
      <c r="Y148">
        <f t="shared" si="233"/>
        <v>24</v>
      </c>
      <c r="Z148">
        <f t="shared" si="234"/>
        <v>25</v>
      </c>
      <c r="AA148">
        <f t="shared" si="235"/>
        <v>26</v>
      </c>
    </row>
    <row r="149" spans="1:43" x14ac:dyDescent="0.25">
      <c r="A149" s="41" t="s">
        <v>4585</v>
      </c>
      <c r="B149" s="38" t="s">
        <v>4</v>
      </c>
      <c r="C149" s="38" t="s">
        <v>42</v>
      </c>
      <c r="D149" s="38" t="s">
        <v>43</v>
      </c>
      <c r="E149" s="38" t="s">
        <v>342</v>
      </c>
      <c r="F149" s="38" t="s">
        <v>345</v>
      </c>
      <c r="G149" s="38" t="s">
        <v>346</v>
      </c>
      <c r="H149" s="38" t="s">
        <v>48</v>
      </c>
      <c r="I149" s="38" t="s">
        <v>49</v>
      </c>
      <c r="J149" s="38" t="s">
        <v>4586</v>
      </c>
      <c r="K149" s="38" t="s">
        <v>4587</v>
      </c>
      <c r="L149" s="38" t="s">
        <v>4588</v>
      </c>
      <c r="M149" s="38" t="s">
        <v>4589</v>
      </c>
      <c r="N149" s="38" t="s">
        <v>4665</v>
      </c>
      <c r="O149" s="38" t="s">
        <v>4666</v>
      </c>
      <c r="P149" s="38" t="s">
        <v>4667</v>
      </c>
      <c r="Q149" s="38" t="s">
        <v>4590</v>
      </c>
      <c r="R149" s="38" t="s">
        <v>4668</v>
      </c>
      <c r="S149" s="38" t="s">
        <v>4669</v>
      </c>
      <c r="T149" s="38" t="s">
        <v>18</v>
      </c>
      <c r="U149" s="38" t="s">
        <v>4670</v>
      </c>
      <c r="V149" s="38" t="s">
        <v>86</v>
      </c>
      <c r="W149" s="38" t="s">
        <v>4671</v>
      </c>
      <c r="X149" s="38" t="s">
        <v>4672</v>
      </c>
      <c r="Y149" s="38" t="s">
        <v>4673</v>
      </c>
      <c r="Z149" s="38" t="s">
        <v>4674</v>
      </c>
      <c r="AA149" s="38" t="s">
        <v>4675</v>
      </c>
      <c r="AB149" s="38"/>
      <c r="AC149" s="38" t="s">
        <v>24</v>
      </c>
      <c r="AD149" s="38" t="s">
        <v>10</v>
      </c>
      <c r="AE149" s="42" t="s">
        <v>4676</v>
      </c>
      <c r="AF149" s="38" t="s">
        <v>4677</v>
      </c>
      <c r="AG149" s="38" t="s">
        <v>60</v>
      </c>
      <c r="AH149" s="38" t="s">
        <v>59</v>
      </c>
      <c r="AI149" s="38" t="s">
        <v>4678</v>
      </c>
      <c r="AJ149" s="38" t="s">
        <v>4685</v>
      </c>
      <c r="AK149" s="38" t="s">
        <v>461</v>
      </c>
      <c r="AL149" s="38" t="s">
        <v>92</v>
      </c>
      <c r="AM149" s="38" t="s">
        <v>95</v>
      </c>
      <c r="AN149" s="38" t="s">
        <v>4686</v>
      </c>
      <c r="AO149" s="38" t="s">
        <v>4686</v>
      </c>
    </row>
    <row r="150" spans="1:43" x14ac:dyDescent="0.25">
      <c r="A150" s="41" t="s">
        <v>4599</v>
      </c>
      <c r="B150" s="38" t="s">
        <v>4600</v>
      </c>
      <c r="C150" s="38" t="s">
        <v>69</v>
      </c>
      <c r="D150" s="38"/>
      <c r="E150" s="38" t="s">
        <v>74</v>
      </c>
      <c r="F150" s="38" t="s">
        <v>75</v>
      </c>
      <c r="G150" s="38" t="s">
        <v>76</v>
      </c>
      <c r="H150" s="38" t="s">
        <v>78</v>
      </c>
      <c r="I150" s="38" t="s">
        <v>78</v>
      </c>
      <c r="J150" s="38" t="s">
        <v>79</v>
      </c>
      <c r="K150" s="38" t="s">
        <v>79</v>
      </c>
      <c r="L150" s="38" t="s">
        <v>79</v>
      </c>
      <c r="M150" s="38" t="s">
        <v>79</v>
      </c>
      <c r="N150" s="38" t="s">
        <v>69</v>
      </c>
      <c r="O150" s="38" t="s">
        <v>69</v>
      </c>
      <c r="P150" s="38" t="s">
        <v>69</v>
      </c>
      <c r="Q150" s="38" t="s">
        <v>70</v>
      </c>
      <c r="R150" s="38" t="s">
        <v>69</v>
      </c>
      <c r="S150" s="38" t="s">
        <v>69</v>
      </c>
      <c r="T150" s="38" t="s">
        <v>69</v>
      </c>
      <c r="U150" s="38" t="s">
        <v>69</v>
      </c>
      <c r="V150" s="38" t="s">
        <v>69</v>
      </c>
      <c r="W150" s="38" t="s">
        <v>69</v>
      </c>
      <c r="X150" s="38" t="s">
        <v>68</v>
      </c>
      <c r="Y150" s="38" t="s">
        <v>68</v>
      </c>
      <c r="Z150" s="38" t="s">
        <v>68</v>
      </c>
      <c r="AA150" s="38" t="s">
        <v>68</v>
      </c>
      <c r="AB150" s="38"/>
      <c r="AC150" s="38" t="s">
        <v>69</v>
      </c>
      <c r="AD150" s="38" t="s">
        <v>69</v>
      </c>
      <c r="AE150" s="42"/>
    </row>
    <row r="151" spans="1:43" x14ac:dyDescent="0.25">
      <c r="A151">
        <v>0</v>
      </c>
      <c r="B151" s="31">
        <v>58.4</v>
      </c>
      <c r="C151" s="31">
        <v>76</v>
      </c>
      <c r="D151">
        <v>7.21</v>
      </c>
      <c r="E151">
        <v>12741</v>
      </c>
      <c r="F151">
        <v>1400</v>
      </c>
      <c r="G151">
        <v>650</v>
      </c>
      <c r="H151">
        <v>7.0000000000000001E-3</v>
      </c>
      <c r="I151">
        <v>1.2999999999999999E-2</v>
      </c>
      <c r="J151">
        <v>4.84</v>
      </c>
      <c r="K151">
        <v>0</v>
      </c>
      <c r="L151">
        <v>0</v>
      </c>
      <c r="M151">
        <v>0</v>
      </c>
      <c r="N151">
        <v>0</v>
      </c>
      <c r="O151">
        <v>0</v>
      </c>
      <c r="P151">
        <v>0</v>
      </c>
      <c r="Q151">
        <v>174</v>
      </c>
      <c r="R151">
        <v>16.055</v>
      </c>
      <c r="S151">
        <v>5.0350000000000001</v>
      </c>
      <c r="T151">
        <v>17.29</v>
      </c>
      <c r="U151">
        <v>10.545</v>
      </c>
      <c r="V151">
        <v>14.154999999999999</v>
      </c>
      <c r="W151">
        <v>12.824999999999999</v>
      </c>
      <c r="X151">
        <v>73</v>
      </c>
      <c r="Y151">
        <v>50</v>
      </c>
      <c r="Z151">
        <v>10</v>
      </c>
      <c r="AA151">
        <v>28</v>
      </c>
      <c r="AC151">
        <f>W151+V151+U151+T151+N151</f>
        <v>54.814999999999998</v>
      </c>
      <c r="AD151">
        <f>(J151/1.07+K151/1.51+L151/1.82+M151/2.04)/(B151)*10^2</f>
        <v>7.7454871335296369</v>
      </c>
      <c r="AE151">
        <f>100*(T151*Z151/100+U151*AA151/100+W151+N151)/(N151+T151+U151+V151+W151)</f>
        <v>31.937608318890813</v>
      </c>
      <c r="AF151">
        <f>(AD151+R151*X151/100+S151*Y151/100+AE151*AC151/100)/C151*100</f>
        <v>51.960180438854785</v>
      </c>
      <c r="AG151">
        <f>(R151*0.496+S151*1.014+AC151*0.415)/(C151)*1000</f>
        <v>471.27625</v>
      </c>
      <c r="AH151">
        <f>AG151*AF151/100</f>
        <v>244.87598986546837</v>
      </c>
      <c r="AI151">
        <f>(T151*(100-Z151)/100+U151*(100-AA151)/100+V151)/V151</f>
        <v>2.635704697986577</v>
      </c>
      <c r="AJ151">
        <f>J151+K151+L151+M151+(R151+O151)*B151/100*'Substrate characterization'!$BR$3+(S151+P151)*B151/100*'Substrate characterization'!$BS$3+(T151+U151+W151)*B151/100*'Substrate characterization'!$BT$3+V151*B151/100*'Substrate characterization'!$BU$3+N151*B151/100*1.07</f>
        <v>67.120466657823869</v>
      </c>
      <c r="AK151">
        <f>AJ151/(B151*C151/100)</f>
        <v>1.5122671831701486</v>
      </c>
      <c r="AL151">
        <f>B151/100*'Substrate characterization'!$D$4*(R151*'Substrate characterization'!$P$4/(SUMPRODUCT('Substrate characterization'!$D$4:$D$7,'Substrate characterization'!$P$4:$P$7))+S151*'Substrate characterization'!$Q$4/(SUMPRODUCT('Substrate characterization'!$D$4:$D$7,'Substrate characterization'!$Q$4:$Q$7))+(T151+U151+W151)*'Substrate characterization'!$AI$4/(SUMPRODUCT('Substrate characterization'!$D$4:$D$7,'Substrate characterization'!$AI$4:$AI$7))+N151*'Substrate characterization'!$AH$4/(SUMPRODUCT('Substrate characterization'!$D$4:$D$7,'Substrate characterization'!$AH$4:$AH$7))+V151*'Substrate characterization'!$AE$4/(SUMPRODUCT('Substrate characterization'!$D$4:$D$7,'Substrate characterization'!$AE$4:$AE$7)))</f>
        <v>25.666070755598533</v>
      </c>
      <c r="AM151">
        <f>R151*B151/100*'Substrate characterization'!$D$6*('Substrate characterization'!$P$6/(SUMPRODUCT('Substrate characterization'!$D$4:$D$7,'Substrate characterization'!$P$4:$P$7)))</f>
        <v>1.5910991515151516</v>
      </c>
      <c r="AN151">
        <f>AL151/AM151</f>
        <v>16.131031640082</v>
      </c>
      <c r="AO151">
        <f>AN151*14/12</f>
        <v>18.819536913429001</v>
      </c>
    </row>
    <row r="152" spans="1:43" x14ac:dyDescent="0.25">
      <c r="A152">
        <v>2000</v>
      </c>
      <c r="B152" s="31">
        <v>58.4</v>
      </c>
      <c r="C152" s="31">
        <v>76</v>
      </c>
      <c r="D152">
        <v>7.21</v>
      </c>
      <c r="E152">
        <v>12741</v>
      </c>
      <c r="F152">
        <v>1400</v>
      </c>
      <c r="G152">
        <v>650</v>
      </c>
      <c r="H152">
        <v>7.0000000000000001E-3</v>
      </c>
      <c r="I152">
        <v>1.2999999999999999E-2</v>
      </c>
      <c r="J152">
        <v>4.84</v>
      </c>
      <c r="K152">
        <v>0</v>
      </c>
      <c r="L152">
        <v>0</v>
      </c>
      <c r="M152">
        <v>0</v>
      </c>
      <c r="N152">
        <v>0</v>
      </c>
      <c r="O152">
        <v>0</v>
      </c>
      <c r="P152">
        <v>0</v>
      </c>
      <c r="Q152">
        <v>174</v>
      </c>
      <c r="R152">
        <v>16.055</v>
      </c>
      <c r="S152">
        <v>5.0350000000000001</v>
      </c>
      <c r="T152">
        <v>17.29</v>
      </c>
      <c r="U152">
        <v>10.545</v>
      </c>
      <c r="V152">
        <v>14.154999999999999</v>
      </c>
      <c r="W152">
        <v>12.824999999999999</v>
      </c>
      <c r="X152">
        <v>73</v>
      </c>
      <c r="Y152">
        <v>50</v>
      </c>
      <c r="Z152">
        <v>10</v>
      </c>
      <c r="AA152">
        <v>28</v>
      </c>
      <c r="AE152">
        <f>AE151-31</f>
        <v>0.93760831889081331</v>
      </c>
      <c r="AJ152">
        <f>J152+K152+L152+M152+(R152+O152)*B152/100*'Substrate characterization'!$BR$3+(S152+P152)*B152/100*'Substrate characterization'!$BS$3+(T152+U152+W152)*B152/100*'Substrate characterization'!$BT$3+V152*B152/100*'Substrate characterization'!$BU$3+N152*B152/100*1.07</f>
        <v>67.120466657823869</v>
      </c>
      <c r="AK152">
        <f>AJ152/(B152*C152/100)</f>
        <v>1.5122671831701486</v>
      </c>
    </row>
    <row r="154" spans="1:43" x14ac:dyDescent="0.25">
      <c r="A154" s="38" t="s">
        <v>4702</v>
      </c>
    </row>
    <row r="155" spans="1:43" x14ac:dyDescent="0.25">
      <c r="A155">
        <v>1</v>
      </c>
      <c r="B155">
        <f>1+A155</f>
        <v>2</v>
      </c>
      <c r="C155">
        <f t="shared" ref="C155" si="236">1+B155</f>
        <v>3</v>
      </c>
      <c r="D155">
        <f t="shared" ref="D155:D156" si="237">1+C155</f>
        <v>4</v>
      </c>
      <c r="E155">
        <f t="shared" ref="E155:E156" si="238">1+D155</f>
        <v>5</v>
      </c>
      <c r="F155">
        <f t="shared" ref="F155:F156" si="239">1+E155</f>
        <v>6</v>
      </c>
      <c r="G155">
        <f t="shared" ref="G155:G156" si="240">1+F155</f>
        <v>7</v>
      </c>
      <c r="H155">
        <f t="shared" ref="H155:H156" si="241">1+G155</f>
        <v>8</v>
      </c>
      <c r="I155">
        <f t="shared" ref="I155:I156" si="242">1+H155</f>
        <v>9</v>
      </c>
      <c r="J155">
        <f t="shared" ref="J155:J156" si="243">1+I155</f>
        <v>10</v>
      </c>
      <c r="K155">
        <f t="shared" ref="K155:K156" si="244">1+J155</f>
        <v>11</v>
      </c>
      <c r="L155">
        <f t="shared" ref="L155:L156" si="245">1+K155</f>
        <v>12</v>
      </c>
      <c r="M155">
        <f t="shared" ref="M155:M156" si="246">1+L155</f>
        <v>13</v>
      </c>
      <c r="N155">
        <f t="shared" ref="N155:N156" si="247">1+M155</f>
        <v>14</v>
      </c>
      <c r="O155">
        <f t="shared" ref="O155:O156" si="248">1+N155</f>
        <v>15</v>
      </c>
      <c r="P155">
        <f t="shared" ref="P155:P156" si="249">1+O155</f>
        <v>16</v>
      </c>
      <c r="Q155">
        <f t="shared" ref="Q155:Q156" si="250">1+P155</f>
        <v>17</v>
      </c>
      <c r="R155">
        <f t="shared" ref="R155:R156" si="251">1+Q155</f>
        <v>18</v>
      </c>
      <c r="S155">
        <f t="shared" ref="S155:S156" si="252">1+R155</f>
        <v>19</v>
      </c>
      <c r="T155">
        <f t="shared" ref="T155:T156" si="253">1+S155</f>
        <v>20</v>
      </c>
      <c r="U155">
        <f t="shared" ref="U155:U156" si="254">1+T155</f>
        <v>21</v>
      </c>
      <c r="V155">
        <f t="shared" ref="V155:V156" si="255">1+U155</f>
        <v>22</v>
      </c>
      <c r="W155">
        <f t="shared" ref="W155:W156" si="256">1+V155</f>
        <v>23</v>
      </c>
      <c r="X155">
        <f t="shared" ref="X155:X156" si="257">1+W155</f>
        <v>24</v>
      </c>
      <c r="Y155">
        <f t="shared" ref="Y155:Y156" si="258">1+X155</f>
        <v>25</v>
      </c>
      <c r="Z155">
        <f t="shared" ref="Z155:Z156" si="259">1+Y155</f>
        <v>26</v>
      </c>
      <c r="AA155">
        <f t="shared" ref="AA155:AA156" si="260">1+Z155</f>
        <v>27</v>
      </c>
    </row>
    <row r="156" spans="1:43" x14ac:dyDescent="0.25">
      <c r="B156">
        <v>1</v>
      </c>
      <c r="C156">
        <f>1+B156</f>
        <v>2</v>
      </c>
      <c r="D156">
        <f t="shared" si="237"/>
        <v>3</v>
      </c>
      <c r="E156">
        <f t="shared" si="238"/>
        <v>4</v>
      </c>
      <c r="F156">
        <f t="shared" si="239"/>
        <v>5</v>
      </c>
      <c r="G156">
        <f t="shared" si="240"/>
        <v>6</v>
      </c>
      <c r="H156">
        <f t="shared" si="241"/>
        <v>7</v>
      </c>
      <c r="I156">
        <f t="shared" si="242"/>
        <v>8</v>
      </c>
      <c r="J156">
        <f t="shared" si="243"/>
        <v>9</v>
      </c>
      <c r="K156">
        <f t="shared" si="244"/>
        <v>10</v>
      </c>
      <c r="L156">
        <f t="shared" si="245"/>
        <v>11</v>
      </c>
      <c r="M156">
        <f t="shared" si="246"/>
        <v>12</v>
      </c>
      <c r="N156">
        <f t="shared" si="247"/>
        <v>13</v>
      </c>
      <c r="O156">
        <f t="shared" si="248"/>
        <v>14</v>
      </c>
      <c r="P156">
        <f t="shared" si="249"/>
        <v>15</v>
      </c>
      <c r="Q156">
        <f t="shared" si="250"/>
        <v>16</v>
      </c>
      <c r="R156">
        <f t="shared" si="251"/>
        <v>17</v>
      </c>
      <c r="S156">
        <f t="shared" si="252"/>
        <v>18</v>
      </c>
      <c r="T156">
        <f t="shared" si="253"/>
        <v>19</v>
      </c>
      <c r="U156">
        <f t="shared" si="254"/>
        <v>20</v>
      </c>
      <c r="V156">
        <f t="shared" si="255"/>
        <v>21</v>
      </c>
      <c r="W156">
        <f t="shared" si="256"/>
        <v>22</v>
      </c>
      <c r="X156">
        <f t="shared" si="257"/>
        <v>23</v>
      </c>
      <c r="Y156">
        <f t="shared" si="258"/>
        <v>24</v>
      </c>
      <c r="Z156">
        <f t="shared" si="259"/>
        <v>25</v>
      </c>
      <c r="AA156">
        <f t="shared" si="260"/>
        <v>26</v>
      </c>
    </row>
    <row r="157" spans="1:43" x14ac:dyDescent="0.25">
      <c r="A157" s="41" t="s">
        <v>4585</v>
      </c>
      <c r="B157" s="38" t="s">
        <v>4</v>
      </c>
      <c r="C157" s="38" t="s">
        <v>42</v>
      </c>
      <c r="D157" s="38" t="s">
        <v>43</v>
      </c>
      <c r="E157" s="38" t="s">
        <v>342</v>
      </c>
      <c r="F157" s="38" t="s">
        <v>345</v>
      </c>
      <c r="G157" s="38" t="s">
        <v>346</v>
      </c>
      <c r="H157" s="38" t="s">
        <v>48</v>
      </c>
      <c r="I157" s="38" t="s">
        <v>49</v>
      </c>
      <c r="J157" s="38" t="s">
        <v>4586</v>
      </c>
      <c r="K157" s="38" t="s">
        <v>4587</v>
      </c>
      <c r="L157" s="38" t="s">
        <v>4588</v>
      </c>
      <c r="M157" s="38" t="s">
        <v>4589</v>
      </c>
      <c r="N157" s="38" t="s">
        <v>4665</v>
      </c>
      <c r="O157" s="38" t="s">
        <v>4666</v>
      </c>
      <c r="P157" s="38" t="s">
        <v>4667</v>
      </c>
      <c r="Q157" s="38" t="s">
        <v>4590</v>
      </c>
      <c r="R157" s="38" t="s">
        <v>4668</v>
      </c>
      <c r="S157" s="38" t="s">
        <v>4669</v>
      </c>
      <c r="T157" s="38" t="s">
        <v>18</v>
      </c>
      <c r="U157" s="38" t="s">
        <v>4670</v>
      </c>
      <c r="V157" s="38" t="s">
        <v>86</v>
      </c>
      <c r="W157" s="38" t="s">
        <v>4671</v>
      </c>
      <c r="X157" s="38" t="s">
        <v>4672</v>
      </c>
      <c r="Y157" s="38" t="s">
        <v>4673</v>
      </c>
      <c r="Z157" s="38" t="s">
        <v>4674</v>
      </c>
      <c r="AA157" s="38" t="s">
        <v>4675</v>
      </c>
      <c r="AB157" s="38"/>
      <c r="AC157" s="38" t="s">
        <v>24</v>
      </c>
      <c r="AD157" s="38" t="s">
        <v>10</v>
      </c>
      <c r="AE157" s="42" t="s">
        <v>4676</v>
      </c>
      <c r="AF157" s="38" t="s">
        <v>4677</v>
      </c>
      <c r="AG157" s="38" t="s">
        <v>60</v>
      </c>
      <c r="AH157" s="38" t="s">
        <v>59</v>
      </c>
      <c r="AI157" s="38" t="s">
        <v>4678</v>
      </c>
      <c r="AJ157" s="38" t="s">
        <v>4685</v>
      </c>
      <c r="AK157" s="38" t="s">
        <v>461</v>
      </c>
      <c r="AL157" s="38" t="s">
        <v>92</v>
      </c>
      <c r="AM157" s="38" t="s">
        <v>95</v>
      </c>
      <c r="AN157" s="38" t="s">
        <v>4686</v>
      </c>
      <c r="AO157" s="38" t="s">
        <v>4686</v>
      </c>
      <c r="AP157" s="38" t="s">
        <v>4695</v>
      </c>
      <c r="AQ157" s="38" t="s">
        <v>4696</v>
      </c>
    </row>
    <row r="158" spans="1:43" x14ac:dyDescent="0.25">
      <c r="A158" s="41" t="s">
        <v>4599</v>
      </c>
      <c r="B158" s="38" t="s">
        <v>4600</v>
      </c>
      <c r="C158" s="38" t="s">
        <v>69</v>
      </c>
      <c r="D158" s="38"/>
      <c r="E158" s="38" t="s">
        <v>74</v>
      </c>
      <c r="F158" s="38" t="s">
        <v>75</v>
      </c>
      <c r="G158" s="38" t="s">
        <v>76</v>
      </c>
      <c r="H158" s="38" t="s">
        <v>78</v>
      </c>
      <c r="I158" s="38" t="s">
        <v>78</v>
      </c>
      <c r="J158" s="38" t="s">
        <v>79</v>
      </c>
      <c r="K158" s="38" t="s">
        <v>79</v>
      </c>
      <c r="L158" s="38" t="s">
        <v>79</v>
      </c>
      <c r="M158" s="38" t="s">
        <v>79</v>
      </c>
      <c r="N158" s="38" t="s">
        <v>69</v>
      </c>
      <c r="O158" s="38" t="s">
        <v>69</v>
      </c>
      <c r="P158" s="38" t="s">
        <v>69</v>
      </c>
      <c r="Q158" s="38" t="s">
        <v>70</v>
      </c>
      <c r="R158" s="38" t="s">
        <v>69</v>
      </c>
      <c r="S158" s="38" t="s">
        <v>69</v>
      </c>
      <c r="T158" s="38" t="s">
        <v>69</v>
      </c>
      <c r="U158" s="38" t="s">
        <v>69</v>
      </c>
      <c r="V158" s="38" t="s">
        <v>69</v>
      </c>
      <c r="W158" s="38" t="s">
        <v>69</v>
      </c>
      <c r="X158" s="38" t="s">
        <v>68</v>
      </c>
      <c r="Y158" s="38" t="s">
        <v>68</v>
      </c>
      <c r="Z158" s="38" t="s">
        <v>68</v>
      </c>
      <c r="AA158" s="38" t="s">
        <v>68</v>
      </c>
      <c r="AB158" s="38"/>
      <c r="AC158" s="38" t="s">
        <v>69</v>
      </c>
      <c r="AD158" s="38" t="s">
        <v>69</v>
      </c>
      <c r="AE158" s="42"/>
    </row>
    <row r="159" spans="1:43" x14ac:dyDescent="0.25">
      <c r="A159">
        <v>0</v>
      </c>
      <c r="B159">
        <v>265.7</v>
      </c>
      <c r="C159">
        <v>95.9</v>
      </c>
      <c r="D159">
        <v>4.3</v>
      </c>
      <c r="E159">
        <v>2000</v>
      </c>
      <c r="F159">
        <v>764</v>
      </c>
      <c r="G159">
        <v>0</v>
      </c>
      <c r="H159">
        <v>7.0000000000000001E-3</v>
      </c>
      <c r="I159">
        <v>1.2999999999999999E-2</v>
      </c>
      <c r="J159">
        <v>9.4578011070578913</v>
      </c>
      <c r="K159">
        <v>2.6068637605075335</v>
      </c>
      <c r="L159">
        <v>0.4152586185567011</v>
      </c>
      <c r="M159">
        <v>0</v>
      </c>
      <c r="N159">
        <v>0.67820836200048051</v>
      </c>
      <c r="O159">
        <v>0</v>
      </c>
      <c r="P159">
        <v>0</v>
      </c>
      <c r="Q159" s="32">
        <v>408</v>
      </c>
      <c r="R159">
        <v>7.0800685592909121</v>
      </c>
      <c r="S159">
        <v>2.667851920892228</v>
      </c>
      <c r="T159">
        <v>22.881960706114111</v>
      </c>
      <c r="U159">
        <v>15.083624321967594</v>
      </c>
      <c r="V159">
        <v>1.7443647175064567</v>
      </c>
      <c r="W159">
        <v>45.763921412228221</v>
      </c>
      <c r="X159">
        <v>77</v>
      </c>
      <c r="Y159">
        <v>100</v>
      </c>
      <c r="Z159">
        <v>36</v>
      </c>
      <c r="AA159">
        <v>80</v>
      </c>
      <c r="AC159">
        <f>W159+V159+U159+T159+N159</f>
        <v>86.152079519816866</v>
      </c>
      <c r="AD159">
        <f>(J159/1.07+K159/1.51+L159/1.82+M159/2.04)/(B160)*10^2</f>
        <v>4.0623373627098465</v>
      </c>
      <c r="AE159">
        <f>100*(T159*Z159/100+U159*AA159/100+W159+N159)/(N159+T159+U159+V159+W159)</f>
        <v>77.47524547059912</v>
      </c>
      <c r="AF159">
        <f>(AD159+R159*X159/100+S159*Y159/100+AE159*AC159/100)/C159*100</f>
        <v>82.302791616538002</v>
      </c>
      <c r="AG159">
        <f>AJ159*0.35/(B159*C159)*100000</f>
        <v>458.25411272053896</v>
      </c>
      <c r="AH159" s="32">
        <f>AG159*AF159/100</f>
        <v>377.15592746660036</v>
      </c>
      <c r="AI159">
        <f>(T159*(100-Z159)/100+U159*(100-AA159)/100+V159)/V159</f>
        <v>11.124705882352941</v>
      </c>
      <c r="AJ159">
        <f>J159+K159+L159+M159+(R159+O159)*B159/100*'Substrate characterization'!$BR$3+(S159+P159)*B159/100*'Substrate characterization'!$BS$3+(T159+U159+W159)*B159/100*'Substrate characterization'!$BT$3+V159*B159/100*'Substrate characterization'!$BU$3+N159*B159/100*1.07</f>
        <v>333.61724263458132</v>
      </c>
      <c r="AK159">
        <f>AJ159/(B159*C159/100)</f>
        <v>1.3092974649158253</v>
      </c>
      <c r="AL159">
        <f>B159/100*'Substrate characterization'!$D$4*(R159*'Substrate characterization'!$P$4/(SUMPRODUCT('Substrate characterization'!$D$4:$D$7,'Substrate characterization'!$P$4:$P$7))+S159*'Substrate characterization'!$Q$4/(SUMPRODUCT('Substrate characterization'!$D$4:$D$7,'Substrate characterization'!$Q$4:$Q$7))+(T159+U159+W159)*'Substrate characterization'!$AI$4/(SUMPRODUCT('Substrate characterization'!$D$4:$D$7,'Substrate characterization'!$AI$4:$AI$7))+N159*'Substrate characterization'!$AH$4/(SUMPRODUCT('Substrate characterization'!$D$4:$D$7,'Substrate characterization'!$AH$4:$AH$7))+V159*'Substrate characterization'!$AE$4/(SUMPRODUCT('Substrate characterization'!$D$4:$D$7,'Substrate characterization'!$AE$4:$AE$7)))</f>
        <v>133.41651430168918</v>
      </c>
      <c r="AM159">
        <f>R159*B159/100*'Substrate characterization'!$D$6*('Substrate characterization'!$P$6/(SUMPRODUCT('Substrate characterization'!$D$4:$D$7,'Substrate characterization'!$P$4:$P$7)))</f>
        <v>3.192295639618222</v>
      </c>
      <c r="AN159">
        <f>AL159/AM159</f>
        <v>41.793282754239179</v>
      </c>
      <c r="AO159">
        <f>AN159*14/12</f>
        <v>48.758829879945715</v>
      </c>
      <c r="AP159">
        <f>J159+K159+L159+M159+(R159*X159/100+O159)*B159/100*'Substrate characterization'!$BR$3+(S159*Y159/100+P159)*B159/100*'Substrate characterization'!$BS$3+(T159*Z159/100+U159*AA159/100+W159)*B159/100*'Substrate characterization'!$BT$3+V159*B159/100*'Substrate characterization'!$BU$3*0+N159*B159/100*1.07</f>
        <v>265.03050055877776</v>
      </c>
      <c r="AQ159">
        <f>AP159/AJ159*100</f>
        <v>79.441487635898895</v>
      </c>
    </row>
    <row r="160" spans="1:43" x14ac:dyDescent="0.25">
      <c r="A160">
        <v>2000</v>
      </c>
      <c r="B160">
        <v>265.7</v>
      </c>
      <c r="C160">
        <v>95.9</v>
      </c>
      <c r="D160">
        <v>4.3</v>
      </c>
      <c r="E160">
        <v>2000</v>
      </c>
      <c r="F160">
        <v>764</v>
      </c>
      <c r="G160">
        <v>0</v>
      </c>
      <c r="H160">
        <v>7.0000000000000001E-3</v>
      </c>
      <c r="I160">
        <v>1.2999999999999999E-2</v>
      </c>
      <c r="J160">
        <v>9.4578011070578913</v>
      </c>
      <c r="K160">
        <v>2.6068637605075335</v>
      </c>
      <c r="L160">
        <v>0.4152586185567011</v>
      </c>
      <c r="M160">
        <v>0</v>
      </c>
      <c r="N160">
        <v>0.67820836200048051</v>
      </c>
      <c r="O160">
        <v>0</v>
      </c>
      <c r="P160">
        <v>0</v>
      </c>
      <c r="Q160" s="32">
        <v>408</v>
      </c>
      <c r="R160">
        <v>7.0800685592909121</v>
      </c>
      <c r="S160">
        <v>2.667851920892228</v>
      </c>
      <c r="T160">
        <v>22.881960706114111</v>
      </c>
      <c r="U160">
        <v>15.083624321967594</v>
      </c>
      <c r="V160">
        <v>1.7443647175064567</v>
      </c>
      <c r="W160">
        <v>45.763921412228221</v>
      </c>
      <c r="X160">
        <v>77</v>
      </c>
      <c r="Y160">
        <v>100</v>
      </c>
      <c r="Z160">
        <v>36</v>
      </c>
      <c r="AA160">
        <v>80</v>
      </c>
      <c r="AD160">
        <f>SUM(J159:M159)/(AD159*B159/100)</f>
        <v>1.1562303928494735</v>
      </c>
      <c r="AE160">
        <f>AE159-82.5</f>
        <v>-5.0247545294008802</v>
      </c>
      <c r="AF160" s="32" t="s">
        <v>4703</v>
      </c>
      <c r="AJ160">
        <f>J160+K160+L160+M160+(R160+O160)*B160/100*'Substrate characterization'!$BR$3+(S160+P160)*B160/100*'Substrate characterization'!$BS$3+(T160+U160+W160)*B160/100*'Substrate characterization'!$BT$3+V160*B160/100*'Substrate characterization'!$BU$3+N160*B160/100*1.07</f>
        <v>333.61724263458132</v>
      </c>
      <c r="AK160">
        <f>AJ160/(B160*C160/100)</f>
        <v>1.3092974649158253</v>
      </c>
      <c r="AP160">
        <f>AJ159*(AH159/AK159)/350</f>
        <v>274.57630400237946</v>
      </c>
    </row>
    <row r="162" spans="1:43" x14ac:dyDescent="0.25">
      <c r="A162" s="38" t="s">
        <v>4704</v>
      </c>
    </row>
    <row r="163" spans="1:43" x14ac:dyDescent="0.25">
      <c r="A163">
        <v>1</v>
      </c>
      <c r="B163">
        <f>1+A163</f>
        <v>2</v>
      </c>
      <c r="C163">
        <f t="shared" ref="C163" si="261">1+B163</f>
        <v>3</v>
      </c>
      <c r="D163">
        <f t="shared" ref="D163:D164" si="262">1+C163</f>
        <v>4</v>
      </c>
      <c r="E163">
        <f t="shared" ref="E163:E164" si="263">1+D163</f>
        <v>5</v>
      </c>
      <c r="F163">
        <f t="shared" ref="F163:F164" si="264">1+E163</f>
        <v>6</v>
      </c>
      <c r="G163">
        <f t="shared" ref="G163:G164" si="265">1+F163</f>
        <v>7</v>
      </c>
      <c r="H163">
        <f t="shared" ref="H163:H164" si="266">1+G163</f>
        <v>8</v>
      </c>
      <c r="I163">
        <f t="shared" ref="I163:I164" si="267">1+H163</f>
        <v>9</v>
      </c>
      <c r="J163">
        <f t="shared" ref="J163:J164" si="268">1+I163</f>
        <v>10</v>
      </c>
      <c r="K163">
        <f t="shared" ref="K163:K164" si="269">1+J163</f>
        <v>11</v>
      </c>
      <c r="L163">
        <f t="shared" ref="L163:L164" si="270">1+K163</f>
        <v>12</v>
      </c>
      <c r="M163">
        <f t="shared" ref="M163:M164" si="271">1+L163</f>
        <v>13</v>
      </c>
      <c r="N163">
        <f t="shared" ref="N163:N164" si="272">1+M163</f>
        <v>14</v>
      </c>
      <c r="O163">
        <f t="shared" ref="O163:O164" si="273">1+N163</f>
        <v>15</v>
      </c>
      <c r="P163">
        <f t="shared" ref="P163:P164" si="274">1+O163</f>
        <v>16</v>
      </c>
      <c r="Q163">
        <f t="shared" ref="Q163:Q164" si="275">1+P163</f>
        <v>17</v>
      </c>
      <c r="R163">
        <f t="shared" ref="R163:R164" si="276">1+Q163</f>
        <v>18</v>
      </c>
      <c r="S163">
        <f t="shared" ref="S163:S164" si="277">1+R163</f>
        <v>19</v>
      </c>
      <c r="T163">
        <f t="shared" ref="T163:T164" si="278">1+S163</f>
        <v>20</v>
      </c>
      <c r="U163">
        <f t="shared" ref="U163:U164" si="279">1+T163</f>
        <v>21</v>
      </c>
      <c r="V163">
        <f t="shared" ref="V163:V164" si="280">1+U163</f>
        <v>22</v>
      </c>
      <c r="W163">
        <f t="shared" ref="W163:W164" si="281">1+V163</f>
        <v>23</v>
      </c>
      <c r="X163">
        <f t="shared" ref="X163:X164" si="282">1+W163</f>
        <v>24</v>
      </c>
      <c r="Y163">
        <f t="shared" ref="Y163:Y164" si="283">1+X163</f>
        <v>25</v>
      </c>
      <c r="Z163">
        <f t="shared" ref="Z163:Z164" si="284">1+Y163</f>
        <v>26</v>
      </c>
      <c r="AA163">
        <f t="shared" ref="AA163:AA164" si="285">1+Z163</f>
        <v>27</v>
      </c>
    </row>
    <row r="164" spans="1:43" x14ac:dyDescent="0.25">
      <c r="B164">
        <v>1</v>
      </c>
      <c r="C164">
        <f>1+B164</f>
        <v>2</v>
      </c>
      <c r="D164">
        <f t="shared" si="262"/>
        <v>3</v>
      </c>
      <c r="E164">
        <f t="shared" si="263"/>
        <v>4</v>
      </c>
      <c r="F164">
        <f t="shared" si="264"/>
        <v>5</v>
      </c>
      <c r="G164">
        <f t="shared" si="265"/>
        <v>6</v>
      </c>
      <c r="H164">
        <f t="shared" si="266"/>
        <v>7</v>
      </c>
      <c r="I164">
        <f t="shared" si="267"/>
        <v>8</v>
      </c>
      <c r="J164">
        <f t="shared" si="268"/>
        <v>9</v>
      </c>
      <c r="K164">
        <f t="shared" si="269"/>
        <v>10</v>
      </c>
      <c r="L164">
        <f t="shared" si="270"/>
        <v>11</v>
      </c>
      <c r="M164">
        <f t="shared" si="271"/>
        <v>12</v>
      </c>
      <c r="N164">
        <f t="shared" si="272"/>
        <v>13</v>
      </c>
      <c r="O164">
        <f t="shared" si="273"/>
        <v>14</v>
      </c>
      <c r="P164">
        <f t="shared" si="274"/>
        <v>15</v>
      </c>
      <c r="Q164">
        <f t="shared" si="275"/>
        <v>16</v>
      </c>
      <c r="R164">
        <f t="shared" si="276"/>
        <v>17</v>
      </c>
      <c r="S164">
        <f t="shared" si="277"/>
        <v>18</v>
      </c>
      <c r="T164">
        <f t="shared" si="278"/>
        <v>19</v>
      </c>
      <c r="U164">
        <f t="shared" si="279"/>
        <v>20</v>
      </c>
      <c r="V164">
        <f t="shared" si="280"/>
        <v>21</v>
      </c>
      <c r="W164">
        <f t="shared" si="281"/>
        <v>22</v>
      </c>
      <c r="X164">
        <f t="shared" si="282"/>
        <v>23</v>
      </c>
      <c r="Y164">
        <f t="shared" si="283"/>
        <v>24</v>
      </c>
      <c r="Z164">
        <f t="shared" si="284"/>
        <v>25</v>
      </c>
      <c r="AA164">
        <f t="shared" si="285"/>
        <v>26</v>
      </c>
    </row>
    <row r="165" spans="1:43" x14ac:dyDescent="0.25">
      <c r="A165" s="41" t="s">
        <v>4585</v>
      </c>
      <c r="B165" s="38" t="s">
        <v>4</v>
      </c>
      <c r="C165" s="38" t="s">
        <v>42</v>
      </c>
      <c r="D165" s="38" t="s">
        <v>43</v>
      </c>
      <c r="E165" s="38" t="s">
        <v>342</v>
      </c>
      <c r="F165" s="38" t="s">
        <v>345</v>
      </c>
      <c r="G165" s="38" t="s">
        <v>346</v>
      </c>
      <c r="H165" s="38" t="s">
        <v>48</v>
      </c>
      <c r="I165" s="38" t="s">
        <v>49</v>
      </c>
      <c r="J165" s="38" t="s">
        <v>4586</v>
      </c>
      <c r="K165" s="38" t="s">
        <v>4587</v>
      </c>
      <c r="L165" s="38" t="s">
        <v>4588</v>
      </c>
      <c r="M165" s="38" t="s">
        <v>4589</v>
      </c>
      <c r="N165" s="38" t="s">
        <v>4665</v>
      </c>
      <c r="O165" s="38" t="s">
        <v>4666</v>
      </c>
      <c r="P165" s="38" t="s">
        <v>4667</v>
      </c>
      <c r="Q165" s="38" t="s">
        <v>4590</v>
      </c>
      <c r="R165" s="38" t="s">
        <v>4668</v>
      </c>
      <c r="S165" s="38" t="s">
        <v>4669</v>
      </c>
      <c r="T165" s="38" t="s">
        <v>18</v>
      </c>
      <c r="U165" s="38" t="s">
        <v>4670</v>
      </c>
      <c r="V165" s="38" t="s">
        <v>86</v>
      </c>
      <c r="W165" s="38" t="s">
        <v>4671</v>
      </c>
      <c r="X165" s="38" t="s">
        <v>4672</v>
      </c>
      <c r="Y165" s="38" t="s">
        <v>4673</v>
      </c>
      <c r="Z165" s="38" t="s">
        <v>4674</v>
      </c>
      <c r="AA165" s="38" t="s">
        <v>4675</v>
      </c>
      <c r="AB165" s="38"/>
      <c r="AC165" s="38" t="s">
        <v>24</v>
      </c>
      <c r="AD165" s="38" t="s">
        <v>10</v>
      </c>
      <c r="AE165" s="42" t="s">
        <v>4676</v>
      </c>
      <c r="AF165" s="38" t="s">
        <v>4677</v>
      </c>
      <c r="AG165" s="38" t="s">
        <v>60</v>
      </c>
      <c r="AH165" s="38" t="s">
        <v>59</v>
      </c>
      <c r="AI165" s="38" t="s">
        <v>4678</v>
      </c>
      <c r="AJ165" s="38" t="s">
        <v>4685</v>
      </c>
      <c r="AK165" s="38" t="s">
        <v>461</v>
      </c>
      <c r="AL165" s="38" t="s">
        <v>92</v>
      </c>
      <c r="AM165" s="38" t="s">
        <v>95</v>
      </c>
      <c r="AN165" s="38" t="s">
        <v>4686</v>
      </c>
      <c r="AO165" s="38" t="s">
        <v>4686</v>
      </c>
      <c r="AP165" s="38" t="s">
        <v>4695</v>
      </c>
      <c r="AQ165" s="38" t="s">
        <v>4696</v>
      </c>
    </row>
    <row r="166" spans="1:43" x14ac:dyDescent="0.25">
      <c r="A166" s="41" t="s">
        <v>4599</v>
      </c>
      <c r="B166" s="38" t="s">
        <v>4600</v>
      </c>
      <c r="C166" s="38" t="s">
        <v>69</v>
      </c>
      <c r="D166" s="38"/>
      <c r="E166" s="38" t="s">
        <v>74</v>
      </c>
      <c r="F166" s="38" t="s">
        <v>75</v>
      </c>
      <c r="G166" s="38" t="s">
        <v>76</v>
      </c>
      <c r="H166" s="38" t="s">
        <v>78</v>
      </c>
      <c r="I166" s="38" t="s">
        <v>78</v>
      </c>
      <c r="J166" s="38" t="s">
        <v>79</v>
      </c>
      <c r="K166" s="38" t="s">
        <v>79</v>
      </c>
      <c r="L166" s="38" t="s">
        <v>79</v>
      </c>
      <c r="M166" s="38" t="s">
        <v>79</v>
      </c>
      <c r="N166" s="38" t="s">
        <v>69</v>
      </c>
      <c r="O166" s="38" t="s">
        <v>69</v>
      </c>
      <c r="P166" s="38" t="s">
        <v>69</v>
      </c>
      <c r="Q166" s="38" t="s">
        <v>70</v>
      </c>
      <c r="R166" s="38" t="s">
        <v>69</v>
      </c>
      <c r="S166" s="38" t="s">
        <v>69</v>
      </c>
      <c r="T166" s="38" t="s">
        <v>69</v>
      </c>
      <c r="U166" s="38" t="s">
        <v>69</v>
      </c>
      <c r="V166" s="38" t="s">
        <v>69</v>
      </c>
      <c r="W166" s="38" t="s">
        <v>69</v>
      </c>
      <c r="X166" s="38" t="s">
        <v>68</v>
      </c>
      <c r="Y166" s="38" t="s">
        <v>68</v>
      </c>
      <c r="Z166" s="38" t="s">
        <v>68</v>
      </c>
      <c r="AA166" s="38" t="s">
        <v>68</v>
      </c>
      <c r="AB166" s="38"/>
      <c r="AC166" s="38" t="s">
        <v>69</v>
      </c>
      <c r="AD166" s="38" t="s">
        <v>69</v>
      </c>
      <c r="AE166" s="42"/>
    </row>
    <row r="167" spans="1:43" x14ac:dyDescent="0.25">
      <c r="A167">
        <v>0</v>
      </c>
      <c r="B167">
        <v>76.900000000000006</v>
      </c>
      <c r="C167">
        <v>85.4</v>
      </c>
      <c r="D167">
        <v>5</v>
      </c>
      <c r="E167">
        <v>0</v>
      </c>
      <c r="F167">
        <v>0</v>
      </c>
      <c r="G167">
        <v>260</v>
      </c>
      <c r="H167">
        <f>0.13/40</f>
        <v>3.2500000000000003E-3</v>
      </c>
      <c r="I167">
        <f>0.16/24.3</f>
        <v>6.5843621399176953E-3</v>
      </c>
      <c r="J167">
        <f>1023.241/1000</f>
        <v>1.0232410000000001</v>
      </c>
      <c r="K167">
        <v>0</v>
      </c>
      <c r="L167">
        <v>0</v>
      </c>
      <c r="M167" s="91">
        <f>122.98548/1000</f>
        <v>0.12298547999999999</v>
      </c>
      <c r="N167">
        <v>39.77569696969698</v>
      </c>
      <c r="O167">
        <v>0</v>
      </c>
      <c r="P167">
        <v>0</v>
      </c>
      <c r="Q167" s="32">
        <v>386</v>
      </c>
      <c r="R167">
        <v>16.821212121212124</v>
      </c>
      <c r="S167">
        <v>0</v>
      </c>
      <c r="T167">
        <v>0</v>
      </c>
      <c r="U167">
        <v>28.803090909090916</v>
      </c>
      <c r="V167">
        <v>0</v>
      </c>
      <c r="W167">
        <v>0</v>
      </c>
      <c r="X167">
        <v>100</v>
      </c>
      <c r="Y167">
        <v>100</v>
      </c>
      <c r="Z167">
        <v>0</v>
      </c>
      <c r="AA167">
        <v>38</v>
      </c>
      <c r="AC167">
        <f>W167+V167+U167+T167+N167</f>
        <v>68.578787878787892</v>
      </c>
      <c r="AD167">
        <f>(J167/1.07+K167/1.51+L167/1.82+M167/2.04)/(B167)*10^2</f>
        <v>1.321959687906372</v>
      </c>
      <c r="AE167">
        <f>100*(T167*Z167/100+U167*AA167/100+W167+N167)/(N167+T167+U167+V167+W167)</f>
        <v>73.960000000000008</v>
      </c>
      <c r="AF167">
        <f>(AD167+R167*X167/100+S167*Y167/100+AE167*AC167/100)/C167*100</f>
        <v>80.63705307291572</v>
      </c>
      <c r="AG167">
        <f>AJ167*0.35/(B167*C167)*100000</f>
        <v>425.94246594512327</v>
      </c>
      <c r="AH167" s="32">
        <f>AG167*AF167/100</f>
        <v>343.46745232425496</v>
      </c>
      <c r="AI167" t="e">
        <f>(T167*(100-Z167)/100+U167*(100-AA167)/100+V167)/V167</f>
        <v>#DIV/0!</v>
      </c>
      <c r="AJ167">
        <f>J167+K167+L167+M167+(R167+O167)*B167/100*'Substrate characterization'!$BR$3+(S167+P167)*B167/100*'Substrate characterization'!$BS$3+(T167+U167+W167)*B167/100*'Substrate characterization'!$BT$3+V167*B167/100*'Substrate characterization'!$BU$3+N167*B167/100*1.07</f>
        <v>79.92214054007917</v>
      </c>
      <c r="AK167">
        <f>AJ167/(B167*C167/100)</f>
        <v>1.2169784741289236</v>
      </c>
      <c r="AL167">
        <f>B167/100*'Substrate characterization'!$D$4*(R167*'Substrate characterization'!$P$4/(SUMPRODUCT('Substrate characterization'!$D$4:$D$7,'Substrate characterization'!$P$4:$P$7))+S167*'Substrate characterization'!$Q$4/(SUMPRODUCT('Substrate characterization'!$D$4:$D$7,'Substrate characterization'!$Q$4:$Q$7))+(T167+U167+W167)*'Substrate characterization'!$AI$4/(SUMPRODUCT('Substrate characterization'!$D$4:$D$7,'Substrate characterization'!$AI$4:$AI$7))+N167*'Substrate characterization'!$AH$4/(SUMPRODUCT('Substrate characterization'!$D$4:$D$7,'Substrate characterization'!$AH$4:$AH$7))+V167*'Substrate characterization'!$AE$4/(SUMPRODUCT('Substrate characterization'!$D$4:$D$7,'Substrate characterization'!$AE$4:$AE$7)))</f>
        <v>32.874200289020422</v>
      </c>
      <c r="AM167">
        <f>R167*B167/100*'Substrate characterization'!$D$6*('Substrate characterization'!$P$6/(SUMPRODUCT('Substrate characterization'!$D$4:$D$7,'Substrate characterization'!$P$4:$P$7)))</f>
        <v>2.1951172084481181</v>
      </c>
      <c r="AN167">
        <f>AL167/AM167</f>
        <v>14.976056933315872</v>
      </c>
      <c r="AO167">
        <f>AN167*14/12</f>
        <v>17.472066422201852</v>
      </c>
      <c r="AP167">
        <f>J167+K167+L167+M167+(R167*X167/100+O167)*B167/100*'Substrate characterization'!$BR$3+(S167*Y167/100+P167)*B167/100*'Substrate characterization'!$BS$3+(T167*Z167/100+U167*AA167/100+W167)*B167/100*'Substrate characterization'!$BT$3+V167*B167/100*'Substrate characterization'!$BU$3*0+N167*B167/100*1.07</f>
        <v>63.646303285399036</v>
      </c>
      <c r="AQ167">
        <f>AP167/AJ167*100</f>
        <v>79.635383706323324</v>
      </c>
    </row>
    <row r="168" spans="1:43" x14ac:dyDescent="0.25">
      <c r="A168">
        <v>2000</v>
      </c>
      <c r="B168">
        <v>76.900000000000006</v>
      </c>
      <c r="C168">
        <v>85.4</v>
      </c>
      <c r="D168">
        <v>5</v>
      </c>
      <c r="E168">
        <v>0</v>
      </c>
      <c r="F168">
        <v>0</v>
      </c>
      <c r="G168">
        <v>260</v>
      </c>
      <c r="H168">
        <f>0.13/40</f>
        <v>3.2500000000000003E-3</v>
      </c>
      <c r="I168">
        <f>0.16/24.3</f>
        <v>6.5843621399176953E-3</v>
      </c>
      <c r="J168">
        <f>1023.241/1000</f>
        <v>1.0232410000000001</v>
      </c>
      <c r="K168">
        <v>0</v>
      </c>
      <c r="L168">
        <v>0</v>
      </c>
      <c r="M168" s="91">
        <f>122.98548/1000</f>
        <v>0.12298547999999999</v>
      </c>
      <c r="N168">
        <v>39.77569696969698</v>
      </c>
      <c r="O168">
        <v>0</v>
      </c>
      <c r="P168">
        <v>0</v>
      </c>
      <c r="Q168" s="32">
        <v>386</v>
      </c>
      <c r="R168">
        <v>16.821212121212124</v>
      </c>
      <c r="S168">
        <v>0</v>
      </c>
      <c r="T168">
        <v>0</v>
      </c>
      <c r="U168">
        <v>28.803090909090916</v>
      </c>
      <c r="V168">
        <v>0</v>
      </c>
      <c r="W168">
        <v>0</v>
      </c>
      <c r="X168">
        <v>100</v>
      </c>
      <c r="Y168">
        <v>100</v>
      </c>
      <c r="Z168">
        <v>0</v>
      </c>
      <c r="AA168">
        <v>38</v>
      </c>
      <c r="AD168">
        <f>SUM(J167:M167)/(AD167*B167/100)</f>
        <v>1.1275242355056676</v>
      </c>
      <c r="AE168">
        <f>AE167-90</f>
        <v>-16.039999999999992</v>
      </c>
      <c r="AJ168">
        <f>J168+K168+L168+M168+(R168+O168)*B168/100*'Substrate characterization'!$BR$3+(S168+P168)*B168/100*'Substrate characterization'!$BS$3+(T168+U168+W168)*B168/100*'Substrate characterization'!$BT$3+V168*B168/100*'Substrate characterization'!$BU$3+N168*B168/100*1.07</f>
        <v>79.92214054007917</v>
      </c>
      <c r="AK168">
        <f>AJ168/(B168*C168/100)</f>
        <v>1.2169784741289236</v>
      </c>
      <c r="AP168">
        <f>AJ167*(AH167/AK167)/350</f>
        <v>64.446858884313912</v>
      </c>
    </row>
    <row r="170" spans="1:43" x14ac:dyDescent="0.25">
      <c r="A170" s="38" t="s">
        <v>4705</v>
      </c>
    </row>
    <row r="171" spans="1:43" x14ac:dyDescent="0.25">
      <c r="A171">
        <v>1</v>
      </c>
      <c r="B171">
        <f>1+A171</f>
        <v>2</v>
      </c>
      <c r="C171">
        <f t="shared" ref="C171" si="286">1+B171</f>
        <v>3</v>
      </c>
      <c r="D171">
        <f t="shared" ref="D171:D172" si="287">1+C171</f>
        <v>4</v>
      </c>
      <c r="E171">
        <f t="shared" ref="E171:E172" si="288">1+D171</f>
        <v>5</v>
      </c>
      <c r="F171">
        <f t="shared" ref="F171:F172" si="289">1+E171</f>
        <v>6</v>
      </c>
      <c r="G171">
        <f t="shared" ref="G171:G172" si="290">1+F171</f>
        <v>7</v>
      </c>
      <c r="H171">
        <f t="shared" ref="H171:H172" si="291">1+G171</f>
        <v>8</v>
      </c>
      <c r="I171">
        <f t="shared" ref="I171:I172" si="292">1+H171</f>
        <v>9</v>
      </c>
      <c r="J171">
        <f t="shared" ref="J171:J172" si="293">1+I171</f>
        <v>10</v>
      </c>
      <c r="K171">
        <f t="shared" ref="K171:K172" si="294">1+J171</f>
        <v>11</v>
      </c>
      <c r="L171">
        <f t="shared" ref="L171:L172" si="295">1+K171</f>
        <v>12</v>
      </c>
      <c r="M171">
        <f t="shared" ref="M171:M172" si="296">1+L171</f>
        <v>13</v>
      </c>
      <c r="N171">
        <f t="shared" ref="N171:N172" si="297">1+M171</f>
        <v>14</v>
      </c>
      <c r="O171">
        <f t="shared" ref="O171:O172" si="298">1+N171</f>
        <v>15</v>
      </c>
      <c r="P171">
        <f t="shared" ref="P171:P172" si="299">1+O171</f>
        <v>16</v>
      </c>
      <c r="Q171">
        <f t="shared" ref="Q171:Q172" si="300">1+P171</f>
        <v>17</v>
      </c>
      <c r="R171">
        <f t="shared" ref="R171:R172" si="301">1+Q171</f>
        <v>18</v>
      </c>
      <c r="S171">
        <f t="shared" ref="S171:S172" si="302">1+R171</f>
        <v>19</v>
      </c>
      <c r="T171">
        <f t="shared" ref="T171:T172" si="303">1+S171</f>
        <v>20</v>
      </c>
      <c r="U171">
        <f t="shared" ref="U171:U172" si="304">1+T171</f>
        <v>21</v>
      </c>
      <c r="V171">
        <f t="shared" ref="V171:V172" si="305">1+U171</f>
        <v>22</v>
      </c>
      <c r="W171">
        <f t="shared" ref="W171:W172" si="306">1+V171</f>
        <v>23</v>
      </c>
      <c r="X171">
        <f t="shared" ref="X171:X172" si="307">1+W171</f>
        <v>24</v>
      </c>
      <c r="Y171">
        <f t="shared" ref="Y171:Y172" si="308">1+X171</f>
        <v>25</v>
      </c>
      <c r="Z171">
        <f t="shared" ref="Z171:Z172" si="309">1+Y171</f>
        <v>26</v>
      </c>
      <c r="AA171">
        <f t="shared" ref="AA171:AA172" si="310">1+Z171</f>
        <v>27</v>
      </c>
    </row>
    <row r="172" spans="1:43" x14ac:dyDescent="0.25">
      <c r="B172">
        <v>1</v>
      </c>
      <c r="C172">
        <f>1+B172</f>
        <v>2</v>
      </c>
      <c r="D172">
        <f t="shared" si="287"/>
        <v>3</v>
      </c>
      <c r="E172">
        <f t="shared" si="288"/>
        <v>4</v>
      </c>
      <c r="F172">
        <f t="shared" si="289"/>
        <v>5</v>
      </c>
      <c r="G172">
        <f t="shared" si="290"/>
        <v>6</v>
      </c>
      <c r="H172">
        <f t="shared" si="291"/>
        <v>7</v>
      </c>
      <c r="I172">
        <f t="shared" si="292"/>
        <v>8</v>
      </c>
      <c r="J172">
        <f t="shared" si="293"/>
        <v>9</v>
      </c>
      <c r="K172">
        <f t="shared" si="294"/>
        <v>10</v>
      </c>
      <c r="L172">
        <f t="shared" si="295"/>
        <v>11</v>
      </c>
      <c r="M172">
        <f t="shared" si="296"/>
        <v>12</v>
      </c>
      <c r="N172">
        <f t="shared" si="297"/>
        <v>13</v>
      </c>
      <c r="O172">
        <f t="shared" si="298"/>
        <v>14</v>
      </c>
      <c r="P172">
        <f t="shared" si="299"/>
        <v>15</v>
      </c>
      <c r="Q172">
        <f t="shared" si="300"/>
        <v>16</v>
      </c>
      <c r="R172">
        <f t="shared" si="301"/>
        <v>17</v>
      </c>
      <c r="S172">
        <f t="shared" si="302"/>
        <v>18</v>
      </c>
      <c r="T172">
        <f t="shared" si="303"/>
        <v>19</v>
      </c>
      <c r="U172">
        <f t="shared" si="304"/>
        <v>20</v>
      </c>
      <c r="V172">
        <f t="shared" si="305"/>
        <v>21</v>
      </c>
      <c r="W172">
        <f t="shared" si="306"/>
        <v>22</v>
      </c>
      <c r="X172">
        <f t="shared" si="307"/>
        <v>23</v>
      </c>
      <c r="Y172">
        <f t="shared" si="308"/>
        <v>24</v>
      </c>
      <c r="Z172">
        <f t="shared" si="309"/>
        <v>25</v>
      </c>
      <c r="AA172">
        <f t="shared" si="310"/>
        <v>26</v>
      </c>
    </row>
    <row r="173" spans="1:43" x14ac:dyDescent="0.25">
      <c r="A173" s="41" t="s">
        <v>4585</v>
      </c>
      <c r="B173" s="38" t="s">
        <v>4</v>
      </c>
      <c r="C173" s="38" t="s">
        <v>42</v>
      </c>
      <c r="D173" s="38" t="s">
        <v>43</v>
      </c>
      <c r="E173" s="38" t="s">
        <v>342</v>
      </c>
      <c r="F173" s="38" t="s">
        <v>345</v>
      </c>
      <c r="G173" s="38" t="s">
        <v>346</v>
      </c>
      <c r="H173" s="38" t="s">
        <v>48</v>
      </c>
      <c r="I173" s="38" t="s">
        <v>49</v>
      </c>
      <c r="J173" s="38" t="s">
        <v>4586</v>
      </c>
      <c r="K173" s="38" t="s">
        <v>4587</v>
      </c>
      <c r="L173" s="38" t="s">
        <v>4588</v>
      </c>
      <c r="M173" s="38" t="s">
        <v>4589</v>
      </c>
      <c r="N173" s="38" t="s">
        <v>4665</v>
      </c>
      <c r="O173" s="38" t="s">
        <v>4666</v>
      </c>
      <c r="P173" s="38" t="s">
        <v>4667</v>
      </c>
      <c r="Q173" s="38" t="s">
        <v>4590</v>
      </c>
      <c r="R173" s="38" t="s">
        <v>4668</v>
      </c>
      <c r="S173" s="38" t="s">
        <v>4669</v>
      </c>
      <c r="T173" s="38" t="s">
        <v>18</v>
      </c>
      <c r="U173" s="38" t="s">
        <v>4670</v>
      </c>
      <c r="V173" s="38" t="s">
        <v>86</v>
      </c>
      <c r="W173" s="38" t="s">
        <v>4671</v>
      </c>
      <c r="X173" s="38" t="s">
        <v>4672</v>
      </c>
      <c r="Y173" s="38" t="s">
        <v>4673</v>
      </c>
      <c r="Z173" s="38" t="s">
        <v>4674</v>
      </c>
      <c r="AA173" s="38" t="s">
        <v>4675</v>
      </c>
      <c r="AB173" s="38"/>
      <c r="AC173" s="38" t="s">
        <v>24</v>
      </c>
      <c r="AD173" s="38" t="s">
        <v>10</v>
      </c>
      <c r="AE173" s="42" t="s">
        <v>4676</v>
      </c>
      <c r="AF173" s="38" t="s">
        <v>4677</v>
      </c>
      <c r="AG173" s="38" t="s">
        <v>60</v>
      </c>
      <c r="AH173" s="38" t="s">
        <v>59</v>
      </c>
      <c r="AI173" s="38" t="s">
        <v>4678</v>
      </c>
      <c r="AJ173" s="38" t="s">
        <v>4685</v>
      </c>
      <c r="AK173" s="38" t="s">
        <v>461</v>
      </c>
      <c r="AL173" s="38" t="s">
        <v>92</v>
      </c>
      <c r="AM173" s="38" t="s">
        <v>95</v>
      </c>
      <c r="AN173" s="38" t="s">
        <v>4686</v>
      </c>
      <c r="AO173" s="38" t="s">
        <v>4686</v>
      </c>
      <c r="AP173" s="38" t="s">
        <v>4695</v>
      </c>
      <c r="AQ173" s="38" t="s">
        <v>4696</v>
      </c>
    </row>
    <row r="174" spans="1:43" x14ac:dyDescent="0.25">
      <c r="A174" s="41" t="s">
        <v>4599</v>
      </c>
      <c r="B174" s="38" t="s">
        <v>4600</v>
      </c>
      <c r="C174" s="38" t="s">
        <v>69</v>
      </c>
      <c r="D174" s="38"/>
      <c r="E174" s="38" t="s">
        <v>74</v>
      </c>
      <c r="F174" s="38" t="s">
        <v>75</v>
      </c>
      <c r="G174" s="38" t="s">
        <v>76</v>
      </c>
      <c r="H174" s="38" t="s">
        <v>78</v>
      </c>
      <c r="I174" s="38" t="s">
        <v>78</v>
      </c>
      <c r="J174" s="38" t="s">
        <v>79</v>
      </c>
      <c r="K174" s="38" t="s">
        <v>79</v>
      </c>
      <c r="L174" s="38" t="s">
        <v>79</v>
      </c>
      <c r="M174" s="38" t="s">
        <v>79</v>
      </c>
      <c r="N174" s="38" t="s">
        <v>69</v>
      </c>
      <c r="O174" s="38" t="s">
        <v>69</v>
      </c>
      <c r="P174" s="38" t="s">
        <v>69</v>
      </c>
      <c r="Q174" s="38" t="s">
        <v>70</v>
      </c>
      <c r="R174" s="38" t="s">
        <v>69</v>
      </c>
      <c r="S174" s="38" t="s">
        <v>69</v>
      </c>
      <c r="T174" s="38" t="s">
        <v>69</v>
      </c>
      <c r="U174" s="38" t="s">
        <v>69</v>
      </c>
      <c r="V174" s="38" t="s">
        <v>69</v>
      </c>
      <c r="W174" s="38" t="s">
        <v>69</v>
      </c>
      <c r="X174" s="38" t="s">
        <v>68</v>
      </c>
      <c r="Y174" s="38" t="s">
        <v>68</v>
      </c>
      <c r="Z174" s="38" t="s">
        <v>68</v>
      </c>
      <c r="AA174" s="38" t="s">
        <v>68</v>
      </c>
      <c r="AB174" s="38"/>
      <c r="AC174" s="38" t="s">
        <v>69</v>
      </c>
      <c r="AD174" s="38" t="s">
        <v>69</v>
      </c>
      <c r="AE174" s="42"/>
    </row>
    <row r="175" spans="1:43" x14ac:dyDescent="0.25">
      <c r="A175">
        <v>0</v>
      </c>
      <c r="B175">
        <f>B159*(1+AD159/100)</f>
        <v>276.49363037272002</v>
      </c>
      <c r="C175">
        <f>(B159*C159/100+AD159*B159/100)/B175*100</f>
        <v>96.060053902393719</v>
      </c>
      <c r="D175">
        <v>4.3</v>
      </c>
      <c r="E175">
        <v>2000</v>
      </c>
      <c r="F175">
        <v>764</v>
      </c>
      <c r="G175">
        <v>0</v>
      </c>
      <c r="H175">
        <v>7.0000000000000001E-3</v>
      </c>
      <c r="I175">
        <v>1.2999999999999999E-2</v>
      </c>
      <c r="J175">
        <v>9.4578011070578913</v>
      </c>
      <c r="K175">
        <v>2.6068637605075335</v>
      </c>
      <c r="L175">
        <v>0.4152586185567011</v>
      </c>
      <c r="M175">
        <v>0</v>
      </c>
      <c r="N175">
        <f>N159*$B$159/$B$175</f>
        <v>0.6517327778604296</v>
      </c>
      <c r="O175">
        <v>0</v>
      </c>
      <c r="P175">
        <v>0</v>
      </c>
      <c r="Q175" s="32">
        <v>408</v>
      </c>
      <c r="R175">
        <f>R159*$B$159/$B$175</f>
        <v>6.8036801197471624</v>
      </c>
      <c r="S175">
        <f t="shared" ref="S175:W175" si="311">S159*$B$159/$B$175</f>
        <v>2.563705552368496</v>
      </c>
      <c r="T175">
        <f t="shared" si="311"/>
        <v>21.988705314545179</v>
      </c>
      <c r="U175">
        <f t="shared" si="311"/>
        <v>14.494796776852649</v>
      </c>
      <c r="V175">
        <f t="shared" si="311"/>
        <v>1.6762690150101702</v>
      </c>
      <c r="W175">
        <f t="shared" si="311"/>
        <v>43.977410629090357</v>
      </c>
      <c r="X175">
        <v>77</v>
      </c>
      <c r="Y175">
        <v>100</v>
      </c>
      <c r="Z175">
        <v>36</v>
      </c>
      <c r="AA175">
        <v>80</v>
      </c>
      <c r="AC175">
        <f>W175+V175+U175+T175+N175</f>
        <v>82.78891451335879</v>
      </c>
      <c r="AD175">
        <f>(J175/1.07+K175/1.51+L175/1.82+M175/2.04)/(B176)*10^2</f>
        <v>3.9037537169192622</v>
      </c>
      <c r="AE175">
        <f>100*(T175*Z175/100+U175*AA175/100+W175+N175)/(N175+T175+U175+V175+W175)</f>
        <v>77.47524547059912</v>
      </c>
      <c r="AF175">
        <f>(AD175+R175*X175/100+S175*Y175/100+AE175*AC175/100)/C175*100</f>
        <v>78.958114868674073</v>
      </c>
      <c r="AG175">
        <f>AJ175*0.35/(B175*C175)*100000</f>
        <v>439.6312708299435</v>
      </c>
      <c r="AH175" s="32">
        <f>AG175*AF175/100</f>
        <v>347.1245638205184</v>
      </c>
      <c r="AI175">
        <f>(T175*(100-Z175)/100+U175*(100-AA175)/100+V175)/V175</f>
        <v>11.124705882352943</v>
      </c>
      <c r="AJ175">
        <f>J175+K175+L175+M175+(R175+O175)*B175/100*'Substrate characterization'!$BR$3+(S175+P175)*B175/100*'Substrate characterization'!$BS$3+(T175+U175+W175)*B175/100*'Substrate characterization'!$BT$3+V175*B175/100*'Substrate characterization'!$BU$3+N175*B175/100*1.07</f>
        <v>333.61724263458132</v>
      </c>
      <c r="AK175">
        <f>AJ175/(B175*C175/100)</f>
        <v>1.2560893452284101</v>
      </c>
      <c r="AL175">
        <f>B175/100*'Substrate characterization'!$D$4*(R175*'Substrate characterization'!$P$4/(SUMPRODUCT('Substrate characterization'!$D$4:$D$7,'Substrate characterization'!$P$4:$P$7))+S175*'Substrate characterization'!$Q$4/(SUMPRODUCT('Substrate characterization'!$D$4:$D$7,'Substrate characterization'!$Q$4:$Q$7))+(T175+U175+W175)*'Substrate characterization'!$AI$4/(SUMPRODUCT('Substrate characterization'!$D$4:$D$7,'Substrate characterization'!$AI$4:$AI$7))+N175*'Substrate characterization'!$AH$4/(SUMPRODUCT('Substrate characterization'!$D$4:$D$7,'Substrate characterization'!$AH$4:$AH$7))+V175*'Substrate characterization'!$AE$4/(SUMPRODUCT('Substrate characterization'!$D$4:$D$7,'Substrate characterization'!$AE$4:$AE$7)))</f>
        <v>133.41651430168915</v>
      </c>
      <c r="AM175">
        <f>R175*B175/100*'Substrate characterization'!$D$6*('Substrate characterization'!$P$6/(SUMPRODUCT('Substrate characterization'!$D$4:$D$7,'Substrate characterization'!$P$4:$P$7)))</f>
        <v>3.192295639618222</v>
      </c>
      <c r="AN175">
        <f>AL175/AM175</f>
        <v>41.793282754239172</v>
      </c>
      <c r="AO175">
        <f>AN175*14/12</f>
        <v>48.758829879945701</v>
      </c>
      <c r="AP175">
        <f>J175+K175+L175+M175+(R175*X175/100+O175)*B175/100*'Substrate characterization'!$BR$3+(S175*Y175/100+P175)*B175/100*'Substrate characterization'!$BS$3+(T175*Z175/100+U175*AA175/100+W175)*B175/100*'Substrate characterization'!$BT$3+V175*B175/100*'Substrate characterization'!$BU$3*0+N175*B175/100*1.07</f>
        <v>265.0305005587777</v>
      </c>
      <c r="AQ175">
        <f>AP175/AJ175*100</f>
        <v>79.441487635898895</v>
      </c>
    </row>
    <row r="176" spans="1:43" x14ac:dyDescent="0.25">
      <c r="A176">
        <v>2000</v>
      </c>
      <c r="B176">
        <f>B175</f>
        <v>276.49363037272002</v>
      </c>
      <c r="C176">
        <f t="shared" ref="C176:AA176" si="312">C175</f>
        <v>96.060053902393719</v>
      </c>
      <c r="D176">
        <f t="shared" si="312"/>
        <v>4.3</v>
      </c>
      <c r="E176">
        <f t="shared" si="312"/>
        <v>2000</v>
      </c>
      <c r="F176">
        <f t="shared" si="312"/>
        <v>764</v>
      </c>
      <c r="G176">
        <f t="shared" si="312"/>
        <v>0</v>
      </c>
      <c r="H176">
        <f t="shared" si="312"/>
        <v>7.0000000000000001E-3</v>
      </c>
      <c r="I176">
        <f t="shared" si="312"/>
        <v>1.2999999999999999E-2</v>
      </c>
      <c r="J176">
        <f t="shared" si="312"/>
        <v>9.4578011070578913</v>
      </c>
      <c r="K176">
        <f t="shared" si="312"/>
        <v>2.6068637605075335</v>
      </c>
      <c r="L176">
        <f t="shared" si="312"/>
        <v>0.4152586185567011</v>
      </c>
      <c r="M176">
        <f t="shared" si="312"/>
        <v>0</v>
      </c>
      <c r="N176">
        <f t="shared" si="312"/>
        <v>0.6517327778604296</v>
      </c>
      <c r="O176">
        <f t="shared" si="312"/>
        <v>0</v>
      </c>
      <c r="P176">
        <f t="shared" si="312"/>
        <v>0</v>
      </c>
      <c r="Q176">
        <f t="shared" si="312"/>
        <v>408</v>
      </c>
      <c r="R176">
        <f t="shared" si="312"/>
        <v>6.8036801197471624</v>
      </c>
      <c r="S176">
        <f t="shared" si="312"/>
        <v>2.563705552368496</v>
      </c>
      <c r="T176">
        <f t="shared" si="312"/>
        <v>21.988705314545179</v>
      </c>
      <c r="U176">
        <f t="shared" si="312"/>
        <v>14.494796776852649</v>
      </c>
      <c r="V176">
        <f t="shared" si="312"/>
        <v>1.6762690150101702</v>
      </c>
      <c r="W176">
        <f t="shared" si="312"/>
        <v>43.977410629090357</v>
      </c>
      <c r="X176">
        <f t="shared" si="312"/>
        <v>77</v>
      </c>
      <c r="Y176">
        <f t="shared" si="312"/>
        <v>100</v>
      </c>
      <c r="Z176">
        <f t="shared" si="312"/>
        <v>36</v>
      </c>
      <c r="AA176">
        <f t="shared" si="312"/>
        <v>80</v>
      </c>
      <c r="AD176">
        <f>SUM(J175:M175)/(AD175*B175/100)</f>
        <v>1.1562303928494733</v>
      </c>
      <c r="AE176">
        <f>AE175-82.5</f>
        <v>-5.0247545294008802</v>
      </c>
      <c r="AJ176">
        <f>J176+K176+L176+M176+(R176+O176)*B176/100*'Substrate characterization'!$BR$3+(S176+P176)*B176/100*'Substrate characterization'!$BS$3+(T176+U176+W176)*B176/100*'Substrate characterization'!$BT$3+V176*B176/100*'Substrate characterization'!$BU$3+N176*B176/100*1.07</f>
        <v>333.61724263458132</v>
      </c>
      <c r="AK176">
        <f>AJ176/(B176*C176/100)</f>
        <v>1.2560893452284101</v>
      </c>
      <c r="AP176">
        <f>AJ175*(AH175/AK175)/350</f>
        <v>263.4178856611158</v>
      </c>
    </row>
    <row r="178" spans="1:43" x14ac:dyDescent="0.25">
      <c r="A178" s="38" t="s">
        <v>4706</v>
      </c>
    </row>
    <row r="179" spans="1:43" x14ac:dyDescent="0.25">
      <c r="A179">
        <v>1</v>
      </c>
      <c r="B179">
        <f>1+A179</f>
        <v>2</v>
      </c>
      <c r="C179">
        <f t="shared" ref="C179" si="313">1+B179</f>
        <v>3</v>
      </c>
      <c r="D179">
        <f t="shared" ref="D179:D180" si="314">1+C179</f>
        <v>4</v>
      </c>
      <c r="E179">
        <f t="shared" ref="E179:E180" si="315">1+D179</f>
        <v>5</v>
      </c>
      <c r="F179">
        <f t="shared" ref="F179:F180" si="316">1+E179</f>
        <v>6</v>
      </c>
      <c r="G179">
        <f t="shared" ref="G179:G180" si="317">1+F179</f>
        <v>7</v>
      </c>
      <c r="H179">
        <f t="shared" ref="H179:H180" si="318">1+G179</f>
        <v>8</v>
      </c>
      <c r="I179">
        <f t="shared" ref="I179:I180" si="319">1+H179</f>
        <v>9</v>
      </c>
      <c r="J179">
        <f t="shared" ref="J179:J180" si="320">1+I179</f>
        <v>10</v>
      </c>
      <c r="K179">
        <f t="shared" ref="K179:K180" si="321">1+J179</f>
        <v>11</v>
      </c>
      <c r="L179">
        <f t="shared" ref="L179:L180" si="322">1+K179</f>
        <v>12</v>
      </c>
      <c r="M179">
        <f t="shared" ref="M179:M180" si="323">1+L179</f>
        <v>13</v>
      </c>
      <c r="N179">
        <f t="shared" ref="N179:N180" si="324">1+M179</f>
        <v>14</v>
      </c>
      <c r="O179">
        <f t="shared" ref="O179:O180" si="325">1+N179</f>
        <v>15</v>
      </c>
      <c r="P179">
        <f t="shared" ref="P179:P180" si="326">1+O179</f>
        <v>16</v>
      </c>
      <c r="Q179">
        <f t="shared" ref="Q179:Q180" si="327">1+P179</f>
        <v>17</v>
      </c>
      <c r="R179">
        <f t="shared" ref="R179:R180" si="328">1+Q179</f>
        <v>18</v>
      </c>
      <c r="S179">
        <f t="shared" ref="S179:S180" si="329">1+R179</f>
        <v>19</v>
      </c>
      <c r="T179">
        <f t="shared" ref="T179:T180" si="330">1+S179</f>
        <v>20</v>
      </c>
      <c r="U179">
        <f t="shared" ref="U179:U180" si="331">1+T179</f>
        <v>21</v>
      </c>
      <c r="V179">
        <f t="shared" ref="V179:V180" si="332">1+U179</f>
        <v>22</v>
      </c>
      <c r="W179">
        <f t="shared" ref="W179:W180" si="333">1+V179</f>
        <v>23</v>
      </c>
      <c r="X179">
        <f t="shared" ref="X179:X180" si="334">1+W179</f>
        <v>24</v>
      </c>
      <c r="Y179">
        <f t="shared" ref="Y179:Y180" si="335">1+X179</f>
        <v>25</v>
      </c>
      <c r="Z179">
        <f t="shared" ref="Z179:Z180" si="336">1+Y179</f>
        <v>26</v>
      </c>
      <c r="AA179">
        <f t="shared" ref="AA179:AA180" si="337">1+Z179</f>
        <v>27</v>
      </c>
    </row>
    <row r="180" spans="1:43" x14ac:dyDescent="0.25">
      <c r="B180">
        <v>1</v>
      </c>
      <c r="C180">
        <f>1+B180</f>
        <v>2</v>
      </c>
      <c r="D180">
        <f t="shared" si="314"/>
        <v>3</v>
      </c>
      <c r="E180">
        <f t="shared" si="315"/>
        <v>4</v>
      </c>
      <c r="F180">
        <f t="shared" si="316"/>
        <v>5</v>
      </c>
      <c r="G180">
        <f t="shared" si="317"/>
        <v>6</v>
      </c>
      <c r="H180">
        <f t="shared" si="318"/>
        <v>7</v>
      </c>
      <c r="I180">
        <f t="shared" si="319"/>
        <v>8</v>
      </c>
      <c r="J180">
        <f t="shared" si="320"/>
        <v>9</v>
      </c>
      <c r="K180">
        <f t="shared" si="321"/>
        <v>10</v>
      </c>
      <c r="L180">
        <f t="shared" si="322"/>
        <v>11</v>
      </c>
      <c r="M180">
        <f t="shared" si="323"/>
        <v>12</v>
      </c>
      <c r="N180">
        <f t="shared" si="324"/>
        <v>13</v>
      </c>
      <c r="O180">
        <f t="shared" si="325"/>
        <v>14</v>
      </c>
      <c r="P180">
        <f t="shared" si="326"/>
        <v>15</v>
      </c>
      <c r="Q180">
        <f t="shared" si="327"/>
        <v>16</v>
      </c>
      <c r="R180">
        <f t="shared" si="328"/>
        <v>17</v>
      </c>
      <c r="S180">
        <f t="shared" si="329"/>
        <v>18</v>
      </c>
      <c r="T180">
        <f t="shared" si="330"/>
        <v>19</v>
      </c>
      <c r="U180">
        <f t="shared" si="331"/>
        <v>20</v>
      </c>
      <c r="V180">
        <f t="shared" si="332"/>
        <v>21</v>
      </c>
      <c r="W180">
        <f t="shared" si="333"/>
        <v>22</v>
      </c>
      <c r="X180">
        <f t="shared" si="334"/>
        <v>23</v>
      </c>
      <c r="Y180">
        <f t="shared" si="335"/>
        <v>24</v>
      </c>
      <c r="Z180">
        <f t="shared" si="336"/>
        <v>25</v>
      </c>
      <c r="AA180">
        <f t="shared" si="337"/>
        <v>26</v>
      </c>
    </row>
    <row r="181" spans="1:43" x14ac:dyDescent="0.25">
      <c r="A181" s="41" t="s">
        <v>4585</v>
      </c>
      <c r="B181" s="38" t="s">
        <v>4</v>
      </c>
      <c r="C181" s="38" t="s">
        <v>42</v>
      </c>
      <c r="D181" s="38" t="s">
        <v>43</v>
      </c>
      <c r="E181" s="38" t="s">
        <v>342</v>
      </c>
      <c r="F181" s="38" t="s">
        <v>345</v>
      </c>
      <c r="G181" s="38" t="s">
        <v>346</v>
      </c>
      <c r="H181" s="38" t="s">
        <v>48</v>
      </c>
      <c r="I181" s="38" t="s">
        <v>49</v>
      </c>
      <c r="J181" s="38" t="s">
        <v>4586</v>
      </c>
      <c r="K181" s="38" t="s">
        <v>4587</v>
      </c>
      <c r="L181" s="38" t="s">
        <v>4588</v>
      </c>
      <c r="M181" s="38" t="s">
        <v>4589</v>
      </c>
      <c r="N181" s="38" t="s">
        <v>4665</v>
      </c>
      <c r="O181" s="38" t="s">
        <v>4666</v>
      </c>
      <c r="P181" s="38" t="s">
        <v>4667</v>
      </c>
      <c r="Q181" s="38" t="s">
        <v>4590</v>
      </c>
      <c r="R181" s="38" t="s">
        <v>4668</v>
      </c>
      <c r="S181" s="38" t="s">
        <v>4669</v>
      </c>
      <c r="T181" s="38" t="s">
        <v>18</v>
      </c>
      <c r="U181" s="38" t="s">
        <v>4670</v>
      </c>
      <c r="V181" s="38" t="s">
        <v>86</v>
      </c>
      <c r="W181" s="38" t="s">
        <v>4671</v>
      </c>
      <c r="X181" s="38" t="s">
        <v>4672</v>
      </c>
      <c r="Y181" s="38" t="s">
        <v>4673</v>
      </c>
      <c r="Z181" s="38" t="s">
        <v>4674</v>
      </c>
      <c r="AA181" s="38" t="s">
        <v>4675</v>
      </c>
      <c r="AB181" s="38"/>
      <c r="AC181" s="38" t="s">
        <v>24</v>
      </c>
      <c r="AD181" s="38" t="s">
        <v>10</v>
      </c>
      <c r="AE181" s="42" t="s">
        <v>4676</v>
      </c>
      <c r="AF181" s="38" t="s">
        <v>4677</v>
      </c>
      <c r="AG181" s="38" t="s">
        <v>60</v>
      </c>
      <c r="AH181" s="38" t="s">
        <v>59</v>
      </c>
      <c r="AI181" s="38" t="s">
        <v>4678</v>
      </c>
      <c r="AJ181" s="38" t="s">
        <v>4685</v>
      </c>
      <c r="AK181" s="38" t="s">
        <v>461</v>
      </c>
      <c r="AL181" s="38" t="s">
        <v>92</v>
      </c>
      <c r="AM181" s="38" t="s">
        <v>95</v>
      </c>
      <c r="AN181" s="38" t="s">
        <v>4686</v>
      </c>
      <c r="AO181" s="38" t="s">
        <v>4686</v>
      </c>
      <c r="AP181" s="38" t="s">
        <v>4695</v>
      </c>
      <c r="AQ181" s="38" t="s">
        <v>4696</v>
      </c>
    </row>
    <row r="182" spans="1:43" x14ac:dyDescent="0.25">
      <c r="A182" s="41" t="s">
        <v>4599</v>
      </c>
      <c r="B182" s="38" t="s">
        <v>4600</v>
      </c>
      <c r="C182" s="38" t="s">
        <v>69</v>
      </c>
      <c r="D182" s="38"/>
      <c r="E182" s="38" t="s">
        <v>74</v>
      </c>
      <c r="F182" s="38" t="s">
        <v>75</v>
      </c>
      <c r="G182" s="38" t="s">
        <v>76</v>
      </c>
      <c r="H182" s="38" t="s">
        <v>78</v>
      </c>
      <c r="I182" s="38" t="s">
        <v>78</v>
      </c>
      <c r="J182" s="38" t="s">
        <v>79</v>
      </c>
      <c r="K182" s="38" t="s">
        <v>79</v>
      </c>
      <c r="L182" s="38" t="s">
        <v>79</v>
      </c>
      <c r="M182" s="38" t="s">
        <v>79</v>
      </c>
      <c r="N182" s="38" t="s">
        <v>69</v>
      </c>
      <c r="O182" s="38" t="s">
        <v>69</v>
      </c>
      <c r="P182" s="38" t="s">
        <v>69</v>
      </c>
      <c r="Q182" s="38" t="s">
        <v>70</v>
      </c>
      <c r="R182" s="38" t="s">
        <v>69</v>
      </c>
      <c r="S182" s="38" t="s">
        <v>69</v>
      </c>
      <c r="T182" s="38" t="s">
        <v>69</v>
      </c>
      <c r="U182" s="38" t="s">
        <v>69</v>
      </c>
      <c r="V182" s="38" t="s">
        <v>69</v>
      </c>
      <c r="W182" s="38" t="s">
        <v>69</v>
      </c>
      <c r="X182" s="38" t="s">
        <v>68</v>
      </c>
      <c r="Y182" s="38" t="s">
        <v>68</v>
      </c>
      <c r="Z182" s="38" t="s">
        <v>68</v>
      </c>
      <c r="AA182" s="38" t="s">
        <v>68</v>
      </c>
      <c r="AB182" s="38"/>
      <c r="AC182" s="38" t="s">
        <v>69</v>
      </c>
      <c r="AD182" s="38" t="s">
        <v>69</v>
      </c>
      <c r="AE182" s="42"/>
    </row>
    <row r="183" spans="1:43" x14ac:dyDescent="0.25">
      <c r="A183">
        <v>0</v>
      </c>
      <c r="B183">
        <f>B167*(1+AD167/100)</f>
        <v>77.916587000000007</v>
      </c>
      <c r="C183">
        <f>(B167*C167/100+AD167*B167/100)/B183*100</f>
        <v>85.590487940648657</v>
      </c>
      <c r="D183">
        <v>5</v>
      </c>
      <c r="E183">
        <v>0</v>
      </c>
      <c r="F183">
        <v>0</v>
      </c>
      <c r="G183">
        <v>260</v>
      </c>
      <c r="H183">
        <f>0.13/40</f>
        <v>3.2500000000000003E-3</v>
      </c>
      <c r="I183">
        <f>0.16/24.3</f>
        <v>6.5843621399176953E-3</v>
      </c>
      <c r="J183">
        <f>1023.241/1000</f>
        <v>1.0232410000000001</v>
      </c>
      <c r="K183">
        <v>0</v>
      </c>
      <c r="L183">
        <v>0</v>
      </c>
      <c r="M183" s="91">
        <f>122.98548/1000</f>
        <v>0.12298547999999999</v>
      </c>
      <c r="N183">
        <f>N167*$B$167/$B$183</f>
        <v>39.256738709174954</v>
      </c>
      <c r="O183">
        <v>0</v>
      </c>
      <c r="P183">
        <v>0</v>
      </c>
      <c r="Q183" s="32">
        <v>386</v>
      </c>
      <c r="R183">
        <f>R167*$B$167/$B$183</f>
        <v>16.601743761199558</v>
      </c>
      <c r="S183">
        <f t="shared" ref="S183:W183" si="338">S167*$B$159/$B$175</f>
        <v>0</v>
      </c>
      <c r="T183">
        <f t="shared" si="338"/>
        <v>0</v>
      </c>
      <c r="U183">
        <f>U167*$B$167/$B$183</f>
        <v>28.42729354802324</v>
      </c>
      <c r="V183">
        <f t="shared" si="338"/>
        <v>0</v>
      </c>
      <c r="W183">
        <f t="shared" si="338"/>
        <v>0</v>
      </c>
      <c r="X183">
        <v>100</v>
      </c>
      <c r="Y183">
        <v>100</v>
      </c>
      <c r="Z183">
        <v>0</v>
      </c>
      <c r="AA183">
        <v>38</v>
      </c>
      <c r="AC183">
        <f>W183+V183+U183+T183+N183</f>
        <v>67.684032257198197</v>
      </c>
      <c r="AD183">
        <f>(J183/1.07+K183/1.51+L183/1.82+M183/2.04)/(B183)*10^2</f>
        <v>1.3047119222509067</v>
      </c>
      <c r="AE183">
        <f>100*(T183*Z183/100+U183*AA183/100+W183+N183)/(N183+T183+U183+V183+W183)</f>
        <v>73.959999999999994</v>
      </c>
      <c r="AF183">
        <f>(AD183+R183*X183/100+S183*Y183/100+AE183*AC183/100)/C183*100</f>
        <v>79.40784960590932</v>
      </c>
      <c r="AG183">
        <f>AJ183*0.35/(B183*C183)*100000</f>
        <v>419.44954568163644</v>
      </c>
      <c r="AH183" s="32">
        <f>AG183*AF183/100</f>
        <v>333.0758644075438</v>
      </c>
      <c r="AI183" t="e">
        <f>(T183*(100-Z183)/100+U183*(100-AA183)/100+V183)/V183</f>
        <v>#DIV/0!</v>
      </c>
      <c r="AJ183">
        <f>J183+K183+L183+M183+(R183+O183)*B183/100*'Substrate characterization'!$BR$3+(S183+P183)*B183/100*'Substrate characterization'!$BS$3+(T183+U183+W183)*B183/100*'Substrate characterization'!$BT$3+V183*B183/100*'Substrate characterization'!$BU$3+N183*B183/100*1.07</f>
        <v>79.92214054007917</v>
      </c>
      <c r="AK183">
        <f>AJ183/(B183*C183/100)</f>
        <v>1.1984272733761041</v>
      </c>
      <c r="AL183">
        <f>B183/100*'Substrate characterization'!$D$4*(R183*'Substrate characterization'!$P$4/(SUMPRODUCT('Substrate characterization'!$D$4:$D$7,'Substrate characterization'!$P$4:$P$7))+S183*'Substrate characterization'!$Q$4/(SUMPRODUCT('Substrate characterization'!$D$4:$D$7,'Substrate characterization'!$Q$4:$Q$7))+(T183+U183+W183)*'Substrate characterization'!$AI$4/(SUMPRODUCT('Substrate characterization'!$D$4:$D$7,'Substrate characterization'!$AI$4:$AI$7))+N183*'Substrate characterization'!$AH$4/(SUMPRODUCT('Substrate characterization'!$D$4:$D$7,'Substrate characterization'!$AH$4:$AH$7))+V183*'Substrate characterization'!$AE$4/(SUMPRODUCT('Substrate characterization'!$D$4:$D$7,'Substrate characterization'!$AE$4:$AE$7)))</f>
        <v>32.874200289020422</v>
      </c>
      <c r="AM183">
        <f>R183*B183/100*'Substrate characterization'!$D$6*('Substrate characterization'!$P$6/(SUMPRODUCT('Substrate characterization'!$D$4:$D$7,'Substrate characterization'!$P$4:$P$7)))</f>
        <v>2.1951172084481185</v>
      </c>
      <c r="AN183">
        <f>AL183/AM183</f>
        <v>14.976056933315869</v>
      </c>
      <c r="AO183">
        <f>AN183*14/12</f>
        <v>17.472066422201845</v>
      </c>
      <c r="AP183">
        <f>J183+K183+L183+M183+(R183*X183/100+O183)*B183/100*'Substrate characterization'!$BR$3+(S183*Y183/100+P183)*B183/100*'Substrate characterization'!$BS$3+(T183*Z183/100+U183*AA183/100+W183)*B183/100*'Substrate characterization'!$BT$3+V183*B183/100*'Substrate characterization'!$BU$3*0+N183*B183/100*1.07</f>
        <v>63.646303285399043</v>
      </c>
      <c r="AQ183">
        <f>AP183/AJ183*100</f>
        <v>79.635383706323339</v>
      </c>
    </row>
    <row r="184" spans="1:43" x14ac:dyDescent="0.25">
      <c r="A184">
        <v>2000</v>
      </c>
      <c r="B184">
        <f>B183</f>
        <v>77.916587000000007</v>
      </c>
      <c r="C184">
        <f t="shared" ref="C184:AA184" si="339">C183</f>
        <v>85.590487940648657</v>
      </c>
      <c r="D184">
        <f t="shared" si="339"/>
        <v>5</v>
      </c>
      <c r="E184">
        <f t="shared" si="339"/>
        <v>0</v>
      </c>
      <c r="F184">
        <f t="shared" si="339"/>
        <v>0</v>
      </c>
      <c r="G184">
        <f t="shared" si="339"/>
        <v>260</v>
      </c>
      <c r="H184">
        <f t="shared" si="339"/>
        <v>3.2500000000000003E-3</v>
      </c>
      <c r="I184">
        <f t="shared" si="339"/>
        <v>6.5843621399176953E-3</v>
      </c>
      <c r="J184">
        <f t="shared" si="339"/>
        <v>1.0232410000000001</v>
      </c>
      <c r="K184">
        <f t="shared" si="339"/>
        <v>0</v>
      </c>
      <c r="L184">
        <f t="shared" si="339"/>
        <v>0</v>
      </c>
      <c r="M184">
        <f t="shared" si="339"/>
        <v>0.12298547999999999</v>
      </c>
      <c r="N184">
        <f t="shared" si="339"/>
        <v>39.256738709174954</v>
      </c>
      <c r="O184">
        <f t="shared" si="339"/>
        <v>0</v>
      </c>
      <c r="P184">
        <f t="shared" si="339"/>
        <v>0</v>
      </c>
      <c r="Q184">
        <f t="shared" si="339"/>
        <v>386</v>
      </c>
      <c r="R184">
        <f t="shared" si="339"/>
        <v>16.601743761199558</v>
      </c>
      <c r="S184">
        <f t="shared" si="339"/>
        <v>0</v>
      </c>
      <c r="T184">
        <f t="shared" si="339"/>
        <v>0</v>
      </c>
      <c r="U184">
        <f t="shared" si="339"/>
        <v>28.42729354802324</v>
      </c>
      <c r="V184">
        <f t="shared" si="339"/>
        <v>0</v>
      </c>
      <c r="W184">
        <f t="shared" si="339"/>
        <v>0</v>
      </c>
      <c r="X184">
        <f t="shared" si="339"/>
        <v>100</v>
      </c>
      <c r="Y184">
        <f t="shared" si="339"/>
        <v>100</v>
      </c>
      <c r="Z184">
        <f t="shared" si="339"/>
        <v>0</v>
      </c>
      <c r="AA184">
        <f t="shared" si="339"/>
        <v>38</v>
      </c>
      <c r="AD184">
        <f>SUM(J183:M183)/(AD183*B183/100)</f>
        <v>1.1275242355056672</v>
      </c>
      <c r="AE184">
        <f>AE183-90</f>
        <v>-16.040000000000006</v>
      </c>
      <c r="AJ184">
        <f>J184+K184+L184+M184+(R184+O184)*B184/100*'Substrate characterization'!$BR$3+(S184+P184)*B184/100*'Substrate characterization'!$BS$3+(T184+U184+W184)*B184/100*'Substrate characterization'!$BT$3+V184*B184/100*'Substrate characterization'!$BU$3+N184*B184/100*1.07</f>
        <v>79.92214054007917</v>
      </c>
      <c r="AK184">
        <f>AJ184/(B184*C184/100)</f>
        <v>1.1984272733761041</v>
      </c>
      <c r="AP184">
        <f>AJ183*(AH183/AK183)/350</f>
        <v>63.464453161889551</v>
      </c>
    </row>
  </sheetData>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14</vt:i4>
      </vt:variant>
    </vt:vector>
  </HeadingPairs>
  <TitlesOfParts>
    <vt:vector size="14" baseType="lpstr">
      <vt:lpstr>README</vt:lpstr>
      <vt:lpstr>Substrate characterization</vt:lpstr>
      <vt:lpstr>R1 feed</vt:lpstr>
      <vt:lpstr>R2 feed</vt:lpstr>
      <vt:lpstr>Reactor volumes</vt:lpstr>
      <vt:lpstr>Combi_real</vt:lpstr>
      <vt:lpstr>Selector notes</vt:lpstr>
      <vt:lpstr>R1 measurements</vt:lpstr>
      <vt:lpstr>R2 measurements</vt:lpstr>
      <vt:lpstr>SteadyState</vt:lpstr>
      <vt:lpstr>Reactor analysis</vt:lpstr>
      <vt:lpstr>Catenacci</vt:lpstr>
      <vt:lpstr>Direct</vt:lpstr>
      <vt:lpstr>NIR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lenovo</dc:creator>
  <cp:keywords/>
  <dc:description/>
  <cp:lastModifiedBy>Davide Carecci</cp:lastModifiedBy>
  <cp:revision/>
  <dcterms:created xsi:type="dcterms:W3CDTF">2015-06-05T18:19:34Z</dcterms:created>
  <dcterms:modified xsi:type="dcterms:W3CDTF">2024-04-22T07:32:52Z</dcterms:modified>
  <cp:category/>
  <cp:contentStatus/>
</cp:coreProperties>
</file>